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yt\Desktop\"/>
    </mc:Choice>
  </mc:AlternateContent>
  <xr:revisionPtr revIDLastSave="0" documentId="13_ncr:1_{DF53CB71-E00E-4B47-8F99-C9E4CB33B8FC}" xr6:coauthVersionLast="47" xr6:coauthVersionMax="47" xr10:uidLastSave="{00000000-0000-0000-0000-000000000000}"/>
  <workbookProtection workbookAlgorithmName="SHA-512" workbookHashValue="6jeoQT/0PqqjBgX2i3S70KH6EvG2yUwlf4deFVNr4ASR1IommoRGz6el8hsRE/U0ueLJazcDBbD5Aqlfqa8yFA==" workbookSaltValue="c7rElOsWIZYx+W383JkDEw==" workbookSpinCount="100000" lockStructure="1"/>
  <bookViews>
    <workbookView xWindow="0" yWindow="0" windowWidth="19200" windowHeight="21000" activeTab="1" xr2:uid="{00000000-000D-0000-FFFF-FFFF00000000}"/>
  </bookViews>
  <sheets>
    <sheet name="使用说明" sheetId="7" r:id="rId1"/>
    <sheet name="配置与结果" sheetId="1" r:id="rId2"/>
    <sheet name="逐档收益" sheetId="2" r:id="rId3"/>
    <sheet name="效果参数" sheetId="3" r:id="rId4"/>
    <sheet name="固定流程" sheetId="4" r:id="rId5"/>
    <sheet name="方案参数" sheetId="5" r:id="rId6"/>
    <sheet name="行动计算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661" i="6" l="1"/>
  <c r="H1661" i="6"/>
  <c r="G1661" i="6"/>
  <c r="F1661" i="6"/>
  <c r="E1661" i="6"/>
  <c r="D1661" i="6"/>
  <c r="C1661" i="6"/>
  <c r="B1661" i="6"/>
  <c r="A1661" i="6"/>
  <c r="AO1660" i="6"/>
  <c r="AE1660" i="6"/>
  <c r="I1660" i="6"/>
  <c r="H1660" i="6"/>
  <c r="G1660" i="6"/>
  <c r="F1660" i="6"/>
  <c r="E1660" i="6"/>
  <c r="D1660" i="6"/>
  <c r="C1660" i="6"/>
  <c r="B1660" i="6"/>
  <c r="A1660" i="6"/>
  <c r="AO1659" i="6"/>
  <c r="AE1659" i="6"/>
  <c r="K1659" i="6"/>
  <c r="J1659" i="6"/>
  <c r="I1659" i="6"/>
  <c r="H1659" i="6"/>
  <c r="G1659" i="6"/>
  <c r="F1659" i="6"/>
  <c r="E1659" i="6"/>
  <c r="D1659" i="6"/>
  <c r="C1659" i="6"/>
  <c r="B1659" i="6"/>
  <c r="A1659" i="6"/>
  <c r="AO1658" i="6"/>
  <c r="K1658" i="6"/>
  <c r="I1658" i="6"/>
  <c r="H1658" i="6"/>
  <c r="G1658" i="6"/>
  <c r="F1658" i="6"/>
  <c r="E1658" i="6"/>
  <c r="D1658" i="6"/>
  <c r="C1658" i="6"/>
  <c r="B1658" i="6"/>
  <c r="A1658" i="6"/>
  <c r="AO1657" i="6"/>
  <c r="H1657" i="6"/>
  <c r="G1657" i="6"/>
  <c r="F1657" i="6"/>
  <c r="E1657" i="6"/>
  <c r="D1657" i="6"/>
  <c r="C1657" i="6"/>
  <c r="B1657" i="6"/>
  <c r="A1657" i="6"/>
  <c r="AO1656" i="6"/>
  <c r="K1656" i="6"/>
  <c r="J1656" i="6"/>
  <c r="H1656" i="6"/>
  <c r="G1656" i="6"/>
  <c r="F1656" i="6"/>
  <c r="E1656" i="6"/>
  <c r="D1656" i="6"/>
  <c r="C1656" i="6"/>
  <c r="B1656" i="6"/>
  <c r="A1656" i="6"/>
  <c r="AO1655" i="6"/>
  <c r="K1655" i="6"/>
  <c r="H1655" i="6"/>
  <c r="G1655" i="6"/>
  <c r="F1655" i="6"/>
  <c r="E1655" i="6"/>
  <c r="D1655" i="6"/>
  <c r="C1655" i="6"/>
  <c r="B1655" i="6"/>
  <c r="A1655" i="6"/>
  <c r="AO1654" i="6"/>
  <c r="AE1654" i="6"/>
  <c r="J1654" i="6"/>
  <c r="H1654" i="6"/>
  <c r="G1654" i="6"/>
  <c r="F1654" i="6"/>
  <c r="E1654" i="6"/>
  <c r="D1654" i="6"/>
  <c r="C1654" i="6"/>
  <c r="B1654" i="6"/>
  <c r="A1654" i="6"/>
  <c r="AO1653" i="6"/>
  <c r="AE1653" i="6"/>
  <c r="J1653" i="6"/>
  <c r="H1653" i="6"/>
  <c r="G1653" i="6"/>
  <c r="F1653" i="6"/>
  <c r="AI1653" i="6" s="1"/>
  <c r="E1653" i="6"/>
  <c r="D1653" i="6"/>
  <c r="C1653" i="6"/>
  <c r="B1653" i="6"/>
  <c r="A1653" i="6"/>
  <c r="AO1652" i="6"/>
  <c r="AI1652" i="6"/>
  <c r="K1652" i="6"/>
  <c r="J1652" i="6"/>
  <c r="I1652" i="6"/>
  <c r="H1652" i="6"/>
  <c r="G1652" i="6"/>
  <c r="F1652" i="6"/>
  <c r="AE1652" i="6" s="1"/>
  <c r="E1652" i="6"/>
  <c r="D1652" i="6"/>
  <c r="C1652" i="6"/>
  <c r="B1652" i="6"/>
  <c r="A1652" i="6"/>
  <c r="AO1651" i="6"/>
  <c r="H1651" i="6"/>
  <c r="G1651" i="6"/>
  <c r="F1651" i="6"/>
  <c r="E1651" i="6"/>
  <c r="D1651" i="6"/>
  <c r="C1651" i="6"/>
  <c r="B1651" i="6"/>
  <c r="A1651" i="6"/>
  <c r="AO1650" i="6"/>
  <c r="AI1650" i="6"/>
  <c r="AE1650" i="6"/>
  <c r="K1650" i="6"/>
  <c r="J1650" i="6"/>
  <c r="I1650" i="6"/>
  <c r="H1650" i="6"/>
  <c r="G1650" i="6"/>
  <c r="F1650" i="6"/>
  <c r="E1650" i="6"/>
  <c r="D1650" i="6"/>
  <c r="C1650" i="6"/>
  <c r="B1650" i="6"/>
  <c r="A1650" i="6"/>
  <c r="AO1649" i="6"/>
  <c r="AE1649" i="6"/>
  <c r="J1649" i="6"/>
  <c r="I1649" i="6"/>
  <c r="H1649" i="6"/>
  <c r="G1649" i="6"/>
  <c r="F1649" i="6"/>
  <c r="E1649" i="6"/>
  <c r="D1649" i="6"/>
  <c r="C1649" i="6"/>
  <c r="B1649" i="6"/>
  <c r="A1649" i="6"/>
  <c r="AT1648" i="6"/>
  <c r="K1648" i="6"/>
  <c r="I1648" i="6"/>
  <c r="H1648" i="6"/>
  <c r="G1648" i="6"/>
  <c r="F1648" i="6"/>
  <c r="E1648" i="6"/>
  <c r="D1648" i="6"/>
  <c r="C1648" i="6"/>
  <c r="B1648" i="6"/>
  <c r="A1648" i="6"/>
  <c r="AT1647" i="6"/>
  <c r="AO1647" i="6"/>
  <c r="AE1647" i="6"/>
  <c r="K1647" i="6"/>
  <c r="J1647" i="6"/>
  <c r="H1647" i="6"/>
  <c r="G1647" i="6"/>
  <c r="F1647" i="6"/>
  <c r="E1647" i="6"/>
  <c r="D1647" i="6"/>
  <c r="C1647" i="6"/>
  <c r="B1647" i="6"/>
  <c r="A1647" i="6"/>
  <c r="AT1646" i="6"/>
  <c r="AO1646" i="6"/>
  <c r="AI1646" i="6"/>
  <c r="AE1646" i="6"/>
  <c r="K1646" i="6"/>
  <c r="I1646" i="6"/>
  <c r="H1646" i="6"/>
  <c r="G1646" i="6"/>
  <c r="F1646" i="6"/>
  <c r="E1646" i="6"/>
  <c r="D1646" i="6"/>
  <c r="C1646" i="6"/>
  <c r="B1646" i="6"/>
  <c r="A1646" i="6"/>
  <c r="AT1645" i="6"/>
  <c r="AO1645" i="6"/>
  <c r="H1645" i="6"/>
  <c r="G1645" i="6"/>
  <c r="F1645" i="6"/>
  <c r="E1645" i="6"/>
  <c r="D1645" i="6"/>
  <c r="C1645" i="6"/>
  <c r="B1645" i="6"/>
  <c r="A1645" i="6"/>
  <c r="AT1644" i="6"/>
  <c r="AO1644" i="6"/>
  <c r="AE1644" i="6"/>
  <c r="H1644" i="6"/>
  <c r="G1644" i="6"/>
  <c r="F1644" i="6"/>
  <c r="E1644" i="6"/>
  <c r="D1644" i="6"/>
  <c r="C1644" i="6"/>
  <c r="B1644" i="6"/>
  <c r="A1644" i="6"/>
  <c r="AT1643" i="6"/>
  <c r="AO1643" i="6"/>
  <c r="K1643" i="6"/>
  <c r="J1643" i="6"/>
  <c r="H1643" i="6"/>
  <c r="AF1643" i="6" s="1"/>
  <c r="G1643" i="6"/>
  <c r="F1643" i="6"/>
  <c r="I1643" i="6" s="1"/>
  <c r="E1643" i="6"/>
  <c r="D1643" i="6"/>
  <c r="C1643" i="6"/>
  <c r="B1643" i="6"/>
  <c r="A1643" i="6"/>
  <c r="AT1642" i="6"/>
  <c r="AI1642" i="6"/>
  <c r="AE1642" i="6"/>
  <c r="I1642" i="6"/>
  <c r="H1642" i="6"/>
  <c r="G1642" i="6"/>
  <c r="F1642" i="6"/>
  <c r="E1642" i="6"/>
  <c r="D1642" i="6"/>
  <c r="C1642" i="6"/>
  <c r="B1642" i="6"/>
  <c r="A1642" i="6"/>
  <c r="AT1641" i="6"/>
  <c r="AO1641" i="6"/>
  <c r="AF1641" i="6"/>
  <c r="AE1641" i="6"/>
  <c r="K1641" i="6"/>
  <c r="H1641" i="6"/>
  <c r="G1641" i="6"/>
  <c r="F1641" i="6"/>
  <c r="J1641" i="6" s="1"/>
  <c r="E1641" i="6"/>
  <c r="D1641" i="6"/>
  <c r="C1641" i="6"/>
  <c r="B1641" i="6"/>
  <c r="A1641" i="6"/>
  <c r="AT1640" i="6"/>
  <c r="AO1640" i="6"/>
  <c r="AF1640" i="6"/>
  <c r="AE1640" i="6"/>
  <c r="H1640" i="6"/>
  <c r="G1640" i="6"/>
  <c r="F1640" i="6"/>
  <c r="E1640" i="6"/>
  <c r="D1640" i="6"/>
  <c r="C1640" i="6"/>
  <c r="B1640" i="6"/>
  <c r="A1640" i="6"/>
  <c r="AT1639" i="6"/>
  <c r="AO1639" i="6"/>
  <c r="AF1639" i="6"/>
  <c r="H1639" i="6"/>
  <c r="G1639" i="6"/>
  <c r="F1639" i="6"/>
  <c r="E1639" i="6"/>
  <c r="D1639" i="6"/>
  <c r="C1639" i="6"/>
  <c r="B1639" i="6"/>
  <c r="A1639" i="6"/>
  <c r="AT1638" i="6"/>
  <c r="AO1638" i="6"/>
  <c r="H1638" i="6"/>
  <c r="G1638" i="6"/>
  <c r="F1638" i="6"/>
  <c r="E1638" i="6"/>
  <c r="D1638" i="6"/>
  <c r="C1638" i="6"/>
  <c r="B1638" i="6"/>
  <c r="A1638" i="6"/>
  <c r="AT1637" i="6"/>
  <c r="AE1637" i="6"/>
  <c r="K1637" i="6"/>
  <c r="J1637" i="6"/>
  <c r="I1637" i="6"/>
  <c r="H1637" i="6"/>
  <c r="G1637" i="6"/>
  <c r="F1637" i="6"/>
  <c r="E1637" i="6"/>
  <c r="D1637" i="6"/>
  <c r="C1637" i="6"/>
  <c r="B1637" i="6"/>
  <c r="A1637" i="6"/>
  <c r="AT1636" i="6"/>
  <c r="AI1636" i="6"/>
  <c r="AC1636" i="6"/>
  <c r="BM1636" i="6" s="1"/>
  <c r="AC1637" i="6" s="1"/>
  <c r="BM1637" i="6" s="1"/>
  <c r="AC1638" i="6" s="1"/>
  <c r="BM1638" i="6" s="1"/>
  <c r="AC1639" i="6" s="1"/>
  <c r="BM1639" i="6" s="1"/>
  <c r="AC1640" i="6" s="1"/>
  <c r="BM1640" i="6" s="1"/>
  <c r="AC1641" i="6" s="1"/>
  <c r="BM1641" i="6" s="1"/>
  <c r="AC1642" i="6" s="1"/>
  <c r="BM1642" i="6" s="1"/>
  <c r="AC1643" i="6" s="1"/>
  <c r="BM1643" i="6" s="1"/>
  <c r="AC1644" i="6" s="1"/>
  <c r="BM1644" i="6" s="1"/>
  <c r="AC1645" i="6" s="1"/>
  <c r="BM1645" i="6" s="1"/>
  <c r="AC1646" i="6" s="1"/>
  <c r="BM1646" i="6" s="1"/>
  <c r="AC1647" i="6" s="1"/>
  <c r="BM1647" i="6" s="1"/>
  <c r="AC1648" i="6" s="1"/>
  <c r="BM1648" i="6" s="1"/>
  <c r="AC1649" i="6" s="1"/>
  <c r="BM1649" i="6" s="1"/>
  <c r="AC1650" i="6" s="1"/>
  <c r="BM1650" i="6" s="1"/>
  <c r="AC1651" i="6" s="1"/>
  <c r="BM1651" i="6" s="1"/>
  <c r="AC1652" i="6" s="1"/>
  <c r="BM1652" i="6" s="1"/>
  <c r="AC1653" i="6" s="1"/>
  <c r="BM1653" i="6" s="1"/>
  <c r="AC1654" i="6" s="1"/>
  <c r="BM1654" i="6" s="1"/>
  <c r="AC1655" i="6" s="1"/>
  <c r="BM1655" i="6" s="1"/>
  <c r="AC1656" i="6" s="1"/>
  <c r="BM1656" i="6" s="1"/>
  <c r="AC1657" i="6" s="1"/>
  <c r="BM1657" i="6" s="1"/>
  <c r="AC1658" i="6" s="1"/>
  <c r="BM1658" i="6" s="1"/>
  <c r="AC1659" i="6" s="1"/>
  <c r="BM1659" i="6" s="1"/>
  <c r="AC1660" i="6" s="1"/>
  <c r="BM1660" i="6" s="1"/>
  <c r="AC1661" i="6" s="1"/>
  <c r="BM1661" i="6" s="1"/>
  <c r="H1636" i="6"/>
  <c r="G1636" i="6"/>
  <c r="F1636" i="6"/>
  <c r="E1636" i="6"/>
  <c r="D1636" i="6"/>
  <c r="C1636" i="6"/>
  <c r="B1636" i="6"/>
  <c r="A1636" i="6"/>
  <c r="AT1635" i="6"/>
  <c r="AO1635" i="6"/>
  <c r="AI1635" i="6"/>
  <c r="K1635" i="6"/>
  <c r="H1635" i="6"/>
  <c r="AF1635" i="6" s="1"/>
  <c r="G1635" i="6"/>
  <c r="F1635" i="6"/>
  <c r="E1635" i="6"/>
  <c r="D1635" i="6"/>
  <c r="C1635" i="6"/>
  <c r="B1635" i="6"/>
  <c r="A1635" i="6"/>
  <c r="AT1634" i="6"/>
  <c r="AO1634" i="6"/>
  <c r="H1634" i="6"/>
  <c r="G1634" i="6"/>
  <c r="F1634" i="6"/>
  <c r="E1634" i="6"/>
  <c r="D1634" i="6"/>
  <c r="C1634" i="6"/>
  <c r="B1634" i="6"/>
  <c r="A1634" i="6"/>
  <c r="AT1633" i="6"/>
  <c r="AO1633" i="6"/>
  <c r="AI1633" i="6"/>
  <c r="AF1633" i="6"/>
  <c r="AE1633" i="6"/>
  <c r="K1633" i="6"/>
  <c r="I1633" i="6"/>
  <c r="H1633" i="6"/>
  <c r="G1633" i="6"/>
  <c r="F1633" i="6"/>
  <c r="E1633" i="6"/>
  <c r="D1633" i="6"/>
  <c r="C1633" i="6"/>
  <c r="B1633" i="6"/>
  <c r="A1633" i="6"/>
  <c r="AT1632" i="6"/>
  <c r="AO1632" i="6"/>
  <c r="AE1632" i="6"/>
  <c r="X1632" i="6"/>
  <c r="J1632" i="6"/>
  <c r="I1632" i="6"/>
  <c r="H1632" i="6"/>
  <c r="AF1632" i="6" s="1"/>
  <c r="G1632" i="6"/>
  <c r="F1632" i="6"/>
  <c r="E1632" i="6"/>
  <c r="D1632" i="6"/>
  <c r="C1632" i="6"/>
  <c r="B1632" i="6"/>
  <c r="A1632" i="6"/>
  <c r="AT1631" i="6"/>
  <c r="AI1631" i="6"/>
  <c r="AE1631" i="6"/>
  <c r="K1631" i="6"/>
  <c r="J1631" i="6"/>
  <c r="I1631" i="6"/>
  <c r="H1631" i="6"/>
  <c r="G1631" i="6"/>
  <c r="F1631" i="6"/>
  <c r="E1631" i="6"/>
  <c r="D1631" i="6"/>
  <c r="C1631" i="6"/>
  <c r="B1631" i="6"/>
  <c r="A1631" i="6"/>
  <c r="AT1630" i="6"/>
  <c r="AI1630" i="6"/>
  <c r="R1630" i="6"/>
  <c r="BB1630" i="6" s="1"/>
  <c r="R1631" i="6" s="1"/>
  <c r="BB1631" i="6" s="1"/>
  <c r="R1632" i="6" s="1"/>
  <c r="BB1632" i="6" s="1"/>
  <c r="R1633" i="6" s="1"/>
  <c r="BB1633" i="6" s="1"/>
  <c r="R1634" i="6" s="1"/>
  <c r="BB1634" i="6" s="1"/>
  <c r="R1635" i="6" s="1"/>
  <c r="BB1635" i="6" s="1"/>
  <c r="R1636" i="6" s="1"/>
  <c r="BB1636" i="6" s="1"/>
  <c r="R1637" i="6" s="1"/>
  <c r="BB1637" i="6" s="1"/>
  <c r="R1638" i="6" s="1"/>
  <c r="BB1638" i="6" s="1"/>
  <c r="R1639" i="6" s="1"/>
  <c r="BB1639" i="6" s="1"/>
  <c r="R1640" i="6" s="1"/>
  <c r="BB1640" i="6" s="1"/>
  <c r="R1641" i="6" s="1"/>
  <c r="BB1641" i="6" s="1"/>
  <c r="R1642" i="6" s="1"/>
  <c r="BB1642" i="6" s="1"/>
  <c r="R1643" i="6" s="1"/>
  <c r="BB1643" i="6" s="1"/>
  <c r="R1644" i="6" s="1"/>
  <c r="BB1644" i="6" s="1"/>
  <c r="R1645" i="6" s="1"/>
  <c r="BB1645" i="6" s="1"/>
  <c r="R1646" i="6" s="1"/>
  <c r="BB1646" i="6" s="1"/>
  <c r="R1647" i="6" s="1"/>
  <c r="BB1647" i="6" s="1"/>
  <c r="R1648" i="6" s="1"/>
  <c r="BB1648" i="6" s="1"/>
  <c r="R1649" i="6" s="1"/>
  <c r="BB1649" i="6" s="1"/>
  <c r="R1650" i="6" s="1"/>
  <c r="BB1650" i="6" s="1"/>
  <c r="R1651" i="6" s="1"/>
  <c r="BB1651" i="6" s="1"/>
  <c r="R1652" i="6" s="1"/>
  <c r="BB1652" i="6" s="1"/>
  <c r="R1653" i="6" s="1"/>
  <c r="BB1653" i="6" s="1"/>
  <c r="R1654" i="6" s="1"/>
  <c r="BB1654" i="6" s="1"/>
  <c r="R1655" i="6" s="1"/>
  <c r="BB1655" i="6" s="1"/>
  <c r="R1656" i="6" s="1"/>
  <c r="BB1656" i="6" s="1"/>
  <c r="R1657" i="6" s="1"/>
  <c r="BB1657" i="6" s="1"/>
  <c r="R1658" i="6" s="1"/>
  <c r="BB1658" i="6" s="1"/>
  <c r="R1659" i="6" s="1"/>
  <c r="BB1659" i="6" s="1"/>
  <c r="R1660" i="6" s="1"/>
  <c r="BB1660" i="6" s="1"/>
  <c r="R1661" i="6" s="1"/>
  <c r="BB1661" i="6" s="1"/>
  <c r="H1630" i="6"/>
  <c r="G1630" i="6"/>
  <c r="F1630" i="6"/>
  <c r="E1630" i="6"/>
  <c r="D1630" i="6"/>
  <c r="C1630" i="6"/>
  <c r="B1630" i="6"/>
  <c r="A1630" i="6"/>
  <c r="AT1629" i="6"/>
  <c r="AO1629" i="6"/>
  <c r="H1629" i="6"/>
  <c r="G1629" i="6"/>
  <c r="F1629" i="6"/>
  <c r="E1629" i="6"/>
  <c r="D1629" i="6"/>
  <c r="C1629" i="6"/>
  <c r="B1629" i="6"/>
  <c r="A1629" i="6"/>
  <c r="BF1628" i="6"/>
  <c r="V1629" i="6" s="1"/>
  <c r="BF1629" i="6" s="1"/>
  <c r="V1630" i="6" s="1"/>
  <c r="BF1630" i="6" s="1"/>
  <c r="V1631" i="6" s="1"/>
  <c r="BF1631" i="6" s="1"/>
  <c r="V1632" i="6" s="1"/>
  <c r="BF1632" i="6" s="1"/>
  <c r="V1633" i="6" s="1"/>
  <c r="BF1633" i="6" s="1"/>
  <c r="V1634" i="6" s="1"/>
  <c r="BF1634" i="6" s="1"/>
  <c r="V1635" i="6" s="1"/>
  <c r="BF1635" i="6" s="1"/>
  <c r="V1636" i="6" s="1"/>
  <c r="BF1636" i="6" s="1"/>
  <c r="V1637" i="6" s="1"/>
  <c r="BF1637" i="6" s="1"/>
  <c r="V1638" i="6" s="1"/>
  <c r="BF1638" i="6" s="1"/>
  <c r="V1639" i="6" s="1"/>
  <c r="BF1639" i="6" s="1"/>
  <c r="V1640" i="6" s="1"/>
  <c r="BF1640" i="6" s="1"/>
  <c r="V1641" i="6" s="1"/>
  <c r="BF1641" i="6" s="1"/>
  <c r="V1642" i="6" s="1"/>
  <c r="BF1642" i="6" s="1"/>
  <c r="V1643" i="6" s="1"/>
  <c r="BF1643" i="6" s="1"/>
  <c r="V1644" i="6" s="1"/>
  <c r="BF1644" i="6" s="1"/>
  <c r="V1645" i="6" s="1"/>
  <c r="BF1645" i="6" s="1"/>
  <c r="V1646" i="6" s="1"/>
  <c r="BF1646" i="6" s="1"/>
  <c r="V1647" i="6" s="1"/>
  <c r="BF1647" i="6" s="1"/>
  <c r="V1648" i="6" s="1"/>
  <c r="BF1648" i="6" s="1"/>
  <c r="V1649" i="6" s="1"/>
  <c r="AT1628" i="6"/>
  <c r="AP1628" i="6"/>
  <c r="AO1628" i="6"/>
  <c r="AF1628" i="6"/>
  <c r="AE1628" i="6"/>
  <c r="AB1628" i="6"/>
  <c r="BL1628" i="6" s="1"/>
  <c r="AB1629" i="6" s="1"/>
  <c r="BL1629" i="6" s="1"/>
  <c r="AB1630" i="6" s="1"/>
  <c r="BL1630" i="6" s="1"/>
  <c r="AB1631" i="6" s="1"/>
  <c r="BL1631" i="6" s="1"/>
  <c r="AB1632" i="6" s="1"/>
  <c r="BL1632" i="6" s="1"/>
  <c r="AB1633" i="6" s="1"/>
  <c r="BL1633" i="6" s="1"/>
  <c r="AB1634" i="6" s="1"/>
  <c r="BL1634" i="6" s="1"/>
  <c r="AB1635" i="6" s="1"/>
  <c r="BL1635" i="6" s="1"/>
  <c r="AB1636" i="6" s="1"/>
  <c r="BL1636" i="6" s="1"/>
  <c r="AB1637" i="6" s="1"/>
  <c r="BL1637" i="6" s="1"/>
  <c r="AB1638" i="6" s="1"/>
  <c r="BL1638" i="6" s="1"/>
  <c r="AB1639" i="6" s="1"/>
  <c r="BL1639" i="6" s="1"/>
  <c r="AB1640" i="6" s="1"/>
  <c r="BL1640" i="6" s="1"/>
  <c r="AB1641" i="6" s="1"/>
  <c r="BL1641" i="6" s="1"/>
  <c r="AB1642" i="6" s="1"/>
  <c r="BL1642" i="6" s="1"/>
  <c r="AB1643" i="6" s="1"/>
  <c r="BL1643" i="6" s="1"/>
  <c r="AB1644" i="6" s="1"/>
  <c r="BL1644" i="6" s="1"/>
  <c r="AB1645" i="6" s="1"/>
  <c r="BL1645" i="6" s="1"/>
  <c r="AB1646" i="6" s="1"/>
  <c r="BL1646" i="6" s="1"/>
  <c r="AB1647" i="6" s="1"/>
  <c r="BL1647" i="6" s="1"/>
  <c r="AB1648" i="6" s="1"/>
  <c r="BL1648" i="6" s="1"/>
  <c r="AB1649" i="6" s="1"/>
  <c r="BL1649" i="6" s="1"/>
  <c r="AB1650" i="6" s="1"/>
  <c r="BL1650" i="6" s="1"/>
  <c r="AB1651" i="6" s="1"/>
  <c r="BL1651" i="6" s="1"/>
  <c r="AB1652" i="6" s="1"/>
  <c r="BL1652" i="6" s="1"/>
  <c r="AB1653" i="6" s="1"/>
  <c r="BL1653" i="6" s="1"/>
  <c r="AB1654" i="6" s="1"/>
  <c r="BL1654" i="6" s="1"/>
  <c r="AB1655" i="6" s="1"/>
  <c r="BL1655" i="6" s="1"/>
  <c r="AB1656" i="6" s="1"/>
  <c r="BL1656" i="6" s="1"/>
  <c r="AB1657" i="6" s="1"/>
  <c r="BL1657" i="6" s="1"/>
  <c r="AB1658" i="6" s="1"/>
  <c r="BL1658" i="6" s="1"/>
  <c r="AB1659" i="6" s="1"/>
  <c r="BL1659" i="6" s="1"/>
  <c r="AB1660" i="6" s="1"/>
  <c r="BL1660" i="6" s="1"/>
  <c r="AB1661" i="6" s="1"/>
  <c r="BL1661" i="6" s="1"/>
  <c r="X1628" i="6"/>
  <c r="BH1628" i="6" s="1"/>
  <c r="X1629" i="6" s="1"/>
  <c r="BH1629" i="6" s="1"/>
  <c r="X1630" i="6" s="1"/>
  <c r="BH1630" i="6" s="1"/>
  <c r="X1631" i="6" s="1"/>
  <c r="BH1631" i="6" s="1"/>
  <c r="S1628" i="6"/>
  <c r="BC1628" i="6" s="1"/>
  <c r="S1629" i="6" s="1"/>
  <c r="BC1629" i="6" s="1"/>
  <c r="S1630" i="6" s="1"/>
  <c r="BC1630" i="6" s="1"/>
  <c r="S1631" i="6" s="1"/>
  <c r="BC1631" i="6" s="1"/>
  <c r="S1632" i="6" s="1"/>
  <c r="BC1632" i="6" s="1"/>
  <c r="S1633" i="6" s="1"/>
  <c r="BC1633" i="6" s="1"/>
  <c r="S1634" i="6" s="1"/>
  <c r="BC1634" i="6" s="1"/>
  <c r="S1635" i="6" s="1"/>
  <c r="BC1635" i="6" s="1"/>
  <c r="S1636" i="6" s="1"/>
  <c r="BC1636" i="6" s="1"/>
  <c r="S1637" i="6" s="1"/>
  <c r="BC1637" i="6" s="1"/>
  <c r="S1638" i="6" s="1"/>
  <c r="BC1638" i="6" s="1"/>
  <c r="S1639" i="6" s="1"/>
  <c r="BC1639" i="6" s="1"/>
  <c r="S1640" i="6" s="1"/>
  <c r="BC1640" i="6" s="1"/>
  <c r="S1641" i="6" s="1"/>
  <c r="BC1641" i="6" s="1"/>
  <c r="S1642" i="6" s="1"/>
  <c r="BC1642" i="6" s="1"/>
  <c r="S1643" i="6" s="1"/>
  <c r="BC1643" i="6" s="1"/>
  <c r="S1644" i="6" s="1"/>
  <c r="BC1644" i="6" s="1"/>
  <c r="S1645" i="6" s="1"/>
  <c r="BC1645" i="6" s="1"/>
  <c r="S1646" i="6" s="1"/>
  <c r="BC1646" i="6" s="1"/>
  <c r="S1647" i="6" s="1"/>
  <c r="BC1647" i="6" s="1"/>
  <c r="S1648" i="6" s="1"/>
  <c r="BC1648" i="6" s="1"/>
  <c r="S1649" i="6" s="1"/>
  <c r="BC1649" i="6" s="1"/>
  <c r="S1650" i="6" s="1"/>
  <c r="BC1650" i="6" s="1"/>
  <c r="S1651" i="6" s="1"/>
  <c r="BC1651" i="6" s="1"/>
  <c r="S1652" i="6" s="1"/>
  <c r="BC1652" i="6" s="1"/>
  <c r="S1653" i="6" s="1"/>
  <c r="BC1653" i="6" s="1"/>
  <c r="S1654" i="6" s="1"/>
  <c r="BC1654" i="6" s="1"/>
  <c r="S1655" i="6" s="1"/>
  <c r="BC1655" i="6" s="1"/>
  <c r="S1656" i="6" s="1"/>
  <c r="BC1656" i="6" s="1"/>
  <c r="S1657" i="6" s="1"/>
  <c r="BC1657" i="6" s="1"/>
  <c r="S1658" i="6" s="1"/>
  <c r="BC1658" i="6" s="1"/>
  <c r="S1659" i="6" s="1"/>
  <c r="BC1659" i="6" s="1"/>
  <c r="S1660" i="6" s="1"/>
  <c r="BC1660" i="6" s="1"/>
  <c r="S1661" i="6" s="1"/>
  <c r="BC1661" i="6" s="1"/>
  <c r="M1628" i="6"/>
  <c r="K1628" i="6"/>
  <c r="J1628" i="6"/>
  <c r="H1628" i="6"/>
  <c r="G1628" i="6"/>
  <c r="F1628" i="6"/>
  <c r="E1628" i="6"/>
  <c r="D1628" i="6"/>
  <c r="C1628" i="6"/>
  <c r="B1628" i="6"/>
  <c r="A1628" i="6"/>
  <c r="BK1627" i="6"/>
  <c r="AA1628" i="6" s="1"/>
  <c r="BK1628" i="6" s="1"/>
  <c r="AA1629" i="6" s="1"/>
  <c r="BK1629" i="6" s="1"/>
  <c r="AA1630" i="6" s="1"/>
  <c r="BK1630" i="6" s="1"/>
  <c r="AA1631" i="6" s="1"/>
  <c r="BK1631" i="6" s="1"/>
  <c r="AA1632" i="6" s="1"/>
  <c r="BK1632" i="6" s="1"/>
  <c r="AA1633" i="6" s="1"/>
  <c r="BK1633" i="6" s="1"/>
  <c r="AA1634" i="6" s="1"/>
  <c r="BK1634" i="6" s="1"/>
  <c r="AA1635" i="6" s="1"/>
  <c r="BK1635" i="6" s="1"/>
  <c r="AA1636" i="6" s="1"/>
  <c r="BK1636" i="6" s="1"/>
  <c r="AA1637" i="6" s="1"/>
  <c r="BK1637" i="6" s="1"/>
  <c r="AA1638" i="6" s="1"/>
  <c r="BK1638" i="6" s="1"/>
  <c r="AA1639" i="6" s="1"/>
  <c r="BK1639" i="6" s="1"/>
  <c r="AA1640" i="6" s="1"/>
  <c r="BK1640" i="6" s="1"/>
  <c r="AA1641" i="6" s="1"/>
  <c r="BK1641" i="6" s="1"/>
  <c r="AA1642" i="6" s="1"/>
  <c r="BK1642" i="6" s="1"/>
  <c r="AA1643" i="6" s="1"/>
  <c r="BK1643" i="6" s="1"/>
  <c r="AA1644" i="6" s="1"/>
  <c r="BK1644" i="6" s="1"/>
  <c r="AA1645" i="6" s="1"/>
  <c r="BK1645" i="6" s="1"/>
  <c r="AA1646" i="6" s="1"/>
  <c r="BK1646" i="6" s="1"/>
  <c r="AA1647" i="6" s="1"/>
  <c r="BK1647" i="6" s="1"/>
  <c r="AA1648" i="6" s="1"/>
  <c r="BK1648" i="6" s="1"/>
  <c r="AA1649" i="6" s="1"/>
  <c r="BK1649" i="6" s="1"/>
  <c r="AA1650" i="6" s="1"/>
  <c r="BK1650" i="6" s="1"/>
  <c r="AA1651" i="6" s="1"/>
  <c r="BK1651" i="6" s="1"/>
  <c r="AA1652" i="6" s="1"/>
  <c r="BK1652" i="6" s="1"/>
  <c r="AA1653" i="6" s="1"/>
  <c r="BK1653" i="6" s="1"/>
  <c r="AA1654" i="6" s="1"/>
  <c r="BK1654" i="6" s="1"/>
  <c r="AA1655" i="6" s="1"/>
  <c r="BK1655" i="6" s="1"/>
  <c r="AA1656" i="6" s="1"/>
  <c r="BK1656" i="6" s="1"/>
  <c r="AA1657" i="6" s="1"/>
  <c r="BK1657" i="6" s="1"/>
  <c r="AA1658" i="6" s="1"/>
  <c r="BK1658" i="6" s="1"/>
  <c r="AA1659" i="6" s="1"/>
  <c r="BK1659" i="6" s="1"/>
  <c r="AA1660" i="6" s="1"/>
  <c r="BK1660" i="6" s="1"/>
  <c r="AA1661" i="6" s="1"/>
  <c r="BK1661" i="6" s="1"/>
  <c r="BG1627" i="6"/>
  <c r="W1628" i="6" s="1"/>
  <c r="BG1628" i="6" s="1"/>
  <c r="W1629" i="6" s="1"/>
  <c r="BG1629" i="6" s="1"/>
  <c r="W1630" i="6" s="1"/>
  <c r="BE1627" i="6"/>
  <c r="BB1627" i="6"/>
  <c r="R1628" i="6" s="1"/>
  <c r="BB1628" i="6" s="1"/>
  <c r="R1629" i="6" s="1"/>
  <c r="BB1629" i="6" s="1"/>
  <c r="AW1627" i="6"/>
  <c r="AT1627" i="6"/>
  <c r="AO1627" i="6"/>
  <c r="AF1627" i="6"/>
  <c r="AE1627" i="6"/>
  <c r="W1627" i="6"/>
  <c r="U1627" i="6"/>
  <c r="Q1627" i="6"/>
  <c r="BA1627" i="6" s="1"/>
  <c r="Q1628" i="6" s="1"/>
  <c r="BA1628" i="6" s="1"/>
  <c r="Q1629" i="6" s="1"/>
  <c r="BA1629" i="6" s="1"/>
  <c r="Q1630" i="6" s="1"/>
  <c r="BA1630" i="6" s="1"/>
  <c r="Q1631" i="6" s="1"/>
  <c r="N1627" i="6"/>
  <c r="AX1627" i="6" s="1"/>
  <c r="N1628" i="6" s="1"/>
  <c r="AX1628" i="6" s="1"/>
  <c r="N1629" i="6" s="1"/>
  <c r="AX1629" i="6" s="1"/>
  <c r="N1630" i="6" s="1"/>
  <c r="AX1630" i="6" s="1"/>
  <c r="N1631" i="6" s="1"/>
  <c r="AX1631" i="6" s="1"/>
  <c r="N1632" i="6" s="1"/>
  <c r="AX1632" i="6" s="1"/>
  <c r="K1627" i="6"/>
  <c r="H1627" i="6"/>
  <c r="G1627" i="6"/>
  <c r="F1627" i="6"/>
  <c r="E1627" i="6"/>
  <c r="D1627" i="6"/>
  <c r="C1627" i="6"/>
  <c r="B1627" i="6"/>
  <c r="A1627" i="6"/>
  <c r="BN1626" i="6"/>
  <c r="BO1626" i="6" s="1"/>
  <c r="BN1627" i="6" s="1"/>
  <c r="BO1627" i="6" s="1"/>
  <c r="BN1628" i="6" s="1"/>
  <c r="BL1626" i="6"/>
  <c r="AB1627" i="6" s="1"/>
  <c r="BL1627" i="6" s="1"/>
  <c r="BF1626" i="6"/>
  <c r="V1627" i="6" s="1"/>
  <c r="BF1627" i="6" s="1"/>
  <c r="V1628" i="6" s="1"/>
  <c r="BE1626" i="6"/>
  <c r="BD1626" i="6"/>
  <c r="T1627" i="6" s="1"/>
  <c r="BD1627" i="6" s="1"/>
  <c r="T1628" i="6" s="1"/>
  <c r="BD1628" i="6" s="1"/>
  <c r="T1629" i="6" s="1"/>
  <c r="BB1626" i="6"/>
  <c r="R1627" i="6" s="1"/>
  <c r="AX1626" i="6"/>
  <c r="AT1626" i="6"/>
  <c r="AP1626" i="6"/>
  <c r="AO1626" i="6"/>
  <c r="AF1626" i="6"/>
  <c r="AC1626" i="6"/>
  <c r="BM1626" i="6" s="1"/>
  <c r="AC1627" i="6" s="1"/>
  <c r="BM1627" i="6" s="1"/>
  <c r="AC1628" i="6" s="1"/>
  <c r="BM1628" i="6" s="1"/>
  <c r="AC1629" i="6" s="1"/>
  <c r="BM1629" i="6" s="1"/>
  <c r="AC1630" i="6" s="1"/>
  <c r="BM1630" i="6" s="1"/>
  <c r="AC1631" i="6" s="1"/>
  <c r="BM1631" i="6" s="1"/>
  <c r="AC1632" i="6" s="1"/>
  <c r="BM1632" i="6" s="1"/>
  <c r="AC1633" i="6" s="1"/>
  <c r="BM1633" i="6" s="1"/>
  <c r="AC1634" i="6" s="1"/>
  <c r="BM1634" i="6" s="1"/>
  <c r="AC1635" i="6" s="1"/>
  <c r="BM1635" i="6" s="1"/>
  <c r="AB1626" i="6"/>
  <c r="AA1626" i="6"/>
  <c r="BK1626" i="6" s="1"/>
  <c r="AA1627" i="6" s="1"/>
  <c r="Z1626" i="6"/>
  <c r="BJ1626" i="6" s="1"/>
  <c r="Z1627" i="6" s="1"/>
  <c r="BJ1627" i="6" s="1"/>
  <c r="Z1628" i="6" s="1"/>
  <c r="BJ1628" i="6" s="1"/>
  <c r="Z1629" i="6" s="1"/>
  <c r="BJ1629" i="6" s="1"/>
  <c r="Z1630" i="6" s="1"/>
  <c r="BJ1630" i="6" s="1"/>
  <c r="Z1631" i="6" s="1"/>
  <c r="BJ1631" i="6" s="1"/>
  <c r="Z1632" i="6" s="1"/>
  <c r="BJ1632" i="6" s="1"/>
  <c r="Z1633" i="6" s="1"/>
  <c r="BJ1633" i="6" s="1"/>
  <c r="Z1634" i="6" s="1"/>
  <c r="BJ1634" i="6" s="1"/>
  <c r="Z1635" i="6" s="1"/>
  <c r="BJ1635" i="6" s="1"/>
  <c r="Z1636" i="6" s="1"/>
  <c r="BJ1636" i="6" s="1"/>
  <c r="Z1637" i="6" s="1"/>
  <c r="BJ1637" i="6" s="1"/>
  <c r="Z1638" i="6" s="1"/>
  <c r="BJ1638" i="6" s="1"/>
  <c r="Z1639" i="6" s="1"/>
  <c r="BJ1639" i="6" s="1"/>
  <c r="Z1640" i="6" s="1"/>
  <c r="BJ1640" i="6" s="1"/>
  <c r="Z1641" i="6" s="1"/>
  <c r="BJ1641" i="6" s="1"/>
  <c r="Z1642" i="6" s="1"/>
  <c r="BJ1642" i="6" s="1"/>
  <c r="Z1643" i="6" s="1"/>
  <c r="BJ1643" i="6" s="1"/>
  <c r="Z1644" i="6" s="1"/>
  <c r="BJ1644" i="6" s="1"/>
  <c r="Z1645" i="6" s="1"/>
  <c r="BJ1645" i="6" s="1"/>
  <c r="Z1646" i="6" s="1"/>
  <c r="BJ1646" i="6" s="1"/>
  <c r="Z1647" i="6" s="1"/>
  <c r="BJ1647" i="6" s="1"/>
  <c r="Z1648" i="6" s="1"/>
  <c r="BJ1648" i="6" s="1"/>
  <c r="Z1649" i="6" s="1"/>
  <c r="BJ1649" i="6" s="1"/>
  <c r="Z1650" i="6" s="1"/>
  <c r="BJ1650" i="6" s="1"/>
  <c r="Z1651" i="6" s="1"/>
  <c r="BJ1651" i="6" s="1"/>
  <c r="Z1652" i="6" s="1"/>
  <c r="BJ1652" i="6" s="1"/>
  <c r="Z1653" i="6" s="1"/>
  <c r="BJ1653" i="6" s="1"/>
  <c r="Z1654" i="6" s="1"/>
  <c r="BJ1654" i="6" s="1"/>
  <c r="Z1655" i="6" s="1"/>
  <c r="BJ1655" i="6" s="1"/>
  <c r="Z1656" i="6" s="1"/>
  <c r="BJ1656" i="6" s="1"/>
  <c r="Z1657" i="6" s="1"/>
  <c r="BJ1657" i="6" s="1"/>
  <c r="Z1658" i="6" s="1"/>
  <c r="BJ1658" i="6" s="1"/>
  <c r="Z1659" i="6" s="1"/>
  <c r="BJ1659" i="6" s="1"/>
  <c r="Z1660" i="6" s="1"/>
  <c r="BJ1660" i="6" s="1"/>
  <c r="Z1661" i="6" s="1"/>
  <c r="BJ1661" i="6" s="1"/>
  <c r="Y1626" i="6"/>
  <c r="BI1626" i="6" s="1"/>
  <c r="Y1627" i="6" s="1"/>
  <c r="BI1627" i="6" s="1"/>
  <c r="Y1628" i="6" s="1"/>
  <c r="BI1628" i="6" s="1"/>
  <c r="Y1629" i="6" s="1"/>
  <c r="BI1629" i="6" s="1"/>
  <c r="Y1630" i="6" s="1"/>
  <c r="BI1630" i="6" s="1"/>
  <c r="Y1631" i="6" s="1"/>
  <c r="BI1631" i="6" s="1"/>
  <c r="Y1632" i="6" s="1"/>
  <c r="BI1632" i="6" s="1"/>
  <c r="Y1633" i="6" s="1"/>
  <c r="BI1633" i="6" s="1"/>
  <c r="Y1634" i="6" s="1"/>
  <c r="BI1634" i="6" s="1"/>
  <c r="Y1635" i="6" s="1"/>
  <c r="BI1635" i="6" s="1"/>
  <c r="Y1636" i="6" s="1"/>
  <c r="BI1636" i="6" s="1"/>
  <c r="Y1637" i="6" s="1"/>
  <c r="BI1637" i="6" s="1"/>
  <c r="Y1638" i="6" s="1"/>
  <c r="BI1638" i="6" s="1"/>
  <c r="Y1639" i="6" s="1"/>
  <c r="BI1639" i="6" s="1"/>
  <c r="Y1640" i="6" s="1"/>
  <c r="BI1640" i="6" s="1"/>
  <c r="Y1641" i="6" s="1"/>
  <c r="BI1641" i="6" s="1"/>
  <c r="Y1642" i="6" s="1"/>
  <c r="BI1642" i="6" s="1"/>
  <c r="Y1643" i="6" s="1"/>
  <c r="BI1643" i="6" s="1"/>
  <c r="Y1644" i="6" s="1"/>
  <c r="BI1644" i="6" s="1"/>
  <c r="Y1645" i="6" s="1"/>
  <c r="BI1645" i="6" s="1"/>
  <c r="Y1646" i="6" s="1"/>
  <c r="BI1646" i="6" s="1"/>
  <c r="Y1647" i="6" s="1"/>
  <c r="BI1647" i="6" s="1"/>
  <c r="Y1648" i="6" s="1"/>
  <c r="BI1648" i="6" s="1"/>
  <c r="Y1649" i="6" s="1"/>
  <c r="BI1649" i="6" s="1"/>
  <c r="Y1650" i="6" s="1"/>
  <c r="BI1650" i="6" s="1"/>
  <c r="Y1651" i="6" s="1"/>
  <c r="BI1651" i="6" s="1"/>
  <c r="Y1652" i="6" s="1"/>
  <c r="BI1652" i="6" s="1"/>
  <c r="Y1653" i="6" s="1"/>
  <c r="BI1653" i="6" s="1"/>
  <c r="Y1654" i="6" s="1"/>
  <c r="BI1654" i="6" s="1"/>
  <c r="Y1655" i="6" s="1"/>
  <c r="BI1655" i="6" s="1"/>
  <c r="Y1656" i="6" s="1"/>
  <c r="BI1656" i="6" s="1"/>
  <c r="Y1657" i="6" s="1"/>
  <c r="BI1657" i="6" s="1"/>
  <c r="Y1658" i="6" s="1"/>
  <c r="BI1658" i="6" s="1"/>
  <c r="Y1659" i="6" s="1"/>
  <c r="BI1659" i="6" s="1"/>
  <c r="Y1660" i="6" s="1"/>
  <c r="BI1660" i="6" s="1"/>
  <c r="Y1661" i="6" s="1"/>
  <c r="BI1661" i="6" s="1"/>
  <c r="X1626" i="6"/>
  <c r="BH1626" i="6" s="1"/>
  <c r="X1627" i="6" s="1"/>
  <c r="BH1627" i="6" s="1"/>
  <c r="W1626" i="6"/>
  <c r="BG1626" i="6" s="1"/>
  <c r="V1626" i="6"/>
  <c r="U1626" i="6"/>
  <c r="T1626" i="6"/>
  <c r="S1626" i="6"/>
  <c r="BC1626" i="6" s="1"/>
  <c r="S1627" i="6" s="1"/>
  <c r="BC1627" i="6" s="1"/>
  <c r="R1626" i="6"/>
  <c r="Q1626" i="6"/>
  <c r="BA1626" i="6" s="1"/>
  <c r="O1626" i="6"/>
  <c r="AY1626" i="6" s="1"/>
  <c r="O1627" i="6" s="1"/>
  <c r="AY1627" i="6" s="1"/>
  <c r="O1628" i="6" s="1"/>
  <c r="AY1628" i="6" s="1"/>
  <c r="O1629" i="6" s="1"/>
  <c r="AY1629" i="6" s="1"/>
  <c r="O1630" i="6" s="1"/>
  <c r="AY1630" i="6" s="1"/>
  <c r="O1631" i="6" s="1"/>
  <c r="AY1631" i="6" s="1"/>
  <c r="O1632" i="6" s="1"/>
  <c r="AY1632" i="6" s="1"/>
  <c r="O1633" i="6" s="1"/>
  <c r="AY1633" i="6" s="1"/>
  <c r="O1634" i="6" s="1"/>
  <c r="AY1634" i="6" s="1"/>
  <c r="O1635" i="6" s="1"/>
  <c r="AY1635" i="6" s="1"/>
  <c r="O1636" i="6" s="1"/>
  <c r="AY1636" i="6" s="1"/>
  <c r="O1637" i="6" s="1"/>
  <c r="AY1637" i="6" s="1"/>
  <c r="O1638" i="6" s="1"/>
  <c r="AY1638" i="6" s="1"/>
  <c r="O1639" i="6" s="1"/>
  <c r="AY1639" i="6" s="1"/>
  <c r="O1640" i="6" s="1"/>
  <c r="AY1640" i="6" s="1"/>
  <c r="O1641" i="6" s="1"/>
  <c r="AY1641" i="6" s="1"/>
  <c r="O1642" i="6" s="1"/>
  <c r="AY1642" i="6" s="1"/>
  <c r="O1643" i="6" s="1"/>
  <c r="AY1643" i="6" s="1"/>
  <c r="O1644" i="6" s="1"/>
  <c r="AY1644" i="6" s="1"/>
  <c r="O1645" i="6" s="1"/>
  <c r="AY1645" i="6" s="1"/>
  <c r="O1646" i="6" s="1"/>
  <c r="AY1646" i="6" s="1"/>
  <c r="O1647" i="6" s="1"/>
  <c r="AY1647" i="6" s="1"/>
  <c r="O1648" i="6" s="1"/>
  <c r="AY1648" i="6" s="1"/>
  <c r="O1649" i="6" s="1"/>
  <c r="AY1649" i="6" s="1"/>
  <c r="O1650" i="6" s="1"/>
  <c r="AY1650" i="6" s="1"/>
  <c r="O1651" i="6" s="1"/>
  <c r="AY1651" i="6" s="1"/>
  <c r="O1652" i="6" s="1"/>
  <c r="AY1652" i="6" s="1"/>
  <c r="O1653" i="6" s="1"/>
  <c r="AY1653" i="6" s="1"/>
  <c r="O1654" i="6" s="1"/>
  <c r="AY1654" i="6" s="1"/>
  <c r="O1655" i="6" s="1"/>
  <c r="AY1655" i="6" s="1"/>
  <c r="O1656" i="6" s="1"/>
  <c r="AY1656" i="6" s="1"/>
  <c r="O1657" i="6" s="1"/>
  <c r="AY1657" i="6" s="1"/>
  <c r="O1658" i="6" s="1"/>
  <c r="AY1658" i="6" s="1"/>
  <c r="O1659" i="6" s="1"/>
  <c r="AY1659" i="6" s="1"/>
  <c r="O1660" i="6" s="1"/>
  <c r="AY1660" i="6" s="1"/>
  <c r="O1661" i="6" s="1"/>
  <c r="AY1661" i="6" s="1"/>
  <c r="N1626" i="6"/>
  <c r="M1626" i="6"/>
  <c r="AW1626" i="6" s="1"/>
  <c r="M1627" i="6" s="1"/>
  <c r="L1626" i="6"/>
  <c r="H1626" i="6"/>
  <c r="G1626" i="6"/>
  <c r="AV1626" i="6" s="1"/>
  <c r="L1627" i="6" s="1"/>
  <c r="F1626" i="6"/>
  <c r="E1626" i="6"/>
  <c r="D1626" i="6"/>
  <c r="C1626" i="6"/>
  <c r="B1626" i="6"/>
  <c r="A1626" i="6"/>
  <c r="AO1625" i="6"/>
  <c r="AE1625" i="6"/>
  <c r="K1625" i="6"/>
  <c r="J1625" i="6"/>
  <c r="I1625" i="6"/>
  <c r="H1625" i="6"/>
  <c r="G1625" i="6"/>
  <c r="F1625" i="6"/>
  <c r="E1625" i="6"/>
  <c r="D1625" i="6"/>
  <c r="C1625" i="6"/>
  <c r="B1625" i="6"/>
  <c r="A1625" i="6"/>
  <c r="AO1624" i="6"/>
  <c r="J1624" i="6"/>
  <c r="H1624" i="6"/>
  <c r="G1624" i="6"/>
  <c r="F1624" i="6"/>
  <c r="E1624" i="6"/>
  <c r="D1624" i="6"/>
  <c r="C1624" i="6"/>
  <c r="B1624" i="6"/>
  <c r="A1624" i="6"/>
  <c r="AO1623" i="6"/>
  <c r="K1623" i="6"/>
  <c r="I1623" i="6"/>
  <c r="H1623" i="6"/>
  <c r="G1623" i="6"/>
  <c r="F1623" i="6"/>
  <c r="E1623" i="6"/>
  <c r="D1623" i="6"/>
  <c r="C1623" i="6"/>
  <c r="B1623" i="6"/>
  <c r="A1623" i="6"/>
  <c r="AO1622" i="6"/>
  <c r="K1622" i="6"/>
  <c r="H1622" i="6"/>
  <c r="G1622" i="6"/>
  <c r="F1622" i="6"/>
  <c r="E1622" i="6"/>
  <c r="D1622" i="6"/>
  <c r="C1622" i="6"/>
  <c r="B1622" i="6"/>
  <c r="A1622" i="6"/>
  <c r="AO1621" i="6"/>
  <c r="AI1621" i="6"/>
  <c r="J1621" i="6"/>
  <c r="I1621" i="6"/>
  <c r="H1621" i="6"/>
  <c r="G1621" i="6"/>
  <c r="F1621" i="6"/>
  <c r="AE1621" i="6" s="1"/>
  <c r="E1621" i="6"/>
  <c r="D1621" i="6"/>
  <c r="C1621" i="6"/>
  <c r="B1621" i="6"/>
  <c r="A1621" i="6"/>
  <c r="AO1620" i="6"/>
  <c r="K1620" i="6"/>
  <c r="H1620" i="6"/>
  <c r="G1620" i="6"/>
  <c r="F1620" i="6"/>
  <c r="E1620" i="6"/>
  <c r="D1620" i="6"/>
  <c r="C1620" i="6"/>
  <c r="B1620" i="6"/>
  <c r="A1620" i="6"/>
  <c r="AO1619" i="6"/>
  <c r="AE1619" i="6"/>
  <c r="H1619" i="6"/>
  <c r="G1619" i="6"/>
  <c r="F1619" i="6"/>
  <c r="E1619" i="6"/>
  <c r="D1619" i="6"/>
  <c r="C1619" i="6"/>
  <c r="B1619" i="6"/>
  <c r="A1619" i="6"/>
  <c r="AO1618" i="6"/>
  <c r="AE1618" i="6"/>
  <c r="J1618" i="6"/>
  <c r="I1618" i="6"/>
  <c r="H1618" i="6"/>
  <c r="G1618" i="6"/>
  <c r="F1618" i="6"/>
  <c r="AI1618" i="6" s="1"/>
  <c r="E1618" i="6"/>
  <c r="D1618" i="6"/>
  <c r="C1618" i="6"/>
  <c r="B1618" i="6"/>
  <c r="A1618" i="6"/>
  <c r="AO1617" i="6"/>
  <c r="AE1617" i="6"/>
  <c r="K1617" i="6"/>
  <c r="J1617" i="6"/>
  <c r="I1617" i="6"/>
  <c r="H1617" i="6"/>
  <c r="G1617" i="6"/>
  <c r="F1617" i="6"/>
  <c r="E1617" i="6"/>
  <c r="D1617" i="6"/>
  <c r="C1617" i="6"/>
  <c r="B1617" i="6"/>
  <c r="A1617" i="6"/>
  <c r="AO1616" i="6"/>
  <c r="AI1616" i="6"/>
  <c r="K1616" i="6"/>
  <c r="J1616" i="6"/>
  <c r="H1616" i="6"/>
  <c r="G1616" i="6"/>
  <c r="F1616" i="6"/>
  <c r="E1616" i="6"/>
  <c r="D1616" i="6"/>
  <c r="C1616" i="6"/>
  <c r="B1616" i="6"/>
  <c r="A1616" i="6"/>
  <c r="AO1615" i="6"/>
  <c r="H1615" i="6"/>
  <c r="G1615" i="6"/>
  <c r="F1615" i="6"/>
  <c r="E1615" i="6"/>
  <c r="D1615" i="6"/>
  <c r="C1615" i="6"/>
  <c r="B1615" i="6"/>
  <c r="A1615" i="6"/>
  <c r="AO1614" i="6"/>
  <c r="AE1614" i="6"/>
  <c r="H1614" i="6"/>
  <c r="G1614" i="6"/>
  <c r="F1614" i="6"/>
  <c r="E1614" i="6"/>
  <c r="D1614" i="6"/>
  <c r="C1614" i="6"/>
  <c r="B1614" i="6"/>
  <c r="A1614" i="6"/>
  <c r="AO1613" i="6"/>
  <c r="AE1613" i="6"/>
  <c r="K1613" i="6"/>
  <c r="I1613" i="6"/>
  <c r="H1613" i="6"/>
  <c r="G1613" i="6"/>
  <c r="F1613" i="6"/>
  <c r="J1613" i="6" s="1"/>
  <c r="E1613" i="6"/>
  <c r="D1613" i="6"/>
  <c r="C1613" i="6"/>
  <c r="B1613" i="6"/>
  <c r="A1613" i="6"/>
  <c r="AT1612" i="6"/>
  <c r="H1612" i="6"/>
  <c r="G1612" i="6"/>
  <c r="F1612" i="6"/>
  <c r="AE1612" i="6" s="1"/>
  <c r="E1612" i="6"/>
  <c r="D1612" i="6"/>
  <c r="C1612" i="6"/>
  <c r="B1612" i="6"/>
  <c r="A1612" i="6"/>
  <c r="AT1611" i="6"/>
  <c r="AO1611" i="6"/>
  <c r="K1611" i="6"/>
  <c r="J1611" i="6"/>
  <c r="I1611" i="6"/>
  <c r="H1611" i="6"/>
  <c r="G1611" i="6"/>
  <c r="F1611" i="6"/>
  <c r="AE1611" i="6" s="1"/>
  <c r="E1611" i="6"/>
  <c r="D1611" i="6"/>
  <c r="C1611" i="6"/>
  <c r="B1611" i="6"/>
  <c r="A1611" i="6"/>
  <c r="AT1610" i="6"/>
  <c r="AO1610" i="6"/>
  <c r="H1610" i="6"/>
  <c r="G1610" i="6"/>
  <c r="F1610" i="6"/>
  <c r="J1610" i="6" s="1"/>
  <c r="E1610" i="6"/>
  <c r="D1610" i="6"/>
  <c r="C1610" i="6"/>
  <c r="B1610" i="6"/>
  <c r="A1610" i="6"/>
  <c r="AT1609" i="6"/>
  <c r="AO1609" i="6"/>
  <c r="H1609" i="6"/>
  <c r="G1609" i="6"/>
  <c r="F1609" i="6"/>
  <c r="J1609" i="6" s="1"/>
  <c r="E1609" i="6"/>
  <c r="D1609" i="6"/>
  <c r="C1609" i="6"/>
  <c r="B1609" i="6"/>
  <c r="A1609" i="6"/>
  <c r="AT1608" i="6"/>
  <c r="AO1608" i="6"/>
  <c r="AI1608" i="6"/>
  <c r="H1608" i="6"/>
  <c r="G1608" i="6"/>
  <c r="F1608" i="6"/>
  <c r="E1608" i="6"/>
  <c r="D1608" i="6"/>
  <c r="C1608" i="6"/>
  <c r="B1608" i="6"/>
  <c r="A1608" i="6"/>
  <c r="AT1607" i="6"/>
  <c r="AO1607" i="6"/>
  <c r="AF1607" i="6"/>
  <c r="AE1607" i="6"/>
  <c r="J1607" i="6"/>
  <c r="I1607" i="6"/>
  <c r="H1607" i="6"/>
  <c r="G1607" i="6"/>
  <c r="F1607" i="6"/>
  <c r="E1607" i="6"/>
  <c r="D1607" i="6"/>
  <c r="C1607" i="6"/>
  <c r="B1607" i="6"/>
  <c r="A1607" i="6"/>
  <c r="AT1606" i="6"/>
  <c r="AE1606" i="6"/>
  <c r="J1606" i="6"/>
  <c r="I1606" i="6"/>
  <c r="H1606" i="6"/>
  <c r="G1606" i="6"/>
  <c r="F1606" i="6"/>
  <c r="AI1606" i="6" s="1"/>
  <c r="E1606" i="6"/>
  <c r="D1606" i="6"/>
  <c r="C1606" i="6"/>
  <c r="B1606" i="6"/>
  <c r="A1606" i="6"/>
  <c r="AT1605" i="6"/>
  <c r="AO1605" i="6"/>
  <c r="AI1605" i="6"/>
  <c r="AF1605" i="6"/>
  <c r="AE1605" i="6"/>
  <c r="K1605" i="6"/>
  <c r="J1605" i="6"/>
  <c r="I1605" i="6"/>
  <c r="H1605" i="6"/>
  <c r="G1605" i="6"/>
  <c r="F1605" i="6"/>
  <c r="E1605" i="6"/>
  <c r="D1605" i="6"/>
  <c r="C1605" i="6"/>
  <c r="B1605" i="6"/>
  <c r="A1605" i="6"/>
  <c r="AT1604" i="6"/>
  <c r="AO1604" i="6"/>
  <c r="AI1604" i="6"/>
  <c r="AF1604" i="6"/>
  <c r="K1604" i="6"/>
  <c r="J1604" i="6"/>
  <c r="I1604" i="6"/>
  <c r="H1604" i="6"/>
  <c r="G1604" i="6"/>
  <c r="F1604" i="6"/>
  <c r="AE1604" i="6" s="1"/>
  <c r="E1604" i="6"/>
  <c r="D1604" i="6"/>
  <c r="C1604" i="6"/>
  <c r="B1604" i="6"/>
  <c r="A1604" i="6"/>
  <c r="AT1603" i="6"/>
  <c r="AO1603" i="6"/>
  <c r="AF1603" i="6"/>
  <c r="AE1603" i="6"/>
  <c r="I1603" i="6"/>
  <c r="H1603" i="6"/>
  <c r="G1603" i="6"/>
  <c r="F1603" i="6"/>
  <c r="E1603" i="6"/>
  <c r="D1603" i="6"/>
  <c r="C1603" i="6"/>
  <c r="B1603" i="6"/>
  <c r="A1603" i="6"/>
  <c r="AT1602" i="6"/>
  <c r="AO1602" i="6"/>
  <c r="AE1602" i="6"/>
  <c r="K1602" i="6"/>
  <c r="J1602" i="6"/>
  <c r="H1602" i="6"/>
  <c r="G1602" i="6"/>
  <c r="F1602" i="6"/>
  <c r="E1602" i="6"/>
  <c r="D1602" i="6"/>
  <c r="C1602" i="6"/>
  <c r="B1602" i="6"/>
  <c r="A1602" i="6"/>
  <c r="AT1601" i="6"/>
  <c r="H1601" i="6"/>
  <c r="G1601" i="6"/>
  <c r="F1601" i="6"/>
  <c r="E1601" i="6"/>
  <c r="D1601" i="6"/>
  <c r="C1601" i="6"/>
  <c r="B1601" i="6"/>
  <c r="A1601" i="6"/>
  <c r="AT1600" i="6"/>
  <c r="AE1600" i="6"/>
  <c r="J1600" i="6"/>
  <c r="H1600" i="6"/>
  <c r="G1600" i="6"/>
  <c r="F1600" i="6"/>
  <c r="K1600" i="6" s="1"/>
  <c r="E1600" i="6"/>
  <c r="D1600" i="6"/>
  <c r="C1600" i="6"/>
  <c r="B1600" i="6"/>
  <c r="A1600" i="6"/>
  <c r="AT1599" i="6"/>
  <c r="AO1599" i="6"/>
  <c r="AI1599" i="6"/>
  <c r="AF1599" i="6"/>
  <c r="AE1599" i="6"/>
  <c r="J1599" i="6"/>
  <c r="I1599" i="6"/>
  <c r="H1599" i="6"/>
  <c r="G1599" i="6"/>
  <c r="F1599" i="6"/>
  <c r="K1599" i="6" s="1"/>
  <c r="E1599" i="6"/>
  <c r="D1599" i="6"/>
  <c r="C1599" i="6"/>
  <c r="B1599" i="6"/>
  <c r="A1599" i="6"/>
  <c r="AT1598" i="6"/>
  <c r="AO1598" i="6"/>
  <c r="H1598" i="6"/>
  <c r="G1598" i="6"/>
  <c r="F1598" i="6"/>
  <c r="E1598" i="6"/>
  <c r="D1598" i="6"/>
  <c r="C1598" i="6"/>
  <c r="B1598" i="6"/>
  <c r="A1598" i="6"/>
  <c r="AT1597" i="6"/>
  <c r="AO1597" i="6"/>
  <c r="AF1597" i="6"/>
  <c r="K1597" i="6"/>
  <c r="I1597" i="6"/>
  <c r="H1597" i="6"/>
  <c r="G1597" i="6"/>
  <c r="F1597" i="6"/>
  <c r="AI1597" i="6" s="1"/>
  <c r="E1597" i="6"/>
  <c r="D1597" i="6"/>
  <c r="C1597" i="6"/>
  <c r="B1597" i="6"/>
  <c r="A1597" i="6"/>
  <c r="AT1596" i="6"/>
  <c r="AO1596" i="6"/>
  <c r="AF1596" i="6"/>
  <c r="I1596" i="6"/>
  <c r="H1596" i="6"/>
  <c r="G1596" i="6"/>
  <c r="F1596" i="6"/>
  <c r="E1596" i="6"/>
  <c r="D1596" i="6"/>
  <c r="C1596" i="6"/>
  <c r="B1596" i="6"/>
  <c r="A1596" i="6"/>
  <c r="AT1595" i="6"/>
  <c r="H1595" i="6"/>
  <c r="G1595" i="6"/>
  <c r="F1595" i="6"/>
  <c r="E1595" i="6"/>
  <c r="D1595" i="6"/>
  <c r="C1595" i="6"/>
  <c r="B1595" i="6"/>
  <c r="A1595" i="6"/>
  <c r="AT1594" i="6"/>
  <c r="AI1594" i="6"/>
  <c r="J1594" i="6"/>
  <c r="H1594" i="6"/>
  <c r="G1594" i="6"/>
  <c r="F1594" i="6"/>
  <c r="E1594" i="6"/>
  <c r="D1594" i="6"/>
  <c r="C1594" i="6"/>
  <c r="B1594" i="6"/>
  <c r="A1594" i="6"/>
  <c r="AT1593" i="6"/>
  <c r="AP1593" i="6"/>
  <c r="AO1593" i="6"/>
  <c r="I1593" i="6"/>
  <c r="H1593" i="6"/>
  <c r="G1593" i="6"/>
  <c r="F1593" i="6"/>
  <c r="E1593" i="6"/>
  <c r="D1593" i="6"/>
  <c r="C1593" i="6"/>
  <c r="B1593" i="6"/>
  <c r="A1593" i="6"/>
  <c r="AT1592" i="6"/>
  <c r="AO1592" i="6"/>
  <c r="AF1592" i="6"/>
  <c r="AE1592" i="6"/>
  <c r="K1592" i="6"/>
  <c r="I1592" i="6"/>
  <c r="H1592" i="6"/>
  <c r="G1592" i="6"/>
  <c r="AV1592" i="6" s="1"/>
  <c r="L1593" i="6" s="1"/>
  <c r="F1592" i="6"/>
  <c r="E1592" i="6"/>
  <c r="D1592" i="6"/>
  <c r="C1592" i="6"/>
  <c r="B1592" i="6"/>
  <c r="A1592" i="6"/>
  <c r="AT1591" i="6"/>
  <c r="AP1591" i="6"/>
  <c r="AO1591" i="6"/>
  <c r="AF1591" i="6"/>
  <c r="N1591" i="6"/>
  <c r="AX1591" i="6" s="1"/>
  <c r="N1592" i="6" s="1"/>
  <c r="AX1592" i="6" s="1"/>
  <c r="N1593" i="6" s="1"/>
  <c r="AX1593" i="6" s="1"/>
  <c r="N1594" i="6" s="1"/>
  <c r="AX1594" i="6" s="1"/>
  <c r="N1595" i="6" s="1"/>
  <c r="AX1595" i="6" s="1"/>
  <c r="N1596" i="6" s="1"/>
  <c r="AX1596" i="6" s="1"/>
  <c r="H1591" i="6"/>
  <c r="G1591" i="6"/>
  <c r="AV1591" i="6" s="1"/>
  <c r="L1592" i="6" s="1"/>
  <c r="F1591" i="6"/>
  <c r="E1591" i="6"/>
  <c r="D1591" i="6"/>
  <c r="C1591" i="6"/>
  <c r="B1591" i="6"/>
  <c r="A1591" i="6"/>
  <c r="BN1590" i="6"/>
  <c r="BO1590" i="6" s="1"/>
  <c r="BN1591" i="6" s="1"/>
  <c r="BO1591" i="6" s="1"/>
  <c r="BN1592" i="6" s="1"/>
  <c r="BO1592" i="6" s="1"/>
  <c r="BN1593" i="6" s="1"/>
  <c r="BO1593" i="6" s="1"/>
  <c r="BN1594" i="6" s="1"/>
  <c r="BO1594" i="6" s="1"/>
  <c r="BN1595" i="6" s="1"/>
  <c r="BO1595" i="6" s="1"/>
  <c r="BN1596" i="6" s="1"/>
  <c r="BO1596" i="6" s="1"/>
  <c r="BN1597" i="6" s="1"/>
  <c r="BI1590" i="6"/>
  <c r="Y1591" i="6" s="1"/>
  <c r="BI1591" i="6" s="1"/>
  <c r="Y1592" i="6" s="1"/>
  <c r="BI1592" i="6" s="1"/>
  <c r="Y1593" i="6" s="1"/>
  <c r="BI1593" i="6" s="1"/>
  <c r="Y1594" i="6" s="1"/>
  <c r="BI1594" i="6" s="1"/>
  <c r="Y1595" i="6" s="1"/>
  <c r="BI1595" i="6" s="1"/>
  <c r="Y1596" i="6" s="1"/>
  <c r="BI1596" i="6" s="1"/>
  <c r="Y1597" i="6" s="1"/>
  <c r="BI1597" i="6" s="1"/>
  <c r="Y1598" i="6" s="1"/>
  <c r="BI1598" i="6" s="1"/>
  <c r="Y1599" i="6" s="1"/>
  <c r="BI1599" i="6" s="1"/>
  <c r="Y1600" i="6" s="1"/>
  <c r="BI1600" i="6" s="1"/>
  <c r="Y1601" i="6" s="1"/>
  <c r="BI1601" i="6" s="1"/>
  <c r="Y1602" i="6" s="1"/>
  <c r="BI1602" i="6" s="1"/>
  <c r="Y1603" i="6" s="1"/>
  <c r="BI1603" i="6" s="1"/>
  <c r="Y1604" i="6" s="1"/>
  <c r="BI1604" i="6" s="1"/>
  <c r="Y1605" i="6" s="1"/>
  <c r="BI1605" i="6" s="1"/>
  <c r="Y1606" i="6" s="1"/>
  <c r="BI1606" i="6" s="1"/>
  <c r="Y1607" i="6" s="1"/>
  <c r="BI1607" i="6" s="1"/>
  <c r="Y1608" i="6" s="1"/>
  <c r="BI1608" i="6" s="1"/>
  <c r="Y1609" i="6" s="1"/>
  <c r="BI1609" i="6" s="1"/>
  <c r="Y1610" i="6" s="1"/>
  <c r="BI1610" i="6" s="1"/>
  <c r="Y1611" i="6" s="1"/>
  <c r="BI1611" i="6" s="1"/>
  <c r="Y1612" i="6" s="1"/>
  <c r="BI1612" i="6" s="1"/>
  <c r="Y1613" i="6" s="1"/>
  <c r="BI1613" i="6" s="1"/>
  <c r="Y1614" i="6" s="1"/>
  <c r="BI1614" i="6" s="1"/>
  <c r="Y1615" i="6" s="1"/>
  <c r="BI1615" i="6" s="1"/>
  <c r="Y1616" i="6" s="1"/>
  <c r="BI1616" i="6" s="1"/>
  <c r="Y1617" i="6" s="1"/>
  <c r="BI1617" i="6" s="1"/>
  <c r="Y1618" i="6" s="1"/>
  <c r="BI1618" i="6" s="1"/>
  <c r="Y1619" i="6" s="1"/>
  <c r="BI1619" i="6" s="1"/>
  <c r="Y1620" i="6" s="1"/>
  <c r="BI1620" i="6" s="1"/>
  <c r="Y1621" i="6" s="1"/>
  <c r="BI1621" i="6" s="1"/>
  <c r="Y1622" i="6" s="1"/>
  <c r="BI1622" i="6" s="1"/>
  <c r="Y1623" i="6" s="1"/>
  <c r="BI1623" i="6" s="1"/>
  <c r="Y1624" i="6" s="1"/>
  <c r="BI1624" i="6" s="1"/>
  <c r="Y1625" i="6" s="1"/>
  <c r="BI1625" i="6" s="1"/>
  <c r="BG1590" i="6"/>
  <c r="W1591" i="6" s="1"/>
  <c r="BG1591" i="6" s="1"/>
  <c r="W1592" i="6" s="1"/>
  <c r="BG1592" i="6" s="1"/>
  <c r="W1593" i="6" s="1"/>
  <c r="BG1593" i="6" s="1"/>
  <c r="W1594" i="6" s="1"/>
  <c r="BG1594" i="6" s="1"/>
  <c r="W1595" i="6" s="1"/>
  <c r="BG1595" i="6" s="1"/>
  <c r="W1596" i="6" s="1"/>
  <c r="BG1596" i="6" s="1"/>
  <c r="W1597" i="6" s="1"/>
  <c r="BG1597" i="6" s="1"/>
  <c r="W1598" i="6" s="1"/>
  <c r="BG1598" i="6" s="1"/>
  <c r="W1599" i="6" s="1"/>
  <c r="BG1599" i="6" s="1"/>
  <c r="W1600" i="6" s="1"/>
  <c r="BE1590" i="6"/>
  <c r="AT1590" i="6"/>
  <c r="AO1590" i="6"/>
  <c r="AI1590" i="6"/>
  <c r="AF1590" i="6"/>
  <c r="AC1590" i="6"/>
  <c r="BM1590" i="6" s="1"/>
  <c r="AC1591" i="6" s="1"/>
  <c r="BM1591" i="6" s="1"/>
  <c r="AC1592" i="6" s="1"/>
  <c r="BM1592" i="6" s="1"/>
  <c r="AC1593" i="6" s="1"/>
  <c r="BM1593" i="6" s="1"/>
  <c r="AC1594" i="6" s="1"/>
  <c r="BM1594" i="6" s="1"/>
  <c r="AC1595" i="6" s="1"/>
  <c r="BM1595" i="6" s="1"/>
  <c r="AC1596" i="6" s="1"/>
  <c r="BM1596" i="6" s="1"/>
  <c r="AC1597" i="6" s="1"/>
  <c r="BM1597" i="6" s="1"/>
  <c r="AC1598" i="6" s="1"/>
  <c r="BM1598" i="6" s="1"/>
  <c r="AC1599" i="6" s="1"/>
  <c r="BM1599" i="6" s="1"/>
  <c r="AC1600" i="6" s="1"/>
  <c r="BM1600" i="6" s="1"/>
  <c r="AC1601" i="6" s="1"/>
  <c r="BM1601" i="6" s="1"/>
  <c r="AC1602" i="6" s="1"/>
  <c r="BM1602" i="6" s="1"/>
  <c r="AC1603" i="6" s="1"/>
  <c r="BM1603" i="6" s="1"/>
  <c r="AC1604" i="6" s="1"/>
  <c r="BM1604" i="6" s="1"/>
  <c r="AC1605" i="6" s="1"/>
  <c r="BM1605" i="6" s="1"/>
  <c r="AC1606" i="6" s="1"/>
  <c r="BM1606" i="6" s="1"/>
  <c r="AC1607" i="6" s="1"/>
  <c r="BM1607" i="6" s="1"/>
  <c r="AC1608" i="6" s="1"/>
  <c r="BM1608" i="6" s="1"/>
  <c r="AC1609" i="6" s="1"/>
  <c r="BM1609" i="6" s="1"/>
  <c r="AC1610" i="6" s="1"/>
  <c r="BM1610" i="6" s="1"/>
  <c r="AC1611" i="6" s="1"/>
  <c r="BM1611" i="6" s="1"/>
  <c r="AC1612" i="6" s="1"/>
  <c r="BM1612" i="6" s="1"/>
  <c r="AC1613" i="6" s="1"/>
  <c r="BM1613" i="6" s="1"/>
  <c r="AC1614" i="6" s="1"/>
  <c r="BM1614" i="6" s="1"/>
  <c r="AC1615" i="6" s="1"/>
  <c r="BM1615" i="6" s="1"/>
  <c r="AC1616" i="6" s="1"/>
  <c r="BM1616" i="6" s="1"/>
  <c r="AC1617" i="6" s="1"/>
  <c r="BM1617" i="6" s="1"/>
  <c r="AC1618" i="6" s="1"/>
  <c r="BM1618" i="6" s="1"/>
  <c r="AC1619" i="6" s="1"/>
  <c r="BM1619" i="6" s="1"/>
  <c r="AC1620" i="6" s="1"/>
  <c r="BM1620" i="6" s="1"/>
  <c r="AC1621" i="6" s="1"/>
  <c r="BM1621" i="6" s="1"/>
  <c r="AC1622" i="6" s="1"/>
  <c r="BM1622" i="6" s="1"/>
  <c r="AC1623" i="6" s="1"/>
  <c r="BM1623" i="6" s="1"/>
  <c r="AC1624" i="6" s="1"/>
  <c r="BM1624" i="6" s="1"/>
  <c r="AC1625" i="6" s="1"/>
  <c r="BM1625" i="6" s="1"/>
  <c r="AB1590" i="6"/>
  <c r="BL1590" i="6" s="1"/>
  <c r="AB1591" i="6" s="1"/>
  <c r="BL1591" i="6" s="1"/>
  <c r="AB1592" i="6" s="1"/>
  <c r="BL1592" i="6" s="1"/>
  <c r="AB1593" i="6" s="1"/>
  <c r="BL1593" i="6" s="1"/>
  <c r="AB1594" i="6" s="1"/>
  <c r="BL1594" i="6" s="1"/>
  <c r="AB1595" i="6" s="1"/>
  <c r="BL1595" i="6" s="1"/>
  <c r="AB1596" i="6" s="1"/>
  <c r="BL1596" i="6" s="1"/>
  <c r="AB1597" i="6" s="1"/>
  <c r="BL1597" i="6" s="1"/>
  <c r="AB1598" i="6" s="1"/>
  <c r="BL1598" i="6" s="1"/>
  <c r="AB1599" i="6" s="1"/>
  <c r="BL1599" i="6" s="1"/>
  <c r="AB1600" i="6" s="1"/>
  <c r="BL1600" i="6" s="1"/>
  <c r="AB1601" i="6" s="1"/>
  <c r="BL1601" i="6" s="1"/>
  <c r="AB1602" i="6" s="1"/>
  <c r="BL1602" i="6" s="1"/>
  <c r="AB1603" i="6" s="1"/>
  <c r="BL1603" i="6" s="1"/>
  <c r="AB1604" i="6" s="1"/>
  <c r="BL1604" i="6" s="1"/>
  <c r="AB1605" i="6" s="1"/>
  <c r="BL1605" i="6" s="1"/>
  <c r="AB1606" i="6" s="1"/>
  <c r="BL1606" i="6" s="1"/>
  <c r="AB1607" i="6" s="1"/>
  <c r="BL1607" i="6" s="1"/>
  <c r="AB1608" i="6" s="1"/>
  <c r="BL1608" i="6" s="1"/>
  <c r="AB1609" i="6" s="1"/>
  <c r="BL1609" i="6" s="1"/>
  <c r="AB1610" i="6" s="1"/>
  <c r="BL1610" i="6" s="1"/>
  <c r="AB1611" i="6" s="1"/>
  <c r="BL1611" i="6" s="1"/>
  <c r="AB1612" i="6" s="1"/>
  <c r="BL1612" i="6" s="1"/>
  <c r="AB1613" i="6" s="1"/>
  <c r="BL1613" i="6" s="1"/>
  <c r="AB1614" i="6" s="1"/>
  <c r="BL1614" i="6" s="1"/>
  <c r="AB1615" i="6" s="1"/>
  <c r="BL1615" i="6" s="1"/>
  <c r="AB1616" i="6" s="1"/>
  <c r="BL1616" i="6" s="1"/>
  <c r="AB1617" i="6" s="1"/>
  <c r="BL1617" i="6" s="1"/>
  <c r="AB1618" i="6" s="1"/>
  <c r="BL1618" i="6" s="1"/>
  <c r="AB1619" i="6" s="1"/>
  <c r="BL1619" i="6" s="1"/>
  <c r="AB1620" i="6" s="1"/>
  <c r="BL1620" i="6" s="1"/>
  <c r="AB1621" i="6" s="1"/>
  <c r="BL1621" i="6" s="1"/>
  <c r="AB1622" i="6" s="1"/>
  <c r="BL1622" i="6" s="1"/>
  <c r="AB1623" i="6" s="1"/>
  <c r="BL1623" i="6" s="1"/>
  <c r="AB1624" i="6" s="1"/>
  <c r="BL1624" i="6" s="1"/>
  <c r="AB1625" i="6" s="1"/>
  <c r="BL1625" i="6" s="1"/>
  <c r="AA1590" i="6"/>
  <c r="BK1590" i="6" s="1"/>
  <c r="AA1591" i="6" s="1"/>
  <c r="BK1591" i="6" s="1"/>
  <c r="AA1592" i="6" s="1"/>
  <c r="BK1592" i="6" s="1"/>
  <c r="AA1593" i="6" s="1"/>
  <c r="BK1593" i="6" s="1"/>
  <c r="AA1594" i="6" s="1"/>
  <c r="BK1594" i="6" s="1"/>
  <c r="AA1595" i="6" s="1"/>
  <c r="BK1595" i="6" s="1"/>
  <c r="AA1596" i="6" s="1"/>
  <c r="BK1596" i="6" s="1"/>
  <c r="AA1597" i="6" s="1"/>
  <c r="BK1597" i="6" s="1"/>
  <c r="AA1598" i="6" s="1"/>
  <c r="BK1598" i="6" s="1"/>
  <c r="AA1599" i="6" s="1"/>
  <c r="BK1599" i="6" s="1"/>
  <c r="AA1600" i="6" s="1"/>
  <c r="BK1600" i="6" s="1"/>
  <c r="AA1601" i="6" s="1"/>
  <c r="BK1601" i="6" s="1"/>
  <c r="AA1602" i="6" s="1"/>
  <c r="BK1602" i="6" s="1"/>
  <c r="AA1603" i="6" s="1"/>
  <c r="BK1603" i="6" s="1"/>
  <c r="AA1604" i="6" s="1"/>
  <c r="BK1604" i="6" s="1"/>
  <c r="AA1605" i="6" s="1"/>
  <c r="BK1605" i="6" s="1"/>
  <c r="AA1606" i="6" s="1"/>
  <c r="BK1606" i="6" s="1"/>
  <c r="AA1607" i="6" s="1"/>
  <c r="BK1607" i="6" s="1"/>
  <c r="AA1608" i="6" s="1"/>
  <c r="BK1608" i="6" s="1"/>
  <c r="AA1609" i="6" s="1"/>
  <c r="BK1609" i="6" s="1"/>
  <c r="AA1610" i="6" s="1"/>
  <c r="BK1610" i="6" s="1"/>
  <c r="AA1611" i="6" s="1"/>
  <c r="BK1611" i="6" s="1"/>
  <c r="AA1612" i="6" s="1"/>
  <c r="BK1612" i="6" s="1"/>
  <c r="AA1613" i="6" s="1"/>
  <c r="BK1613" i="6" s="1"/>
  <c r="AA1614" i="6" s="1"/>
  <c r="BK1614" i="6" s="1"/>
  <c r="AA1615" i="6" s="1"/>
  <c r="BK1615" i="6" s="1"/>
  <c r="AA1616" i="6" s="1"/>
  <c r="BK1616" i="6" s="1"/>
  <c r="AA1617" i="6" s="1"/>
  <c r="BK1617" i="6" s="1"/>
  <c r="AA1618" i="6" s="1"/>
  <c r="BK1618" i="6" s="1"/>
  <c r="AA1619" i="6" s="1"/>
  <c r="BK1619" i="6" s="1"/>
  <c r="AA1620" i="6" s="1"/>
  <c r="BK1620" i="6" s="1"/>
  <c r="AA1621" i="6" s="1"/>
  <c r="BK1621" i="6" s="1"/>
  <c r="AA1622" i="6" s="1"/>
  <c r="BK1622" i="6" s="1"/>
  <c r="AA1623" i="6" s="1"/>
  <c r="BK1623" i="6" s="1"/>
  <c r="AA1624" i="6" s="1"/>
  <c r="BK1624" i="6" s="1"/>
  <c r="AA1625" i="6" s="1"/>
  <c r="BK1625" i="6" s="1"/>
  <c r="Z1590" i="6"/>
  <c r="BJ1590" i="6" s="1"/>
  <c r="Z1591" i="6" s="1"/>
  <c r="BJ1591" i="6" s="1"/>
  <c r="Z1592" i="6" s="1"/>
  <c r="BJ1592" i="6" s="1"/>
  <c r="Z1593" i="6" s="1"/>
  <c r="BJ1593" i="6" s="1"/>
  <c r="Z1594" i="6" s="1"/>
  <c r="BJ1594" i="6" s="1"/>
  <c r="Z1595" i="6" s="1"/>
  <c r="BJ1595" i="6" s="1"/>
  <c r="Z1596" i="6" s="1"/>
  <c r="BJ1596" i="6" s="1"/>
  <c r="Z1597" i="6" s="1"/>
  <c r="BJ1597" i="6" s="1"/>
  <c r="Z1598" i="6" s="1"/>
  <c r="BJ1598" i="6" s="1"/>
  <c r="Z1599" i="6" s="1"/>
  <c r="BJ1599" i="6" s="1"/>
  <c r="Z1600" i="6" s="1"/>
  <c r="BJ1600" i="6" s="1"/>
  <c r="Z1601" i="6" s="1"/>
  <c r="BJ1601" i="6" s="1"/>
  <c r="Z1602" i="6" s="1"/>
  <c r="BJ1602" i="6" s="1"/>
  <c r="Z1603" i="6" s="1"/>
  <c r="BJ1603" i="6" s="1"/>
  <c r="Z1604" i="6" s="1"/>
  <c r="BJ1604" i="6" s="1"/>
  <c r="Z1605" i="6" s="1"/>
  <c r="BJ1605" i="6" s="1"/>
  <c r="Z1606" i="6" s="1"/>
  <c r="BJ1606" i="6" s="1"/>
  <c r="Z1607" i="6" s="1"/>
  <c r="BJ1607" i="6" s="1"/>
  <c r="Z1608" i="6" s="1"/>
  <c r="BJ1608" i="6" s="1"/>
  <c r="Z1609" i="6" s="1"/>
  <c r="BJ1609" i="6" s="1"/>
  <c r="Z1610" i="6" s="1"/>
  <c r="BJ1610" i="6" s="1"/>
  <c r="Z1611" i="6" s="1"/>
  <c r="BJ1611" i="6" s="1"/>
  <c r="Z1612" i="6" s="1"/>
  <c r="BJ1612" i="6" s="1"/>
  <c r="Z1613" i="6" s="1"/>
  <c r="BJ1613" i="6" s="1"/>
  <c r="Z1614" i="6" s="1"/>
  <c r="BJ1614" i="6" s="1"/>
  <c r="Z1615" i="6" s="1"/>
  <c r="BJ1615" i="6" s="1"/>
  <c r="Z1616" i="6" s="1"/>
  <c r="BJ1616" i="6" s="1"/>
  <c r="Z1617" i="6" s="1"/>
  <c r="BJ1617" i="6" s="1"/>
  <c r="Z1618" i="6" s="1"/>
  <c r="BJ1618" i="6" s="1"/>
  <c r="Z1619" i="6" s="1"/>
  <c r="BJ1619" i="6" s="1"/>
  <c r="Z1620" i="6" s="1"/>
  <c r="BJ1620" i="6" s="1"/>
  <c r="Z1621" i="6" s="1"/>
  <c r="BJ1621" i="6" s="1"/>
  <c r="Z1622" i="6" s="1"/>
  <c r="BJ1622" i="6" s="1"/>
  <c r="Z1623" i="6" s="1"/>
  <c r="BJ1623" i="6" s="1"/>
  <c r="Z1624" i="6" s="1"/>
  <c r="BJ1624" i="6" s="1"/>
  <c r="Z1625" i="6" s="1"/>
  <c r="BJ1625" i="6" s="1"/>
  <c r="Y1590" i="6"/>
  <c r="X1590" i="6"/>
  <c r="BH1590" i="6" s="1"/>
  <c r="X1591" i="6" s="1"/>
  <c r="BH1591" i="6" s="1"/>
  <c r="X1592" i="6" s="1"/>
  <c r="BH1592" i="6" s="1"/>
  <c r="X1593" i="6" s="1"/>
  <c r="BH1593" i="6" s="1"/>
  <c r="X1594" i="6" s="1"/>
  <c r="BH1594" i="6" s="1"/>
  <c r="X1595" i="6" s="1"/>
  <c r="BH1595" i="6" s="1"/>
  <c r="X1596" i="6" s="1"/>
  <c r="BH1596" i="6" s="1"/>
  <c r="X1597" i="6" s="1"/>
  <c r="BH1597" i="6" s="1"/>
  <c r="X1598" i="6" s="1"/>
  <c r="BH1598" i="6" s="1"/>
  <c r="X1599" i="6" s="1"/>
  <c r="W1590" i="6"/>
  <c r="V1590" i="6"/>
  <c r="BF1590" i="6" s="1"/>
  <c r="V1591" i="6" s="1"/>
  <c r="BF1591" i="6" s="1"/>
  <c r="V1592" i="6" s="1"/>
  <c r="BF1592" i="6" s="1"/>
  <c r="V1593" i="6" s="1"/>
  <c r="BF1593" i="6" s="1"/>
  <c r="V1594" i="6" s="1"/>
  <c r="BF1594" i="6" s="1"/>
  <c r="V1595" i="6" s="1"/>
  <c r="BF1595" i="6" s="1"/>
  <c r="V1596" i="6" s="1"/>
  <c r="BF1596" i="6" s="1"/>
  <c r="V1597" i="6" s="1"/>
  <c r="BF1597" i="6" s="1"/>
  <c r="V1598" i="6" s="1"/>
  <c r="BF1598" i="6" s="1"/>
  <c r="V1599" i="6" s="1"/>
  <c r="BF1599" i="6" s="1"/>
  <c r="V1600" i="6" s="1"/>
  <c r="BF1600" i="6" s="1"/>
  <c r="V1601" i="6" s="1"/>
  <c r="BF1601" i="6" s="1"/>
  <c r="V1602" i="6" s="1"/>
  <c r="BF1602" i="6" s="1"/>
  <c r="V1603" i="6" s="1"/>
  <c r="BF1603" i="6" s="1"/>
  <c r="V1604" i="6" s="1"/>
  <c r="BF1604" i="6" s="1"/>
  <c r="V1605" i="6" s="1"/>
  <c r="BF1605" i="6" s="1"/>
  <c r="V1606" i="6" s="1"/>
  <c r="BF1606" i="6" s="1"/>
  <c r="V1607" i="6" s="1"/>
  <c r="BF1607" i="6" s="1"/>
  <c r="V1608" i="6" s="1"/>
  <c r="BF1608" i="6" s="1"/>
  <c r="V1609" i="6" s="1"/>
  <c r="BF1609" i="6" s="1"/>
  <c r="V1610" i="6" s="1"/>
  <c r="BF1610" i="6" s="1"/>
  <c r="V1611" i="6" s="1"/>
  <c r="BF1611" i="6" s="1"/>
  <c r="V1612" i="6" s="1"/>
  <c r="BF1612" i="6" s="1"/>
  <c r="V1613" i="6" s="1"/>
  <c r="U1590" i="6"/>
  <c r="T1590" i="6"/>
  <c r="BD1590" i="6" s="1"/>
  <c r="T1591" i="6" s="1"/>
  <c r="BD1591" i="6" s="1"/>
  <c r="T1592" i="6" s="1"/>
  <c r="BD1592" i="6" s="1"/>
  <c r="T1593" i="6" s="1"/>
  <c r="BD1593" i="6" s="1"/>
  <c r="T1594" i="6" s="1"/>
  <c r="S1590" i="6"/>
  <c r="BC1590" i="6" s="1"/>
  <c r="S1591" i="6" s="1"/>
  <c r="BC1591" i="6" s="1"/>
  <c r="S1592" i="6" s="1"/>
  <c r="BC1592" i="6" s="1"/>
  <c r="S1593" i="6" s="1"/>
  <c r="BC1593" i="6" s="1"/>
  <c r="S1594" i="6" s="1"/>
  <c r="BC1594" i="6" s="1"/>
  <c r="S1595" i="6" s="1"/>
  <c r="BC1595" i="6" s="1"/>
  <c r="S1596" i="6" s="1"/>
  <c r="BC1596" i="6" s="1"/>
  <c r="S1597" i="6" s="1"/>
  <c r="BC1597" i="6" s="1"/>
  <c r="S1598" i="6" s="1"/>
  <c r="BC1598" i="6" s="1"/>
  <c r="S1599" i="6" s="1"/>
  <c r="BC1599" i="6" s="1"/>
  <c r="S1600" i="6" s="1"/>
  <c r="BC1600" i="6" s="1"/>
  <c r="S1601" i="6" s="1"/>
  <c r="BC1601" i="6" s="1"/>
  <c r="S1602" i="6" s="1"/>
  <c r="BC1602" i="6" s="1"/>
  <c r="S1603" i="6" s="1"/>
  <c r="BC1603" i="6" s="1"/>
  <c r="S1604" i="6" s="1"/>
  <c r="BC1604" i="6" s="1"/>
  <c r="S1605" i="6" s="1"/>
  <c r="BC1605" i="6" s="1"/>
  <c r="S1606" i="6" s="1"/>
  <c r="BC1606" i="6" s="1"/>
  <c r="S1607" i="6" s="1"/>
  <c r="BC1607" i="6" s="1"/>
  <c r="S1608" i="6" s="1"/>
  <c r="BC1608" i="6" s="1"/>
  <c r="S1609" i="6" s="1"/>
  <c r="BC1609" i="6" s="1"/>
  <c r="S1610" i="6" s="1"/>
  <c r="BC1610" i="6" s="1"/>
  <c r="S1611" i="6" s="1"/>
  <c r="BC1611" i="6" s="1"/>
  <c r="S1612" i="6" s="1"/>
  <c r="BC1612" i="6" s="1"/>
  <c r="S1613" i="6" s="1"/>
  <c r="BC1613" i="6" s="1"/>
  <c r="S1614" i="6" s="1"/>
  <c r="BC1614" i="6" s="1"/>
  <c r="S1615" i="6" s="1"/>
  <c r="BC1615" i="6" s="1"/>
  <c r="S1616" i="6" s="1"/>
  <c r="BC1616" i="6" s="1"/>
  <c r="S1617" i="6" s="1"/>
  <c r="BC1617" i="6" s="1"/>
  <c r="S1618" i="6" s="1"/>
  <c r="BC1618" i="6" s="1"/>
  <c r="S1619" i="6" s="1"/>
  <c r="BC1619" i="6" s="1"/>
  <c r="S1620" i="6" s="1"/>
  <c r="BC1620" i="6" s="1"/>
  <c r="S1621" i="6" s="1"/>
  <c r="BC1621" i="6" s="1"/>
  <c r="S1622" i="6" s="1"/>
  <c r="BC1622" i="6" s="1"/>
  <c r="S1623" i="6" s="1"/>
  <c r="BC1623" i="6" s="1"/>
  <c r="S1624" i="6" s="1"/>
  <c r="BC1624" i="6" s="1"/>
  <c r="S1625" i="6" s="1"/>
  <c r="BC1625" i="6" s="1"/>
  <c r="R1590" i="6"/>
  <c r="BB1590" i="6" s="1"/>
  <c r="R1591" i="6" s="1"/>
  <c r="BB1591" i="6" s="1"/>
  <c r="R1592" i="6" s="1"/>
  <c r="BB1592" i="6" s="1"/>
  <c r="R1593" i="6" s="1"/>
  <c r="BB1593" i="6" s="1"/>
  <c r="R1594" i="6" s="1"/>
  <c r="BB1594" i="6" s="1"/>
  <c r="R1595" i="6" s="1"/>
  <c r="BB1595" i="6" s="1"/>
  <c r="R1596" i="6" s="1"/>
  <c r="BB1596" i="6" s="1"/>
  <c r="R1597" i="6" s="1"/>
  <c r="BB1597" i="6" s="1"/>
  <c r="R1598" i="6" s="1"/>
  <c r="BB1598" i="6" s="1"/>
  <c r="R1599" i="6" s="1"/>
  <c r="BB1599" i="6" s="1"/>
  <c r="R1600" i="6" s="1"/>
  <c r="BB1600" i="6" s="1"/>
  <c r="R1601" i="6" s="1"/>
  <c r="BB1601" i="6" s="1"/>
  <c r="R1602" i="6" s="1"/>
  <c r="BB1602" i="6" s="1"/>
  <c r="R1603" i="6" s="1"/>
  <c r="BB1603" i="6" s="1"/>
  <c r="R1604" i="6" s="1"/>
  <c r="BB1604" i="6" s="1"/>
  <c r="R1605" i="6" s="1"/>
  <c r="BB1605" i="6" s="1"/>
  <c r="R1606" i="6" s="1"/>
  <c r="BB1606" i="6" s="1"/>
  <c r="R1607" i="6" s="1"/>
  <c r="BB1607" i="6" s="1"/>
  <c r="R1608" i="6" s="1"/>
  <c r="BB1608" i="6" s="1"/>
  <c r="R1609" i="6" s="1"/>
  <c r="BB1609" i="6" s="1"/>
  <c r="R1610" i="6" s="1"/>
  <c r="BB1610" i="6" s="1"/>
  <c r="R1611" i="6" s="1"/>
  <c r="BB1611" i="6" s="1"/>
  <c r="R1612" i="6" s="1"/>
  <c r="BB1612" i="6" s="1"/>
  <c r="R1613" i="6" s="1"/>
  <c r="BB1613" i="6" s="1"/>
  <c r="R1614" i="6" s="1"/>
  <c r="BB1614" i="6" s="1"/>
  <c r="R1615" i="6" s="1"/>
  <c r="BB1615" i="6" s="1"/>
  <c r="R1616" i="6" s="1"/>
  <c r="BB1616" i="6" s="1"/>
  <c r="R1617" i="6" s="1"/>
  <c r="BB1617" i="6" s="1"/>
  <c r="R1618" i="6" s="1"/>
  <c r="BB1618" i="6" s="1"/>
  <c r="R1619" i="6" s="1"/>
  <c r="BB1619" i="6" s="1"/>
  <c r="R1620" i="6" s="1"/>
  <c r="BB1620" i="6" s="1"/>
  <c r="R1621" i="6" s="1"/>
  <c r="BB1621" i="6" s="1"/>
  <c r="R1622" i="6" s="1"/>
  <c r="BB1622" i="6" s="1"/>
  <c r="R1623" i="6" s="1"/>
  <c r="BB1623" i="6" s="1"/>
  <c r="R1624" i="6" s="1"/>
  <c r="BB1624" i="6" s="1"/>
  <c r="R1625" i="6" s="1"/>
  <c r="BB1625" i="6" s="1"/>
  <c r="Q1590" i="6"/>
  <c r="BA1590" i="6" s="1"/>
  <c r="Q1591" i="6" s="1"/>
  <c r="BA1591" i="6" s="1"/>
  <c r="Q1592" i="6" s="1"/>
  <c r="BA1592" i="6" s="1"/>
  <c r="Q1593" i="6" s="1"/>
  <c r="BA1593" i="6" s="1"/>
  <c r="Q1594" i="6" s="1"/>
  <c r="BA1594" i="6" s="1"/>
  <c r="Q1595" i="6" s="1"/>
  <c r="BA1595" i="6" s="1"/>
  <c r="Q1596" i="6" s="1"/>
  <c r="BA1596" i="6" s="1"/>
  <c r="Q1597" i="6" s="1"/>
  <c r="O1590" i="6"/>
  <c r="AY1590" i="6" s="1"/>
  <c r="O1591" i="6" s="1"/>
  <c r="AY1591" i="6" s="1"/>
  <c r="O1592" i="6" s="1"/>
  <c r="AY1592" i="6" s="1"/>
  <c r="O1593" i="6" s="1"/>
  <c r="AY1593" i="6" s="1"/>
  <c r="O1594" i="6" s="1"/>
  <c r="AY1594" i="6" s="1"/>
  <c r="O1595" i="6" s="1"/>
  <c r="AY1595" i="6" s="1"/>
  <c r="O1596" i="6" s="1"/>
  <c r="AY1596" i="6" s="1"/>
  <c r="O1597" i="6" s="1"/>
  <c r="AY1597" i="6" s="1"/>
  <c r="O1598" i="6" s="1"/>
  <c r="AY1598" i="6" s="1"/>
  <c r="O1599" i="6" s="1"/>
  <c r="AY1599" i="6" s="1"/>
  <c r="O1600" i="6" s="1"/>
  <c r="AY1600" i="6" s="1"/>
  <c r="O1601" i="6" s="1"/>
  <c r="AY1601" i="6" s="1"/>
  <c r="O1602" i="6" s="1"/>
  <c r="AY1602" i="6" s="1"/>
  <c r="O1603" i="6" s="1"/>
  <c r="AY1603" i="6" s="1"/>
  <c r="O1604" i="6" s="1"/>
  <c r="AY1604" i="6" s="1"/>
  <c r="O1605" i="6" s="1"/>
  <c r="AY1605" i="6" s="1"/>
  <c r="O1606" i="6" s="1"/>
  <c r="AY1606" i="6" s="1"/>
  <c r="O1607" i="6" s="1"/>
  <c r="AY1607" i="6" s="1"/>
  <c r="O1608" i="6" s="1"/>
  <c r="AY1608" i="6" s="1"/>
  <c r="O1609" i="6" s="1"/>
  <c r="N1590" i="6"/>
  <c r="AX1590" i="6" s="1"/>
  <c r="M1590" i="6"/>
  <c r="AW1590" i="6" s="1"/>
  <c r="M1591" i="6" s="1"/>
  <c r="AW1591" i="6" s="1"/>
  <c r="M1592" i="6" s="1"/>
  <c r="L1590" i="6"/>
  <c r="K1590" i="6"/>
  <c r="J1590" i="6"/>
  <c r="I1590" i="6"/>
  <c r="H1590" i="6"/>
  <c r="G1590" i="6"/>
  <c r="AV1590" i="6" s="1"/>
  <c r="L1591" i="6" s="1"/>
  <c r="F1590" i="6"/>
  <c r="AE1590" i="6" s="1"/>
  <c r="E1590" i="6"/>
  <c r="D1590" i="6"/>
  <c r="C1590" i="6"/>
  <c r="B1590" i="6"/>
  <c r="A1590" i="6"/>
  <c r="AO1589" i="6"/>
  <c r="H1589" i="6"/>
  <c r="G1589" i="6"/>
  <c r="F1589" i="6"/>
  <c r="E1589" i="6"/>
  <c r="D1589" i="6"/>
  <c r="C1589" i="6"/>
  <c r="B1589" i="6"/>
  <c r="A1589" i="6"/>
  <c r="AO1588" i="6"/>
  <c r="AI1588" i="6"/>
  <c r="AE1588" i="6"/>
  <c r="K1588" i="6"/>
  <c r="J1588" i="6"/>
  <c r="H1588" i="6"/>
  <c r="G1588" i="6"/>
  <c r="F1588" i="6"/>
  <c r="E1588" i="6"/>
  <c r="D1588" i="6"/>
  <c r="C1588" i="6"/>
  <c r="B1588" i="6"/>
  <c r="A1588" i="6"/>
  <c r="AO1587" i="6"/>
  <c r="H1587" i="6"/>
  <c r="G1587" i="6"/>
  <c r="F1587" i="6"/>
  <c r="AE1587" i="6" s="1"/>
  <c r="E1587" i="6"/>
  <c r="D1587" i="6"/>
  <c r="C1587" i="6"/>
  <c r="B1587" i="6"/>
  <c r="A1587" i="6"/>
  <c r="AO1586" i="6"/>
  <c r="AE1586" i="6"/>
  <c r="J1586" i="6"/>
  <c r="I1586" i="6"/>
  <c r="H1586" i="6"/>
  <c r="G1586" i="6"/>
  <c r="F1586" i="6"/>
  <c r="AI1586" i="6" s="1"/>
  <c r="E1586" i="6"/>
  <c r="D1586" i="6"/>
  <c r="C1586" i="6"/>
  <c r="B1586" i="6"/>
  <c r="A1586" i="6"/>
  <c r="AO1585" i="6"/>
  <c r="AE1585" i="6"/>
  <c r="J1585" i="6"/>
  <c r="I1585" i="6"/>
  <c r="H1585" i="6"/>
  <c r="G1585" i="6"/>
  <c r="F1585" i="6"/>
  <c r="E1585" i="6"/>
  <c r="D1585" i="6"/>
  <c r="C1585" i="6"/>
  <c r="B1585" i="6"/>
  <c r="A1585" i="6"/>
  <c r="AO1584" i="6"/>
  <c r="AI1584" i="6"/>
  <c r="AE1584" i="6"/>
  <c r="K1584" i="6"/>
  <c r="J1584" i="6"/>
  <c r="I1584" i="6"/>
  <c r="H1584" i="6"/>
  <c r="G1584" i="6"/>
  <c r="F1584" i="6"/>
  <c r="E1584" i="6"/>
  <c r="D1584" i="6"/>
  <c r="C1584" i="6"/>
  <c r="B1584" i="6"/>
  <c r="A1584" i="6"/>
  <c r="AO1583" i="6"/>
  <c r="AE1583" i="6"/>
  <c r="H1583" i="6"/>
  <c r="G1583" i="6"/>
  <c r="F1583" i="6"/>
  <c r="I1583" i="6" s="1"/>
  <c r="E1583" i="6"/>
  <c r="D1583" i="6"/>
  <c r="C1583" i="6"/>
  <c r="B1583" i="6"/>
  <c r="A1583" i="6"/>
  <c r="AO1582" i="6"/>
  <c r="AI1582" i="6"/>
  <c r="AE1582" i="6"/>
  <c r="H1582" i="6"/>
  <c r="G1582" i="6"/>
  <c r="F1582" i="6"/>
  <c r="J1582" i="6" s="1"/>
  <c r="E1582" i="6"/>
  <c r="D1582" i="6"/>
  <c r="C1582" i="6"/>
  <c r="B1582" i="6"/>
  <c r="A1582" i="6"/>
  <c r="AO1581" i="6"/>
  <c r="H1581" i="6"/>
  <c r="G1581" i="6"/>
  <c r="F1581" i="6"/>
  <c r="E1581" i="6"/>
  <c r="D1581" i="6"/>
  <c r="C1581" i="6"/>
  <c r="B1581" i="6"/>
  <c r="A1581" i="6"/>
  <c r="AO1580" i="6"/>
  <c r="AE1580" i="6"/>
  <c r="H1580" i="6"/>
  <c r="G1580" i="6"/>
  <c r="F1580" i="6"/>
  <c r="J1580" i="6" s="1"/>
  <c r="E1580" i="6"/>
  <c r="D1580" i="6"/>
  <c r="C1580" i="6"/>
  <c r="B1580" i="6"/>
  <c r="A1580" i="6"/>
  <c r="AO1579" i="6"/>
  <c r="AI1579" i="6"/>
  <c r="K1579" i="6"/>
  <c r="J1579" i="6"/>
  <c r="I1579" i="6"/>
  <c r="H1579" i="6"/>
  <c r="G1579" i="6"/>
  <c r="F1579" i="6"/>
  <c r="AE1579" i="6" s="1"/>
  <c r="E1579" i="6"/>
  <c r="D1579" i="6"/>
  <c r="C1579" i="6"/>
  <c r="B1579" i="6"/>
  <c r="A1579" i="6"/>
  <c r="AO1578" i="6"/>
  <c r="H1578" i="6"/>
  <c r="G1578" i="6"/>
  <c r="F1578" i="6"/>
  <c r="E1578" i="6"/>
  <c r="D1578" i="6"/>
  <c r="C1578" i="6"/>
  <c r="B1578" i="6"/>
  <c r="A1578" i="6"/>
  <c r="AO1577" i="6"/>
  <c r="AI1577" i="6"/>
  <c r="K1577" i="6"/>
  <c r="J1577" i="6"/>
  <c r="H1577" i="6"/>
  <c r="G1577" i="6"/>
  <c r="F1577" i="6"/>
  <c r="AE1577" i="6" s="1"/>
  <c r="E1577" i="6"/>
  <c r="D1577" i="6"/>
  <c r="C1577" i="6"/>
  <c r="B1577" i="6"/>
  <c r="A1577" i="6"/>
  <c r="AT1576" i="6"/>
  <c r="AE1576" i="6"/>
  <c r="K1576" i="6"/>
  <c r="I1576" i="6"/>
  <c r="H1576" i="6"/>
  <c r="G1576" i="6"/>
  <c r="F1576" i="6"/>
  <c r="E1576" i="6"/>
  <c r="D1576" i="6"/>
  <c r="C1576" i="6"/>
  <c r="B1576" i="6"/>
  <c r="A1576" i="6"/>
  <c r="AT1575" i="6"/>
  <c r="AO1575" i="6"/>
  <c r="H1575" i="6"/>
  <c r="G1575" i="6"/>
  <c r="F1575" i="6"/>
  <c r="E1575" i="6"/>
  <c r="D1575" i="6"/>
  <c r="C1575" i="6"/>
  <c r="B1575" i="6"/>
  <c r="A1575" i="6"/>
  <c r="AT1574" i="6"/>
  <c r="AO1574" i="6"/>
  <c r="AI1574" i="6"/>
  <c r="AE1574" i="6"/>
  <c r="K1574" i="6"/>
  <c r="J1574" i="6"/>
  <c r="I1574" i="6"/>
  <c r="H1574" i="6"/>
  <c r="G1574" i="6"/>
  <c r="F1574" i="6"/>
  <c r="E1574" i="6"/>
  <c r="D1574" i="6"/>
  <c r="C1574" i="6"/>
  <c r="B1574" i="6"/>
  <c r="A1574" i="6"/>
  <c r="AT1573" i="6"/>
  <c r="AO1573" i="6"/>
  <c r="H1573" i="6"/>
  <c r="G1573" i="6"/>
  <c r="F1573" i="6"/>
  <c r="E1573" i="6"/>
  <c r="D1573" i="6"/>
  <c r="C1573" i="6"/>
  <c r="B1573" i="6"/>
  <c r="A1573" i="6"/>
  <c r="AT1572" i="6"/>
  <c r="AO1572" i="6"/>
  <c r="AE1572" i="6"/>
  <c r="K1572" i="6"/>
  <c r="J1572" i="6"/>
  <c r="I1572" i="6"/>
  <c r="H1572" i="6"/>
  <c r="G1572" i="6"/>
  <c r="AI1572" i="6" s="1"/>
  <c r="F1572" i="6"/>
  <c r="E1572" i="6"/>
  <c r="D1572" i="6"/>
  <c r="C1572" i="6"/>
  <c r="B1572" i="6"/>
  <c r="A1572" i="6"/>
  <c r="AT1571" i="6"/>
  <c r="AO1571" i="6"/>
  <c r="AF1571" i="6"/>
  <c r="AE1571" i="6"/>
  <c r="J1571" i="6"/>
  <c r="H1571" i="6"/>
  <c r="G1571" i="6"/>
  <c r="F1571" i="6"/>
  <c r="E1571" i="6"/>
  <c r="D1571" i="6"/>
  <c r="C1571" i="6"/>
  <c r="B1571" i="6"/>
  <c r="A1571" i="6"/>
  <c r="AT1570" i="6"/>
  <c r="AE1570" i="6"/>
  <c r="H1570" i="6"/>
  <c r="G1570" i="6"/>
  <c r="F1570" i="6"/>
  <c r="E1570" i="6"/>
  <c r="D1570" i="6"/>
  <c r="C1570" i="6"/>
  <c r="B1570" i="6"/>
  <c r="A1570" i="6"/>
  <c r="AT1569" i="6"/>
  <c r="AO1569" i="6"/>
  <c r="AF1569" i="6"/>
  <c r="J1569" i="6"/>
  <c r="I1569" i="6"/>
  <c r="H1569" i="6"/>
  <c r="G1569" i="6"/>
  <c r="F1569" i="6"/>
  <c r="AI1569" i="6" s="1"/>
  <c r="E1569" i="6"/>
  <c r="D1569" i="6"/>
  <c r="C1569" i="6"/>
  <c r="B1569" i="6"/>
  <c r="A1569" i="6"/>
  <c r="AT1568" i="6"/>
  <c r="AO1568" i="6"/>
  <c r="AF1568" i="6"/>
  <c r="AE1568" i="6"/>
  <c r="K1568" i="6"/>
  <c r="J1568" i="6"/>
  <c r="I1568" i="6"/>
  <c r="H1568" i="6"/>
  <c r="G1568" i="6"/>
  <c r="F1568" i="6"/>
  <c r="E1568" i="6"/>
  <c r="D1568" i="6"/>
  <c r="C1568" i="6"/>
  <c r="B1568" i="6"/>
  <c r="A1568" i="6"/>
  <c r="AT1567" i="6"/>
  <c r="AO1567" i="6"/>
  <c r="AI1567" i="6"/>
  <c r="AF1567" i="6"/>
  <c r="K1567" i="6"/>
  <c r="J1567" i="6"/>
  <c r="H1567" i="6"/>
  <c r="G1567" i="6"/>
  <c r="F1567" i="6"/>
  <c r="E1567" i="6"/>
  <c r="D1567" i="6"/>
  <c r="C1567" i="6"/>
  <c r="B1567" i="6"/>
  <c r="A1567" i="6"/>
  <c r="AT1566" i="6"/>
  <c r="AO1566" i="6"/>
  <c r="K1566" i="6"/>
  <c r="I1566" i="6"/>
  <c r="H1566" i="6"/>
  <c r="G1566" i="6"/>
  <c r="F1566" i="6"/>
  <c r="E1566" i="6"/>
  <c r="D1566" i="6"/>
  <c r="C1566" i="6"/>
  <c r="B1566" i="6"/>
  <c r="A1566" i="6"/>
  <c r="AT1565" i="6"/>
  <c r="H1565" i="6"/>
  <c r="G1565" i="6"/>
  <c r="F1565" i="6"/>
  <c r="E1565" i="6"/>
  <c r="D1565" i="6"/>
  <c r="C1565" i="6"/>
  <c r="B1565" i="6"/>
  <c r="A1565" i="6"/>
  <c r="AT1564" i="6"/>
  <c r="AI1564" i="6"/>
  <c r="AE1564" i="6"/>
  <c r="K1564" i="6"/>
  <c r="J1564" i="6"/>
  <c r="I1564" i="6"/>
  <c r="H1564" i="6"/>
  <c r="G1564" i="6"/>
  <c r="F1564" i="6"/>
  <c r="E1564" i="6"/>
  <c r="D1564" i="6"/>
  <c r="C1564" i="6"/>
  <c r="B1564" i="6"/>
  <c r="A1564" i="6"/>
  <c r="AT1563" i="6"/>
  <c r="AO1563" i="6"/>
  <c r="AF1563" i="6"/>
  <c r="H1563" i="6"/>
  <c r="G1563" i="6"/>
  <c r="F1563" i="6"/>
  <c r="E1563" i="6"/>
  <c r="D1563" i="6"/>
  <c r="C1563" i="6"/>
  <c r="B1563" i="6"/>
  <c r="A1563" i="6"/>
  <c r="AT1562" i="6"/>
  <c r="AO1562" i="6"/>
  <c r="AI1562" i="6"/>
  <c r="K1562" i="6"/>
  <c r="J1562" i="6"/>
  <c r="I1562" i="6"/>
  <c r="H1562" i="6"/>
  <c r="G1562" i="6"/>
  <c r="F1562" i="6"/>
  <c r="AE1562" i="6" s="1"/>
  <c r="E1562" i="6"/>
  <c r="D1562" i="6"/>
  <c r="C1562" i="6"/>
  <c r="B1562" i="6"/>
  <c r="A1562" i="6"/>
  <c r="AT1561" i="6"/>
  <c r="AO1561" i="6"/>
  <c r="AF1561" i="6"/>
  <c r="J1561" i="6"/>
  <c r="H1561" i="6"/>
  <c r="G1561" i="6"/>
  <c r="F1561" i="6"/>
  <c r="E1561" i="6"/>
  <c r="D1561" i="6"/>
  <c r="C1561" i="6"/>
  <c r="B1561" i="6"/>
  <c r="A1561" i="6"/>
  <c r="AT1560" i="6"/>
  <c r="AO1560" i="6"/>
  <c r="AI1560" i="6"/>
  <c r="K1560" i="6"/>
  <c r="H1560" i="6"/>
  <c r="AF1560" i="6" s="1"/>
  <c r="G1560" i="6"/>
  <c r="F1560" i="6"/>
  <c r="E1560" i="6"/>
  <c r="D1560" i="6"/>
  <c r="C1560" i="6"/>
  <c r="B1560" i="6"/>
  <c r="A1560" i="6"/>
  <c r="AT1559" i="6"/>
  <c r="H1559" i="6"/>
  <c r="G1559" i="6"/>
  <c r="F1559" i="6"/>
  <c r="E1559" i="6"/>
  <c r="D1559" i="6"/>
  <c r="C1559" i="6"/>
  <c r="B1559" i="6"/>
  <c r="A1559" i="6"/>
  <c r="BK1558" i="6"/>
  <c r="AA1559" i="6" s="1"/>
  <c r="BK1559" i="6" s="1"/>
  <c r="AA1560" i="6" s="1"/>
  <c r="BK1560" i="6" s="1"/>
  <c r="AA1561" i="6" s="1"/>
  <c r="BK1561" i="6" s="1"/>
  <c r="AA1562" i="6" s="1"/>
  <c r="BK1562" i="6" s="1"/>
  <c r="AA1563" i="6" s="1"/>
  <c r="BK1563" i="6" s="1"/>
  <c r="AA1564" i="6" s="1"/>
  <c r="BK1564" i="6" s="1"/>
  <c r="AA1565" i="6" s="1"/>
  <c r="BK1565" i="6" s="1"/>
  <c r="AA1566" i="6" s="1"/>
  <c r="BK1566" i="6" s="1"/>
  <c r="AA1567" i="6" s="1"/>
  <c r="BK1567" i="6" s="1"/>
  <c r="AA1568" i="6" s="1"/>
  <c r="BK1568" i="6" s="1"/>
  <c r="AA1569" i="6" s="1"/>
  <c r="BK1569" i="6" s="1"/>
  <c r="AA1570" i="6" s="1"/>
  <c r="BK1570" i="6" s="1"/>
  <c r="AA1571" i="6" s="1"/>
  <c r="BK1571" i="6" s="1"/>
  <c r="AA1572" i="6" s="1"/>
  <c r="BK1572" i="6" s="1"/>
  <c r="AA1573" i="6" s="1"/>
  <c r="BK1573" i="6" s="1"/>
  <c r="AA1574" i="6" s="1"/>
  <c r="BK1574" i="6" s="1"/>
  <c r="AA1575" i="6" s="1"/>
  <c r="BK1575" i="6" s="1"/>
  <c r="AA1576" i="6" s="1"/>
  <c r="BK1576" i="6" s="1"/>
  <c r="AA1577" i="6" s="1"/>
  <c r="BK1577" i="6" s="1"/>
  <c r="AA1578" i="6" s="1"/>
  <c r="BK1578" i="6" s="1"/>
  <c r="AA1579" i="6" s="1"/>
  <c r="BK1579" i="6" s="1"/>
  <c r="AA1580" i="6" s="1"/>
  <c r="BK1580" i="6" s="1"/>
  <c r="AA1581" i="6" s="1"/>
  <c r="BK1581" i="6" s="1"/>
  <c r="AA1582" i="6" s="1"/>
  <c r="BK1582" i="6" s="1"/>
  <c r="AA1583" i="6" s="1"/>
  <c r="BK1583" i="6" s="1"/>
  <c r="AA1584" i="6" s="1"/>
  <c r="BK1584" i="6" s="1"/>
  <c r="AA1585" i="6" s="1"/>
  <c r="BK1585" i="6" s="1"/>
  <c r="AA1586" i="6" s="1"/>
  <c r="BK1586" i="6" s="1"/>
  <c r="AA1587" i="6" s="1"/>
  <c r="BK1587" i="6" s="1"/>
  <c r="AA1588" i="6" s="1"/>
  <c r="BK1588" i="6" s="1"/>
  <c r="AA1589" i="6" s="1"/>
  <c r="BK1589" i="6" s="1"/>
  <c r="AT1558" i="6"/>
  <c r="AE1558" i="6"/>
  <c r="H1558" i="6"/>
  <c r="G1558" i="6"/>
  <c r="F1558" i="6"/>
  <c r="E1558" i="6"/>
  <c r="D1558" i="6"/>
  <c r="C1558" i="6"/>
  <c r="B1558" i="6"/>
  <c r="A1558" i="6"/>
  <c r="BK1557" i="6"/>
  <c r="AA1558" i="6" s="1"/>
  <c r="AT1557" i="6"/>
  <c r="AO1557" i="6"/>
  <c r="J1557" i="6"/>
  <c r="I1557" i="6"/>
  <c r="H1557" i="6"/>
  <c r="G1557" i="6"/>
  <c r="F1557" i="6"/>
  <c r="AI1557" i="6" s="1"/>
  <c r="E1557" i="6"/>
  <c r="D1557" i="6"/>
  <c r="C1557" i="6"/>
  <c r="B1557" i="6"/>
  <c r="A1557" i="6"/>
  <c r="BO1556" i="6"/>
  <c r="BN1557" i="6" s="1"/>
  <c r="BO1557" i="6" s="1"/>
  <c r="BN1558" i="6" s="1"/>
  <c r="BO1558" i="6" s="1"/>
  <c r="BN1559" i="6" s="1"/>
  <c r="BO1559" i="6" s="1"/>
  <c r="BN1560" i="6" s="1"/>
  <c r="BO1560" i="6" s="1"/>
  <c r="BN1561" i="6" s="1"/>
  <c r="BO1561" i="6" s="1"/>
  <c r="BN1562" i="6" s="1"/>
  <c r="AT1556" i="6"/>
  <c r="AO1556" i="6"/>
  <c r="AF1556" i="6"/>
  <c r="AE1556" i="6"/>
  <c r="AC1556" i="6"/>
  <c r="BM1556" i="6" s="1"/>
  <c r="AC1557" i="6" s="1"/>
  <c r="BM1557" i="6" s="1"/>
  <c r="AC1558" i="6" s="1"/>
  <c r="BM1558" i="6" s="1"/>
  <c r="AC1559" i="6" s="1"/>
  <c r="BM1559" i="6" s="1"/>
  <c r="AC1560" i="6" s="1"/>
  <c r="BM1560" i="6" s="1"/>
  <c r="AC1561" i="6" s="1"/>
  <c r="BM1561" i="6" s="1"/>
  <c r="AC1562" i="6" s="1"/>
  <c r="BM1562" i="6" s="1"/>
  <c r="AC1563" i="6" s="1"/>
  <c r="BM1563" i="6" s="1"/>
  <c r="AC1564" i="6" s="1"/>
  <c r="BM1564" i="6" s="1"/>
  <c r="AC1565" i="6" s="1"/>
  <c r="BM1565" i="6" s="1"/>
  <c r="AC1566" i="6" s="1"/>
  <c r="BM1566" i="6" s="1"/>
  <c r="AC1567" i="6" s="1"/>
  <c r="BM1567" i="6" s="1"/>
  <c r="AC1568" i="6" s="1"/>
  <c r="BM1568" i="6" s="1"/>
  <c r="AC1569" i="6" s="1"/>
  <c r="BM1569" i="6" s="1"/>
  <c r="AC1570" i="6" s="1"/>
  <c r="BM1570" i="6" s="1"/>
  <c r="AC1571" i="6" s="1"/>
  <c r="BM1571" i="6" s="1"/>
  <c r="AC1572" i="6" s="1"/>
  <c r="BM1572" i="6" s="1"/>
  <c r="AC1573" i="6" s="1"/>
  <c r="BM1573" i="6" s="1"/>
  <c r="AC1574" i="6" s="1"/>
  <c r="BM1574" i="6" s="1"/>
  <c r="AC1575" i="6" s="1"/>
  <c r="BM1575" i="6" s="1"/>
  <c r="AC1576" i="6" s="1"/>
  <c r="BM1576" i="6" s="1"/>
  <c r="AC1577" i="6" s="1"/>
  <c r="BM1577" i="6" s="1"/>
  <c r="AC1578" i="6" s="1"/>
  <c r="BM1578" i="6" s="1"/>
  <c r="AC1579" i="6" s="1"/>
  <c r="BM1579" i="6" s="1"/>
  <c r="AC1580" i="6" s="1"/>
  <c r="BM1580" i="6" s="1"/>
  <c r="AC1581" i="6" s="1"/>
  <c r="BM1581" i="6" s="1"/>
  <c r="AC1582" i="6" s="1"/>
  <c r="BM1582" i="6" s="1"/>
  <c r="AC1583" i="6" s="1"/>
  <c r="BM1583" i="6" s="1"/>
  <c r="AC1584" i="6" s="1"/>
  <c r="BM1584" i="6" s="1"/>
  <c r="AC1585" i="6" s="1"/>
  <c r="BM1585" i="6" s="1"/>
  <c r="AC1586" i="6" s="1"/>
  <c r="BM1586" i="6" s="1"/>
  <c r="AC1587" i="6" s="1"/>
  <c r="BM1587" i="6" s="1"/>
  <c r="AC1588" i="6" s="1"/>
  <c r="BM1588" i="6" s="1"/>
  <c r="AC1589" i="6" s="1"/>
  <c r="BM1589" i="6" s="1"/>
  <c r="AA1556" i="6"/>
  <c r="BK1556" i="6" s="1"/>
  <c r="AA1557" i="6" s="1"/>
  <c r="K1556" i="6"/>
  <c r="J1556" i="6"/>
  <c r="I1556" i="6"/>
  <c r="H1556" i="6"/>
  <c r="G1556" i="6"/>
  <c r="F1556" i="6"/>
  <c r="E1556" i="6"/>
  <c r="D1556" i="6"/>
  <c r="C1556" i="6"/>
  <c r="B1556" i="6"/>
  <c r="A1556" i="6"/>
  <c r="BJ1555" i="6"/>
  <c r="Z1556" i="6" s="1"/>
  <c r="BJ1556" i="6" s="1"/>
  <c r="Z1557" i="6" s="1"/>
  <c r="BJ1557" i="6" s="1"/>
  <c r="Z1558" i="6" s="1"/>
  <c r="BJ1558" i="6" s="1"/>
  <c r="Z1559" i="6" s="1"/>
  <c r="BJ1559" i="6" s="1"/>
  <c r="Z1560" i="6" s="1"/>
  <c r="BJ1560" i="6" s="1"/>
  <c r="Z1561" i="6" s="1"/>
  <c r="BJ1561" i="6" s="1"/>
  <c r="Z1562" i="6" s="1"/>
  <c r="BJ1562" i="6" s="1"/>
  <c r="Z1563" i="6" s="1"/>
  <c r="BJ1563" i="6" s="1"/>
  <c r="Z1564" i="6" s="1"/>
  <c r="BJ1564" i="6" s="1"/>
  <c r="Z1565" i="6" s="1"/>
  <c r="BJ1565" i="6" s="1"/>
  <c r="Z1566" i="6" s="1"/>
  <c r="BJ1566" i="6" s="1"/>
  <c r="Z1567" i="6" s="1"/>
  <c r="BJ1567" i="6" s="1"/>
  <c r="Z1568" i="6" s="1"/>
  <c r="BJ1568" i="6" s="1"/>
  <c r="Z1569" i="6" s="1"/>
  <c r="BJ1569" i="6" s="1"/>
  <c r="Z1570" i="6" s="1"/>
  <c r="BJ1570" i="6" s="1"/>
  <c r="Z1571" i="6" s="1"/>
  <c r="BJ1571" i="6" s="1"/>
  <c r="Z1572" i="6" s="1"/>
  <c r="BJ1572" i="6" s="1"/>
  <c r="Z1573" i="6" s="1"/>
  <c r="BJ1573" i="6" s="1"/>
  <c r="Z1574" i="6" s="1"/>
  <c r="BJ1574" i="6" s="1"/>
  <c r="Z1575" i="6" s="1"/>
  <c r="BJ1575" i="6" s="1"/>
  <c r="Z1576" i="6" s="1"/>
  <c r="BJ1576" i="6" s="1"/>
  <c r="Z1577" i="6" s="1"/>
  <c r="BJ1577" i="6" s="1"/>
  <c r="Z1578" i="6" s="1"/>
  <c r="BJ1578" i="6" s="1"/>
  <c r="Z1579" i="6" s="1"/>
  <c r="BJ1579" i="6" s="1"/>
  <c r="Z1580" i="6" s="1"/>
  <c r="BJ1580" i="6" s="1"/>
  <c r="Z1581" i="6" s="1"/>
  <c r="BJ1581" i="6" s="1"/>
  <c r="Z1582" i="6" s="1"/>
  <c r="BJ1582" i="6" s="1"/>
  <c r="Z1583" i="6" s="1"/>
  <c r="BJ1583" i="6" s="1"/>
  <c r="Z1584" i="6" s="1"/>
  <c r="BJ1584" i="6" s="1"/>
  <c r="Z1585" i="6" s="1"/>
  <c r="BJ1585" i="6" s="1"/>
  <c r="Z1586" i="6" s="1"/>
  <c r="BJ1586" i="6" s="1"/>
  <c r="Z1587" i="6" s="1"/>
  <c r="BJ1587" i="6" s="1"/>
  <c r="Z1588" i="6" s="1"/>
  <c r="BJ1588" i="6" s="1"/>
  <c r="Z1589" i="6" s="1"/>
  <c r="BJ1589" i="6" s="1"/>
  <c r="BG1555" i="6"/>
  <c r="W1556" i="6" s="1"/>
  <c r="AT1555" i="6"/>
  <c r="AO1555" i="6"/>
  <c r="AI1555" i="6"/>
  <c r="AF1555" i="6"/>
  <c r="Z1555" i="6"/>
  <c r="J1555" i="6"/>
  <c r="H1555" i="6"/>
  <c r="G1555" i="6"/>
  <c r="F1555" i="6"/>
  <c r="E1555" i="6"/>
  <c r="D1555" i="6"/>
  <c r="C1555" i="6"/>
  <c r="B1555" i="6"/>
  <c r="A1555" i="6"/>
  <c r="BN1554" i="6"/>
  <c r="BO1554" i="6" s="1"/>
  <c r="BN1555" i="6" s="1"/>
  <c r="BO1555" i="6" s="1"/>
  <c r="BN1556" i="6" s="1"/>
  <c r="BH1554" i="6"/>
  <c r="X1555" i="6" s="1"/>
  <c r="BH1555" i="6" s="1"/>
  <c r="X1556" i="6" s="1"/>
  <c r="BH1556" i="6" s="1"/>
  <c r="X1557" i="6" s="1"/>
  <c r="BH1557" i="6" s="1"/>
  <c r="X1558" i="6" s="1"/>
  <c r="BH1558" i="6" s="1"/>
  <c r="X1559" i="6" s="1"/>
  <c r="BH1559" i="6" s="1"/>
  <c r="X1560" i="6" s="1"/>
  <c r="BH1560" i="6" s="1"/>
  <c r="X1561" i="6" s="1"/>
  <c r="BH1561" i="6" s="1"/>
  <c r="X1562" i="6" s="1"/>
  <c r="BH1562" i="6" s="1"/>
  <c r="X1563" i="6" s="1"/>
  <c r="BH1563" i="6" s="1"/>
  <c r="X1564" i="6" s="1"/>
  <c r="BH1564" i="6" s="1"/>
  <c r="X1565" i="6" s="1"/>
  <c r="BH1565" i="6" s="1"/>
  <c r="X1566" i="6" s="1"/>
  <c r="BH1566" i="6" s="1"/>
  <c r="X1567" i="6" s="1"/>
  <c r="BH1567" i="6" s="1"/>
  <c r="X1568" i="6" s="1"/>
  <c r="BH1568" i="6" s="1"/>
  <c r="X1569" i="6" s="1"/>
  <c r="BH1569" i="6" s="1"/>
  <c r="X1570" i="6" s="1"/>
  <c r="BH1570" i="6" s="1"/>
  <c r="X1571" i="6" s="1"/>
  <c r="BH1571" i="6" s="1"/>
  <c r="X1572" i="6" s="1"/>
  <c r="BH1572" i="6" s="1"/>
  <c r="X1573" i="6" s="1"/>
  <c r="BH1573" i="6" s="1"/>
  <c r="X1574" i="6" s="1"/>
  <c r="BH1574" i="6" s="1"/>
  <c r="X1575" i="6" s="1"/>
  <c r="BH1575" i="6" s="1"/>
  <c r="X1576" i="6" s="1"/>
  <c r="BH1576" i="6" s="1"/>
  <c r="X1577" i="6" s="1"/>
  <c r="BH1577" i="6" s="1"/>
  <c r="X1578" i="6" s="1"/>
  <c r="BH1578" i="6" s="1"/>
  <c r="X1579" i="6" s="1"/>
  <c r="BH1579" i="6" s="1"/>
  <c r="X1580" i="6" s="1"/>
  <c r="BH1580" i="6" s="1"/>
  <c r="X1581" i="6" s="1"/>
  <c r="BH1581" i="6" s="1"/>
  <c r="X1582" i="6" s="1"/>
  <c r="BH1582" i="6" s="1"/>
  <c r="X1583" i="6" s="1"/>
  <c r="BH1583" i="6" s="1"/>
  <c r="X1584" i="6" s="1"/>
  <c r="BH1584" i="6" s="1"/>
  <c r="X1585" i="6" s="1"/>
  <c r="BH1585" i="6" s="1"/>
  <c r="X1586" i="6" s="1"/>
  <c r="BH1586" i="6" s="1"/>
  <c r="X1587" i="6" s="1"/>
  <c r="BH1587" i="6" s="1"/>
  <c r="X1588" i="6" s="1"/>
  <c r="BH1588" i="6" s="1"/>
  <c r="X1589" i="6" s="1"/>
  <c r="BH1589" i="6" s="1"/>
  <c r="BG1554" i="6"/>
  <c r="W1555" i="6" s="1"/>
  <c r="BE1554" i="6"/>
  <c r="BB1554" i="6"/>
  <c r="R1555" i="6" s="1"/>
  <c r="BB1555" i="6" s="1"/>
  <c r="R1556" i="6" s="1"/>
  <c r="BB1556" i="6" s="1"/>
  <c r="R1557" i="6" s="1"/>
  <c r="BB1557" i="6" s="1"/>
  <c r="R1558" i="6" s="1"/>
  <c r="BB1558" i="6" s="1"/>
  <c r="R1559" i="6" s="1"/>
  <c r="BB1559" i="6" s="1"/>
  <c r="R1560" i="6" s="1"/>
  <c r="BB1560" i="6" s="1"/>
  <c r="R1561" i="6" s="1"/>
  <c r="BB1561" i="6" s="1"/>
  <c r="R1562" i="6" s="1"/>
  <c r="BB1562" i="6" s="1"/>
  <c r="R1563" i="6" s="1"/>
  <c r="BB1563" i="6" s="1"/>
  <c r="R1564" i="6" s="1"/>
  <c r="BB1564" i="6" s="1"/>
  <c r="R1565" i="6" s="1"/>
  <c r="BB1565" i="6" s="1"/>
  <c r="R1566" i="6" s="1"/>
  <c r="BB1566" i="6" s="1"/>
  <c r="R1567" i="6" s="1"/>
  <c r="BB1567" i="6" s="1"/>
  <c r="R1568" i="6" s="1"/>
  <c r="BB1568" i="6" s="1"/>
  <c r="R1569" i="6" s="1"/>
  <c r="BB1569" i="6" s="1"/>
  <c r="R1570" i="6" s="1"/>
  <c r="BB1570" i="6" s="1"/>
  <c r="R1571" i="6" s="1"/>
  <c r="BB1571" i="6" s="1"/>
  <c r="R1572" i="6" s="1"/>
  <c r="BB1572" i="6" s="1"/>
  <c r="R1573" i="6" s="1"/>
  <c r="BB1573" i="6" s="1"/>
  <c r="R1574" i="6" s="1"/>
  <c r="BB1574" i="6" s="1"/>
  <c r="R1575" i="6" s="1"/>
  <c r="BB1575" i="6" s="1"/>
  <c r="R1576" i="6" s="1"/>
  <c r="BB1576" i="6" s="1"/>
  <c r="R1577" i="6" s="1"/>
  <c r="BB1577" i="6" s="1"/>
  <c r="R1578" i="6" s="1"/>
  <c r="BB1578" i="6" s="1"/>
  <c r="R1579" i="6" s="1"/>
  <c r="BB1579" i="6" s="1"/>
  <c r="R1580" i="6" s="1"/>
  <c r="BB1580" i="6" s="1"/>
  <c r="R1581" i="6" s="1"/>
  <c r="BB1581" i="6" s="1"/>
  <c r="R1582" i="6" s="1"/>
  <c r="BB1582" i="6" s="1"/>
  <c r="R1583" i="6" s="1"/>
  <c r="BB1583" i="6" s="1"/>
  <c r="R1584" i="6" s="1"/>
  <c r="BB1584" i="6" s="1"/>
  <c r="R1585" i="6" s="1"/>
  <c r="BB1585" i="6" s="1"/>
  <c r="R1586" i="6" s="1"/>
  <c r="BB1586" i="6" s="1"/>
  <c r="R1587" i="6" s="1"/>
  <c r="BB1587" i="6" s="1"/>
  <c r="R1588" i="6" s="1"/>
  <c r="BB1588" i="6" s="1"/>
  <c r="R1589" i="6" s="1"/>
  <c r="BB1589" i="6" s="1"/>
  <c r="AT1554" i="6"/>
  <c r="AP1554" i="6"/>
  <c r="AO1554" i="6"/>
  <c r="AF1554" i="6"/>
  <c r="AC1554" i="6"/>
  <c r="BM1554" i="6" s="1"/>
  <c r="AC1555" i="6" s="1"/>
  <c r="BM1555" i="6" s="1"/>
  <c r="AB1554" i="6"/>
  <c r="BL1554" i="6" s="1"/>
  <c r="AB1555" i="6" s="1"/>
  <c r="BL1555" i="6" s="1"/>
  <c r="AB1556" i="6" s="1"/>
  <c r="BL1556" i="6" s="1"/>
  <c r="AB1557" i="6" s="1"/>
  <c r="BL1557" i="6" s="1"/>
  <c r="AB1558" i="6" s="1"/>
  <c r="BL1558" i="6" s="1"/>
  <c r="AB1559" i="6" s="1"/>
  <c r="BL1559" i="6" s="1"/>
  <c r="AB1560" i="6" s="1"/>
  <c r="BL1560" i="6" s="1"/>
  <c r="AB1561" i="6" s="1"/>
  <c r="BL1561" i="6" s="1"/>
  <c r="AB1562" i="6" s="1"/>
  <c r="BL1562" i="6" s="1"/>
  <c r="AB1563" i="6" s="1"/>
  <c r="BL1563" i="6" s="1"/>
  <c r="AB1564" i="6" s="1"/>
  <c r="BL1564" i="6" s="1"/>
  <c r="AB1565" i="6" s="1"/>
  <c r="BL1565" i="6" s="1"/>
  <c r="AB1566" i="6" s="1"/>
  <c r="BL1566" i="6" s="1"/>
  <c r="AB1567" i="6" s="1"/>
  <c r="BL1567" i="6" s="1"/>
  <c r="AB1568" i="6" s="1"/>
  <c r="BL1568" i="6" s="1"/>
  <c r="AB1569" i="6" s="1"/>
  <c r="BL1569" i="6" s="1"/>
  <c r="AB1570" i="6" s="1"/>
  <c r="BL1570" i="6" s="1"/>
  <c r="AB1571" i="6" s="1"/>
  <c r="BL1571" i="6" s="1"/>
  <c r="AB1572" i="6" s="1"/>
  <c r="BL1572" i="6" s="1"/>
  <c r="AB1573" i="6" s="1"/>
  <c r="BL1573" i="6" s="1"/>
  <c r="AB1574" i="6" s="1"/>
  <c r="BL1574" i="6" s="1"/>
  <c r="AB1575" i="6" s="1"/>
  <c r="BL1575" i="6" s="1"/>
  <c r="AB1576" i="6" s="1"/>
  <c r="BL1576" i="6" s="1"/>
  <c r="AB1577" i="6" s="1"/>
  <c r="BL1577" i="6" s="1"/>
  <c r="AB1578" i="6" s="1"/>
  <c r="BL1578" i="6" s="1"/>
  <c r="AB1579" i="6" s="1"/>
  <c r="BL1579" i="6" s="1"/>
  <c r="AB1580" i="6" s="1"/>
  <c r="BL1580" i="6" s="1"/>
  <c r="AB1581" i="6" s="1"/>
  <c r="BL1581" i="6" s="1"/>
  <c r="AB1582" i="6" s="1"/>
  <c r="BL1582" i="6" s="1"/>
  <c r="AB1583" i="6" s="1"/>
  <c r="BL1583" i="6" s="1"/>
  <c r="AB1584" i="6" s="1"/>
  <c r="BL1584" i="6" s="1"/>
  <c r="AB1585" i="6" s="1"/>
  <c r="BL1585" i="6" s="1"/>
  <c r="AB1586" i="6" s="1"/>
  <c r="BL1586" i="6" s="1"/>
  <c r="AB1587" i="6" s="1"/>
  <c r="BL1587" i="6" s="1"/>
  <c r="AB1588" i="6" s="1"/>
  <c r="BL1588" i="6" s="1"/>
  <c r="AB1589" i="6" s="1"/>
  <c r="BL1589" i="6" s="1"/>
  <c r="AA1554" i="6"/>
  <c r="BK1554" i="6" s="1"/>
  <c r="AA1555" i="6" s="1"/>
  <c r="BK1555" i="6" s="1"/>
  <c r="Z1554" i="6"/>
  <c r="BJ1554" i="6" s="1"/>
  <c r="Y1554" i="6"/>
  <c r="BI1554" i="6" s="1"/>
  <c r="Y1555" i="6" s="1"/>
  <c r="BI1555" i="6" s="1"/>
  <c r="Y1556" i="6" s="1"/>
  <c r="BI1556" i="6" s="1"/>
  <c r="Y1557" i="6" s="1"/>
  <c r="BI1557" i="6" s="1"/>
  <c r="Y1558" i="6" s="1"/>
  <c r="BI1558" i="6" s="1"/>
  <c r="Y1559" i="6" s="1"/>
  <c r="BI1559" i="6" s="1"/>
  <c r="Y1560" i="6" s="1"/>
  <c r="BI1560" i="6" s="1"/>
  <c r="Y1561" i="6" s="1"/>
  <c r="BI1561" i="6" s="1"/>
  <c r="Y1562" i="6" s="1"/>
  <c r="BI1562" i="6" s="1"/>
  <c r="Y1563" i="6" s="1"/>
  <c r="BI1563" i="6" s="1"/>
  <c r="Y1564" i="6" s="1"/>
  <c r="BI1564" i="6" s="1"/>
  <c r="Y1565" i="6" s="1"/>
  <c r="BI1565" i="6" s="1"/>
  <c r="Y1566" i="6" s="1"/>
  <c r="BI1566" i="6" s="1"/>
  <c r="Y1567" i="6" s="1"/>
  <c r="BI1567" i="6" s="1"/>
  <c r="Y1568" i="6" s="1"/>
  <c r="BI1568" i="6" s="1"/>
  <c r="Y1569" i="6" s="1"/>
  <c r="BI1569" i="6" s="1"/>
  <c r="Y1570" i="6" s="1"/>
  <c r="BI1570" i="6" s="1"/>
  <c r="Y1571" i="6" s="1"/>
  <c r="BI1571" i="6" s="1"/>
  <c r="Y1572" i="6" s="1"/>
  <c r="BI1572" i="6" s="1"/>
  <c r="Y1573" i="6" s="1"/>
  <c r="BI1573" i="6" s="1"/>
  <c r="Y1574" i="6" s="1"/>
  <c r="BI1574" i="6" s="1"/>
  <c r="Y1575" i="6" s="1"/>
  <c r="BI1575" i="6" s="1"/>
  <c r="Y1576" i="6" s="1"/>
  <c r="BI1576" i="6" s="1"/>
  <c r="Y1577" i="6" s="1"/>
  <c r="BI1577" i="6" s="1"/>
  <c r="Y1578" i="6" s="1"/>
  <c r="BI1578" i="6" s="1"/>
  <c r="Y1579" i="6" s="1"/>
  <c r="BI1579" i="6" s="1"/>
  <c r="Y1580" i="6" s="1"/>
  <c r="BI1580" i="6" s="1"/>
  <c r="Y1581" i="6" s="1"/>
  <c r="BI1581" i="6" s="1"/>
  <c r="Y1582" i="6" s="1"/>
  <c r="BI1582" i="6" s="1"/>
  <c r="Y1583" i="6" s="1"/>
  <c r="BI1583" i="6" s="1"/>
  <c r="Y1584" i="6" s="1"/>
  <c r="BI1584" i="6" s="1"/>
  <c r="Y1585" i="6" s="1"/>
  <c r="BI1585" i="6" s="1"/>
  <c r="Y1586" i="6" s="1"/>
  <c r="BI1586" i="6" s="1"/>
  <c r="Y1587" i="6" s="1"/>
  <c r="BI1587" i="6" s="1"/>
  <c r="Y1588" i="6" s="1"/>
  <c r="BI1588" i="6" s="1"/>
  <c r="Y1589" i="6" s="1"/>
  <c r="BI1589" i="6" s="1"/>
  <c r="X1554" i="6"/>
  <c r="W1554" i="6"/>
  <c r="V1554" i="6"/>
  <c r="BF1554" i="6" s="1"/>
  <c r="V1555" i="6" s="1"/>
  <c r="BF1555" i="6" s="1"/>
  <c r="V1556" i="6" s="1"/>
  <c r="BF1556" i="6" s="1"/>
  <c r="V1557" i="6" s="1"/>
  <c r="BF1557" i="6" s="1"/>
  <c r="V1558" i="6" s="1"/>
  <c r="BF1558" i="6" s="1"/>
  <c r="V1559" i="6" s="1"/>
  <c r="BF1559" i="6" s="1"/>
  <c r="V1560" i="6" s="1"/>
  <c r="BF1560" i="6" s="1"/>
  <c r="V1561" i="6" s="1"/>
  <c r="BF1561" i="6" s="1"/>
  <c r="V1562" i="6" s="1"/>
  <c r="BF1562" i="6" s="1"/>
  <c r="V1563" i="6" s="1"/>
  <c r="BF1563" i="6" s="1"/>
  <c r="V1564" i="6" s="1"/>
  <c r="BF1564" i="6" s="1"/>
  <c r="V1565" i="6" s="1"/>
  <c r="BF1565" i="6" s="1"/>
  <c r="V1566" i="6" s="1"/>
  <c r="BF1566" i="6" s="1"/>
  <c r="V1567" i="6" s="1"/>
  <c r="BF1567" i="6" s="1"/>
  <c r="V1568" i="6" s="1"/>
  <c r="BF1568" i="6" s="1"/>
  <c r="V1569" i="6" s="1"/>
  <c r="BF1569" i="6" s="1"/>
  <c r="V1570" i="6" s="1"/>
  <c r="BF1570" i="6" s="1"/>
  <c r="V1571" i="6" s="1"/>
  <c r="BF1571" i="6" s="1"/>
  <c r="V1572" i="6" s="1"/>
  <c r="BF1572" i="6" s="1"/>
  <c r="V1573" i="6" s="1"/>
  <c r="BF1573" i="6" s="1"/>
  <c r="V1574" i="6" s="1"/>
  <c r="BF1574" i="6" s="1"/>
  <c r="V1575" i="6" s="1"/>
  <c r="BF1575" i="6" s="1"/>
  <c r="V1576" i="6" s="1"/>
  <c r="BF1576" i="6" s="1"/>
  <c r="V1577" i="6" s="1"/>
  <c r="U1554" i="6"/>
  <c r="T1554" i="6"/>
  <c r="S1554" i="6"/>
  <c r="BC1554" i="6" s="1"/>
  <c r="S1555" i="6" s="1"/>
  <c r="BC1555" i="6" s="1"/>
  <c r="S1556" i="6" s="1"/>
  <c r="BC1556" i="6" s="1"/>
  <c r="S1557" i="6" s="1"/>
  <c r="BC1557" i="6" s="1"/>
  <c r="S1558" i="6" s="1"/>
  <c r="BC1558" i="6" s="1"/>
  <c r="S1559" i="6" s="1"/>
  <c r="BC1559" i="6" s="1"/>
  <c r="S1560" i="6" s="1"/>
  <c r="BC1560" i="6" s="1"/>
  <c r="S1561" i="6" s="1"/>
  <c r="BC1561" i="6" s="1"/>
  <c r="S1562" i="6" s="1"/>
  <c r="BC1562" i="6" s="1"/>
  <c r="S1563" i="6" s="1"/>
  <c r="BC1563" i="6" s="1"/>
  <c r="S1564" i="6" s="1"/>
  <c r="BC1564" i="6" s="1"/>
  <c r="S1565" i="6" s="1"/>
  <c r="BC1565" i="6" s="1"/>
  <c r="S1566" i="6" s="1"/>
  <c r="BC1566" i="6" s="1"/>
  <c r="S1567" i="6" s="1"/>
  <c r="BC1567" i="6" s="1"/>
  <c r="S1568" i="6" s="1"/>
  <c r="BC1568" i="6" s="1"/>
  <c r="S1569" i="6" s="1"/>
  <c r="BC1569" i="6" s="1"/>
  <c r="S1570" i="6" s="1"/>
  <c r="BC1570" i="6" s="1"/>
  <c r="S1571" i="6" s="1"/>
  <c r="BC1571" i="6" s="1"/>
  <c r="S1572" i="6" s="1"/>
  <c r="BC1572" i="6" s="1"/>
  <c r="S1573" i="6" s="1"/>
  <c r="BC1573" i="6" s="1"/>
  <c r="S1574" i="6" s="1"/>
  <c r="BC1574" i="6" s="1"/>
  <c r="S1575" i="6" s="1"/>
  <c r="BC1575" i="6" s="1"/>
  <c r="S1576" i="6" s="1"/>
  <c r="BC1576" i="6" s="1"/>
  <c r="S1577" i="6" s="1"/>
  <c r="BC1577" i="6" s="1"/>
  <c r="S1578" i="6" s="1"/>
  <c r="BC1578" i="6" s="1"/>
  <c r="S1579" i="6" s="1"/>
  <c r="BC1579" i="6" s="1"/>
  <c r="S1580" i="6" s="1"/>
  <c r="BC1580" i="6" s="1"/>
  <c r="S1581" i="6" s="1"/>
  <c r="BC1581" i="6" s="1"/>
  <c r="S1582" i="6" s="1"/>
  <c r="BC1582" i="6" s="1"/>
  <c r="S1583" i="6" s="1"/>
  <c r="BC1583" i="6" s="1"/>
  <c r="S1584" i="6" s="1"/>
  <c r="BC1584" i="6" s="1"/>
  <c r="S1585" i="6" s="1"/>
  <c r="BC1585" i="6" s="1"/>
  <c r="S1586" i="6" s="1"/>
  <c r="BC1586" i="6" s="1"/>
  <c r="S1587" i="6" s="1"/>
  <c r="BC1587" i="6" s="1"/>
  <c r="S1588" i="6" s="1"/>
  <c r="BC1588" i="6" s="1"/>
  <c r="S1589" i="6" s="1"/>
  <c r="BC1589" i="6" s="1"/>
  <c r="R1554" i="6"/>
  <c r="Q1554" i="6"/>
  <c r="BA1554" i="6" s="1"/>
  <c r="Q1555" i="6" s="1"/>
  <c r="BA1555" i="6" s="1"/>
  <c r="Q1556" i="6" s="1"/>
  <c r="BA1556" i="6" s="1"/>
  <c r="Q1557" i="6" s="1"/>
  <c r="BA1557" i="6" s="1"/>
  <c r="Q1558" i="6" s="1"/>
  <c r="BA1558" i="6" s="1"/>
  <c r="Q1559" i="6" s="1"/>
  <c r="BA1559" i="6" s="1"/>
  <c r="Q1560" i="6" s="1"/>
  <c r="BA1560" i="6" s="1"/>
  <c r="Q1561" i="6" s="1"/>
  <c r="BA1561" i="6" s="1"/>
  <c r="Q1562" i="6" s="1"/>
  <c r="BA1562" i="6" s="1"/>
  <c r="Q1563" i="6" s="1"/>
  <c r="BA1563" i="6" s="1"/>
  <c r="Q1564" i="6" s="1"/>
  <c r="O1554" i="6"/>
  <c r="AY1554" i="6" s="1"/>
  <c r="O1555" i="6" s="1"/>
  <c r="AY1555" i="6" s="1"/>
  <c r="O1556" i="6" s="1"/>
  <c r="AY1556" i="6" s="1"/>
  <c r="O1557" i="6" s="1"/>
  <c r="AY1557" i="6" s="1"/>
  <c r="O1558" i="6" s="1"/>
  <c r="AY1558" i="6" s="1"/>
  <c r="O1559" i="6" s="1"/>
  <c r="AY1559" i="6" s="1"/>
  <c r="O1560" i="6" s="1"/>
  <c r="AY1560" i="6" s="1"/>
  <c r="O1561" i="6" s="1"/>
  <c r="AY1561" i="6" s="1"/>
  <c r="O1562" i="6" s="1"/>
  <c r="AY1562" i="6" s="1"/>
  <c r="O1563" i="6" s="1"/>
  <c r="AY1563" i="6" s="1"/>
  <c r="O1564" i="6" s="1"/>
  <c r="AY1564" i="6" s="1"/>
  <c r="O1565" i="6" s="1"/>
  <c r="AY1565" i="6" s="1"/>
  <c r="O1566" i="6" s="1"/>
  <c r="AY1566" i="6" s="1"/>
  <c r="O1567" i="6" s="1"/>
  <c r="AY1567" i="6" s="1"/>
  <c r="O1568" i="6" s="1"/>
  <c r="AY1568" i="6" s="1"/>
  <c r="O1569" i="6" s="1"/>
  <c r="AY1569" i="6" s="1"/>
  <c r="O1570" i="6" s="1"/>
  <c r="AY1570" i="6" s="1"/>
  <c r="O1571" i="6" s="1"/>
  <c r="AY1571" i="6" s="1"/>
  <c r="O1572" i="6" s="1"/>
  <c r="AY1572" i="6" s="1"/>
  <c r="O1573" i="6" s="1"/>
  <c r="AY1573" i="6" s="1"/>
  <c r="O1574" i="6" s="1"/>
  <c r="AY1574" i="6" s="1"/>
  <c r="O1575" i="6" s="1"/>
  <c r="AY1575" i="6" s="1"/>
  <c r="O1576" i="6" s="1"/>
  <c r="AY1576" i="6" s="1"/>
  <c r="O1577" i="6" s="1"/>
  <c r="AY1577" i="6" s="1"/>
  <c r="O1578" i="6" s="1"/>
  <c r="AY1578" i="6" s="1"/>
  <c r="O1579" i="6" s="1"/>
  <c r="AY1579" i="6" s="1"/>
  <c r="O1580" i="6" s="1"/>
  <c r="AY1580" i="6" s="1"/>
  <c r="O1581" i="6" s="1"/>
  <c r="AY1581" i="6" s="1"/>
  <c r="O1582" i="6" s="1"/>
  <c r="AY1582" i="6" s="1"/>
  <c r="O1583" i="6" s="1"/>
  <c r="AY1583" i="6" s="1"/>
  <c r="O1584" i="6" s="1"/>
  <c r="AY1584" i="6" s="1"/>
  <c r="O1585" i="6" s="1"/>
  <c r="AY1585" i="6" s="1"/>
  <c r="O1586" i="6" s="1"/>
  <c r="AY1586" i="6" s="1"/>
  <c r="O1587" i="6" s="1"/>
  <c r="AY1587" i="6" s="1"/>
  <c r="O1588" i="6" s="1"/>
  <c r="AY1588" i="6" s="1"/>
  <c r="O1589" i="6" s="1"/>
  <c r="AY1589" i="6" s="1"/>
  <c r="N1554" i="6"/>
  <c r="AX1554" i="6" s="1"/>
  <c r="N1555" i="6" s="1"/>
  <c r="AX1555" i="6" s="1"/>
  <c r="N1556" i="6" s="1"/>
  <c r="AX1556" i="6" s="1"/>
  <c r="N1557" i="6" s="1"/>
  <c r="AX1557" i="6" s="1"/>
  <c r="N1558" i="6" s="1"/>
  <c r="AX1558" i="6" s="1"/>
  <c r="N1559" i="6" s="1"/>
  <c r="AX1559" i="6" s="1"/>
  <c r="N1560" i="6" s="1"/>
  <c r="AX1560" i="6" s="1"/>
  <c r="M1554" i="6"/>
  <c r="AW1554" i="6" s="1"/>
  <c r="M1555" i="6" s="1"/>
  <c r="AW1555" i="6" s="1"/>
  <c r="M1556" i="6" s="1"/>
  <c r="L1554" i="6"/>
  <c r="H1554" i="6"/>
  <c r="G1554" i="6"/>
  <c r="AV1554" i="6" s="1"/>
  <c r="L1555" i="6" s="1"/>
  <c r="AV1555" i="6" s="1"/>
  <c r="L1556" i="6" s="1"/>
  <c r="F1554" i="6"/>
  <c r="E1554" i="6"/>
  <c r="D1554" i="6"/>
  <c r="C1554" i="6"/>
  <c r="B1554" i="6"/>
  <c r="A1554" i="6"/>
  <c r="AO1553" i="6"/>
  <c r="AE1553" i="6"/>
  <c r="H1553" i="6"/>
  <c r="G1553" i="6"/>
  <c r="F1553" i="6"/>
  <c r="E1553" i="6"/>
  <c r="D1553" i="6"/>
  <c r="C1553" i="6"/>
  <c r="B1553" i="6"/>
  <c r="A1553" i="6"/>
  <c r="AO1552" i="6"/>
  <c r="AI1552" i="6"/>
  <c r="AE1552" i="6"/>
  <c r="K1552" i="6"/>
  <c r="J1552" i="6"/>
  <c r="I1552" i="6"/>
  <c r="H1552" i="6"/>
  <c r="G1552" i="6"/>
  <c r="F1552" i="6"/>
  <c r="E1552" i="6"/>
  <c r="D1552" i="6"/>
  <c r="C1552" i="6"/>
  <c r="B1552" i="6"/>
  <c r="A1552" i="6"/>
  <c r="AO1551" i="6"/>
  <c r="AE1551" i="6"/>
  <c r="H1551" i="6"/>
  <c r="G1551" i="6"/>
  <c r="F1551" i="6"/>
  <c r="AI1551" i="6" s="1"/>
  <c r="E1551" i="6"/>
  <c r="D1551" i="6"/>
  <c r="C1551" i="6"/>
  <c r="B1551" i="6"/>
  <c r="A1551" i="6"/>
  <c r="AO1550" i="6"/>
  <c r="AE1550" i="6"/>
  <c r="K1550" i="6"/>
  <c r="J1550" i="6"/>
  <c r="I1550" i="6"/>
  <c r="H1550" i="6"/>
  <c r="G1550" i="6"/>
  <c r="F1550" i="6"/>
  <c r="E1550" i="6"/>
  <c r="D1550" i="6"/>
  <c r="C1550" i="6"/>
  <c r="B1550" i="6"/>
  <c r="A1550" i="6"/>
  <c r="AO1549" i="6"/>
  <c r="H1549" i="6"/>
  <c r="G1549" i="6"/>
  <c r="F1549" i="6"/>
  <c r="J1549" i="6" s="1"/>
  <c r="E1549" i="6"/>
  <c r="D1549" i="6"/>
  <c r="C1549" i="6"/>
  <c r="B1549" i="6"/>
  <c r="A1549" i="6"/>
  <c r="AO1548" i="6"/>
  <c r="AI1548" i="6"/>
  <c r="AE1548" i="6"/>
  <c r="K1548" i="6"/>
  <c r="I1548" i="6"/>
  <c r="H1548" i="6"/>
  <c r="G1548" i="6"/>
  <c r="F1548" i="6"/>
  <c r="J1548" i="6" s="1"/>
  <c r="E1548" i="6"/>
  <c r="D1548" i="6"/>
  <c r="C1548" i="6"/>
  <c r="B1548" i="6"/>
  <c r="A1548" i="6"/>
  <c r="AO1547" i="6"/>
  <c r="AE1547" i="6"/>
  <c r="J1547" i="6"/>
  <c r="H1547" i="6"/>
  <c r="G1547" i="6"/>
  <c r="F1547" i="6"/>
  <c r="E1547" i="6"/>
  <c r="D1547" i="6"/>
  <c r="C1547" i="6"/>
  <c r="B1547" i="6"/>
  <c r="A1547" i="6"/>
  <c r="AO1546" i="6"/>
  <c r="AI1546" i="6"/>
  <c r="K1546" i="6"/>
  <c r="J1546" i="6"/>
  <c r="I1546" i="6"/>
  <c r="H1546" i="6"/>
  <c r="G1546" i="6"/>
  <c r="F1546" i="6"/>
  <c r="AE1546" i="6" s="1"/>
  <c r="E1546" i="6"/>
  <c r="D1546" i="6"/>
  <c r="C1546" i="6"/>
  <c r="B1546" i="6"/>
  <c r="A1546" i="6"/>
  <c r="AO1545" i="6"/>
  <c r="H1545" i="6"/>
  <c r="G1545" i="6"/>
  <c r="F1545" i="6"/>
  <c r="E1545" i="6"/>
  <c r="D1545" i="6"/>
  <c r="C1545" i="6"/>
  <c r="B1545" i="6"/>
  <c r="A1545" i="6"/>
  <c r="AO1544" i="6"/>
  <c r="AE1544" i="6"/>
  <c r="K1544" i="6"/>
  <c r="J1544" i="6"/>
  <c r="H1544" i="6"/>
  <c r="G1544" i="6"/>
  <c r="F1544" i="6"/>
  <c r="E1544" i="6"/>
  <c r="D1544" i="6"/>
  <c r="C1544" i="6"/>
  <c r="B1544" i="6"/>
  <c r="A1544" i="6"/>
  <c r="AO1543" i="6"/>
  <c r="K1543" i="6"/>
  <c r="H1543" i="6"/>
  <c r="G1543" i="6"/>
  <c r="F1543" i="6"/>
  <c r="E1543" i="6"/>
  <c r="D1543" i="6"/>
  <c r="C1543" i="6"/>
  <c r="B1543" i="6"/>
  <c r="A1543" i="6"/>
  <c r="AO1542" i="6"/>
  <c r="H1542" i="6"/>
  <c r="G1542" i="6"/>
  <c r="F1542" i="6"/>
  <c r="E1542" i="6"/>
  <c r="D1542" i="6"/>
  <c r="C1542" i="6"/>
  <c r="B1542" i="6"/>
  <c r="A1542" i="6"/>
  <c r="AO1541" i="6"/>
  <c r="AE1541" i="6"/>
  <c r="K1541" i="6"/>
  <c r="J1541" i="6"/>
  <c r="I1541" i="6"/>
  <c r="H1541" i="6"/>
  <c r="G1541" i="6"/>
  <c r="AI1541" i="6" s="1"/>
  <c r="F1541" i="6"/>
  <c r="E1541" i="6"/>
  <c r="D1541" i="6"/>
  <c r="C1541" i="6"/>
  <c r="B1541" i="6"/>
  <c r="A1541" i="6"/>
  <c r="AT1540" i="6"/>
  <c r="AE1540" i="6"/>
  <c r="K1540" i="6"/>
  <c r="H1540" i="6"/>
  <c r="G1540" i="6"/>
  <c r="F1540" i="6"/>
  <c r="AI1540" i="6" s="1"/>
  <c r="E1540" i="6"/>
  <c r="D1540" i="6"/>
  <c r="C1540" i="6"/>
  <c r="B1540" i="6"/>
  <c r="A1540" i="6"/>
  <c r="AT1539" i="6"/>
  <c r="AO1539" i="6"/>
  <c r="H1539" i="6"/>
  <c r="G1539" i="6"/>
  <c r="F1539" i="6"/>
  <c r="AE1539" i="6" s="1"/>
  <c r="E1539" i="6"/>
  <c r="D1539" i="6"/>
  <c r="C1539" i="6"/>
  <c r="B1539" i="6"/>
  <c r="A1539" i="6"/>
  <c r="AT1538" i="6"/>
  <c r="AO1538" i="6"/>
  <c r="AI1538" i="6"/>
  <c r="AE1538" i="6"/>
  <c r="J1538" i="6"/>
  <c r="I1538" i="6"/>
  <c r="H1538" i="6"/>
  <c r="G1538" i="6"/>
  <c r="F1538" i="6"/>
  <c r="E1538" i="6"/>
  <c r="D1538" i="6"/>
  <c r="C1538" i="6"/>
  <c r="B1538" i="6"/>
  <c r="A1538" i="6"/>
  <c r="AT1537" i="6"/>
  <c r="AO1537" i="6"/>
  <c r="H1537" i="6"/>
  <c r="G1537" i="6"/>
  <c r="F1537" i="6"/>
  <c r="E1537" i="6"/>
  <c r="D1537" i="6"/>
  <c r="C1537" i="6"/>
  <c r="B1537" i="6"/>
  <c r="A1537" i="6"/>
  <c r="AT1536" i="6"/>
  <c r="AO1536" i="6"/>
  <c r="J1536" i="6"/>
  <c r="I1536" i="6"/>
  <c r="H1536" i="6"/>
  <c r="G1536" i="6"/>
  <c r="F1536" i="6"/>
  <c r="AE1536" i="6" s="1"/>
  <c r="E1536" i="6"/>
  <c r="D1536" i="6"/>
  <c r="C1536" i="6"/>
  <c r="B1536" i="6"/>
  <c r="A1536" i="6"/>
  <c r="AT1535" i="6"/>
  <c r="AO1535" i="6"/>
  <c r="AF1535" i="6"/>
  <c r="J1535" i="6"/>
  <c r="I1535" i="6"/>
  <c r="H1535" i="6"/>
  <c r="G1535" i="6"/>
  <c r="F1535" i="6"/>
  <c r="AI1535" i="6" s="1"/>
  <c r="E1535" i="6"/>
  <c r="D1535" i="6"/>
  <c r="C1535" i="6"/>
  <c r="B1535" i="6"/>
  <c r="A1535" i="6"/>
  <c r="AT1534" i="6"/>
  <c r="AI1534" i="6"/>
  <c r="K1534" i="6"/>
  <c r="H1534" i="6"/>
  <c r="G1534" i="6"/>
  <c r="F1534" i="6"/>
  <c r="E1534" i="6"/>
  <c r="D1534" i="6"/>
  <c r="C1534" i="6"/>
  <c r="B1534" i="6"/>
  <c r="A1534" i="6"/>
  <c r="AT1533" i="6"/>
  <c r="AO1533" i="6"/>
  <c r="AF1533" i="6"/>
  <c r="AE1533" i="6"/>
  <c r="J1533" i="6"/>
  <c r="H1533" i="6"/>
  <c r="G1533" i="6"/>
  <c r="F1533" i="6"/>
  <c r="E1533" i="6"/>
  <c r="D1533" i="6"/>
  <c r="C1533" i="6"/>
  <c r="B1533" i="6"/>
  <c r="A1533" i="6"/>
  <c r="AT1532" i="6"/>
  <c r="AO1532" i="6"/>
  <c r="AF1532" i="6"/>
  <c r="AE1532" i="6"/>
  <c r="H1532" i="6"/>
  <c r="G1532" i="6"/>
  <c r="F1532" i="6"/>
  <c r="AI1532" i="6" s="1"/>
  <c r="E1532" i="6"/>
  <c r="D1532" i="6"/>
  <c r="C1532" i="6"/>
  <c r="B1532" i="6"/>
  <c r="A1532" i="6"/>
  <c r="AT1531" i="6"/>
  <c r="AO1531" i="6"/>
  <c r="AI1531" i="6"/>
  <c r="AF1531" i="6"/>
  <c r="K1531" i="6"/>
  <c r="J1531" i="6"/>
  <c r="I1531" i="6"/>
  <c r="H1531" i="6"/>
  <c r="G1531" i="6"/>
  <c r="F1531" i="6"/>
  <c r="AE1531" i="6" s="1"/>
  <c r="E1531" i="6"/>
  <c r="D1531" i="6"/>
  <c r="C1531" i="6"/>
  <c r="B1531" i="6"/>
  <c r="A1531" i="6"/>
  <c r="AT1530" i="6"/>
  <c r="AO1530" i="6"/>
  <c r="AE1530" i="6"/>
  <c r="I1530" i="6"/>
  <c r="H1530" i="6"/>
  <c r="G1530" i="6"/>
  <c r="F1530" i="6"/>
  <c r="E1530" i="6"/>
  <c r="D1530" i="6"/>
  <c r="C1530" i="6"/>
  <c r="B1530" i="6"/>
  <c r="A1530" i="6"/>
  <c r="AT1529" i="6"/>
  <c r="AI1529" i="6"/>
  <c r="AE1529" i="6"/>
  <c r="K1529" i="6"/>
  <c r="J1529" i="6"/>
  <c r="I1529" i="6"/>
  <c r="H1529" i="6"/>
  <c r="G1529" i="6"/>
  <c r="F1529" i="6"/>
  <c r="E1529" i="6"/>
  <c r="D1529" i="6"/>
  <c r="C1529" i="6"/>
  <c r="B1529" i="6"/>
  <c r="A1529" i="6"/>
  <c r="AT1528" i="6"/>
  <c r="I1528" i="6"/>
  <c r="H1528" i="6"/>
  <c r="G1528" i="6"/>
  <c r="F1528" i="6"/>
  <c r="AI1528" i="6" s="1"/>
  <c r="E1528" i="6"/>
  <c r="D1528" i="6"/>
  <c r="C1528" i="6"/>
  <c r="B1528" i="6"/>
  <c r="A1528" i="6"/>
  <c r="AT1527" i="6"/>
  <c r="AO1527" i="6"/>
  <c r="H1527" i="6"/>
  <c r="AF1527" i="6" s="1"/>
  <c r="G1527" i="6"/>
  <c r="F1527" i="6"/>
  <c r="AI1527" i="6" s="1"/>
  <c r="E1527" i="6"/>
  <c r="D1527" i="6"/>
  <c r="C1527" i="6"/>
  <c r="B1527" i="6"/>
  <c r="A1527" i="6"/>
  <c r="AT1526" i="6"/>
  <c r="AO1526" i="6"/>
  <c r="AI1526" i="6"/>
  <c r="AE1526" i="6"/>
  <c r="K1526" i="6"/>
  <c r="J1526" i="6"/>
  <c r="I1526" i="6"/>
  <c r="H1526" i="6"/>
  <c r="G1526" i="6"/>
  <c r="F1526" i="6"/>
  <c r="E1526" i="6"/>
  <c r="D1526" i="6"/>
  <c r="C1526" i="6"/>
  <c r="B1526" i="6"/>
  <c r="A1526" i="6"/>
  <c r="AT1525" i="6"/>
  <c r="AO1525" i="6"/>
  <c r="AF1525" i="6"/>
  <c r="H1525" i="6"/>
  <c r="G1525" i="6"/>
  <c r="F1525" i="6"/>
  <c r="E1525" i="6"/>
  <c r="D1525" i="6"/>
  <c r="C1525" i="6"/>
  <c r="B1525" i="6"/>
  <c r="A1525" i="6"/>
  <c r="AT1524" i="6"/>
  <c r="AO1524" i="6"/>
  <c r="J1524" i="6"/>
  <c r="I1524" i="6"/>
  <c r="H1524" i="6"/>
  <c r="AF1524" i="6" s="1"/>
  <c r="G1524" i="6"/>
  <c r="F1524" i="6"/>
  <c r="AE1524" i="6" s="1"/>
  <c r="E1524" i="6"/>
  <c r="D1524" i="6"/>
  <c r="C1524" i="6"/>
  <c r="B1524" i="6"/>
  <c r="A1524" i="6"/>
  <c r="AT1523" i="6"/>
  <c r="J1523" i="6"/>
  <c r="I1523" i="6"/>
  <c r="H1523" i="6"/>
  <c r="G1523" i="6"/>
  <c r="F1523" i="6"/>
  <c r="AI1523" i="6" s="1"/>
  <c r="E1523" i="6"/>
  <c r="D1523" i="6"/>
  <c r="C1523" i="6"/>
  <c r="B1523" i="6"/>
  <c r="A1523" i="6"/>
  <c r="AT1522" i="6"/>
  <c r="AI1522" i="6"/>
  <c r="K1522" i="6"/>
  <c r="J1522" i="6"/>
  <c r="H1522" i="6"/>
  <c r="G1522" i="6"/>
  <c r="F1522" i="6"/>
  <c r="E1522" i="6"/>
  <c r="D1522" i="6"/>
  <c r="C1522" i="6"/>
  <c r="B1522" i="6"/>
  <c r="A1522" i="6"/>
  <c r="AT1521" i="6"/>
  <c r="AO1521" i="6"/>
  <c r="AE1521" i="6"/>
  <c r="R1521" i="6"/>
  <c r="BB1521" i="6" s="1"/>
  <c r="R1522" i="6" s="1"/>
  <c r="BB1522" i="6" s="1"/>
  <c r="R1523" i="6" s="1"/>
  <c r="BB1523" i="6" s="1"/>
  <c r="R1524" i="6" s="1"/>
  <c r="BB1524" i="6" s="1"/>
  <c r="R1525" i="6" s="1"/>
  <c r="BB1525" i="6" s="1"/>
  <c r="R1526" i="6" s="1"/>
  <c r="BB1526" i="6" s="1"/>
  <c r="R1527" i="6" s="1"/>
  <c r="BB1527" i="6" s="1"/>
  <c r="R1528" i="6" s="1"/>
  <c r="BB1528" i="6" s="1"/>
  <c r="R1529" i="6" s="1"/>
  <c r="BB1529" i="6" s="1"/>
  <c r="R1530" i="6" s="1"/>
  <c r="BB1530" i="6" s="1"/>
  <c r="R1531" i="6" s="1"/>
  <c r="BB1531" i="6" s="1"/>
  <c r="R1532" i="6" s="1"/>
  <c r="BB1532" i="6" s="1"/>
  <c r="R1533" i="6" s="1"/>
  <c r="BB1533" i="6" s="1"/>
  <c r="R1534" i="6" s="1"/>
  <c r="BB1534" i="6" s="1"/>
  <c r="R1535" i="6" s="1"/>
  <c r="BB1535" i="6" s="1"/>
  <c r="R1536" i="6" s="1"/>
  <c r="BB1536" i="6" s="1"/>
  <c r="R1537" i="6" s="1"/>
  <c r="BB1537" i="6" s="1"/>
  <c r="R1538" i="6" s="1"/>
  <c r="BB1538" i="6" s="1"/>
  <c r="R1539" i="6" s="1"/>
  <c r="BB1539" i="6" s="1"/>
  <c r="R1540" i="6" s="1"/>
  <c r="BB1540" i="6" s="1"/>
  <c r="R1541" i="6" s="1"/>
  <c r="BB1541" i="6" s="1"/>
  <c r="R1542" i="6" s="1"/>
  <c r="BB1542" i="6" s="1"/>
  <c r="R1543" i="6" s="1"/>
  <c r="BB1543" i="6" s="1"/>
  <c r="R1544" i="6" s="1"/>
  <c r="BB1544" i="6" s="1"/>
  <c r="R1545" i="6" s="1"/>
  <c r="BB1545" i="6" s="1"/>
  <c r="R1546" i="6" s="1"/>
  <c r="BB1546" i="6" s="1"/>
  <c r="R1547" i="6" s="1"/>
  <c r="BB1547" i="6" s="1"/>
  <c r="R1548" i="6" s="1"/>
  <c r="BB1548" i="6" s="1"/>
  <c r="R1549" i="6" s="1"/>
  <c r="BB1549" i="6" s="1"/>
  <c r="R1550" i="6" s="1"/>
  <c r="BB1550" i="6" s="1"/>
  <c r="R1551" i="6" s="1"/>
  <c r="BB1551" i="6" s="1"/>
  <c r="R1552" i="6" s="1"/>
  <c r="BB1552" i="6" s="1"/>
  <c r="R1553" i="6" s="1"/>
  <c r="BB1553" i="6" s="1"/>
  <c r="J1521" i="6"/>
  <c r="H1521" i="6"/>
  <c r="G1521" i="6"/>
  <c r="F1521" i="6"/>
  <c r="E1521" i="6"/>
  <c r="D1521" i="6"/>
  <c r="C1521" i="6"/>
  <c r="B1521" i="6"/>
  <c r="A1521" i="6"/>
  <c r="AT1520" i="6"/>
  <c r="AO1520" i="6"/>
  <c r="AF1520" i="6"/>
  <c r="AE1520" i="6"/>
  <c r="Z1520" i="6"/>
  <c r="BJ1520" i="6" s="1"/>
  <c r="Z1521" i="6" s="1"/>
  <c r="BJ1521" i="6" s="1"/>
  <c r="Z1522" i="6" s="1"/>
  <c r="BJ1522" i="6" s="1"/>
  <c r="Z1523" i="6" s="1"/>
  <c r="BJ1523" i="6" s="1"/>
  <c r="Z1524" i="6" s="1"/>
  <c r="BJ1524" i="6" s="1"/>
  <c r="Z1525" i="6" s="1"/>
  <c r="BJ1525" i="6" s="1"/>
  <c r="Z1526" i="6" s="1"/>
  <c r="BJ1526" i="6" s="1"/>
  <c r="Z1527" i="6" s="1"/>
  <c r="BJ1527" i="6" s="1"/>
  <c r="Z1528" i="6" s="1"/>
  <c r="BJ1528" i="6" s="1"/>
  <c r="Z1529" i="6" s="1"/>
  <c r="BJ1529" i="6" s="1"/>
  <c r="Z1530" i="6" s="1"/>
  <c r="BJ1530" i="6" s="1"/>
  <c r="Z1531" i="6" s="1"/>
  <c r="BJ1531" i="6" s="1"/>
  <c r="Z1532" i="6" s="1"/>
  <c r="BJ1532" i="6" s="1"/>
  <c r="Z1533" i="6" s="1"/>
  <c r="BJ1533" i="6" s="1"/>
  <c r="Z1534" i="6" s="1"/>
  <c r="BJ1534" i="6" s="1"/>
  <c r="Z1535" i="6" s="1"/>
  <c r="BJ1535" i="6" s="1"/>
  <c r="Z1536" i="6" s="1"/>
  <c r="BJ1536" i="6" s="1"/>
  <c r="Z1537" i="6" s="1"/>
  <c r="BJ1537" i="6" s="1"/>
  <c r="Z1538" i="6" s="1"/>
  <c r="BJ1538" i="6" s="1"/>
  <c r="Z1539" i="6" s="1"/>
  <c r="BJ1539" i="6" s="1"/>
  <c r="Z1540" i="6" s="1"/>
  <c r="BJ1540" i="6" s="1"/>
  <c r="Z1541" i="6" s="1"/>
  <c r="BJ1541" i="6" s="1"/>
  <c r="Z1542" i="6" s="1"/>
  <c r="BJ1542" i="6" s="1"/>
  <c r="Z1543" i="6" s="1"/>
  <c r="BJ1543" i="6" s="1"/>
  <c r="Z1544" i="6" s="1"/>
  <c r="BJ1544" i="6" s="1"/>
  <c r="Z1545" i="6" s="1"/>
  <c r="BJ1545" i="6" s="1"/>
  <c r="Z1546" i="6" s="1"/>
  <c r="BJ1546" i="6" s="1"/>
  <c r="Z1547" i="6" s="1"/>
  <c r="BJ1547" i="6" s="1"/>
  <c r="Z1548" i="6" s="1"/>
  <c r="BJ1548" i="6" s="1"/>
  <c r="Z1549" i="6" s="1"/>
  <c r="BJ1549" i="6" s="1"/>
  <c r="Z1550" i="6" s="1"/>
  <c r="BJ1550" i="6" s="1"/>
  <c r="Z1551" i="6" s="1"/>
  <c r="BJ1551" i="6" s="1"/>
  <c r="Z1552" i="6" s="1"/>
  <c r="BJ1552" i="6" s="1"/>
  <c r="Z1553" i="6" s="1"/>
  <c r="BJ1553" i="6" s="1"/>
  <c r="Y1520" i="6"/>
  <c r="BI1520" i="6" s="1"/>
  <c r="Y1521" i="6" s="1"/>
  <c r="BI1521" i="6" s="1"/>
  <c r="Y1522" i="6" s="1"/>
  <c r="BI1522" i="6" s="1"/>
  <c r="Y1523" i="6" s="1"/>
  <c r="BI1523" i="6" s="1"/>
  <c r="Y1524" i="6" s="1"/>
  <c r="BI1524" i="6" s="1"/>
  <c r="Y1525" i="6" s="1"/>
  <c r="BI1525" i="6" s="1"/>
  <c r="Y1526" i="6" s="1"/>
  <c r="BI1526" i="6" s="1"/>
  <c r="Y1527" i="6" s="1"/>
  <c r="BI1527" i="6" s="1"/>
  <c r="Y1528" i="6" s="1"/>
  <c r="BI1528" i="6" s="1"/>
  <c r="Y1529" i="6" s="1"/>
  <c r="BI1529" i="6" s="1"/>
  <c r="Y1530" i="6" s="1"/>
  <c r="BI1530" i="6" s="1"/>
  <c r="Y1531" i="6" s="1"/>
  <c r="BI1531" i="6" s="1"/>
  <c r="Y1532" i="6" s="1"/>
  <c r="BI1532" i="6" s="1"/>
  <c r="Y1533" i="6" s="1"/>
  <c r="BI1533" i="6" s="1"/>
  <c r="Y1534" i="6" s="1"/>
  <c r="BI1534" i="6" s="1"/>
  <c r="Y1535" i="6" s="1"/>
  <c r="BI1535" i="6" s="1"/>
  <c r="Y1536" i="6" s="1"/>
  <c r="BI1536" i="6" s="1"/>
  <c r="Y1537" i="6" s="1"/>
  <c r="BI1537" i="6" s="1"/>
  <c r="Y1538" i="6" s="1"/>
  <c r="BI1538" i="6" s="1"/>
  <c r="Y1539" i="6" s="1"/>
  <c r="BI1539" i="6" s="1"/>
  <c r="Y1540" i="6" s="1"/>
  <c r="BI1540" i="6" s="1"/>
  <c r="Y1541" i="6" s="1"/>
  <c r="BI1541" i="6" s="1"/>
  <c r="Y1542" i="6" s="1"/>
  <c r="BI1542" i="6" s="1"/>
  <c r="Y1543" i="6" s="1"/>
  <c r="BI1543" i="6" s="1"/>
  <c r="Y1544" i="6" s="1"/>
  <c r="BI1544" i="6" s="1"/>
  <c r="Y1545" i="6" s="1"/>
  <c r="BI1545" i="6" s="1"/>
  <c r="Y1546" i="6" s="1"/>
  <c r="BI1546" i="6" s="1"/>
  <c r="Y1547" i="6" s="1"/>
  <c r="BI1547" i="6" s="1"/>
  <c r="Y1548" i="6" s="1"/>
  <c r="BI1548" i="6" s="1"/>
  <c r="Y1549" i="6" s="1"/>
  <c r="BI1549" i="6" s="1"/>
  <c r="Y1550" i="6" s="1"/>
  <c r="BI1550" i="6" s="1"/>
  <c r="Y1551" i="6" s="1"/>
  <c r="BI1551" i="6" s="1"/>
  <c r="Y1552" i="6" s="1"/>
  <c r="BI1552" i="6" s="1"/>
  <c r="Y1553" i="6" s="1"/>
  <c r="BI1553" i="6" s="1"/>
  <c r="H1520" i="6"/>
  <c r="G1520" i="6"/>
  <c r="F1520" i="6"/>
  <c r="AI1520" i="6" s="1"/>
  <c r="E1520" i="6"/>
  <c r="D1520" i="6"/>
  <c r="C1520" i="6"/>
  <c r="B1520" i="6"/>
  <c r="A1520" i="6"/>
  <c r="BJ1519" i="6"/>
  <c r="BE1519" i="6"/>
  <c r="AT1519" i="6"/>
  <c r="AO1519" i="6"/>
  <c r="AF1519" i="6"/>
  <c r="AE1519" i="6"/>
  <c r="Z1519" i="6"/>
  <c r="T1519" i="6"/>
  <c r="BD1519" i="6" s="1"/>
  <c r="T1520" i="6" s="1"/>
  <c r="BD1520" i="6" s="1"/>
  <c r="T1521" i="6" s="1"/>
  <c r="BD1521" i="6" s="1"/>
  <c r="T1522" i="6" s="1"/>
  <c r="N1519" i="6"/>
  <c r="AX1519" i="6" s="1"/>
  <c r="N1520" i="6" s="1"/>
  <c r="AX1520" i="6" s="1"/>
  <c r="N1521" i="6" s="1"/>
  <c r="AX1521" i="6" s="1"/>
  <c r="N1522" i="6" s="1"/>
  <c r="AX1522" i="6" s="1"/>
  <c r="N1523" i="6" s="1"/>
  <c r="AX1523" i="6" s="1"/>
  <c r="N1524" i="6" s="1"/>
  <c r="AX1524" i="6" s="1"/>
  <c r="L1519" i="6"/>
  <c r="AV1519" i="6" s="1"/>
  <c r="L1520" i="6" s="1"/>
  <c r="K1519" i="6"/>
  <c r="J1519" i="6"/>
  <c r="I1519" i="6"/>
  <c r="H1519" i="6"/>
  <c r="G1519" i="6"/>
  <c r="AI1519" i="6" s="1"/>
  <c r="F1519" i="6"/>
  <c r="E1519" i="6"/>
  <c r="D1519" i="6"/>
  <c r="C1519" i="6"/>
  <c r="B1519" i="6"/>
  <c r="A1519" i="6"/>
  <c r="BO1518" i="6"/>
  <c r="BN1519" i="6" s="1"/>
  <c r="BN1518" i="6"/>
  <c r="BK1518" i="6"/>
  <c r="AA1519" i="6" s="1"/>
  <c r="BK1519" i="6" s="1"/>
  <c r="AA1520" i="6" s="1"/>
  <c r="BK1520" i="6" s="1"/>
  <c r="AA1521" i="6" s="1"/>
  <c r="BK1521" i="6" s="1"/>
  <c r="AA1522" i="6" s="1"/>
  <c r="BK1522" i="6" s="1"/>
  <c r="AA1523" i="6" s="1"/>
  <c r="BK1523" i="6" s="1"/>
  <c r="AA1524" i="6" s="1"/>
  <c r="BK1524" i="6" s="1"/>
  <c r="AA1525" i="6" s="1"/>
  <c r="BK1525" i="6" s="1"/>
  <c r="AA1526" i="6" s="1"/>
  <c r="BK1526" i="6" s="1"/>
  <c r="AA1527" i="6" s="1"/>
  <c r="BK1527" i="6" s="1"/>
  <c r="AA1528" i="6" s="1"/>
  <c r="BK1528" i="6" s="1"/>
  <c r="AA1529" i="6" s="1"/>
  <c r="BK1529" i="6" s="1"/>
  <c r="AA1530" i="6" s="1"/>
  <c r="BK1530" i="6" s="1"/>
  <c r="AA1531" i="6" s="1"/>
  <c r="BK1531" i="6" s="1"/>
  <c r="AA1532" i="6" s="1"/>
  <c r="BK1532" i="6" s="1"/>
  <c r="AA1533" i="6" s="1"/>
  <c r="BK1533" i="6" s="1"/>
  <c r="AA1534" i="6" s="1"/>
  <c r="BK1534" i="6" s="1"/>
  <c r="AA1535" i="6" s="1"/>
  <c r="BK1535" i="6" s="1"/>
  <c r="AA1536" i="6" s="1"/>
  <c r="BK1536" i="6" s="1"/>
  <c r="AA1537" i="6" s="1"/>
  <c r="BK1537" i="6" s="1"/>
  <c r="AA1538" i="6" s="1"/>
  <c r="BK1538" i="6" s="1"/>
  <c r="AA1539" i="6" s="1"/>
  <c r="BK1539" i="6" s="1"/>
  <c r="AA1540" i="6" s="1"/>
  <c r="BK1540" i="6" s="1"/>
  <c r="AA1541" i="6" s="1"/>
  <c r="BK1541" i="6" s="1"/>
  <c r="AA1542" i="6" s="1"/>
  <c r="BK1542" i="6" s="1"/>
  <c r="AA1543" i="6" s="1"/>
  <c r="BK1543" i="6" s="1"/>
  <c r="AA1544" i="6" s="1"/>
  <c r="BK1544" i="6" s="1"/>
  <c r="AA1545" i="6" s="1"/>
  <c r="BK1545" i="6" s="1"/>
  <c r="AA1546" i="6" s="1"/>
  <c r="BK1546" i="6" s="1"/>
  <c r="AA1547" i="6" s="1"/>
  <c r="BK1547" i="6" s="1"/>
  <c r="AA1548" i="6" s="1"/>
  <c r="BK1548" i="6" s="1"/>
  <c r="AA1549" i="6" s="1"/>
  <c r="BK1549" i="6" s="1"/>
  <c r="AA1550" i="6" s="1"/>
  <c r="BK1550" i="6" s="1"/>
  <c r="AA1551" i="6" s="1"/>
  <c r="BK1551" i="6" s="1"/>
  <c r="AA1552" i="6" s="1"/>
  <c r="BK1552" i="6" s="1"/>
  <c r="AA1553" i="6" s="1"/>
  <c r="BK1553" i="6" s="1"/>
  <c r="BE1518" i="6"/>
  <c r="U1519" i="6" s="1"/>
  <c r="AT1518" i="6"/>
  <c r="AO1518" i="6"/>
  <c r="AF1518" i="6"/>
  <c r="AE1518" i="6"/>
  <c r="AC1518" i="6"/>
  <c r="BM1518" i="6" s="1"/>
  <c r="AC1519" i="6" s="1"/>
  <c r="BM1519" i="6" s="1"/>
  <c r="AC1520" i="6" s="1"/>
  <c r="BM1520" i="6" s="1"/>
  <c r="AC1521" i="6" s="1"/>
  <c r="BM1521" i="6" s="1"/>
  <c r="AC1522" i="6" s="1"/>
  <c r="BM1522" i="6" s="1"/>
  <c r="AC1523" i="6" s="1"/>
  <c r="BM1523" i="6" s="1"/>
  <c r="AC1524" i="6" s="1"/>
  <c r="BM1524" i="6" s="1"/>
  <c r="AC1525" i="6" s="1"/>
  <c r="BM1525" i="6" s="1"/>
  <c r="AC1526" i="6" s="1"/>
  <c r="BM1526" i="6" s="1"/>
  <c r="AC1527" i="6" s="1"/>
  <c r="BM1527" i="6" s="1"/>
  <c r="AC1528" i="6" s="1"/>
  <c r="BM1528" i="6" s="1"/>
  <c r="AC1529" i="6" s="1"/>
  <c r="BM1529" i="6" s="1"/>
  <c r="AC1530" i="6" s="1"/>
  <c r="BM1530" i="6" s="1"/>
  <c r="AC1531" i="6" s="1"/>
  <c r="BM1531" i="6" s="1"/>
  <c r="AC1532" i="6" s="1"/>
  <c r="BM1532" i="6" s="1"/>
  <c r="AC1533" i="6" s="1"/>
  <c r="BM1533" i="6" s="1"/>
  <c r="AC1534" i="6" s="1"/>
  <c r="BM1534" i="6" s="1"/>
  <c r="AC1535" i="6" s="1"/>
  <c r="BM1535" i="6" s="1"/>
  <c r="AC1536" i="6" s="1"/>
  <c r="BM1536" i="6" s="1"/>
  <c r="AC1537" i="6" s="1"/>
  <c r="BM1537" i="6" s="1"/>
  <c r="AC1538" i="6" s="1"/>
  <c r="BM1538" i="6" s="1"/>
  <c r="AC1539" i="6" s="1"/>
  <c r="BM1539" i="6" s="1"/>
  <c r="AC1540" i="6" s="1"/>
  <c r="BM1540" i="6" s="1"/>
  <c r="AC1541" i="6" s="1"/>
  <c r="BM1541" i="6" s="1"/>
  <c r="AC1542" i="6" s="1"/>
  <c r="BM1542" i="6" s="1"/>
  <c r="AC1543" i="6" s="1"/>
  <c r="BM1543" i="6" s="1"/>
  <c r="AC1544" i="6" s="1"/>
  <c r="BM1544" i="6" s="1"/>
  <c r="AC1545" i="6" s="1"/>
  <c r="BM1545" i="6" s="1"/>
  <c r="AC1546" i="6" s="1"/>
  <c r="BM1546" i="6" s="1"/>
  <c r="AC1547" i="6" s="1"/>
  <c r="BM1547" i="6" s="1"/>
  <c r="AC1548" i="6" s="1"/>
  <c r="BM1548" i="6" s="1"/>
  <c r="AC1549" i="6" s="1"/>
  <c r="BM1549" i="6" s="1"/>
  <c r="AC1550" i="6" s="1"/>
  <c r="BM1550" i="6" s="1"/>
  <c r="AC1551" i="6" s="1"/>
  <c r="BM1551" i="6" s="1"/>
  <c r="AC1552" i="6" s="1"/>
  <c r="BM1552" i="6" s="1"/>
  <c r="AC1553" i="6" s="1"/>
  <c r="BM1553" i="6" s="1"/>
  <c r="AB1518" i="6"/>
  <c r="BL1518" i="6" s="1"/>
  <c r="AB1519" i="6" s="1"/>
  <c r="BL1519" i="6" s="1"/>
  <c r="AB1520" i="6" s="1"/>
  <c r="BL1520" i="6" s="1"/>
  <c r="AB1521" i="6" s="1"/>
  <c r="BL1521" i="6" s="1"/>
  <c r="AB1522" i="6" s="1"/>
  <c r="BL1522" i="6" s="1"/>
  <c r="AB1523" i="6" s="1"/>
  <c r="BL1523" i="6" s="1"/>
  <c r="AB1524" i="6" s="1"/>
  <c r="BL1524" i="6" s="1"/>
  <c r="AB1525" i="6" s="1"/>
  <c r="BL1525" i="6" s="1"/>
  <c r="AB1526" i="6" s="1"/>
  <c r="BL1526" i="6" s="1"/>
  <c r="AB1527" i="6" s="1"/>
  <c r="BL1527" i="6" s="1"/>
  <c r="AB1528" i="6" s="1"/>
  <c r="BL1528" i="6" s="1"/>
  <c r="AB1529" i="6" s="1"/>
  <c r="BL1529" i="6" s="1"/>
  <c r="AB1530" i="6" s="1"/>
  <c r="BL1530" i="6" s="1"/>
  <c r="AB1531" i="6" s="1"/>
  <c r="BL1531" i="6" s="1"/>
  <c r="AB1532" i="6" s="1"/>
  <c r="BL1532" i="6" s="1"/>
  <c r="AB1533" i="6" s="1"/>
  <c r="BL1533" i="6" s="1"/>
  <c r="AB1534" i="6" s="1"/>
  <c r="BL1534" i="6" s="1"/>
  <c r="AB1535" i="6" s="1"/>
  <c r="BL1535" i="6" s="1"/>
  <c r="AB1536" i="6" s="1"/>
  <c r="BL1536" i="6" s="1"/>
  <c r="AB1537" i="6" s="1"/>
  <c r="BL1537" i="6" s="1"/>
  <c r="AB1538" i="6" s="1"/>
  <c r="BL1538" i="6" s="1"/>
  <c r="AB1539" i="6" s="1"/>
  <c r="BL1539" i="6" s="1"/>
  <c r="AB1540" i="6" s="1"/>
  <c r="BL1540" i="6" s="1"/>
  <c r="AB1541" i="6" s="1"/>
  <c r="BL1541" i="6" s="1"/>
  <c r="AB1542" i="6" s="1"/>
  <c r="BL1542" i="6" s="1"/>
  <c r="AB1543" i="6" s="1"/>
  <c r="BL1543" i="6" s="1"/>
  <c r="AB1544" i="6" s="1"/>
  <c r="BL1544" i="6" s="1"/>
  <c r="AB1545" i="6" s="1"/>
  <c r="BL1545" i="6" s="1"/>
  <c r="AB1546" i="6" s="1"/>
  <c r="BL1546" i="6" s="1"/>
  <c r="AB1547" i="6" s="1"/>
  <c r="BL1547" i="6" s="1"/>
  <c r="AB1548" i="6" s="1"/>
  <c r="BL1548" i="6" s="1"/>
  <c r="AB1549" i="6" s="1"/>
  <c r="BL1549" i="6" s="1"/>
  <c r="AB1550" i="6" s="1"/>
  <c r="BL1550" i="6" s="1"/>
  <c r="AB1551" i="6" s="1"/>
  <c r="BL1551" i="6" s="1"/>
  <c r="AB1552" i="6" s="1"/>
  <c r="BL1552" i="6" s="1"/>
  <c r="AB1553" i="6" s="1"/>
  <c r="BL1553" i="6" s="1"/>
  <c r="AA1518" i="6"/>
  <c r="Z1518" i="6"/>
  <c r="BJ1518" i="6" s="1"/>
  <c r="Y1518" i="6"/>
  <c r="BI1518" i="6" s="1"/>
  <c r="Y1519" i="6" s="1"/>
  <c r="BI1519" i="6" s="1"/>
  <c r="X1518" i="6"/>
  <c r="BH1518" i="6" s="1"/>
  <c r="X1519" i="6" s="1"/>
  <c r="BH1519" i="6" s="1"/>
  <c r="X1520" i="6" s="1"/>
  <c r="BH1520" i="6" s="1"/>
  <c r="X1521" i="6" s="1"/>
  <c r="BH1521" i="6" s="1"/>
  <c r="X1522" i="6" s="1"/>
  <c r="BH1522" i="6" s="1"/>
  <c r="X1523" i="6" s="1"/>
  <c r="BH1523" i="6" s="1"/>
  <c r="X1524" i="6" s="1"/>
  <c r="BH1524" i="6" s="1"/>
  <c r="X1525" i="6" s="1"/>
  <c r="BH1525" i="6" s="1"/>
  <c r="X1526" i="6" s="1"/>
  <c r="BH1526" i="6" s="1"/>
  <c r="X1527" i="6" s="1"/>
  <c r="BH1527" i="6" s="1"/>
  <c r="X1528" i="6" s="1"/>
  <c r="BH1528" i="6" s="1"/>
  <c r="X1529" i="6" s="1"/>
  <c r="BH1529" i="6" s="1"/>
  <c r="X1530" i="6" s="1"/>
  <c r="BH1530" i="6" s="1"/>
  <c r="X1531" i="6" s="1"/>
  <c r="BH1531" i="6" s="1"/>
  <c r="X1532" i="6" s="1"/>
  <c r="BH1532" i="6" s="1"/>
  <c r="X1533" i="6" s="1"/>
  <c r="BH1533" i="6" s="1"/>
  <c r="X1534" i="6" s="1"/>
  <c r="BH1534" i="6" s="1"/>
  <c r="X1535" i="6" s="1"/>
  <c r="BH1535" i="6" s="1"/>
  <c r="X1536" i="6" s="1"/>
  <c r="BH1536" i="6" s="1"/>
  <c r="X1537" i="6" s="1"/>
  <c r="BH1537" i="6" s="1"/>
  <c r="X1538" i="6" s="1"/>
  <c r="BH1538" i="6" s="1"/>
  <c r="X1539" i="6" s="1"/>
  <c r="BH1539" i="6" s="1"/>
  <c r="X1540" i="6" s="1"/>
  <c r="BH1540" i="6" s="1"/>
  <c r="X1541" i="6" s="1"/>
  <c r="BH1541" i="6" s="1"/>
  <c r="X1542" i="6" s="1"/>
  <c r="BH1542" i="6" s="1"/>
  <c r="X1543" i="6" s="1"/>
  <c r="BH1543" i="6" s="1"/>
  <c r="X1544" i="6" s="1"/>
  <c r="BH1544" i="6" s="1"/>
  <c r="X1545" i="6" s="1"/>
  <c r="BH1545" i="6" s="1"/>
  <c r="X1546" i="6" s="1"/>
  <c r="BH1546" i="6" s="1"/>
  <c r="X1547" i="6" s="1"/>
  <c r="BH1547" i="6" s="1"/>
  <c r="X1548" i="6" s="1"/>
  <c r="BH1548" i="6" s="1"/>
  <c r="X1549" i="6" s="1"/>
  <c r="BH1549" i="6" s="1"/>
  <c r="X1550" i="6" s="1"/>
  <c r="BH1550" i="6" s="1"/>
  <c r="X1551" i="6" s="1"/>
  <c r="BH1551" i="6" s="1"/>
  <c r="X1552" i="6" s="1"/>
  <c r="BH1552" i="6" s="1"/>
  <c r="X1553" i="6" s="1"/>
  <c r="BH1553" i="6" s="1"/>
  <c r="W1518" i="6"/>
  <c r="BG1518" i="6" s="1"/>
  <c r="W1519" i="6" s="1"/>
  <c r="V1518" i="6"/>
  <c r="BF1518" i="6" s="1"/>
  <c r="V1519" i="6" s="1"/>
  <c r="BF1519" i="6" s="1"/>
  <c r="V1520" i="6" s="1"/>
  <c r="BF1520" i="6" s="1"/>
  <c r="V1521" i="6" s="1"/>
  <c r="BF1521" i="6" s="1"/>
  <c r="V1522" i="6" s="1"/>
  <c r="BF1522" i="6" s="1"/>
  <c r="V1523" i="6" s="1"/>
  <c r="BF1523" i="6" s="1"/>
  <c r="V1524" i="6" s="1"/>
  <c r="BF1524" i="6" s="1"/>
  <c r="V1525" i="6" s="1"/>
  <c r="BF1525" i="6" s="1"/>
  <c r="V1526" i="6" s="1"/>
  <c r="BF1526" i="6" s="1"/>
  <c r="V1527" i="6" s="1"/>
  <c r="BF1527" i="6" s="1"/>
  <c r="V1528" i="6" s="1"/>
  <c r="BF1528" i="6" s="1"/>
  <c r="V1529" i="6" s="1"/>
  <c r="BF1529" i="6" s="1"/>
  <c r="V1530" i="6" s="1"/>
  <c r="BF1530" i="6" s="1"/>
  <c r="V1531" i="6" s="1"/>
  <c r="BF1531" i="6" s="1"/>
  <c r="V1532" i="6" s="1"/>
  <c r="BF1532" i="6" s="1"/>
  <c r="V1533" i="6" s="1"/>
  <c r="BF1533" i="6" s="1"/>
  <c r="V1534" i="6" s="1"/>
  <c r="BF1534" i="6" s="1"/>
  <c r="V1535" i="6" s="1"/>
  <c r="BF1535" i="6" s="1"/>
  <c r="V1536" i="6" s="1"/>
  <c r="BF1536" i="6" s="1"/>
  <c r="V1537" i="6" s="1"/>
  <c r="BF1537" i="6" s="1"/>
  <c r="V1538" i="6" s="1"/>
  <c r="BF1538" i="6" s="1"/>
  <c r="V1539" i="6" s="1"/>
  <c r="BF1539" i="6" s="1"/>
  <c r="V1540" i="6" s="1"/>
  <c r="BF1540" i="6" s="1"/>
  <c r="V1541" i="6" s="1"/>
  <c r="U1518" i="6"/>
  <c r="T1518" i="6"/>
  <c r="BD1518" i="6" s="1"/>
  <c r="S1518" i="6"/>
  <c r="BC1518" i="6" s="1"/>
  <c r="S1519" i="6" s="1"/>
  <c r="BC1519" i="6" s="1"/>
  <c r="S1520" i="6" s="1"/>
  <c r="BC1520" i="6" s="1"/>
  <c r="S1521" i="6" s="1"/>
  <c r="BC1521" i="6" s="1"/>
  <c r="S1522" i="6" s="1"/>
  <c r="BC1522" i="6" s="1"/>
  <c r="S1523" i="6" s="1"/>
  <c r="BC1523" i="6" s="1"/>
  <c r="S1524" i="6" s="1"/>
  <c r="BC1524" i="6" s="1"/>
  <c r="S1525" i="6" s="1"/>
  <c r="BC1525" i="6" s="1"/>
  <c r="S1526" i="6" s="1"/>
  <c r="BC1526" i="6" s="1"/>
  <c r="S1527" i="6" s="1"/>
  <c r="BC1527" i="6" s="1"/>
  <c r="S1528" i="6" s="1"/>
  <c r="BC1528" i="6" s="1"/>
  <c r="S1529" i="6" s="1"/>
  <c r="BC1529" i="6" s="1"/>
  <c r="S1530" i="6" s="1"/>
  <c r="BC1530" i="6" s="1"/>
  <c r="S1531" i="6" s="1"/>
  <c r="BC1531" i="6" s="1"/>
  <c r="S1532" i="6" s="1"/>
  <c r="BC1532" i="6" s="1"/>
  <c r="S1533" i="6" s="1"/>
  <c r="BC1533" i="6" s="1"/>
  <c r="S1534" i="6" s="1"/>
  <c r="BC1534" i="6" s="1"/>
  <c r="S1535" i="6" s="1"/>
  <c r="BC1535" i="6" s="1"/>
  <c r="S1536" i="6" s="1"/>
  <c r="BC1536" i="6" s="1"/>
  <c r="S1537" i="6" s="1"/>
  <c r="BC1537" i="6" s="1"/>
  <c r="S1538" i="6" s="1"/>
  <c r="BC1538" i="6" s="1"/>
  <c r="S1539" i="6" s="1"/>
  <c r="BC1539" i="6" s="1"/>
  <c r="S1540" i="6" s="1"/>
  <c r="BC1540" i="6" s="1"/>
  <c r="S1541" i="6" s="1"/>
  <c r="BC1541" i="6" s="1"/>
  <c r="S1542" i="6" s="1"/>
  <c r="BC1542" i="6" s="1"/>
  <c r="S1543" i="6" s="1"/>
  <c r="BC1543" i="6" s="1"/>
  <c r="S1544" i="6" s="1"/>
  <c r="BC1544" i="6" s="1"/>
  <c r="S1545" i="6" s="1"/>
  <c r="BC1545" i="6" s="1"/>
  <c r="S1546" i="6" s="1"/>
  <c r="BC1546" i="6" s="1"/>
  <c r="S1547" i="6" s="1"/>
  <c r="BC1547" i="6" s="1"/>
  <c r="S1548" i="6" s="1"/>
  <c r="BC1548" i="6" s="1"/>
  <c r="S1549" i="6" s="1"/>
  <c r="BC1549" i="6" s="1"/>
  <c r="S1550" i="6" s="1"/>
  <c r="BC1550" i="6" s="1"/>
  <c r="S1551" i="6" s="1"/>
  <c r="BC1551" i="6" s="1"/>
  <c r="S1552" i="6" s="1"/>
  <c r="BC1552" i="6" s="1"/>
  <c r="S1553" i="6" s="1"/>
  <c r="BC1553" i="6" s="1"/>
  <c r="R1518" i="6"/>
  <c r="BB1518" i="6" s="1"/>
  <c r="R1519" i="6" s="1"/>
  <c r="BB1519" i="6" s="1"/>
  <c r="R1520" i="6" s="1"/>
  <c r="BB1520" i="6" s="1"/>
  <c r="Q1518" i="6"/>
  <c r="BA1518" i="6" s="1"/>
  <c r="Q1519" i="6" s="1"/>
  <c r="BA1519" i="6" s="1"/>
  <c r="Q1520" i="6" s="1"/>
  <c r="BA1520" i="6" s="1"/>
  <c r="Q1521" i="6" s="1"/>
  <c r="BA1521" i="6" s="1"/>
  <c r="Q1522" i="6" s="1"/>
  <c r="BA1522" i="6" s="1"/>
  <c r="Q1523" i="6" s="1"/>
  <c r="O1518" i="6"/>
  <c r="AY1518" i="6" s="1"/>
  <c r="O1519" i="6" s="1"/>
  <c r="AY1519" i="6" s="1"/>
  <c r="O1520" i="6" s="1"/>
  <c r="AY1520" i="6" s="1"/>
  <c r="O1521" i="6" s="1"/>
  <c r="AY1521" i="6" s="1"/>
  <c r="O1522" i="6" s="1"/>
  <c r="AY1522" i="6" s="1"/>
  <c r="O1523" i="6" s="1"/>
  <c r="AY1523" i="6" s="1"/>
  <c r="O1524" i="6" s="1"/>
  <c r="AY1524" i="6" s="1"/>
  <c r="O1525" i="6" s="1"/>
  <c r="AY1525" i="6" s="1"/>
  <c r="O1526" i="6" s="1"/>
  <c r="AY1526" i="6" s="1"/>
  <c r="O1527" i="6" s="1"/>
  <c r="AY1527" i="6" s="1"/>
  <c r="O1528" i="6" s="1"/>
  <c r="AY1528" i="6" s="1"/>
  <c r="O1529" i="6" s="1"/>
  <c r="AY1529" i="6" s="1"/>
  <c r="O1530" i="6" s="1"/>
  <c r="AY1530" i="6" s="1"/>
  <c r="O1531" i="6" s="1"/>
  <c r="AY1531" i="6" s="1"/>
  <c r="O1532" i="6" s="1"/>
  <c r="AY1532" i="6" s="1"/>
  <c r="O1533" i="6" s="1"/>
  <c r="AY1533" i="6" s="1"/>
  <c r="O1534" i="6" s="1"/>
  <c r="AY1534" i="6" s="1"/>
  <c r="O1535" i="6" s="1"/>
  <c r="AY1535" i="6" s="1"/>
  <c r="O1536" i="6" s="1"/>
  <c r="AY1536" i="6" s="1"/>
  <c r="O1537" i="6" s="1"/>
  <c r="AY1537" i="6" s="1"/>
  <c r="O1538" i="6" s="1"/>
  <c r="AY1538" i="6" s="1"/>
  <c r="O1539" i="6" s="1"/>
  <c r="AY1539" i="6" s="1"/>
  <c r="O1540" i="6" s="1"/>
  <c r="AY1540" i="6" s="1"/>
  <c r="O1541" i="6" s="1"/>
  <c r="AY1541" i="6" s="1"/>
  <c r="O1542" i="6" s="1"/>
  <c r="AY1542" i="6" s="1"/>
  <c r="O1543" i="6" s="1"/>
  <c r="AY1543" i="6" s="1"/>
  <c r="O1544" i="6" s="1"/>
  <c r="AY1544" i="6" s="1"/>
  <c r="O1545" i="6" s="1"/>
  <c r="AY1545" i="6" s="1"/>
  <c r="O1546" i="6" s="1"/>
  <c r="AY1546" i="6" s="1"/>
  <c r="O1547" i="6" s="1"/>
  <c r="AY1547" i="6" s="1"/>
  <c r="O1548" i="6" s="1"/>
  <c r="AY1548" i="6" s="1"/>
  <c r="O1549" i="6" s="1"/>
  <c r="AY1549" i="6" s="1"/>
  <c r="O1550" i="6" s="1"/>
  <c r="AY1550" i="6" s="1"/>
  <c r="O1551" i="6" s="1"/>
  <c r="AY1551" i="6" s="1"/>
  <c r="O1552" i="6" s="1"/>
  <c r="AY1552" i="6" s="1"/>
  <c r="O1553" i="6" s="1"/>
  <c r="AY1553" i="6" s="1"/>
  <c r="N1518" i="6"/>
  <c r="AX1518" i="6" s="1"/>
  <c r="M1518" i="6"/>
  <c r="AW1518" i="6" s="1"/>
  <c r="M1519" i="6" s="1"/>
  <c r="AW1519" i="6" s="1"/>
  <c r="M1520" i="6" s="1"/>
  <c r="L1518" i="6"/>
  <c r="I1518" i="6"/>
  <c r="H1518" i="6"/>
  <c r="G1518" i="6"/>
  <c r="AV1518" i="6" s="1"/>
  <c r="F1518" i="6"/>
  <c r="AI1518" i="6" s="1"/>
  <c r="E1518" i="6"/>
  <c r="D1518" i="6"/>
  <c r="C1518" i="6"/>
  <c r="B1518" i="6"/>
  <c r="A1518" i="6"/>
  <c r="AO1517" i="6"/>
  <c r="AI1517" i="6"/>
  <c r="AE1517" i="6"/>
  <c r="K1517" i="6"/>
  <c r="J1517" i="6"/>
  <c r="I1517" i="6"/>
  <c r="H1517" i="6"/>
  <c r="G1517" i="6"/>
  <c r="F1517" i="6"/>
  <c r="E1517" i="6"/>
  <c r="D1517" i="6"/>
  <c r="C1517" i="6"/>
  <c r="B1517" i="6"/>
  <c r="A1517" i="6"/>
  <c r="AO1516" i="6"/>
  <c r="K1516" i="6"/>
  <c r="I1516" i="6"/>
  <c r="H1516" i="6"/>
  <c r="G1516" i="6"/>
  <c r="F1516" i="6"/>
  <c r="E1516" i="6"/>
  <c r="D1516" i="6"/>
  <c r="C1516" i="6"/>
  <c r="B1516" i="6"/>
  <c r="A1516" i="6"/>
  <c r="AO1515" i="6"/>
  <c r="H1515" i="6"/>
  <c r="G1515" i="6"/>
  <c r="F1515" i="6"/>
  <c r="E1515" i="6"/>
  <c r="D1515" i="6"/>
  <c r="C1515" i="6"/>
  <c r="B1515" i="6"/>
  <c r="A1515" i="6"/>
  <c r="AO1514" i="6"/>
  <c r="AE1514" i="6"/>
  <c r="K1514" i="6"/>
  <c r="H1514" i="6"/>
  <c r="G1514" i="6"/>
  <c r="AI1514" i="6" s="1"/>
  <c r="F1514" i="6"/>
  <c r="E1514" i="6"/>
  <c r="D1514" i="6"/>
  <c r="C1514" i="6"/>
  <c r="B1514" i="6"/>
  <c r="A1514" i="6"/>
  <c r="AO1513" i="6"/>
  <c r="H1513" i="6"/>
  <c r="G1513" i="6"/>
  <c r="F1513" i="6"/>
  <c r="E1513" i="6"/>
  <c r="D1513" i="6"/>
  <c r="C1513" i="6"/>
  <c r="B1513" i="6"/>
  <c r="A1513" i="6"/>
  <c r="AO1512" i="6"/>
  <c r="J1512" i="6"/>
  <c r="I1512" i="6"/>
  <c r="H1512" i="6"/>
  <c r="G1512" i="6"/>
  <c r="F1512" i="6"/>
  <c r="E1512" i="6"/>
  <c r="D1512" i="6"/>
  <c r="C1512" i="6"/>
  <c r="B1512" i="6"/>
  <c r="A1512" i="6"/>
  <c r="AO1511" i="6"/>
  <c r="K1511" i="6"/>
  <c r="J1511" i="6"/>
  <c r="I1511" i="6"/>
  <c r="H1511" i="6"/>
  <c r="G1511" i="6"/>
  <c r="F1511" i="6"/>
  <c r="AI1511" i="6" s="1"/>
  <c r="E1511" i="6"/>
  <c r="D1511" i="6"/>
  <c r="C1511" i="6"/>
  <c r="B1511" i="6"/>
  <c r="A1511" i="6"/>
  <c r="AO1510" i="6"/>
  <c r="AI1510" i="6"/>
  <c r="K1510" i="6"/>
  <c r="J1510" i="6"/>
  <c r="H1510" i="6"/>
  <c r="G1510" i="6"/>
  <c r="F1510" i="6"/>
  <c r="E1510" i="6"/>
  <c r="D1510" i="6"/>
  <c r="C1510" i="6"/>
  <c r="B1510" i="6"/>
  <c r="A1510" i="6"/>
  <c r="AO1509" i="6"/>
  <c r="H1509" i="6"/>
  <c r="G1509" i="6"/>
  <c r="F1509" i="6"/>
  <c r="E1509" i="6"/>
  <c r="D1509" i="6"/>
  <c r="C1509" i="6"/>
  <c r="B1509" i="6"/>
  <c r="A1509" i="6"/>
  <c r="AO1508" i="6"/>
  <c r="AI1508" i="6"/>
  <c r="K1508" i="6"/>
  <c r="H1508" i="6"/>
  <c r="G1508" i="6"/>
  <c r="F1508" i="6"/>
  <c r="J1508" i="6" s="1"/>
  <c r="E1508" i="6"/>
  <c r="D1508" i="6"/>
  <c r="C1508" i="6"/>
  <c r="B1508" i="6"/>
  <c r="A1508" i="6"/>
  <c r="AO1507" i="6"/>
  <c r="H1507" i="6"/>
  <c r="G1507" i="6"/>
  <c r="F1507" i="6"/>
  <c r="E1507" i="6"/>
  <c r="D1507" i="6"/>
  <c r="C1507" i="6"/>
  <c r="B1507" i="6"/>
  <c r="A1507" i="6"/>
  <c r="AO1506" i="6"/>
  <c r="AE1506" i="6"/>
  <c r="K1506" i="6"/>
  <c r="J1506" i="6"/>
  <c r="I1506" i="6"/>
  <c r="H1506" i="6"/>
  <c r="G1506" i="6"/>
  <c r="F1506" i="6"/>
  <c r="E1506" i="6"/>
  <c r="D1506" i="6"/>
  <c r="C1506" i="6"/>
  <c r="B1506" i="6"/>
  <c r="A1506" i="6"/>
  <c r="AO1505" i="6"/>
  <c r="AE1505" i="6"/>
  <c r="K1505" i="6"/>
  <c r="J1505" i="6"/>
  <c r="H1505" i="6"/>
  <c r="G1505" i="6"/>
  <c r="F1505" i="6"/>
  <c r="E1505" i="6"/>
  <c r="D1505" i="6"/>
  <c r="C1505" i="6"/>
  <c r="B1505" i="6"/>
  <c r="A1505" i="6"/>
  <c r="AT1504" i="6"/>
  <c r="J1504" i="6"/>
  <c r="I1504" i="6"/>
  <c r="H1504" i="6"/>
  <c r="G1504" i="6"/>
  <c r="F1504" i="6"/>
  <c r="AI1504" i="6" s="1"/>
  <c r="E1504" i="6"/>
  <c r="D1504" i="6"/>
  <c r="C1504" i="6"/>
  <c r="B1504" i="6"/>
  <c r="A1504" i="6"/>
  <c r="AT1503" i="6"/>
  <c r="AO1503" i="6"/>
  <c r="AE1503" i="6"/>
  <c r="J1503" i="6"/>
  <c r="I1503" i="6"/>
  <c r="H1503" i="6"/>
  <c r="G1503" i="6"/>
  <c r="F1503" i="6"/>
  <c r="E1503" i="6"/>
  <c r="D1503" i="6"/>
  <c r="C1503" i="6"/>
  <c r="B1503" i="6"/>
  <c r="A1503" i="6"/>
  <c r="AT1502" i="6"/>
  <c r="AO1502" i="6"/>
  <c r="AI1502" i="6"/>
  <c r="AE1502" i="6"/>
  <c r="K1502" i="6"/>
  <c r="H1502" i="6"/>
  <c r="G1502" i="6"/>
  <c r="F1502" i="6"/>
  <c r="E1502" i="6"/>
  <c r="D1502" i="6"/>
  <c r="C1502" i="6"/>
  <c r="B1502" i="6"/>
  <c r="A1502" i="6"/>
  <c r="AT1501" i="6"/>
  <c r="AO1501" i="6"/>
  <c r="H1501" i="6"/>
  <c r="G1501" i="6"/>
  <c r="F1501" i="6"/>
  <c r="E1501" i="6"/>
  <c r="D1501" i="6"/>
  <c r="C1501" i="6"/>
  <c r="B1501" i="6"/>
  <c r="A1501" i="6"/>
  <c r="AT1500" i="6"/>
  <c r="AO1500" i="6"/>
  <c r="AE1500" i="6"/>
  <c r="I1500" i="6"/>
  <c r="H1500" i="6"/>
  <c r="G1500" i="6"/>
  <c r="F1500" i="6"/>
  <c r="E1500" i="6"/>
  <c r="D1500" i="6"/>
  <c r="C1500" i="6"/>
  <c r="B1500" i="6"/>
  <c r="A1500" i="6"/>
  <c r="AT1499" i="6"/>
  <c r="AO1499" i="6"/>
  <c r="AI1499" i="6"/>
  <c r="K1499" i="6"/>
  <c r="J1499" i="6"/>
  <c r="I1499" i="6"/>
  <c r="H1499" i="6"/>
  <c r="AF1499" i="6" s="1"/>
  <c r="G1499" i="6"/>
  <c r="F1499" i="6"/>
  <c r="AE1499" i="6" s="1"/>
  <c r="E1499" i="6"/>
  <c r="D1499" i="6"/>
  <c r="C1499" i="6"/>
  <c r="B1499" i="6"/>
  <c r="A1499" i="6"/>
  <c r="AT1498" i="6"/>
  <c r="AI1498" i="6"/>
  <c r="K1498" i="6"/>
  <c r="H1498" i="6"/>
  <c r="G1498" i="6"/>
  <c r="F1498" i="6"/>
  <c r="E1498" i="6"/>
  <c r="D1498" i="6"/>
  <c r="C1498" i="6"/>
  <c r="B1498" i="6"/>
  <c r="A1498" i="6"/>
  <c r="AT1497" i="6"/>
  <c r="AO1497" i="6"/>
  <c r="AF1497" i="6"/>
  <c r="J1497" i="6"/>
  <c r="H1497" i="6"/>
  <c r="G1497" i="6"/>
  <c r="F1497" i="6"/>
  <c r="E1497" i="6"/>
  <c r="D1497" i="6"/>
  <c r="C1497" i="6"/>
  <c r="B1497" i="6"/>
  <c r="A1497" i="6"/>
  <c r="AT1496" i="6"/>
  <c r="AO1496" i="6"/>
  <c r="AI1496" i="6"/>
  <c r="AF1496" i="6"/>
  <c r="K1496" i="6"/>
  <c r="H1496" i="6"/>
  <c r="G1496" i="6"/>
  <c r="F1496" i="6"/>
  <c r="E1496" i="6"/>
  <c r="D1496" i="6"/>
  <c r="C1496" i="6"/>
  <c r="B1496" i="6"/>
  <c r="A1496" i="6"/>
  <c r="AT1495" i="6"/>
  <c r="AO1495" i="6"/>
  <c r="AF1495" i="6"/>
  <c r="H1495" i="6"/>
  <c r="G1495" i="6"/>
  <c r="F1495" i="6"/>
  <c r="E1495" i="6"/>
  <c r="D1495" i="6"/>
  <c r="C1495" i="6"/>
  <c r="B1495" i="6"/>
  <c r="A1495" i="6"/>
  <c r="AT1494" i="6"/>
  <c r="AO1494" i="6"/>
  <c r="AE1494" i="6"/>
  <c r="K1494" i="6"/>
  <c r="J1494" i="6"/>
  <c r="I1494" i="6"/>
  <c r="H1494" i="6"/>
  <c r="G1494" i="6"/>
  <c r="F1494" i="6"/>
  <c r="E1494" i="6"/>
  <c r="D1494" i="6"/>
  <c r="C1494" i="6"/>
  <c r="B1494" i="6"/>
  <c r="A1494" i="6"/>
  <c r="AT1493" i="6"/>
  <c r="AE1493" i="6"/>
  <c r="J1493" i="6"/>
  <c r="H1493" i="6"/>
  <c r="G1493" i="6"/>
  <c r="F1493" i="6"/>
  <c r="E1493" i="6"/>
  <c r="D1493" i="6"/>
  <c r="C1493" i="6"/>
  <c r="B1493" i="6"/>
  <c r="A1493" i="6"/>
  <c r="AT1492" i="6"/>
  <c r="AI1492" i="6"/>
  <c r="K1492" i="6"/>
  <c r="J1492" i="6"/>
  <c r="I1492" i="6"/>
  <c r="H1492" i="6"/>
  <c r="G1492" i="6"/>
  <c r="F1492" i="6"/>
  <c r="AE1492" i="6" s="1"/>
  <c r="E1492" i="6"/>
  <c r="D1492" i="6"/>
  <c r="C1492" i="6"/>
  <c r="B1492" i="6"/>
  <c r="A1492" i="6"/>
  <c r="AT1491" i="6"/>
  <c r="AO1491" i="6"/>
  <c r="AE1491" i="6"/>
  <c r="J1491" i="6"/>
  <c r="I1491" i="6"/>
  <c r="H1491" i="6"/>
  <c r="AF1491" i="6" s="1"/>
  <c r="G1491" i="6"/>
  <c r="F1491" i="6"/>
  <c r="E1491" i="6"/>
  <c r="D1491" i="6"/>
  <c r="C1491" i="6"/>
  <c r="B1491" i="6"/>
  <c r="A1491" i="6"/>
  <c r="AT1490" i="6"/>
  <c r="AO1490" i="6"/>
  <c r="AI1490" i="6"/>
  <c r="AE1490" i="6"/>
  <c r="K1490" i="6"/>
  <c r="J1490" i="6"/>
  <c r="I1490" i="6"/>
  <c r="H1490" i="6"/>
  <c r="G1490" i="6"/>
  <c r="F1490" i="6"/>
  <c r="E1490" i="6"/>
  <c r="D1490" i="6"/>
  <c r="C1490" i="6"/>
  <c r="B1490" i="6"/>
  <c r="A1490" i="6"/>
  <c r="AT1489" i="6"/>
  <c r="AO1489" i="6"/>
  <c r="AF1489" i="6"/>
  <c r="H1489" i="6"/>
  <c r="G1489" i="6"/>
  <c r="F1489" i="6"/>
  <c r="E1489" i="6"/>
  <c r="D1489" i="6"/>
  <c r="C1489" i="6"/>
  <c r="B1489" i="6"/>
  <c r="A1489" i="6"/>
  <c r="AT1488" i="6"/>
  <c r="AO1488" i="6"/>
  <c r="AE1488" i="6"/>
  <c r="I1488" i="6"/>
  <c r="H1488" i="6"/>
  <c r="AF1488" i="6" s="1"/>
  <c r="G1488" i="6"/>
  <c r="F1488" i="6"/>
  <c r="E1488" i="6"/>
  <c r="D1488" i="6"/>
  <c r="C1488" i="6"/>
  <c r="B1488" i="6"/>
  <c r="A1488" i="6"/>
  <c r="AT1487" i="6"/>
  <c r="AI1487" i="6"/>
  <c r="K1487" i="6"/>
  <c r="J1487" i="6"/>
  <c r="I1487" i="6"/>
  <c r="H1487" i="6"/>
  <c r="G1487" i="6"/>
  <c r="F1487" i="6"/>
  <c r="AE1487" i="6" s="1"/>
  <c r="E1487" i="6"/>
  <c r="D1487" i="6"/>
  <c r="C1487" i="6"/>
  <c r="B1487" i="6"/>
  <c r="A1487" i="6"/>
  <c r="AT1486" i="6"/>
  <c r="K1486" i="6"/>
  <c r="H1486" i="6"/>
  <c r="G1486" i="6"/>
  <c r="F1486" i="6"/>
  <c r="E1486" i="6"/>
  <c r="D1486" i="6"/>
  <c r="C1486" i="6"/>
  <c r="B1486" i="6"/>
  <c r="A1486" i="6"/>
  <c r="AT1485" i="6"/>
  <c r="AO1485" i="6"/>
  <c r="H1485" i="6"/>
  <c r="G1485" i="6"/>
  <c r="F1485" i="6"/>
  <c r="E1485" i="6"/>
  <c r="D1485" i="6"/>
  <c r="C1485" i="6"/>
  <c r="B1485" i="6"/>
  <c r="A1485" i="6"/>
  <c r="AT1484" i="6"/>
  <c r="AO1484" i="6"/>
  <c r="AF1484" i="6"/>
  <c r="AC1484" i="6"/>
  <c r="BM1484" i="6" s="1"/>
  <c r="AC1485" i="6" s="1"/>
  <c r="BM1485" i="6" s="1"/>
  <c r="AC1486" i="6" s="1"/>
  <c r="BM1486" i="6" s="1"/>
  <c r="AC1487" i="6" s="1"/>
  <c r="BM1487" i="6" s="1"/>
  <c r="AC1488" i="6" s="1"/>
  <c r="BM1488" i="6" s="1"/>
  <c r="AC1489" i="6" s="1"/>
  <c r="BM1489" i="6" s="1"/>
  <c r="AC1490" i="6" s="1"/>
  <c r="BM1490" i="6" s="1"/>
  <c r="AC1491" i="6" s="1"/>
  <c r="BM1491" i="6" s="1"/>
  <c r="AC1492" i="6" s="1"/>
  <c r="BM1492" i="6" s="1"/>
  <c r="AC1493" i="6" s="1"/>
  <c r="BM1493" i="6" s="1"/>
  <c r="AC1494" i="6" s="1"/>
  <c r="BM1494" i="6" s="1"/>
  <c r="AC1495" i="6" s="1"/>
  <c r="BM1495" i="6" s="1"/>
  <c r="AC1496" i="6" s="1"/>
  <c r="BM1496" i="6" s="1"/>
  <c r="AC1497" i="6" s="1"/>
  <c r="BM1497" i="6" s="1"/>
  <c r="AC1498" i="6" s="1"/>
  <c r="BM1498" i="6" s="1"/>
  <c r="AC1499" i="6" s="1"/>
  <c r="BM1499" i="6" s="1"/>
  <c r="AC1500" i="6" s="1"/>
  <c r="BM1500" i="6" s="1"/>
  <c r="AC1501" i="6" s="1"/>
  <c r="BM1501" i="6" s="1"/>
  <c r="AC1502" i="6" s="1"/>
  <c r="BM1502" i="6" s="1"/>
  <c r="AC1503" i="6" s="1"/>
  <c r="BM1503" i="6" s="1"/>
  <c r="AC1504" i="6" s="1"/>
  <c r="BM1504" i="6" s="1"/>
  <c r="AC1505" i="6" s="1"/>
  <c r="BM1505" i="6" s="1"/>
  <c r="AC1506" i="6" s="1"/>
  <c r="BM1506" i="6" s="1"/>
  <c r="AC1507" i="6" s="1"/>
  <c r="BM1507" i="6" s="1"/>
  <c r="AC1508" i="6" s="1"/>
  <c r="BM1508" i="6" s="1"/>
  <c r="AC1509" i="6" s="1"/>
  <c r="BM1509" i="6" s="1"/>
  <c r="AC1510" i="6" s="1"/>
  <c r="BM1510" i="6" s="1"/>
  <c r="AC1511" i="6" s="1"/>
  <c r="BM1511" i="6" s="1"/>
  <c r="AC1512" i="6" s="1"/>
  <c r="BM1512" i="6" s="1"/>
  <c r="AC1513" i="6" s="1"/>
  <c r="BM1513" i="6" s="1"/>
  <c r="AC1514" i="6" s="1"/>
  <c r="BM1514" i="6" s="1"/>
  <c r="AC1515" i="6" s="1"/>
  <c r="BM1515" i="6" s="1"/>
  <c r="AC1516" i="6" s="1"/>
  <c r="BM1516" i="6" s="1"/>
  <c r="AC1517" i="6" s="1"/>
  <c r="BM1517" i="6" s="1"/>
  <c r="H1484" i="6"/>
  <c r="G1484" i="6"/>
  <c r="F1484" i="6"/>
  <c r="E1484" i="6"/>
  <c r="D1484" i="6"/>
  <c r="C1484" i="6"/>
  <c r="B1484" i="6"/>
  <c r="A1484" i="6"/>
  <c r="BM1483" i="6"/>
  <c r="AT1483" i="6"/>
  <c r="AO1483" i="6"/>
  <c r="AF1483" i="6"/>
  <c r="AC1483" i="6"/>
  <c r="Q1483" i="6"/>
  <c r="BA1483" i="6" s="1"/>
  <c r="Q1484" i="6" s="1"/>
  <c r="BA1484" i="6" s="1"/>
  <c r="Q1485" i="6" s="1"/>
  <c r="BA1485" i="6" s="1"/>
  <c r="Q1486" i="6" s="1"/>
  <c r="I1483" i="6"/>
  <c r="H1483" i="6"/>
  <c r="G1483" i="6"/>
  <c r="F1483" i="6"/>
  <c r="E1483" i="6"/>
  <c r="D1483" i="6"/>
  <c r="C1483" i="6"/>
  <c r="B1483" i="6"/>
  <c r="A1483" i="6"/>
  <c r="BO1482" i="6"/>
  <c r="BN1483" i="6" s="1"/>
  <c r="BO1483" i="6" s="1"/>
  <c r="BN1484" i="6" s="1"/>
  <c r="BO1484" i="6" s="1"/>
  <c r="BN1485" i="6" s="1"/>
  <c r="BO1485" i="6" s="1"/>
  <c r="BN1486" i="6" s="1"/>
  <c r="BO1486" i="6" s="1"/>
  <c r="BN1487" i="6" s="1"/>
  <c r="BO1487" i="6" s="1"/>
  <c r="BN1488" i="6" s="1"/>
  <c r="BO1488" i="6" s="1"/>
  <c r="BN1489" i="6" s="1"/>
  <c r="BO1489" i="6" s="1"/>
  <c r="BN1490" i="6" s="1"/>
  <c r="BO1490" i="6" s="1"/>
  <c r="BN1491" i="6" s="1"/>
  <c r="BO1491" i="6" s="1"/>
  <c r="BN1492" i="6" s="1"/>
  <c r="BO1492" i="6" s="1"/>
  <c r="BN1493" i="6" s="1"/>
  <c r="BO1493" i="6" s="1"/>
  <c r="BN1494" i="6" s="1"/>
  <c r="BN1482" i="6"/>
  <c r="BL1482" i="6"/>
  <c r="AB1483" i="6" s="1"/>
  <c r="BL1483" i="6" s="1"/>
  <c r="AB1484" i="6" s="1"/>
  <c r="BL1484" i="6" s="1"/>
  <c r="AB1485" i="6" s="1"/>
  <c r="BL1485" i="6" s="1"/>
  <c r="AB1486" i="6" s="1"/>
  <c r="BL1486" i="6" s="1"/>
  <c r="AB1487" i="6" s="1"/>
  <c r="BL1487" i="6" s="1"/>
  <c r="AB1488" i="6" s="1"/>
  <c r="BL1488" i="6" s="1"/>
  <c r="AB1489" i="6" s="1"/>
  <c r="BL1489" i="6" s="1"/>
  <c r="AB1490" i="6" s="1"/>
  <c r="BL1490" i="6" s="1"/>
  <c r="AB1491" i="6" s="1"/>
  <c r="BL1491" i="6" s="1"/>
  <c r="AB1492" i="6" s="1"/>
  <c r="BL1492" i="6" s="1"/>
  <c r="AB1493" i="6" s="1"/>
  <c r="BL1493" i="6" s="1"/>
  <c r="AB1494" i="6" s="1"/>
  <c r="BL1494" i="6" s="1"/>
  <c r="AB1495" i="6" s="1"/>
  <c r="BL1495" i="6" s="1"/>
  <c r="AB1496" i="6" s="1"/>
  <c r="BL1496" i="6" s="1"/>
  <c r="AB1497" i="6" s="1"/>
  <c r="BL1497" i="6" s="1"/>
  <c r="AB1498" i="6" s="1"/>
  <c r="BL1498" i="6" s="1"/>
  <c r="AB1499" i="6" s="1"/>
  <c r="BL1499" i="6" s="1"/>
  <c r="AB1500" i="6" s="1"/>
  <c r="BL1500" i="6" s="1"/>
  <c r="AB1501" i="6" s="1"/>
  <c r="BL1501" i="6" s="1"/>
  <c r="AB1502" i="6" s="1"/>
  <c r="BL1502" i="6" s="1"/>
  <c r="AB1503" i="6" s="1"/>
  <c r="BL1503" i="6" s="1"/>
  <c r="AB1504" i="6" s="1"/>
  <c r="BL1504" i="6" s="1"/>
  <c r="AB1505" i="6" s="1"/>
  <c r="BL1505" i="6" s="1"/>
  <c r="AB1506" i="6" s="1"/>
  <c r="BL1506" i="6" s="1"/>
  <c r="AB1507" i="6" s="1"/>
  <c r="BL1507" i="6" s="1"/>
  <c r="AB1508" i="6" s="1"/>
  <c r="BL1508" i="6" s="1"/>
  <c r="AB1509" i="6" s="1"/>
  <c r="BL1509" i="6" s="1"/>
  <c r="AB1510" i="6" s="1"/>
  <c r="BL1510" i="6" s="1"/>
  <c r="AB1511" i="6" s="1"/>
  <c r="BL1511" i="6" s="1"/>
  <c r="AB1512" i="6" s="1"/>
  <c r="BL1512" i="6" s="1"/>
  <c r="AB1513" i="6" s="1"/>
  <c r="BL1513" i="6" s="1"/>
  <c r="AB1514" i="6" s="1"/>
  <c r="BL1514" i="6" s="1"/>
  <c r="AB1515" i="6" s="1"/>
  <c r="BL1515" i="6" s="1"/>
  <c r="AB1516" i="6" s="1"/>
  <c r="BL1516" i="6" s="1"/>
  <c r="AB1517" i="6" s="1"/>
  <c r="BL1517" i="6" s="1"/>
  <c r="BK1482" i="6"/>
  <c r="AA1483" i="6" s="1"/>
  <c r="BK1483" i="6" s="1"/>
  <c r="AA1484" i="6" s="1"/>
  <c r="BK1484" i="6" s="1"/>
  <c r="AA1485" i="6" s="1"/>
  <c r="BK1485" i="6" s="1"/>
  <c r="AA1486" i="6" s="1"/>
  <c r="BK1486" i="6" s="1"/>
  <c r="AA1487" i="6" s="1"/>
  <c r="BK1487" i="6" s="1"/>
  <c r="AA1488" i="6" s="1"/>
  <c r="BK1488" i="6" s="1"/>
  <c r="AA1489" i="6" s="1"/>
  <c r="BK1489" i="6" s="1"/>
  <c r="AA1490" i="6" s="1"/>
  <c r="BK1490" i="6" s="1"/>
  <c r="AA1491" i="6" s="1"/>
  <c r="BK1491" i="6" s="1"/>
  <c r="AA1492" i="6" s="1"/>
  <c r="BK1492" i="6" s="1"/>
  <c r="AA1493" i="6" s="1"/>
  <c r="BK1493" i="6" s="1"/>
  <c r="AA1494" i="6" s="1"/>
  <c r="BK1494" i="6" s="1"/>
  <c r="AA1495" i="6" s="1"/>
  <c r="BK1495" i="6" s="1"/>
  <c r="AA1496" i="6" s="1"/>
  <c r="BK1496" i="6" s="1"/>
  <c r="AA1497" i="6" s="1"/>
  <c r="BK1497" i="6" s="1"/>
  <c r="AA1498" i="6" s="1"/>
  <c r="BK1498" i="6" s="1"/>
  <c r="AA1499" i="6" s="1"/>
  <c r="BK1499" i="6" s="1"/>
  <c r="AA1500" i="6" s="1"/>
  <c r="BK1500" i="6" s="1"/>
  <c r="AA1501" i="6" s="1"/>
  <c r="BK1501" i="6" s="1"/>
  <c r="AA1502" i="6" s="1"/>
  <c r="BK1502" i="6" s="1"/>
  <c r="AA1503" i="6" s="1"/>
  <c r="BK1503" i="6" s="1"/>
  <c r="AA1504" i="6" s="1"/>
  <c r="BK1504" i="6" s="1"/>
  <c r="AA1505" i="6" s="1"/>
  <c r="BK1505" i="6" s="1"/>
  <c r="AA1506" i="6" s="1"/>
  <c r="BK1506" i="6" s="1"/>
  <c r="AA1507" i="6" s="1"/>
  <c r="BK1507" i="6" s="1"/>
  <c r="AA1508" i="6" s="1"/>
  <c r="BK1508" i="6" s="1"/>
  <c r="AA1509" i="6" s="1"/>
  <c r="BK1509" i="6" s="1"/>
  <c r="AA1510" i="6" s="1"/>
  <c r="BK1510" i="6" s="1"/>
  <c r="AA1511" i="6" s="1"/>
  <c r="BK1511" i="6" s="1"/>
  <c r="AA1512" i="6" s="1"/>
  <c r="BK1512" i="6" s="1"/>
  <c r="AA1513" i="6" s="1"/>
  <c r="BK1513" i="6" s="1"/>
  <c r="AA1514" i="6" s="1"/>
  <c r="BK1514" i="6" s="1"/>
  <c r="AA1515" i="6" s="1"/>
  <c r="BK1515" i="6" s="1"/>
  <c r="AA1516" i="6" s="1"/>
  <c r="BK1516" i="6" s="1"/>
  <c r="AA1517" i="6" s="1"/>
  <c r="BK1517" i="6" s="1"/>
  <c r="BI1482" i="6"/>
  <c r="Y1483" i="6" s="1"/>
  <c r="BI1483" i="6" s="1"/>
  <c r="Y1484" i="6" s="1"/>
  <c r="BI1484" i="6" s="1"/>
  <c r="Y1485" i="6" s="1"/>
  <c r="BI1485" i="6" s="1"/>
  <c r="Y1486" i="6" s="1"/>
  <c r="BI1486" i="6" s="1"/>
  <c r="Y1487" i="6" s="1"/>
  <c r="BI1487" i="6" s="1"/>
  <c r="Y1488" i="6" s="1"/>
  <c r="BI1488" i="6" s="1"/>
  <c r="Y1489" i="6" s="1"/>
  <c r="BI1489" i="6" s="1"/>
  <c r="Y1490" i="6" s="1"/>
  <c r="BI1490" i="6" s="1"/>
  <c r="Y1491" i="6" s="1"/>
  <c r="BI1491" i="6" s="1"/>
  <c r="Y1492" i="6" s="1"/>
  <c r="BI1492" i="6" s="1"/>
  <c r="Y1493" i="6" s="1"/>
  <c r="BI1493" i="6" s="1"/>
  <c r="Y1494" i="6" s="1"/>
  <c r="BI1494" i="6" s="1"/>
  <c r="Y1495" i="6" s="1"/>
  <c r="BI1495" i="6" s="1"/>
  <c r="Y1496" i="6" s="1"/>
  <c r="BI1496" i="6" s="1"/>
  <c r="Y1497" i="6" s="1"/>
  <c r="BI1497" i="6" s="1"/>
  <c r="Y1498" i="6" s="1"/>
  <c r="BI1498" i="6" s="1"/>
  <c r="Y1499" i="6" s="1"/>
  <c r="BI1499" i="6" s="1"/>
  <c r="Y1500" i="6" s="1"/>
  <c r="BI1500" i="6" s="1"/>
  <c r="Y1501" i="6" s="1"/>
  <c r="BI1501" i="6" s="1"/>
  <c r="Y1502" i="6" s="1"/>
  <c r="BI1502" i="6" s="1"/>
  <c r="Y1503" i="6" s="1"/>
  <c r="BI1503" i="6" s="1"/>
  <c r="Y1504" i="6" s="1"/>
  <c r="BI1504" i="6" s="1"/>
  <c r="Y1505" i="6" s="1"/>
  <c r="BI1505" i="6" s="1"/>
  <c r="Y1506" i="6" s="1"/>
  <c r="BI1506" i="6" s="1"/>
  <c r="Y1507" i="6" s="1"/>
  <c r="BI1507" i="6" s="1"/>
  <c r="Y1508" i="6" s="1"/>
  <c r="BI1508" i="6" s="1"/>
  <c r="Y1509" i="6" s="1"/>
  <c r="BI1509" i="6" s="1"/>
  <c r="Y1510" i="6" s="1"/>
  <c r="BI1510" i="6" s="1"/>
  <c r="Y1511" i="6" s="1"/>
  <c r="BI1511" i="6" s="1"/>
  <c r="Y1512" i="6" s="1"/>
  <c r="BI1512" i="6" s="1"/>
  <c r="Y1513" i="6" s="1"/>
  <c r="BI1513" i="6" s="1"/>
  <c r="Y1514" i="6" s="1"/>
  <c r="BI1514" i="6" s="1"/>
  <c r="Y1515" i="6" s="1"/>
  <c r="BI1515" i="6" s="1"/>
  <c r="Y1516" i="6" s="1"/>
  <c r="BI1516" i="6" s="1"/>
  <c r="Y1517" i="6" s="1"/>
  <c r="BI1517" i="6" s="1"/>
  <c r="BH1482" i="6"/>
  <c r="X1483" i="6" s="1"/>
  <c r="BE1482" i="6"/>
  <c r="BE1483" i="6" s="1"/>
  <c r="BD1482" i="6"/>
  <c r="T1483" i="6" s="1"/>
  <c r="AY1482" i="6"/>
  <c r="O1483" i="6" s="1"/>
  <c r="AY1483" i="6" s="1"/>
  <c r="O1484" i="6" s="1"/>
  <c r="AY1484" i="6" s="1"/>
  <c r="O1485" i="6" s="1"/>
  <c r="AY1485" i="6" s="1"/>
  <c r="O1486" i="6" s="1"/>
  <c r="AY1486" i="6" s="1"/>
  <c r="O1487" i="6" s="1"/>
  <c r="AY1487" i="6" s="1"/>
  <c r="O1488" i="6" s="1"/>
  <c r="AY1488" i="6" s="1"/>
  <c r="O1489" i="6" s="1"/>
  <c r="AY1489" i="6" s="1"/>
  <c r="O1490" i="6" s="1"/>
  <c r="AY1490" i="6" s="1"/>
  <c r="O1491" i="6" s="1"/>
  <c r="AY1491" i="6" s="1"/>
  <c r="O1492" i="6" s="1"/>
  <c r="AY1492" i="6" s="1"/>
  <c r="O1493" i="6" s="1"/>
  <c r="AY1493" i="6" s="1"/>
  <c r="O1494" i="6" s="1"/>
  <c r="AY1494" i="6" s="1"/>
  <c r="O1495" i="6" s="1"/>
  <c r="AY1495" i="6" s="1"/>
  <c r="O1496" i="6" s="1"/>
  <c r="AY1496" i="6" s="1"/>
  <c r="O1497" i="6" s="1"/>
  <c r="AY1497" i="6" s="1"/>
  <c r="O1498" i="6" s="1"/>
  <c r="AY1498" i="6" s="1"/>
  <c r="O1499" i="6" s="1"/>
  <c r="AY1499" i="6" s="1"/>
  <c r="O1500" i="6" s="1"/>
  <c r="AY1500" i="6" s="1"/>
  <c r="O1501" i="6" s="1"/>
  <c r="AY1501" i="6" s="1"/>
  <c r="O1502" i="6" s="1"/>
  <c r="AY1502" i="6" s="1"/>
  <c r="O1503" i="6" s="1"/>
  <c r="AY1503" i="6" s="1"/>
  <c r="O1504" i="6" s="1"/>
  <c r="AY1504" i="6" s="1"/>
  <c r="O1505" i="6" s="1"/>
  <c r="AY1505" i="6" s="1"/>
  <c r="O1506" i="6" s="1"/>
  <c r="AY1506" i="6" s="1"/>
  <c r="O1507" i="6" s="1"/>
  <c r="AY1507" i="6" s="1"/>
  <c r="O1508" i="6" s="1"/>
  <c r="AY1508" i="6" s="1"/>
  <c r="O1509" i="6" s="1"/>
  <c r="AY1509" i="6" s="1"/>
  <c r="O1510" i="6" s="1"/>
  <c r="AY1510" i="6" s="1"/>
  <c r="O1511" i="6" s="1"/>
  <c r="AY1511" i="6" s="1"/>
  <c r="O1512" i="6" s="1"/>
  <c r="AY1512" i="6" s="1"/>
  <c r="O1513" i="6" s="1"/>
  <c r="AY1513" i="6" s="1"/>
  <c r="O1514" i="6" s="1"/>
  <c r="AY1514" i="6" s="1"/>
  <c r="O1515" i="6" s="1"/>
  <c r="AY1515" i="6" s="1"/>
  <c r="O1516" i="6" s="1"/>
  <c r="AY1516" i="6" s="1"/>
  <c r="O1517" i="6" s="1"/>
  <c r="AY1517" i="6" s="1"/>
  <c r="AW1482" i="6"/>
  <c r="M1483" i="6" s="1"/>
  <c r="AW1483" i="6" s="1"/>
  <c r="M1484" i="6" s="1"/>
  <c r="AT1482" i="6"/>
  <c r="AO1482" i="6"/>
  <c r="AF1482" i="6"/>
  <c r="AE1482" i="6"/>
  <c r="AC1482" i="6"/>
  <c r="BM1482" i="6" s="1"/>
  <c r="AB1482" i="6"/>
  <c r="AA1482" i="6"/>
  <c r="Z1482" i="6"/>
  <c r="BJ1482" i="6" s="1"/>
  <c r="Z1483" i="6" s="1"/>
  <c r="BJ1483" i="6" s="1"/>
  <c r="Z1484" i="6" s="1"/>
  <c r="BJ1484" i="6" s="1"/>
  <c r="Z1485" i="6" s="1"/>
  <c r="BJ1485" i="6" s="1"/>
  <c r="Z1486" i="6" s="1"/>
  <c r="BJ1486" i="6" s="1"/>
  <c r="Z1487" i="6" s="1"/>
  <c r="BJ1487" i="6" s="1"/>
  <c r="Z1488" i="6" s="1"/>
  <c r="BJ1488" i="6" s="1"/>
  <c r="Z1489" i="6" s="1"/>
  <c r="BJ1489" i="6" s="1"/>
  <c r="Z1490" i="6" s="1"/>
  <c r="BJ1490" i="6" s="1"/>
  <c r="Z1491" i="6" s="1"/>
  <c r="BJ1491" i="6" s="1"/>
  <c r="Z1492" i="6" s="1"/>
  <c r="BJ1492" i="6" s="1"/>
  <c r="Z1493" i="6" s="1"/>
  <c r="BJ1493" i="6" s="1"/>
  <c r="Z1494" i="6" s="1"/>
  <c r="BJ1494" i="6" s="1"/>
  <c r="Z1495" i="6" s="1"/>
  <c r="BJ1495" i="6" s="1"/>
  <c r="Z1496" i="6" s="1"/>
  <c r="BJ1496" i="6" s="1"/>
  <c r="Z1497" i="6" s="1"/>
  <c r="BJ1497" i="6" s="1"/>
  <c r="Z1498" i="6" s="1"/>
  <c r="BJ1498" i="6" s="1"/>
  <c r="Z1499" i="6" s="1"/>
  <c r="BJ1499" i="6" s="1"/>
  <c r="Z1500" i="6" s="1"/>
  <c r="BJ1500" i="6" s="1"/>
  <c r="Z1501" i="6" s="1"/>
  <c r="BJ1501" i="6" s="1"/>
  <c r="Z1502" i="6" s="1"/>
  <c r="BJ1502" i="6" s="1"/>
  <c r="Z1503" i="6" s="1"/>
  <c r="BJ1503" i="6" s="1"/>
  <c r="Z1504" i="6" s="1"/>
  <c r="BJ1504" i="6" s="1"/>
  <c r="Z1505" i="6" s="1"/>
  <c r="BJ1505" i="6" s="1"/>
  <c r="Z1506" i="6" s="1"/>
  <c r="BJ1506" i="6" s="1"/>
  <c r="Z1507" i="6" s="1"/>
  <c r="BJ1507" i="6" s="1"/>
  <c r="Z1508" i="6" s="1"/>
  <c r="BJ1508" i="6" s="1"/>
  <c r="Z1509" i="6" s="1"/>
  <c r="BJ1509" i="6" s="1"/>
  <c r="Z1510" i="6" s="1"/>
  <c r="BJ1510" i="6" s="1"/>
  <c r="Z1511" i="6" s="1"/>
  <c r="BJ1511" i="6" s="1"/>
  <c r="Z1512" i="6" s="1"/>
  <c r="BJ1512" i="6" s="1"/>
  <c r="Z1513" i="6" s="1"/>
  <c r="BJ1513" i="6" s="1"/>
  <c r="Z1514" i="6" s="1"/>
  <c r="BJ1514" i="6" s="1"/>
  <c r="Z1515" i="6" s="1"/>
  <c r="BJ1515" i="6" s="1"/>
  <c r="Z1516" i="6" s="1"/>
  <c r="BJ1516" i="6" s="1"/>
  <c r="Z1517" i="6" s="1"/>
  <c r="BJ1517" i="6" s="1"/>
  <c r="Y1482" i="6"/>
  <c r="X1482" i="6"/>
  <c r="W1482" i="6"/>
  <c r="BG1482" i="6" s="1"/>
  <c r="W1483" i="6" s="1"/>
  <c r="BG1483" i="6" s="1"/>
  <c r="W1484" i="6" s="1"/>
  <c r="BG1484" i="6" s="1"/>
  <c r="W1485" i="6" s="1"/>
  <c r="BG1485" i="6" s="1"/>
  <c r="W1486" i="6" s="1"/>
  <c r="BG1486" i="6" s="1"/>
  <c r="W1487" i="6" s="1"/>
  <c r="V1482" i="6"/>
  <c r="BF1482" i="6" s="1"/>
  <c r="V1483" i="6" s="1"/>
  <c r="BF1483" i="6" s="1"/>
  <c r="V1484" i="6" s="1"/>
  <c r="BF1484" i="6" s="1"/>
  <c r="V1485" i="6" s="1"/>
  <c r="BF1485" i="6" s="1"/>
  <c r="V1486" i="6" s="1"/>
  <c r="BF1486" i="6" s="1"/>
  <c r="V1487" i="6" s="1"/>
  <c r="BF1487" i="6" s="1"/>
  <c r="V1488" i="6" s="1"/>
  <c r="BF1488" i="6" s="1"/>
  <c r="V1489" i="6" s="1"/>
  <c r="BF1489" i="6" s="1"/>
  <c r="V1490" i="6" s="1"/>
  <c r="BF1490" i="6" s="1"/>
  <c r="V1491" i="6" s="1"/>
  <c r="BF1491" i="6" s="1"/>
  <c r="V1492" i="6" s="1"/>
  <c r="BF1492" i="6" s="1"/>
  <c r="V1493" i="6" s="1"/>
  <c r="BF1493" i="6" s="1"/>
  <c r="V1494" i="6" s="1"/>
  <c r="BF1494" i="6" s="1"/>
  <c r="V1495" i="6" s="1"/>
  <c r="BF1495" i="6" s="1"/>
  <c r="V1496" i="6" s="1"/>
  <c r="BF1496" i="6" s="1"/>
  <c r="V1497" i="6" s="1"/>
  <c r="BF1497" i="6" s="1"/>
  <c r="V1498" i="6" s="1"/>
  <c r="BF1498" i="6" s="1"/>
  <c r="V1499" i="6" s="1"/>
  <c r="BF1499" i="6" s="1"/>
  <c r="V1500" i="6" s="1"/>
  <c r="BF1500" i="6" s="1"/>
  <c r="V1501" i="6" s="1"/>
  <c r="BF1501" i="6" s="1"/>
  <c r="V1502" i="6" s="1"/>
  <c r="BF1502" i="6" s="1"/>
  <c r="V1503" i="6" s="1"/>
  <c r="BF1503" i="6" s="1"/>
  <c r="V1504" i="6" s="1"/>
  <c r="BF1504" i="6" s="1"/>
  <c r="V1505" i="6" s="1"/>
  <c r="U1482" i="6"/>
  <c r="T1482" i="6"/>
  <c r="S1482" i="6"/>
  <c r="BC1482" i="6" s="1"/>
  <c r="S1483" i="6" s="1"/>
  <c r="BC1483" i="6" s="1"/>
  <c r="S1484" i="6" s="1"/>
  <c r="BC1484" i="6" s="1"/>
  <c r="S1485" i="6" s="1"/>
  <c r="BC1485" i="6" s="1"/>
  <c r="S1486" i="6" s="1"/>
  <c r="BC1486" i="6" s="1"/>
  <c r="S1487" i="6" s="1"/>
  <c r="BC1487" i="6" s="1"/>
  <c r="S1488" i="6" s="1"/>
  <c r="BC1488" i="6" s="1"/>
  <c r="S1489" i="6" s="1"/>
  <c r="BC1489" i="6" s="1"/>
  <c r="S1490" i="6" s="1"/>
  <c r="BC1490" i="6" s="1"/>
  <c r="S1491" i="6" s="1"/>
  <c r="BC1491" i="6" s="1"/>
  <c r="S1492" i="6" s="1"/>
  <c r="BC1492" i="6" s="1"/>
  <c r="S1493" i="6" s="1"/>
  <c r="BC1493" i="6" s="1"/>
  <c r="S1494" i="6" s="1"/>
  <c r="BC1494" i="6" s="1"/>
  <c r="S1495" i="6" s="1"/>
  <c r="BC1495" i="6" s="1"/>
  <c r="S1496" i="6" s="1"/>
  <c r="BC1496" i="6" s="1"/>
  <c r="S1497" i="6" s="1"/>
  <c r="BC1497" i="6" s="1"/>
  <c r="S1498" i="6" s="1"/>
  <c r="BC1498" i="6" s="1"/>
  <c r="S1499" i="6" s="1"/>
  <c r="BC1499" i="6" s="1"/>
  <c r="S1500" i="6" s="1"/>
  <c r="BC1500" i="6" s="1"/>
  <c r="S1501" i="6" s="1"/>
  <c r="BC1501" i="6" s="1"/>
  <c r="S1502" i="6" s="1"/>
  <c r="BC1502" i="6" s="1"/>
  <c r="S1503" i="6" s="1"/>
  <c r="BC1503" i="6" s="1"/>
  <c r="S1504" i="6" s="1"/>
  <c r="BC1504" i="6" s="1"/>
  <c r="S1505" i="6" s="1"/>
  <c r="BC1505" i="6" s="1"/>
  <c r="S1506" i="6" s="1"/>
  <c r="BC1506" i="6" s="1"/>
  <c r="S1507" i="6" s="1"/>
  <c r="BC1507" i="6" s="1"/>
  <c r="S1508" i="6" s="1"/>
  <c r="BC1508" i="6" s="1"/>
  <c r="S1509" i="6" s="1"/>
  <c r="BC1509" i="6" s="1"/>
  <c r="S1510" i="6" s="1"/>
  <c r="BC1510" i="6" s="1"/>
  <c r="S1511" i="6" s="1"/>
  <c r="BC1511" i="6" s="1"/>
  <c r="S1512" i="6" s="1"/>
  <c r="BC1512" i="6" s="1"/>
  <c r="S1513" i="6" s="1"/>
  <c r="BC1513" i="6" s="1"/>
  <c r="S1514" i="6" s="1"/>
  <c r="BC1514" i="6" s="1"/>
  <c r="S1515" i="6" s="1"/>
  <c r="BC1515" i="6" s="1"/>
  <c r="S1516" i="6" s="1"/>
  <c r="BC1516" i="6" s="1"/>
  <c r="S1517" i="6" s="1"/>
  <c r="BC1517" i="6" s="1"/>
  <c r="R1482" i="6"/>
  <c r="BB1482" i="6" s="1"/>
  <c r="R1483" i="6" s="1"/>
  <c r="BB1483" i="6" s="1"/>
  <c r="R1484" i="6" s="1"/>
  <c r="BB1484" i="6" s="1"/>
  <c r="R1485" i="6" s="1"/>
  <c r="BB1485" i="6" s="1"/>
  <c r="R1486" i="6" s="1"/>
  <c r="BB1486" i="6" s="1"/>
  <c r="R1487" i="6" s="1"/>
  <c r="BB1487" i="6" s="1"/>
  <c r="R1488" i="6" s="1"/>
  <c r="BB1488" i="6" s="1"/>
  <c r="R1489" i="6" s="1"/>
  <c r="BB1489" i="6" s="1"/>
  <c r="R1490" i="6" s="1"/>
  <c r="BB1490" i="6" s="1"/>
  <c r="R1491" i="6" s="1"/>
  <c r="BB1491" i="6" s="1"/>
  <c r="R1492" i="6" s="1"/>
  <c r="BB1492" i="6" s="1"/>
  <c r="R1493" i="6" s="1"/>
  <c r="BB1493" i="6" s="1"/>
  <c r="R1494" i="6" s="1"/>
  <c r="BB1494" i="6" s="1"/>
  <c r="R1495" i="6" s="1"/>
  <c r="BB1495" i="6" s="1"/>
  <c r="R1496" i="6" s="1"/>
  <c r="BB1496" i="6" s="1"/>
  <c r="R1497" i="6" s="1"/>
  <c r="BB1497" i="6" s="1"/>
  <c r="R1498" i="6" s="1"/>
  <c r="BB1498" i="6" s="1"/>
  <c r="R1499" i="6" s="1"/>
  <c r="BB1499" i="6" s="1"/>
  <c r="R1500" i="6" s="1"/>
  <c r="BB1500" i="6" s="1"/>
  <c r="R1501" i="6" s="1"/>
  <c r="BB1501" i="6" s="1"/>
  <c r="R1502" i="6" s="1"/>
  <c r="BB1502" i="6" s="1"/>
  <c r="R1503" i="6" s="1"/>
  <c r="BB1503" i="6" s="1"/>
  <c r="R1504" i="6" s="1"/>
  <c r="BB1504" i="6" s="1"/>
  <c r="R1505" i="6" s="1"/>
  <c r="BB1505" i="6" s="1"/>
  <c r="R1506" i="6" s="1"/>
  <c r="BB1506" i="6" s="1"/>
  <c r="R1507" i="6" s="1"/>
  <c r="BB1507" i="6" s="1"/>
  <c r="R1508" i="6" s="1"/>
  <c r="BB1508" i="6" s="1"/>
  <c r="R1509" i="6" s="1"/>
  <c r="BB1509" i="6" s="1"/>
  <c r="R1510" i="6" s="1"/>
  <c r="BB1510" i="6" s="1"/>
  <c r="R1511" i="6" s="1"/>
  <c r="BB1511" i="6" s="1"/>
  <c r="R1512" i="6" s="1"/>
  <c r="BB1512" i="6" s="1"/>
  <c r="R1513" i="6" s="1"/>
  <c r="BB1513" i="6" s="1"/>
  <c r="R1514" i="6" s="1"/>
  <c r="BB1514" i="6" s="1"/>
  <c r="R1515" i="6" s="1"/>
  <c r="BB1515" i="6" s="1"/>
  <c r="R1516" i="6" s="1"/>
  <c r="BB1516" i="6" s="1"/>
  <c r="R1517" i="6" s="1"/>
  <c r="BB1517" i="6" s="1"/>
  <c r="Q1482" i="6"/>
  <c r="BA1482" i="6" s="1"/>
  <c r="O1482" i="6"/>
  <c r="N1482" i="6"/>
  <c r="AX1482" i="6" s="1"/>
  <c r="N1483" i="6" s="1"/>
  <c r="AX1483" i="6" s="1"/>
  <c r="N1484" i="6" s="1"/>
  <c r="AX1484" i="6" s="1"/>
  <c r="N1485" i="6" s="1"/>
  <c r="AX1485" i="6" s="1"/>
  <c r="N1486" i="6" s="1"/>
  <c r="AX1486" i="6" s="1"/>
  <c r="N1487" i="6" s="1"/>
  <c r="AX1487" i="6" s="1"/>
  <c r="N1488" i="6" s="1"/>
  <c r="AX1488" i="6" s="1"/>
  <c r="M1482" i="6"/>
  <c r="L1482" i="6"/>
  <c r="K1482" i="6"/>
  <c r="J1482" i="6"/>
  <c r="I1482" i="6"/>
  <c r="H1482" i="6"/>
  <c r="G1482" i="6"/>
  <c r="AI1482" i="6" s="1"/>
  <c r="F1482" i="6"/>
  <c r="AP1482" i="6" s="1"/>
  <c r="E1482" i="6"/>
  <c r="D1482" i="6"/>
  <c r="C1482" i="6"/>
  <c r="B1482" i="6"/>
  <c r="A1482" i="6"/>
  <c r="AO1481" i="6"/>
  <c r="AE1481" i="6"/>
  <c r="K1481" i="6"/>
  <c r="I1481" i="6"/>
  <c r="H1481" i="6"/>
  <c r="G1481" i="6"/>
  <c r="F1481" i="6"/>
  <c r="E1481" i="6"/>
  <c r="D1481" i="6"/>
  <c r="C1481" i="6"/>
  <c r="B1481" i="6"/>
  <c r="A1481" i="6"/>
  <c r="AO1480" i="6"/>
  <c r="H1480" i="6"/>
  <c r="G1480" i="6"/>
  <c r="F1480" i="6"/>
  <c r="J1480" i="6" s="1"/>
  <c r="E1480" i="6"/>
  <c r="D1480" i="6"/>
  <c r="C1480" i="6"/>
  <c r="B1480" i="6"/>
  <c r="A1480" i="6"/>
  <c r="AO1479" i="6"/>
  <c r="H1479" i="6"/>
  <c r="G1479" i="6"/>
  <c r="F1479" i="6"/>
  <c r="AI1479" i="6" s="1"/>
  <c r="E1479" i="6"/>
  <c r="D1479" i="6"/>
  <c r="C1479" i="6"/>
  <c r="B1479" i="6"/>
  <c r="A1479" i="6"/>
  <c r="AO1478" i="6"/>
  <c r="H1478" i="6"/>
  <c r="G1478" i="6"/>
  <c r="F1478" i="6"/>
  <c r="AI1478" i="6" s="1"/>
  <c r="E1478" i="6"/>
  <c r="D1478" i="6"/>
  <c r="C1478" i="6"/>
  <c r="B1478" i="6"/>
  <c r="A1478" i="6"/>
  <c r="AO1477" i="6"/>
  <c r="AE1477" i="6"/>
  <c r="K1477" i="6"/>
  <c r="J1477" i="6"/>
  <c r="I1477" i="6"/>
  <c r="H1477" i="6"/>
  <c r="G1477" i="6"/>
  <c r="F1477" i="6"/>
  <c r="E1477" i="6"/>
  <c r="D1477" i="6"/>
  <c r="C1477" i="6"/>
  <c r="B1477" i="6"/>
  <c r="A1477" i="6"/>
  <c r="AO1476" i="6"/>
  <c r="AE1476" i="6"/>
  <c r="J1476" i="6"/>
  <c r="H1476" i="6"/>
  <c r="G1476" i="6"/>
  <c r="F1476" i="6"/>
  <c r="AI1476" i="6" s="1"/>
  <c r="E1476" i="6"/>
  <c r="D1476" i="6"/>
  <c r="C1476" i="6"/>
  <c r="B1476" i="6"/>
  <c r="A1476" i="6"/>
  <c r="AO1475" i="6"/>
  <c r="AI1475" i="6"/>
  <c r="K1475" i="6"/>
  <c r="J1475" i="6"/>
  <c r="I1475" i="6"/>
  <c r="H1475" i="6"/>
  <c r="G1475" i="6"/>
  <c r="F1475" i="6"/>
  <c r="AE1475" i="6" s="1"/>
  <c r="E1475" i="6"/>
  <c r="D1475" i="6"/>
  <c r="C1475" i="6"/>
  <c r="B1475" i="6"/>
  <c r="A1475" i="6"/>
  <c r="AO1474" i="6"/>
  <c r="J1474" i="6"/>
  <c r="I1474" i="6"/>
  <c r="H1474" i="6"/>
  <c r="G1474" i="6"/>
  <c r="F1474" i="6"/>
  <c r="AI1474" i="6" s="1"/>
  <c r="E1474" i="6"/>
  <c r="D1474" i="6"/>
  <c r="C1474" i="6"/>
  <c r="B1474" i="6"/>
  <c r="A1474" i="6"/>
  <c r="AO1473" i="6"/>
  <c r="AE1473" i="6"/>
  <c r="K1473" i="6"/>
  <c r="J1473" i="6"/>
  <c r="I1473" i="6"/>
  <c r="H1473" i="6"/>
  <c r="G1473" i="6"/>
  <c r="F1473" i="6"/>
  <c r="E1473" i="6"/>
  <c r="D1473" i="6"/>
  <c r="C1473" i="6"/>
  <c r="B1473" i="6"/>
  <c r="A1473" i="6"/>
  <c r="AO1472" i="6"/>
  <c r="AE1472" i="6"/>
  <c r="H1472" i="6"/>
  <c r="G1472" i="6"/>
  <c r="F1472" i="6"/>
  <c r="E1472" i="6"/>
  <c r="D1472" i="6"/>
  <c r="C1472" i="6"/>
  <c r="B1472" i="6"/>
  <c r="A1472" i="6"/>
  <c r="AO1471" i="6"/>
  <c r="I1471" i="6"/>
  <c r="H1471" i="6"/>
  <c r="G1471" i="6"/>
  <c r="F1471" i="6"/>
  <c r="AI1471" i="6" s="1"/>
  <c r="E1471" i="6"/>
  <c r="D1471" i="6"/>
  <c r="C1471" i="6"/>
  <c r="B1471" i="6"/>
  <c r="A1471" i="6"/>
  <c r="AO1470" i="6"/>
  <c r="AI1470" i="6"/>
  <c r="K1470" i="6"/>
  <c r="J1470" i="6"/>
  <c r="I1470" i="6"/>
  <c r="H1470" i="6"/>
  <c r="G1470" i="6"/>
  <c r="F1470" i="6"/>
  <c r="AE1470" i="6" s="1"/>
  <c r="E1470" i="6"/>
  <c r="D1470" i="6"/>
  <c r="C1470" i="6"/>
  <c r="B1470" i="6"/>
  <c r="A1470" i="6"/>
  <c r="AO1469" i="6"/>
  <c r="AI1469" i="6"/>
  <c r="K1469" i="6"/>
  <c r="H1469" i="6"/>
  <c r="G1469" i="6"/>
  <c r="F1469" i="6"/>
  <c r="J1469" i="6" s="1"/>
  <c r="E1469" i="6"/>
  <c r="D1469" i="6"/>
  <c r="C1469" i="6"/>
  <c r="B1469" i="6"/>
  <c r="A1469" i="6"/>
  <c r="AT1468" i="6"/>
  <c r="K1468" i="6"/>
  <c r="J1468" i="6"/>
  <c r="H1468" i="6"/>
  <c r="G1468" i="6"/>
  <c r="F1468" i="6"/>
  <c r="E1468" i="6"/>
  <c r="D1468" i="6"/>
  <c r="C1468" i="6"/>
  <c r="B1468" i="6"/>
  <c r="A1468" i="6"/>
  <c r="AT1467" i="6"/>
  <c r="AO1467" i="6"/>
  <c r="H1467" i="6"/>
  <c r="G1467" i="6"/>
  <c r="F1467" i="6"/>
  <c r="E1467" i="6"/>
  <c r="D1467" i="6"/>
  <c r="C1467" i="6"/>
  <c r="B1467" i="6"/>
  <c r="A1467" i="6"/>
  <c r="AT1466" i="6"/>
  <c r="AO1466" i="6"/>
  <c r="H1466" i="6"/>
  <c r="G1466" i="6"/>
  <c r="F1466" i="6"/>
  <c r="AI1466" i="6" s="1"/>
  <c r="E1466" i="6"/>
  <c r="D1466" i="6"/>
  <c r="C1466" i="6"/>
  <c r="B1466" i="6"/>
  <c r="A1466" i="6"/>
  <c r="AT1465" i="6"/>
  <c r="AO1465" i="6"/>
  <c r="K1465" i="6"/>
  <c r="J1465" i="6"/>
  <c r="I1465" i="6"/>
  <c r="H1465" i="6"/>
  <c r="G1465" i="6"/>
  <c r="AI1465" i="6" s="1"/>
  <c r="F1465" i="6"/>
  <c r="E1465" i="6"/>
  <c r="D1465" i="6"/>
  <c r="C1465" i="6"/>
  <c r="B1465" i="6"/>
  <c r="A1465" i="6"/>
  <c r="AT1464" i="6"/>
  <c r="AO1464" i="6"/>
  <c r="AE1464" i="6"/>
  <c r="J1464" i="6"/>
  <c r="H1464" i="6"/>
  <c r="G1464" i="6"/>
  <c r="F1464" i="6"/>
  <c r="E1464" i="6"/>
  <c r="D1464" i="6"/>
  <c r="C1464" i="6"/>
  <c r="B1464" i="6"/>
  <c r="A1464" i="6"/>
  <c r="AT1463" i="6"/>
  <c r="AO1463" i="6"/>
  <c r="AI1463" i="6"/>
  <c r="AE1463" i="6"/>
  <c r="K1463" i="6"/>
  <c r="J1463" i="6"/>
  <c r="I1463" i="6"/>
  <c r="H1463" i="6"/>
  <c r="AF1463" i="6" s="1"/>
  <c r="G1463" i="6"/>
  <c r="F1463" i="6"/>
  <c r="E1463" i="6"/>
  <c r="D1463" i="6"/>
  <c r="C1463" i="6"/>
  <c r="B1463" i="6"/>
  <c r="A1463" i="6"/>
  <c r="AT1462" i="6"/>
  <c r="AE1462" i="6"/>
  <c r="J1462" i="6"/>
  <c r="I1462" i="6"/>
  <c r="H1462" i="6"/>
  <c r="G1462" i="6"/>
  <c r="F1462" i="6"/>
  <c r="E1462" i="6"/>
  <c r="D1462" i="6"/>
  <c r="C1462" i="6"/>
  <c r="B1462" i="6"/>
  <c r="A1462" i="6"/>
  <c r="AT1461" i="6"/>
  <c r="AO1461" i="6"/>
  <c r="AI1461" i="6"/>
  <c r="AF1461" i="6"/>
  <c r="AE1461" i="6"/>
  <c r="K1461" i="6"/>
  <c r="J1461" i="6"/>
  <c r="I1461" i="6"/>
  <c r="H1461" i="6"/>
  <c r="G1461" i="6"/>
  <c r="F1461" i="6"/>
  <c r="E1461" i="6"/>
  <c r="D1461" i="6"/>
  <c r="C1461" i="6"/>
  <c r="B1461" i="6"/>
  <c r="A1461" i="6"/>
  <c r="AT1460" i="6"/>
  <c r="AO1460" i="6"/>
  <c r="AF1460" i="6"/>
  <c r="H1460" i="6"/>
  <c r="G1460" i="6"/>
  <c r="F1460" i="6"/>
  <c r="E1460" i="6"/>
  <c r="D1460" i="6"/>
  <c r="C1460" i="6"/>
  <c r="B1460" i="6"/>
  <c r="A1460" i="6"/>
  <c r="AT1459" i="6"/>
  <c r="AO1459" i="6"/>
  <c r="AF1459" i="6"/>
  <c r="AE1459" i="6"/>
  <c r="I1459" i="6"/>
  <c r="H1459" i="6"/>
  <c r="G1459" i="6"/>
  <c r="F1459" i="6"/>
  <c r="E1459" i="6"/>
  <c r="D1459" i="6"/>
  <c r="C1459" i="6"/>
  <c r="B1459" i="6"/>
  <c r="A1459" i="6"/>
  <c r="AT1458" i="6"/>
  <c r="AO1458" i="6"/>
  <c r="K1458" i="6"/>
  <c r="J1458" i="6"/>
  <c r="I1458" i="6"/>
  <c r="H1458" i="6"/>
  <c r="G1458" i="6"/>
  <c r="F1458" i="6"/>
  <c r="AE1458" i="6" s="1"/>
  <c r="E1458" i="6"/>
  <c r="D1458" i="6"/>
  <c r="C1458" i="6"/>
  <c r="B1458" i="6"/>
  <c r="A1458" i="6"/>
  <c r="AT1457" i="6"/>
  <c r="K1457" i="6"/>
  <c r="I1457" i="6"/>
  <c r="H1457" i="6"/>
  <c r="G1457" i="6"/>
  <c r="F1457" i="6"/>
  <c r="E1457" i="6"/>
  <c r="D1457" i="6"/>
  <c r="C1457" i="6"/>
  <c r="B1457" i="6"/>
  <c r="A1457" i="6"/>
  <c r="AT1456" i="6"/>
  <c r="K1456" i="6"/>
  <c r="J1456" i="6"/>
  <c r="H1456" i="6"/>
  <c r="G1456" i="6"/>
  <c r="F1456" i="6"/>
  <c r="E1456" i="6"/>
  <c r="D1456" i="6"/>
  <c r="C1456" i="6"/>
  <c r="B1456" i="6"/>
  <c r="A1456" i="6"/>
  <c r="AT1455" i="6"/>
  <c r="AO1455" i="6"/>
  <c r="J1455" i="6"/>
  <c r="I1455" i="6"/>
  <c r="H1455" i="6"/>
  <c r="AF1455" i="6" s="1"/>
  <c r="G1455" i="6"/>
  <c r="F1455" i="6"/>
  <c r="AI1455" i="6" s="1"/>
  <c r="E1455" i="6"/>
  <c r="D1455" i="6"/>
  <c r="C1455" i="6"/>
  <c r="B1455" i="6"/>
  <c r="A1455" i="6"/>
  <c r="AT1454" i="6"/>
  <c r="AO1454" i="6"/>
  <c r="K1454" i="6"/>
  <c r="H1454" i="6"/>
  <c r="G1454" i="6"/>
  <c r="F1454" i="6"/>
  <c r="E1454" i="6"/>
  <c r="D1454" i="6"/>
  <c r="C1454" i="6"/>
  <c r="B1454" i="6"/>
  <c r="A1454" i="6"/>
  <c r="AT1453" i="6"/>
  <c r="AO1453" i="6"/>
  <c r="AF1453" i="6"/>
  <c r="H1453" i="6"/>
  <c r="G1453" i="6"/>
  <c r="F1453" i="6"/>
  <c r="E1453" i="6"/>
  <c r="D1453" i="6"/>
  <c r="C1453" i="6"/>
  <c r="B1453" i="6"/>
  <c r="A1453" i="6"/>
  <c r="AT1452" i="6"/>
  <c r="AO1452" i="6"/>
  <c r="AE1452" i="6"/>
  <c r="K1452" i="6"/>
  <c r="I1452" i="6"/>
  <c r="H1452" i="6"/>
  <c r="AF1452" i="6" s="1"/>
  <c r="G1452" i="6"/>
  <c r="AI1452" i="6" s="1"/>
  <c r="F1452" i="6"/>
  <c r="E1452" i="6"/>
  <c r="D1452" i="6"/>
  <c r="C1452" i="6"/>
  <c r="B1452" i="6"/>
  <c r="A1452" i="6"/>
  <c r="AT1451" i="6"/>
  <c r="AI1451" i="6"/>
  <c r="V1451" i="6"/>
  <c r="BF1451" i="6" s="1"/>
  <c r="V1452" i="6" s="1"/>
  <c r="BF1452" i="6" s="1"/>
  <c r="V1453" i="6" s="1"/>
  <c r="BF1453" i="6" s="1"/>
  <c r="V1454" i="6" s="1"/>
  <c r="BF1454" i="6" s="1"/>
  <c r="V1455" i="6" s="1"/>
  <c r="BF1455" i="6" s="1"/>
  <c r="V1456" i="6" s="1"/>
  <c r="BF1456" i="6" s="1"/>
  <c r="V1457" i="6" s="1"/>
  <c r="BF1457" i="6" s="1"/>
  <c r="V1458" i="6" s="1"/>
  <c r="BF1458" i="6" s="1"/>
  <c r="V1459" i="6" s="1"/>
  <c r="BF1459" i="6" s="1"/>
  <c r="V1460" i="6" s="1"/>
  <c r="BF1460" i="6" s="1"/>
  <c r="V1461" i="6" s="1"/>
  <c r="BF1461" i="6" s="1"/>
  <c r="V1462" i="6" s="1"/>
  <c r="BF1462" i="6" s="1"/>
  <c r="V1463" i="6" s="1"/>
  <c r="BF1463" i="6" s="1"/>
  <c r="V1464" i="6" s="1"/>
  <c r="BF1464" i="6" s="1"/>
  <c r="V1465" i="6" s="1"/>
  <c r="BF1465" i="6" s="1"/>
  <c r="V1466" i="6" s="1"/>
  <c r="BF1466" i="6" s="1"/>
  <c r="V1467" i="6" s="1"/>
  <c r="BF1467" i="6" s="1"/>
  <c r="V1468" i="6" s="1"/>
  <c r="BF1468" i="6" s="1"/>
  <c r="V1469" i="6" s="1"/>
  <c r="K1451" i="6"/>
  <c r="J1451" i="6"/>
  <c r="I1451" i="6"/>
  <c r="H1451" i="6"/>
  <c r="G1451" i="6"/>
  <c r="F1451" i="6"/>
  <c r="E1451" i="6"/>
  <c r="D1451" i="6"/>
  <c r="C1451" i="6"/>
  <c r="B1451" i="6"/>
  <c r="A1451" i="6"/>
  <c r="AT1450" i="6"/>
  <c r="H1450" i="6"/>
  <c r="G1450" i="6"/>
  <c r="F1450" i="6"/>
  <c r="AI1450" i="6" s="1"/>
  <c r="E1450" i="6"/>
  <c r="D1450" i="6"/>
  <c r="C1450" i="6"/>
  <c r="B1450" i="6"/>
  <c r="A1450" i="6"/>
  <c r="BF1449" i="6"/>
  <c r="V1450" i="6" s="1"/>
  <c r="BF1450" i="6" s="1"/>
  <c r="AT1449" i="6"/>
  <c r="AO1449" i="6"/>
  <c r="AI1449" i="6"/>
  <c r="V1449" i="6"/>
  <c r="K1449" i="6"/>
  <c r="J1449" i="6"/>
  <c r="H1449" i="6"/>
  <c r="G1449" i="6"/>
  <c r="F1449" i="6"/>
  <c r="AE1449" i="6" s="1"/>
  <c r="E1449" i="6"/>
  <c r="D1449" i="6"/>
  <c r="C1449" i="6"/>
  <c r="B1449" i="6"/>
  <c r="A1449" i="6"/>
  <c r="AT1448" i="6"/>
  <c r="AO1448" i="6"/>
  <c r="AF1448" i="6"/>
  <c r="AE1448" i="6"/>
  <c r="AC1448" i="6"/>
  <c r="BM1448" i="6" s="1"/>
  <c r="AC1449" i="6" s="1"/>
  <c r="BM1449" i="6" s="1"/>
  <c r="AC1450" i="6" s="1"/>
  <c r="BM1450" i="6" s="1"/>
  <c r="AC1451" i="6" s="1"/>
  <c r="BM1451" i="6" s="1"/>
  <c r="AC1452" i="6" s="1"/>
  <c r="BM1452" i="6" s="1"/>
  <c r="AC1453" i="6" s="1"/>
  <c r="BM1453" i="6" s="1"/>
  <c r="AC1454" i="6" s="1"/>
  <c r="BM1454" i="6" s="1"/>
  <c r="AC1455" i="6" s="1"/>
  <c r="BM1455" i="6" s="1"/>
  <c r="AC1456" i="6" s="1"/>
  <c r="BM1456" i="6" s="1"/>
  <c r="AC1457" i="6" s="1"/>
  <c r="BM1457" i="6" s="1"/>
  <c r="AC1458" i="6" s="1"/>
  <c r="BM1458" i="6" s="1"/>
  <c r="AC1459" i="6" s="1"/>
  <c r="BM1459" i="6" s="1"/>
  <c r="AC1460" i="6" s="1"/>
  <c r="BM1460" i="6" s="1"/>
  <c r="AC1461" i="6" s="1"/>
  <c r="BM1461" i="6" s="1"/>
  <c r="AC1462" i="6" s="1"/>
  <c r="BM1462" i="6" s="1"/>
  <c r="AC1463" i="6" s="1"/>
  <c r="BM1463" i="6" s="1"/>
  <c r="AC1464" i="6" s="1"/>
  <c r="BM1464" i="6" s="1"/>
  <c r="AC1465" i="6" s="1"/>
  <c r="BM1465" i="6" s="1"/>
  <c r="AC1466" i="6" s="1"/>
  <c r="BM1466" i="6" s="1"/>
  <c r="AC1467" i="6" s="1"/>
  <c r="BM1467" i="6" s="1"/>
  <c r="AC1468" i="6" s="1"/>
  <c r="BM1468" i="6" s="1"/>
  <c r="AC1469" i="6" s="1"/>
  <c r="BM1469" i="6" s="1"/>
  <c r="AC1470" i="6" s="1"/>
  <c r="BM1470" i="6" s="1"/>
  <c r="AC1471" i="6" s="1"/>
  <c r="BM1471" i="6" s="1"/>
  <c r="AC1472" i="6" s="1"/>
  <c r="BM1472" i="6" s="1"/>
  <c r="AC1473" i="6" s="1"/>
  <c r="BM1473" i="6" s="1"/>
  <c r="AC1474" i="6" s="1"/>
  <c r="BM1474" i="6" s="1"/>
  <c r="AC1475" i="6" s="1"/>
  <c r="BM1475" i="6" s="1"/>
  <c r="AC1476" i="6" s="1"/>
  <c r="BM1476" i="6" s="1"/>
  <c r="AC1477" i="6" s="1"/>
  <c r="BM1477" i="6" s="1"/>
  <c r="AC1478" i="6" s="1"/>
  <c r="BM1478" i="6" s="1"/>
  <c r="AC1479" i="6" s="1"/>
  <c r="BM1479" i="6" s="1"/>
  <c r="AC1480" i="6" s="1"/>
  <c r="BM1480" i="6" s="1"/>
  <c r="AC1481" i="6" s="1"/>
  <c r="BM1481" i="6" s="1"/>
  <c r="H1448" i="6"/>
  <c r="G1448" i="6"/>
  <c r="F1448" i="6"/>
  <c r="E1448" i="6"/>
  <c r="D1448" i="6"/>
  <c r="C1448" i="6"/>
  <c r="B1448" i="6"/>
  <c r="A1448" i="6"/>
  <c r="AT1447" i="6"/>
  <c r="AO1447" i="6"/>
  <c r="AF1447" i="6"/>
  <c r="N1447" i="6"/>
  <c r="AX1447" i="6" s="1"/>
  <c r="N1448" i="6" s="1"/>
  <c r="AX1448" i="6" s="1"/>
  <c r="N1449" i="6" s="1"/>
  <c r="AX1449" i="6" s="1"/>
  <c r="N1450" i="6" s="1"/>
  <c r="AX1450" i="6" s="1"/>
  <c r="N1451" i="6" s="1"/>
  <c r="AX1451" i="6" s="1"/>
  <c r="N1452" i="6" s="1"/>
  <c r="AX1452" i="6" s="1"/>
  <c r="L1447" i="6"/>
  <c r="AV1447" i="6" s="1"/>
  <c r="L1448" i="6" s="1"/>
  <c r="H1447" i="6"/>
  <c r="G1447" i="6"/>
  <c r="F1447" i="6"/>
  <c r="E1447" i="6"/>
  <c r="D1447" i="6"/>
  <c r="C1447" i="6"/>
  <c r="B1447" i="6"/>
  <c r="A1447" i="6"/>
  <c r="BO1446" i="6"/>
  <c r="BN1447" i="6" s="1"/>
  <c r="BO1447" i="6" s="1"/>
  <c r="BN1448" i="6" s="1"/>
  <c r="BO1448" i="6" s="1"/>
  <c r="BN1449" i="6" s="1"/>
  <c r="BO1449" i="6" s="1"/>
  <c r="BN1450" i="6" s="1"/>
  <c r="BO1450" i="6" s="1"/>
  <c r="BN1451" i="6" s="1"/>
  <c r="BO1451" i="6" s="1"/>
  <c r="BN1452" i="6" s="1"/>
  <c r="BN1446" i="6"/>
  <c r="BE1446" i="6"/>
  <c r="BC1446" i="6"/>
  <c r="S1447" i="6" s="1"/>
  <c r="BC1447" i="6" s="1"/>
  <c r="S1448" i="6" s="1"/>
  <c r="BC1448" i="6" s="1"/>
  <c r="S1449" i="6" s="1"/>
  <c r="BC1449" i="6" s="1"/>
  <c r="S1450" i="6" s="1"/>
  <c r="BC1450" i="6" s="1"/>
  <c r="S1451" i="6" s="1"/>
  <c r="BC1451" i="6" s="1"/>
  <c r="S1452" i="6" s="1"/>
  <c r="BC1452" i="6" s="1"/>
  <c r="S1453" i="6" s="1"/>
  <c r="BC1453" i="6" s="1"/>
  <c r="S1454" i="6" s="1"/>
  <c r="BC1454" i="6" s="1"/>
  <c r="S1455" i="6" s="1"/>
  <c r="BC1455" i="6" s="1"/>
  <c r="S1456" i="6" s="1"/>
  <c r="BC1456" i="6" s="1"/>
  <c r="S1457" i="6" s="1"/>
  <c r="BC1457" i="6" s="1"/>
  <c r="S1458" i="6" s="1"/>
  <c r="BC1458" i="6" s="1"/>
  <c r="S1459" i="6" s="1"/>
  <c r="BC1459" i="6" s="1"/>
  <c r="S1460" i="6" s="1"/>
  <c r="BC1460" i="6" s="1"/>
  <c r="S1461" i="6" s="1"/>
  <c r="BC1461" i="6" s="1"/>
  <c r="S1462" i="6" s="1"/>
  <c r="BC1462" i="6" s="1"/>
  <c r="S1463" i="6" s="1"/>
  <c r="BC1463" i="6" s="1"/>
  <c r="S1464" i="6" s="1"/>
  <c r="BC1464" i="6" s="1"/>
  <c r="S1465" i="6" s="1"/>
  <c r="BC1465" i="6" s="1"/>
  <c r="S1466" i="6" s="1"/>
  <c r="BC1466" i="6" s="1"/>
  <c r="S1467" i="6" s="1"/>
  <c r="BC1467" i="6" s="1"/>
  <c r="S1468" i="6" s="1"/>
  <c r="BC1468" i="6" s="1"/>
  <c r="S1469" i="6" s="1"/>
  <c r="BC1469" i="6" s="1"/>
  <c r="S1470" i="6" s="1"/>
  <c r="BC1470" i="6" s="1"/>
  <c r="S1471" i="6" s="1"/>
  <c r="BC1471" i="6" s="1"/>
  <c r="S1472" i="6" s="1"/>
  <c r="BC1472" i="6" s="1"/>
  <c r="S1473" i="6" s="1"/>
  <c r="BC1473" i="6" s="1"/>
  <c r="S1474" i="6" s="1"/>
  <c r="BC1474" i="6" s="1"/>
  <c r="S1475" i="6" s="1"/>
  <c r="BC1475" i="6" s="1"/>
  <c r="S1476" i="6" s="1"/>
  <c r="BC1476" i="6" s="1"/>
  <c r="S1477" i="6" s="1"/>
  <c r="BC1477" i="6" s="1"/>
  <c r="S1478" i="6" s="1"/>
  <c r="BC1478" i="6" s="1"/>
  <c r="S1479" i="6" s="1"/>
  <c r="BC1479" i="6" s="1"/>
  <c r="S1480" i="6" s="1"/>
  <c r="BC1480" i="6" s="1"/>
  <c r="S1481" i="6" s="1"/>
  <c r="BC1481" i="6" s="1"/>
  <c r="AT1446" i="6"/>
  <c r="AO1446" i="6"/>
  <c r="AF1446" i="6"/>
  <c r="AE1446" i="6"/>
  <c r="AC1446" i="6"/>
  <c r="BM1446" i="6" s="1"/>
  <c r="AC1447" i="6" s="1"/>
  <c r="BM1447" i="6" s="1"/>
  <c r="AB1446" i="6"/>
  <c r="BL1446" i="6" s="1"/>
  <c r="AB1447" i="6" s="1"/>
  <c r="BL1447" i="6" s="1"/>
  <c r="AB1448" i="6" s="1"/>
  <c r="BL1448" i="6" s="1"/>
  <c r="AB1449" i="6" s="1"/>
  <c r="BL1449" i="6" s="1"/>
  <c r="AB1450" i="6" s="1"/>
  <c r="BL1450" i="6" s="1"/>
  <c r="AB1451" i="6" s="1"/>
  <c r="BL1451" i="6" s="1"/>
  <c r="AB1452" i="6" s="1"/>
  <c r="BL1452" i="6" s="1"/>
  <c r="AB1453" i="6" s="1"/>
  <c r="BL1453" i="6" s="1"/>
  <c r="AB1454" i="6" s="1"/>
  <c r="BL1454" i="6" s="1"/>
  <c r="AB1455" i="6" s="1"/>
  <c r="BL1455" i="6" s="1"/>
  <c r="AB1456" i="6" s="1"/>
  <c r="BL1456" i="6" s="1"/>
  <c r="AB1457" i="6" s="1"/>
  <c r="BL1457" i="6" s="1"/>
  <c r="AB1458" i="6" s="1"/>
  <c r="BL1458" i="6" s="1"/>
  <c r="AB1459" i="6" s="1"/>
  <c r="BL1459" i="6" s="1"/>
  <c r="AB1460" i="6" s="1"/>
  <c r="BL1460" i="6" s="1"/>
  <c r="AB1461" i="6" s="1"/>
  <c r="BL1461" i="6" s="1"/>
  <c r="AB1462" i="6" s="1"/>
  <c r="BL1462" i="6" s="1"/>
  <c r="AB1463" i="6" s="1"/>
  <c r="BL1463" i="6" s="1"/>
  <c r="AB1464" i="6" s="1"/>
  <c r="BL1464" i="6" s="1"/>
  <c r="AB1465" i="6" s="1"/>
  <c r="BL1465" i="6" s="1"/>
  <c r="AB1466" i="6" s="1"/>
  <c r="BL1466" i="6" s="1"/>
  <c r="AB1467" i="6" s="1"/>
  <c r="BL1467" i="6" s="1"/>
  <c r="AB1468" i="6" s="1"/>
  <c r="BL1468" i="6" s="1"/>
  <c r="AB1469" i="6" s="1"/>
  <c r="BL1469" i="6" s="1"/>
  <c r="AB1470" i="6" s="1"/>
  <c r="BL1470" i="6" s="1"/>
  <c r="AB1471" i="6" s="1"/>
  <c r="BL1471" i="6" s="1"/>
  <c r="AB1472" i="6" s="1"/>
  <c r="BL1472" i="6" s="1"/>
  <c r="AB1473" i="6" s="1"/>
  <c r="BL1473" i="6" s="1"/>
  <c r="AB1474" i="6" s="1"/>
  <c r="BL1474" i="6" s="1"/>
  <c r="AB1475" i="6" s="1"/>
  <c r="BL1475" i="6" s="1"/>
  <c r="AB1476" i="6" s="1"/>
  <c r="BL1476" i="6" s="1"/>
  <c r="AB1477" i="6" s="1"/>
  <c r="BL1477" i="6" s="1"/>
  <c r="AB1478" i="6" s="1"/>
  <c r="BL1478" i="6" s="1"/>
  <c r="AB1479" i="6" s="1"/>
  <c r="BL1479" i="6" s="1"/>
  <c r="AB1480" i="6" s="1"/>
  <c r="BL1480" i="6" s="1"/>
  <c r="AB1481" i="6" s="1"/>
  <c r="BL1481" i="6" s="1"/>
  <c r="AA1446" i="6"/>
  <c r="BK1446" i="6" s="1"/>
  <c r="AA1447" i="6" s="1"/>
  <c r="BK1447" i="6" s="1"/>
  <c r="AA1448" i="6" s="1"/>
  <c r="BK1448" i="6" s="1"/>
  <c r="AA1449" i="6" s="1"/>
  <c r="BK1449" i="6" s="1"/>
  <c r="AA1450" i="6" s="1"/>
  <c r="BK1450" i="6" s="1"/>
  <c r="AA1451" i="6" s="1"/>
  <c r="BK1451" i="6" s="1"/>
  <c r="AA1452" i="6" s="1"/>
  <c r="BK1452" i="6" s="1"/>
  <c r="AA1453" i="6" s="1"/>
  <c r="BK1453" i="6" s="1"/>
  <c r="AA1454" i="6" s="1"/>
  <c r="BK1454" i="6" s="1"/>
  <c r="AA1455" i="6" s="1"/>
  <c r="BK1455" i="6" s="1"/>
  <c r="AA1456" i="6" s="1"/>
  <c r="BK1456" i="6" s="1"/>
  <c r="AA1457" i="6" s="1"/>
  <c r="BK1457" i="6" s="1"/>
  <c r="AA1458" i="6" s="1"/>
  <c r="BK1458" i="6" s="1"/>
  <c r="AA1459" i="6" s="1"/>
  <c r="BK1459" i="6" s="1"/>
  <c r="AA1460" i="6" s="1"/>
  <c r="BK1460" i="6" s="1"/>
  <c r="AA1461" i="6" s="1"/>
  <c r="BK1461" i="6" s="1"/>
  <c r="AA1462" i="6" s="1"/>
  <c r="BK1462" i="6" s="1"/>
  <c r="AA1463" i="6" s="1"/>
  <c r="BK1463" i="6" s="1"/>
  <c r="AA1464" i="6" s="1"/>
  <c r="BK1464" i="6" s="1"/>
  <c r="AA1465" i="6" s="1"/>
  <c r="BK1465" i="6" s="1"/>
  <c r="AA1466" i="6" s="1"/>
  <c r="BK1466" i="6" s="1"/>
  <c r="AA1467" i="6" s="1"/>
  <c r="BK1467" i="6" s="1"/>
  <c r="AA1468" i="6" s="1"/>
  <c r="BK1468" i="6" s="1"/>
  <c r="AA1469" i="6" s="1"/>
  <c r="BK1469" i="6" s="1"/>
  <c r="AA1470" i="6" s="1"/>
  <c r="BK1470" i="6" s="1"/>
  <c r="AA1471" i="6" s="1"/>
  <c r="BK1471" i="6" s="1"/>
  <c r="AA1472" i="6" s="1"/>
  <c r="BK1472" i="6" s="1"/>
  <c r="AA1473" i="6" s="1"/>
  <c r="BK1473" i="6" s="1"/>
  <c r="AA1474" i="6" s="1"/>
  <c r="BK1474" i="6" s="1"/>
  <c r="AA1475" i="6" s="1"/>
  <c r="BK1475" i="6" s="1"/>
  <c r="AA1476" i="6" s="1"/>
  <c r="BK1476" i="6" s="1"/>
  <c r="AA1477" i="6" s="1"/>
  <c r="BK1477" i="6" s="1"/>
  <c r="AA1478" i="6" s="1"/>
  <c r="BK1478" i="6" s="1"/>
  <c r="AA1479" i="6" s="1"/>
  <c r="BK1479" i="6" s="1"/>
  <c r="AA1480" i="6" s="1"/>
  <c r="BK1480" i="6" s="1"/>
  <c r="AA1481" i="6" s="1"/>
  <c r="BK1481" i="6" s="1"/>
  <c r="Z1446" i="6"/>
  <c r="BJ1446" i="6" s="1"/>
  <c r="Z1447" i="6" s="1"/>
  <c r="BJ1447" i="6" s="1"/>
  <c r="Z1448" i="6" s="1"/>
  <c r="BJ1448" i="6" s="1"/>
  <c r="Z1449" i="6" s="1"/>
  <c r="BJ1449" i="6" s="1"/>
  <c r="Z1450" i="6" s="1"/>
  <c r="BJ1450" i="6" s="1"/>
  <c r="Z1451" i="6" s="1"/>
  <c r="BJ1451" i="6" s="1"/>
  <c r="Z1452" i="6" s="1"/>
  <c r="BJ1452" i="6" s="1"/>
  <c r="Z1453" i="6" s="1"/>
  <c r="BJ1453" i="6" s="1"/>
  <c r="Z1454" i="6" s="1"/>
  <c r="BJ1454" i="6" s="1"/>
  <c r="Z1455" i="6" s="1"/>
  <c r="BJ1455" i="6" s="1"/>
  <c r="Z1456" i="6" s="1"/>
  <c r="BJ1456" i="6" s="1"/>
  <c r="Z1457" i="6" s="1"/>
  <c r="BJ1457" i="6" s="1"/>
  <c r="Z1458" i="6" s="1"/>
  <c r="BJ1458" i="6" s="1"/>
  <c r="Z1459" i="6" s="1"/>
  <c r="BJ1459" i="6" s="1"/>
  <c r="Z1460" i="6" s="1"/>
  <c r="BJ1460" i="6" s="1"/>
  <c r="Z1461" i="6" s="1"/>
  <c r="BJ1461" i="6" s="1"/>
  <c r="Z1462" i="6" s="1"/>
  <c r="BJ1462" i="6" s="1"/>
  <c r="Z1463" i="6" s="1"/>
  <c r="BJ1463" i="6" s="1"/>
  <c r="Z1464" i="6" s="1"/>
  <c r="BJ1464" i="6" s="1"/>
  <c r="Z1465" i="6" s="1"/>
  <c r="BJ1465" i="6" s="1"/>
  <c r="Z1466" i="6" s="1"/>
  <c r="BJ1466" i="6" s="1"/>
  <c r="Z1467" i="6" s="1"/>
  <c r="BJ1467" i="6" s="1"/>
  <c r="Z1468" i="6" s="1"/>
  <c r="BJ1468" i="6" s="1"/>
  <c r="Z1469" i="6" s="1"/>
  <c r="BJ1469" i="6" s="1"/>
  <c r="Z1470" i="6" s="1"/>
  <c r="BJ1470" i="6" s="1"/>
  <c r="Z1471" i="6" s="1"/>
  <c r="BJ1471" i="6" s="1"/>
  <c r="Z1472" i="6" s="1"/>
  <c r="BJ1472" i="6" s="1"/>
  <c r="Z1473" i="6" s="1"/>
  <c r="BJ1473" i="6" s="1"/>
  <c r="Z1474" i="6" s="1"/>
  <c r="BJ1474" i="6" s="1"/>
  <c r="Z1475" i="6" s="1"/>
  <c r="BJ1475" i="6" s="1"/>
  <c r="Z1476" i="6" s="1"/>
  <c r="BJ1476" i="6" s="1"/>
  <c r="Z1477" i="6" s="1"/>
  <c r="BJ1477" i="6" s="1"/>
  <c r="Z1478" i="6" s="1"/>
  <c r="BJ1478" i="6" s="1"/>
  <c r="Z1479" i="6" s="1"/>
  <c r="BJ1479" i="6" s="1"/>
  <c r="Z1480" i="6" s="1"/>
  <c r="BJ1480" i="6" s="1"/>
  <c r="Z1481" i="6" s="1"/>
  <c r="BJ1481" i="6" s="1"/>
  <c r="Y1446" i="6"/>
  <c r="BI1446" i="6" s="1"/>
  <c r="Y1447" i="6" s="1"/>
  <c r="BI1447" i="6" s="1"/>
  <c r="Y1448" i="6" s="1"/>
  <c r="BI1448" i="6" s="1"/>
  <c r="Y1449" i="6" s="1"/>
  <c r="BI1449" i="6" s="1"/>
  <c r="Y1450" i="6" s="1"/>
  <c r="BI1450" i="6" s="1"/>
  <c r="Y1451" i="6" s="1"/>
  <c r="BI1451" i="6" s="1"/>
  <c r="Y1452" i="6" s="1"/>
  <c r="BI1452" i="6" s="1"/>
  <c r="Y1453" i="6" s="1"/>
  <c r="BI1453" i="6" s="1"/>
  <c r="Y1454" i="6" s="1"/>
  <c r="BI1454" i="6" s="1"/>
  <c r="Y1455" i="6" s="1"/>
  <c r="BI1455" i="6" s="1"/>
  <c r="Y1456" i="6" s="1"/>
  <c r="BI1456" i="6" s="1"/>
  <c r="Y1457" i="6" s="1"/>
  <c r="BI1457" i="6" s="1"/>
  <c r="Y1458" i="6" s="1"/>
  <c r="BI1458" i="6" s="1"/>
  <c r="Y1459" i="6" s="1"/>
  <c r="BI1459" i="6" s="1"/>
  <c r="Y1460" i="6" s="1"/>
  <c r="BI1460" i="6" s="1"/>
  <c r="Y1461" i="6" s="1"/>
  <c r="BI1461" i="6" s="1"/>
  <c r="Y1462" i="6" s="1"/>
  <c r="BI1462" i="6" s="1"/>
  <c r="Y1463" i="6" s="1"/>
  <c r="BI1463" i="6" s="1"/>
  <c r="Y1464" i="6" s="1"/>
  <c r="BI1464" i="6" s="1"/>
  <c r="Y1465" i="6" s="1"/>
  <c r="BI1465" i="6" s="1"/>
  <c r="Y1466" i="6" s="1"/>
  <c r="BI1466" i="6" s="1"/>
  <c r="Y1467" i="6" s="1"/>
  <c r="BI1467" i="6" s="1"/>
  <c r="Y1468" i="6" s="1"/>
  <c r="BI1468" i="6" s="1"/>
  <c r="Y1469" i="6" s="1"/>
  <c r="BI1469" i="6" s="1"/>
  <c r="Y1470" i="6" s="1"/>
  <c r="BI1470" i="6" s="1"/>
  <c r="Y1471" i="6" s="1"/>
  <c r="BI1471" i="6" s="1"/>
  <c r="Y1472" i="6" s="1"/>
  <c r="BI1472" i="6" s="1"/>
  <c r="Y1473" i="6" s="1"/>
  <c r="BI1473" i="6" s="1"/>
  <c r="Y1474" i="6" s="1"/>
  <c r="BI1474" i="6" s="1"/>
  <c r="Y1475" i="6" s="1"/>
  <c r="BI1475" i="6" s="1"/>
  <c r="Y1476" i="6" s="1"/>
  <c r="BI1476" i="6" s="1"/>
  <c r="Y1477" i="6" s="1"/>
  <c r="BI1477" i="6" s="1"/>
  <c r="Y1478" i="6" s="1"/>
  <c r="BI1478" i="6" s="1"/>
  <c r="Y1479" i="6" s="1"/>
  <c r="BI1479" i="6" s="1"/>
  <c r="Y1480" i="6" s="1"/>
  <c r="BI1480" i="6" s="1"/>
  <c r="Y1481" i="6" s="1"/>
  <c r="BI1481" i="6" s="1"/>
  <c r="X1446" i="6"/>
  <c r="BH1446" i="6" s="1"/>
  <c r="X1447" i="6" s="1"/>
  <c r="BH1447" i="6" s="1"/>
  <c r="X1448" i="6" s="1"/>
  <c r="BH1448" i="6" s="1"/>
  <c r="X1449" i="6" s="1"/>
  <c r="BH1449" i="6" s="1"/>
  <c r="X1450" i="6" s="1"/>
  <c r="BH1450" i="6" s="1"/>
  <c r="X1451" i="6" s="1"/>
  <c r="BH1451" i="6" s="1"/>
  <c r="X1452" i="6" s="1"/>
  <c r="BH1452" i="6" s="1"/>
  <c r="X1453" i="6" s="1"/>
  <c r="BH1453" i="6" s="1"/>
  <c r="X1454" i="6" s="1"/>
  <c r="BH1454" i="6" s="1"/>
  <c r="X1455" i="6" s="1"/>
  <c r="BH1455" i="6" s="1"/>
  <c r="X1456" i="6" s="1"/>
  <c r="BH1456" i="6" s="1"/>
  <c r="X1457" i="6" s="1"/>
  <c r="BH1457" i="6" s="1"/>
  <c r="X1458" i="6" s="1"/>
  <c r="BH1458" i="6" s="1"/>
  <c r="X1459" i="6" s="1"/>
  <c r="BH1459" i="6" s="1"/>
  <c r="X1460" i="6" s="1"/>
  <c r="BH1460" i="6" s="1"/>
  <c r="X1461" i="6" s="1"/>
  <c r="BH1461" i="6" s="1"/>
  <c r="X1462" i="6" s="1"/>
  <c r="BH1462" i="6" s="1"/>
  <c r="X1463" i="6" s="1"/>
  <c r="BH1463" i="6" s="1"/>
  <c r="X1464" i="6" s="1"/>
  <c r="BH1464" i="6" s="1"/>
  <c r="X1465" i="6" s="1"/>
  <c r="BH1465" i="6" s="1"/>
  <c r="X1466" i="6" s="1"/>
  <c r="BH1466" i="6" s="1"/>
  <c r="X1467" i="6" s="1"/>
  <c r="BH1467" i="6" s="1"/>
  <c r="X1468" i="6" s="1"/>
  <c r="BH1468" i="6" s="1"/>
  <c r="X1469" i="6" s="1"/>
  <c r="BH1469" i="6" s="1"/>
  <c r="X1470" i="6" s="1"/>
  <c r="BH1470" i="6" s="1"/>
  <c r="X1471" i="6" s="1"/>
  <c r="BH1471" i="6" s="1"/>
  <c r="X1472" i="6" s="1"/>
  <c r="BH1472" i="6" s="1"/>
  <c r="X1473" i="6" s="1"/>
  <c r="BH1473" i="6" s="1"/>
  <c r="X1474" i="6" s="1"/>
  <c r="BH1474" i="6" s="1"/>
  <c r="X1475" i="6" s="1"/>
  <c r="BH1475" i="6" s="1"/>
  <c r="X1476" i="6" s="1"/>
  <c r="BH1476" i="6" s="1"/>
  <c r="X1477" i="6" s="1"/>
  <c r="BH1477" i="6" s="1"/>
  <c r="X1478" i="6" s="1"/>
  <c r="BH1478" i="6" s="1"/>
  <c r="X1479" i="6" s="1"/>
  <c r="BH1479" i="6" s="1"/>
  <c r="X1480" i="6" s="1"/>
  <c r="BH1480" i="6" s="1"/>
  <c r="X1481" i="6" s="1"/>
  <c r="W1446" i="6"/>
  <c r="BG1446" i="6" s="1"/>
  <c r="W1447" i="6" s="1"/>
  <c r="BG1447" i="6" s="1"/>
  <c r="W1448" i="6" s="1"/>
  <c r="BG1448" i="6" s="1"/>
  <c r="W1449" i="6" s="1"/>
  <c r="BG1449" i="6" s="1"/>
  <c r="W1450" i="6" s="1"/>
  <c r="BG1450" i="6" s="1"/>
  <c r="W1451" i="6" s="1"/>
  <c r="BG1451" i="6" s="1"/>
  <c r="W1452" i="6" s="1"/>
  <c r="BG1452" i="6" s="1"/>
  <c r="W1453" i="6" s="1"/>
  <c r="BG1453" i="6" s="1"/>
  <c r="W1454" i="6" s="1"/>
  <c r="V1446" i="6"/>
  <c r="BF1446" i="6" s="1"/>
  <c r="V1447" i="6" s="1"/>
  <c r="BF1447" i="6" s="1"/>
  <c r="V1448" i="6" s="1"/>
  <c r="BF1448" i="6" s="1"/>
  <c r="U1446" i="6"/>
  <c r="T1446" i="6"/>
  <c r="BD1446" i="6" s="1"/>
  <c r="T1447" i="6" s="1"/>
  <c r="BD1447" i="6" s="1"/>
  <c r="T1448" i="6" s="1"/>
  <c r="BD1448" i="6" s="1"/>
  <c r="T1449" i="6" s="1"/>
  <c r="BD1449" i="6" s="1"/>
  <c r="T1450" i="6" s="1"/>
  <c r="S1446" i="6"/>
  <c r="R1446" i="6"/>
  <c r="BB1446" i="6" s="1"/>
  <c r="R1447" i="6" s="1"/>
  <c r="BB1447" i="6" s="1"/>
  <c r="R1448" i="6" s="1"/>
  <c r="BB1448" i="6" s="1"/>
  <c r="R1449" i="6" s="1"/>
  <c r="BB1449" i="6" s="1"/>
  <c r="R1450" i="6" s="1"/>
  <c r="BB1450" i="6" s="1"/>
  <c r="R1451" i="6" s="1"/>
  <c r="BB1451" i="6" s="1"/>
  <c r="R1452" i="6" s="1"/>
  <c r="BB1452" i="6" s="1"/>
  <c r="R1453" i="6" s="1"/>
  <c r="BB1453" i="6" s="1"/>
  <c r="R1454" i="6" s="1"/>
  <c r="BB1454" i="6" s="1"/>
  <c r="R1455" i="6" s="1"/>
  <c r="BB1455" i="6" s="1"/>
  <c r="R1456" i="6" s="1"/>
  <c r="BB1456" i="6" s="1"/>
  <c r="R1457" i="6" s="1"/>
  <c r="BB1457" i="6" s="1"/>
  <c r="R1458" i="6" s="1"/>
  <c r="BB1458" i="6" s="1"/>
  <c r="R1459" i="6" s="1"/>
  <c r="BB1459" i="6" s="1"/>
  <c r="R1460" i="6" s="1"/>
  <c r="BB1460" i="6" s="1"/>
  <c r="R1461" i="6" s="1"/>
  <c r="BB1461" i="6" s="1"/>
  <c r="R1462" i="6" s="1"/>
  <c r="BB1462" i="6" s="1"/>
  <c r="R1463" i="6" s="1"/>
  <c r="BB1463" i="6" s="1"/>
  <c r="R1464" i="6" s="1"/>
  <c r="BB1464" i="6" s="1"/>
  <c r="R1465" i="6" s="1"/>
  <c r="BB1465" i="6" s="1"/>
  <c r="R1466" i="6" s="1"/>
  <c r="BB1466" i="6" s="1"/>
  <c r="R1467" i="6" s="1"/>
  <c r="BB1467" i="6" s="1"/>
  <c r="R1468" i="6" s="1"/>
  <c r="BB1468" i="6" s="1"/>
  <c r="R1469" i="6" s="1"/>
  <c r="BB1469" i="6" s="1"/>
  <c r="R1470" i="6" s="1"/>
  <c r="BB1470" i="6" s="1"/>
  <c r="R1471" i="6" s="1"/>
  <c r="BB1471" i="6" s="1"/>
  <c r="R1472" i="6" s="1"/>
  <c r="BB1472" i="6" s="1"/>
  <c r="R1473" i="6" s="1"/>
  <c r="BB1473" i="6" s="1"/>
  <c r="R1474" i="6" s="1"/>
  <c r="BB1474" i="6" s="1"/>
  <c r="R1475" i="6" s="1"/>
  <c r="BB1475" i="6" s="1"/>
  <c r="R1476" i="6" s="1"/>
  <c r="BB1476" i="6" s="1"/>
  <c r="R1477" i="6" s="1"/>
  <c r="BB1477" i="6" s="1"/>
  <c r="R1478" i="6" s="1"/>
  <c r="BB1478" i="6" s="1"/>
  <c r="R1479" i="6" s="1"/>
  <c r="BB1479" i="6" s="1"/>
  <c r="R1480" i="6" s="1"/>
  <c r="BB1480" i="6" s="1"/>
  <c r="R1481" i="6" s="1"/>
  <c r="BB1481" i="6" s="1"/>
  <c r="Q1446" i="6"/>
  <c r="BA1446" i="6" s="1"/>
  <c r="Q1447" i="6" s="1"/>
  <c r="BA1447" i="6" s="1"/>
  <c r="Q1448" i="6" s="1"/>
  <c r="BA1448" i="6" s="1"/>
  <c r="Q1449" i="6" s="1"/>
  <c r="BA1449" i="6" s="1"/>
  <c r="Q1450" i="6" s="1"/>
  <c r="BA1450" i="6" s="1"/>
  <c r="Q1451" i="6" s="1"/>
  <c r="O1446" i="6"/>
  <c r="AY1446" i="6" s="1"/>
  <c r="O1447" i="6" s="1"/>
  <c r="AY1447" i="6" s="1"/>
  <c r="O1448" i="6" s="1"/>
  <c r="AY1448" i="6" s="1"/>
  <c r="O1449" i="6" s="1"/>
  <c r="AY1449" i="6" s="1"/>
  <c r="O1450" i="6" s="1"/>
  <c r="AY1450" i="6" s="1"/>
  <c r="O1451" i="6" s="1"/>
  <c r="AY1451" i="6" s="1"/>
  <c r="O1452" i="6" s="1"/>
  <c r="AY1452" i="6" s="1"/>
  <c r="O1453" i="6" s="1"/>
  <c r="AY1453" i="6" s="1"/>
  <c r="O1454" i="6" s="1"/>
  <c r="AY1454" i="6" s="1"/>
  <c r="O1455" i="6" s="1"/>
  <c r="AY1455" i="6" s="1"/>
  <c r="O1456" i="6" s="1"/>
  <c r="AY1456" i="6" s="1"/>
  <c r="O1457" i="6" s="1"/>
  <c r="AY1457" i="6" s="1"/>
  <c r="O1458" i="6" s="1"/>
  <c r="AY1458" i="6" s="1"/>
  <c r="O1459" i="6" s="1"/>
  <c r="AY1459" i="6" s="1"/>
  <c r="O1460" i="6" s="1"/>
  <c r="AY1460" i="6" s="1"/>
  <c r="O1461" i="6" s="1"/>
  <c r="AY1461" i="6" s="1"/>
  <c r="O1462" i="6" s="1"/>
  <c r="AY1462" i="6" s="1"/>
  <c r="O1463" i="6" s="1"/>
  <c r="AY1463" i="6" s="1"/>
  <c r="O1464" i="6" s="1"/>
  <c r="AY1464" i="6" s="1"/>
  <c r="O1465" i="6" s="1"/>
  <c r="N1446" i="6"/>
  <c r="AX1446" i="6" s="1"/>
  <c r="M1446" i="6"/>
  <c r="AW1446" i="6" s="1"/>
  <c r="M1447" i="6" s="1"/>
  <c r="AW1447" i="6" s="1"/>
  <c r="M1448" i="6" s="1"/>
  <c r="L1446" i="6"/>
  <c r="J1446" i="6"/>
  <c r="I1446" i="6"/>
  <c r="H1446" i="6"/>
  <c r="G1446" i="6"/>
  <c r="AV1446" i="6" s="1"/>
  <c r="F1446" i="6"/>
  <c r="AI1446" i="6" s="1"/>
  <c r="E1446" i="6"/>
  <c r="D1446" i="6"/>
  <c r="C1446" i="6"/>
  <c r="B1446" i="6"/>
  <c r="A1446" i="6"/>
  <c r="AO1445" i="6"/>
  <c r="K1445" i="6"/>
  <c r="J1445" i="6"/>
  <c r="I1445" i="6"/>
  <c r="H1445" i="6"/>
  <c r="G1445" i="6"/>
  <c r="AI1445" i="6" s="1"/>
  <c r="F1445" i="6"/>
  <c r="E1445" i="6"/>
  <c r="D1445" i="6"/>
  <c r="C1445" i="6"/>
  <c r="B1445" i="6"/>
  <c r="A1445" i="6"/>
  <c r="AO1444" i="6"/>
  <c r="AI1444" i="6"/>
  <c r="AE1444" i="6"/>
  <c r="K1444" i="6"/>
  <c r="J1444" i="6"/>
  <c r="I1444" i="6"/>
  <c r="H1444" i="6"/>
  <c r="G1444" i="6"/>
  <c r="F1444" i="6"/>
  <c r="E1444" i="6"/>
  <c r="D1444" i="6"/>
  <c r="C1444" i="6"/>
  <c r="B1444" i="6"/>
  <c r="A1444" i="6"/>
  <c r="AO1443" i="6"/>
  <c r="H1443" i="6"/>
  <c r="G1443" i="6"/>
  <c r="F1443" i="6"/>
  <c r="E1443" i="6"/>
  <c r="D1443" i="6"/>
  <c r="C1443" i="6"/>
  <c r="B1443" i="6"/>
  <c r="A1443" i="6"/>
  <c r="AO1442" i="6"/>
  <c r="AI1442" i="6"/>
  <c r="AE1442" i="6"/>
  <c r="K1442" i="6"/>
  <c r="J1442" i="6"/>
  <c r="I1442" i="6"/>
  <c r="H1442" i="6"/>
  <c r="G1442" i="6"/>
  <c r="F1442" i="6"/>
  <c r="E1442" i="6"/>
  <c r="D1442" i="6"/>
  <c r="C1442" i="6"/>
  <c r="B1442" i="6"/>
  <c r="A1442" i="6"/>
  <c r="AO1441" i="6"/>
  <c r="AE1441" i="6"/>
  <c r="H1441" i="6"/>
  <c r="G1441" i="6"/>
  <c r="F1441" i="6"/>
  <c r="E1441" i="6"/>
  <c r="D1441" i="6"/>
  <c r="C1441" i="6"/>
  <c r="B1441" i="6"/>
  <c r="A1441" i="6"/>
  <c r="AO1440" i="6"/>
  <c r="AE1440" i="6"/>
  <c r="K1440" i="6"/>
  <c r="I1440" i="6"/>
  <c r="H1440" i="6"/>
  <c r="G1440" i="6"/>
  <c r="AI1440" i="6" s="1"/>
  <c r="F1440" i="6"/>
  <c r="J1440" i="6" s="1"/>
  <c r="E1440" i="6"/>
  <c r="D1440" i="6"/>
  <c r="C1440" i="6"/>
  <c r="B1440" i="6"/>
  <c r="A1440" i="6"/>
  <c r="AO1439" i="6"/>
  <c r="AI1439" i="6"/>
  <c r="K1439" i="6"/>
  <c r="J1439" i="6"/>
  <c r="I1439" i="6"/>
  <c r="H1439" i="6"/>
  <c r="G1439" i="6"/>
  <c r="F1439" i="6"/>
  <c r="E1439" i="6"/>
  <c r="D1439" i="6"/>
  <c r="C1439" i="6"/>
  <c r="B1439" i="6"/>
  <c r="A1439" i="6"/>
  <c r="AO1438" i="6"/>
  <c r="H1438" i="6"/>
  <c r="G1438" i="6"/>
  <c r="F1438" i="6"/>
  <c r="E1438" i="6"/>
  <c r="D1438" i="6"/>
  <c r="C1438" i="6"/>
  <c r="B1438" i="6"/>
  <c r="A1438" i="6"/>
  <c r="AO1437" i="6"/>
  <c r="AI1437" i="6"/>
  <c r="K1437" i="6"/>
  <c r="J1437" i="6"/>
  <c r="H1437" i="6"/>
  <c r="G1437" i="6"/>
  <c r="F1437" i="6"/>
  <c r="E1437" i="6"/>
  <c r="D1437" i="6"/>
  <c r="C1437" i="6"/>
  <c r="B1437" i="6"/>
  <c r="A1437" i="6"/>
  <c r="AO1436" i="6"/>
  <c r="AI1436" i="6"/>
  <c r="H1436" i="6"/>
  <c r="G1436" i="6"/>
  <c r="F1436" i="6"/>
  <c r="E1436" i="6"/>
  <c r="D1436" i="6"/>
  <c r="C1436" i="6"/>
  <c r="B1436" i="6"/>
  <c r="A1436" i="6"/>
  <c r="AO1435" i="6"/>
  <c r="H1435" i="6"/>
  <c r="G1435" i="6"/>
  <c r="F1435" i="6"/>
  <c r="E1435" i="6"/>
  <c r="D1435" i="6"/>
  <c r="C1435" i="6"/>
  <c r="B1435" i="6"/>
  <c r="A1435" i="6"/>
  <c r="AO1434" i="6"/>
  <c r="AE1434" i="6"/>
  <c r="J1434" i="6"/>
  <c r="I1434" i="6"/>
  <c r="H1434" i="6"/>
  <c r="G1434" i="6"/>
  <c r="F1434" i="6"/>
  <c r="AI1434" i="6" s="1"/>
  <c r="E1434" i="6"/>
  <c r="D1434" i="6"/>
  <c r="C1434" i="6"/>
  <c r="B1434" i="6"/>
  <c r="A1434" i="6"/>
  <c r="AO1433" i="6"/>
  <c r="J1433" i="6"/>
  <c r="H1433" i="6"/>
  <c r="G1433" i="6"/>
  <c r="F1433" i="6"/>
  <c r="AI1433" i="6" s="1"/>
  <c r="E1433" i="6"/>
  <c r="D1433" i="6"/>
  <c r="C1433" i="6"/>
  <c r="B1433" i="6"/>
  <c r="A1433" i="6"/>
  <c r="AT1432" i="6"/>
  <c r="AE1432" i="6"/>
  <c r="K1432" i="6"/>
  <c r="J1432" i="6"/>
  <c r="I1432" i="6"/>
  <c r="H1432" i="6"/>
  <c r="G1432" i="6"/>
  <c r="F1432" i="6"/>
  <c r="E1432" i="6"/>
  <c r="D1432" i="6"/>
  <c r="C1432" i="6"/>
  <c r="B1432" i="6"/>
  <c r="A1432" i="6"/>
  <c r="AT1431" i="6"/>
  <c r="AO1431" i="6"/>
  <c r="H1431" i="6"/>
  <c r="G1431" i="6"/>
  <c r="F1431" i="6"/>
  <c r="E1431" i="6"/>
  <c r="D1431" i="6"/>
  <c r="C1431" i="6"/>
  <c r="B1431" i="6"/>
  <c r="A1431" i="6"/>
  <c r="AT1430" i="6"/>
  <c r="AO1430" i="6"/>
  <c r="AI1430" i="6"/>
  <c r="AE1430" i="6"/>
  <c r="K1430" i="6"/>
  <c r="J1430" i="6"/>
  <c r="I1430" i="6"/>
  <c r="H1430" i="6"/>
  <c r="G1430" i="6"/>
  <c r="F1430" i="6"/>
  <c r="E1430" i="6"/>
  <c r="D1430" i="6"/>
  <c r="C1430" i="6"/>
  <c r="B1430" i="6"/>
  <c r="A1430" i="6"/>
  <c r="AT1429" i="6"/>
  <c r="AO1429" i="6"/>
  <c r="I1429" i="6"/>
  <c r="H1429" i="6"/>
  <c r="G1429" i="6"/>
  <c r="F1429" i="6"/>
  <c r="E1429" i="6"/>
  <c r="D1429" i="6"/>
  <c r="C1429" i="6"/>
  <c r="B1429" i="6"/>
  <c r="A1429" i="6"/>
  <c r="AT1428" i="6"/>
  <c r="AO1428" i="6"/>
  <c r="AI1428" i="6"/>
  <c r="AE1428" i="6"/>
  <c r="K1428" i="6"/>
  <c r="I1428" i="6"/>
  <c r="H1428" i="6"/>
  <c r="G1428" i="6"/>
  <c r="F1428" i="6"/>
  <c r="E1428" i="6"/>
  <c r="D1428" i="6"/>
  <c r="C1428" i="6"/>
  <c r="B1428" i="6"/>
  <c r="A1428" i="6"/>
  <c r="AT1427" i="6"/>
  <c r="AO1427" i="6"/>
  <c r="AE1427" i="6"/>
  <c r="K1427" i="6"/>
  <c r="J1427" i="6"/>
  <c r="I1427" i="6"/>
  <c r="H1427" i="6"/>
  <c r="AF1427" i="6" s="1"/>
  <c r="G1427" i="6"/>
  <c r="F1427" i="6"/>
  <c r="E1427" i="6"/>
  <c r="D1427" i="6"/>
  <c r="C1427" i="6"/>
  <c r="B1427" i="6"/>
  <c r="A1427" i="6"/>
  <c r="AT1426" i="6"/>
  <c r="AI1426" i="6"/>
  <c r="K1426" i="6"/>
  <c r="H1426" i="6"/>
  <c r="G1426" i="6"/>
  <c r="F1426" i="6"/>
  <c r="E1426" i="6"/>
  <c r="D1426" i="6"/>
  <c r="C1426" i="6"/>
  <c r="B1426" i="6"/>
  <c r="A1426" i="6"/>
  <c r="AT1425" i="6"/>
  <c r="AO1425" i="6"/>
  <c r="AF1425" i="6"/>
  <c r="J1425" i="6"/>
  <c r="H1425" i="6"/>
  <c r="G1425" i="6"/>
  <c r="F1425" i="6"/>
  <c r="AE1425" i="6" s="1"/>
  <c r="E1425" i="6"/>
  <c r="D1425" i="6"/>
  <c r="C1425" i="6"/>
  <c r="B1425" i="6"/>
  <c r="A1425" i="6"/>
  <c r="AT1424" i="6"/>
  <c r="AO1424" i="6"/>
  <c r="AF1424" i="6"/>
  <c r="AE1424" i="6"/>
  <c r="J1424" i="6"/>
  <c r="H1424" i="6"/>
  <c r="G1424" i="6"/>
  <c r="F1424" i="6"/>
  <c r="AI1424" i="6" s="1"/>
  <c r="E1424" i="6"/>
  <c r="D1424" i="6"/>
  <c r="C1424" i="6"/>
  <c r="B1424" i="6"/>
  <c r="A1424" i="6"/>
  <c r="AT1423" i="6"/>
  <c r="AO1423" i="6"/>
  <c r="AI1423" i="6"/>
  <c r="AF1423" i="6"/>
  <c r="K1423" i="6"/>
  <c r="H1423" i="6"/>
  <c r="G1423" i="6"/>
  <c r="F1423" i="6"/>
  <c r="E1423" i="6"/>
  <c r="D1423" i="6"/>
  <c r="C1423" i="6"/>
  <c r="B1423" i="6"/>
  <c r="A1423" i="6"/>
  <c r="AT1422" i="6"/>
  <c r="AO1422" i="6"/>
  <c r="AE1422" i="6"/>
  <c r="K1422" i="6"/>
  <c r="I1422" i="6"/>
  <c r="H1422" i="6"/>
  <c r="G1422" i="6"/>
  <c r="F1422" i="6"/>
  <c r="E1422" i="6"/>
  <c r="D1422" i="6"/>
  <c r="C1422" i="6"/>
  <c r="B1422" i="6"/>
  <c r="A1422" i="6"/>
  <c r="AT1421" i="6"/>
  <c r="H1421" i="6"/>
  <c r="G1421" i="6"/>
  <c r="F1421" i="6"/>
  <c r="E1421" i="6"/>
  <c r="D1421" i="6"/>
  <c r="C1421" i="6"/>
  <c r="B1421" i="6"/>
  <c r="A1421" i="6"/>
  <c r="AT1420" i="6"/>
  <c r="AI1420" i="6"/>
  <c r="K1420" i="6"/>
  <c r="J1420" i="6"/>
  <c r="I1420" i="6"/>
  <c r="H1420" i="6"/>
  <c r="G1420" i="6"/>
  <c r="F1420" i="6"/>
  <c r="AE1420" i="6" s="1"/>
  <c r="E1420" i="6"/>
  <c r="D1420" i="6"/>
  <c r="C1420" i="6"/>
  <c r="B1420" i="6"/>
  <c r="A1420" i="6"/>
  <c r="AT1419" i="6"/>
  <c r="AO1419" i="6"/>
  <c r="H1419" i="6"/>
  <c r="AF1419" i="6" s="1"/>
  <c r="G1419" i="6"/>
  <c r="F1419" i="6"/>
  <c r="E1419" i="6"/>
  <c r="D1419" i="6"/>
  <c r="C1419" i="6"/>
  <c r="B1419" i="6"/>
  <c r="A1419" i="6"/>
  <c r="AT1418" i="6"/>
  <c r="AO1418" i="6"/>
  <c r="AE1418" i="6"/>
  <c r="K1418" i="6"/>
  <c r="J1418" i="6"/>
  <c r="H1418" i="6"/>
  <c r="G1418" i="6"/>
  <c r="AI1418" i="6" s="1"/>
  <c r="F1418" i="6"/>
  <c r="E1418" i="6"/>
  <c r="D1418" i="6"/>
  <c r="C1418" i="6"/>
  <c r="B1418" i="6"/>
  <c r="A1418" i="6"/>
  <c r="AT1417" i="6"/>
  <c r="AO1417" i="6"/>
  <c r="AF1417" i="6"/>
  <c r="J1417" i="6"/>
  <c r="H1417" i="6"/>
  <c r="G1417" i="6"/>
  <c r="F1417" i="6"/>
  <c r="E1417" i="6"/>
  <c r="D1417" i="6"/>
  <c r="C1417" i="6"/>
  <c r="B1417" i="6"/>
  <c r="A1417" i="6"/>
  <c r="AT1416" i="6"/>
  <c r="AO1416" i="6"/>
  <c r="I1416" i="6"/>
  <c r="H1416" i="6"/>
  <c r="AF1416" i="6" s="1"/>
  <c r="G1416" i="6"/>
  <c r="F1416" i="6"/>
  <c r="AI1416" i="6" s="1"/>
  <c r="E1416" i="6"/>
  <c r="D1416" i="6"/>
  <c r="C1416" i="6"/>
  <c r="B1416" i="6"/>
  <c r="A1416" i="6"/>
  <c r="AT1415" i="6"/>
  <c r="AE1415" i="6"/>
  <c r="K1415" i="6"/>
  <c r="J1415" i="6"/>
  <c r="I1415" i="6"/>
  <c r="H1415" i="6"/>
  <c r="G1415" i="6"/>
  <c r="AI1415" i="6" s="1"/>
  <c r="F1415" i="6"/>
  <c r="E1415" i="6"/>
  <c r="D1415" i="6"/>
  <c r="C1415" i="6"/>
  <c r="B1415" i="6"/>
  <c r="A1415" i="6"/>
  <c r="AT1414" i="6"/>
  <c r="AE1414" i="6"/>
  <c r="K1414" i="6"/>
  <c r="H1414" i="6"/>
  <c r="G1414" i="6"/>
  <c r="F1414" i="6"/>
  <c r="E1414" i="6"/>
  <c r="D1414" i="6"/>
  <c r="C1414" i="6"/>
  <c r="B1414" i="6"/>
  <c r="A1414" i="6"/>
  <c r="AT1413" i="6"/>
  <c r="AP1413" i="6"/>
  <c r="AO1413" i="6"/>
  <c r="AI1413" i="6"/>
  <c r="Z1413" i="6"/>
  <c r="BJ1413" i="6" s="1"/>
  <c r="Z1414" i="6" s="1"/>
  <c r="BJ1414" i="6" s="1"/>
  <c r="Z1415" i="6" s="1"/>
  <c r="BJ1415" i="6" s="1"/>
  <c r="Z1416" i="6" s="1"/>
  <c r="BJ1416" i="6" s="1"/>
  <c r="Z1417" i="6" s="1"/>
  <c r="BJ1417" i="6" s="1"/>
  <c r="Z1418" i="6" s="1"/>
  <c r="BJ1418" i="6" s="1"/>
  <c r="Z1419" i="6" s="1"/>
  <c r="BJ1419" i="6" s="1"/>
  <c r="Z1420" i="6" s="1"/>
  <c r="BJ1420" i="6" s="1"/>
  <c r="Z1421" i="6" s="1"/>
  <c r="BJ1421" i="6" s="1"/>
  <c r="Z1422" i="6" s="1"/>
  <c r="BJ1422" i="6" s="1"/>
  <c r="Z1423" i="6" s="1"/>
  <c r="BJ1423" i="6" s="1"/>
  <c r="Z1424" i="6" s="1"/>
  <c r="BJ1424" i="6" s="1"/>
  <c r="Z1425" i="6" s="1"/>
  <c r="BJ1425" i="6" s="1"/>
  <c r="Z1426" i="6" s="1"/>
  <c r="BJ1426" i="6" s="1"/>
  <c r="Z1427" i="6" s="1"/>
  <c r="BJ1427" i="6" s="1"/>
  <c r="Z1428" i="6" s="1"/>
  <c r="BJ1428" i="6" s="1"/>
  <c r="Z1429" i="6" s="1"/>
  <c r="BJ1429" i="6" s="1"/>
  <c r="Z1430" i="6" s="1"/>
  <c r="BJ1430" i="6" s="1"/>
  <c r="Z1431" i="6" s="1"/>
  <c r="BJ1431" i="6" s="1"/>
  <c r="Z1432" i="6" s="1"/>
  <c r="BJ1432" i="6" s="1"/>
  <c r="Z1433" i="6" s="1"/>
  <c r="BJ1433" i="6" s="1"/>
  <c r="Z1434" i="6" s="1"/>
  <c r="BJ1434" i="6" s="1"/>
  <c r="Z1435" i="6" s="1"/>
  <c r="BJ1435" i="6" s="1"/>
  <c r="Z1436" i="6" s="1"/>
  <c r="BJ1436" i="6" s="1"/>
  <c r="Z1437" i="6" s="1"/>
  <c r="BJ1437" i="6" s="1"/>
  <c r="Z1438" i="6" s="1"/>
  <c r="BJ1438" i="6" s="1"/>
  <c r="Z1439" i="6" s="1"/>
  <c r="BJ1439" i="6" s="1"/>
  <c r="Z1440" i="6" s="1"/>
  <c r="BJ1440" i="6" s="1"/>
  <c r="Z1441" i="6" s="1"/>
  <c r="BJ1441" i="6" s="1"/>
  <c r="Z1442" i="6" s="1"/>
  <c r="BJ1442" i="6" s="1"/>
  <c r="Z1443" i="6" s="1"/>
  <c r="BJ1443" i="6" s="1"/>
  <c r="Z1444" i="6" s="1"/>
  <c r="BJ1444" i="6" s="1"/>
  <c r="Z1445" i="6" s="1"/>
  <c r="BJ1445" i="6" s="1"/>
  <c r="K1413" i="6"/>
  <c r="J1413" i="6"/>
  <c r="I1413" i="6"/>
  <c r="H1413" i="6"/>
  <c r="G1413" i="6"/>
  <c r="F1413" i="6"/>
  <c r="AE1413" i="6" s="1"/>
  <c r="E1413" i="6"/>
  <c r="D1413" i="6"/>
  <c r="C1413" i="6"/>
  <c r="B1413" i="6"/>
  <c r="A1413" i="6"/>
  <c r="BL1412" i="6"/>
  <c r="AB1413" i="6" s="1"/>
  <c r="BL1413" i="6" s="1"/>
  <c r="AB1414" i="6" s="1"/>
  <c r="BL1414" i="6" s="1"/>
  <c r="AB1415" i="6" s="1"/>
  <c r="BL1415" i="6" s="1"/>
  <c r="AB1416" i="6" s="1"/>
  <c r="BL1416" i="6" s="1"/>
  <c r="AB1417" i="6" s="1"/>
  <c r="BL1417" i="6" s="1"/>
  <c r="AB1418" i="6" s="1"/>
  <c r="BL1418" i="6" s="1"/>
  <c r="AB1419" i="6" s="1"/>
  <c r="BL1419" i="6" s="1"/>
  <c r="AB1420" i="6" s="1"/>
  <c r="BL1420" i="6" s="1"/>
  <c r="AB1421" i="6" s="1"/>
  <c r="BL1421" i="6" s="1"/>
  <c r="AB1422" i="6" s="1"/>
  <c r="BL1422" i="6" s="1"/>
  <c r="AB1423" i="6" s="1"/>
  <c r="BL1423" i="6" s="1"/>
  <c r="AB1424" i="6" s="1"/>
  <c r="BL1424" i="6" s="1"/>
  <c r="AB1425" i="6" s="1"/>
  <c r="BL1425" i="6" s="1"/>
  <c r="AB1426" i="6" s="1"/>
  <c r="BL1426" i="6" s="1"/>
  <c r="AB1427" i="6" s="1"/>
  <c r="BL1427" i="6" s="1"/>
  <c r="AB1428" i="6" s="1"/>
  <c r="BL1428" i="6" s="1"/>
  <c r="AB1429" i="6" s="1"/>
  <c r="BL1429" i="6" s="1"/>
  <c r="AB1430" i="6" s="1"/>
  <c r="BL1430" i="6" s="1"/>
  <c r="AB1431" i="6" s="1"/>
  <c r="BL1431" i="6" s="1"/>
  <c r="AB1432" i="6" s="1"/>
  <c r="BL1432" i="6" s="1"/>
  <c r="AB1433" i="6" s="1"/>
  <c r="BL1433" i="6" s="1"/>
  <c r="AB1434" i="6" s="1"/>
  <c r="BL1434" i="6" s="1"/>
  <c r="AB1435" i="6" s="1"/>
  <c r="BL1435" i="6" s="1"/>
  <c r="AB1436" i="6" s="1"/>
  <c r="BL1436" i="6" s="1"/>
  <c r="AB1437" i="6" s="1"/>
  <c r="BL1437" i="6" s="1"/>
  <c r="AB1438" i="6" s="1"/>
  <c r="BL1438" i="6" s="1"/>
  <c r="AB1439" i="6" s="1"/>
  <c r="BL1439" i="6" s="1"/>
  <c r="AB1440" i="6" s="1"/>
  <c r="BL1440" i="6" s="1"/>
  <c r="AB1441" i="6" s="1"/>
  <c r="BL1441" i="6" s="1"/>
  <c r="AB1442" i="6" s="1"/>
  <c r="BL1442" i="6" s="1"/>
  <c r="AB1443" i="6" s="1"/>
  <c r="BL1443" i="6" s="1"/>
  <c r="AB1444" i="6" s="1"/>
  <c r="BL1444" i="6" s="1"/>
  <c r="AB1445" i="6" s="1"/>
  <c r="BL1445" i="6" s="1"/>
  <c r="AT1412" i="6"/>
  <c r="AO1412" i="6"/>
  <c r="AF1412" i="6"/>
  <c r="AE1412" i="6"/>
  <c r="H1412" i="6"/>
  <c r="G1412" i="6"/>
  <c r="F1412" i="6"/>
  <c r="K1412" i="6" s="1"/>
  <c r="E1412" i="6"/>
  <c r="D1412" i="6"/>
  <c r="C1412" i="6"/>
  <c r="B1412" i="6"/>
  <c r="A1412" i="6"/>
  <c r="BJ1411" i="6"/>
  <c r="Z1412" i="6" s="1"/>
  <c r="BJ1412" i="6" s="1"/>
  <c r="BB1411" i="6"/>
  <c r="R1412" i="6" s="1"/>
  <c r="BB1412" i="6" s="1"/>
  <c r="R1413" i="6" s="1"/>
  <c r="BB1413" i="6" s="1"/>
  <c r="R1414" i="6" s="1"/>
  <c r="BB1414" i="6" s="1"/>
  <c r="R1415" i="6" s="1"/>
  <c r="BB1415" i="6" s="1"/>
  <c r="R1416" i="6" s="1"/>
  <c r="BB1416" i="6" s="1"/>
  <c r="R1417" i="6" s="1"/>
  <c r="BB1417" i="6" s="1"/>
  <c r="R1418" i="6" s="1"/>
  <c r="BB1418" i="6" s="1"/>
  <c r="R1419" i="6" s="1"/>
  <c r="BB1419" i="6" s="1"/>
  <c r="R1420" i="6" s="1"/>
  <c r="BB1420" i="6" s="1"/>
  <c r="R1421" i="6" s="1"/>
  <c r="BB1421" i="6" s="1"/>
  <c r="R1422" i="6" s="1"/>
  <c r="BB1422" i="6" s="1"/>
  <c r="R1423" i="6" s="1"/>
  <c r="BB1423" i="6" s="1"/>
  <c r="R1424" i="6" s="1"/>
  <c r="BB1424" i="6" s="1"/>
  <c r="R1425" i="6" s="1"/>
  <c r="BB1425" i="6" s="1"/>
  <c r="R1426" i="6" s="1"/>
  <c r="BB1426" i="6" s="1"/>
  <c r="R1427" i="6" s="1"/>
  <c r="BB1427" i="6" s="1"/>
  <c r="R1428" i="6" s="1"/>
  <c r="BB1428" i="6" s="1"/>
  <c r="R1429" i="6" s="1"/>
  <c r="BB1429" i="6" s="1"/>
  <c r="R1430" i="6" s="1"/>
  <c r="BB1430" i="6" s="1"/>
  <c r="R1431" i="6" s="1"/>
  <c r="BB1431" i="6" s="1"/>
  <c r="R1432" i="6" s="1"/>
  <c r="BB1432" i="6" s="1"/>
  <c r="R1433" i="6" s="1"/>
  <c r="BB1433" i="6" s="1"/>
  <c r="R1434" i="6" s="1"/>
  <c r="BB1434" i="6" s="1"/>
  <c r="R1435" i="6" s="1"/>
  <c r="BB1435" i="6" s="1"/>
  <c r="R1436" i="6" s="1"/>
  <c r="BB1436" i="6" s="1"/>
  <c r="R1437" i="6" s="1"/>
  <c r="BB1437" i="6" s="1"/>
  <c r="R1438" i="6" s="1"/>
  <c r="BB1438" i="6" s="1"/>
  <c r="R1439" i="6" s="1"/>
  <c r="BB1439" i="6" s="1"/>
  <c r="R1440" i="6" s="1"/>
  <c r="BB1440" i="6" s="1"/>
  <c r="R1441" i="6" s="1"/>
  <c r="BB1441" i="6" s="1"/>
  <c r="R1442" i="6" s="1"/>
  <c r="BB1442" i="6" s="1"/>
  <c r="R1443" i="6" s="1"/>
  <c r="BB1443" i="6" s="1"/>
  <c r="R1444" i="6" s="1"/>
  <c r="BB1444" i="6" s="1"/>
  <c r="R1445" i="6" s="1"/>
  <c r="BB1445" i="6" s="1"/>
  <c r="AT1411" i="6"/>
  <c r="AO1411" i="6"/>
  <c r="AF1411" i="6"/>
  <c r="AB1411" i="6"/>
  <c r="BL1411" i="6" s="1"/>
  <c r="AB1412" i="6" s="1"/>
  <c r="Z1411" i="6"/>
  <c r="Y1411" i="6"/>
  <c r="BI1411" i="6" s="1"/>
  <c r="Y1412" i="6" s="1"/>
  <c r="BI1412" i="6" s="1"/>
  <c r="Y1413" i="6" s="1"/>
  <c r="BI1413" i="6" s="1"/>
  <c r="Y1414" i="6" s="1"/>
  <c r="BI1414" i="6" s="1"/>
  <c r="Y1415" i="6" s="1"/>
  <c r="BI1415" i="6" s="1"/>
  <c r="Y1416" i="6" s="1"/>
  <c r="BI1416" i="6" s="1"/>
  <c r="Y1417" i="6" s="1"/>
  <c r="BI1417" i="6" s="1"/>
  <c r="Y1418" i="6" s="1"/>
  <c r="BI1418" i="6" s="1"/>
  <c r="Y1419" i="6" s="1"/>
  <c r="BI1419" i="6" s="1"/>
  <c r="Y1420" i="6" s="1"/>
  <c r="BI1420" i="6" s="1"/>
  <c r="Y1421" i="6" s="1"/>
  <c r="BI1421" i="6" s="1"/>
  <c r="Y1422" i="6" s="1"/>
  <c r="BI1422" i="6" s="1"/>
  <c r="Y1423" i="6" s="1"/>
  <c r="BI1423" i="6" s="1"/>
  <c r="Y1424" i="6" s="1"/>
  <c r="BI1424" i="6" s="1"/>
  <c r="Y1425" i="6" s="1"/>
  <c r="BI1425" i="6" s="1"/>
  <c r="Y1426" i="6" s="1"/>
  <c r="BI1426" i="6" s="1"/>
  <c r="Y1427" i="6" s="1"/>
  <c r="BI1427" i="6" s="1"/>
  <c r="Y1428" i="6" s="1"/>
  <c r="BI1428" i="6" s="1"/>
  <c r="Y1429" i="6" s="1"/>
  <c r="BI1429" i="6" s="1"/>
  <c r="Y1430" i="6" s="1"/>
  <c r="BI1430" i="6" s="1"/>
  <c r="Y1431" i="6" s="1"/>
  <c r="BI1431" i="6" s="1"/>
  <c r="Y1432" i="6" s="1"/>
  <c r="BI1432" i="6" s="1"/>
  <c r="Y1433" i="6" s="1"/>
  <c r="BI1433" i="6" s="1"/>
  <c r="Y1434" i="6" s="1"/>
  <c r="BI1434" i="6" s="1"/>
  <c r="Y1435" i="6" s="1"/>
  <c r="BI1435" i="6" s="1"/>
  <c r="Y1436" i="6" s="1"/>
  <c r="BI1436" i="6" s="1"/>
  <c r="Y1437" i="6" s="1"/>
  <c r="BI1437" i="6" s="1"/>
  <c r="Y1438" i="6" s="1"/>
  <c r="BI1438" i="6" s="1"/>
  <c r="Y1439" i="6" s="1"/>
  <c r="BI1439" i="6" s="1"/>
  <c r="Y1440" i="6" s="1"/>
  <c r="BI1440" i="6" s="1"/>
  <c r="Y1441" i="6" s="1"/>
  <c r="BI1441" i="6" s="1"/>
  <c r="Y1442" i="6" s="1"/>
  <c r="BI1442" i="6" s="1"/>
  <c r="Y1443" i="6" s="1"/>
  <c r="BI1443" i="6" s="1"/>
  <c r="Y1444" i="6" s="1"/>
  <c r="BI1444" i="6" s="1"/>
  <c r="Y1445" i="6" s="1"/>
  <c r="BI1445" i="6" s="1"/>
  <c r="W1411" i="6"/>
  <c r="BG1411" i="6" s="1"/>
  <c r="W1412" i="6" s="1"/>
  <c r="BG1412" i="6" s="1"/>
  <c r="W1413" i="6" s="1"/>
  <c r="N1411" i="6"/>
  <c r="AX1411" i="6" s="1"/>
  <c r="N1412" i="6" s="1"/>
  <c r="AX1412" i="6" s="1"/>
  <c r="N1413" i="6" s="1"/>
  <c r="AX1413" i="6" s="1"/>
  <c r="N1414" i="6" s="1"/>
  <c r="AX1414" i="6" s="1"/>
  <c r="N1415" i="6" s="1"/>
  <c r="AX1415" i="6" s="1"/>
  <c r="N1416" i="6" s="1"/>
  <c r="AX1416" i="6" s="1"/>
  <c r="M1411" i="6"/>
  <c r="AW1411" i="6" s="1"/>
  <c r="M1412" i="6" s="1"/>
  <c r="H1411" i="6"/>
  <c r="G1411" i="6"/>
  <c r="F1411" i="6"/>
  <c r="E1411" i="6"/>
  <c r="D1411" i="6"/>
  <c r="C1411" i="6"/>
  <c r="B1411" i="6"/>
  <c r="A1411" i="6"/>
  <c r="BN1410" i="6"/>
  <c r="BO1410" i="6" s="1"/>
  <c r="BN1411" i="6" s="1"/>
  <c r="BO1411" i="6" s="1"/>
  <c r="BN1412" i="6" s="1"/>
  <c r="BO1412" i="6" s="1"/>
  <c r="BN1413" i="6" s="1"/>
  <c r="BO1413" i="6" s="1"/>
  <c r="BN1414" i="6" s="1"/>
  <c r="BO1414" i="6" s="1"/>
  <c r="BN1415" i="6" s="1"/>
  <c r="BK1410" i="6"/>
  <c r="AA1411" i="6" s="1"/>
  <c r="BK1411" i="6" s="1"/>
  <c r="AA1412" i="6" s="1"/>
  <c r="BK1412" i="6" s="1"/>
  <c r="AA1413" i="6" s="1"/>
  <c r="BK1413" i="6" s="1"/>
  <c r="AA1414" i="6" s="1"/>
  <c r="BK1414" i="6" s="1"/>
  <c r="AA1415" i="6" s="1"/>
  <c r="BK1415" i="6" s="1"/>
  <c r="AA1416" i="6" s="1"/>
  <c r="BK1416" i="6" s="1"/>
  <c r="AA1417" i="6" s="1"/>
  <c r="BK1417" i="6" s="1"/>
  <c r="AA1418" i="6" s="1"/>
  <c r="BK1418" i="6" s="1"/>
  <c r="AA1419" i="6" s="1"/>
  <c r="BK1419" i="6" s="1"/>
  <c r="AA1420" i="6" s="1"/>
  <c r="BK1420" i="6" s="1"/>
  <c r="AA1421" i="6" s="1"/>
  <c r="BK1421" i="6" s="1"/>
  <c r="AA1422" i="6" s="1"/>
  <c r="BK1422" i="6" s="1"/>
  <c r="AA1423" i="6" s="1"/>
  <c r="BK1423" i="6" s="1"/>
  <c r="AA1424" i="6" s="1"/>
  <c r="BK1424" i="6" s="1"/>
  <c r="AA1425" i="6" s="1"/>
  <c r="BK1425" i="6" s="1"/>
  <c r="AA1426" i="6" s="1"/>
  <c r="BK1426" i="6" s="1"/>
  <c r="AA1427" i="6" s="1"/>
  <c r="BK1427" i="6" s="1"/>
  <c r="AA1428" i="6" s="1"/>
  <c r="BK1428" i="6" s="1"/>
  <c r="AA1429" i="6" s="1"/>
  <c r="BK1429" i="6" s="1"/>
  <c r="AA1430" i="6" s="1"/>
  <c r="BK1430" i="6" s="1"/>
  <c r="AA1431" i="6" s="1"/>
  <c r="BK1431" i="6" s="1"/>
  <c r="AA1432" i="6" s="1"/>
  <c r="BK1432" i="6" s="1"/>
  <c r="AA1433" i="6" s="1"/>
  <c r="BK1433" i="6" s="1"/>
  <c r="AA1434" i="6" s="1"/>
  <c r="BK1434" i="6" s="1"/>
  <c r="AA1435" i="6" s="1"/>
  <c r="BK1435" i="6" s="1"/>
  <c r="AA1436" i="6" s="1"/>
  <c r="BK1436" i="6" s="1"/>
  <c r="AA1437" i="6" s="1"/>
  <c r="BK1437" i="6" s="1"/>
  <c r="AA1438" i="6" s="1"/>
  <c r="BK1438" i="6" s="1"/>
  <c r="AA1439" i="6" s="1"/>
  <c r="BK1439" i="6" s="1"/>
  <c r="AA1440" i="6" s="1"/>
  <c r="BK1440" i="6" s="1"/>
  <c r="AA1441" i="6" s="1"/>
  <c r="BK1441" i="6" s="1"/>
  <c r="AA1442" i="6" s="1"/>
  <c r="BK1442" i="6" s="1"/>
  <c r="AA1443" i="6" s="1"/>
  <c r="BK1443" i="6" s="1"/>
  <c r="AA1444" i="6" s="1"/>
  <c r="BK1444" i="6" s="1"/>
  <c r="AA1445" i="6" s="1"/>
  <c r="BK1445" i="6" s="1"/>
  <c r="BI1410" i="6"/>
  <c r="BH1410" i="6"/>
  <c r="X1411" i="6" s="1"/>
  <c r="BH1411" i="6" s="1"/>
  <c r="X1412" i="6" s="1"/>
  <c r="BH1412" i="6" s="1"/>
  <c r="X1413" i="6" s="1"/>
  <c r="BH1413" i="6" s="1"/>
  <c r="X1414" i="6" s="1"/>
  <c r="BH1414" i="6" s="1"/>
  <c r="X1415" i="6" s="1"/>
  <c r="BH1415" i="6" s="1"/>
  <c r="X1416" i="6" s="1"/>
  <c r="BH1416" i="6" s="1"/>
  <c r="X1417" i="6" s="1"/>
  <c r="BH1417" i="6" s="1"/>
  <c r="X1418" i="6" s="1"/>
  <c r="BH1418" i="6" s="1"/>
  <c r="X1419" i="6" s="1"/>
  <c r="BH1419" i="6" s="1"/>
  <c r="X1420" i="6" s="1"/>
  <c r="BH1420" i="6" s="1"/>
  <c r="X1421" i="6" s="1"/>
  <c r="BH1421" i="6" s="1"/>
  <c r="X1422" i="6" s="1"/>
  <c r="BH1422" i="6" s="1"/>
  <c r="X1423" i="6" s="1"/>
  <c r="BH1423" i="6" s="1"/>
  <c r="X1424" i="6" s="1"/>
  <c r="BH1424" i="6" s="1"/>
  <c r="X1425" i="6" s="1"/>
  <c r="BH1425" i="6" s="1"/>
  <c r="X1426" i="6" s="1"/>
  <c r="BH1426" i="6" s="1"/>
  <c r="X1427" i="6" s="1"/>
  <c r="BH1427" i="6" s="1"/>
  <c r="X1428" i="6" s="1"/>
  <c r="BH1428" i="6" s="1"/>
  <c r="X1429" i="6" s="1"/>
  <c r="BH1429" i="6" s="1"/>
  <c r="X1430" i="6" s="1"/>
  <c r="BH1430" i="6" s="1"/>
  <c r="X1431" i="6" s="1"/>
  <c r="BH1431" i="6" s="1"/>
  <c r="X1432" i="6" s="1"/>
  <c r="BH1432" i="6" s="1"/>
  <c r="X1433" i="6" s="1"/>
  <c r="BH1433" i="6" s="1"/>
  <c r="X1434" i="6" s="1"/>
  <c r="BH1434" i="6" s="1"/>
  <c r="X1435" i="6" s="1"/>
  <c r="BH1435" i="6" s="1"/>
  <c r="X1436" i="6" s="1"/>
  <c r="BH1436" i="6" s="1"/>
  <c r="X1437" i="6" s="1"/>
  <c r="BH1437" i="6" s="1"/>
  <c r="X1438" i="6" s="1"/>
  <c r="BH1438" i="6" s="1"/>
  <c r="X1439" i="6" s="1"/>
  <c r="BH1439" i="6" s="1"/>
  <c r="X1440" i="6" s="1"/>
  <c r="BH1440" i="6" s="1"/>
  <c r="X1441" i="6" s="1"/>
  <c r="BH1441" i="6" s="1"/>
  <c r="X1442" i="6" s="1"/>
  <c r="BH1442" i="6" s="1"/>
  <c r="X1443" i="6" s="1"/>
  <c r="BH1443" i="6" s="1"/>
  <c r="X1444" i="6" s="1"/>
  <c r="BH1444" i="6" s="1"/>
  <c r="X1445" i="6" s="1"/>
  <c r="BH1445" i="6" s="1"/>
  <c r="BG1410" i="6"/>
  <c r="BF1410" i="6"/>
  <c r="V1411" i="6" s="1"/>
  <c r="BF1411" i="6" s="1"/>
  <c r="V1412" i="6" s="1"/>
  <c r="BF1412" i="6" s="1"/>
  <c r="V1413" i="6" s="1"/>
  <c r="BF1413" i="6" s="1"/>
  <c r="V1414" i="6" s="1"/>
  <c r="BF1414" i="6" s="1"/>
  <c r="V1415" i="6" s="1"/>
  <c r="BF1415" i="6" s="1"/>
  <c r="V1416" i="6" s="1"/>
  <c r="BF1416" i="6" s="1"/>
  <c r="V1417" i="6" s="1"/>
  <c r="BF1417" i="6" s="1"/>
  <c r="V1418" i="6" s="1"/>
  <c r="BF1418" i="6" s="1"/>
  <c r="V1419" i="6" s="1"/>
  <c r="BF1419" i="6" s="1"/>
  <c r="V1420" i="6" s="1"/>
  <c r="BF1420" i="6" s="1"/>
  <c r="V1421" i="6" s="1"/>
  <c r="BF1421" i="6" s="1"/>
  <c r="V1422" i="6" s="1"/>
  <c r="BF1422" i="6" s="1"/>
  <c r="V1423" i="6" s="1"/>
  <c r="BF1423" i="6" s="1"/>
  <c r="V1424" i="6" s="1"/>
  <c r="BF1424" i="6" s="1"/>
  <c r="V1425" i="6" s="1"/>
  <c r="BF1425" i="6" s="1"/>
  <c r="V1426" i="6" s="1"/>
  <c r="BF1426" i="6" s="1"/>
  <c r="V1427" i="6" s="1"/>
  <c r="BF1427" i="6" s="1"/>
  <c r="V1428" i="6" s="1"/>
  <c r="BF1428" i="6" s="1"/>
  <c r="V1429" i="6" s="1"/>
  <c r="BF1429" i="6" s="1"/>
  <c r="V1430" i="6" s="1"/>
  <c r="BF1430" i="6" s="1"/>
  <c r="V1431" i="6" s="1"/>
  <c r="BF1431" i="6" s="1"/>
  <c r="V1432" i="6" s="1"/>
  <c r="BF1432" i="6" s="1"/>
  <c r="V1433" i="6" s="1"/>
  <c r="BE1410" i="6"/>
  <c r="AW1410" i="6"/>
  <c r="AV1410" i="6"/>
  <c r="L1411" i="6" s="1"/>
  <c r="AV1411" i="6" s="1"/>
  <c r="L1412" i="6" s="1"/>
  <c r="AT1410" i="6"/>
  <c r="AO1410" i="6"/>
  <c r="AF1410" i="6"/>
  <c r="AE1410" i="6"/>
  <c r="AC1410" i="6"/>
  <c r="BM1410" i="6" s="1"/>
  <c r="AC1411" i="6" s="1"/>
  <c r="BM1411" i="6" s="1"/>
  <c r="AC1412" i="6" s="1"/>
  <c r="BM1412" i="6" s="1"/>
  <c r="AC1413" i="6" s="1"/>
  <c r="BM1413" i="6" s="1"/>
  <c r="AC1414" i="6" s="1"/>
  <c r="BM1414" i="6" s="1"/>
  <c r="AC1415" i="6" s="1"/>
  <c r="BM1415" i="6" s="1"/>
  <c r="AC1416" i="6" s="1"/>
  <c r="BM1416" i="6" s="1"/>
  <c r="AC1417" i="6" s="1"/>
  <c r="BM1417" i="6" s="1"/>
  <c r="AC1418" i="6" s="1"/>
  <c r="BM1418" i="6" s="1"/>
  <c r="AC1419" i="6" s="1"/>
  <c r="BM1419" i="6" s="1"/>
  <c r="AC1420" i="6" s="1"/>
  <c r="BM1420" i="6" s="1"/>
  <c r="AC1421" i="6" s="1"/>
  <c r="BM1421" i="6" s="1"/>
  <c r="AC1422" i="6" s="1"/>
  <c r="BM1422" i="6" s="1"/>
  <c r="AC1423" i="6" s="1"/>
  <c r="BM1423" i="6" s="1"/>
  <c r="AC1424" i="6" s="1"/>
  <c r="BM1424" i="6" s="1"/>
  <c r="AC1425" i="6" s="1"/>
  <c r="BM1425" i="6" s="1"/>
  <c r="AC1426" i="6" s="1"/>
  <c r="BM1426" i="6" s="1"/>
  <c r="AC1427" i="6" s="1"/>
  <c r="BM1427" i="6" s="1"/>
  <c r="AC1428" i="6" s="1"/>
  <c r="BM1428" i="6" s="1"/>
  <c r="AC1429" i="6" s="1"/>
  <c r="BM1429" i="6" s="1"/>
  <c r="AC1430" i="6" s="1"/>
  <c r="BM1430" i="6" s="1"/>
  <c r="AC1431" i="6" s="1"/>
  <c r="BM1431" i="6" s="1"/>
  <c r="AC1432" i="6" s="1"/>
  <c r="BM1432" i="6" s="1"/>
  <c r="AC1433" i="6" s="1"/>
  <c r="BM1433" i="6" s="1"/>
  <c r="AC1434" i="6" s="1"/>
  <c r="BM1434" i="6" s="1"/>
  <c r="AC1435" i="6" s="1"/>
  <c r="BM1435" i="6" s="1"/>
  <c r="AC1436" i="6" s="1"/>
  <c r="BM1436" i="6" s="1"/>
  <c r="AC1437" i="6" s="1"/>
  <c r="BM1437" i="6" s="1"/>
  <c r="AC1438" i="6" s="1"/>
  <c r="BM1438" i="6" s="1"/>
  <c r="AC1439" i="6" s="1"/>
  <c r="BM1439" i="6" s="1"/>
  <c r="AC1440" i="6" s="1"/>
  <c r="BM1440" i="6" s="1"/>
  <c r="AC1441" i="6" s="1"/>
  <c r="BM1441" i="6" s="1"/>
  <c r="AC1442" i="6" s="1"/>
  <c r="BM1442" i="6" s="1"/>
  <c r="AC1443" i="6" s="1"/>
  <c r="BM1443" i="6" s="1"/>
  <c r="AC1444" i="6" s="1"/>
  <c r="BM1444" i="6" s="1"/>
  <c r="AC1445" i="6" s="1"/>
  <c r="BM1445" i="6" s="1"/>
  <c r="AB1410" i="6"/>
  <c r="BL1410" i="6" s="1"/>
  <c r="AA1410" i="6"/>
  <c r="Z1410" i="6"/>
  <c r="BJ1410" i="6" s="1"/>
  <c r="Y1410" i="6"/>
  <c r="X1410" i="6"/>
  <c r="W1410" i="6"/>
  <c r="V1410" i="6"/>
  <c r="U1410" i="6"/>
  <c r="T1410" i="6"/>
  <c r="BD1410" i="6" s="1"/>
  <c r="T1411" i="6" s="1"/>
  <c r="BD1411" i="6" s="1"/>
  <c r="T1412" i="6" s="1"/>
  <c r="BD1412" i="6" s="1"/>
  <c r="T1413" i="6" s="1"/>
  <c r="BD1413" i="6" s="1"/>
  <c r="T1414" i="6" s="1"/>
  <c r="S1410" i="6"/>
  <c r="BC1410" i="6" s="1"/>
  <c r="S1411" i="6" s="1"/>
  <c r="BC1411" i="6" s="1"/>
  <c r="S1412" i="6" s="1"/>
  <c r="BC1412" i="6" s="1"/>
  <c r="S1413" i="6" s="1"/>
  <c r="BC1413" i="6" s="1"/>
  <c r="S1414" i="6" s="1"/>
  <c r="BC1414" i="6" s="1"/>
  <c r="S1415" i="6" s="1"/>
  <c r="BC1415" i="6" s="1"/>
  <c r="S1416" i="6" s="1"/>
  <c r="BC1416" i="6" s="1"/>
  <c r="S1417" i="6" s="1"/>
  <c r="BC1417" i="6" s="1"/>
  <c r="S1418" i="6" s="1"/>
  <c r="BC1418" i="6" s="1"/>
  <c r="S1419" i="6" s="1"/>
  <c r="BC1419" i="6" s="1"/>
  <c r="S1420" i="6" s="1"/>
  <c r="BC1420" i="6" s="1"/>
  <c r="S1421" i="6" s="1"/>
  <c r="BC1421" i="6" s="1"/>
  <c r="S1422" i="6" s="1"/>
  <c r="BC1422" i="6" s="1"/>
  <c r="S1423" i="6" s="1"/>
  <c r="BC1423" i="6" s="1"/>
  <c r="S1424" i="6" s="1"/>
  <c r="BC1424" i="6" s="1"/>
  <c r="S1425" i="6" s="1"/>
  <c r="BC1425" i="6" s="1"/>
  <c r="S1426" i="6" s="1"/>
  <c r="BC1426" i="6" s="1"/>
  <c r="S1427" i="6" s="1"/>
  <c r="BC1427" i="6" s="1"/>
  <c r="S1428" i="6" s="1"/>
  <c r="BC1428" i="6" s="1"/>
  <c r="S1429" i="6" s="1"/>
  <c r="BC1429" i="6" s="1"/>
  <c r="S1430" i="6" s="1"/>
  <c r="BC1430" i="6" s="1"/>
  <c r="S1431" i="6" s="1"/>
  <c r="BC1431" i="6" s="1"/>
  <c r="S1432" i="6" s="1"/>
  <c r="BC1432" i="6" s="1"/>
  <c r="S1433" i="6" s="1"/>
  <c r="BC1433" i="6" s="1"/>
  <c r="S1434" i="6" s="1"/>
  <c r="BC1434" i="6" s="1"/>
  <c r="S1435" i="6" s="1"/>
  <c r="BC1435" i="6" s="1"/>
  <c r="S1436" i="6" s="1"/>
  <c r="BC1436" i="6" s="1"/>
  <c r="S1437" i="6" s="1"/>
  <c r="BC1437" i="6" s="1"/>
  <c r="S1438" i="6" s="1"/>
  <c r="BC1438" i="6" s="1"/>
  <c r="S1439" i="6" s="1"/>
  <c r="BC1439" i="6" s="1"/>
  <c r="S1440" i="6" s="1"/>
  <c r="BC1440" i="6" s="1"/>
  <c r="S1441" i="6" s="1"/>
  <c r="BC1441" i="6" s="1"/>
  <c r="S1442" i="6" s="1"/>
  <c r="BC1442" i="6" s="1"/>
  <c r="S1443" i="6" s="1"/>
  <c r="BC1443" i="6" s="1"/>
  <c r="S1444" i="6" s="1"/>
  <c r="BC1444" i="6" s="1"/>
  <c r="S1445" i="6" s="1"/>
  <c r="BC1445" i="6" s="1"/>
  <c r="R1410" i="6"/>
  <c r="BB1410" i="6" s="1"/>
  <c r="R1411" i="6" s="1"/>
  <c r="Q1410" i="6"/>
  <c r="BA1410" i="6" s="1"/>
  <c r="Q1411" i="6" s="1"/>
  <c r="BA1411" i="6" s="1"/>
  <c r="Q1412" i="6" s="1"/>
  <c r="BA1412" i="6" s="1"/>
  <c r="Q1413" i="6" s="1"/>
  <c r="BA1413" i="6" s="1"/>
  <c r="Q1414" i="6" s="1"/>
  <c r="BA1414" i="6" s="1"/>
  <c r="Q1415" i="6" s="1"/>
  <c r="O1410" i="6"/>
  <c r="AY1410" i="6" s="1"/>
  <c r="O1411" i="6" s="1"/>
  <c r="AY1411" i="6" s="1"/>
  <c r="O1412" i="6" s="1"/>
  <c r="AY1412" i="6" s="1"/>
  <c r="O1413" i="6" s="1"/>
  <c r="AY1413" i="6" s="1"/>
  <c r="O1414" i="6" s="1"/>
  <c r="AY1414" i="6" s="1"/>
  <c r="O1415" i="6" s="1"/>
  <c r="AY1415" i="6" s="1"/>
  <c r="O1416" i="6" s="1"/>
  <c r="AY1416" i="6" s="1"/>
  <c r="O1417" i="6" s="1"/>
  <c r="AY1417" i="6" s="1"/>
  <c r="O1418" i="6" s="1"/>
  <c r="AY1418" i="6" s="1"/>
  <c r="O1419" i="6" s="1"/>
  <c r="AY1419" i="6" s="1"/>
  <c r="O1420" i="6" s="1"/>
  <c r="AY1420" i="6" s="1"/>
  <c r="O1421" i="6" s="1"/>
  <c r="AY1421" i="6" s="1"/>
  <c r="O1422" i="6" s="1"/>
  <c r="AY1422" i="6" s="1"/>
  <c r="O1423" i="6" s="1"/>
  <c r="AY1423" i="6" s="1"/>
  <c r="O1424" i="6" s="1"/>
  <c r="AY1424" i="6" s="1"/>
  <c r="O1425" i="6" s="1"/>
  <c r="AY1425" i="6" s="1"/>
  <c r="O1426" i="6" s="1"/>
  <c r="AY1426" i="6" s="1"/>
  <c r="O1427" i="6" s="1"/>
  <c r="AY1427" i="6" s="1"/>
  <c r="O1428" i="6" s="1"/>
  <c r="AY1428" i="6" s="1"/>
  <c r="O1429" i="6" s="1"/>
  <c r="N1410" i="6"/>
  <c r="AX1410" i="6" s="1"/>
  <c r="M1410" i="6"/>
  <c r="L1410" i="6"/>
  <c r="H1410" i="6"/>
  <c r="G1410" i="6"/>
  <c r="F1410" i="6"/>
  <c r="E1410" i="6"/>
  <c r="D1410" i="6"/>
  <c r="C1410" i="6"/>
  <c r="B1410" i="6"/>
  <c r="A1410" i="6"/>
  <c r="AO1409" i="6"/>
  <c r="AE1409" i="6"/>
  <c r="J1409" i="6"/>
  <c r="H1409" i="6"/>
  <c r="G1409" i="6"/>
  <c r="F1409" i="6"/>
  <c r="E1409" i="6"/>
  <c r="D1409" i="6"/>
  <c r="C1409" i="6"/>
  <c r="B1409" i="6"/>
  <c r="A1409" i="6"/>
  <c r="AO1408" i="6"/>
  <c r="AI1408" i="6"/>
  <c r="K1408" i="6"/>
  <c r="J1408" i="6"/>
  <c r="I1408" i="6"/>
  <c r="H1408" i="6"/>
  <c r="G1408" i="6"/>
  <c r="F1408" i="6"/>
  <c r="AE1408" i="6" s="1"/>
  <c r="E1408" i="6"/>
  <c r="D1408" i="6"/>
  <c r="C1408" i="6"/>
  <c r="B1408" i="6"/>
  <c r="A1408" i="6"/>
  <c r="AO1407" i="6"/>
  <c r="H1407" i="6"/>
  <c r="G1407" i="6"/>
  <c r="F1407" i="6"/>
  <c r="E1407" i="6"/>
  <c r="D1407" i="6"/>
  <c r="C1407" i="6"/>
  <c r="B1407" i="6"/>
  <c r="A1407" i="6"/>
  <c r="AO1406" i="6"/>
  <c r="AI1406" i="6"/>
  <c r="AE1406" i="6"/>
  <c r="K1406" i="6"/>
  <c r="J1406" i="6"/>
  <c r="H1406" i="6"/>
  <c r="G1406" i="6"/>
  <c r="F1406" i="6"/>
  <c r="E1406" i="6"/>
  <c r="D1406" i="6"/>
  <c r="C1406" i="6"/>
  <c r="B1406" i="6"/>
  <c r="A1406" i="6"/>
  <c r="AO1405" i="6"/>
  <c r="AE1405" i="6"/>
  <c r="H1405" i="6"/>
  <c r="G1405" i="6"/>
  <c r="F1405" i="6"/>
  <c r="E1405" i="6"/>
  <c r="D1405" i="6"/>
  <c r="C1405" i="6"/>
  <c r="B1405" i="6"/>
  <c r="A1405" i="6"/>
  <c r="AO1404" i="6"/>
  <c r="H1404" i="6"/>
  <c r="G1404" i="6"/>
  <c r="F1404" i="6"/>
  <c r="E1404" i="6"/>
  <c r="D1404" i="6"/>
  <c r="C1404" i="6"/>
  <c r="B1404" i="6"/>
  <c r="A1404" i="6"/>
  <c r="AO1403" i="6"/>
  <c r="AE1403" i="6"/>
  <c r="K1403" i="6"/>
  <c r="J1403" i="6"/>
  <c r="I1403" i="6"/>
  <c r="H1403" i="6"/>
  <c r="G1403" i="6"/>
  <c r="AI1403" i="6" s="1"/>
  <c r="F1403" i="6"/>
  <c r="E1403" i="6"/>
  <c r="D1403" i="6"/>
  <c r="C1403" i="6"/>
  <c r="B1403" i="6"/>
  <c r="A1403" i="6"/>
  <c r="AO1402" i="6"/>
  <c r="H1402" i="6"/>
  <c r="G1402" i="6"/>
  <c r="F1402" i="6"/>
  <c r="E1402" i="6"/>
  <c r="D1402" i="6"/>
  <c r="C1402" i="6"/>
  <c r="B1402" i="6"/>
  <c r="A1402" i="6"/>
  <c r="AO1401" i="6"/>
  <c r="AI1401" i="6"/>
  <c r="K1401" i="6"/>
  <c r="J1401" i="6"/>
  <c r="H1401" i="6"/>
  <c r="G1401" i="6"/>
  <c r="F1401" i="6"/>
  <c r="E1401" i="6"/>
  <c r="D1401" i="6"/>
  <c r="C1401" i="6"/>
  <c r="B1401" i="6"/>
  <c r="A1401" i="6"/>
  <c r="AO1400" i="6"/>
  <c r="AI1400" i="6"/>
  <c r="H1400" i="6"/>
  <c r="G1400" i="6"/>
  <c r="F1400" i="6"/>
  <c r="E1400" i="6"/>
  <c r="D1400" i="6"/>
  <c r="C1400" i="6"/>
  <c r="B1400" i="6"/>
  <c r="A1400" i="6"/>
  <c r="AO1399" i="6"/>
  <c r="H1399" i="6"/>
  <c r="G1399" i="6"/>
  <c r="F1399" i="6"/>
  <c r="E1399" i="6"/>
  <c r="D1399" i="6"/>
  <c r="C1399" i="6"/>
  <c r="B1399" i="6"/>
  <c r="A1399" i="6"/>
  <c r="AO1398" i="6"/>
  <c r="AE1398" i="6"/>
  <c r="K1398" i="6"/>
  <c r="J1398" i="6"/>
  <c r="I1398" i="6"/>
  <c r="H1398" i="6"/>
  <c r="G1398" i="6"/>
  <c r="AI1398" i="6" s="1"/>
  <c r="F1398" i="6"/>
  <c r="E1398" i="6"/>
  <c r="D1398" i="6"/>
  <c r="C1398" i="6"/>
  <c r="B1398" i="6"/>
  <c r="A1398" i="6"/>
  <c r="AO1397" i="6"/>
  <c r="AE1397" i="6"/>
  <c r="K1397" i="6"/>
  <c r="J1397" i="6"/>
  <c r="I1397" i="6"/>
  <c r="H1397" i="6"/>
  <c r="G1397" i="6"/>
  <c r="F1397" i="6"/>
  <c r="E1397" i="6"/>
  <c r="D1397" i="6"/>
  <c r="C1397" i="6"/>
  <c r="B1397" i="6"/>
  <c r="A1397" i="6"/>
  <c r="AT1396" i="6"/>
  <c r="AI1396" i="6"/>
  <c r="K1396" i="6"/>
  <c r="J1396" i="6"/>
  <c r="I1396" i="6"/>
  <c r="H1396" i="6"/>
  <c r="G1396" i="6"/>
  <c r="F1396" i="6"/>
  <c r="AE1396" i="6" s="1"/>
  <c r="E1396" i="6"/>
  <c r="D1396" i="6"/>
  <c r="C1396" i="6"/>
  <c r="B1396" i="6"/>
  <c r="A1396" i="6"/>
  <c r="AT1395" i="6"/>
  <c r="AO1395" i="6"/>
  <c r="AE1395" i="6"/>
  <c r="J1395" i="6"/>
  <c r="I1395" i="6"/>
  <c r="H1395" i="6"/>
  <c r="G1395" i="6"/>
  <c r="F1395" i="6"/>
  <c r="E1395" i="6"/>
  <c r="D1395" i="6"/>
  <c r="C1395" i="6"/>
  <c r="B1395" i="6"/>
  <c r="A1395" i="6"/>
  <c r="AT1394" i="6"/>
  <c r="AO1394" i="6"/>
  <c r="H1394" i="6"/>
  <c r="G1394" i="6"/>
  <c r="F1394" i="6"/>
  <c r="E1394" i="6"/>
  <c r="D1394" i="6"/>
  <c r="C1394" i="6"/>
  <c r="B1394" i="6"/>
  <c r="A1394" i="6"/>
  <c r="AT1393" i="6"/>
  <c r="AO1393" i="6"/>
  <c r="K1393" i="6"/>
  <c r="I1393" i="6"/>
  <c r="H1393" i="6"/>
  <c r="G1393" i="6"/>
  <c r="AI1393" i="6" s="1"/>
  <c r="F1393" i="6"/>
  <c r="E1393" i="6"/>
  <c r="D1393" i="6"/>
  <c r="C1393" i="6"/>
  <c r="B1393" i="6"/>
  <c r="A1393" i="6"/>
  <c r="AT1392" i="6"/>
  <c r="AO1392" i="6"/>
  <c r="AE1392" i="6"/>
  <c r="H1392" i="6"/>
  <c r="G1392" i="6"/>
  <c r="F1392" i="6"/>
  <c r="E1392" i="6"/>
  <c r="D1392" i="6"/>
  <c r="C1392" i="6"/>
  <c r="B1392" i="6"/>
  <c r="A1392" i="6"/>
  <c r="AT1391" i="6"/>
  <c r="AO1391" i="6"/>
  <c r="AI1391" i="6"/>
  <c r="K1391" i="6"/>
  <c r="J1391" i="6"/>
  <c r="I1391" i="6"/>
  <c r="H1391" i="6"/>
  <c r="AF1391" i="6" s="1"/>
  <c r="G1391" i="6"/>
  <c r="F1391" i="6"/>
  <c r="AE1391" i="6" s="1"/>
  <c r="E1391" i="6"/>
  <c r="D1391" i="6"/>
  <c r="C1391" i="6"/>
  <c r="B1391" i="6"/>
  <c r="A1391" i="6"/>
  <c r="AT1390" i="6"/>
  <c r="H1390" i="6"/>
  <c r="G1390" i="6"/>
  <c r="F1390" i="6"/>
  <c r="E1390" i="6"/>
  <c r="D1390" i="6"/>
  <c r="C1390" i="6"/>
  <c r="B1390" i="6"/>
  <c r="A1390" i="6"/>
  <c r="AT1389" i="6"/>
  <c r="AO1389" i="6"/>
  <c r="AI1389" i="6"/>
  <c r="AF1389" i="6"/>
  <c r="K1389" i="6"/>
  <c r="H1389" i="6"/>
  <c r="G1389" i="6"/>
  <c r="F1389" i="6"/>
  <c r="E1389" i="6"/>
  <c r="D1389" i="6"/>
  <c r="C1389" i="6"/>
  <c r="B1389" i="6"/>
  <c r="A1389" i="6"/>
  <c r="AT1388" i="6"/>
  <c r="AO1388" i="6"/>
  <c r="AI1388" i="6"/>
  <c r="AF1388" i="6"/>
  <c r="H1388" i="6"/>
  <c r="G1388" i="6"/>
  <c r="F1388" i="6"/>
  <c r="AE1388" i="6" s="1"/>
  <c r="E1388" i="6"/>
  <c r="D1388" i="6"/>
  <c r="C1388" i="6"/>
  <c r="B1388" i="6"/>
  <c r="A1388" i="6"/>
  <c r="AT1387" i="6"/>
  <c r="AO1387" i="6"/>
  <c r="AF1387" i="6"/>
  <c r="H1387" i="6"/>
  <c r="G1387" i="6"/>
  <c r="F1387" i="6"/>
  <c r="E1387" i="6"/>
  <c r="D1387" i="6"/>
  <c r="C1387" i="6"/>
  <c r="B1387" i="6"/>
  <c r="A1387" i="6"/>
  <c r="AT1386" i="6"/>
  <c r="AO1386" i="6"/>
  <c r="AE1386" i="6"/>
  <c r="J1386" i="6"/>
  <c r="I1386" i="6"/>
  <c r="H1386" i="6"/>
  <c r="G1386" i="6"/>
  <c r="F1386" i="6"/>
  <c r="E1386" i="6"/>
  <c r="D1386" i="6"/>
  <c r="C1386" i="6"/>
  <c r="B1386" i="6"/>
  <c r="A1386" i="6"/>
  <c r="AT1385" i="6"/>
  <c r="AE1385" i="6"/>
  <c r="K1385" i="6"/>
  <c r="J1385" i="6"/>
  <c r="I1385" i="6"/>
  <c r="H1385" i="6"/>
  <c r="G1385" i="6"/>
  <c r="F1385" i="6"/>
  <c r="E1385" i="6"/>
  <c r="D1385" i="6"/>
  <c r="C1385" i="6"/>
  <c r="B1385" i="6"/>
  <c r="A1385" i="6"/>
  <c r="AT1384" i="6"/>
  <c r="J1384" i="6"/>
  <c r="H1384" i="6"/>
  <c r="G1384" i="6"/>
  <c r="F1384" i="6"/>
  <c r="AI1384" i="6" s="1"/>
  <c r="E1384" i="6"/>
  <c r="D1384" i="6"/>
  <c r="C1384" i="6"/>
  <c r="B1384" i="6"/>
  <c r="A1384" i="6"/>
  <c r="AT1383" i="6"/>
  <c r="AO1383" i="6"/>
  <c r="AI1383" i="6"/>
  <c r="AE1383" i="6"/>
  <c r="K1383" i="6"/>
  <c r="J1383" i="6"/>
  <c r="I1383" i="6"/>
  <c r="H1383" i="6"/>
  <c r="AF1383" i="6" s="1"/>
  <c r="G1383" i="6"/>
  <c r="F1383" i="6"/>
  <c r="E1383" i="6"/>
  <c r="D1383" i="6"/>
  <c r="C1383" i="6"/>
  <c r="B1383" i="6"/>
  <c r="A1383" i="6"/>
  <c r="AT1382" i="6"/>
  <c r="AO1382" i="6"/>
  <c r="AI1382" i="6"/>
  <c r="H1382" i="6"/>
  <c r="G1382" i="6"/>
  <c r="F1382" i="6"/>
  <c r="AE1382" i="6" s="1"/>
  <c r="E1382" i="6"/>
  <c r="D1382" i="6"/>
  <c r="C1382" i="6"/>
  <c r="B1382" i="6"/>
  <c r="A1382" i="6"/>
  <c r="AT1381" i="6"/>
  <c r="AO1381" i="6"/>
  <c r="AI1381" i="6"/>
  <c r="AF1381" i="6"/>
  <c r="H1381" i="6"/>
  <c r="G1381" i="6"/>
  <c r="F1381" i="6"/>
  <c r="E1381" i="6"/>
  <c r="D1381" i="6"/>
  <c r="C1381" i="6"/>
  <c r="B1381" i="6"/>
  <c r="A1381" i="6"/>
  <c r="AT1380" i="6"/>
  <c r="AO1380" i="6"/>
  <c r="AF1380" i="6"/>
  <c r="H1380" i="6"/>
  <c r="G1380" i="6"/>
  <c r="F1380" i="6"/>
  <c r="E1380" i="6"/>
  <c r="D1380" i="6"/>
  <c r="C1380" i="6"/>
  <c r="B1380" i="6"/>
  <c r="A1380" i="6"/>
  <c r="AT1379" i="6"/>
  <c r="AI1379" i="6"/>
  <c r="AE1379" i="6"/>
  <c r="AB1379" i="6"/>
  <c r="BL1379" i="6" s="1"/>
  <c r="AB1380" i="6" s="1"/>
  <c r="BL1380" i="6" s="1"/>
  <c r="AB1381" i="6" s="1"/>
  <c r="BL1381" i="6" s="1"/>
  <c r="AB1382" i="6" s="1"/>
  <c r="BL1382" i="6" s="1"/>
  <c r="AB1383" i="6" s="1"/>
  <c r="BL1383" i="6" s="1"/>
  <c r="AB1384" i="6" s="1"/>
  <c r="BL1384" i="6" s="1"/>
  <c r="AB1385" i="6" s="1"/>
  <c r="BL1385" i="6" s="1"/>
  <c r="AB1386" i="6" s="1"/>
  <c r="BL1386" i="6" s="1"/>
  <c r="AB1387" i="6" s="1"/>
  <c r="BL1387" i="6" s="1"/>
  <c r="AB1388" i="6" s="1"/>
  <c r="BL1388" i="6" s="1"/>
  <c r="AB1389" i="6" s="1"/>
  <c r="BL1389" i="6" s="1"/>
  <c r="AB1390" i="6" s="1"/>
  <c r="BL1390" i="6" s="1"/>
  <c r="AB1391" i="6" s="1"/>
  <c r="BL1391" i="6" s="1"/>
  <c r="AB1392" i="6" s="1"/>
  <c r="BL1392" i="6" s="1"/>
  <c r="AB1393" i="6" s="1"/>
  <c r="BL1393" i="6" s="1"/>
  <c r="AB1394" i="6" s="1"/>
  <c r="BL1394" i="6" s="1"/>
  <c r="AB1395" i="6" s="1"/>
  <c r="BL1395" i="6" s="1"/>
  <c r="AB1396" i="6" s="1"/>
  <c r="BL1396" i="6" s="1"/>
  <c r="AB1397" i="6" s="1"/>
  <c r="BL1397" i="6" s="1"/>
  <c r="AB1398" i="6" s="1"/>
  <c r="BL1398" i="6" s="1"/>
  <c r="AB1399" i="6" s="1"/>
  <c r="BL1399" i="6" s="1"/>
  <c r="AB1400" i="6" s="1"/>
  <c r="BL1400" i="6" s="1"/>
  <c r="AB1401" i="6" s="1"/>
  <c r="BL1401" i="6" s="1"/>
  <c r="AB1402" i="6" s="1"/>
  <c r="BL1402" i="6" s="1"/>
  <c r="AB1403" i="6" s="1"/>
  <c r="BL1403" i="6" s="1"/>
  <c r="AB1404" i="6" s="1"/>
  <c r="BL1404" i="6" s="1"/>
  <c r="AB1405" i="6" s="1"/>
  <c r="BL1405" i="6" s="1"/>
  <c r="AB1406" i="6" s="1"/>
  <c r="BL1406" i="6" s="1"/>
  <c r="AB1407" i="6" s="1"/>
  <c r="BL1407" i="6" s="1"/>
  <c r="AB1408" i="6" s="1"/>
  <c r="BL1408" i="6" s="1"/>
  <c r="AB1409" i="6" s="1"/>
  <c r="BL1409" i="6" s="1"/>
  <c r="K1379" i="6"/>
  <c r="I1379" i="6"/>
  <c r="H1379" i="6"/>
  <c r="G1379" i="6"/>
  <c r="F1379" i="6"/>
  <c r="E1379" i="6"/>
  <c r="D1379" i="6"/>
  <c r="C1379" i="6"/>
  <c r="B1379" i="6"/>
  <c r="A1379" i="6"/>
  <c r="AT1378" i="6"/>
  <c r="J1378" i="6"/>
  <c r="H1378" i="6"/>
  <c r="G1378" i="6"/>
  <c r="F1378" i="6"/>
  <c r="E1378" i="6"/>
  <c r="D1378" i="6"/>
  <c r="C1378" i="6"/>
  <c r="B1378" i="6"/>
  <c r="A1378" i="6"/>
  <c r="AT1377" i="6"/>
  <c r="AO1377" i="6"/>
  <c r="AE1377" i="6"/>
  <c r="K1377" i="6"/>
  <c r="H1377" i="6"/>
  <c r="G1377" i="6"/>
  <c r="F1377" i="6"/>
  <c r="E1377" i="6"/>
  <c r="D1377" i="6"/>
  <c r="C1377" i="6"/>
  <c r="B1377" i="6"/>
  <c r="A1377" i="6"/>
  <c r="AT1376" i="6"/>
  <c r="AO1376" i="6"/>
  <c r="AF1376" i="6"/>
  <c r="J1376" i="6"/>
  <c r="H1376" i="6"/>
  <c r="G1376" i="6"/>
  <c r="F1376" i="6"/>
  <c r="AE1376" i="6" s="1"/>
  <c r="E1376" i="6"/>
  <c r="D1376" i="6"/>
  <c r="C1376" i="6"/>
  <c r="B1376" i="6"/>
  <c r="A1376" i="6"/>
  <c r="BE1375" i="6"/>
  <c r="BE1376" i="6" s="1"/>
  <c r="AT1375" i="6"/>
  <c r="AO1375" i="6"/>
  <c r="AF1375" i="6"/>
  <c r="AE1375" i="6"/>
  <c r="U1375" i="6"/>
  <c r="K1375" i="6"/>
  <c r="J1375" i="6"/>
  <c r="I1375" i="6"/>
  <c r="H1375" i="6"/>
  <c r="G1375" i="6"/>
  <c r="F1375" i="6"/>
  <c r="AP1375" i="6" s="1"/>
  <c r="E1375" i="6"/>
  <c r="D1375" i="6"/>
  <c r="C1375" i="6"/>
  <c r="B1375" i="6"/>
  <c r="A1375" i="6"/>
  <c r="BN1374" i="6"/>
  <c r="BO1374" i="6" s="1"/>
  <c r="BN1375" i="6" s="1"/>
  <c r="BH1374" i="6"/>
  <c r="X1375" i="6" s="1"/>
  <c r="BH1375" i="6" s="1"/>
  <c r="X1376" i="6" s="1"/>
  <c r="BH1376" i="6" s="1"/>
  <c r="X1377" i="6" s="1"/>
  <c r="BH1377" i="6" s="1"/>
  <c r="X1378" i="6" s="1"/>
  <c r="BH1378" i="6" s="1"/>
  <c r="X1379" i="6" s="1"/>
  <c r="BH1379" i="6" s="1"/>
  <c r="X1380" i="6" s="1"/>
  <c r="BH1380" i="6" s="1"/>
  <c r="X1381" i="6" s="1"/>
  <c r="BH1381" i="6" s="1"/>
  <c r="X1382" i="6" s="1"/>
  <c r="BH1382" i="6" s="1"/>
  <c r="X1383" i="6" s="1"/>
  <c r="BH1383" i="6" s="1"/>
  <c r="X1384" i="6" s="1"/>
  <c r="BH1384" i="6" s="1"/>
  <c r="X1385" i="6" s="1"/>
  <c r="BH1385" i="6" s="1"/>
  <c r="X1386" i="6" s="1"/>
  <c r="BH1386" i="6" s="1"/>
  <c r="X1387" i="6" s="1"/>
  <c r="BH1387" i="6" s="1"/>
  <c r="X1388" i="6" s="1"/>
  <c r="BH1388" i="6" s="1"/>
  <c r="X1389" i="6" s="1"/>
  <c r="BH1389" i="6" s="1"/>
  <c r="X1390" i="6" s="1"/>
  <c r="BH1390" i="6" s="1"/>
  <c r="X1391" i="6" s="1"/>
  <c r="BH1391" i="6" s="1"/>
  <c r="X1392" i="6" s="1"/>
  <c r="BH1392" i="6" s="1"/>
  <c r="X1393" i="6" s="1"/>
  <c r="BH1393" i="6" s="1"/>
  <c r="X1394" i="6" s="1"/>
  <c r="BH1394" i="6" s="1"/>
  <c r="X1395" i="6" s="1"/>
  <c r="BH1395" i="6" s="1"/>
  <c r="X1396" i="6" s="1"/>
  <c r="BH1396" i="6" s="1"/>
  <c r="X1397" i="6" s="1"/>
  <c r="BH1397" i="6" s="1"/>
  <c r="X1398" i="6" s="1"/>
  <c r="BH1398" i="6" s="1"/>
  <c r="X1399" i="6" s="1"/>
  <c r="BH1399" i="6" s="1"/>
  <c r="X1400" i="6" s="1"/>
  <c r="BH1400" i="6" s="1"/>
  <c r="X1401" i="6" s="1"/>
  <c r="BH1401" i="6" s="1"/>
  <c r="X1402" i="6" s="1"/>
  <c r="BH1402" i="6" s="1"/>
  <c r="X1403" i="6" s="1"/>
  <c r="BH1403" i="6" s="1"/>
  <c r="X1404" i="6" s="1"/>
  <c r="BH1404" i="6" s="1"/>
  <c r="X1405" i="6" s="1"/>
  <c r="BH1405" i="6" s="1"/>
  <c r="X1406" i="6" s="1"/>
  <c r="BH1406" i="6" s="1"/>
  <c r="X1407" i="6" s="1"/>
  <c r="BH1407" i="6" s="1"/>
  <c r="X1408" i="6" s="1"/>
  <c r="BH1408" i="6" s="1"/>
  <c r="X1409" i="6" s="1"/>
  <c r="BH1409" i="6" s="1"/>
  <c r="BF1374" i="6"/>
  <c r="V1375" i="6" s="1"/>
  <c r="BF1375" i="6" s="1"/>
  <c r="V1376" i="6" s="1"/>
  <c r="BF1376" i="6" s="1"/>
  <c r="V1377" i="6" s="1"/>
  <c r="BF1377" i="6" s="1"/>
  <c r="V1378" i="6" s="1"/>
  <c r="BF1378" i="6" s="1"/>
  <c r="V1379" i="6" s="1"/>
  <c r="BF1379" i="6" s="1"/>
  <c r="V1380" i="6" s="1"/>
  <c r="BF1380" i="6" s="1"/>
  <c r="V1381" i="6" s="1"/>
  <c r="BF1381" i="6" s="1"/>
  <c r="V1382" i="6" s="1"/>
  <c r="BF1382" i="6" s="1"/>
  <c r="V1383" i="6" s="1"/>
  <c r="BF1383" i="6" s="1"/>
  <c r="V1384" i="6" s="1"/>
  <c r="BF1384" i="6" s="1"/>
  <c r="V1385" i="6" s="1"/>
  <c r="BF1385" i="6" s="1"/>
  <c r="V1386" i="6" s="1"/>
  <c r="BF1386" i="6" s="1"/>
  <c r="V1387" i="6" s="1"/>
  <c r="BF1387" i="6" s="1"/>
  <c r="V1388" i="6" s="1"/>
  <c r="BF1388" i="6" s="1"/>
  <c r="V1389" i="6" s="1"/>
  <c r="BF1389" i="6" s="1"/>
  <c r="V1390" i="6" s="1"/>
  <c r="BF1390" i="6" s="1"/>
  <c r="V1391" i="6" s="1"/>
  <c r="BF1391" i="6" s="1"/>
  <c r="V1392" i="6" s="1"/>
  <c r="BF1392" i="6" s="1"/>
  <c r="V1393" i="6" s="1"/>
  <c r="BF1393" i="6" s="1"/>
  <c r="V1394" i="6" s="1"/>
  <c r="BF1394" i="6" s="1"/>
  <c r="V1395" i="6" s="1"/>
  <c r="BF1395" i="6" s="1"/>
  <c r="V1396" i="6" s="1"/>
  <c r="BF1396" i="6" s="1"/>
  <c r="V1397" i="6" s="1"/>
  <c r="BE1374" i="6"/>
  <c r="AT1374" i="6"/>
  <c r="AO1374" i="6"/>
  <c r="AF1374" i="6"/>
  <c r="AC1374" i="6"/>
  <c r="BM1374" i="6" s="1"/>
  <c r="AC1375" i="6" s="1"/>
  <c r="BM1375" i="6" s="1"/>
  <c r="AC1376" i="6" s="1"/>
  <c r="BM1376" i="6" s="1"/>
  <c r="AC1377" i="6" s="1"/>
  <c r="BM1377" i="6" s="1"/>
  <c r="AC1378" i="6" s="1"/>
  <c r="BM1378" i="6" s="1"/>
  <c r="AC1379" i="6" s="1"/>
  <c r="BM1379" i="6" s="1"/>
  <c r="AC1380" i="6" s="1"/>
  <c r="BM1380" i="6" s="1"/>
  <c r="AC1381" i="6" s="1"/>
  <c r="BM1381" i="6" s="1"/>
  <c r="AC1382" i="6" s="1"/>
  <c r="BM1382" i="6" s="1"/>
  <c r="AC1383" i="6" s="1"/>
  <c r="BM1383" i="6" s="1"/>
  <c r="AC1384" i="6" s="1"/>
  <c r="BM1384" i="6" s="1"/>
  <c r="AC1385" i="6" s="1"/>
  <c r="BM1385" i="6" s="1"/>
  <c r="AC1386" i="6" s="1"/>
  <c r="BM1386" i="6" s="1"/>
  <c r="AC1387" i="6" s="1"/>
  <c r="BM1387" i="6" s="1"/>
  <c r="AC1388" i="6" s="1"/>
  <c r="BM1388" i="6" s="1"/>
  <c r="AC1389" i="6" s="1"/>
  <c r="BM1389" i="6" s="1"/>
  <c r="AC1390" i="6" s="1"/>
  <c r="BM1390" i="6" s="1"/>
  <c r="AC1391" i="6" s="1"/>
  <c r="BM1391" i="6" s="1"/>
  <c r="AC1392" i="6" s="1"/>
  <c r="BM1392" i="6" s="1"/>
  <c r="AC1393" i="6" s="1"/>
  <c r="BM1393" i="6" s="1"/>
  <c r="AC1394" i="6" s="1"/>
  <c r="BM1394" i="6" s="1"/>
  <c r="AC1395" i="6" s="1"/>
  <c r="BM1395" i="6" s="1"/>
  <c r="AC1396" i="6" s="1"/>
  <c r="BM1396" i="6" s="1"/>
  <c r="AC1397" i="6" s="1"/>
  <c r="BM1397" i="6" s="1"/>
  <c r="AC1398" i="6" s="1"/>
  <c r="BM1398" i="6" s="1"/>
  <c r="AC1399" i="6" s="1"/>
  <c r="BM1399" i="6" s="1"/>
  <c r="AC1400" i="6" s="1"/>
  <c r="BM1400" i="6" s="1"/>
  <c r="AC1401" i="6" s="1"/>
  <c r="BM1401" i="6" s="1"/>
  <c r="AC1402" i="6" s="1"/>
  <c r="BM1402" i="6" s="1"/>
  <c r="AC1403" i="6" s="1"/>
  <c r="BM1403" i="6" s="1"/>
  <c r="AC1404" i="6" s="1"/>
  <c r="BM1404" i="6" s="1"/>
  <c r="AC1405" i="6" s="1"/>
  <c r="BM1405" i="6" s="1"/>
  <c r="AC1406" i="6" s="1"/>
  <c r="BM1406" i="6" s="1"/>
  <c r="AC1407" i="6" s="1"/>
  <c r="BM1407" i="6" s="1"/>
  <c r="AC1408" i="6" s="1"/>
  <c r="BM1408" i="6" s="1"/>
  <c r="AC1409" i="6" s="1"/>
  <c r="BM1409" i="6" s="1"/>
  <c r="AB1374" i="6"/>
  <c r="BL1374" i="6" s="1"/>
  <c r="AB1375" i="6" s="1"/>
  <c r="BL1375" i="6" s="1"/>
  <c r="AB1376" i="6" s="1"/>
  <c r="BL1376" i="6" s="1"/>
  <c r="AB1377" i="6" s="1"/>
  <c r="BL1377" i="6" s="1"/>
  <c r="AB1378" i="6" s="1"/>
  <c r="BL1378" i="6" s="1"/>
  <c r="AA1374" i="6"/>
  <c r="BK1374" i="6" s="1"/>
  <c r="AA1375" i="6" s="1"/>
  <c r="BK1375" i="6" s="1"/>
  <c r="AA1376" i="6" s="1"/>
  <c r="BK1376" i="6" s="1"/>
  <c r="AA1377" i="6" s="1"/>
  <c r="BK1377" i="6" s="1"/>
  <c r="AA1378" i="6" s="1"/>
  <c r="BK1378" i="6" s="1"/>
  <c r="AA1379" i="6" s="1"/>
  <c r="BK1379" i="6" s="1"/>
  <c r="AA1380" i="6" s="1"/>
  <c r="BK1380" i="6" s="1"/>
  <c r="AA1381" i="6" s="1"/>
  <c r="BK1381" i="6" s="1"/>
  <c r="AA1382" i="6" s="1"/>
  <c r="BK1382" i="6" s="1"/>
  <c r="AA1383" i="6" s="1"/>
  <c r="BK1383" i="6" s="1"/>
  <c r="AA1384" i="6" s="1"/>
  <c r="BK1384" i="6" s="1"/>
  <c r="AA1385" i="6" s="1"/>
  <c r="BK1385" i="6" s="1"/>
  <c r="AA1386" i="6" s="1"/>
  <c r="BK1386" i="6" s="1"/>
  <c r="AA1387" i="6" s="1"/>
  <c r="BK1387" i="6" s="1"/>
  <c r="AA1388" i="6" s="1"/>
  <c r="BK1388" i="6" s="1"/>
  <c r="AA1389" i="6" s="1"/>
  <c r="BK1389" i="6" s="1"/>
  <c r="AA1390" i="6" s="1"/>
  <c r="BK1390" i="6" s="1"/>
  <c r="AA1391" i="6" s="1"/>
  <c r="BK1391" i="6" s="1"/>
  <c r="AA1392" i="6" s="1"/>
  <c r="BK1392" i="6" s="1"/>
  <c r="AA1393" i="6" s="1"/>
  <c r="BK1393" i="6" s="1"/>
  <c r="AA1394" i="6" s="1"/>
  <c r="BK1394" i="6" s="1"/>
  <c r="AA1395" i="6" s="1"/>
  <c r="BK1395" i="6" s="1"/>
  <c r="AA1396" i="6" s="1"/>
  <c r="BK1396" i="6" s="1"/>
  <c r="AA1397" i="6" s="1"/>
  <c r="BK1397" i="6" s="1"/>
  <c r="AA1398" i="6" s="1"/>
  <c r="BK1398" i="6" s="1"/>
  <c r="AA1399" i="6" s="1"/>
  <c r="BK1399" i="6" s="1"/>
  <c r="AA1400" i="6" s="1"/>
  <c r="BK1400" i="6" s="1"/>
  <c r="AA1401" i="6" s="1"/>
  <c r="BK1401" i="6" s="1"/>
  <c r="AA1402" i="6" s="1"/>
  <c r="BK1402" i="6" s="1"/>
  <c r="AA1403" i="6" s="1"/>
  <c r="BK1403" i="6" s="1"/>
  <c r="AA1404" i="6" s="1"/>
  <c r="BK1404" i="6" s="1"/>
  <c r="AA1405" i="6" s="1"/>
  <c r="BK1405" i="6" s="1"/>
  <c r="AA1406" i="6" s="1"/>
  <c r="BK1406" i="6" s="1"/>
  <c r="AA1407" i="6" s="1"/>
  <c r="BK1407" i="6" s="1"/>
  <c r="AA1408" i="6" s="1"/>
  <c r="BK1408" i="6" s="1"/>
  <c r="AA1409" i="6" s="1"/>
  <c r="BK1409" i="6" s="1"/>
  <c r="Z1374" i="6"/>
  <c r="BJ1374" i="6" s="1"/>
  <c r="Z1375" i="6" s="1"/>
  <c r="BJ1375" i="6" s="1"/>
  <c r="Z1376" i="6" s="1"/>
  <c r="BJ1376" i="6" s="1"/>
  <c r="Z1377" i="6" s="1"/>
  <c r="BJ1377" i="6" s="1"/>
  <c r="Z1378" i="6" s="1"/>
  <c r="BJ1378" i="6" s="1"/>
  <c r="Z1379" i="6" s="1"/>
  <c r="BJ1379" i="6" s="1"/>
  <c r="Z1380" i="6" s="1"/>
  <c r="BJ1380" i="6" s="1"/>
  <c r="Z1381" i="6" s="1"/>
  <c r="BJ1381" i="6" s="1"/>
  <c r="Z1382" i="6" s="1"/>
  <c r="BJ1382" i="6" s="1"/>
  <c r="Z1383" i="6" s="1"/>
  <c r="BJ1383" i="6" s="1"/>
  <c r="Z1384" i="6" s="1"/>
  <c r="BJ1384" i="6" s="1"/>
  <c r="Z1385" i="6" s="1"/>
  <c r="BJ1385" i="6" s="1"/>
  <c r="Z1386" i="6" s="1"/>
  <c r="BJ1386" i="6" s="1"/>
  <c r="Z1387" i="6" s="1"/>
  <c r="BJ1387" i="6" s="1"/>
  <c r="Z1388" i="6" s="1"/>
  <c r="BJ1388" i="6" s="1"/>
  <c r="Z1389" i="6" s="1"/>
  <c r="BJ1389" i="6" s="1"/>
  <c r="Z1390" i="6" s="1"/>
  <c r="BJ1390" i="6" s="1"/>
  <c r="Z1391" i="6" s="1"/>
  <c r="BJ1391" i="6" s="1"/>
  <c r="Z1392" i="6" s="1"/>
  <c r="BJ1392" i="6" s="1"/>
  <c r="Z1393" i="6" s="1"/>
  <c r="BJ1393" i="6" s="1"/>
  <c r="Z1394" i="6" s="1"/>
  <c r="BJ1394" i="6" s="1"/>
  <c r="Z1395" i="6" s="1"/>
  <c r="BJ1395" i="6" s="1"/>
  <c r="Z1396" i="6" s="1"/>
  <c r="BJ1396" i="6" s="1"/>
  <c r="Z1397" i="6" s="1"/>
  <c r="BJ1397" i="6" s="1"/>
  <c r="Z1398" i="6" s="1"/>
  <c r="BJ1398" i="6" s="1"/>
  <c r="Z1399" i="6" s="1"/>
  <c r="BJ1399" i="6" s="1"/>
  <c r="Z1400" i="6" s="1"/>
  <c r="BJ1400" i="6" s="1"/>
  <c r="Z1401" i="6" s="1"/>
  <c r="BJ1401" i="6" s="1"/>
  <c r="Z1402" i="6" s="1"/>
  <c r="BJ1402" i="6" s="1"/>
  <c r="Z1403" i="6" s="1"/>
  <c r="BJ1403" i="6" s="1"/>
  <c r="Z1404" i="6" s="1"/>
  <c r="BJ1404" i="6" s="1"/>
  <c r="Z1405" i="6" s="1"/>
  <c r="BJ1405" i="6" s="1"/>
  <c r="Z1406" i="6" s="1"/>
  <c r="BJ1406" i="6" s="1"/>
  <c r="Z1407" i="6" s="1"/>
  <c r="BJ1407" i="6" s="1"/>
  <c r="Z1408" i="6" s="1"/>
  <c r="BJ1408" i="6" s="1"/>
  <c r="Z1409" i="6" s="1"/>
  <c r="BJ1409" i="6" s="1"/>
  <c r="Y1374" i="6"/>
  <c r="BI1374" i="6" s="1"/>
  <c r="Y1375" i="6" s="1"/>
  <c r="BI1375" i="6" s="1"/>
  <c r="Y1376" i="6" s="1"/>
  <c r="BI1376" i="6" s="1"/>
  <c r="Y1377" i="6" s="1"/>
  <c r="BI1377" i="6" s="1"/>
  <c r="Y1378" i="6" s="1"/>
  <c r="BI1378" i="6" s="1"/>
  <c r="Y1379" i="6" s="1"/>
  <c r="BI1379" i="6" s="1"/>
  <c r="Y1380" i="6" s="1"/>
  <c r="BI1380" i="6" s="1"/>
  <c r="Y1381" i="6" s="1"/>
  <c r="BI1381" i="6" s="1"/>
  <c r="Y1382" i="6" s="1"/>
  <c r="BI1382" i="6" s="1"/>
  <c r="Y1383" i="6" s="1"/>
  <c r="BI1383" i="6" s="1"/>
  <c r="Y1384" i="6" s="1"/>
  <c r="BI1384" i="6" s="1"/>
  <c r="Y1385" i="6" s="1"/>
  <c r="BI1385" i="6" s="1"/>
  <c r="Y1386" i="6" s="1"/>
  <c r="BI1386" i="6" s="1"/>
  <c r="Y1387" i="6" s="1"/>
  <c r="BI1387" i="6" s="1"/>
  <c r="Y1388" i="6" s="1"/>
  <c r="BI1388" i="6" s="1"/>
  <c r="Y1389" i="6" s="1"/>
  <c r="BI1389" i="6" s="1"/>
  <c r="Y1390" i="6" s="1"/>
  <c r="BI1390" i="6" s="1"/>
  <c r="Y1391" i="6" s="1"/>
  <c r="BI1391" i="6" s="1"/>
  <c r="Y1392" i="6" s="1"/>
  <c r="BI1392" i="6" s="1"/>
  <c r="Y1393" i="6" s="1"/>
  <c r="BI1393" i="6" s="1"/>
  <c r="Y1394" i="6" s="1"/>
  <c r="BI1394" i="6" s="1"/>
  <c r="Y1395" i="6" s="1"/>
  <c r="BI1395" i="6" s="1"/>
  <c r="Y1396" i="6" s="1"/>
  <c r="BI1396" i="6" s="1"/>
  <c r="Y1397" i="6" s="1"/>
  <c r="BI1397" i="6" s="1"/>
  <c r="Y1398" i="6" s="1"/>
  <c r="BI1398" i="6" s="1"/>
  <c r="Y1399" i="6" s="1"/>
  <c r="BI1399" i="6" s="1"/>
  <c r="Y1400" i="6" s="1"/>
  <c r="BI1400" i="6" s="1"/>
  <c r="Y1401" i="6" s="1"/>
  <c r="BI1401" i="6" s="1"/>
  <c r="Y1402" i="6" s="1"/>
  <c r="BI1402" i="6" s="1"/>
  <c r="Y1403" i="6" s="1"/>
  <c r="BI1403" i="6" s="1"/>
  <c r="Y1404" i="6" s="1"/>
  <c r="BI1404" i="6" s="1"/>
  <c r="Y1405" i="6" s="1"/>
  <c r="BI1405" i="6" s="1"/>
  <c r="Y1406" i="6" s="1"/>
  <c r="BI1406" i="6" s="1"/>
  <c r="Y1407" i="6" s="1"/>
  <c r="BI1407" i="6" s="1"/>
  <c r="Y1408" i="6" s="1"/>
  <c r="BI1408" i="6" s="1"/>
  <c r="Y1409" i="6" s="1"/>
  <c r="BI1409" i="6" s="1"/>
  <c r="X1374" i="6"/>
  <c r="W1374" i="6"/>
  <c r="BG1374" i="6" s="1"/>
  <c r="W1375" i="6" s="1"/>
  <c r="V1374" i="6"/>
  <c r="U1374" i="6"/>
  <c r="T1374" i="6"/>
  <c r="BD1374" i="6" s="1"/>
  <c r="T1375" i="6" s="1"/>
  <c r="S1374" i="6"/>
  <c r="BC1374" i="6" s="1"/>
  <c r="S1375" i="6" s="1"/>
  <c r="BC1375" i="6" s="1"/>
  <c r="S1376" i="6" s="1"/>
  <c r="BC1376" i="6" s="1"/>
  <c r="S1377" i="6" s="1"/>
  <c r="BC1377" i="6" s="1"/>
  <c r="S1378" i="6" s="1"/>
  <c r="BC1378" i="6" s="1"/>
  <c r="S1379" i="6" s="1"/>
  <c r="BC1379" i="6" s="1"/>
  <c r="S1380" i="6" s="1"/>
  <c r="BC1380" i="6" s="1"/>
  <c r="S1381" i="6" s="1"/>
  <c r="BC1381" i="6" s="1"/>
  <c r="S1382" i="6" s="1"/>
  <c r="BC1382" i="6" s="1"/>
  <c r="S1383" i="6" s="1"/>
  <c r="BC1383" i="6" s="1"/>
  <c r="S1384" i="6" s="1"/>
  <c r="BC1384" i="6" s="1"/>
  <c r="S1385" i="6" s="1"/>
  <c r="BC1385" i="6" s="1"/>
  <c r="S1386" i="6" s="1"/>
  <c r="BC1386" i="6" s="1"/>
  <c r="S1387" i="6" s="1"/>
  <c r="BC1387" i="6" s="1"/>
  <c r="S1388" i="6" s="1"/>
  <c r="BC1388" i="6" s="1"/>
  <c r="S1389" i="6" s="1"/>
  <c r="BC1389" i="6" s="1"/>
  <c r="S1390" i="6" s="1"/>
  <c r="BC1390" i="6" s="1"/>
  <c r="S1391" i="6" s="1"/>
  <c r="BC1391" i="6" s="1"/>
  <c r="S1392" i="6" s="1"/>
  <c r="BC1392" i="6" s="1"/>
  <c r="S1393" i="6" s="1"/>
  <c r="BC1393" i="6" s="1"/>
  <c r="S1394" i="6" s="1"/>
  <c r="BC1394" i="6" s="1"/>
  <c r="S1395" i="6" s="1"/>
  <c r="BC1395" i="6" s="1"/>
  <c r="S1396" i="6" s="1"/>
  <c r="BC1396" i="6" s="1"/>
  <c r="S1397" i="6" s="1"/>
  <c r="BC1397" i="6" s="1"/>
  <c r="S1398" i="6" s="1"/>
  <c r="BC1398" i="6" s="1"/>
  <c r="S1399" i="6" s="1"/>
  <c r="BC1399" i="6" s="1"/>
  <c r="S1400" i="6" s="1"/>
  <c r="BC1400" i="6" s="1"/>
  <c r="S1401" i="6" s="1"/>
  <c r="BC1401" i="6" s="1"/>
  <c r="S1402" i="6" s="1"/>
  <c r="BC1402" i="6" s="1"/>
  <c r="S1403" i="6" s="1"/>
  <c r="BC1403" i="6" s="1"/>
  <c r="S1404" i="6" s="1"/>
  <c r="BC1404" i="6" s="1"/>
  <c r="S1405" i="6" s="1"/>
  <c r="BC1405" i="6" s="1"/>
  <c r="S1406" i="6" s="1"/>
  <c r="BC1406" i="6" s="1"/>
  <c r="S1407" i="6" s="1"/>
  <c r="BC1407" i="6" s="1"/>
  <c r="S1408" i="6" s="1"/>
  <c r="BC1408" i="6" s="1"/>
  <c r="S1409" i="6" s="1"/>
  <c r="BC1409" i="6" s="1"/>
  <c r="R1374" i="6"/>
  <c r="BB1374" i="6" s="1"/>
  <c r="R1375" i="6" s="1"/>
  <c r="BB1375" i="6" s="1"/>
  <c r="R1376" i="6" s="1"/>
  <c r="BB1376" i="6" s="1"/>
  <c r="R1377" i="6" s="1"/>
  <c r="BB1377" i="6" s="1"/>
  <c r="R1378" i="6" s="1"/>
  <c r="BB1378" i="6" s="1"/>
  <c r="R1379" i="6" s="1"/>
  <c r="BB1379" i="6" s="1"/>
  <c r="R1380" i="6" s="1"/>
  <c r="BB1380" i="6" s="1"/>
  <c r="R1381" i="6" s="1"/>
  <c r="BB1381" i="6" s="1"/>
  <c r="R1382" i="6" s="1"/>
  <c r="BB1382" i="6" s="1"/>
  <c r="R1383" i="6" s="1"/>
  <c r="BB1383" i="6" s="1"/>
  <c r="R1384" i="6" s="1"/>
  <c r="BB1384" i="6" s="1"/>
  <c r="R1385" i="6" s="1"/>
  <c r="BB1385" i="6" s="1"/>
  <c r="R1386" i="6" s="1"/>
  <c r="BB1386" i="6" s="1"/>
  <c r="R1387" i="6" s="1"/>
  <c r="BB1387" i="6" s="1"/>
  <c r="R1388" i="6" s="1"/>
  <c r="BB1388" i="6" s="1"/>
  <c r="R1389" i="6" s="1"/>
  <c r="BB1389" i="6" s="1"/>
  <c r="R1390" i="6" s="1"/>
  <c r="BB1390" i="6" s="1"/>
  <c r="R1391" i="6" s="1"/>
  <c r="BB1391" i="6" s="1"/>
  <c r="R1392" i="6" s="1"/>
  <c r="BB1392" i="6" s="1"/>
  <c r="R1393" i="6" s="1"/>
  <c r="BB1393" i="6" s="1"/>
  <c r="R1394" i="6" s="1"/>
  <c r="BB1394" i="6" s="1"/>
  <c r="R1395" i="6" s="1"/>
  <c r="BB1395" i="6" s="1"/>
  <c r="R1396" i="6" s="1"/>
  <c r="BB1396" i="6" s="1"/>
  <c r="R1397" i="6" s="1"/>
  <c r="BB1397" i="6" s="1"/>
  <c r="R1398" i="6" s="1"/>
  <c r="BB1398" i="6" s="1"/>
  <c r="R1399" i="6" s="1"/>
  <c r="BB1399" i="6" s="1"/>
  <c r="R1400" i="6" s="1"/>
  <c r="BB1400" i="6" s="1"/>
  <c r="R1401" i="6" s="1"/>
  <c r="BB1401" i="6" s="1"/>
  <c r="R1402" i="6" s="1"/>
  <c r="BB1402" i="6" s="1"/>
  <c r="R1403" i="6" s="1"/>
  <c r="BB1403" i="6" s="1"/>
  <c r="R1404" i="6" s="1"/>
  <c r="BB1404" i="6" s="1"/>
  <c r="R1405" i="6" s="1"/>
  <c r="BB1405" i="6" s="1"/>
  <c r="R1406" i="6" s="1"/>
  <c r="BB1406" i="6" s="1"/>
  <c r="R1407" i="6" s="1"/>
  <c r="BB1407" i="6" s="1"/>
  <c r="R1408" i="6" s="1"/>
  <c r="BB1408" i="6" s="1"/>
  <c r="R1409" i="6" s="1"/>
  <c r="BB1409" i="6" s="1"/>
  <c r="Q1374" i="6"/>
  <c r="BA1374" i="6" s="1"/>
  <c r="Q1375" i="6" s="1"/>
  <c r="O1374" i="6"/>
  <c r="AY1374" i="6" s="1"/>
  <c r="O1375" i="6" s="1"/>
  <c r="AY1375" i="6" s="1"/>
  <c r="O1376" i="6" s="1"/>
  <c r="AY1376" i="6" s="1"/>
  <c r="O1377" i="6" s="1"/>
  <c r="AY1377" i="6" s="1"/>
  <c r="O1378" i="6" s="1"/>
  <c r="AY1378" i="6" s="1"/>
  <c r="O1379" i="6" s="1"/>
  <c r="AY1379" i="6" s="1"/>
  <c r="O1380" i="6" s="1"/>
  <c r="AY1380" i="6" s="1"/>
  <c r="O1381" i="6" s="1"/>
  <c r="AY1381" i="6" s="1"/>
  <c r="O1382" i="6" s="1"/>
  <c r="AY1382" i="6" s="1"/>
  <c r="O1383" i="6" s="1"/>
  <c r="AY1383" i="6" s="1"/>
  <c r="O1384" i="6" s="1"/>
  <c r="AY1384" i="6" s="1"/>
  <c r="O1385" i="6" s="1"/>
  <c r="AY1385" i="6" s="1"/>
  <c r="O1386" i="6" s="1"/>
  <c r="AY1386" i="6" s="1"/>
  <c r="O1387" i="6" s="1"/>
  <c r="AY1387" i="6" s="1"/>
  <c r="O1388" i="6" s="1"/>
  <c r="AY1388" i="6" s="1"/>
  <c r="O1389" i="6" s="1"/>
  <c r="AY1389" i="6" s="1"/>
  <c r="O1390" i="6" s="1"/>
  <c r="AY1390" i="6" s="1"/>
  <c r="O1391" i="6" s="1"/>
  <c r="AY1391" i="6" s="1"/>
  <c r="O1392" i="6" s="1"/>
  <c r="AY1392" i="6" s="1"/>
  <c r="O1393" i="6" s="1"/>
  <c r="N1374" i="6"/>
  <c r="AX1374" i="6" s="1"/>
  <c r="N1375" i="6" s="1"/>
  <c r="AX1375" i="6" s="1"/>
  <c r="N1376" i="6" s="1"/>
  <c r="AX1376" i="6" s="1"/>
  <c r="N1377" i="6" s="1"/>
  <c r="AX1377" i="6" s="1"/>
  <c r="N1378" i="6" s="1"/>
  <c r="AX1378" i="6" s="1"/>
  <c r="N1379" i="6" s="1"/>
  <c r="AX1379" i="6" s="1"/>
  <c r="N1380" i="6" s="1"/>
  <c r="AX1380" i="6" s="1"/>
  <c r="M1374" i="6"/>
  <c r="AW1374" i="6" s="1"/>
  <c r="M1375" i="6" s="1"/>
  <c r="AW1375" i="6" s="1"/>
  <c r="M1376" i="6" s="1"/>
  <c r="L1374" i="6"/>
  <c r="AV1374" i="6" s="1"/>
  <c r="L1375" i="6" s="1"/>
  <c r="J1374" i="6"/>
  <c r="H1374" i="6"/>
  <c r="G1374" i="6"/>
  <c r="F1374" i="6"/>
  <c r="E1374" i="6"/>
  <c r="D1374" i="6"/>
  <c r="C1374" i="6"/>
  <c r="B1374" i="6"/>
  <c r="A1374" i="6"/>
  <c r="AO1373" i="6"/>
  <c r="AE1373" i="6"/>
  <c r="K1373" i="6"/>
  <c r="J1373" i="6"/>
  <c r="I1373" i="6"/>
  <c r="H1373" i="6"/>
  <c r="G1373" i="6"/>
  <c r="F1373" i="6"/>
  <c r="E1373" i="6"/>
  <c r="D1373" i="6"/>
  <c r="C1373" i="6"/>
  <c r="B1373" i="6"/>
  <c r="A1373" i="6"/>
  <c r="AO1372" i="6"/>
  <c r="J1372" i="6"/>
  <c r="H1372" i="6"/>
  <c r="G1372" i="6"/>
  <c r="F1372" i="6"/>
  <c r="E1372" i="6"/>
  <c r="D1372" i="6"/>
  <c r="C1372" i="6"/>
  <c r="B1372" i="6"/>
  <c r="A1372" i="6"/>
  <c r="AO1371" i="6"/>
  <c r="AE1371" i="6"/>
  <c r="K1371" i="6"/>
  <c r="J1371" i="6"/>
  <c r="I1371" i="6"/>
  <c r="H1371" i="6"/>
  <c r="G1371" i="6"/>
  <c r="F1371" i="6"/>
  <c r="E1371" i="6"/>
  <c r="D1371" i="6"/>
  <c r="C1371" i="6"/>
  <c r="B1371" i="6"/>
  <c r="A1371" i="6"/>
  <c r="AO1370" i="6"/>
  <c r="H1370" i="6"/>
  <c r="G1370" i="6"/>
  <c r="F1370" i="6"/>
  <c r="E1370" i="6"/>
  <c r="D1370" i="6"/>
  <c r="C1370" i="6"/>
  <c r="B1370" i="6"/>
  <c r="A1370" i="6"/>
  <c r="AO1369" i="6"/>
  <c r="AE1369" i="6"/>
  <c r="K1369" i="6"/>
  <c r="I1369" i="6"/>
  <c r="H1369" i="6"/>
  <c r="G1369" i="6"/>
  <c r="F1369" i="6"/>
  <c r="E1369" i="6"/>
  <c r="D1369" i="6"/>
  <c r="C1369" i="6"/>
  <c r="B1369" i="6"/>
  <c r="A1369" i="6"/>
  <c r="AO1368" i="6"/>
  <c r="J1368" i="6"/>
  <c r="H1368" i="6"/>
  <c r="G1368" i="6"/>
  <c r="F1368" i="6"/>
  <c r="E1368" i="6"/>
  <c r="D1368" i="6"/>
  <c r="C1368" i="6"/>
  <c r="B1368" i="6"/>
  <c r="A1368" i="6"/>
  <c r="AO1367" i="6"/>
  <c r="AI1367" i="6"/>
  <c r="AE1367" i="6"/>
  <c r="K1367" i="6"/>
  <c r="I1367" i="6"/>
  <c r="H1367" i="6"/>
  <c r="G1367" i="6"/>
  <c r="F1367" i="6"/>
  <c r="J1367" i="6" s="1"/>
  <c r="E1367" i="6"/>
  <c r="D1367" i="6"/>
  <c r="C1367" i="6"/>
  <c r="B1367" i="6"/>
  <c r="A1367" i="6"/>
  <c r="AO1366" i="6"/>
  <c r="H1366" i="6"/>
  <c r="G1366" i="6"/>
  <c r="F1366" i="6"/>
  <c r="E1366" i="6"/>
  <c r="D1366" i="6"/>
  <c r="C1366" i="6"/>
  <c r="B1366" i="6"/>
  <c r="A1366" i="6"/>
  <c r="AO1365" i="6"/>
  <c r="AE1365" i="6"/>
  <c r="K1365" i="6"/>
  <c r="I1365" i="6"/>
  <c r="H1365" i="6"/>
  <c r="G1365" i="6"/>
  <c r="F1365" i="6"/>
  <c r="J1365" i="6" s="1"/>
  <c r="E1365" i="6"/>
  <c r="D1365" i="6"/>
  <c r="C1365" i="6"/>
  <c r="B1365" i="6"/>
  <c r="A1365" i="6"/>
  <c r="AO1364" i="6"/>
  <c r="H1364" i="6"/>
  <c r="G1364" i="6"/>
  <c r="F1364" i="6"/>
  <c r="E1364" i="6"/>
  <c r="D1364" i="6"/>
  <c r="C1364" i="6"/>
  <c r="B1364" i="6"/>
  <c r="A1364" i="6"/>
  <c r="AO1363" i="6"/>
  <c r="AE1363" i="6"/>
  <c r="K1363" i="6"/>
  <c r="J1363" i="6"/>
  <c r="I1363" i="6"/>
  <c r="H1363" i="6"/>
  <c r="G1363" i="6"/>
  <c r="F1363" i="6"/>
  <c r="E1363" i="6"/>
  <c r="D1363" i="6"/>
  <c r="C1363" i="6"/>
  <c r="B1363" i="6"/>
  <c r="A1363" i="6"/>
  <c r="AO1362" i="6"/>
  <c r="J1362" i="6"/>
  <c r="H1362" i="6"/>
  <c r="G1362" i="6"/>
  <c r="F1362" i="6"/>
  <c r="E1362" i="6"/>
  <c r="D1362" i="6"/>
  <c r="C1362" i="6"/>
  <c r="B1362" i="6"/>
  <c r="A1362" i="6"/>
  <c r="AO1361" i="6"/>
  <c r="AE1361" i="6"/>
  <c r="K1361" i="6"/>
  <c r="J1361" i="6"/>
  <c r="I1361" i="6"/>
  <c r="H1361" i="6"/>
  <c r="G1361" i="6"/>
  <c r="F1361" i="6"/>
  <c r="E1361" i="6"/>
  <c r="D1361" i="6"/>
  <c r="C1361" i="6"/>
  <c r="B1361" i="6"/>
  <c r="A1361" i="6"/>
  <c r="AT1360" i="6"/>
  <c r="H1360" i="6"/>
  <c r="G1360" i="6"/>
  <c r="F1360" i="6"/>
  <c r="E1360" i="6"/>
  <c r="D1360" i="6"/>
  <c r="C1360" i="6"/>
  <c r="B1360" i="6"/>
  <c r="A1360" i="6"/>
  <c r="AT1359" i="6"/>
  <c r="AO1359" i="6"/>
  <c r="AE1359" i="6"/>
  <c r="K1359" i="6"/>
  <c r="I1359" i="6"/>
  <c r="H1359" i="6"/>
  <c r="G1359" i="6"/>
  <c r="F1359" i="6"/>
  <c r="E1359" i="6"/>
  <c r="D1359" i="6"/>
  <c r="C1359" i="6"/>
  <c r="B1359" i="6"/>
  <c r="A1359" i="6"/>
  <c r="AT1358" i="6"/>
  <c r="AO1358" i="6"/>
  <c r="AE1358" i="6"/>
  <c r="J1358" i="6"/>
  <c r="I1358" i="6"/>
  <c r="H1358" i="6"/>
  <c r="G1358" i="6"/>
  <c r="F1358" i="6"/>
  <c r="E1358" i="6"/>
  <c r="D1358" i="6"/>
  <c r="C1358" i="6"/>
  <c r="B1358" i="6"/>
  <c r="A1358" i="6"/>
  <c r="AT1357" i="6"/>
  <c r="AO1357" i="6"/>
  <c r="AI1357" i="6"/>
  <c r="K1357" i="6"/>
  <c r="I1357" i="6"/>
  <c r="H1357" i="6"/>
  <c r="G1357" i="6"/>
  <c r="F1357" i="6"/>
  <c r="E1357" i="6"/>
  <c r="D1357" i="6"/>
  <c r="C1357" i="6"/>
  <c r="B1357" i="6"/>
  <c r="A1357" i="6"/>
  <c r="AT1356" i="6"/>
  <c r="AO1356" i="6"/>
  <c r="AI1356" i="6"/>
  <c r="K1356" i="6"/>
  <c r="J1356" i="6"/>
  <c r="I1356" i="6"/>
  <c r="H1356" i="6"/>
  <c r="G1356" i="6"/>
  <c r="F1356" i="6"/>
  <c r="AE1356" i="6" s="1"/>
  <c r="E1356" i="6"/>
  <c r="D1356" i="6"/>
  <c r="C1356" i="6"/>
  <c r="B1356" i="6"/>
  <c r="A1356" i="6"/>
  <c r="AT1355" i="6"/>
  <c r="AO1355" i="6"/>
  <c r="AI1355" i="6"/>
  <c r="H1355" i="6"/>
  <c r="AF1355" i="6" s="1"/>
  <c r="G1355" i="6"/>
  <c r="F1355" i="6"/>
  <c r="E1355" i="6"/>
  <c r="D1355" i="6"/>
  <c r="C1355" i="6"/>
  <c r="B1355" i="6"/>
  <c r="A1355" i="6"/>
  <c r="AT1354" i="6"/>
  <c r="AI1354" i="6"/>
  <c r="K1354" i="6"/>
  <c r="J1354" i="6"/>
  <c r="I1354" i="6"/>
  <c r="H1354" i="6"/>
  <c r="G1354" i="6"/>
  <c r="F1354" i="6"/>
  <c r="AE1354" i="6" s="1"/>
  <c r="E1354" i="6"/>
  <c r="D1354" i="6"/>
  <c r="C1354" i="6"/>
  <c r="B1354" i="6"/>
  <c r="A1354" i="6"/>
  <c r="AT1353" i="6"/>
  <c r="AO1353" i="6"/>
  <c r="AI1353" i="6"/>
  <c r="AF1353" i="6"/>
  <c r="AE1353" i="6"/>
  <c r="K1353" i="6"/>
  <c r="J1353" i="6"/>
  <c r="I1353" i="6"/>
  <c r="H1353" i="6"/>
  <c r="G1353" i="6"/>
  <c r="F1353" i="6"/>
  <c r="E1353" i="6"/>
  <c r="D1353" i="6"/>
  <c r="C1353" i="6"/>
  <c r="B1353" i="6"/>
  <c r="A1353" i="6"/>
  <c r="AT1352" i="6"/>
  <c r="AO1352" i="6"/>
  <c r="AF1352" i="6"/>
  <c r="H1352" i="6"/>
  <c r="G1352" i="6"/>
  <c r="F1352" i="6"/>
  <c r="E1352" i="6"/>
  <c r="D1352" i="6"/>
  <c r="C1352" i="6"/>
  <c r="B1352" i="6"/>
  <c r="A1352" i="6"/>
  <c r="AT1351" i="6"/>
  <c r="AO1351" i="6"/>
  <c r="AI1351" i="6"/>
  <c r="AF1351" i="6"/>
  <c r="AE1351" i="6"/>
  <c r="K1351" i="6"/>
  <c r="J1351" i="6"/>
  <c r="I1351" i="6"/>
  <c r="H1351" i="6"/>
  <c r="G1351" i="6"/>
  <c r="F1351" i="6"/>
  <c r="E1351" i="6"/>
  <c r="D1351" i="6"/>
  <c r="C1351" i="6"/>
  <c r="B1351" i="6"/>
  <c r="A1351" i="6"/>
  <c r="AT1350" i="6"/>
  <c r="AO1350" i="6"/>
  <c r="AE1350" i="6"/>
  <c r="H1350" i="6"/>
  <c r="G1350" i="6"/>
  <c r="F1350" i="6"/>
  <c r="E1350" i="6"/>
  <c r="D1350" i="6"/>
  <c r="C1350" i="6"/>
  <c r="B1350" i="6"/>
  <c r="A1350" i="6"/>
  <c r="AT1349" i="6"/>
  <c r="AI1349" i="6"/>
  <c r="AE1349" i="6"/>
  <c r="X1349" i="6"/>
  <c r="BH1349" i="6" s="1"/>
  <c r="X1350" i="6" s="1"/>
  <c r="BH1350" i="6" s="1"/>
  <c r="X1351" i="6" s="1"/>
  <c r="BH1351" i="6" s="1"/>
  <c r="X1352" i="6" s="1"/>
  <c r="BH1352" i="6" s="1"/>
  <c r="X1353" i="6" s="1"/>
  <c r="BH1353" i="6" s="1"/>
  <c r="X1354" i="6" s="1"/>
  <c r="BH1354" i="6" s="1"/>
  <c r="X1355" i="6" s="1"/>
  <c r="BH1355" i="6" s="1"/>
  <c r="X1356" i="6" s="1"/>
  <c r="K1349" i="6"/>
  <c r="J1349" i="6"/>
  <c r="I1349" i="6"/>
  <c r="H1349" i="6"/>
  <c r="G1349" i="6"/>
  <c r="F1349" i="6"/>
  <c r="E1349" i="6"/>
  <c r="D1349" i="6"/>
  <c r="C1349" i="6"/>
  <c r="B1349" i="6"/>
  <c r="A1349" i="6"/>
  <c r="AT1348" i="6"/>
  <c r="AE1348" i="6"/>
  <c r="J1348" i="6"/>
  <c r="I1348" i="6"/>
  <c r="H1348" i="6"/>
  <c r="G1348" i="6"/>
  <c r="F1348" i="6"/>
  <c r="E1348" i="6"/>
  <c r="D1348" i="6"/>
  <c r="C1348" i="6"/>
  <c r="B1348" i="6"/>
  <c r="A1348" i="6"/>
  <c r="AT1347" i="6"/>
  <c r="AO1347" i="6"/>
  <c r="H1347" i="6"/>
  <c r="AF1347" i="6" s="1"/>
  <c r="G1347" i="6"/>
  <c r="F1347" i="6"/>
  <c r="AI1347" i="6" s="1"/>
  <c r="E1347" i="6"/>
  <c r="D1347" i="6"/>
  <c r="C1347" i="6"/>
  <c r="B1347" i="6"/>
  <c r="A1347" i="6"/>
  <c r="AT1346" i="6"/>
  <c r="AO1346" i="6"/>
  <c r="AI1346" i="6"/>
  <c r="K1346" i="6"/>
  <c r="J1346" i="6"/>
  <c r="I1346" i="6"/>
  <c r="H1346" i="6"/>
  <c r="G1346" i="6"/>
  <c r="F1346" i="6"/>
  <c r="AE1346" i="6" s="1"/>
  <c r="E1346" i="6"/>
  <c r="D1346" i="6"/>
  <c r="C1346" i="6"/>
  <c r="B1346" i="6"/>
  <c r="A1346" i="6"/>
  <c r="AT1345" i="6"/>
  <c r="AO1345" i="6"/>
  <c r="AF1345" i="6"/>
  <c r="AE1345" i="6"/>
  <c r="H1345" i="6"/>
  <c r="G1345" i="6"/>
  <c r="F1345" i="6"/>
  <c r="E1345" i="6"/>
  <c r="D1345" i="6"/>
  <c r="C1345" i="6"/>
  <c r="B1345" i="6"/>
  <c r="A1345" i="6"/>
  <c r="BI1344" i="6"/>
  <c r="Y1345" i="6" s="1"/>
  <c r="BI1345" i="6" s="1"/>
  <c r="Y1346" i="6" s="1"/>
  <c r="BI1346" i="6" s="1"/>
  <c r="Y1347" i="6" s="1"/>
  <c r="BI1347" i="6" s="1"/>
  <c r="Y1348" i="6" s="1"/>
  <c r="BI1348" i="6" s="1"/>
  <c r="Y1349" i="6" s="1"/>
  <c r="BI1349" i="6" s="1"/>
  <c r="Y1350" i="6" s="1"/>
  <c r="BI1350" i="6" s="1"/>
  <c r="Y1351" i="6" s="1"/>
  <c r="BI1351" i="6" s="1"/>
  <c r="Y1352" i="6" s="1"/>
  <c r="BI1352" i="6" s="1"/>
  <c r="Y1353" i="6" s="1"/>
  <c r="BI1353" i="6" s="1"/>
  <c r="Y1354" i="6" s="1"/>
  <c r="BI1354" i="6" s="1"/>
  <c r="Y1355" i="6" s="1"/>
  <c r="BI1355" i="6" s="1"/>
  <c r="Y1356" i="6" s="1"/>
  <c r="BI1356" i="6" s="1"/>
  <c r="Y1357" i="6" s="1"/>
  <c r="BI1357" i="6" s="1"/>
  <c r="Y1358" i="6" s="1"/>
  <c r="BI1358" i="6" s="1"/>
  <c r="Y1359" i="6" s="1"/>
  <c r="BI1359" i="6" s="1"/>
  <c r="Y1360" i="6" s="1"/>
  <c r="BI1360" i="6" s="1"/>
  <c r="Y1361" i="6" s="1"/>
  <c r="BI1361" i="6" s="1"/>
  <c r="Y1362" i="6" s="1"/>
  <c r="BI1362" i="6" s="1"/>
  <c r="Y1363" i="6" s="1"/>
  <c r="BI1363" i="6" s="1"/>
  <c r="Y1364" i="6" s="1"/>
  <c r="BI1364" i="6" s="1"/>
  <c r="Y1365" i="6" s="1"/>
  <c r="BI1365" i="6" s="1"/>
  <c r="Y1366" i="6" s="1"/>
  <c r="BI1366" i="6" s="1"/>
  <c r="Y1367" i="6" s="1"/>
  <c r="BI1367" i="6" s="1"/>
  <c r="Y1368" i="6" s="1"/>
  <c r="BI1368" i="6" s="1"/>
  <c r="Y1369" i="6" s="1"/>
  <c r="BI1369" i="6" s="1"/>
  <c r="Y1370" i="6" s="1"/>
  <c r="BI1370" i="6" s="1"/>
  <c r="Y1371" i="6" s="1"/>
  <c r="BI1371" i="6" s="1"/>
  <c r="Y1372" i="6" s="1"/>
  <c r="BI1372" i="6" s="1"/>
  <c r="Y1373" i="6" s="1"/>
  <c r="BI1373" i="6" s="1"/>
  <c r="AT1344" i="6"/>
  <c r="AO1344" i="6"/>
  <c r="AI1344" i="6"/>
  <c r="K1344" i="6"/>
  <c r="J1344" i="6"/>
  <c r="I1344" i="6"/>
  <c r="H1344" i="6"/>
  <c r="AF1344" i="6" s="1"/>
  <c r="G1344" i="6"/>
  <c r="F1344" i="6"/>
  <c r="E1344" i="6"/>
  <c r="D1344" i="6"/>
  <c r="C1344" i="6"/>
  <c r="B1344" i="6"/>
  <c r="A1344" i="6"/>
  <c r="AT1343" i="6"/>
  <c r="H1343" i="6"/>
  <c r="G1343" i="6"/>
  <c r="F1343" i="6"/>
  <c r="E1343" i="6"/>
  <c r="D1343" i="6"/>
  <c r="C1343" i="6"/>
  <c r="B1343" i="6"/>
  <c r="A1343" i="6"/>
  <c r="AT1342" i="6"/>
  <c r="AI1342" i="6"/>
  <c r="V1342" i="6"/>
  <c r="BF1342" i="6" s="1"/>
  <c r="V1343" i="6" s="1"/>
  <c r="BF1343" i="6" s="1"/>
  <c r="V1344" i="6" s="1"/>
  <c r="BF1344" i="6" s="1"/>
  <c r="V1345" i="6" s="1"/>
  <c r="BF1345" i="6" s="1"/>
  <c r="V1346" i="6" s="1"/>
  <c r="BF1346" i="6" s="1"/>
  <c r="V1347" i="6" s="1"/>
  <c r="BF1347" i="6" s="1"/>
  <c r="V1348" i="6" s="1"/>
  <c r="BF1348" i="6" s="1"/>
  <c r="V1349" i="6" s="1"/>
  <c r="BF1349" i="6" s="1"/>
  <c r="V1350" i="6" s="1"/>
  <c r="BF1350" i="6" s="1"/>
  <c r="V1351" i="6" s="1"/>
  <c r="BF1351" i="6" s="1"/>
  <c r="V1352" i="6" s="1"/>
  <c r="BF1352" i="6" s="1"/>
  <c r="V1353" i="6" s="1"/>
  <c r="BF1353" i="6" s="1"/>
  <c r="V1354" i="6" s="1"/>
  <c r="BF1354" i="6" s="1"/>
  <c r="V1355" i="6" s="1"/>
  <c r="BF1355" i="6" s="1"/>
  <c r="V1356" i="6" s="1"/>
  <c r="BF1356" i="6" s="1"/>
  <c r="V1357" i="6" s="1"/>
  <c r="BF1357" i="6" s="1"/>
  <c r="V1358" i="6" s="1"/>
  <c r="BF1358" i="6" s="1"/>
  <c r="V1359" i="6" s="1"/>
  <c r="BF1359" i="6" s="1"/>
  <c r="V1360" i="6" s="1"/>
  <c r="BF1360" i="6" s="1"/>
  <c r="V1361" i="6" s="1"/>
  <c r="K1342" i="6"/>
  <c r="J1342" i="6"/>
  <c r="I1342" i="6"/>
  <c r="H1342" i="6"/>
  <c r="G1342" i="6"/>
  <c r="F1342" i="6"/>
  <c r="AE1342" i="6" s="1"/>
  <c r="E1342" i="6"/>
  <c r="D1342" i="6"/>
  <c r="C1342" i="6"/>
  <c r="B1342" i="6"/>
  <c r="A1342" i="6"/>
  <c r="BF1341" i="6"/>
  <c r="AT1341" i="6"/>
  <c r="AO1341" i="6"/>
  <c r="H1341" i="6"/>
  <c r="G1341" i="6"/>
  <c r="F1341" i="6"/>
  <c r="E1341" i="6"/>
  <c r="D1341" i="6"/>
  <c r="C1341" i="6"/>
  <c r="B1341" i="6"/>
  <c r="A1341" i="6"/>
  <c r="BN1340" i="6"/>
  <c r="BO1340" i="6" s="1"/>
  <c r="BN1341" i="6" s="1"/>
  <c r="BO1341" i="6" s="1"/>
  <c r="BN1342" i="6" s="1"/>
  <c r="BO1342" i="6" s="1"/>
  <c r="BN1343" i="6" s="1"/>
  <c r="BO1343" i="6" s="1"/>
  <c r="BN1344" i="6" s="1"/>
  <c r="BI1340" i="6"/>
  <c r="Y1341" i="6" s="1"/>
  <c r="BI1341" i="6" s="1"/>
  <c r="Y1342" i="6" s="1"/>
  <c r="BI1342" i="6" s="1"/>
  <c r="Y1343" i="6" s="1"/>
  <c r="BI1343" i="6" s="1"/>
  <c r="Y1344" i="6" s="1"/>
  <c r="AT1340" i="6"/>
  <c r="AO1340" i="6"/>
  <c r="AF1340" i="6"/>
  <c r="AC1340" i="6"/>
  <c r="BM1340" i="6" s="1"/>
  <c r="AC1341" i="6" s="1"/>
  <c r="BM1341" i="6" s="1"/>
  <c r="AC1342" i="6" s="1"/>
  <c r="BM1342" i="6" s="1"/>
  <c r="AC1343" i="6" s="1"/>
  <c r="BM1343" i="6" s="1"/>
  <c r="AC1344" i="6" s="1"/>
  <c r="BM1344" i="6" s="1"/>
  <c r="AC1345" i="6" s="1"/>
  <c r="BM1345" i="6" s="1"/>
  <c r="AC1346" i="6" s="1"/>
  <c r="BM1346" i="6" s="1"/>
  <c r="AC1347" i="6" s="1"/>
  <c r="BM1347" i="6" s="1"/>
  <c r="AC1348" i="6" s="1"/>
  <c r="BM1348" i="6" s="1"/>
  <c r="AC1349" i="6" s="1"/>
  <c r="BM1349" i="6" s="1"/>
  <c r="AC1350" i="6" s="1"/>
  <c r="BM1350" i="6" s="1"/>
  <c r="AC1351" i="6" s="1"/>
  <c r="BM1351" i="6" s="1"/>
  <c r="AC1352" i="6" s="1"/>
  <c r="BM1352" i="6" s="1"/>
  <c r="AC1353" i="6" s="1"/>
  <c r="BM1353" i="6" s="1"/>
  <c r="AC1354" i="6" s="1"/>
  <c r="BM1354" i="6" s="1"/>
  <c r="AC1355" i="6" s="1"/>
  <c r="BM1355" i="6" s="1"/>
  <c r="AC1356" i="6" s="1"/>
  <c r="BM1356" i="6" s="1"/>
  <c r="AC1357" i="6" s="1"/>
  <c r="BM1357" i="6" s="1"/>
  <c r="AC1358" i="6" s="1"/>
  <c r="BM1358" i="6" s="1"/>
  <c r="AC1359" i="6" s="1"/>
  <c r="BM1359" i="6" s="1"/>
  <c r="AC1360" i="6" s="1"/>
  <c r="BM1360" i="6" s="1"/>
  <c r="AC1361" i="6" s="1"/>
  <c r="BM1361" i="6" s="1"/>
  <c r="AC1362" i="6" s="1"/>
  <c r="BM1362" i="6" s="1"/>
  <c r="AC1363" i="6" s="1"/>
  <c r="BM1363" i="6" s="1"/>
  <c r="AC1364" i="6" s="1"/>
  <c r="BM1364" i="6" s="1"/>
  <c r="AC1365" i="6" s="1"/>
  <c r="BM1365" i="6" s="1"/>
  <c r="AC1366" i="6" s="1"/>
  <c r="BM1366" i="6" s="1"/>
  <c r="AC1367" i="6" s="1"/>
  <c r="BM1367" i="6" s="1"/>
  <c r="AC1368" i="6" s="1"/>
  <c r="BM1368" i="6" s="1"/>
  <c r="AC1369" i="6" s="1"/>
  <c r="BM1369" i="6" s="1"/>
  <c r="AC1370" i="6" s="1"/>
  <c r="BM1370" i="6" s="1"/>
  <c r="AC1371" i="6" s="1"/>
  <c r="BM1371" i="6" s="1"/>
  <c r="AC1372" i="6" s="1"/>
  <c r="BM1372" i="6" s="1"/>
  <c r="AC1373" i="6" s="1"/>
  <c r="BM1373" i="6" s="1"/>
  <c r="M1340" i="6"/>
  <c r="H1340" i="6"/>
  <c r="G1340" i="6"/>
  <c r="F1340" i="6"/>
  <c r="AE1340" i="6" s="1"/>
  <c r="E1340" i="6"/>
  <c r="D1340" i="6"/>
  <c r="C1340" i="6"/>
  <c r="B1340" i="6"/>
  <c r="A1340" i="6"/>
  <c r="BO1339" i="6"/>
  <c r="BM1339" i="6"/>
  <c r="BE1339" i="6"/>
  <c r="BD1339" i="6"/>
  <c r="T1340" i="6" s="1"/>
  <c r="AW1339" i="6"/>
  <c r="AT1339" i="6"/>
  <c r="AO1339" i="6"/>
  <c r="AI1339" i="6"/>
  <c r="AF1339" i="6"/>
  <c r="AE1339" i="6"/>
  <c r="Y1339" i="6"/>
  <c r="BI1339" i="6" s="1"/>
  <c r="Y1340" i="6" s="1"/>
  <c r="X1339" i="6"/>
  <c r="BH1339" i="6" s="1"/>
  <c r="X1340" i="6" s="1"/>
  <c r="BH1340" i="6" s="1"/>
  <c r="X1341" i="6" s="1"/>
  <c r="BH1341" i="6" s="1"/>
  <c r="X1342" i="6" s="1"/>
  <c r="BH1342" i="6" s="1"/>
  <c r="X1343" i="6" s="1"/>
  <c r="BH1343" i="6" s="1"/>
  <c r="X1344" i="6" s="1"/>
  <c r="BH1344" i="6" s="1"/>
  <c r="X1345" i="6" s="1"/>
  <c r="BH1345" i="6" s="1"/>
  <c r="X1346" i="6" s="1"/>
  <c r="BH1346" i="6" s="1"/>
  <c r="X1347" i="6" s="1"/>
  <c r="BH1347" i="6" s="1"/>
  <c r="X1348" i="6" s="1"/>
  <c r="BH1348" i="6" s="1"/>
  <c r="W1339" i="6"/>
  <c r="BG1339" i="6" s="1"/>
  <c r="W1340" i="6" s="1"/>
  <c r="BG1340" i="6" s="1"/>
  <c r="W1341" i="6" s="1"/>
  <c r="BG1341" i="6" s="1"/>
  <c r="W1342" i="6" s="1"/>
  <c r="U1339" i="6"/>
  <c r="S1339" i="6"/>
  <c r="BC1339" i="6" s="1"/>
  <c r="S1340" i="6" s="1"/>
  <c r="BC1340" i="6" s="1"/>
  <c r="S1341" i="6" s="1"/>
  <c r="BC1341" i="6" s="1"/>
  <c r="S1342" i="6" s="1"/>
  <c r="BC1342" i="6" s="1"/>
  <c r="S1343" i="6" s="1"/>
  <c r="BC1343" i="6" s="1"/>
  <c r="S1344" i="6" s="1"/>
  <c r="BC1344" i="6" s="1"/>
  <c r="S1345" i="6" s="1"/>
  <c r="BC1345" i="6" s="1"/>
  <c r="S1346" i="6" s="1"/>
  <c r="BC1346" i="6" s="1"/>
  <c r="S1347" i="6" s="1"/>
  <c r="BC1347" i="6" s="1"/>
  <c r="S1348" i="6" s="1"/>
  <c r="BC1348" i="6" s="1"/>
  <c r="S1349" i="6" s="1"/>
  <c r="BC1349" i="6" s="1"/>
  <c r="S1350" i="6" s="1"/>
  <c r="BC1350" i="6" s="1"/>
  <c r="S1351" i="6" s="1"/>
  <c r="BC1351" i="6" s="1"/>
  <c r="S1352" i="6" s="1"/>
  <c r="BC1352" i="6" s="1"/>
  <c r="S1353" i="6" s="1"/>
  <c r="BC1353" i="6" s="1"/>
  <c r="S1354" i="6" s="1"/>
  <c r="BC1354" i="6" s="1"/>
  <c r="S1355" i="6" s="1"/>
  <c r="BC1355" i="6" s="1"/>
  <c r="S1356" i="6" s="1"/>
  <c r="BC1356" i="6" s="1"/>
  <c r="S1357" i="6" s="1"/>
  <c r="BC1357" i="6" s="1"/>
  <c r="S1358" i="6" s="1"/>
  <c r="BC1358" i="6" s="1"/>
  <c r="S1359" i="6" s="1"/>
  <c r="BC1359" i="6" s="1"/>
  <c r="S1360" i="6" s="1"/>
  <c r="BC1360" i="6" s="1"/>
  <c r="S1361" i="6" s="1"/>
  <c r="BC1361" i="6" s="1"/>
  <c r="S1362" i="6" s="1"/>
  <c r="BC1362" i="6" s="1"/>
  <c r="S1363" i="6" s="1"/>
  <c r="BC1363" i="6" s="1"/>
  <c r="S1364" i="6" s="1"/>
  <c r="BC1364" i="6" s="1"/>
  <c r="S1365" i="6" s="1"/>
  <c r="BC1365" i="6" s="1"/>
  <c r="S1366" i="6" s="1"/>
  <c r="BC1366" i="6" s="1"/>
  <c r="S1367" i="6" s="1"/>
  <c r="BC1367" i="6" s="1"/>
  <c r="S1368" i="6" s="1"/>
  <c r="BC1368" i="6" s="1"/>
  <c r="S1369" i="6" s="1"/>
  <c r="BC1369" i="6" s="1"/>
  <c r="S1370" i="6" s="1"/>
  <c r="BC1370" i="6" s="1"/>
  <c r="S1371" i="6" s="1"/>
  <c r="BC1371" i="6" s="1"/>
  <c r="S1372" i="6" s="1"/>
  <c r="BC1372" i="6" s="1"/>
  <c r="S1373" i="6" s="1"/>
  <c r="BC1373" i="6" s="1"/>
  <c r="K1339" i="6"/>
  <c r="J1339" i="6"/>
  <c r="I1339" i="6"/>
  <c r="H1339" i="6"/>
  <c r="G1339" i="6"/>
  <c r="F1339" i="6"/>
  <c r="E1339" i="6"/>
  <c r="D1339" i="6"/>
  <c r="C1339" i="6"/>
  <c r="B1339" i="6"/>
  <c r="A1339" i="6"/>
  <c r="BN1338" i="6"/>
  <c r="BO1338" i="6" s="1"/>
  <c r="BN1339" i="6" s="1"/>
  <c r="BM1338" i="6"/>
  <c r="AC1339" i="6" s="1"/>
  <c r="BL1338" i="6"/>
  <c r="AB1339" i="6" s="1"/>
  <c r="BL1339" i="6" s="1"/>
  <c r="AB1340" i="6" s="1"/>
  <c r="BL1340" i="6" s="1"/>
  <c r="AB1341" i="6" s="1"/>
  <c r="BL1341" i="6" s="1"/>
  <c r="AB1342" i="6" s="1"/>
  <c r="BL1342" i="6" s="1"/>
  <c r="AB1343" i="6" s="1"/>
  <c r="BL1343" i="6" s="1"/>
  <c r="AB1344" i="6" s="1"/>
  <c r="BL1344" i="6" s="1"/>
  <c r="AB1345" i="6" s="1"/>
  <c r="BL1345" i="6" s="1"/>
  <c r="AB1346" i="6" s="1"/>
  <c r="BL1346" i="6" s="1"/>
  <c r="AB1347" i="6" s="1"/>
  <c r="BL1347" i="6" s="1"/>
  <c r="AB1348" i="6" s="1"/>
  <c r="BL1348" i="6" s="1"/>
  <c r="AB1349" i="6" s="1"/>
  <c r="BL1349" i="6" s="1"/>
  <c r="AB1350" i="6" s="1"/>
  <c r="BL1350" i="6" s="1"/>
  <c r="AB1351" i="6" s="1"/>
  <c r="BL1351" i="6" s="1"/>
  <c r="AB1352" i="6" s="1"/>
  <c r="BL1352" i="6" s="1"/>
  <c r="AB1353" i="6" s="1"/>
  <c r="BL1353" i="6" s="1"/>
  <c r="AB1354" i="6" s="1"/>
  <c r="BL1354" i="6" s="1"/>
  <c r="AB1355" i="6" s="1"/>
  <c r="BL1355" i="6" s="1"/>
  <c r="AB1356" i="6" s="1"/>
  <c r="BL1356" i="6" s="1"/>
  <c r="AB1357" i="6" s="1"/>
  <c r="BL1357" i="6" s="1"/>
  <c r="AB1358" i="6" s="1"/>
  <c r="BL1358" i="6" s="1"/>
  <c r="AB1359" i="6" s="1"/>
  <c r="BL1359" i="6" s="1"/>
  <c r="AB1360" i="6" s="1"/>
  <c r="BL1360" i="6" s="1"/>
  <c r="AB1361" i="6" s="1"/>
  <c r="BL1361" i="6" s="1"/>
  <c r="AB1362" i="6" s="1"/>
  <c r="BL1362" i="6" s="1"/>
  <c r="AB1363" i="6" s="1"/>
  <c r="BL1363" i="6" s="1"/>
  <c r="AB1364" i="6" s="1"/>
  <c r="BL1364" i="6" s="1"/>
  <c r="AB1365" i="6" s="1"/>
  <c r="BL1365" i="6" s="1"/>
  <c r="AB1366" i="6" s="1"/>
  <c r="BL1366" i="6" s="1"/>
  <c r="AB1367" i="6" s="1"/>
  <c r="BL1367" i="6" s="1"/>
  <c r="AB1368" i="6" s="1"/>
  <c r="BL1368" i="6" s="1"/>
  <c r="AB1369" i="6" s="1"/>
  <c r="BL1369" i="6" s="1"/>
  <c r="AB1370" i="6" s="1"/>
  <c r="BL1370" i="6" s="1"/>
  <c r="AB1371" i="6" s="1"/>
  <c r="BL1371" i="6" s="1"/>
  <c r="AB1372" i="6" s="1"/>
  <c r="BL1372" i="6" s="1"/>
  <c r="AB1373" i="6" s="1"/>
  <c r="BL1373" i="6" s="1"/>
  <c r="BH1338" i="6"/>
  <c r="BE1338" i="6"/>
  <c r="BD1338" i="6"/>
  <c r="T1339" i="6" s="1"/>
  <c r="BC1338" i="6"/>
  <c r="AX1338" i="6"/>
  <c r="N1339" i="6" s="1"/>
  <c r="AX1339" i="6" s="1"/>
  <c r="N1340" i="6" s="1"/>
  <c r="AX1340" i="6" s="1"/>
  <c r="N1341" i="6" s="1"/>
  <c r="AX1341" i="6" s="1"/>
  <c r="N1342" i="6" s="1"/>
  <c r="AX1342" i="6" s="1"/>
  <c r="N1343" i="6" s="1"/>
  <c r="AX1343" i="6" s="1"/>
  <c r="N1344" i="6" s="1"/>
  <c r="AX1344" i="6" s="1"/>
  <c r="AV1338" i="6"/>
  <c r="L1339" i="6" s="1"/>
  <c r="AV1339" i="6" s="1"/>
  <c r="L1340" i="6" s="1"/>
  <c r="AT1338" i="6"/>
  <c r="AO1338" i="6"/>
  <c r="AF1338" i="6"/>
  <c r="AC1338" i="6"/>
  <c r="AB1338" i="6"/>
  <c r="AA1338" i="6"/>
  <c r="BK1338" i="6" s="1"/>
  <c r="AA1339" i="6" s="1"/>
  <c r="BK1339" i="6" s="1"/>
  <c r="AA1340" i="6" s="1"/>
  <c r="BK1340" i="6" s="1"/>
  <c r="AA1341" i="6" s="1"/>
  <c r="BK1341" i="6" s="1"/>
  <c r="AA1342" i="6" s="1"/>
  <c r="BK1342" i="6" s="1"/>
  <c r="AA1343" i="6" s="1"/>
  <c r="BK1343" i="6" s="1"/>
  <c r="AA1344" i="6" s="1"/>
  <c r="BK1344" i="6" s="1"/>
  <c r="AA1345" i="6" s="1"/>
  <c r="BK1345" i="6" s="1"/>
  <c r="AA1346" i="6" s="1"/>
  <c r="BK1346" i="6" s="1"/>
  <c r="AA1347" i="6" s="1"/>
  <c r="BK1347" i="6" s="1"/>
  <c r="AA1348" i="6" s="1"/>
  <c r="BK1348" i="6" s="1"/>
  <c r="AA1349" i="6" s="1"/>
  <c r="BK1349" i="6" s="1"/>
  <c r="AA1350" i="6" s="1"/>
  <c r="BK1350" i="6" s="1"/>
  <c r="AA1351" i="6" s="1"/>
  <c r="BK1351" i="6" s="1"/>
  <c r="AA1352" i="6" s="1"/>
  <c r="BK1352" i="6" s="1"/>
  <c r="AA1353" i="6" s="1"/>
  <c r="BK1353" i="6" s="1"/>
  <c r="AA1354" i="6" s="1"/>
  <c r="BK1354" i="6" s="1"/>
  <c r="AA1355" i="6" s="1"/>
  <c r="BK1355" i="6" s="1"/>
  <c r="AA1356" i="6" s="1"/>
  <c r="BK1356" i="6" s="1"/>
  <c r="AA1357" i="6" s="1"/>
  <c r="BK1357" i="6" s="1"/>
  <c r="AA1358" i="6" s="1"/>
  <c r="BK1358" i="6" s="1"/>
  <c r="AA1359" i="6" s="1"/>
  <c r="BK1359" i="6" s="1"/>
  <c r="AA1360" i="6" s="1"/>
  <c r="BK1360" i="6" s="1"/>
  <c r="AA1361" i="6" s="1"/>
  <c r="BK1361" i="6" s="1"/>
  <c r="AA1362" i="6" s="1"/>
  <c r="BK1362" i="6" s="1"/>
  <c r="AA1363" i="6" s="1"/>
  <c r="BK1363" i="6" s="1"/>
  <c r="AA1364" i="6" s="1"/>
  <c r="BK1364" i="6" s="1"/>
  <c r="AA1365" i="6" s="1"/>
  <c r="BK1365" i="6" s="1"/>
  <c r="AA1366" i="6" s="1"/>
  <c r="BK1366" i="6" s="1"/>
  <c r="AA1367" i="6" s="1"/>
  <c r="BK1367" i="6" s="1"/>
  <c r="AA1368" i="6" s="1"/>
  <c r="BK1368" i="6" s="1"/>
  <c r="AA1369" i="6" s="1"/>
  <c r="BK1369" i="6" s="1"/>
  <c r="AA1370" i="6" s="1"/>
  <c r="BK1370" i="6" s="1"/>
  <c r="AA1371" i="6" s="1"/>
  <c r="BK1371" i="6" s="1"/>
  <c r="AA1372" i="6" s="1"/>
  <c r="BK1372" i="6" s="1"/>
  <c r="AA1373" i="6" s="1"/>
  <c r="BK1373" i="6" s="1"/>
  <c r="Z1338" i="6"/>
  <c r="BJ1338" i="6" s="1"/>
  <c r="Z1339" i="6" s="1"/>
  <c r="BJ1339" i="6" s="1"/>
  <c r="Z1340" i="6" s="1"/>
  <c r="BJ1340" i="6" s="1"/>
  <c r="Z1341" i="6" s="1"/>
  <c r="BJ1341" i="6" s="1"/>
  <c r="Z1342" i="6" s="1"/>
  <c r="BJ1342" i="6" s="1"/>
  <c r="Z1343" i="6" s="1"/>
  <c r="BJ1343" i="6" s="1"/>
  <c r="Z1344" i="6" s="1"/>
  <c r="BJ1344" i="6" s="1"/>
  <c r="Z1345" i="6" s="1"/>
  <c r="BJ1345" i="6" s="1"/>
  <c r="Z1346" i="6" s="1"/>
  <c r="BJ1346" i="6" s="1"/>
  <c r="Z1347" i="6" s="1"/>
  <c r="BJ1347" i="6" s="1"/>
  <c r="Z1348" i="6" s="1"/>
  <c r="BJ1348" i="6" s="1"/>
  <c r="Z1349" i="6" s="1"/>
  <c r="BJ1349" i="6" s="1"/>
  <c r="Z1350" i="6" s="1"/>
  <c r="BJ1350" i="6" s="1"/>
  <c r="Z1351" i="6" s="1"/>
  <c r="BJ1351" i="6" s="1"/>
  <c r="Z1352" i="6" s="1"/>
  <c r="BJ1352" i="6" s="1"/>
  <c r="Z1353" i="6" s="1"/>
  <c r="BJ1353" i="6" s="1"/>
  <c r="Z1354" i="6" s="1"/>
  <c r="BJ1354" i="6" s="1"/>
  <c r="Z1355" i="6" s="1"/>
  <c r="BJ1355" i="6" s="1"/>
  <c r="Z1356" i="6" s="1"/>
  <c r="BJ1356" i="6" s="1"/>
  <c r="Z1357" i="6" s="1"/>
  <c r="BJ1357" i="6" s="1"/>
  <c r="Z1358" i="6" s="1"/>
  <c r="BJ1358" i="6" s="1"/>
  <c r="Z1359" i="6" s="1"/>
  <c r="BJ1359" i="6" s="1"/>
  <c r="Z1360" i="6" s="1"/>
  <c r="BJ1360" i="6" s="1"/>
  <c r="Z1361" i="6" s="1"/>
  <c r="BJ1361" i="6" s="1"/>
  <c r="Z1362" i="6" s="1"/>
  <c r="BJ1362" i="6" s="1"/>
  <c r="Z1363" i="6" s="1"/>
  <c r="BJ1363" i="6" s="1"/>
  <c r="Z1364" i="6" s="1"/>
  <c r="BJ1364" i="6" s="1"/>
  <c r="Z1365" i="6" s="1"/>
  <c r="BJ1365" i="6" s="1"/>
  <c r="Z1366" i="6" s="1"/>
  <c r="BJ1366" i="6" s="1"/>
  <c r="Z1367" i="6" s="1"/>
  <c r="BJ1367" i="6" s="1"/>
  <c r="Z1368" i="6" s="1"/>
  <c r="BJ1368" i="6" s="1"/>
  <c r="Z1369" i="6" s="1"/>
  <c r="BJ1369" i="6" s="1"/>
  <c r="Z1370" i="6" s="1"/>
  <c r="BJ1370" i="6" s="1"/>
  <c r="Z1371" i="6" s="1"/>
  <c r="BJ1371" i="6" s="1"/>
  <c r="Z1372" i="6" s="1"/>
  <c r="BJ1372" i="6" s="1"/>
  <c r="Z1373" i="6" s="1"/>
  <c r="BJ1373" i="6" s="1"/>
  <c r="Y1338" i="6"/>
  <c r="BI1338" i="6" s="1"/>
  <c r="X1338" i="6"/>
  <c r="W1338" i="6"/>
  <c r="BG1338" i="6" s="1"/>
  <c r="V1338" i="6"/>
  <c r="BF1338" i="6" s="1"/>
  <c r="V1339" i="6" s="1"/>
  <c r="BF1339" i="6" s="1"/>
  <c r="V1340" i="6" s="1"/>
  <c r="BF1340" i="6" s="1"/>
  <c r="V1341" i="6" s="1"/>
  <c r="U1338" i="6"/>
  <c r="T1338" i="6"/>
  <c r="S1338" i="6"/>
  <c r="R1338" i="6"/>
  <c r="BB1338" i="6" s="1"/>
  <c r="R1339" i="6" s="1"/>
  <c r="BB1339" i="6" s="1"/>
  <c r="R1340" i="6" s="1"/>
  <c r="BB1340" i="6" s="1"/>
  <c r="R1341" i="6" s="1"/>
  <c r="BB1341" i="6" s="1"/>
  <c r="R1342" i="6" s="1"/>
  <c r="BB1342" i="6" s="1"/>
  <c r="R1343" i="6" s="1"/>
  <c r="BB1343" i="6" s="1"/>
  <c r="R1344" i="6" s="1"/>
  <c r="BB1344" i="6" s="1"/>
  <c r="R1345" i="6" s="1"/>
  <c r="BB1345" i="6" s="1"/>
  <c r="R1346" i="6" s="1"/>
  <c r="BB1346" i="6" s="1"/>
  <c r="R1347" i="6" s="1"/>
  <c r="BB1347" i="6" s="1"/>
  <c r="R1348" i="6" s="1"/>
  <c r="BB1348" i="6" s="1"/>
  <c r="R1349" i="6" s="1"/>
  <c r="BB1349" i="6" s="1"/>
  <c r="R1350" i="6" s="1"/>
  <c r="BB1350" i="6" s="1"/>
  <c r="R1351" i="6" s="1"/>
  <c r="BB1351" i="6" s="1"/>
  <c r="R1352" i="6" s="1"/>
  <c r="BB1352" i="6" s="1"/>
  <c r="R1353" i="6" s="1"/>
  <c r="BB1353" i="6" s="1"/>
  <c r="R1354" i="6" s="1"/>
  <c r="BB1354" i="6" s="1"/>
  <c r="R1355" i="6" s="1"/>
  <c r="BB1355" i="6" s="1"/>
  <c r="R1356" i="6" s="1"/>
  <c r="BB1356" i="6" s="1"/>
  <c r="R1357" i="6" s="1"/>
  <c r="BB1357" i="6" s="1"/>
  <c r="R1358" i="6" s="1"/>
  <c r="BB1358" i="6" s="1"/>
  <c r="R1359" i="6" s="1"/>
  <c r="BB1359" i="6" s="1"/>
  <c r="R1360" i="6" s="1"/>
  <c r="BB1360" i="6" s="1"/>
  <c r="R1361" i="6" s="1"/>
  <c r="BB1361" i="6" s="1"/>
  <c r="R1362" i="6" s="1"/>
  <c r="BB1362" i="6" s="1"/>
  <c r="R1363" i="6" s="1"/>
  <c r="BB1363" i="6" s="1"/>
  <c r="R1364" i="6" s="1"/>
  <c r="BB1364" i="6" s="1"/>
  <c r="R1365" i="6" s="1"/>
  <c r="BB1365" i="6" s="1"/>
  <c r="R1366" i="6" s="1"/>
  <c r="BB1366" i="6" s="1"/>
  <c r="R1367" i="6" s="1"/>
  <c r="BB1367" i="6" s="1"/>
  <c r="R1368" i="6" s="1"/>
  <c r="BB1368" i="6" s="1"/>
  <c r="R1369" i="6" s="1"/>
  <c r="BB1369" i="6" s="1"/>
  <c r="R1370" i="6" s="1"/>
  <c r="BB1370" i="6" s="1"/>
  <c r="R1371" i="6" s="1"/>
  <c r="BB1371" i="6" s="1"/>
  <c r="R1372" i="6" s="1"/>
  <c r="BB1372" i="6" s="1"/>
  <c r="R1373" i="6" s="1"/>
  <c r="BB1373" i="6" s="1"/>
  <c r="Q1338" i="6"/>
  <c r="BA1338" i="6" s="1"/>
  <c r="Q1339" i="6" s="1"/>
  <c r="O1338" i="6"/>
  <c r="AY1338" i="6" s="1"/>
  <c r="O1339" i="6" s="1"/>
  <c r="AY1339" i="6" s="1"/>
  <c r="O1340" i="6" s="1"/>
  <c r="AY1340" i="6" s="1"/>
  <c r="O1341" i="6" s="1"/>
  <c r="AY1341" i="6" s="1"/>
  <c r="O1342" i="6" s="1"/>
  <c r="AY1342" i="6" s="1"/>
  <c r="O1343" i="6" s="1"/>
  <c r="AY1343" i="6" s="1"/>
  <c r="O1344" i="6" s="1"/>
  <c r="AY1344" i="6" s="1"/>
  <c r="O1345" i="6" s="1"/>
  <c r="AY1345" i="6" s="1"/>
  <c r="O1346" i="6" s="1"/>
  <c r="AY1346" i="6" s="1"/>
  <c r="O1347" i="6" s="1"/>
  <c r="AY1347" i="6" s="1"/>
  <c r="O1348" i="6" s="1"/>
  <c r="AY1348" i="6" s="1"/>
  <c r="O1349" i="6" s="1"/>
  <c r="AY1349" i="6" s="1"/>
  <c r="O1350" i="6" s="1"/>
  <c r="AY1350" i="6" s="1"/>
  <c r="O1351" i="6" s="1"/>
  <c r="AY1351" i="6" s="1"/>
  <c r="O1352" i="6" s="1"/>
  <c r="AY1352" i="6" s="1"/>
  <c r="O1353" i="6" s="1"/>
  <c r="AY1353" i="6" s="1"/>
  <c r="O1354" i="6" s="1"/>
  <c r="AY1354" i="6" s="1"/>
  <c r="O1355" i="6" s="1"/>
  <c r="AY1355" i="6" s="1"/>
  <c r="O1356" i="6" s="1"/>
  <c r="AY1356" i="6" s="1"/>
  <c r="O1357" i="6" s="1"/>
  <c r="N1338" i="6"/>
  <c r="M1338" i="6"/>
  <c r="AW1338" i="6" s="1"/>
  <c r="M1339" i="6" s="1"/>
  <c r="L1338" i="6"/>
  <c r="H1338" i="6"/>
  <c r="G1338" i="6"/>
  <c r="F1338" i="6"/>
  <c r="E1338" i="6"/>
  <c r="D1338" i="6"/>
  <c r="C1338" i="6"/>
  <c r="B1338" i="6"/>
  <c r="A1338" i="6"/>
  <c r="AO1337" i="6"/>
  <c r="AE1337" i="6"/>
  <c r="K1337" i="6"/>
  <c r="J1337" i="6"/>
  <c r="I1337" i="6"/>
  <c r="H1337" i="6"/>
  <c r="G1337" i="6"/>
  <c r="F1337" i="6"/>
  <c r="E1337" i="6"/>
  <c r="D1337" i="6"/>
  <c r="C1337" i="6"/>
  <c r="B1337" i="6"/>
  <c r="A1337" i="6"/>
  <c r="AO1336" i="6"/>
  <c r="AE1336" i="6"/>
  <c r="K1336" i="6"/>
  <c r="J1336" i="6"/>
  <c r="I1336" i="6"/>
  <c r="H1336" i="6"/>
  <c r="G1336" i="6"/>
  <c r="F1336" i="6"/>
  <c r="E1336" i="6"/>
  <c r="D1336" i="6"/>
  <c r="C1336" i="6"/>
  <c r="B1336" i="6"/>
  <c r="A1336" i="6"/>
  <c r="AO1335" i="6"/>
  <c r="AI1335" i="6"/>
  <c r="H1335" i="6"/>
  <c r="G1335" i="6"/>
  <c r="F1335" i="6"/>
  <c r="E1335" i="6"/>
  <c r="D1335" i="6"/>
  <c r="C1335" i="6"/>
  <c r="B1335" i="6"/>
  <c r="A1335" i="6"/>
  <c r="AO1334" i="6"/>
  <c r="AE1334" i="6"/>
  <c r="K1334" i="6"/>
  <c r="J1334" i="6"/>
  <c r="I1334" i="6"/>
  <c r="H1334" i="6"/>
  <c r="G1334" i="6"/>
  <c r="F1334" i="6"/>
  <c r="E1334" i="6"/>
  <c r="D1334" i="6"/>
  <c r="C1334" i="6"/>
  <c r="B1334" i="6"/>
  <c r="A1334" i="6"/>
  <c r="AO1333" i="6"/>
  <c r="H1333" i="6"/>
  <c r="G1333" i="6"/>
  <c r="F1333" i="6"/>
  <c r="AI1333" i="6" s="1"/>
  <c r="E1333" i="6"/>
  <c r="D1333" i="6"/>
  <c r="C1333" i="6"/>
  <c r="B1333" i="6"/>
  <c r="A1333" i="6"/>
  <c r="AO1332" i="6"/>
  <c r="AE1332" i="6"/>
  <c r="K1332" i="6"/>
  <c r="J1332" i="6"/>
  <c r="H1332" i="6"/>
  <c r="G1332" i="6"/>
  <c r="F1332" i="6"/>
  <c r="I1332" i="6" s="1"/>
  <c r="E1332" i="6"/>
  <c r="D1332" i="6"/>
  <c r="C1332" i="6"/>
  <c r="B1332" i="6"/>
  <c r="A1332" i="6"/>
  <c r="AO1331" i="6"/>
  <c r="AE1331" i="6"/>
  <c r="J1331" i="6"/>
  <c r="I1331" i="6"/>
  <c r="H1331" i="6"/>
  <c r="G1331" i="6"/>
  <c r="F1331" i="6"/>
  <c r="E1331" i="6"/>
  <c r="D1331" i="6"/>
  <c r="C1331" i="6"/>
  <c r="B1331" i="6"/>
  <c r="A1331" i="6"/>
  <c r="AO1330" i="6"/>
  <c r="AI1330" i="6"/>
  <c r="K1330" i="6"/>
  <c r="J1330" i="6"/>
  <c r="I1330" i="6"/>
  <c r="H1330" i="6"/>
  <c r="G1330" i="6"/>
  <c r="F1330" i="6"/>
  <c r="AE1330" i="6" s="1"/>
  <c r="E1330" i="6"/>
  <c r="D1330" i="6"/>
  <c r="C1330" i="6"/>
  <c r="B1330" i="6"/>
  <c r="A1330" i="6"/>
  <c r="AO1329" i="6"/>
  <c r="AI1329" i="6"/>
  <c r="AE1329" i="6"/>
  <c r="K1329" i="6"/>
  <c r="J1329" i="6"/>
  <c r="I1329" i="6"/>
  <c r="H1329" i="6"/>
  <c r="G1329" i="6"/>
  <c r="F1329" i="6"/>
  <c r="E1329" i="6"/>
  <c r="D1329" i="6"/>
  <c r="C1329" i="6"/>
  <c r="B1329" i="6"/>
  <c r="A1329" i="6"/>
  <c r="AO1328" i="6"/>
  <c r="AI1328" i="6"/>
  <c r="K1328" i="6"/>
  <c r="H1328" i="6"/>
  <c r="G1328" i="6"/>
  <c r="F1328" i="6"/>
  <c r="J1328" i="6" s="1"/>
  <c r="E1328" i="6"/>
  <c r="D1328" i="6"/>
  <c r="C1328" i="6"/>
  <c r="B1328" i="6"/>
  <c r="A1328" i="6"/>
  <c r="AO1327" i="6"/>
  <c r="AE1327" i="6"/>
  <c r="K1327" i="6"/>
  <c r="H1327" i="6"/>
  <c r="G1327" i="6"/>
  <c r="F1327" i="6"/>
  <c r="AI1327" i="6" s="1"/>
  <c r="E1327" i="6"/>
  <c r="D1327" i="6"/>
  <c r="C1327" i="6"/>
  <c r="B1327" i="6"/>
  <c r="A1327" i="6"/>
  <c r="AO1326" i="6"/>
  <c r="H1326" i="6"/>
  <c r="G1326" i="6"/>
  <c r="F1326" i="6"/>
  <c r="E1326" i="6"/>
  <c r="D1326" i="6"/>
  <c r="C1326" i="6"/>
  <c r="B1326" i="6"/>
  <c r="A1326" i="6"/>
  <c r="AO1325" i="6"/>
  <c r="AI1325" i="6"/>
  <c r="AE1325" i="6"/>
  <c r="K1325" i="6"/>
  <c r="J1325" i="6"/>
  <c r="I1325" i="6"/>
  <c r="H1325" i="6"/>
  <c r="G1325" i="6"/>
  <c r="F1325" i="6"/>
  <c r="E1325" i="6"/>
  <c r="D1325" i="6"/>
  <c r="C1325" i="6"/>
  <c r="B1325" i="6"/>
  <c r="A1325" i="6"/>
  <c r="AT1324" i="6"/>
  <c r="AI1324" i="6"/>
  <c r="K1324" i="6"/>
  <c r="J1324" i="6"/>
  <c r="I1324" i="6"/>
  <c r="H1324" i="6"/>
  <c r="G1324" i="6"/>
  <c r="F1324" i="6"/>
  <c r="AE1324" i="6" s="1"/>
  <c r="E1324" i="6"/>
  <c r="D1324" i="6"/>
  <c r="C1324" i="6"/>
  <c r="B1324" i="6"/>
  <c r="A1324" i="6"/>
  <c r="AT1323" i="6"/>
  <c r="AO1323" i="6"/>
  <c r="K1323" i="6"/>
  <c r="J1323" i="6"/>
  <c r="H1323" i="6"/>
  <c r="G1323" i="6"/>
  <c r="F1323" i="6"/>
  <c r="E1323" i="6"/>
  <c r="D1323" i="6"/>
  <c r="C1323" i="6"/>
  <c r="B1323" i="6"/>
  <c r="A1323" i="6"/>
  <c r="AT1322" i="6"/>
  <c r="AO1322" i="6"/>
  <c r="AI1322" i="6"/>
  <c r="J1322" i="6"/>
  <c r="H1322" i="6"/>
  <c r="G1322" i="6"/>
  <c r="F1322" i="6"/>
  <c r="E1322" i="6"/>
  <c r="D1322" i="6"/>
  <c r="C1322" i="6"/>
  <c r="B1322" i="6"/>
  <c r="A1322" i="6"/>
  <c r="AT1321" i="6"/>
  <c r="AO1321" i="6"/>
  <c r="H1321" i="6"/>
  <c r="G1321" i="6"/>
  <c r="F1321" i="6"/>
  <c r="E1321" i="6"/>
  <c r="D1321" i="6"/>
  <c r="C1321" i="6"/>
  <c r="B1321" i="6"/>
  <c r="A1321" i="6"/>
  <c r="AT1320" i="6"/>
  <c r="AO1320" i="6"/>
  <c r="AE1320" i="6"/>
  <c r="J1320" i="6"/>
  <c r="I1320" i="6"/>
  <c r="H1320" i="6"/>
  <c r="G1320" i="6"/>
  <c r="F1320" i="6"/>
  <c r="E1320" i="6"/>
  <c r="D1320" i="6"/>
  <c r="C1320" i="6"/>
  <c r="B1320" i="6"/>
  <c r="A1320" i="6"/>
  <c r="AT1319" i="6"/>
  <c r="AO1319" i="6"/>
  <c r="AE1319" i="6"/>
  <c r="K1319" i="6"/>
  <c r="J1319" i="6"/>
  <c r="I1319" i="6"/>
  <c r="H1319" i="6"/>
  <c r="AF1319" i="6" s="1"/>
  <c r="G1319" i="6"/>
  <c r="F1319" i="6"/>
  <c r="E1319" i="6"/>
  <c r="D1319" i="6"/>
  <c r="C1319" i="6"/>
  <c r="B1319" i="6"/>
  <c r="A1319" i="6"/>
  <c r="AT1318" i="6"/>
  <c r="J1318" i="6"/>
  <c r="I1318" i="6"/>
  <c r="H1318" i="6"/>
  <c r="G1318" i="6"/>
  <c r="F1318" i="6"/>
  <c r="AE1318" i="6" s="1"/>
  <c r="E1318" i="6"/>
  <c r="D1318" i="6"/>
  <c r="C1318" i="6"/>
  <c r="B1318" i="6"/>
  <c r="A1318" i="6"/>
  <c r="AT1317" i="6"/>
  <c r="AO1317" i="6"/>
  <c r="AI1317" i="6"/>
  <c r="AF1317" i="6"/>
  <c r="AE1317" i="6"/>
  <c r="K1317" i="6"/>
  <c r="J1317" i="6"/>
  <c r="I1317" i="6"/>
  <c r="H1317" i="6"/>
  <c r="G1317" i="6"/>
  <c r="F1317" i="6"/>
  <c r="E1317" i="6"/>
  <c r="D1317" i="6"/>
  <c r="C1317" i="6"/>
  <c r="B1317" i="6"/>
  <c r="A1317" i="6"/>
  <c r="AT1316" i="6"/>
  <c r="AO1316" i="6"/>
  <c r="AI1316" i="6"/>
  <c r="AF1316" i="6"/>
  <c r="H1316" i="6"/>
  <c r="G1316" i="6"/>
  <c r="F1316" i="6"/>
  <c r="E1316" i="6"/>
  <c r="D1316" i="6"/>
  <c r="C1316" i="6"/>
  <c r="B1316" i="6"/>
  <c r="A1316" i="6"/>
  <c r="AT1315" i="6"/>
  <c r="AO1315" i="6"/>
  <c r="AI1315" i="6"/>
  <c r="AF1315" i="6"/>
  <c r="AE1315" i="6"/>
  <c r="K1315" i="6"/>
  <c r="H1315" i="6"/>
  <c r="G1315" i="6"/>
  <c r="F1315" i="6"/>
  <c r="E1315" i="6"/>
  <c r="D1315" i="6"/>
  <c r="C1315" i="6"/>
  <c r="B1315" i="6"/>
  <c r="A1315" i="6"/>
  <c r="AT1314" i="6"/>
  <c r="AO1314" i="6"/>
  <c r="AE1314" i="6"/>
  <c r="H1314" i="6"/>
  <c r="G1314" i="6"/>
  <c r="F1314" i="6"/>
  <c r="E1314" i="6"/>
  <c r="D1314" i="6"/>
  <c r="C1314" i="6"/>
  <c r="B1314" i="6"/>
  <c r="A1314" i="6"/>
  <c r="AT1313" i="6"/>
  <c r="AI1313" i="6"/>
  <c r="AE1313" i="6"/>
  <c r="K1313" i="6"/>
  <c r="J1313" i="6"/>
  <c r="I1313" i="6"/>
  <c r="H1313" i="6"/>
  <c r="G1313" i="6"/>
  <c r="F1313" i="6"/>
  <c r="E1313" i="6"/>
  <c r="D1313" i="6"/>
  <c r="C1313" i="6"/>
  <c r="B1313" i="6"/>
  <c r="A1313" i="6"/>
  <c r="AT1312" i="6"/>
  <c r="AI1312" i="6"/>
  <c r="K1312" i="6"/>
  <c r="H1312" i="6"/>
  <c r="G1312" i="6"/>
  <c r="F1312" i="6"/>
  <c r="AE1312" i="6" s="1"/>
  <c r="E1312" i="6"/>
  <c r="D1312" i="6"/>
  <c r="C1312" i="6"/>
  <c r="B1312" i="6"/>
  <c r="A1312" i="6"/>
  <c r="AT1311" i="6"/>
  <c r="AO1311" i="6"/>
  <c r="H1311" i="6"/>
  <c r="AF1311" i="6" s="1"/>
  <c r="G1311" i="6"/>
  <c r="F1311" i="6"/>
  <c r="E1311" i="6"/>
  <c r="D1311" i="6"/>
  <c r="C1311" i="6"/>
  <c r="B1311" i="6"/>
  <c r="A1311" i="6"/>
  <c r="AT1310" i="6"/>
  <c r="AO1310" i="6"/>
  <c r="AI1310" i="6"/>
  <c r="J1310" i="6"/>
  <c r="H1310" i="6"/>
  <c r="G1310" i="6"/>
  <c r="F1310" i="6"/>
  <c r="E1310" i="6"/>
  <c r="D1310" i="6"/>
  <c r="C1310" i="6"/>
  <c r="B1310" i="6"/>
  <c r="A1310" i="6"/>
  <c r="AT1309" i="6"/>
  <c r="AO1309" i="6"/>
  <c r="AF1309" i="6"/>
  <c r="AE1309" i="6"/>
  <c r="H1309" i="6"/>
  <c r="G1309" i="6"/>
  <c r="F1309" i="6"/>
  <c r="E1309" i="6"/>
  <c r="D1309" i="6"/>
  <c r="C1309" i="6"/>
  <c r="B1309" i="6"/>
  <c r="A1309" i="6"/>
  <c r="AT1308" i="6"/>
  <c r="AO1308" i="6"/>
  <c r="AE1308" i="6"/>
  <c r="Y1308" i="6"/>
  <c r="BI1308" i="6" s="1"/>
  <c r="Y1309" i="6" s="1"/>
  <c r="BI1309" i="6" s="1"/>
  <c r="Y1310" i="6" s="1"/>
  <c r="BI1310" i="6" s="1"/>
  <c r="Y1311" i="6" s="1"/>
  <c r="BI1311" i="6" s="1"/>
  <c r="Y1312" i="6" s="1"/>
  <c r="BI1312" i="6" s="1"/>
  <c r="Y1313" i="6" s="1"/>
  <c r="BI1313" i="6" s="1"/>
  <c r="Y1314" i="6" s="1"/>
  <c r="BI1314" i="6" s="1"/>
  <c r="Y1315" i="6" s="1"/>
  <c r="BI1315" i="6" s="1"/>
  <c r="Y1316" i="6" s="1"/>
  <c r="BI1316" i="6" s="1"/>
  <c r="Y1317" i="6" s="1"/>
  <c r="BI1317" i="6" s="1"/>
  <c r="Y1318" i="6" s="1"/>
  <c r="BI1318" i="6" s="1"/>
  <c r="Y1319" i="6" s="1"/>
  <c r="BI1319" i="6" s="1"/>
  <c r="Y1320" i="6" s="1"/>
  <c r="BI1320" i="6" s="1"/>
  <c r="Y1321" i="6" s="1"/>
  <c r="BI1321" i="6" s="1"/>
  <c r="Y1322" i="6" s="1"/>
  <c r="BI1322" i="6" s="1"/>
  <c r="Y1323" i="6" s="1"/>
  <c r="BI1323" i="6" s="1"/>
  <c r="Y1324" i="6" s="1"/>
  <c r="BI1324" i="6" s="1"/>
  <c r="Y1325" i="6" s="1"/>
  <c r="BI1325" i="6" s="1"/>
  <c r="Y1326" i="6" s="1"/>
  <c r="BI1326" i="6" s="1"/>
  <c r="Y1327" i="6" s="1"/>
  <c r="BI1327" i="6" s="1"/>
  <c r="Y1328" i="6" s="1"/>
  <c r="BI1328" i="6" s="1"/>
  <c r="Y1329" i="6" s="1"/>
  <c r="BI1329" i="6" s="1"/>
  <c r="Y1330" i="6" s="1"/>
  <c r="BI1330" i="6" s="1"/>
  <c r="Y1331" i="6" s="1"/>
  <c r="BI1331" i="6" s="1"/>
  <c r="Y1332" i="6" s="1"/>
  <c r="BI1332" i="6" s="1"/>
  <c r="Y1333" i="6" s="1"/>
  <c r="BI1333" i="6" s="1"/>
  <c r="Y1334" i="6" s="1"/>
  <c r="BI1334" i="6" s="1"/>
  <c r="Y1335" i="6" s="1"/>
  <c r="BI1335" i="6" s="1"/>
  <c r="Y1336" i="6" s="1"/>
  <c r="BI1336" i="6" s="1"/>
  <c r="Y1337" i="6" s="1"/>
  <c r="BI1337" i="6" s="1"/>
  <c r="J1308" i="6"/>
  <c r="H1308" i="6"/>
  <c r="AF1308" i="6" s="1"/>
  <c r="G1308" i="6"/>
  <c r="F1308" i="6"/>
  <c r="E1308" i="6"/>
  <c r="D1308" i="6"/>
  <c r="C1308" i="6"/>
  <c r="B1308" i="6"/>
  <c r="A1308" i="6"/>
  <c r="AT1307" i="6"/>
  <c r="AE1307" i="6"/>
  <c r="K1307" i="6"/>
  <c r="J1307" i="6"/>
  <c r="I1307" i="6"/>
  <c r="H1307" i="6"/>
  <c r="G1307" i="6"/>
  <c r="F1307" i="6"/>
  <c r="E1307" i="6"/>
  <c r="D1307" i="6"/>
  <c r="C1307" i="6"/>
  <c r="B1307" i="6"/>
  <c r="A1307" i="6"/>
  <c r="AT1306" i="6"/>
  <c r="AI1306" i="6"/>
  <c r="AC1306" i="6"/>
  <c r="BM1306" i="6" s="1"/>
  <c r="AC1307" i="6" s="1"/>
  <c r="BM1307" i="6" s="1"/>
  <c r="AC1308" i="6" s="1"/>
  <c r="BM1308" i="6" s="1"/>
  <c r="AC1309" i="6" s="1"/>
  <c r="BM1309" i="6" s="1"/>
  <c r="AC1310" i="6" s="1"/>
  <c r="BM1310" i="6" s="1"/>
  <c r="AC1311" i="6" s="1"/>
  <c r="BM1311" i="6" s="1"/>
  <c r="AC1312" i="6" s="1"/>
  <c r="BM1312" i="6" s="1"/>
  <c r="AC1313" i="6" s="1"/>
  <c r="BM1313" i="6" s="1"/>
  <c r="AC1314" i="6" s="1"/>
  <c r="BM1314" i="6" s="1"/>
  <c r="AC1315" i="6" s="1"/>
  <c r="BM1315" i="6" s="1"/>
  <c r="AC1316" i="6" s="1"/>
  <c r="BM1316" i="6" s="1"/>
  <c r="AC1317" i="6" s="1"/>
  <c r="BM1317" i="6" s="1"/>
  <c r="AC1318" i="6" s="1"/>
  <c r="BM1318" i="6" s="1"/>
  <c r="AC1319" i="6" s="1"/>
  <c r="BM1319" i="6" s="1"/>
  <c r="AC1320" i="6" s="1"/>
  <c r="BM1320" i="6" s="1"/>
  <c r="AC1321" i="6" s="1"/>
  <c r="BM1321" i="6" s="1"/>
  <c r="AC1322" i="6" s="1"/>
  <c r="BM1322" i="6" s="1"/>
  <c r="AC1323" i="6" s="1"/>
  <c r="BM1323" i="6" s="1"/>
  <c r="AC1324" i="6" s="1"/>
  <c r="BM1324" i="6" s="1"/>
  <c r="AC1325" i="6" s="1"/>
  <c r="BM1325" i="6" s="1"/>
  <c r="AC1326" i="6" s="1"/>
  <c r="BM1326" i="6" s="1"/>
  <c r="AC1327" i="6" s="1"/>
  <c r="BM1327" i="6" s="1"/>
  <c r="AC1328" i="6" s="1"/>
  <c r="BM1328" i="6" s="1"/>
  <c r="AC1329" i="6" s="1"/>
  <c r="BM1329" i="6" s="1"/>
  <c r="AC1330" i="6" s="1"/>
  <c r="BM1330" i="6" s="1"/>
  <c r="AC1331" i="6" s="1"/>
  <c r="BM1331" i="6" s="1"/>
  <c r="AC1332" i="6" s="1"/>
  <c r="BM1332" i="6" s="1"/>
  <c r="AC1333" i="6" s="1"/>
  <c r="BM1333" i="6" s="1"/>
  <c r="AC1334" i="6" s="1"/>
  <c r="BM1334" i="6" s="1"/>
  <c r="AC1335" i="6" s="1"/>
  <c r="BM1335" i="6" s="1"/>
  <c r="AC1336" i="6" s="1"/>
  <c r="BM1336" i="6" s="1"/>
  <c r="AC1337" i="6" s="1"/>
  <c r="BM1337" i="6" s="1"/>
  <c r="K1306" i="6"/>
  <c r="H1306" i="6"/>
  <c r="G1306" i="6"/>
  <c r="F1306" i="6"/>
  <c r="AE1306" i="6" s="1"/>
  <c r="E1306" i="6"/>
  <c r="D1306" i="6"/>
  <c r="C1306" i="6"/>
  <c r="B1306" i="6"/>
  <c r="A1306" i="6"/>
  <c r="BN1305" i="6"/>
  <c r="BO1305" i="6" s="1"/>
  <c r="BN1306" i="6" s="1"/>
  <c r="BO1306" i="6" s="1"/>
  <c r="BN1307" i="6" s="1"/>
  <c r="BO1307" i="6" s="1"/>
  <c r="BN1308" i="6" s="1"/>
  <c r="BO1308" i="6" s="1"/>
  <c r="BN1309" i="6" s="1"/>
  <c r="BO1309" i="6" s="1"/>
  <c r="BN1310" i="6" s="1"/>
  <c r="BO1310" i="6" s="1"/>
  <c r="BN1311" i="6" s="1"/>
  <c r="BO1311" i="6" s="1"/>
  <c r="BN1312" i="6" s="1"/>
  <c r="BO1312" i="6" s="1"/>
  <c r="BN1313" i="6" s="1"/>
  <c r="BC1305" i="6"/>
  <c r="S1306" i="6" s="1"/>
  <c r="BC1306" i="6" s="1"/>
  <c r="S1307" i="6" s="1"/>
  <c r="BC1307" i="6" s="1"/>
  <c r="S1308" i="6" s="1"/>
  <c r="BC1308" i="6" s="1"/>
  <c r="S1309" i="6" s="1"/>
  <c r="BC1309" i="6" s="1"/>
  <c r="S1310" i="6" s="1"/>
  <c r="BC1310" i="6" s="1"/>
  <c r="S1311" i="6" s="1"/>
  <c r="BC1311" i="6" s="1"/>
  <c r="S1312" i="6" s="1"/>
  <c r="BC1312" i="6" s="1"/>
  <c r="S1313" i="6" s="1"/>
  <c r="BC1313" i="6" s="1"/>
  <c r="S1314" i="6" s="1"/>
  <c r="BC1314" i="6" s="1"/>
  <c r="S1315" i="6" s="1"/>
  <c r="BC1315" i="6" s="1"/>
  <c r="S1316" i="6" s="1"/>
  <c r="BC1316" i="6" s="1"/>
  <c r="S1317" i="6" s="1"/>
  <c r="BC1317" i="6" s="1"/>
  <c r="S1318" i="6" s="1"/>
  <c r="BC1318" i="6" s="1"/>
  <c r="S1319" i="6" s="1"/>
  <c r="BC1319" i="6" s="1"/>
  <c r="S1320" i="6" s="1"/>
  <c r="BC1320" i="6" s="1"/>
  <c r="S1321" i="6" s="1"/>
  <c r="BC1321" i="6" s="1"/>
  <c r="S1322" i="6" s="1"/>
  <c r="BC1322" i="6" s="1"/>
  <c r="S1323" i="6" s="1"/>
  <c r="BC1323" i="6" s="1"/>
  <c r="S1324" i="6" s="1"/>
  <c r="BC1324" i="6" s="1"/>
  <c r="S1325" i="6" s="1"/>
  <c r="BC1325" i="6" s="1"/>
  <c r="S1326" i="6" s="1"/>
  <c r="BC1326" i="6" s="1"/>
  <c r="S1327" i="6" s="1"/>
  <c r="BC1327" i="6" s="1"/>
  <c r="S1328" i="6" s="1"/>
  <c r="BC1328" i="6" s="1"/>
  <c r="S1329" i="6" s="1"/>
  <c r="BC1329" i="6" s="1"/>
  <c r="S1330" i="6" s="1"/>
  <c r="BC1330" i="6" s="1"/>
  <c r="S1331" i="6" s="1"/>
  <c r="BC1331" i="6" s="1"/>
  <c r="S1332" i="6" s="1"/>
  <c r="BC1332" i="6" s="1"/>
  <c r="S1333" i="6" s="1"/>
  <c r="BC1333" i="6" s="1"/>
  <c r="S1334" i="6" s="1"/>
  <c r="BC1334" i="6" s="1"/>
  <c r="S1335" i="6" s="1"/>
  <c r="BC1335" i="6" s="1"/>
  <c r="S1336" i="6" s="1"/>
  <c r="BC1336" i="6" s="1"/>
  <c r="S1337" i="6" s="1"/>
  <c r="BC1337" i="6" s="1"/>
  <c r="AT1305" i="6"/>
  <c r="AO1305" i="6"/>
  <c r="I1305" i="6"/>
  <c r="H1305" i="6"/>
  <c r="G1305" i="6"/>
  <c r="F1305" i="6"/>
  <c r="AI1305" i="6" s="1"/>
  <c r="E1305" i="6"/>
  <c r="D1305" i="6"/>
  <c r="C1305" i="6"/>
  <c r="B1305" i="6"/>
  <c r="A1305" i="6"/>
  <c r="BO1304" i="6"/>
  <c r="AT1304" i="6"/>
  <c r="AO1304" i="6"/>
  <c r="AI1304" i="6"/>
  <c r="AF1304" i="6"/>
  <c r="J1304" i="6"/>
  <c r="H1304" i="6"/>
  <c r="G1304" i="6"/>
  <c r="F1304" i="6"/>
  <c r="E1304" i="6"/>
  <c r="D1304" i="6"/>
  <c r="C1304" i="6"/>
  <c r="B1304" i="6"/>
  <c r="A1304" i="6"/>
  <c r="AT1303" i="6"/>
  <c r="AO1303" i="6"/>
  <c r="AF1303" i="6"/>
  <c r="AC1303" i="6"/>
  <c r="BM1303" i="6" s="1"/>
  <c r="AC1304" i="6" s="1"/>
  <c r="BM1304" i="6" s="1"/>
  <c r="AC1305" i="6" s="1"/>
  <c r="BM1305" i="6" s="1"/>
  <c r="U1303" i="6"/>
  <c r="H1303" i="6"/>
  <c r="G1303" i="6"/>
  <c r="AV1303" i="6" s="1"/>
  <c r="L1304" i="6" s="1"/>
  <c r="F1303" i="6"/>
  <c r="E1303" i="6"/>
  <c r="D1303" i="6"/>
  <c r="C1303" i="6"/>
  <c r="B1303" i="6"/>
  <c r="A1303" i="6"/>
  <c r="BO1302" i="6"/>
  <c r="BN1303" i="6" s="1"/>
  <c r="BO1303" i="6" s="1"/>
  <c r="BN1304" i="6" s="1"/>
  <c r="BN1302" i="6"/>
  <c r="BL1302" i="6"/>
  <c r="AB1303" i="6" s="1"/>
  <c r="BL1303" i="6" s="1"/>
  <c r="AB1304" i="6" s="1"/>
  <c r="BL1304" i="6" s="1"/>
  <c r="AB1305" i="6" s="1"/>
  <c r="BL1305" i="6" s="1"/>
  <c r="AB1306" i="6" s="1"/>
  <c r="BL1306" i="6" s="1"/>
  <c r="AB1307" i="6" s="1"/>
  <c r="BL1307" i="6" s="1"/>
  <c r="AB1308" i="6" s="1"/>
  <c r="BL1308" i="6" s="1"/>
  <c r="AB1309" i="6" s="1"/>
  <c r="BL1309" i="6" s="1"/>
  <c r="AB1310" i="6" s="1"/>
  <c r="BL1310" i="6" s="1"/>
  <c r="AB1311" i="6" s="1"/>
  <c r="BL1311" i="6" s="1"/>
  <c r="AB1312" i="6" s="1"/>
  <c r="BL1312" i="6" s="1"/>
  <c r="AB1313" i="6" s="1"/>
  <c r="BL1313" i="6" s="1"/>
  <c r="AB1314" i="6" s="1"/>
  <c r="BL1314" i="6" s="1"/>
  <c r="AB1315" i="6" s="1"/>
  <c r="BL1315" i="6" s="1"/>
  <c r="AB1316" i="6" s="1"/>
  <c r="BL1316" i="6" s="1"/>
  <c r="AB1317" i="6" s="1"/>
  <c r="BL1317" i="6" s="1"/>
  <c r="AB1318" i="6" s="1"/>
  <c r="BL1318" i="6" s="1"/>
  <c r="AB1319" i="6" s="1"/>
  <c r="BL1319" i="6" s="1"/>
  <c r="AB1320" i="6" s="1"/>
  <c r="BL1320" i="6" s="1"/>
  <c r="AB1321" i="6" s="1"/>
  <c r="BL1321" i="6" s="1"/>
  <c r="AB1322" i="6" s="1"/>
  <c r="BL1322" i="6" s="1"/>
  <c r="AB1323" i="6" s="1"/>
  <c r="BL1323" i="6" s="1"/>
  <c r="AB1324" i="6" s="1"/>
  <c r="BL1324" i="6" s="1"/>
  <c r="AB1325" i="6" s="1"/>
  <c r="BL1325" i="6" s="1"/>
  <c r="AB1326" i="6" s="1"/>
  <c r="BL1326" i="6" s="1"/>
  <c r="AB1327" i="6" s="1"/>
  <c r="BL1327" i="6" s="1"/>
  <c r="AB1328" i="6" s="1"/>
  <c r="BL1328" i="6" s="1"/>
  <c r="AB1329" i="6" s="1"/>
  <c r="BL1329" i="6" s="1"/>
  <c r="AB1330" i="6" s="1"/>
  <c r="BL1330" i="6" s="1"/>
  <c r="AB1331" i="6" s="1"/>
  <c r="BL1331" i="6" s="1"/>
  <c r="AB1332" i="6" s="1"/>
  <c r="BL1332" i="6" s="1"/>
  <c r="AB1333" i="6" s="1"/>
  <c r="BL1333" i="6" s="1"/>
  <c r="AB1334" i="6" s="1"/>
  <c r="BL1334" i="6" s="1"/>
  <c r="AB1335" i="6" s="1"/>
  <c r="BL1335" i="6" s="1"/>
  <c r="AB1336" i="6" s="1"/>
  <c r="BL1336" i="6" s="1"/>
  <c r="AB1337" i="6" s="1"/>
  <c r="BL1337" i="6" s="1"/>
  <c r="BI1302" i="6"/>
  <c r="Y1303" i="6" s="1"/>
  <c r="BI1303" i="6" s="1"/>
  <c r="Y1304" i="6" s="1"/>
  <c r="BI1304" i="6" s="1"/>
  <c r="Y1305" i="6" s="1"/>
  <c r="BI1305" i="6" s="1"/>
  <c r="Y1306" i="6" s="1"/>
  <c r="BI1306" i="6" s="1"/>
  <c r="Y1307" i="6" s="1"/>
  <c r="BI1307" i="6" s="1"/>
  <c r="BH1302" i="6"/>
  <c r="X1303" i="6" s="1"/>
  <c r="BH1303" i="6" s="1"/>
  <c r="X1304" i="6" s="1"/>
  <c r="BH1304" i="6" s="1"/>
  <c r="X1305" i="6" s="1"/>
  <c r="BH1305" i="6" s="1"/>
  <c r="X1306" i="6" s="1"/>
  <c r="BH1306" i="6" s="1"/>
  <c r="X1307" i="6" s="1"/>
  <c r="BH1307" i="6" s="1"/>
  <c r="X1308" i="6" s="1"/>
  <c r="BH1308" i="6" s="1"/>
  <c r="X1309" i="6" s="1"/>
  <c r="BH1309" i="6" s="1"/>
  <c r="X1310" i="6" s="1"/>
  <c r="BH1310" i="6" s="1"/>
  <c r="X1311" i="6" s="1"/>
  <c r="BH1311" i="6" s="1"/>
  <c r="X1312" i="6" s="1"/>
  <c r="BH1312" i="6" s="1"/>
  <c r="X1313" i="6" s="1"/>
  <c r="BH1313" i="6" s="1"/>
  <c r="X1314" i="6" s="1"/>
  <c r="BH1314" i="6" s="1"/>
  <c r="X1315" i="6" s="1"/>
  <c r="BH1315" i="6" s="1"/>
  <c r="X1316" i="6" s="1"/>
  <c r="BH1316" i="6" s="1"/>
  <c r="X1317" i="6" s="1"/>
  <c r="BH1317" i="6" s="1"/>
  <c r="X1318" i="6" s="1"/>
  <c r="BH1318" i="6" s="1"/>
  <c r="X1319" i="6" s="1"/>
  <c r="BH1319" i="6" s="1"/>
  <c r="X1320" i="6" s="1"/>
  <c r="BH1320" i="6" s="1"/>
  <c r="X1321" i="6" s="1"/>
  <c r="BH1321" i="6" s="1"/>
  <c r="X1322" i="6" s="1"/>
  <c r="BH1322" i="6" s="1"/>
  <c r="X1323" i="6" s="1"/>
  <c r="BH1323" i="6" s="1"/>
  <c r="X1324" i="6" s="1"/>
  <c r="BH1324" i="6" s="1"/>
  <c r="X1325" i="6" s="1"/>
  <c r="BH1325" i="6" s="1"/>
  <c r="X1326" i="6" s="1"/>
  <c r="BH1326" i="6" s="1"/>
  <c r="X1327" i="6" s="1"/>
  <c r="BH1327" i="6" s="1"/>
  <c r="X1328" i="6" s="1"/>
  <c r="BH1328" i="6" s="1"/>
  <c r="X1329" i="6" s="1"/>
  <c r="BH1329" i="6" s="1"/>
  <c r="X1330" i="6" s="1"/>
  <c r="BH1330" i="6" s="1"/>
  <c r="X1331" i="6" s="1"/>
  <c r="BF1302" i="6"/>
  <c r="V1303" i="6" s="1"/>
  <c r="BF1303" i="6" s="1"/>
  <c r="V1304" i="6" s="1"/>
  <c r="BF1304" i="6" s="1"/>
  <c r="V1305" i="6" s="1"/>
  <c r="BF1305" i="6" s="1"/>
  <c r="V1306" i="6" s="1"/>
  <c r="BF1306" i="6" s="1"/>
  <c r="V1307" i="6" s="1"/>
  <c r="BF1307" i="6" s="1"/>
  <c r="V1308" i="6" s="1"/>
  <c r="BF1308" i="6" s="1"/>
  <c r="V1309" i="6" s="1"/>
  <c r="BF1309" i="6" s="1"/>
  <c r="V1310" i="6" s="1"/>
  <c r="BF1310" i="6" s="1"/>
  <c r="V1311" i="6" s="1"/>
  <c r="BF1311" i="6" s="1"/>
  <c r="V1312" i="6" s="1"/>
  <c r="BF1312" i="6" s="1"/>
  <c r="V1313" i="6" s="1"/>
  <c r="BF1313" i="6" s="1"/>
  <c r="V1314" i="6" s="1"/>
  <c r="BF1314" i="6" s="1"/>
  <c r="V1315" i="6" s="1"/>
  <c r="BF1315" i="6" s="1"/>
  <c r="V1316" i="6" s="1"/>
  <c r="BF1316" i="6" s="1"/>
  <c r="V1317" i="6" s="1"/>
  <c r="BF1317" i="6" s="1"/>
  <c r="V1318" i="6" s="1"/>
  <c r="BF1318" i="6" s="1"/>
  <c r="V1319" i="6" s="1"/>
  <c r="BF1319" i="6" s="1"/>
  <c r="V1320" i="6" s="1"/>
  <c r="BF1320" i="6" s="1"/>
  <c r="V1321" i="6" s="1"/>
  <c r="BF1321" i="6" s="1"/>
  <c r="V1322" i="6" s="1"/>
  <c r="BF1322" i="6" s="1"/>
  <c r="V1323" i="6" s="1"/>
  <c r="BF1323" i="6" s="1"/>
  <c r="V1324" i="6" s="1"/>
  <c r="BF1324" i="6" s="1"/>
  <c r="V1325" i="6" s="1"/>
  <c r="BE1302" i="6"/>
  <c r="BE1303" i="6" s="1"/>
  <c r="AT1302" i="6"/>
  <c r="AO1302" i="6"/>
  <c r="AF1302" i="6"/>
  <c r="AC1302" i="6"/>
  <c r="BM1302" i="6" s="1"/>
  <c r="AB1302" i="6"/>
  <c r="AA1302" i="6"/>
  <c r="BK1302" i="6" s="1"/>
  <c r="AA1303" i="6" s="1"/>
  <c r="BK1303" i="6" s="1"/>
  <c r="AA1304" i="6" s="1"/>
  <c r="BK1304" i="6" s="1"/>
  <c r="AA1305" i="6" s="1"/>
  <c r="BK1305" i="6" s="1"/>
  <c r="AA1306" i="6" s="1"/>
  <c r="BK1306" i="6" s="1"/>
  <c r="AA1307" i="6" s="1"/>
  <c r="BK1307" i="6" s="1"/>
  <c r="AA1308" i="6" s="1"/>
  <c r="BK1308" i="6" s="1"/>
  <c r="AA1309" i="6" s="1"/>
  <c r="BK1309" i="6" s="1"/>
  <c r="AA1310" i="6" s="1"/>
  <c r="BK1310" i="6" s="1"/>
  <c r="AA1311" i="6" s="1"/>
  <c r="BK1311" i="6" s="1"/>
  <c r="AA1312" i="6" s="1"/>
  <c r="BK1312" i="6" s="1"/>
  <c r="AA1313" i="6" s="1"/>
  <c r="BK1313" i="6" s="1"/>
  <c r="AA1314" i="6" s="1"/>
  <c r="BK1314" i="6" s="1"/>
  <c r="AA1315" i="6" s="1"/>
  <c r="BK1315" i="6" s="1"/>
  <c r="AA1316" i="6" s="1"/>
  <c r="BK1316" i="6" s="1"/>
  <c r="AA1317" i="6" s="1"/>
  <c r="BK1317" i="6" s="1"/>
  <c r="AA1318" i="6" s="1"/>
  <c r="BK1318" i="6" s="1"/>
  <c r="AA1319" i="6" s="1"/>
  <c r="BK1319" i="6" s="1"/>
  <c r="AA1320" i="6" s="1"/>
  <c r="BK1320" i="6" s="1"/>
  <c r="AA1321" i="6" s="1"/>
  <c r="BK1321" i="6" s="1"/>
  <c r="AA1322" i="6" s="1"/>
  <c r="BK1322" i="6" s="1"/>
  <c r="AA1323" i="6" s="1"/>
  <c r="BK1323" i="6" s="1"/>
  <c r="AA1324" i="6" s="1"/>
  <c r="BK1324" i="6" s="1"/>
  <c r="AA1325" i="6" s="1"/>
  <c r="BK1325" i="6" s="1"/>
  <c r="AA1326" i="6" s="1"/>
  <c r="BK1326" i="6" s="1"/>
  <c r="AA1327" i="6" s="1"/>
  <c r="BK1327" i="6" s="1"/>
  <c r="AA1328" i="6" s="1"/>
  <c r="BK1328" i="6" s="1"/>
  <c r="AA1329" i="6" s="1"/>
  <c r="BK1329" i="6" s="1"/>
  <c r="AA1330" i="6" s="1"/>
  <c r="BK1330" i="6" s="1"/>
  <c r="AA1331" i="6" s="1"/>
  <c r="BK1331" i="6" s="1"/>
  <c r="AA1332" i="6" s="1"/>
  <c r="BK1332" i="6" s="1"/>
  <c r="AA1333" i="6" s="1"/>
  <c r="BK1333" i="6" s="1"/>
  <c r="AA1334" i="6" s="1"/>
  <c r="BK1334" i="6" s="1"/>
  <c r="AA1335" i="6" s="1"/>
  <c r="BK1335" i="6" s="1"/>
  <c r="AA1336" i="6" s="1"/>
  <c r="BK1336" i="6" s="1"/>
  <c r="AA1337" i="6" s="1"/>
  <c r="BK1337" i="6" s="1"/>
  <c r="Z1302" i="6"/>
  <c r="BJ1302" i="6" s="1"/>
  <c r="Z1303" i="6" s="1"/>
  <c r="BJ1303" i="6" s="1"/>
  <c r="Z1304" i="6" s="1"/>
  <c r="BJ1304" i="6" s="1"/>
  <c r="Z1305" i="6" s="1"/>
  <c r="BJ1305" i="6" s="1"/>
  <c r="Z1306" i="6" s="1"/>
  <c r="BJ1306" i="6" s="1"/>
  <c r="Z1307" i="6" s="1"/>
  <c r="BJ1307" i="6" s="1"/>
  <c r="Z1308" i="6" s="1"/>
  <c r="BJ1308" i="6" s="1"/>
  <c r="Z1309" i="6" s="1"/>
  <c r="BJ1309" i="6" s="1"/>
  <c r="Z1310" i="6" s="1"/>
  <c r="BJ1310" i="6" s="1"/>
  <c r="Z1311" i="6" s="1"/>
  <c r="BJ1311" i="6" s="1"/>
  <c r="Z1312" i="6" s="1"/>
  <c r="BJ1312" i="6" s="1"/>
  <c r="Z1313" i="6" s="1"/>
  <c r="BJ1313" i="6" s="1"/>
  <c r="Z1314" i="6" s="1"/>
  <c r="BJ1314" i="6" s="1"/>
  <c r="Z1315" i="6" s="1"/>
  <c r="BJ1315" i="6" s="1"/>
  <c r="Z1316" i="6" s="1"/>
  <c r="BJ1316" i="6" s="1"/>
  <c r="Z1317" i="6" s="1"/>
  <c r="BJ1317" i="6" s="1"/>
  <c r="Z1318" i="6" s="1"/>
  <c r="BJ1318" i="6" s="1"/>
  <c r="Z1319" i="6" s="1"/>
  <c r="BJ1319" i="6" s="1"/>
  <c r="Z1320" i="6" s="1"/>
  <c r="BJ1320" i="6" s="1"/>
  <c r="Z1321" i="6" s="1"/>
  <c r="BJ1321" i="6" s="1"/>
  <c r="Z1322" i="6" s="1"/>
  <c r="BJ1322" i="6" s="1"/>
  <c r="Z1323" i="6" s="1"/>
  <c r="BJ1323" i="6" s="1"/>
  <c r="Z1324" i="6" s="1"/>
  <c r="BJ1324" i="6" s="1"/>
  <c r="Z1325" i="6" s="1"/>
  <c r="BJ1325" i="6" s="1"/>
  <c r="Z1326" i="6" s="1"/>
  <c r="BJ1326" i="6" s="1"/>
  <c r="Z1327" i="6" s="1"/>
  <c r="BJ1327" i="6" s="1"/>
  <c r="Z1328" i="6" s="1"/>
  <c r="BJ1328" i="6" s="1"/>
  <c r="Z1329" i="6" s="1"/>
  <c r="BJ1329" i="6" s="1"/>
  <c r="Z1330" i="6" s="1"/>
  <c r="BJ1330" i="6" s="1"/>
  <c r="Z1331" i="6" s="1"/>
  <c r="BJ1331" i="6" s="1"/>
  <c r="Z1332" i="6" s="1"/>
  <c r="BJ1332" i="6" s="1"/>
  <c r="Z1333" i="6" s="1"/>
  <c r="BJ1333" i="6" s="1"/>
  <c r="Z1334" i="6" s="1"/>
  <c r="BJ1334" i="6" s="1"/>
  <c r="Z1335" i="6" s="1"/>
  <c r="BJ1335" i="6" s="1"/>
  <c r="Z1336" i="6" s="1"/>
  <c r="BJ1336" i="6" s="1"/>
  <c r="Z1337" i="6" s="1"/>
  <c r="BJ1337" i="6" s="1"/>
  <c r="Y1302" i="6"/>
  <c r="X1302" i="6"/>
  <c r="W1302" i="6"/>
  <c r="BG1302" i="6" s="1"/>
  <c r="W1303" i="6" s="1"/>
  <c r="BG1303" i="6" s="1"/>
  <c r="W1304" i="6" s="1"/>
  <c r="BG1304" i="6" s="1"/>
  <c r="W1305" i="6" s="1"/>
  <c r="BG1305" i="6" s="1"/>
  <c r="W1306" i="6" s="1"/>
  <c r="BG1306" i="6" s="1"/>
  <c r="W1307" i="6" s="1"/>
  <c r="V1302" i="6"/>
  <c r="U1302" i="6"/>
  <c r="T1302" i="6"/>
  <c r="BD1302" i="6" s="1"/>
  <c r="T1303" i="6" s="1"/>
  <c r="BD1303" i="6" s="1"/>
  <c r="T1304" i="6" s="1"/>
  <c r="BD1304" i="6" s="1"/>
  <c r="T1305" i="6" s="1"/>
  <c r="BD1305" i="6" s="1"/>
  <c r="T1306" i="6" s="1"/>
  <c r="S1302" i="6"/>
  <c r="BC1302" i="6" s="1"/>
  <c r="S1303" i="6" s="1"/>
  <c r="BC1303" i="6" s="1"/>
  <c r="S1304" i="6" s="1"/>
  <c r="BC1304" i="6" s="1"/>
  <c r="S1305" i="6" s="1"/>
  <c r="R1302" i="6"/>
  <c r="BB1302" i="6" s="1"/>
  <c r="R1303" i="6" s="1"/>
  <c r="BB1303" i="6" s="1"/>
  <c r="R1304" i="6" s="1"/>
  <c r="BB1304" i="6" s="1"/>
  <c r="R1305" i="6" s="1"/>
  <c r="BB1305" i="6" s="1"/>
  <c r="R1306" i="6" s="1"/>
  <c r="BB1306" i="6" s="1"/>
  <c r="R1307" i="6" s="1"/>
  <c r="BB1307" i="6" s="1"/>
  <c r="R1308" i="6" s="1"/>
  <c r="BB1308" i="6" s="1"/>
  <c r="R1309" i="6" s="1"/>
  <c r="BB1309" i="6" s="1"/>
  <c r="R1310" i="6" s="1"/>
  <c r="BB1310" i="6" s="1"/>
  <c r="R1311" i="6" s="1"/>
  <c r="BB1311" i="6" s="1"/>
  <c r="R1312" i="6" s="1"/>
  <c r="BB1312" i="6" s="1"/>
  <c r="R1313" i="6" s="1"/>
  <c r="BB1313" i="6" s="1"/>
  <c r="R1314" i="6" s="1"/>
  <c r="BB1314" i="6" s="1"/>
  <c r="R1315" i="6" s="1"/>
  <c r="BB1315" i="6" s="1"/>
  <c r="R1316" i="6" s="1"/>
  <c r="BB1316" i="6" s="1"/>
  <c r="R1317" i="6" s="1"/>
  <c r="BB1317" i="6" s="1"/>
  <c r="R1318" i="6" s="1"/>
  <c r="BB1318" i="6" s="1"/>
  <c r="R1319" i="6" s="1"/>
  <c r="BB1319" i="6" s="1"/>
  <c r="R1320" i="6" s="1"/>
  <c r="BB1320" i="6" s="1"/>
  <c r="R1321" i="6" s="1"/>
  <c r="BB1321" i="6" s="1"/>
  <c r="R1322" i="6" s="1"/>
  <c r="BB1322" i="6" s="1"/>
  <c r="R1323" i="6" s="1"/>
  <c r="BB1323" i="6" s="1"/>
  <c r="R1324" i="6" s="1"/>
  <c r="BB1324" i="6" s="1"/>
  <c r="R1325" i="6" s="1"/>
  <c r="BB1325" i="6" s="1"/>
  <c r="R1326" i="6" s="1"/>
  <c r="BB1326" i="6" s="1"/>
  <c r="R1327" i="6" s="1"/>
  <c r="BB1327" i="6" s="1"/>
  <c r="R1328" i="6" s="1"/>
  <c r="BB1328" i="6" s="1"/>
  <c r="R1329" i="6" s="1"/>
  <c r="BB1329" i="6" s="1"/>
  <c r="R1330" i="6" s="1"/>
  <c r="BB1330" i="6" s="1"/>
  <c r="R1331" i="6" s="1"/>
  <c r="BB1331" i="6" s="1"/>
  <c r="R1332" i="6" s="1"/>
  <c r="BB1332" i="6" s="1"/>
  <c r="R1333" i="6" s="1"/>
  <c r="BB1333" i="6" s="1"/>
  <c r="R1334" i="6" s="1"/>
  <c r="BB1334" i="6" s="1"/>
  <c r="R1335" i="6" s="1"/>
  <c r="BB1335" i="6" s="1"/>
  <c r="R1336" i="6" s="1"/>
  <c r="BB1336" i="6" s="1"/>
  <c r="R1337" i="6" s="1"/>
  <c r="BB1337" i="6" s="1"/>
  <c r="Q1302" i="6"/>
  <c r="BA1302" i="6" s="1"/>
  <c r="Q1303" i="6" s="1"/>
  <c r="BA1303" i="6" s="1"/>
  <c r="Q1304" i="6" s="1"/>
  <c r="BA1304" i="6" s="1"/>
  <c r="Q1305" i="6" s="1"/>
  <c r="BA1305" i="6" s="1"/>
  <c r="Q1306" i="6" s="1"/>
  <c r="BA1306" i="6" s="1"/>
  <c r="Q1307" i="6" s="1"/>
  <c r="O1302" i="6"/>
  <c r="AY1302" i="6" s="1"/>
  <c r="O1303" i="6" s="1"/>
  <c r="AY1303" i="6" s="1"/>
  <c r="O1304" i="6" s="1"/>
  <c r="AY1304" i="6" s="1"/>
  <c r="O1305" i="6" s="1"/>
  <c r="AY1305" i="6" s="1"/>
  <c r="O1306" i="6" s="1"/>
  <c r="AY1306" i="6" s="1"/>
  <c r="O1307" i="6" s="1"/>
  <c r="AY1307" i="6" s="1"/>
  <c r="O1308" i="6" s="1"/>
  <c r="AY1308" i="6" s="1"/>
  <c r="O1309" i="6" s="1"/>
  <c r="AY1309" i="6" s="1"/>
  <c r="O1310" i="6" s="1"/>
  <c r="AY1310" i="6" s="1"/>
  <c r="O1311" i="6" s="1"/>
  <c r="AY1311" i="6" s="1"/>
  <c r="O1312" i="6" s="1"/>
  <c r="AY1312" i="6" s="1"/>
  <c r="O1313" i="6" s="1"/>
  <c r="AY1313" i="6" s="1"/>
  <c r="O1314" i="6" s="1"/>
  <c r="AY1314" i="6" s="1"/>
  <c r="O1315" i="6" s="1"/>
  <c r="AY1315" i="6" s="1"/>
  <c r="O1316" i="6" s="1"/>
  <c r="AY1316" i="6" s="1"/>
  <c r="O1317" i="6" s="1"/>
  <c r="AY1317" i="6" s="1"/>
  <c r="O1318" i="6" s="1"/>
  <c r="AY1318" i="6" s="1"/>
  <c r="O1319" i="6" s="1"/>
  <c r="AY1319" i="6" s="1"/>
  <c r="O1320" i="6" s="1"/>
  <c r="AY1320" i="6" s="1"/>
  <c r="O1321" i="6" s="1"/>
  <c r="AY1321" i="6" s="1"/>
  <c r="O1322" i="6" s="1"/>
  <c r="AY1322" i="6" s="1"/>
  <c r="O1323" i="6" s="1"/>
  <c r="AY1323" i="6" s="1"/>
  <c r="O1324" i="6" s="1"/>
  <c r="AY1324" i="6" s="1"/>
  <c r="O1325" i="6" s="1"/>
  <c r="AY1325" i="6" s="1"/>
  <c r="O1326" i="6" s="1"/>
  <c r="AY1326" i="6" s="1"/>
  <c r="O1327" i="6" s="1"/>
  <c r="AY1327" i="6" s="1"/>
  <c r="O1328" i="6" s="1"/>
  <c r="AY1328" i="6" s="1"/>
  <c r="O1329" i="6" s="1"/>
  <c r="AY1329" i="6" s="1"/>
  <c r="O1330" i="6" s="1"/>
  <c r="AY1330" i="6" s="1"/>
  <c r="O1331" i="6" s="1"/>
  <c r="AY1331" i="6" s="1"/>
  <c r="O1332" i="6" s="1"/>
  <c r="AY1332" i="6" s="1"/>
  <c r="O1333" i="6" s="1"/>
  <c r="AY1333" i="6" s="1"/>
  <c r="O1334" i="6" s="1"/>
  <c r="AY1334" i="6" s="1"/>
  <c r="O1335" i="6" s="1"/>
  <c r="AY1335" i="6" s="1"/>
  <c r="O1336" i="6" s="1"/>
  <c r="AY1336" i="6" s="1"/>
  <c r="O1337" i="6" s="1"/>
  <c r="AY1337" i="6" s="1"/>
  <c r="N1302" i="6"/>
  <c r="AX1302" i="6" s="1"/>
  <c r="N1303" i="6" s="1"/>
  <c r="AX1303" i="6" s="1"/>
  <c r="N1304" i="6" s="1"/>
  <c r="AX1304" i="6" s="1"/>
  <c r="N1305" i="6" s="1"/>
  <c r="AX1305" i="6" s="1"/>
  <c r="N1306" i="6" s="1"/>
  <c r="AX1306" i="6" s="1"/>
  <c r="N1307" i="6" s="1"/>
  <c r="AX1307" i="6" s="1"/>
  <c r="N1308" i="6" s="1"/>
  <c r="AX1308" i="6" s="1"/>
  <c r="M1302" i="6"/>
  <c r="AW1302" i="6" s="1"/>
  <c r="M1303" i="6" s="1"/>
  <c r="AW1303" i="6" s="1"/>
  <c r="M1304" i="6" s="1"/>
  <c r="L1302" i="6"/>
  <c r="J1302" i="6"/>
  <c r="H1302" i="6"/>
  <c r="G1302" i="6"/>
  <c r="AV1302" i="6" s="1"/>
  <c r="L1303" i="6" s="1"/>
  <c r="F1302" i="6"/>
  <c r="E1302" i="6"/>
  <c r="D1302" i="6"/>
  <c r="C1302" i="6"/>
  <c r="B1302" i="6"/>
  <c r="A1302" i="6"/>
  <c r="AO1301" i="6"/>
  <c r="AE1301" i="6"/>
  <c r="K1301" i="6"/>
  <c r="J1301" i="6"/>
  <c r="I1301" i="6"/>
  <c r="H1301" i="6"/>
  <c r="G1301" i="6"/>
  <c r="F1301" i="6"/>
  <c r="E1301" i="6"/>
  <c r="D1301" i="6"/>
  <c r="C1301" i="6"/>
  <c r="B1301" i="6"/>
  <c r="A1301" i="6"/>
  <c r="AO1300" i="6"/>
  <c r="AE1300" i="6"/>
  <c r="J1300" i="6"/>
  <c r="I1300" i="6"/>
  <c r="H1300" i="6"/>
  <c r="G1300" i="6"/>
  <c r="F1300" i="6"/>
  <c r="E1300" i="6"/>
  <c r="D1300" i="6"/>
  <c r="C1300" i="6"/>
  <c r="B1300" i="6"/>
  <c r="A1300" i="6"/>
  <c r="AO1299" i="6"/>
  <c r="AI1299" i="6"/>
  <c r="AE1299" i="6"/>
  <c r="K1299" i="6"/>
  <c r="J1299" i="6"/>
  <c r="I1299" i="6"/>
  <c r="H1299" i="6"/>
  <c r="G1299" i="6"/>
  <c r="F1299" i="6"/>
  <c r="E1299" i="6"/>
  <c r="D1299" i="6"/>
  <c r="C1299" i="6"/>
  <c r="B1299" i="6"/>
  <c r="A1299" i="6"/>
  <c r="AO1298" i="6"/>
  <c r="I1298" i="6"/>
  <c r="H1298" i="6"/>
  <c r="G1298" i="6"/>
  <c r="F1298" i="6"/>
  <c r="E1298" i="6"/>
  <c r="D1298" i="6"/>
  <c r="C1298" i="6"/>
  <c r="B1298" i="6"/>
  <c r="A1298" i="6"/>
  <c r="AO1297" i="6"/>
  <c r="AE1297" i="6"/>
  <c r="H1297" i="6"/>
  <c r="G1297" i="6"/>
  <c r="F1297" i="6"/>
  <c r="E1297" i="6"/>
  <c r="D1297" i="6"/>
  <c r="C1297" i="6"/>
  <c r="B1297" i="6"/>
  <c r="A1297" i="6"/>
  <c r="AO1296" i="6"/>
  <c r="AI1296" i="6"/>
  <c r="AE1296" i="6"/>
  <c r="K1296" i="6"/>
  <c r="H1296" i="6"/>
  <c r="G1296" i="6"/>
  <c r="F1296" i="6"/>
  <c r="J1296" i="6" s="1"/>
  <c r="E1296" i="6"/>
  <c r="D1296" i="6"/>
  <c r="C1296" i="6"/>
  <c r="B1296" i="6"/>
  <c r="A1296" i="6"/>
  <c r="AO1295" i="6"/>
  <c r="I1295" i="6"/>
  <c r="H1295" i="6"/>
  <c r="G1295" i="6"/>
  <c r="F1295" i="6"/>
  <c r="E1295" i="6"/>
  <c r="D1295" i="6"/>
  <c r="C1295" i="6"/>
  <c r="B1295" i="6"/>
  <c r="A1295" i="6"/>
  <c r="AO1294" i="6"/>
  <c r="J1294" i="6"/>
  <c r="I1294" i="6"/>
  <c r="H1294" i="6"/>
  <c r="G1294" i="6"/>
  <c r="F1294" i="6"/>
  <c r="AI1294" i="6" s="1"/>
  <c r="E1294" i="6"/>
  <c r="D1294" i="6"/>
  <c r="C1294" i="6"/>
  <c r="B1294" i="6"/>
  <c r="A1294" i="6"/>
  <c r="AO1293" i="6"/>
  <c r="AI1293" i="6"/>
  <c r="AE1293" i="6"/>
  <c r="K1293" i="6"/>
  <c r="J1293" i="6"/>
  <c r="I1293" i="6"/>
  <c r="H1293" i="6"/>
  <c r="G1293" i="6"/>
  <c r="F1293" i="6"/>
  <c r="E1293" i="6"/>
  <c r="D1293" i="6"/>
  <c r="C1293" i="6"/>
  <c r="B1293" i="6"/>
  <c r="A1293" i="6"/>
  <c r="AO1292" i="6"/>
  <c r="H1292" i="6"/>
  <c r="G1292" i="6"/>
  <c r="F1292" i="6"/>
  <c r="E1292" i="6"/>
  <c r="D1292" i="6"/>
  <c r="C1292" i="6"/>
  <c r="B1292" i="6"/>
  <c r="A1292" i="6"/>
  <c r="AO1291" i="6"/>
  <c r="H1291" i="6"/>
  <c r="G1291" i="6"/>
  <c r="F1291" i="6"/>
  <c r="AE1291" i="6" s="1"/>
  <c r="E1291" i="6"/>
  <c r="D1291" i="6"/>
  <c r="C1291" i="6"/>
  <c r="B1291" i="6"/>
  <c r="A1291" i="6"/>
  <c r="AO1290" i="6"/>
  <c r="AE1290" i="6"/>
  <c r="H1290" i="6"/>
  <c r="G1290" i="6"/>
  <c r="F1290" i="6"/>
  <c r="AI1290" i="6" s="1"/>
  <c r="E1290" i="6"/>
  <c r="D1290" i="6"/>
  <c r="C1290" i="6"/>
  <c r="B1290" i="6"/>
  <c r="A1290" i="6"/>
  <c r="AO1289" i="6"/>
  <c r="AE1289" i="6"/>
  <c r="K1289" i="6"/>
  <c r="I1289" i="6"/>
  <c r="H1289" i="6"/>
  <c r="G1289" i="6"/>
  <c r="F1289" i="6"/>
  <c r="AI1289" i="6" s="1"/>
  <c r="E1289" i="6"/>
  <c r="D1289" i="6"/>
  <c r="C1289" i="6"/>
  <c r="B1289" i="6"/>
  <c r="A1289" i="6"/>
  <c r="AT1288" i="6"/>
  <c r="AE1288" i="6"/>
  <c r="J1288" i="6"/>
  <c r="I1288" i="6"/>
  <c r="H1288" i="6"/>
  <c r="G1288" i="6"/>
  <c r="F1288" i="6"/>
  <c r="E1288" i="6"/>
  <c r="D1288" i="6"/>
  <c r="C1288" i="6"/>
  <c r="B1288" i="6"/>
  <c r="A1288" i="6"/>
  <c r="AT1287" i="6"/>
  <c r="AO1287" i="6"/>
  <c r="AE1287" i="6"/>
  <c r="K1287" i="6"/>
  <c r="J1287" i="6"/>
  <c r="I1287" i="6"/>
  <c r="H1287" i="6"/>
  <c r="G1287" i="6"/>
  <c r="F1287" i="6"/>
  <c r="E1287" i="6"/>
  <c r="D1287" i="6"/>
  <c r="C1287" i="6"/>
  <c r="B1287" i="6"/>
  <c r="A1287" i="6"/>
  <c r="BM1286" i="6"/>
  <c r="AC1287" i="6" s="1"/>
  <c r="BM1287" i="6" s="1"/>
  <c r="AC1288" i="6" s="1"/>
  <c r="BM1288" i="6" s="1"/>
  <c r="AC1289" i="6" s="1"/>
  <c r="BM1289" i="6" s="1"/>
  <c r="AC1290" i="6" s="1"/>
  <c r="BM1290" i="6" s="1"/>
  <c r="AC1291" i="6" s="1"/>
  <c r="BM1291" i="6" s="1"/>
  <c r="AC1292" i="6" s="1"/>
  <c r="BM1292" i="6" s="1"/>
  <c r="AC1293" i="6" s="1"/>
  <c r="BM1293" i="6" s="1"/>
  <c r="AC1294" i="6" s="1"/>
  <c r="BM1294" i="6" s="1"/>
  <c r="AC1295" i="6" s="1"/>
  <c r="BM1295" i="6" s="1"/>
  <c r="AC1296" i="6" s="1"/>
  <c r="BM1296" i="6" s="1"/>
  <c r="AC1297" i="6" s="1"/>
  <c r="BM1297" i="6" s="1"/>
  <c r="AC1298" i="6" s="1"/>
  <c r="BM1298" i="6" s="1"/>
  <c r="AC1299" i="6" s="1"/>
  <c r="BM1299" i="6" s="1"/>
  <c r="AC1300" i="6" s="1"/>
  <c r="BM1300" i="6" s="1"/>
  <c r="AC1301" i="6" s="1"/>
  <c r="BM1301" i="6" s="1"/>
  <c r="AT1286" i="6"/>
  <c r="AO1286" i="6"/>
  <c r="AI1286" i="6"/>
  <c r="I1286" i="6"/>
  <c r="H1286" i="6"/>
  <c r="G1286" i="6"/>
  <c r="F1286" i="6"/>
  <c r="K1286" i="6" s="1"/>
  <c r="E1286" i="6"/>
  <c r="D1286" i="6"/>
  <c r="C1286" i="6"/>
  <c r="B1286" i="6"/>
  <c r="A1286" i="6"/>
  <c r="AT1285" i="6"/>
  <c r="AO1285" i="6"/>
  <c r="H1285" i="6"/>
  <c r="G1285" i="6"/>
  <c r="F1285" i="6"/>
  <c r="E1285" i="6"/>
  <c r="D1285" i="6"/>
  <c r="C1285" i="6"/>
  <c r="B1285" i="6"/>
  <c r="A1285" i="6"/>
  <c r="AT1284" i="6"/>
  <c r="AO1284" i="6"/>
  <c r="H1284" i="6"/>
  <c r="G1284" i="6"/>
  <c r="F1284" i="6"/>
  <c r="E1284" i="6"/>
  <c r="D1284" i="6"/>
  <c r="C1284" i="6"/>
  <c r="B1284" i="6"/>
  <c r="A1284" i="6"/>
  <c r="AT1283" i="6"/>
  <c r="AO1283" i="6"/>
  <c r="AF1283" i="6"/>
  <c r="I1283" i="6"/>
  <c r="H1283" i="6"/>
  <c r="G1283" i="6"/>
  <c r="F1283" i="6"/>
  <c r="E1283" i="6"/>
  <c r="D1283" i="6"/>
  <c r="C1283" i="6"/>
  <c r="B1283" i="6"/>
  <c r="A1283" i="6"/>
  <c r="AT1282" i="6"/>
  <c r="AI1282" i="6"/>
  <c r="K1282" i="6"/>
  <c r="J1282" i="6"/>
  <c r="I1282" i="6"/>
  <c r="H1282" i="6"/>
  <c r="G1282" i="6"/>
  <c r="F1282" i="6"/>
  <c r="AE1282" i="6" s="1"/>
  <c r="E1282" i="6"/>
  <c r="D1282" i="6"/>
  <c r="C1282" i="6"/>
  <c r="B1282" i="6"/>
  <c r="A1282" i="6"/>
  <c r="AT1281" i="6"/>
  <c r="AO1281" i="6"/>
  <c r="AI1281" i="6"/>
  <c r="AF1281" i="6"/>
  <c r="K1281" i="6"/>
  <c r="J1281" i="6"/>
  <c r="H1281" i="6"/>
  <c r="G1281" i="6"/>
  <c r="F1281" i="6"/>
  <c r="E1281" i="6"/>
  <c r="D1281" i="6"/>
  <c r="C1281" i="6"/>
  <c r="B1281" i="6"/>
  <c r="A1281" i="6"/>
  <c r="AT1280" i="6"/>
  <c r="AO1280" i="6"/>
  <c r="AF1280" i="6"/>
  <c r="H1280" i="6"/>
  <c r="G1280" i="6"/>
  <c r="F1280" i="6"/>
  <c r="E1280" i="6"/>
  <c r="D1280" i="6"/>
  <c r="C1280" i="6"/>
  <c r="B1280" i="6"/>
  <c r="A1280" i="6"/>
  <c r="AT1279" i="6"/>
  <c r="AO1279" i="6"/>
  <c r="AF1279" i="6"/>
  <c r="AE1279" i="6"/>
  <c r="J1279" i="6"/>
  <c r="H1279" i="6"/>
  <c r="G1279" i="6"/>
  <c r="F1279" i="6"/>
  <c r="E1279" i="6"/>
  <c r="D1279" i="6"/>
  <c r="C1279" i="6"/>
  <c r="B1279" i="6"/>
  <c r="A1279" i="6"/>
  <c r="AT1278" i="6"/>
  <c r="AO1278" i="6"/>
  <c r="AE1278" i="6"/>
  <c r="J1278" i="6"/>
  <c r="I1278" i="6"/>
  <c r="H1278" i="6"/>
  <c r="G1278" i="6"/>
  <c r="F1278" i="6"/>
  <c r="E1278" i="6"/>
  <c r="D1278" i="6"/>
  <c r="C1278" i="6"/>
  <c r="B1278" i="6"/>
  <c r="A1278" i="6"/>
  <c r="AT1277" i="6"/>
  <c r="AE1277" i="6"/>
  <c r="J1277" i="6"/>
  <c r="I1277" i="6"/>
  <c r="H1277" i="6"/>
  <c r="G1277" i="6"/>
  <c r="F1277" i="6"/>
  <c r="E1277" i="6"/>
  <c r="D1277" i="6"/>
  <c r="C1277" i="6"/>
  <c r="B1277" i="6"/>
  <c r="A1277" i="6"/>
  <c r="AT1276" i="6"/>
  <c r="AI1276" i="6"/>
  <c r="AE1276" i="6"/>
  <c r="K1276" i="6"/>
  <c r="J1276" i="6"/>
  <c r="I1276" i="6"/>
  <c r="H1276" i="6"/>
  <c r="G1276" i="6"/>
  <c r="F1276" i="6"/>
  <c r="E1276" i="6"/>
  <c r="D1276" i="6"/>
  <c r="C1276" i="6"/>
  <c r="B1276" i="6"/>
  <c r="A1276" i="6"/>
  <c r="AT1275" i="6"/>
  <c r="AO1275" i="6"/>
  <c r="AE1275" i="6"/>
  <c r="J1275" i="6"/>
  <c r="I1275" i="6"/>
  <c r="H1275" i="6"/>
  <c r="AF1275" i="6" s="1"/>
  <c r="G1275" i="6"/>
  <c r="AI1275" i="6" s="1"/>
  <c r="F1275" i="6"/>
  <c r="K1275" i="6" s="1"/>
  <c r="E1275" i="6"/>
  <c r="D1275" i="6"/>
  <c r="C1275" i="6"/>
  <c r="B1275" i="6"/>
  <c r="A1275" i="6"/>
  <c r="AT1274" i="6"/>
  <c r="AO1274" i="6"/>
  <c r="AE1274" i="6"/>
  <c r="K1274" i="6"/>
  <c r="J1274" i="6"/>
  <c r="I1274" i="6"/>
  <c r="H1274" i="6"/>
  <c r="G1274" i="6"/>
  <c r="F1274" i="6"/>
  <c r="E1274" i="6"/>
  <c r="D1274" i="6"/>
  <c r="C1274" i="6"/>
  <c r="B1274" i="6"/>
  <c r="A1274" i="6"/>
  <c r="AT1273" i="6"/>
  <c r="AO1273" i="6"/>
  <c r="AI1273" i="6"/>
  <c r="AF1273" i="6"/>
  <c r="K1273" i="6"/>
  <c r="J1273" i="6"/>
  <c r="I1273" i="6"/>
  <c r="H1273" i="6"/>
  <c r="G1273" i="6"/>
  <c r="F1273" i="6"/>
  <c r="AE1273" i="6" s="1"/>
  <c r="E1273" i="6"/>
  <c r="D1273" i="6"/>
  <c r="C1273" i="6"/>
  <c r="B1273" i="6"/>
  <c r="A1273" i="6"/>
  <c r="AT1272" i="6"/>
  <c r="AO1272" i="6"/>
  <c r="J1272" i="6"/>
  <c r="I1272" i="6"/>
  <c r="H1272" i="6"/>
  <c r="AF1272" i="6" s="1"/>
  <c r="G1272" i="6"/>
  <c r="F1272" i="6"/>
  <c r="AE1272" i="6" s="1"/>
  <c r="E1272" i="6"/>
  <c r="D1272" i="6"/>
  <c r="C1272" i="6"/>
  <c r="B1272" i="6"/>
  <c r="A1272" i="6"/>
  <c r="BA1271" i="6"/>
  <c r="Q1272" i="6" s="1"/>
  <c r="AT1271" i="6"/>
  <c r="AE1271" i="6"/>
  <c r="K1271" i="6"/>
  <c r="J1271" i="6"/>
  <c r="I1271" i="6"/>
  <c r="H1271" i="6"/>
  <c r="G1271" i="6"/>
  <c r="F1271" i="6"/>
  <c r="E1271" i="6"/>
  <c r="D1271" i="6"/>
  <c r="C1271" i="6"/>
  <c r="B1271" i="6"/>
  <c r="A1271" i="6"/>
  <c r="AT1270" i="6"/>
  <c r="AI1270" i="6"/>
  <c r="AE1270" i="6"/>
  <c r="K1270" i="6"/>
  <c r="H1270" i="6"/>
  <c r="G1270" i="6"/>
  <c r="F1270" i="6"/>
  <c r="E1270" i="6"/>
  <c r="D1270" i="6"/>
  <c r="C1270" i="6"/>
  <c r="B1270" i="6"/>
  <c r="A1270" i="6"/>
  <c r="BO1269" i="6"/>
  <c r="BN1270" i="6" s="1"/>
  <c r="BO1270" i="6" s="1"/>
  <c r="BN1271" i="6" s="1"/>
  <c r="BO1271" i="6" s="1"/>
  <c r="BN1272" i="6" s="1"/>
  <c r="BO1272" i="6" s="1"/>
  <c r="BN1273" i="6" s="1"/>
  <c r="BO1273" i="6" s="1"/>
  <c r="BN1274" i="6" s="1"/>
  <c r="BO1274" i="6" s="1"/>
  <c r="BN1275" i="6" s="1"/>
  <c r="BO1275" i="6" s="1"/>
  <c r="BN1276" i="6" s="1"/>
  <c r="BO1276" i="6" s="1"/>
  <c r="BN1277" i="6" s="1"/>
  <c r="BO1277" i="6" s="1"/>
  <c r="BN1278" i="6" s="1"/>
  <c r="BO1278" i="6" s="1"/>
  <c r="BN1279" i="6" s="1"/>
  <c r="BO1279" i="6" s="1"/>
  <c r="BN1280" i="6" s="1"/>
  <c r="BO1280" i="6" s="1"/>
  <c r="BN1281" i="6" s="1"/>
  <c r="BO1281" i="6" s="1"/>
  <c r="BN1282" i="6" s="1"/>
  <c r="BN1269" i="6"/>
  <c r="BC1269" i="6"/>
  <c r="S1270" i="6" s="1"/>
  <c r="BC1270" i="6" s="1"/>
  <c r="S1271" i="6" s="1"/>
  <c r="BC1271" i="6" s="1"/>
  <c r="S1272" i="6" s="1"/>
  <c r="BC1272" i="6" s="1"/>
  <c r="S1273" i="6" s="1"/>
  <c r="BC1273" i="6" s="1"/>
  <c r="S1274" i="6" s="1"/>
  <c r="BC1274" i="6" s="1"/>
  <c r="S1275" i="6" s="1"/>
  <c r="BC1275" i="6" s="1"/>
  <c r="S1276" i="6" s="1"/>
  <c r="BC1276" i="6" s="1"/>
  <c r="S1277" i="6" s="1"/>
  <c r="BC1277" i="6" s="1"/>
  <c r="S1278" i="6" s="1"/>
  <c r="BC1278" i="6" s="1"/>
  <c r="S1279" i="6" s="1"/>
  <c r="BC1279" i="6" s="1"/>
  <c r="S1280" i="6" s="1"/>
  <c r="BC1280" i="6" s="1"/>
  <c r="S1281" i="6" s="1"/>
  <c r="BC1281" i="6" s="1"/>
  <c r="S1282" i="6" s="1"/>
  <c r="BC1282" i="6" s="1"/>
  <c r="S1283" i="6" s="1"/>
  <c r="BC1283" i="6" s="1"/>
  <c r="S1284" i="6" s="1"/>
  <c r="BC1284" i="6" s="1"/>
  <c r="S1285" i="6" s="1"/>
  <c r="BC1285" i="6" s="1"/>
  <c r="S1286" i="6" s="1"/>
  <c r="BC1286" i="6" s="1"/>
  <c r="S1287" i="6" s="1"/>
  <c r="BC1287" i="6" s="1"/>
  <c r="S1288" i="6" s="1"/>
  <c r="BC1288" i="6" s="1"/>
  <c r="S1289" i="6" s="1"/>
  <c r="BC1289" i="6" s="1"/>
  <c r="S1290" i="6" s="1"/>
  <c r="BC1290" i="6" s="1"/>
  <c r="S1291" i="6" s="1"/>
  <c r="BC1291" i="6" s="1"/>
  <c r="S1292" i="6" s="1"/>
  <c r="BC1292" i="6" s="1"/>
  <c r="S1293" i="6" s="1"/>
  <c r="BC1293" i="6" s="1"/>
  <c r="S1294" i="6" s="1"/>
  <c r="BC1294" i="6" s="1"/>
  <c r="S1295" i="6" s="1"/>
  <c r="BC1295" i="6" s="1"/>
  <c r="S1296" i="6" s="1"/>
  <c r="BC1296" i="6" s="1"/>
  <c r="S1297" i="6" s="1"/>
  <c r="BC1297" i="6" s="1"/>
  <c r="S1298" i="6" s="1"/>
  <c r="BC1298" i="6" s="1"/>
  <c r="S1299" i="6" s="1"/>
  <c r="BC1299" i="6" s="1"/>
  <c r="S1300" i="6" s="1"/>
  <c r="BC1300" i="6" s="1"/>
  <c r="S1301" i="6" s="1"/>
  <c r="BC1301" i="6" s="1"/>
  <c r="AT1269" i="6"/>
  <c r="AO1269" i="6"/>
  <c r="AE1269" i="6"/>
  <c r="S1269" i="6"/>
  <c r="I1269" i="6"/>
  <c r="H1269" i="6"/>
  <c r="G1269" i="6"/>
  <c r="F1269" i="6"/>
  <c r="E1269" i="6"/>
  <c r="D1269" i="6"/>
  <c r="C1269" i="6"/>
  <c r="B1269" i="6"/>
  <c r="A1269" i="6"/>
  <c r="BI1268" i="6"/>
  <c r="Y1269" i="6" s="1"/>
  <c r="BI1269" i="6" s="1"/>
  <c r="Y1270" i="6" s="1"/>
  <c r="BI1270" i="6" s="1"/>
  <c r="Y1271" i="6" s="1"/>
  <c r="BI1271" i="6" s="1"/>
  <c r="Y1272" i="6" s="1"/>
  <c r="BI1272" i="6" s="1"/>
  <c r="Y1273" i="6" s="1"/>
  <c r="BI1273" i="6" s="1"/>
  <c r="Y1274" i="6" s="1"/>
  <c r="BI1274" i="6" s="1"/>
  <c r="Y1275" i="6" s="1"/>
  <c r="BI1275" i="6" s="1"/>
  <c r="Y1276" i="6" s="1"/>
  <c r="BI1276" i="6" s="1"/>
  <c r="Y1277" i="6" s="1"/>
  <c r="BI1277" i="6" s="1"/>
  <c r="Y1278" i="6" s="1"/>
  <c r="BI1278" i="6" s="1"/>
  <c r="Y1279" i="6" s="1"/>
  <c r="BI1279" i="6" s="1"/>
  <c r="Y1280" i="6" s="1"/>
  <c r="BI1280" i="6" s="1"/>
  <c r="Y1281" i="6" s="1"/>
  <c r="BI1281" i="6" s="1"/>
  <c r="Y1282" i="6" s="1"/>
  <c r="BI1282" i="6" s="1"/>
  <c r="Y1283" i="6" s="1"/>
  <c r="BI1283" i="6" s="1"/>
  <c r="Y1284" i="6" s="1"/>
  <c r="BI1284" i="6" s="1"/>
  <c r="Y1285" i="6" s="1"/>
  <c r="BI1285" i="6" s="1"/>
  <c r="Y1286" i="6" s="1"/>
  <c r="BI1286" i="6" s="1"/>
  <c r="Y1287" i="6" s="1"/>
  <c r="BI1287" i="6" s="1"/>
  <c r="Y1288" i="6" s="1"/>
  <c r="BI1288" i="6" s="1"/>
  <c r="Y1289" i="6" s="1"/>
  <c r="BI1289" i="6" s="1"/>
  <c r="Y1290" i="6" s="1"/>
  <c r="BI1290" i="6" s="1"/>
  <c r="Y1291" i="6" s="1"/>
  <c r="BI1291" i="6" s="1"/>
  <c r="Y1292" i="6" s="1"/>
  <c r="BI1292" i="6" s="1"/>
  <c r="Y1293" i="6" s="1"/>
  <c r="BI1293" i="6" s="1"/>
  <c r="Y1294" i="6" s="1"/>
  <c r="BI1294" i="6" s="1"/>
  <c r="Y1295" i="6" s="1"/>
  <c r="BI1295" i="6" s="1"/>
  <c r="Y1296" i="6" s="1"/>
  <c r="BI1296" i="6" s="1"/>
  <c r="Y1297" i="6" s="1"/>
  <c r="BI1297" i="6" s="1"/>
  <c r="Y1298" i="6" s="1"/>
  <c r="BI1298" i="6" s="1"/>
  <c r="Y1299" i="6" s="1"/>
  <c r="BI1299" i="6" s="1"/>
  <c r="Y1300" i="6" s="1"/>
  <c r="BI1300" i="6" s="1"/>
  <c r="Y1301" i="6" s="1"/>
  <c r="BI1301" i="6" s="1"/>
  <c r="AT1268" i="6"/>
  <c r="AO1268" i="6"/>
  <c r="AI1268" i="6"/>
  <c r="AF1268" i="6"/>
  <c r="Y1268" i="6"/>
  <c r="K1268" i="6"/>
  <c r="J1268" i="6"/>
  <c r="I1268" i="6"/>
  <c r="H1268" i="6"/>
  <c r="G1268" i="6"/>
  <c r="AV1268" i="6" s="1"/>
  <c r="L1269" i="6" s="1"/>
  <c r="F1268" i="6"/>
  <c r="AE1268" i="6" s="1"/>
  <c r="E1268" i="6"/>
  <c r="D1268" i="6"/>
  <c r="C1268" i="6"/>
  <c r="B1268" i="6"/>
  <c r="A1268" i="6"/>
  <c r="BE1267" i="6"/>
  <c r="AT1267" i="6"/>
  <c r="AO1267" i="6"/>
  <c r="AI1267" i="6"/>
  <c r="AF1267" i="6"/>
  <c r="U1267" i="6"/>
  <c r="T1267" i="6"/>
  <c r="BD1267" i="6" s="1"/>
  <c r="T1268" i="6" s="1"/>
  <c r="BD1268" i="6" s="1"/>
  <c r="T1269" i="6" s="1"/>
  <c r="K1267" i="6"/>
  <c r="I1267" i="6"/>
  <c r="H1267" i="6"/>
  <c r="G1267" i="6"/>
  <c r="F1267" i="6"/>
  <c r="AE1267" i="6" s="1"/>
  <c r="E1267" i="6"/>
  <c r="D1267" i="6"/>
  <c r="C1267" i="6"/>
  <c r="B1267" i="6"/>
  <c r="A1267" i="6"/>
  <c r="BN1266" i="6"/>
  <c r="BO1266" i="6" s="1"/>
  <c r="BN1267" i="6" s="1"/>
  <c r="BO1267" i="6" s="1"/>
  <c r="BN1268" i="6" s="1"/>
  <c r="BO1268" i="6" s="1"/>
  <c r="BL1266" i="6"/>
  <c r="AB1267" i="6" s="1"/>
  <c r="BL1267" i="6" s="1"/>
  <c r="AB1268" i="6" s="1"/>
  <c r="BL1268" i="6" s="1"/>
  <c r="AB1269" i="6" s="1"/>
  <c r="BL1269" i="6" s="1"/>
  <c r="AB1270" i="6" s="1"/>
  <c r="BL1270" i="6" s="1"/>
  <c r="AB1271" i="6" s="1"/>
  <c r="BL1271" i="6" s="1"/>
  <c r="AB1272" i="6" s="1"/>
  <c r="BL1272" i="6" s="1"/>
  <c r="AB1273" i="6" s="1"/>
  <c r="BL1273" i="6" s="1"/>
  <c r="AB1274" i="6" s="1"/>
  <c r="BL1274" i="6" s="1"/>
  <c r="AB1275" i="6" s="1"/>
  <c r="BL1275" i="6" s="1"/>
  <c r="AB1276" i="6" s="1"/>
  <c r="BL1276" i="6" s="1"/>
  <c r="AB1277" i="6" s="1"/>
  <c r="BL1277" i="6" s="1"/>
  <c r="AB1278" i="6" s="1"/>
  <c r="BL1278" i="6" s="1"/>
  <c r="AB1279" i="6" s="1"/>
  <c r="BL1279" i="6" s="1"/>
  <c r="AB1280" i="6" s="1"/>
  <c r="BL1280" i="6" s="1"/>
  <c r="AB1281" i="6" s="1"/>
  <c r="BL1281" i="6" s="1"/>
  <c r="AB1282" i="6" s="1"/>
  <c r="BL1282" i="6" s="1"/>
  <c r="AB1283" i="6" s="1"/>
  <c r="BL1283" i="6" s="1"/>
  <c r="AB1284" i="6" s="1"/>
  <c r="BL1284" i="6" s="1"/>
  <c r="AB1285" i="6" s="1"/>
  <c r="BL1285" i="6" s="1"/>
  <c r="AB1286" i="6" s="1"/>
  <c r="BL1286" i="6" s="1"/>
  <c r="AB1287" i="6" s="1"/>
  <c r="BL1287" i="6" s="1"/>
  <c r="AB1288" i="6" s="1"/>
  <c r="BL1288" i="6" s="1"/>
  <c r="AB1289" i="6" s="1"/>
  <c r="BL1289" i="6" s="1"/>
  <c r="AB1290" i="6" s="1"/>
  <c r="BL1290" i="6" s="1"/>
  <c r="AB1291" i="6" s="1"/>
  <c r="BL1291" i="6" s="1"/>
  <c r="AB1292" i="6" s="1"/>
  <c r="BL1292" i="6" s="1"/>
  <c r="AB1293" i="6" s="1"/>
  <c r="BL1293" i="6" s="1"/>
  <c r="AB1294" i="6" s="1"/>
  <c r="BL1294" i="6" s="1"/>
  <c r="AB1295" i="6" s="1"/>
  <c r="BL1295" i="6" s="1"/>
  <c r="AB1296" i="6" s="1"/>
  <c r="BL1296" i="6" s="1"/>
  <c r="AB1297" i="6" s="1"/>
  <c r="BL1297" i="6" s="1"/>
  <c r="AB1298" i="6" s="1"/>
  <c r="BL1298" i="6" s="1"/>
  <c r="AB1299" i="6" s="1"/>
  <c r="BL1299" i="6" s="1"/>
  <c r="AB1300" i="6" s="1"/>
  <c r="BL1300" i="6" s="1"/>
  <c r="AB1301" i="6" s="1"/>
  <c r="BL1301" i="6" s="1"/>
  <c r="BE1266" i="6"/>
  <c r="AT1266" i="6"/>
  <c r="AP1266" i="6"/>
  <c r="AO1266" i="6"/>
  <c r="AF1266" i="6"/>
  <c r="AC1266" i="6"/>
  <c r="BM1266" i="6" s="1"/>
  <c r="AC1267" i="6" s="1"/>
  <c r="BM1267" i="6" s="1"/>
  <c r="AC1268" i="6" s="1"/>
  <c r="BM1268" i="6" s="1"/>
  <c r="AC1269" i="6" s="1"/>
  <c r="BM1269" i="6" s="1"/>
  <c r="AC1270" i="6" s="1"/>
  <c r="BM1270" i="6" s="1"/>
  <c r="AC1271" i="6" s="1"/>
  <c r="BM1271" i="6" s="1"/>
  <c r="AC1272" i="6" s="1"/>
  <c r="BM1272" i="6" s="1"/>
  <c r="AC1273" i="6" s="1"/>
  <c r="BM1273" i="6" s="1"/>
  <c r="AC1274" i="6" s="1"/>
  <c r="BM1274" i="6" s="1"/>
  <c r="AC1275" i="6" s="1"/>
  <c r="BM1275" i="6" s="1"/>
  <c r="AC1276" i="6" s="1"/>
  <c r="BM1276" i="6" s="1"/>
  <c r="AC1277" i="6" s="1"/>
  <c r="BM1277" i="6" s="1"/>
  <c r="AC1278" i="6" s="1"/>
  <c r="BM1278" i="6" s="1"/>
  <c r="AC1279" i="6" s="1"/>
  <c r="BM1279" i="6" s="1"/>
  <c r="AC1280" i="6" s="1"/>
  <c r="BM1280" i="6" s="1"/>
  <c r="AC1281" i="6" s="1"/>
  <c r="BM1281" i="6" s="1"/>
  <c r="AC1282" i="6" s="1"/>
  <c r="BM1282" i="6" s="1"/>
  <c r="AC1283" i="6" s="1"/>
  <c r="BM1283" i="6" s="1"/>
  <c r="AC1284" i="6" s="1"/>
  <c r="BM1284" i="6" s="1"/>
  <c r="AC1285" i="6" s="1"/>
  <c r="BM1285" i="6" s="1"/>
  <c r="AC1286" i="6" s="1"/>
  <c r="AB1266" i="6"/>
  <c r="AA1266" i="6"/>
  <c r="BK1266" i="6" s="1"/>
  <c r="AA1267" i="6" s="1"/>
  <c r="BK1267" i="6" s="1"/>
  <c r="AA1268" i="6" s="1"/>
  <c r="BK1268" i="6" s="1"/>
  <c r="AA1269" i="6" s="1"/>
  <c r="BK1269" i="6" s="1"/>
  <c r="AA1270" i="6" s="1"/>
  <c r="BK1270" i="6" s="1"/>
  <c r="AA1271" i="6" s="1"/>
  <c r="BK1271" i="6" s="1"/>
  <c r="AA1272" i="6" s="1"/>
  <c r="BK1272" i="6" s="1"/>
  <c r="AA1273" i="6" s="1"/>
  <c r="BK1273" i="6" s="1"/>
  <c r="AA1274" i="6" s="1"/>
  <c r="BK1274" i="6" s="1"/>
  <c r="AA1275" i="6" s="1"/>
  <c r="BK1275" i="6" s="1"/>
  <c r="AA1276" i="6" s="1"/>
  <c r="BK1276" i="6" s="1"/>
  <c r="AA1277" i="6" s="1"/>
  <c r="BK1277" i="6" s="1"/>
  <c r="AA1278" i="6" s="1"/>
  <c r="BK1278" i="6" s="1"/>
  <c r="AA1279" i="6" s="1"/>
  <c r="BK1279" i="6" s="1"/>
  <c r="AA1280" i="6" s="1"/>
  <c r="BK1280" i="6" s="1"/>
  <c r="AA1281" i="6" s="1"/>
  <c r="BK1281" i="6" s="1"/>
  <c r="AA1282" i="6" s="1"/>
  <c r="BK1282" i="6" s="1"/>
  <c r="AA1283" i="6" s="1"/>
  <c r="BK1283" i="6" s="1"/>
  <c r="AA1284" i="6" s="1"/>
  <c r="BK1284" i="6" s="1"/>
  <c r="AA1285" i="6" s="1"/>
  <c r="BK1285" i="6" s="1"/>
  <c r="AA1286" i="6" s="1"/>
  <c r="BK1286" i="6" s="1"/>
  <c r="AA1287" i="6" s="1"/>
  <c r="BK1287" i="6" s="1"/>
  <c r="AA1288" i="6" s="1"/>
  <c r="BK1288" i="6" s="1"/>
  <c r="AA1289" i="6" s="1"/>
  <c r="BK1289" i="6" s="1"/>
  <c r="AA1290" i="6" s="1"/>
  <c r="BK1290" i="6" s="1"/>
  <c r="AA1291" i="6" s="1"/>
  <c r="BK1291" i="6" s="1"/>
  <c r="AA1292" i="6" s="1"/>
  <c r="BK1292" i="6" s="1"/>
  <c r="AA1293" i="6" s="1"/>
  <c r="BK1293" i="6" s="1"/>
  <c r="AA1294" i="6" s="1"/>
  <c r="BK1294" i="6" s="1"/>
  <c r="AA1295" i="6" s="1"/>
  <c r="BK1295" i="6" s="1"/>
  <c r="AA1296" i="6" s="1"/>
  <c r="BK1296" i="6" s="1"/>
  <c r="AA1297" i="6" s="1"/>
  <c r="BK1297" i="6" s="1"/>
  <c r="AA1298" i="6" s="1"/>
  <c r="BK1298" i="6" s="1"/>
  <c r="AA1299" i="6" s="1"/>
  <c r="BK1299" i="6" s="1"/>
  <c r="AA1300" i="6" s="1"/>
  <c r="BK1300" i="6" s="1"/>
  <c r="AA1301" i="6" s="1"/>
  <c r="BK1301" i="6" s="1"/>
  <c r="Z1266" i="6"/>
  <c r="BJ1266" i="6" s="1"/>
  <c r="Z1267" i="6" s="1"/>
  <c r="BJ1267" i="6" s="1"/>
  <c r="Z1268" i="6" s="1"/>
  <c r="BJ1268" i="6" s="1"/>
  <c r="Z1269" i="6" s="1"/>
  <c r="BJ1269" i="6" s="1"/>
  <c r="Z1270" i="6" s="1"/>
  <c r="BJ1270" i="6" s="1"/>
  <c r="Z1271" i="6" s="1"/>
  <c r="BJ1271" i="6" s="1"/>
  <c r="Z1272" i="6" s="1"/>
  <c r="BJ1272" i="6" s="1"/>
  <c r="Z1273" i="6" s="1"/>
  <c r="BJ1273" i="6" s="1"/>
  <c r="Z1274" i="6" s="1"/>
  <c r="BJ1274" i="6" s="1"/>
  <c r="Z1275" i="6" s="1"/>
  <c r="BJ1275" i="6" s="1"/>
  <c r="Z1276" i="6" s="1"/>
  <c r="BJ1276" i="6" s="1"/>
  <c r="Z1277" i="6" s="1"/>
  <c r="BJ1277" i="6" s="1"/>
  <c r="Z1278" i="6" s="1"/>
  <c r="BJ1278" i="6" s="1"/>
  <c r="Z1279" i="6" s="1"/>
  <c r="BJ1279" i="6" s="1"/>
  <c r="Z1280" i="6" s="1"/>
  <c r="BJ1280" i="6" s="1"/>
  <c r="Z1281" i="6" s="1"/>
  <c r="BJ1281" i="6" s="1"/>
  <c r="Z1282" i="6" s="1"/>
  <c r="BJ1282" i="6" s="1"/>
  <c r="Z1283" i="6" s="1"/>
  <c r="BJ1283" i="6" s="1"/>
  <c r="Z1284" i="6" s="1"/>
  <c r="BJ1284" i="6" s="1"/>
  <c r="Z1285" i="6" s="1"/>
  <c r="BJ1285" i="6" s="1"/>
  <c r="Z1286" i="6" s="1"/>
  <c r="BJ1286" i="6" s="1"/>
  <c r="Z1287" i="6" s="1"/>
  <c r="BJ1287" i="6" s="1"/>
  <c r="Z1288" i="6" s="1"/>
  <c r="BJ1288" i="6" s="1"/>
  <c r="Z1289" i="6" s="1"/>
  <c r="BJ1289" i="6" s="1"/>
  <c r="Z1290" i="6" s="1"/>
  <c r="BJ1290" i="6" s="1"/>
  <c r="Z1291" i="6" s="1"/>
  <c r="BJ1291" i="6" s="1"/>
  <c r="Z1292" i="6" s="1"/>
  <c r="BJ1292" i="6" s="1"/>
  <c r="Z1293" i="6" s="1"/>
  <c r="BJ1293" i="6" s="1"/>
  <c r="Z1294" i="6" s="1"/>
  <c r="BJ1294" i="6" s="1"/>
  <c r="Z1295" i="6" s="1"/>
  <c r="BJ1295" i="6" s="1"/>
  <c r="Z1296" i="6" s="1"/>
  <c r="BJ1296" i="6" s="1"/>
  <c r="Z1297" i="6" s="1"/>
  <c r="BJ1297" i="6" s="1"/>
  <c r="Z1298" i="6" s="1"/>
  <c r="BJ1298" i="6" s="1"/>
  <c r="Z1299" i="6" s="1"/>
  <c r="BJ1299" i="6" s="1"/>
  <c r="Z1300" i="6" s="1"/>
  <c r="BJ1300" i="6" s="1"/>
  <c r="Z1301" i="6" s="1"/>
  <c r="BJ1301" i="6" s="1"/>
  <c r="Y1266" i="6"/>
  <c r="BI1266" i="6" s="1"/>
  <c r="Y1267" i="6" s="1"/>
  <c r="BI1267" i="6" s="1"/>
  <c r="X1266" i="6"/>
  <c r="BH1266" i="6" s="1"/>
  <c r="X1267" i="6" s="1"/>
  <c r="BH1267" i="6" s="1"/>
  <c r="X1268" i="6" s="1"/>
  <c r="BH1268" i="6" s="1"/>
  <c r="X1269" i="6" s="1"/>
  <c r="BH1269" i="6" s="1"/>
  <c r="X1270" i="6" s="1"/>
  <c r="BH1270" i="6" s="1"/>
  <c r="X1271" i="6" s="1"/>
  <c r="BH1271" i="6" s="1"/>
  <c r="X1272" i="6" s="1"/>
  <c r="BH1272" i="6" s="1"/>
  <c r="X1273" i="6" s="1"/>
  <c r="BH1273" i="6" s="1"/>
  <c r="X1274" i="6" s="1"/>
  <c r="BH1274" i="6" s="1"/>
  <c r="X1275" i="6" s="1"/>
  <c r="BH1275" i="6" s="1"/>
  <c r="X1276" i="6" s="1"/>
  <c r="BH1276" i="6" s="1"/>
  <c r="X1277" i="6" s="1"/>
  <c r="BH1277" i="6" s="1"/>
  <c r="X1278" i="6" s="1"/>
  <c r="BH1278" i="6" s="1"/>
  <c r="X1279" i="6" s="1"/>
  <c r="BH1279" i="6" s="1"/>
  <c r="X1280" i="6" s="1"/>
  <c r="BH1280" i="6" s="1"/>
  <c r="X1281" i="6" s="1"/>
  <c r="BH1281" i="6" s="1"/>
  <c r="X1282" i="6" s="1"/>
  <c r="BH1282" i="6" s="1"/>
  <c r="X1283" i="6" s="1"/>
  <c r="BH1283" i="6" s="1"/>
  <c r="X1284" i="6" s="1"/>
  <c r="BH1284" i="6" s="1"/>
  <c r="X1285" i="6" s="1"/>
  <c r="BH1285" i="6" s="1"/>
  <c r="X1286" i="6" s="1"/>
  <c r="BH1286" i="6" s="1"/>
  <c r="X1287" i="6" s="1"/>
  <c r="BH1287" i="6" s="1"/>
  <c r="X1288" i="6" s="1"/>
  <c r="BH1288" i="6" s="1"/>
  <c r="X1289" i="6" s="1"/>
  <c r="BH1289" i="6" s="1"/>
  <c r="X1290" i="6" s="1"/>
  <c r="BH1290" i="6" s="1"/>
  <c r="X1291" i="6" s="1"/>
  <c r="BH1291" i="6" s="1"/>
  <c r="X1292" i="6" s="1"/>
  <c r="BH1292" i="6" s="1"/>
  <c r="X1293" i="6" s="1"/>
  <c r="BH1293" i="6" s="1"/>
  <c r="X1294" i="6" s="1"/>
  <c r="BH1294" i="6" s="1"/>
  <c r="X1295" i="6" s="1"/>
  <c r="W1266" i="6"/>
  <c r="BG1266" i="6" s="1"/>
  <c r="W1267" i="6" s="1"/>
  <c r="BG1267" i="6" s="1"/>
  <c r="W1268" i="6" s="1"/>
  <c r="V1266" i="6"/>
  <c r="BF1266" i="6" s="1"/>
  <c r="V1267" i="6" s="1"/>
  <c r="BF1267" i="6" s="1"/>
  <c r="V1268" i="6" s="1"/>
  <c r="BF1268" i="6" s="1"/>
  <c r="V1269" i="6" s="1"/>
  <c r="BF1269" i="6" s="1"/>
  <c r="V1270" i="6" s="1"/>
  <c r="BF1270" i="6" s="1"/>
  <c r="V1271" i="6" s="1"/>
  <c r="BF1271" i="6" s="1"/>
  <c r="V1272" i="6" s="1"/>
  <c r="BF1272" i="6" s="1"/>
  <c r="V1273" i="6" s="1"/>
  <c r="BF1273" i="6" s="1"/>
  <c r="V1274" i="6" s="1"/>
  <c r="BF1274" i="6" s="1"/>
  <c r="V1275" i="6" s="1"/>
  <c r="BF1275" i="6" s="1"/>
  <c r="V1276" i="6" s="1"/>
  <c r="BF1276" i="6" s="1"/>
  <c r="V1277" i="6" s="1"/>
  <c r="BF1277" i="6" s="1"/>
  <c r="V1278" i="6" s="1"/>
  <c r="BF1278" i="6" s="1"/>
  <c r="V1279" i="6" s="1"/>
  <c r="BF1279" i="6" s="1"/>
  <c r="V1280" i="6" s="1"/>
  <c r="BF1280" i="6" s="1"/>
  <c r="V1281" i="6" s="1"/>
  <c r="BF1281" i="6" s="1"/>
  <c r="V1282" i="6" s="1"/>
  <c r="BF1282" i="6" s="1"/>
  <c r="V1283" i="6" s="1"/>
  <c r="BF1283" i="6" s="1"/>
  <c r="V1284" i="6" s="1"/>
  <c r="BF1284" i="6" s="1"/>
  <c r="V1285" i="6" s="1"/>
  <c r="BF1285" i="6" s="1"/>
  <c r="V1286" i="6" s="1"/>
  <c r="BF1286" i="6" s="1"/>
  <c r="V1287" i="6" s="1"/>
  <c r="BF1287" i="6" s="1"/>
  <c r="V1288" i="6" s="1"/>
  <c r="BF1288" i="6" s="1"/>
  <c r="V1289" i="6" s="1"/>
  <c r="U1266" i="6"/>
  <c r="T1266" i="6"/>
  <c r="BD1266" i="6" s="1"/>
  <c r="S1266" i="6"/>
  <c r="BC1266" i="6" s="1"/>
  <c r="S1267" i="6" s="1"/>
  <c r="BC1267" i="6" s="1"/>
  <c r="S1268" i="6" s="1"/>
  <c r="BC1268" i="6" s="1"/>
  <c r="R1266" i="6"/>
  <c r="BB1266" i="6" s="1"/>
  <c r="R1267" i="6" s="1"/>
  <c r="BB1267" i="6" s="1"/>
  <c r="R1268" i="6" s="1"/>
  <c r="BB1268" i="6" s="1"/>
  <c r="R1269" i="6" s="1"/>
  <c r="BB1269" i="6" s="1"/>
  <c r="R1270" i="6" s="1"/>
  <c r="BB1270" i="6" s="1"/>
  <c r="R1271" i="6" s="1"/>
  <c r="BB1271" i="6" s="1"/>
  <c r="R1272" i="6" s="1"/>
  <c r="BB1272" i="6" s="1"/>
  <c r="R1273" i="6" s="1"/>
  <c r="BB1273" i="6" s="1"/>
  <c r="R1274" i="6" s="1"/>
  <c r="BB1274" i="6" s="1"/>
  <c r="R1275" i="6" s="1"/>
  <c r="BB1275" i="6" s="1"/>
  <c r="R1276" i="6" s="1"/>
  <c r="BB1276" i="6" s="1"/>
  <c r="R1277" i="6" s="1"/>
  <c r="BB1277" i="6" s="1"/>
  <c r="R1278" i="6" s="1"/>
  <c r="BB1278" i="6" s="1"/>
  <c r="R1279" i="6" s="1"/>
  <c r="BB1279" i="6" s="1"/>
  <c r="R1280" i="6" s="1"/>
  <c r="BB1280" i="6" s="1"/>
  <c r="R1281" i="6" s="1"/>
  <c r="BB1281" i="6" s="1"/>
  <c r="R1282" i="6" s="1"/>
  <c r="BB1282" i="6" s="1"/>
  <c r="R1283" i="6" s="1"/>
  <c r="BB1283" i="6" s="1"/>
  <c r="R1284" i="6" s="1"/>
  <c r="BB1284" i="6" s="1"/>
  <c r="R1285" i="6" s="1"/>
  <c r="BB1285" i="6" s="1"/>
  <c r="R1286" i="6" s="1"/>
  <c r="BB1286" i="6" s="1"/>
  <c r="R1287" i="6" s="1"/>
  <c r="BB1287" i="6" s="1"/>
  <c r="R1288" i="6" s="1"/>
  <c r="BB1288" i="6" s="1"/>
  <c r="R1289" i="6" s="1"/>
  <c r="BB1289" i="6" s="1"/>
  <c r="R1290" i="6" s="1"/>
  <c r="BB1290" i="6" s="1"/>
  <c r="R1291" i="6" s="1"/>
  <c r="BB1291" i="6" s="1"/>
  <c r="R1292" i="6" s="1"/>
  <c r="BB1292" i="6" s="1"/>
  <c r="R1293" i="6" s="1"/>
  <c r="BB1293" i="6" s="1"/>
  <c r="R1294" i="6" s="1"/>
  <c r="BB1294" i="6" s="1"/>
  <c r="R1295" i="6" s="1"/>
  <c r="BB1295" i="6" s="1"/>
  <c r="R1296" i="6" s="1"/>
  <c r="BB1296" i="6" s="1"/>
  <c r="R1297" i="6" s="1"/>
  <c r="BB1297" i="6" s="1"/>
  <c r="R1298" i="6" s="1"/>
  <c r="BB1298" i="6" s="1"/>
  <c r="R1299" i="6" s="1"/>
  <c r="BB1299" i="6" s="1"/>
  <c r="R1300" i="6" s="1"/>
  <c r="BB1300" i="6" s="1"/>
  <c r="R1301" i="6" s="1"/>
  <c r="BB1301" i="6" s="1"/>
  <c r="Q1266" i="6"/>
  <c r="BA1266" i="6" s="1"/>
  <c r="Q1267" i="6" s="1"/>
  <c r="BA1267" i="6" s="1"/>
  <c r="Q1268" i="6" s="1"/>
  <c r="BA1268" i="6" s="1"/>
  <c r="Q1269" i="6" s="1"/>
  <c r="BA1269" i="6" s="1"/>
  <c r="Q1270" i="6" s="1"/>
  <c r="BA1270" i="6" s="1"/>
  <c r="Q1271" i="6" s="1"/>
  <c r="O1266" i="6"/>
  <c r="AY1266" i="6" s="1"/>
  <c r="O1267" i="6" s="1"/>
  <c r="AY1267" i="6" s="1"/>
  <c r="O1268" i="6" s="1"/>
  <c r="AY1268" i="6" s="1"/>
  <c r="O1269" i="6" s="1"/>
  <c r="AY1269" i="6" s="1"/>
  <c r="O1270" i="6" s="1"/>
  <c r="AY1270" i="6" s="1"/>
  <c r="O1271" i="6" s="1"/>
  <c r="AY1271" i="6" s="1"/>
  <c r="O1272" i="6" s="1"/>
  <c r="AY1272" i="6" s="1"/>
  <c r="O1273" i="6" s="1"/>
  <c r="AY1273" i="6" s="1"/>
  <c r="O1274" i="6" s="1"/>
  <c r="AY1274" i="6" s="1"/>
  <c r="O1275" i="6" s="1"/>
  <c r="AY1275" i="6" s="1"/>
  <c r="O1276" i="6" s="1"/>
  <c r="AY1276" i="6" s="1"/>
  <c r="O1277" i="6" s="1"/>
  <c r="AY1277" i="6" s="1"/>
  <c r="O1278" i="6" s="1"/>
  <c r="AY1278" i="6" s="1"/>
  <c r="O1279" i="6" s="1"/>
  <c r="AY1279" i="6" s="1"/>
  <c r="O1280" i="6" s="1"/>
  <c r="AY1280" i="6" s="1"/>
  <c r="O1281" i="6" s="1"/>
  <c r="AY1281" i="6" s="1"/>
  <c r="O1282" i="6" s="1"/>
  <c r="AY1282" i="6" s="1"/>
  <c r="O1283" i="6" s="1"/>
  <c r="AY1283" i="6" s="1"/>
  <c r="O1284" i="6" s="1"/>
  <c r="AY1284" i="6" s="1"/>
  <c r="O1285" i="6" s="1"/>
  <c r="AY1285" i="6" s="1"/>
  <c r="O1286" i="6" s="1"/>
  <c r="AY1286" i="6" s="1"/>
  <c r="O1287" i="6" s="1"/>
  <c r="AY1287" i="6" s="1"/>
  <c r="O1288" i="6" s="1"/>
  <c r="AY1288" i="6" s="1"/>
  <c r="O1289" i="6" s="1"/>
  <c r="AY1289" i="6" s="1"/>
  <c r="O1290" i="6" s="1"/>
  <c r="AY1290" i="6" s="1"/>
  <c r="O1291" i="6" s="1"/>
  <c r="AY1291" i="6" s="1"/>
  <c r="O1292" i="6" s="1"/>
  <c r="AY1292" i="6" s="1"/>
  <c r="O1293" i="6" s="1"/>
  <c r="AY1293" i="6" s="1"/>
  <c r="O1294" i="6" s="1"/>
  <c r="AY1294" i="6" s="1"/>
  <c r="O1295" i="6" s="1"/>
  <c r="AY1295" i="6" s="1"/>
  <c r="O1296" i="6" s="1"/>
  <c r="AY1296" i="6" s="1"/>
  <c r="O1297" i="6" s="1"/>
  <c r="AY1297" i="6" s="1"/>
  <c r="O1298" i="6" s="1"/>
  <c r="AY1298" i="6" s="1"/>
  <c r="O1299" i="6" s="1"/>
  <c r="AY1299" i="6" s="1"/>
  <c r="O1300" i="6" s="1"/>
  <c r="AY1300" i="6" s="1"/>
  <c r="O1301" i="6" s="1"/>
  <c r="AY1301" i="6" s="1"/>
  <c r="N1266" i="6"/>
  <c r="AX1266" i="6" s="1"/>
  <c r="N1267" i="6" s="1"/>
  <c r="AX1267" i="6" s="1"/>
  <c r="N1268" i="6" s="1"/>
  <c r="AX1268" i="6" s="1"/>
  <c r="N1269" i="6" s="1"/>
  <c r="AX1269" i="6" s="1"/>
  <c r="N1270" i="6" s="1"/>
  <c r="AX1270" i="6" s="1"/>
  <c r="N1271" i="6" s="1"/>
  <c r="AX1271" i="6" s="1"/>
  <c r="N1272" i="6" s="1"/>
  <c r="AX1272" i="6" s="1"/>
  <c r="M1266" i="6"/>
  <c r="AW1266" i="6" s="1"/>
  <c r="M1267" i="6" s="1"/>
  <c r="AW1267" i="6" s="1"/>
  <c r="M1268" i="6" s="1"/>
  <c r="L1266" i="6"/>
  <c r="AV1266" i="6" s="1"/>
  <c r="L1267" i="6" s="1"/>
  <c r="AV1267" i="6" s="1"/>
  <c r="L1268" i="6" s="1"/>
  <c r="H1266" i="6"/>
  <c r="G1266" i="6"/>
  <c r="F1266" i="6"/>
  <c r="E1266" i="6"/>
  <c r="D1266" i="6"/>
  <c r="C1266" i="6"/>
  <c r="B1266" i="6"/>
  <c r="A1266" i="6"/>
  <c r="AO1265" i="6"/>
  <c r="AI1265" i="6"/>
  <c r="K1265" i="6"/>
  <c r="J1265" i="6"/>
  <c r="H1265" i="6"/>
  <c r="G1265" i="6"/>
  <c r="F1265" i="6"/>
  <c r="E1265" i="6"/>
  <c r="D1265" i="6"/>
  <c r="C1265" i="6"/>
  <c r="B1265" i="6"/>
  <c r="A1265" i="6"/>
  <c r="AO1264" i="6"/>
  <c r="H1264" i="6"/>
  <c r="G1264" i="6"/>
  <c r="F1264" i="6"/>
  <c r="E1264" i="6"/>
  <c r="D1264" i="6"/>
  <c r="C1264" i="6"/>
  <c r="B1264" i="6"/>
  <c r="A1264" i="6"/>
  <c r="AO1263" i="6"/>
  <c r="AE1263" i="6"/>
  <c r="J1263" i="6"/>
  <c r="I1263" i="6"/>
  <c r="H1263" i="6"/>
  <c r="G1263" i="6"/>
  <c r="F1263" i="6"/>
  <c r="AI1263" i="6" s="1"/>
  <c r="E1263" i="6"/>
  <c r="D1263" i="6"/>
  <c r="C1263" i="6"/>
  <c r="B1263" i="6"/>
  <c r="A1263" i="6"/>
  <c r="AO1262" i="6"/>
  <c r="AE1262" i="6"/>
  <c r="K1262" i="6"/>
  <c r="J1262" i="6"/>
  <c r="I1262" i="6"/>
  <c r="H1262" i="6"/>
  <c r="G1262" i="6"/>
  <c r="F1262" i="6"/>
  <c r="E1262" i="6"/>
  <c r="D1262" i="6"/>
  <c r="C1262" i="6"/>
  <c r="B1262" i="6"/>
  <c r="A1262" i="6"/>
  <c r="AO1261" i="6"/>
  <c r="AI1261" i="6"/>
  <c r="AE1261" i="6"/>
  <c r="K1261" i="6"/>
  <c r="J1261" i="6"/>
  <c r="I1261" i="6"/>
  <c r="H1261" i="6"/>
  <c r="G1261" i="6"/>
  <c r="F1261" i="6"/>
  <c r="E1261" i="6"/>
  <c r="D1261" i="6"/>
  <c r="C1261" i="6"/>
  <c r="B1261" i="6"/>
  <c r="A1261" i="6"/>
  <c r="AO1260" i="6"/>
  <c r="J1260" i="6"/>
  <c r="I1260" i="6"/>
  <c r="H1260" i="6"/>
  <c r="G1260" i="6"/>
  <c r="F1260" i="6"/>
  <c r="AE1260" i="6" s="1"/>
  <c r="E1260" i="6"/>
  <c r="D1260" i="6"/>
  <c r="C1260" i="6"/>
  <c r="B1260" i="6"/>
  <c r="A1260" i="6"/>
  <c r="AO1259" i="6"/>
  <c r="AE1259" i="6"/>
  <c r="K1259" i="6"/>
  <c r="J1259" i="6"/>
  <c r="I1259" i="6"/>
  <c r="H1259" i="6"/>
  <c r="G1259" i="6"/>
  <c r="F1259" i="6"/>
  <c r="E1259" i="6"/>
  <c r="D1259" i="6"/>
  <c r="C1259" i="6"/>
  <c r="B1259" i="6"/>
  <c r="A1259" i="6"/>
  <c r="AO1258" i="6"/>
  <c r="AI1258" i="6"/>
  <c r="AE1258" i="6"/>
  <c r="K1258" i="6"/>
  <c r="I1258" i="6"/>
  <c r="H1258" i="6"/>
  <c r="G1258" i="6"/>
  <c r="F1258" i="6"/>
  <c r="J1258" i="6" s="1"/>
  <c r="E1258" i="6"/>
  <c r="D1258" i="6"/>
  <c r="C1258" i="6"/>
  <c r="B1258" i="6"/>
  <c r="A1258" i="6"/>
  <c r="AO1257" i="6"/>
  <c r="I1257" i="6"/>
  <c r="H1257" i="6"/>
  <c r="G1257" i="6"/>
  <c r="F1257" i="6"/>
  <c r="E1257" i="6"/>
  <c r="D1257" i="6"/>
  <c r="C1257" i="6"/>
  <c r="B1257" i="6"/>
  <c r="A1257" i="6"/>
  <c r="AO1256" i="6"/>
  <c r="AI1256" i="6"/>
  <c r="K1256" i="6"/>
  <c r="J1256" i="6"/>
  <c r="I1256" i="6"/>
  <c r="H1256" i="6"/>
  <c r="G1256" i="6"/>
  <c r="F1256" i="6"/>
  <c r="AE1256" i="6" s="1"/>
  <c r="E1256" i="6"/>
  <c r="D1256" i="6"/>
  <c r="C1256" i="6"/>
  <c r="B1256" i="6"/>
  <c r="A1256" i="6"/>
  <c r="AO1255" i="6"/>
  <c r="AI1255" i="6"/>
  <c r="K1255" i="6"/>
  <c r="I1255" i="6"/>
  <c r="H1255" i="6"/>
  <c r="G1255" i="6"/>
  <c r="F1255" i="6"/>
  <c r="AE1255" i="6" s="1"/>
  <c r="E1255" i="6"/>
  <c r="D1255" i="6"/>
  <c r="C1255" i="6"/>
  <c r="B1255" i="6"/>
  <c r="A1255" i="6"/>
  <c r="AO1254" i="6"/>
  <c r="AA1254" i="6"/>
  <c r="BK1254" i="6" s="1"/>
  <c r="AA1255" i="6" s="1"/>
  <c r="BK1255" i="6" s="1"/>
  <c r="AA1256" i="6" s="1"/>
  <c r="BK1256" i="6" s="1"/>
  <c r="AA1257" i="6" s="1"/>
  <c r="BK1257" i="6" s="1"/>
  <c r="AA1258" i="6" s="1"/>
  <c r="BK1258" i="6" s="1"/>
  <c r="AA1259" i="6" s="1"/>
  <c r="BK1259" i="6" s="1"/>
  <c r="AA1260" i="6" s="1"/>
  <c r="BK1260" i="6" s="1"/>
  <c r="AA1261" i="6" s="1"/>
  <c r="BK1261" i="6" s="1"/>
  <c r="AA1262" i="6" s="1"/>
  <c r="BK1262" i="6" s="1"/>
  <c r="AA1263" i="6" s="1"/>
  <c r="BK1263" i="6" s="1"/>
  <c r="AA1264" i="6" s="1"/>
  <c r="BK1264" i="6" s="1"/>
  <c r="AA1265" i="6" s="1"/>
  <c r="BK1265" i="6" s="1"/>
  <c r="H1254" i="6"/>
  <c r="G1254" i="6"/>
  <c r="F1254" i="6"/>
  <c r="E1254" i="6"/>
  <c r="D1254" i="6"/>
  <c r="C1254" i="6"/>
  <c r="B1254" i="6"/>
  <c r="A1254" i="6"/>
  <c r="AO1253" i="6"/>
  <c r="AI1253" i="6"/>
  <c r="K1253" i="6"/>
  <c r="J1253" i="6"/>
  <c r="H1253" i="6"/>
  <c r="G1253" i="6"/>
  <c r="F1253" i="6"/>
  <c r="E1253" i="6"/>
  <c r="D1253" i="6"/>
  <c r="C1253" i="6"/>
  <c r="B1253" i="6"/>
  <c r="A1253" i="6"/>
  <c r="AT1252" i="6"/>
  <c r="H1252" i="6"/>
  <c r="G1252" i="6"/>
  <c r="F1252" i="6"/>
  <c r="E1252" i="6"/>
  <c r="D1252" i="6"/>
  <c r="C1252" i="6"/>
  <c r="B1252" i="6"/>
  <c r="A1252" i="6"/>
  <c r="AT1251" i="6"/>
  <c r="AO1251" i="6"/>
  <c r="AE1251" i="6"/>
  <c r="J1251" i="6"/>
  <c r="I1251" i="6"/>
  <c r="H1251" i="6"/>
  <c r="G1251" i="6"/>
  <c r="F1251" i="6"/>
  <c r="E1251" i="6"/>
  <c r="D1251" i="6"/>
  <c r="C1251" i="6"/>
  <c r="B1251" i="6"/>
  <c r="A1251" i="6"/>
  <c r="AT1250" i="6"/>
  <c r="AO1250" i="6"/>
  <c r="AE1250" i="6"/>
  <c r="K1250" i="6"/>
  <c r="J1250" i="6"/>
  <c r="I1250" i="6"/>
  <c r="H1250" i="6"/>
  <c r="G1250" i="6"/>
  <c r="F1250" i="6"/>
  <c r="E1250" i="6"/>
  <c r="D1250" i="6"/>
  <c r="C1250" i="6"/>
  <c r="B1250" i="6"/>
  <c r="A1250" i="6"/>
  <c r="AT1249" i="6"/>
  <c r="AO1249" i="6"/>
  <c r="AI1249" i="6"/>
  <c r="K1249" i="6"/>
  <c r="J1249" i="6"/>
  <c r="I1249" i="6"/>
  <c r="H1249" i="6"/>
  <c r="G1249" i="6"/>
  <c r="F1249" i="6"/>
  <c r="E1249" i="6"/>
  <c r="D1249" i="6"/>
  <c r="C1249" i="6"/>
  <c r="B1249" i="6"/>
  <c r="A1249" i="6"/>
  <c r="AT1248" i="6"/>
  <c r="AO1248" i="6"/>
  <c r="J1248" i="6"/>
  <c r="I1248" i="6"/>
  <c r="H1248" i="6"/>
  <c r="G1248" i="6"/>
  <c r="F1248" i="6"/>
  <c r="AE1248" i="6" s="1"/>
  <c r="E1248" i="6"/>
  <c r="D1248" i="6"/>
  <c r="C1248" i="6"/>
  <c r="B1248" i="6"/>
  <c r="A1248" i="6"/>
  <c r="AT1247" i="6"/>
  <c r="AO1247" i="6"/>
  <c r="AE1247" i="6"/>
  <c r="K1247" i="6"/>
  <c r="J1247" i="6"/>
  <c r="I1247" i="6"/>
  <c r="H1247" i="6"/>
  <c r="AF1247" i="6" s="1"/>
  <c r="G1247" i="6"/>
  <c r="F1247" i="6"/>
  <c r="E1247" i="6"/>
  <c r="D1247" i="6"/>
  <c r="C1247" i="6"/>
  <c r="B1247" i="6"/>
  <c r="A1247" i="6"/>
  <c r="AT1246" i="6"/>
  <c r="AI1246" i="6"/>
  <c r="AE1246" i="6"/>
  <c r="K1246" i="6"/>
  <c r="I1246" i="6"/>
  <c r="H1246" i="6"/>
  <c r="G1246" i="6"/>
  <c r="F1246" i="6"/>
  <c r="E1246" i="6"/>
  <c r="D1246" i="6"/>
  <c r="C1246" i="6"/>
  <c r="B1246" i="6"/>
  <c r="A1246" i="6"/>
  <c r="AT1245" i="6"/>
  <c r="AO1245" i="6"/>
  <c r="AF1245" i="6"/>
  <c r="H1245" i="6"/>
  <c r="G1245" i="6"/>
  <c r="F1245" i="6"/>
  <c r="AE1245" i="6" s="1"/>
  <c r="E1245" i="6"/>
  <c r="D1245" i="6"/>
  <c r="C1245" i="6"/>
  <c r="B1245" i="6"/>
  <c r="A1245" i="6"/>
  <c r="AT1244" i="6"/>
  <c r="AO1244" i="6"/>
  <c r="AI1244" i="6"/>
  <c r="AF1244" i="6"/>
  <c r="K1244" i="6"/>
  <c r="J1244" i="6"/>
  <c r="I1244" i="6"/>
  <c r="H1244" i="6"/>
  <c r="G1244" i="6"/>
  <c r="F1244" i="6"/>
  <c r="AE1244" i="6" s="1"/>
  <c r="E1244" i="6"/>
  <c r="D1244" i="6"/>
  <c r="C1244" i="6"/>
  <c r="B1244" i="6"/>
  <c r="A1244" i="6"/>
  <c r="AT1243" i="6"/>
  <c r="AO1243" i="6"/>
  <c r="AI1243" i="6"/>
  <c r="AF1243" i="6"/>
  <c r="K1243" i="6"/>
  <c r="I1243" i="6"/>
  <c r="H1243" i="6"/>
  <c r="G1243" i="6"/>
  <c r="F1243" i="6"/>
  <c r="AE1243" i="6" s="1"/>
  <c r="E1243" i="6"/>
  <c r="D1243" i="6"/>
  <c r="C1243" i="6"/>
  <c r="B1243" i="6"/>
  <c r="A1243" i="6"/>
  <c r="AT1242" i="6"/>
  <c r="AO1242" i="6"/>
  <c r="H1242" i="6"/>
  <c r="G1242" i="6"/>
  <c r="F1242" i="6"/>
  <c r="E1242" i="6"/>
  <c r="D1242" i="6"/>
  <c r="C1242" i="6"/>
  <c r="B1242" i="6"/>
  <c r="A1242" i="6"/>
  <c r="AT1241" i="6"/>
  <c r="AI1241" i="6"/>
  <c r="K1241" i="6"/>
  <c r="J1241" i="6"/>
  <c r="H1241" i="6"/>
  <c r="G1241" i="6"/>
  <c r="F1241" i="6"/>
  <c r="E1241" i="6"/>
  <c r="D1241" i="6"/>
  <c r="C1241" i="6"/>
  <c r="B1241" i="6"/>
  <c r="A1241" i="6"/>
  <c r="AT1240" i="6"/>
  <c r="H1240" i="6"/>
  <c r="G1240" i="6"/>
  <c r="F1240" i="6"/>
  <c r="E1240" i="6"/>
  <c r="D1240" i="6"/>
  <c r="C1240" i="6"/>
  <c r="B1240" i="6"/>
  <c r="A1240" i="6"/>
  <c r="AT1239" i="6"/>
  <c r="AO1239" i="6"/>
  <c r="AE1239" i="6"/>
  <c r="J1239" i="6"/>
  <c r="I1239" i="6"/>
  <c r="H1239" i="6"/>
  <c r="AF1239" i="6" s="1"/>
  <c r="G1239" i="6"/>
  <c r="F1239" i="6"/>
  <c r="AI1239" i="6" s="1"/>
  <c r="E1239" i="6"/>
  <c r="D1239" i="6"/>
  <c r="C1239" i="6"/>
  <c r="B1239" i="6"/>
  <c r="A1239" i="6"/>
  <c r="AT1238" i="6"/>
  <c r="AO1238" i="6"/>
  <c r="AE1238" i="6"/>
  <c r="J1238" i="6"/>
  <c r="H1238" i="6"/>
  <c r="G1238" i="6"/>
  <c r="F1238" i="6"/>
  <c r="E1238" i="6"/>
  <c r="D1238" i="6"/>
  <c r="C1238" i="6"/>
  <c r="B1238" i="6"/>
  <c r="A1238" i="6"/>
  <c r="BK1237" i="6"/>
  <c r="AA1238" i="6" s="1"/>
  <c r="BK1238" i="6" s="1"/>
  <c r="AA1239" i="6" s="1"/>
  <c r="BK1239" i="6" s="1"/>
  <c r="AA1240" i="6" s="1"/>
  <c r="BK1240" i="6" s="1"/>
  <c r="AA1241" i="6" s="1"/>
  <c r="BK1241" i="6" s="1"/>
  <c r="AA1242" i="6" s="1"/>
  <c r="BK1242" i="6" s="1"/>
  <c r="AA1243" i="6" s="1"/>
  <c r="BK1243" i="6" s="1"/>
  <c r="AA1244" i="6" s="1"/>
  <c r="BK1244" i="6" s="1"/>
  <c r="AA1245" i="6" s="1"/>
  <c r="BK1245" i="6" s="1"/>
  <c r="AA1246" i="6" s="1"/>
  <c r="BK1246" i="6" s="1"/>
  <c r="AA1247" i="6" s="1"/>
  <c r="BK1247" i="6" s="1"/>
  <c r="AA1248" i="6" s="1"/>
  <c r="BK1248" i="6" s="1"/>
  <c r="AA1249" i="6" s="1"/>
  <c r="BK1249" i="6" s="1"/>
  <c r="AA1250" i="6" s="1"/>
  <c r="BK1250" i="6" s="1"/>
  <c r="AA1251" i="6" s="1"/>
  <c r="BK1251" i="6" s="1"/>
  <c r="AA1252" i="6" s="1"/>
  <c r="BK1252" i="6" s="1"/>
  <c r="AA1253" i="6" s="1"/>
  <c r="BK1253" i="6" s="1"/>
  <c r="AT1237" i="6"/>
  <c r="AO1237" i="6"/>
  <c r="AI1237" i="6"/>
  <c r="AF1237" i="6"/>
  <c r="AE1237" i="6"/>
  <c r="K1237" i="6"/>
  <c r="J1237" i="6"/>
  <c r="I1237" i="6"/>
  <c r="H1237" i="6"/>
  <c r="G1237" i="6"/>
  <c r="F1237" i="6"/>
  <c r="E1237" i="6"/>
  <c r="D1237" i="6"/>
  <c r="C1237" i="6"/>
  <c r="B1237" i="6"/>
  <c r="A1237" i="6"/>
  <c r="AT1236" i="6"/>
  <c r="AO1236" i="6"/>
  <c r="J1236" i="6"/>
  <c r="I1236" i="6"/>
  <c r="H1236" i="6"/>
  <c r="AF1236" i="6" s="1"/>
  <c r="G1236" i="6"/>
  <c r="F1236" i="6"/>
  <c r="AE1236" i="6" s="1"/>
  <c r="E1236" i="6"/>
  <c r="D1236" i="6"/>
  <c r="C1236" i="6"/>
  <c r="B1236" i="6"/>
  <c r="A1236" i="6"/>
  <c r="AT1235" i="6"/>
  <c r="AE1235" i="6"/>
  <c r="K1235" i="6"/>
  <c r="J1235" i="6"/>
  <c r="I1235" i="6"/>
  <c r="H1235" i="6"/>
  <c r="G1235" i="6"/>
  <c r="AI1235" i="6" s="1"/>
  <c r="F1235" i="6"/>
  <c r="E1235" i="6"/>
  <c r="D1235" i="6"/>
  <c r="C1235" i="6"/>
  <c r="B1235" i="6"/>
  <c r="A1235" i="6"/>
  <c r="AT1234" i="6"/>
  <c r="AI1234" i="6"/>
  <c r="AE1234" i="6"/>
  <c r="K1234" i="6"/>
  <c r="I1234" i="6"/>
  <c r="H1234" i="6"/>
  <c r="G1234" i="6"/>
  <c r="F1234" i="6"/>
  <c r="E1234" i="6"/>
  <c r="D1234" i="6"/>
  <c r="C1234" i="6"/>
  <c r="B1234" i="6"/>
  <c r="A1234" i="6"/>
  <c r="AX1233" i="6"/>
  <c r="N1234" i="6" s="1"/>
  <c r="AX1234" i="6" s="1"/>
  <c r="N1235" i="6" s="1"/>
  <c r="AX1235" i="6" s="1"/>
  <c r="N1236" i="6" s="1"/>
  <c r="AX1236" i="6" s="1"/>
  <c r="AT1233" i="6"/>
  <c r="AO1233" i="6"/>
  <c r="AE1233" i="6"/>
  <c r="I1233" i="6"/>
  <c r="H1233" i="6"/>
  <c r="G1233" i="6"/>
  <c r="F1233" i="6"/>
  <c r="E1233" i="6"/>
  <c r="D1233" i="6"/>
  <c r="C1233" i="6"/>
  <c r="B1233" i="6"/>
  <c r="A1233" i="6"/>
  <c r="BJ1232" i="6"/>
  <c r="Z1233" i="6" s="1"/>
  <c r="BJ1233" i="6" s="1"/>
  <c r="Z1234" i="6" s="1"/>
  <c r="BJ1234" i="6" s="1"/>
  <c r="Z1235" i="6" s="1"/>
  <c r="BJ1235" i="6" s="1"/>
  <c r="Z1236" i="6" s="1"/>
  <c r="BJ1236" i="6" s="1"/>
  <c r="Z1237" i="6" s="1"/>
  <c r="BJ1237" i="6" s="1"/>
  <c r="Z1238" i="6" s="1"/>
  <c r="BJ1238" i="6" s="1"/>
  <c r="Z1239" i="6" s="1"/>
  <c r="BJ1239" i="6" s="1"/>
  <c r="Z1240" i="6" s="1"/>
  <c r="BJ1240" i="6" s="1"/>
  <c r="Z1241" i="6" s="1"/>
  <c r="BJ1241" i="6" s="1"/>
  <c r="Z1242" i="6" s="1"/>
  <c r="BJ1242" i="6" s="1"/>
  <c r="Z1243" i="6" s="1"/>
  <c r="BJ1243" i="6" s="1"/>
  <c r="Z1244" i="6" s="1"/>
  <c r="BJ1244" i="6" s="1"/>
  <c r="Z1245" i="6" s="1"/>
  <c r="BJ1245" i="6" s="1"/>
  <c r="Z1246" i="6" s="1"/>
  <c r="BJ1246" i="6" s="1"/>
  <c r="Z1247" i="6" s="1"/>
  <c r="BJ1247" i="6" s="1"/>
  <c r="Z1248" i="6" s="1"/>
  <c r="BJ1248" i="6" s="1"/>
  <c r="Z1249" i="6" s="1"/>
  <c r="BJ1249" i="6" s="1"/>
  <c r="Z1250" i="6" s="1"/>
  <c r="BJ1250" i="6" s="1"/>
  <c r="Z1251" i="6" s="1"/>
  <c r="BJ1251" i="6" s="1"/>
  <c r="Z1252" i="6" s="1"/>
  <c r="BJ1252" i="6" s="1"/>
  <c r="Z1253" i="6" s="1"/>
  <c r="BJ1253" i="6" s="1"/>
  <c r="Z1254" i="6" s="1"/>
  <c r="BJ1254" i="6" s="1"/>
  <c r="Z1255" i="6" s="1"/>
  <c r="BJ1255" i="6" s="1"/>
  <c r="Z1256" i="6" s="1"/>
  <c r="BJ1256" i="6" s="1"/>
  <c r="Z1257" i="6" s="1"/>
  <c r="BJ1257" i="6" s="1"/>
  <c r="Z1258" i="6" s="1"/>
  <c r="BJ1258" i="6" s="1"/>
  <c r="Z1259" i="6" s="1"/>
  <c r="BJ1259" i="6" s="1"/>
  <c r="Z1260" i="6" s="1"/>
  <c r="BJ1260" i="6" s="1"/>
  <c r="Z1261" i="6" s="1"/>
  <c r="BJ1261" i="6" s="1"/>
  <c r="Z1262" i="6" s="1"/>
  <c r="BJ1262" i="6" s="1"/>
  <c r="Z1263" i="6" s="1"/>
  <c r="BJ1263" i="6" s="1"/>
  <c r="Z1264" i="6" s="1"/>
  <c r="BJ1264" i="6" s="1"/>
  <c r="Z1265" i="6" s="1"/>
  <c r="BJ1265" i="6" s="1"/>
  <c r="AT1232" i="6"/>
  <c r="AO1232" i="6"/>
  <c r="AI1232" i="6"/>
  <c r="AF1232" i="6"/>
  <c r="Z1232" i="6"/>
  <c r="M1232" i="6"/>
  <c r="K1232" i="6"/>
  <c r="J1232" i="6"/>
  <c r="I1232" i="6"/>
  <c r="H1232" i="6"/>
  <c r="G1232" i="6"/>
  <c r="F1232" i="6"/>
  <c r="AE1232" i="6" s="1"/>
  <c r="E1232" i="6"/>
  <c r="D1232" i="6"/>
  <c r="C1232" i="6"/>
  <c r="B1232" i="6"/>
  <c r="A1232" i="6"/>
  <c r="BM1231" i="6"/>
  <c r="AC1232" i="6" s="1"/>
  <c r="BM1232" i="6" s="1"/>
  <c r="AC1233" i="6" s="1"/>
  <c r="BM1233" i="6" s="1"/>
  <c r="AC1234" i="6" s="1"/>
  <c r="BM1234" i="6" s="1"/>
  <c r="AC1235" i="6" s="1"/>
  <c r="BM1235" i="6" s="1"/>
  <c r="AC1236" i="6" s="1"/>
  <c r="BM1236" i="6" s="1"/>
  <c r="AC1237" i="6" s="1"/>
  <c r="BM1237" i="6" s="1"/>
  <c r="AC1238" i="6" s="1"/>
  <c r="BM1238" i="6" s="1"/>
  <c r="AC1239" i="6" s="1"/>
  <c r="BM1239" i="6" s="1"/>
  <c r="AC1240" i="6" s="1"/>
  <c r="BM1240" i="6" s="1"/>
  <c r="AC1241" i="6" s="1"/>
  <c r="BM1241" i="6" s="1"/>
  <c r="AC1242" i="6" s="1"/>
  <c r="BM1242" i="6" s="1"/>
  <c r="AC1243" i="6" s="1"/>
  <c r="BM1243" i="6" s="1"/>
  <c r="AC1244" i="6" s="1"/>
  <c r="BM1244" i="6" s="1"/>
  <c r="AC1245" i="6" s="1"/>
  <c r="BM1245" i="6" s="1"/>
  <c r="AC1246" i="6" s="1"/>
  <c r="BM1246" i="6" s="1"/>
  <c r="AC1247" i="6" s="1"/>
  <c r="BM1247" i="6" s="1"/>
  <c r="AC1248" i="6" s="1"/>
  <c r="BM1248" i="6" s="1"/>
  <c r="AC1249" i="6" s="1"/>
  <c r="BM1249" i="6" s="1"/>
  <c r="AC1250" i="6" s="1"/>
  <c r="BM1250" i="6" s="1"/>
  <c r="AC1251" i="6" s="1"/>
  <c r="BM1251" i="6" s="1"/>
  <c r="AC1252" i="6" s="1"/>
  <c r="BM1252" i="6" s="1"/>
  <c r="AC1253" i="6" s="1"/>
  <c r="BM1253" i="6" s="1"/>
  <c r="AC1254" i="6" s="1"/>
  <c r="BM1254" i="6" s="1"/>
  <c r="AC1255" i="6" s="1"/>
  <c r="BM1255" i="6" s="1"/>
  <c r="AC1256" i="6" s="1"/>
  <c r="BM1256" i="6" s="1"/>
  <c r="AC1257" i="6" s="1"/>
  <c r="BM1257" i="6" s="1"/>
  <c r="AC1258" i="6" s="1"/>
  <c r="BM1258" i="6" s="1"/>
  <c r="AC1259" i="6" s="1"/>
  <c r="BM1259" i="6" s="1"/>
  <c r="AC1260" i="6" s="1"/>
  <c r="BM1260" i="6" s="1"/>
  <c r="AC1261" i="6" s="1"/>
  <c r="BM1261" i="6" s="1"/>
  <c r="AC1262" i="6" s="1"/>
  <c r="BM1262" i="6" s="1"/>
  <c r="AC1263" i="6" s="1"/>
  <c r="BM1263" i="6" s="1"/>
  <c r="AC1264" i="6" s="1"/>
  <c r="BM1264" i="6" s="1"/>
  <c r="AC1265" i="6" s="1"/>
  <c r="BM1265" i="6" s="1"/>
  <c r="BE1231" i="6"/>
  <c r="AT1231" i="6"/>
  <c r="AO1231" i="6"/>
  <c r="AI1231" i="6"/>
  <c r="AF1231" i="6"/>
  <c r="AC1231" i="6"/>
  <c r="U1231" i="6"/>
  <c r="Q1231" i="6"/>
  <c r="BA1231" i="6" s="1"/>
  <c r="Q1232" i="6" s="1"/>
  <c r="BA1232" i="6" s="1"/>
  <c r="Q1233" i="6" s="1"/>
  <c r="BA1233" i="6" s="1"/>
  <c r="Q1234" i="6" s="1"/>
  <c r="K1231" i="6"/>
  <c r="I1231" i="6"/>
  <c r="H1231" i="6"/>
  <c r="G1231" i="6"/>
  <c r="F1231" i="6"/>
  <c r="AE1231" i="6" s="1"/>
  <c r="E1231" i="6"/>
  <c r="D1231" i="6"/>
  <c r="C1231" i="6"/>
  <c r="B1231" i="6"/>
  <c r="A1231" i="6"/>
  <c r="BN1230" i="6"/>
  <c r="BO1230" i="6" s="1"/>
  <c r="BN1231" i="6" s="1"/>
  <c r="BO1231" i="6" s="1"/>
  <c r="BN1232" i="6" s="1"/>
  <c r="BO1232" i="6" s="1"/>
  <c r="BN1233" i="6" s="1"/>
  <c r="BO1233" i="6" s="1"/>
  <c r="BN1234" i="6" s="1"/>
  <c r="BO1234" i="6" s="1"/>
  <c r="BN1235" i="6" s="1"/>
  <c r="BL1230" i="6"/>
  <c r="AB1231" i="6" s="1"/>
  <c r="BL1231" i="6" s="1"/>
  <c r="AB1232" i="6" s="1"/>
  <c r="BL1232" i="6" s="1"/>
  <c r="AB1233" i="6" s="1"/>
  <c r="BL1233" i="6" s="1"/>
  <c r="AB1234" i="6" s="1"/>
  <c r="BL1234" i="6" s="1"/>
  <c r="AB1235" i="6" s="1"/>
  <c r="BL1235" i="6" s="1"/>
  <c r="AB1236" i="6" s="1"/>
  <c r="BL1236" i="6" s="1"/>
  <c r="AB1237" i="6" s="1"/>
  <c r="BL1237" i="6" s="1"/>
  <c r="AB1238" i="6" s="1"/>
  <c r="BL1238" i="6" s="1"/>
  <c r="AB1239" i="6" s="1"/>
  <c r="BL1239" i="6" s="1"/>
  <c r="AB1240" i="6" s="1"/>
  <c r="BL1240" i="6" s="1"/>
  <c r="AB1241" i="6" s="1"/>
  <c r="BL1241" i="6" s="1"/>
  <c r="AB1242" i="6" s="1"/>
  <c r="BL1242" i="6" s="1"/>
  <c r="AB1243" i="6" s="1"/>
  <c r="BL1243" i="6" s="1"/>
  <c r="AB1244" i="6" s="1"/>
  <c r="BL1244" i="6" s="1"/>
  <c r="AB1245" i="6" s="1"/>
  <c r="BL1245" i="6" s="1"/>
  <c r="AB1246" i="6" s="1"/>
  <c r="BL1246" i="6" s="1"/>
  <c r="AB1247" i="6" s="1"/>
  <c r="BL1247" i="6" s="1"/>
  <c r="AB1248" i="6" s="1"/>
  <c r="BL1248" i="6" s="1"/>
  <c r="AB1249" i="6" s="1"/>
  <c r="BL1249" i="6" s="1"/>
  <c r="AB1250" i="6" s="1"/>
  <c r="BL1250" i="6" s="1"/>
  <c r="AB1251" i="6" s="1"/>
  <c r="BL1251" i="6" s="1"/>
  <c r="AB1252" i="6" s="1"/>
  <c r="BL1252" i="6" s="1"/>
  <c r="AB1253" i="6" s="1"/>
  <c r="BL1253" i="6" s="1"/>
  <c r="AB1254" i="6" s="1"/>
  <c r="BL1254" i="6" s="1"/>
  <c r="AB1255" i="6" s="1"/>
  <c r="BL1255" i="6" s="1"/>
  <c r="AB1256" i="6" s="1"/>
  <c r="BL1256" i="6" s="1"/>
  <c r="AB1257" i="6" s="1"/>
  <c r="BL1257" i="6" s="1"/>
  <c r="AB1258" i="6" s="1"/>
  <c r="BL1258" i="6" s="1"/>
  <c r="AB1259" i="6" s="1"/>
  <c r="BL1259" i="6" s="1"/>
  <c r="AB1260" i="6" s="1"/>
  <c r="BL1260" i="6" s="1"/>
  <c r="AB1261" i="6" s="1"/>
  <c r="BL1261" i="6" s="1"/>
  <c r="AB1262" i="6" s="1"/>
  <c r="BL1262" i="6" s="1"/>
  <c r="AB1263" i="6" s="1"/>
  <c r="BL1263" i="6" s="1"/>
  <c r="AB1264" i="6" s="1"/>
  <c r="BL1264" i="6" s="1"/>
  <c r="AB1265" i="6" s="1"/>
  <c r="BL1265" i="6" s="1"/>
  <c r="BG1230" i="6"/>
  <c r="W1231" i="6" s="1"/>
  <c r="BG1231" i="6" s="1"/>
  <c r="W1232" i="6" s="1"/>
  <c r="BE1230" i="6"/>
  <c r="BB1230" i="6"/>
  <c r="R1231" i="6" s="1"/>
  <c r="BB1231" i="6" s="1"/>
  <c r="R1232" i="6" s="1"/>
  <c r="BB1232" i="6" s="1"/>
  <c r="R1233" i="6" s="1"/>
  <c r="BB1233" i="6" s="1"/>
  <c r="R1234" i="6" s="1"/>
  <c r="BB1234" i="6" s="1"/>
  <c r="R1235" i="6" s="1"/>
  <c r="BB1235" i="6" s="1"/>
  <c r="R1236" i="6" s="1"/>
  <c r="BB1236" i="6" s="1"/>
  <c r="R1237" i="6" s="1"/>
  <c r="BB1237" i="6" s="1"/>
  <c r="R1238" i="6" s="1"/>
  <c r="BB1238" i="6" s="1"/>
  <c r="R1239" i="6" s="1"/>
  <c r="BB1239" i="6" s="1"/>
  <c r="R1240" i="6" s="1"/>
  <c r="BB1240" i="6" s="1"/>
  <c r="R1241" i="6" s="1"/>
  <c r="BB1241" i="6" s="1"/>
  <c r="R1242" i="6" s="1"/>
  <c r="BB1242" i="6" s="1"/>
  <c r="R1243" i="6" s="1"/>
  <c r="BB1243" i="6" s="1"/>
  <c r="R1244" i="6" s="1"/>
  <c r="BB1244" i="6" s="1"/>
  <c r="R1245" i="6" s="1"/>
  <c r="BB1245" i="6" s="1"/>
  <c r="R1246" i="6" s="1"/>
  <c r="BB1246" i="6" s="1"/>
  <c r="R1247" i="6" s="1"/>
  <c r="BB1247" i="6" s="1"/>
  <c r="R1248" i="6" s="1"/>
  <c r="BB1248" i="6" s="1"/>
  <c r="R1249" i="6" s="1"/>
  <c r="BB1249" i="6" s="1"/>
  <c r="R1250" i="6" s="1"/>
  <c r="BB1250" i="6" s="1"/>
  <c r="R1251" i="6" s="1"/>
  <c r="BB1251" i="6" s="1"/>
  <c r="R1252" i="6" s="1"/>
  <c r="BB1252" i="6" s="1"/>
  <c r="R1253" i="6" s="1"/>
  <c r="BB1253" i="6" s="1"/>
  <c r="R1254" i="6" s="1"/>
  <c r="BB1254" i="6" s="1"/>
  <c r="R1255" i="6" s="1"/>
  <c r="BB1255" i="6" s="1"/>
  <c r="R1256" i="6" s="1"/>
  <c r="BB1256" i="6" s="1"/>
  <c r="R1257" i="6" s="1"/>
  <c r="BB1257" i="6" s="1"/>
  <c r="R1258" i="6" s="1"/>
  <c r="BB1258" i="6" s="1"/>
  <c r="R1259" i="6" s="1"/>
  <c r="BB1259" i="6" s="1"/>
  <c r="R1260" i="6" s="1"/>
  <c r="BB1260" i="6" s="1"/>
  <c r="R1261" i="6" s="1"/>
  <c r="BB1261" i="6" s="1"/>
  <c r="R1262" i="6" s="1"/>
  <c r="BB1262" i="6" s="1"/>
  <c r="R1263" i="6" s="1"/>
  <c r="BB1263" i="6" s="1"/>
  <c r="R1264" i="6" s="1"/>
  <c r="BB1264" i="6" s="1"/>
  <c r="R1265" i="6" s="1"/>
  <c r="BB1265" i="6" s="1"/>
  <c r="AT1230" i="6"/>
  <c r="AO1230" i="6"/>
  <c r="AF1230" i="6"/>
  <c r="AC1230" i="6"/>
  <c r="BM1230" i="6" s="1"/>
  <c r="AB1230" i="6"/>
  <c r="AA1230" i="6"/>
  <c r="BK1230" i="6" s="1"/>
  <c r="AA1231" i="6" s="1"/>
  <c r="BK1231" i="6" s="1"/>
  <c r="AA1232" i="6" s="1"/>
  <c r="BK1232" i="6" s="1"/>
  <c r="AA1233" i="6" s="1"/>
  <c r="BK1233" i="6" s="1"/>
  <c r="AA1234" i="6" s="1"/>
  <c r="BK1234" i="6" s="1"/>
  <c r="AA1235" i="6" s="1"/>
  <c r="BK1235" i="6" s="1"/>
  <c r="AA1236" i="6" s="1"/>
  <c r="BK1236" i="6" s="1"/>
  <c r="AA1237" i="6" s="1"/>
  <c r="Z1230" i="6"/>
  <c r="BJ1230" i="6" s="1"/>
  <c r="Z1231" i="6" s="1"/>
  <c r="BJ1231" i="6" s="1"/>
  <c r="Y1230" i="6"/>
  <c r="BI1230" i="6" s="1"/>
  <c r="Y1231" i="6" s="1"/>
  <c r="BI1231" i="6" s="1"/>
  <c r="Y1232" i="6" s="1"/>
  <c r="BI1232" i="6" s="1"/>
  <c r="Y1233" i="6" s="1"/>
  <c r="BI1233" i="6" s="1"/>
  <c r="Y1234" i="6" s="1"/>
  <c r="BI1234" i="6" s="1"/>
  <c r="Y1235" i="6" s="1"/>
  <c r="BI1235" i="6" s="1"/>
  <c r="Y1236" i="6" s="1"/>
  <c r="BI1236" i="6" s="1"/>
  <c r="Y1237" i="6" s="1"/>
  <c r="BI1237" i="6" s="1"/>
  <c r="Y1238" i="6" s="1"/>
  <c r="BI1238" i="6" s="1"/>
  <c r="Y1239" i="6" s="1"/>
  <c r="BI1239" i="6" s="1"/>
  <c r="Y1240" i="6" s="1"/>
  <c r="BI1240" i="6" s="1"/>
  <c r="Y1241" i="6" s="1"/>
  <c r="BI1241" i="6" s="1"/>
  <c r="Y1242" i="6" s="1"/>
  <c r="BI1242" i="6" s="1"/>
  <c r="Y1243" i="6" s="1"/>
  <c r="BI1243" i="6" s="1"/>
  <c r="Y1244" i="6" s="1"/>
  <c r="BI1244" i="6" s="1"/>
  <c r="Y1245" i="6" s="1"/>
  <c r="BI1245" i="6" s="1"/>
  <c r="Y1246" i="6" s="1"/>
  <c r="BI1246" i="6" s="1"/>
  <c r="Y1247" i="6" s="1"/>
  <c r="BI1247" i="6" s="1"/>
  <c r="Y1248" i="6" s="1"/>
  <c r="BI1248" i="6" s="1"/>
  <c r="Y1249" i="6" s="1"/>
  <c r="BI1249" i="6" s="1"/>
  <c r="Y1250" i="6" s="1"/>
  <c r="BI1250" i="6" s="1"/>
  <c r="Y1251" i="6" s="1"/>
  <c r="BI1251" i="6" s="1"/>
  <c r="Y1252" i="6" s="1"/>
  <c r="BI1252" i="6" s="1"/>
  <c r="Y1253" i="6" s="1"/>
  <c r="BI1253" i="6" s="1"/>
  <c r="Y1254" i="6" s="1"/>
  <c r="BI1254" i="6" s="1"/>
  <c r="Y1255" i="6" s="1"/>
  <c r="BI1255" i="6" s="1"/>
  <c r="Y1256" i="6" s="1"/>
  <c r="BI1256" i="6" s="1"/>
  <c r="Y1257" i="6" s="1"/>
  <c r="BI1257" i="6" s="1"/>
  <c r="Y1258" i="6" s="1"/>
  <c r="BI1258" i="6" s="1"/>
  <c r="Y1259" i="6" s="1"/>
  <c r="BI1259" i="6" s="1"/>
  <c r="Y1260" i="6" s="1"/>
  <c r="BI1260" i="6" s="1"/>
  <c r="Y1261" i="6" s="1"/>
  <c r="BI1261" i="6" s="1"/>
  <c r="Y1262" i="6" s="1"/>
  <c r="BI1262" i="6" s="1"/>
  <c r="Y1263" i="6" s="1"/>
  <c r="BI1263" i="6" s="1"/>
  <c r="Y1264" i="6" s="1"/>
  <c r="BI1264" i="6" s="1"/>
  <c r="Y1265" i="6" s="1"/>
  <c r="BI1265" i="6" s="1"/>
  <c r="X1230" i="6"/>
  <c r="BH1230" i="6" s="1"/>
  <c r="X1231" i="6" s="1"/>
  <c r="BH1231" i="6" s="1"/>
  <c r="X1232" i="6" s="1"/>
  <c r="BH1232" i="6" s="1"/>
  <c r="X1233" i="6" s="1"/>
  <c r="BH1233" i="6" s="1"/>
  <c r="X1234" i="6" s="1"/>
  <c r="BH1234" i="6" s="1"/>
  <c r="X1235" i="6" s="1"/>
  <c r="BH1235" i="6" s="1"/>
  <c r="X1236" i="6" s="1"/>
  <c r="BH1236" i="6" s="1"/>
  <c r="X1237" i="6" s="1"/>
  <c r="BH1237" i="6" s="1"/>
  <c r="X1238" i="6" s="1"/>
  <c r="BH1238" i="6" s="1"/>
  <c r="X1239" i="6" s="1"/>
  <c r="BH1239" i="6" s="1"/>
  <c r="X1240" i="6" s="1"/>
  <c r="BH1240" i="6" s="1"/>
  <c r="X1241" i="6" s="1"/>
  <c r="BH1241" i="6" s="1"/>
  <c r="X1242" i="6" s="1"/>
  <c r="BH1242" i="6" s="1"/>
  <c r="X1243" i="6" s="1"/>
  <c r="BH1243" i="6" s="1"/>
  <c r="X1244" i="6" s="1"/>
  <c r="BH1244" i="6" s="1"/>
  <c r="X1245" i="6" s="1"/>
  <c r="BH1245" i="6" s="1"/>
  <c r="X1246" i="6" s="1"/>
  <c r="BH1246" i="6" s="1"/>
  <c r="X1247" i="6" s="1"/>
  <c r="BH1247" i="6" s="1"/>
  <c r="X1248" i="6" s="1"/>
  <c r="BH1248" i="6" s="1"/>
  <c r="X1249" i="6" s="1"/>
  <c r="BH1249" i="6" s="1"/>
  <c r="X1250" i="6" s="1"/>
  <c r="BH1250" i="6" s="1"/>
  <c r="X1251" i="6" s="1"/>
  <c r="BH1251" i="6" s="1"/>
  <c r="X1252" i="6" s="1"/>
  <c r="BH1252" i="6" s="1"/>
  <c r="X1253" i="6" s="1"/>
  <c r="BH1253" i="6" s="1"/>
  <c r="X1254" i="6" s="1"/>
  <c r="BH1254" i="6" s="1"/>
  <c r="X1255" i="6" s="1"/>
  <c r="BH1255" i="6" s="1"/>
  <c r="X1256" i="6" s="1"/>
  <c r="BH1256" i="6" s="1"/>
  <c r="X1257" i="6" s="1"/>
  <c r="BH1257" i="6" s="1"/>
  <c r="X1258" i="6" s="1"/>
  <c r="BH1258" i="6" s="1"/>
  <c r="X1259" i="6" s="1"/>
  <c r="BH1259" i="6" s="1"/>
  <c r="X1260" i="6" s="1"/>
  <c r="BH1260" i="6" s="1"/>
  <c r="X1261" i="6" s="1"/>
  <c r="BH1261" i="6" s="1"/>
  <c r="X1262" i="6" s="1"/>
  <c r="BH1262" i="6" s="1"/>
  <c r="X1263" i="6" s="1"/>
  <c r="BH1263" i="6" s="1"/>
  <c r="X1264" i="6" s="1"/>
  <c r="BH1264" i="6" s="1"/>
  <c r="X1265" i="6" s="1"/>
  <c r="BH1265" i="6" s="1"/>
  <c r="W1230" i="6"/>
  <c r="V1230" i="6"/>
  <c r="BF1230" i="6" s="1"/>
  <c r="V1231" i="6" s="1"/>
  <c r="BF1231" i="6" s="1"/>
  <c r="V1232" i="6" s="1"/>
  <c r="BF1232" i="6" s="1"/>
  <c r="V1233" i="6" s="1"/>
  <c r="BF1233" i="6" s="1"/>
  <c r="V1234" i="6" s="1"/>
  <c r="BF1234" i="6" s="1"/>
  <c r="V1235" i="6" s="1"/>
  <c r="BF1235" i="6" s="1"/>
  <c r="V1236" i="6" s="1"/>
  <c r="BF1236" i="6" s="1"/>
  <c r="V1237" i="6" s="1"/>
  <c r="BF1237" i="6" s="1"/>
  <c r="V1238" i="6" s="1"/>
  <c r="BF1238" i="6" s="1"/>
  <c r="V1239" i="6" s="1"/>
  <c r="BF1239" i="6" s="1"/>
  <c r="V1240" i="6" s="1"/>
  <c r="BF1240" i="6" s="1"/>
  <c r="V1241" i="6" s="1"/>
  <c r="BF1241" i="6" s="1"/>
  <c r="V1242" i="6" s="1"/>
  <c r="BF1242" i="6" s="1"/>
  <c r="V1243" i="6" s="1"/>
  <c r="BF1243" i="6" s="1"/>
  <c r="V1244" i="6" s="1"/>
  <c r="BF1244" i="6" s="1"/>
  <c r="V1245" i="6" s="1"/>
  <c r="BF1245" i="6" s="1"/>
  <c r="V1246" i="6" s="1"/>
  <c r="BF1246" i="6" s="1"/>
  <c r="V1247" i="6" s="1"/>
  <c r="BF1247" i="6" s="1"/>
  <c r="V1248" i="6" s="1"/>
  <c r="BF1248" i="6" s="1"/>
  <c r="V1249" i="6" s="1"/>
  <c r="BF1249" i="6" s="1"/>
  <c r="V1250" i="6" s="1"/>
  <c r="BF1250" i="6" s="1"/>
  <c r="V1251" i="6" s="1"/>
  <c r="BF1251" i="6" s="1"/>
  <c r="V1252" i="6" s="1"/>
  <c r="BF1252" i="6" s="1"/>
  <c r="V1253" i="6" s="1"/>
  <c r="U1230" i="6"/>
  <c r="T1230" i="6"/>
  <c r="BD1230" i="6" s="1"/>
  <c r="T1231" i="6" s="1"/>
  <c r="BD1231" i="6" s="1"/>
  <c r="T1232" i="6" s="1"/>
  <c r="BD1232" i="6" s="1"/>
  <c r="T1233" i="6" s="1"/>
  <c r="S1230" i="6"/>
  <c r="BC1230" i="6" s="1"/>
  <c r="S1231" i="6" s="1"/>
  <c r="BC1231" i="6" s="1"/>
  <c r="S1232" i="6" s="1"/>
  <c r="BC1232" i="6" s="1"/>
  <c r="S1233" i="6" s="1"/>
  <c r="BC1233" i="6" s="1"/>
  <c r="S1234" i="6" s="1"/>
  <c r="BC1234" i="6" s="1"/>
  <c r="S1235" i="6" s="1"/>
  <c r="BC1235" i="6" s="1"/>
  <c r="S1236" i="6" s="1"/>
  <c r="BC1236" i="6" s="1"/>
  <c r="S1237" i="6" s="1"/>
  <c r="BC1237" i="6" s="1"/>
  <c r="S1238" i="6" s="1"/>
  <c r="BC1238" i="6" s="1"/>
  <c r="S1239" i="6" s="1"/>
  <c r="BC1239" i="6" s="1"/>
  <c r="S1240" i="6" s="1"/>
  <c r="BC1240" i="6" s="1"/>
  <c r="S1241" i="6" s="1"/>
  <c r="BC1241" i="6" s="1"/>
  <c r="S1242" i="6" s="1"/>
  <c r="BC1242" i="6" s="1"/>
  <c r="S1243" i="6" s="1"/>
  <c r="BC1243" i="6" s="1"/>
  <c r="S1244" i="6" s="1"/>
  <c r="BC1244" i="6" s="1"/>
  <c r="S1245" i="6" s="1"/>
  <c r="BC1245" i="6" s="1"/>
  <c r="S1246" i="6" s="1"/>
  <c r="BC1246" i="6" s="1"/>
  <c r="S1247" i="6" s="1"/>
  <c r="BC1247" i="6" s="1"/>
  <c r="S1248" i="6" s="1"/>
  <c r="BC1248" i="6" s="1"/>
  <c r="S1249" i="6" s="1"/>
  <c r="BC1249" i="6" s="1"/>
  <c r="S1250" i="6" s="1"/>
  <c r="BC1250" i="6" s="1"/>
  <c r="S1251" i="6" s="1"/>
  <c r="BC1251" i="6" s="1"/>
  <c r="S1252" i="6" s="1"/>
  <c r="BC1252" i="6" s="1"/>
  <c r="S1253" i="6" s="1"/>
  <c r="BC1253" i="6" s="1"/>
  <c r="S1254" i="6" s="1"/>
  <c r="BC1254" i="6" s="1"/>
  <c r="S1255" i="6" s="1"/>
  <c r="BC1255" i="6" s="1"/>
  <c r="S1256" i="6" s="1"/>
  <c r="BC1256" i="6" s="1"/>
  <c r="S1257" i="6" s="1"/>
  <c r="BC1257" i="6" s="1"/>
  <c r="S1258" i="6" s="1"/>
  <c r="BC1258" i="6" s="1"/>
  <c r="S1259" i="6" s="1"/>
  <c r="BC1259" i="6" s="1"/>
  <c r="S1260" i="6" s="1"/>
  <c r="BC1260" i="6" s="1"/>
  <c r="S1261" i="6" s="1"/>
  <c r="BC1261" i="6" s="1"/>
  <c r="S1262" i="6" s="1"/>
  <c r="BC1262" i="6" s="1"/>
  <c r="S1263" i="6" s="1"/>
  <c r="BC1263" i="6" s="1"/>
  <c r="S1264" i="6" s="1"/>
  <c r="BC1264" i="6" s="1"/>
  <c r="S1265" i="6" s="1"/>
  <c r="BC1265" i="6" s="1"/>
  <c r="R1230" i="6"/>
  <c r="Q1230" i="6"/>
  <c r="BA1230" i="6" s="1"/>
  <c r="O1230" i="6"/>
  <c r="AY1230" i="6" s="1"/>
  <c r="O1231" i="6" s="1"/>
  <c r="AY1231" i="6" s="1"/>
  <c r="O1232" i="6" s="1"/>
  <c r="AY1232" i="6" s="1"/>
  <c r="O1233" i="6" s="1"/>
  <c r="AY1233" i="6" s="1"/>
  <c r="O1234" i="6" s="1"/>
  <c r="AY1234" i="6" s="1"/>
  <c r="O1235" i="6" s="1"/>
  <c r="AY1235" i="6" s="1"/>
  <c r="O1236" i="6" s="1"/>
  <c r="AY1236" i="6" s="1"/>
  <c r="O1237" i="6" s="1"/>
  <c r="AY1237" i="6" s="1"/>
  <c r="O1238" i="6" s="1"/>
  <c r="AY1238" i="6" s="1"/>
  <c r="O1239" i="6" s="1"/>
  <c r="AY1239" i="6" s="1"/>
  <c r="O1240" i="6" s="1"/>
  <c r="AY1240" i="6" s="1"/>
  <c r="O1241" i="6" s="1"/>
  <c r="AY1241" i="6" s="1"/>
  <c r="O1242" i="6" s="1"/>
  <c r="AY1242" i="6" s="1"/>
  <c r="O1243" i="6" s="1"/>
  <c r="AY1243" i="6" s="1"/>
  <c r="O1244" i="6" s="1"/>
  <c r="AY1244" i="6" s="1"/>
  <c r="O1245" i="6" s="1"/>
  <c r="AY1245" i="6" s="1"/>
  <c r="O1246" i="6" s="1"/>
  <c r="AY1246" i="6" s="1"/>
  <c r="O1247" i="6" s="1"/>
  <c r="AY1247" i="6" s="1"/>
  <c r="O1248" i="6" s="1"/>
  <c r="AY1248" i="6" s="1"/>
  <c r="O1249" i="6" s="1"/>
  <c r="N1230" i="6"/>
  <c r="AX1230" i="6" s="1"/>
  <c r="N1231" i="6" s="1"/>
  <c r="AX1231" i="6" s="1"/>
  <c r="N1232" i="6" s="1"/>
  <c r="AX1232" i="6" s="1"/>
  <c r="N1233" i="6" s="1"/>
  <c r="M1230" i="6"/>
  <c r="AW1230" i="6" s="1"/>
  <c r="M1231" i="6" s="1"/>
  <c r="AW1231" i="6" s="1"/>
  <c r="L1230" i="6"/>
  <c r="AV1230" i="6" s="1"/>
  <c r="L1231" i="6" s="1"/>
  <c r="H1230" i="6"/>
  <c r="G1230" i="6"/>
  <c r="F1230" i="6"/>
  <c r="E1230" i="6"/>
  <c r="D1230" i="6"/>
  <c r="C1230" i="6"/>
  <c r="B1230" i="6"/>
  <c r="A1230" i="6"/>
  <c r="AO1229" i="6"/>
  <c r="AI1229" i="6"/>
  <c r="H1229" i="6"/>
  <c r="G1229" i="6"/>
  <c r="F1229" i="6"/>
  <c r="E1229" i="6"/>
  <c r="D1229" i="6"/>
  <c r="C1229" i="6"/>
  <c r="B1229" i="6"/>
  <c r="A1229" i="6"/>
  <c r="AO1228" i="6"/>
  <c r="H1228" i="6"/>
  <c r="G1228" i="6"/>
  <c r="F1228" i="6"/>
  <c r="E1228" i="6"/>
  <c r="D1228" i="6"/>
  <c r="C1228" i="6"/>
  <c r="B1228" i="6"/>
  <c r="A1228" i="6"/>
  <c r="AO1227" i="6"/>
  <c r="AE1227" i="6"/>
  <c r="J1227" i="6"/>
  <c r="I1227" i="6"/>
  <c r="H1227" i="6"/>
  <c r="G1227" i="6"/>
  <c r="F1227" i="6"/>
  <c r="AI1227" i="6" s="1"/>
  <c r="E1227" i="6"/>
  <c r="D1227" i="6"/>
  <c r="C1227" i="6"/>
  <c r="B1227" i="6"/>
  <c r="A1227" i="6"/>
  <c r="AO1226" i="6"/>
  <c r="AE1226" i="6"/>
  <c r="J1226" i="6"/>
  <c r="H1226" i="6"/>
  <c r="G1226" i="6"/>
  <c r="F1226" i="6"/>
  <c r="E1226" i="6"/>
  <c r="D1226" i="6"/>
  <c r="C1226" i="6"/>
  <c r="B1226" i="6"/>
  <c r="A1226" i="6"/>
  <c r="AO1225" i="6"/>
  <c r="AI1225" i="6"/>
  <c r="AE1225" i="6"/>
  <c r="K1225" i="6"/>
  <c r="J1225" i="6"/>
  <c r="I1225" i="6"/>
  <c r="H1225" i="6"/>
  <c r="G1225" i="6"/>
  <c r="F1225" i="6"/>
  <c r="E1225" i="6"/>
  <c r="D1225" i="6"/>
  <c r="C1225" i="6"/>
  <c r="B1225" i="6"/>
  <c r="A1225" i="6"/>
  <c r="AO1224" i="6"/>
  <c r="AE1224" i="6"/>
  <c r="I1224" i="6"/>
  <c r="H1224" i="6"/>
  <c r="G1224" i="6"/>
  <c r="F1224" i="6"/>
  <c r="E1224" i="6"/>
  <c r="D1224" i="6"/>
  <c r="C1224" i="6"/>
  <c r="B1224" i="6"/>
  <c r="A1224" i="6"/>
  <c r="AO1223" i="6"/>
  <c r="AE1223" i="6"/>
  <c r="K1223" i="6"/>
  <c r="I1223" i="6"/>
  <c r="H1223" i="6"/>
  <c r="G1223" i="6"/>
  <c r="AI1223" i="6" s="1"/>
  <c r="F1223" i="6"/>
  <c r="J1223" i="6" s="1"/>
  <c r="E1223" i="6"/>
  <c r="D1223" i="6"/>
  <c r="C1223" i="6"/>
  <c r="B1223" i="6"/>
  <c r="A1223" i="6"/>
  <c r="AO1222" i="6"/>
  <c r="AE1222" i="6"/>
  <c r="K1222" i="6"/>
  <c r="I1222" i="6"/>
  <c r="H1222" i="6"/>
  <c r="G1222" i="6"/>
  <c r="AI1222" i="6" s="1"/>
  <c r="F1222" i="6"/>
  <c r="J1222" i="6" s="1"/>
  <c r="E1222" i="6"/>
  <c r="D1222" i="6"/>
  <c r="C1222" i="6"/>
  <c r="B1222" i="6"/>
  <c r="A1222" i="6"/>
  <c r="AO1221" i="6"/>
  <c r="H1221" i="6"/>
  <c r="G1221" i="6"/>
  <c r="F1221" i="6"/>
  <c r="E1221" i="6"/>
  <c r="D1221" i="6"/>
  <c r="C1221" i="6"/>
  <c r="B1221" i="6"/>
  <c r="A1221" i="6"/>
  <c r="AO1220" i="6"/>
  <c r="AI1220" i="6"/>
  <c r="K1220" i="6"/>
  <c r="J1220" i="6"/>
  <c r="I1220" i="6"/>
  <c r="H1220" i="6"/>
  <c r="G1220" i="6"/>
  <c r="F1220" i="6"/>
  <c r="AE1220" i="6" s="1"/>
  <c r="E1220" i="6"/>
  <c r="D1220" i="6"/>
  <c r="C1220" i="6"/>
  <c r="B1220" i="6"/>
  <c r="A1220" i="6"/>
  <c r="AO1219" i="6"/>
  <c r="AI1219" i="6"/>
  <c r="K1219" i="6"/>
  <c r="I1219" i="6"/>
  <c r="H1219" i="6"/>
  <c r="G1219" i="6"/>
  <c r="F1219" i="6"/>
  <c r="E1219" i="6"/>
  <c r="D1219" i="6"/>
  <c r="C1219" i="6"/>
  <c r="B1219" i="6"/>
  <c r="A1219" i="6"/>
  <c r="AO1218" i="6"/>
  <c r="H1218" i="6"/>
  <c r="G1218" i="6"/>
  <c r="F1218" i="6"/>
  <c r="E1218" i="6"/>
  <c r="D1218" i="6"/>
  <c r="C1218" i="6"/>
  <c r="B1218" i="6"/>
  <c r="A1218" i="6"/>
  <c r="AO1217" i="6"/>
  <c r="H1217" i="6"/>
  <c r="G1217" i="6"/>
  <c r="F1217" i="6"/>
  <c r="E1217" i="6"/>
  <c r="D1217" i="6"/>
  <c r="C1217" i="6"/>
  <c r="B1217" i="6"/>
  <c r="A1217" i="6"/>
  <c r="AT1216" i="6"/>
  <c r="AI1216" i="6"/>
  <c r="K1216" i="6"/>
  <c r="H1216" i="6"/>
  <c r="G1216" i="6"/>
  <c r="F1216" i="6"/>
  <c r="E1216" i="6"/>
  <c r="D1216" i="6"/>
  <c r="C1216" i="6"/>
  <c r="B1216" i="6"/>
  <c r="A1216" i="6"/>
  <c r="AT1215" i="6"/>
  <c r="AO1215" i="6"/>
  <c r="H1215" i="6"/>
  <c r="G1215" i="6"/>
  <c r="F1215" i="6"/>
  <c r="E1215" i="6"/>
  <c r="D1215" i="6"/>
  <c r="C1215" i="6"/>
  <c r="B1215" i="6"/>
  <c r="A1215" i="6"/>
  <c r="AT1214" i="6"/>
  <c r="AO1214" i="6"/>
  <c r="AE1214" i="6"/>
  <c r="J1214" i="6"/>
  <c r="H1214" i="6"/>
  <c r="G1214" i="6"/>
  <c r="F1214" i="6"/>
  <c r="E1214" i="6"/>
  <c r="D1214" i="6"/>
  <c r="C1214" i="6"/>
  <c r="B1214" i="6"/>
  <c r="A1214" i="6"/>
  <c r="AT1213" i="6"/>
  <c r="AO1213" i="6"/>
  <c r="AI1213" i="6"/>
  <c r="K1213" i="6"/>
  <c r="J1213" i="6"/>
  <c r="I1213" i="6"/>
  <c r="H1213" i="6"/>
  <c r="G1213" i="6"/>
  <c r="F1213" i="6"/>
  <c r="E1213" i="6"/>
  <c r="D1213" i="6"/>
  <c r="C1213" i="6"/>
  <c r="B1213" i="6"/>
  <c r="A1213" i="6"/>
  <c r="AT1212" i="6"/>
  <c r="AO1212" i="6"/>
  <c r="H1212" i="6"/>
  <c r="G1212" i="6"/>
  <c r="F1212" i="6"/>
  <c r="E1212" i="6"/>
  <c r="D1212" i="6"/>
  <c r="C1212" i="6"/>
  <c r="B1212" i="6"/>
  <c r="A1212" i="6"/>
  <c r="AT1211" i="6"/>
  <c r="AO1211" i="6"/>
  <c r="AE1211" i="6"/>
  <c r="K1211" i="6"/>
  <c r="J1211" i="6"/>
  <c r="H1211" i="6"/>
  <c r="AF1211" i="6" s="1"/>
  <c r="G1211" i="6"/>
  <c r="F1211" i="6"/>
  <c r="E1211" i="6"/>
  <c r="D1211" i="6"/>
  <c r="C1211" i="6"/>
  <c r="B1211" i="6"/>
  <c r="A1211" i="6"/>
  <c r="AT1210" i="6"/>
  <c r="H1210" i="6"/>
  <c r="G1210" i="6"/>
  <c r="F1210" i="6"/>
  <c r="AI1210" i="6" s="1"/>
  <c r="E1210" i="6"/>
  <c r="D1210" i="6"/>
  <c r="C1210" i="6"/>
  <c r="B1210" i="6"/>
  <c r="A1210" i="6"/>
  <c r="AT1209" i="6"/>
  <c r="AO1209" i="6"/>
  <c r="AF1209" i="6"/>
  <c r="AE1209" i="6"/>
  <c r="H1209" i="6"/>
  <c r="G1209" i="6"/>
  <c r="F1209" i="6"/>
  <c r="E1209" i="6"/>
  <c r="D1209" i="6"/>
  <c r="C1209" i="6"/>
  <c r="B1209" i="6"/>
  <c r="A1209" i="6"/>
  <c r="AT1208" i="6"/>
  <c r="AO1208" i="6"/>
  <c r="AF1208" i="6"/>
  <c r="AE1208" i="6"/>
  <c r="J1208" i="6"/>
  <c r="I1208" i="6"/>
  <c r="H1208" i="6"/>
  <c r="G1208" i="6"/>
  <c r="F1208" i="6"/>
  <c r="E1208" i="6"/>
  <c r="D1208" i="6"/>
  <c r="C1208" i="6"/>
  <c r="B1208" i="6"/>
  <c r="A1208" i="6"/>
  <c r="AT1207" i="6"/>
  <c r="AO1207" i="6"/>
  <c r="AF1207" i="6"/>
  <c r="AE1207" i="6"/>
  <c r="K1207" i="6"/>
  <c r="J1207" i="6"/>
  <c r="I1207" i="6"/>
  <c r="H1207" i="6"/>
  <c r="G1207" i="6"/>
  <c r="F1207" i="6"/>
  <c r="E1207" i="6"/>
  <c r="D1207" i="6"/>
  <c r="C1207" i="6"/>
  <c r="B1207" i="6"/>
  <c r="A1207" i="6"/>
  <c r="AT1206" i="6"/>
  <c r="AO1206" i="6"/>
  <c r="H1206" i="6"/>
  <c r="G1206" i="6"/>
  <c r="F1206" i="6"/>
  <c r="AE1206" i="6" s="1"/>
  <c r="E1206" i="6"/>
  <c r="D1206" i="6"/>
  <c r="C1206" i="6"/>
  <c r="B1206" i="6"/>
  <c r="A1206" i="6"/>
  <c r="AT1205" i="6"/>
  <c r="H1205" i="6"/>
  <c r="G1205" i="6"/>
  <c r="F1205" i="6"/>
  <c r="E1205" i="6"/>
  <c r="D1205" i="6"/>
  <c r="C1205" i="6"/>
  <c r="B1205" i="6"/>
  <c r="A1205" i="6"/>
  <c r="AT1204" i="6"/>
  <c r="H1204" i="6"/>
  <c r="G1204" i="6"/>
  <c r="F1204" i="6"/>
  <c r="E1204" i="6"/>
  <c r="D1204" i="6"/>
  <c r="C1204" i="6"/>
  <c r="B1204" i="6"/>
  <c r="A1204" i="6"/>
  <c r="AT1203" i="6"/>
  <c r="AO1203" i="6"/>
  <c r="H1203" i="6"/>
  <c r="AF1203" i="6" s="1"/>
  <c r="G1203" i="6"/>
  <c r="F1203" i="6"/>
  <c r="E1203" i="6"/>
  <c r="D1203" i="6"/>
  <c r="C1203" i="6"/>
  <c r="B1203" i="6"/>
  <c r="A1203" i="6"/>
  <c r="AT1202" i="6"/>
  <c r="AO1202" i="6"/>
  <c r="AE1202" i="6"/>
  <c r="AA1202" i="6"/>
  <c r="BK1202" i="6" s="1"/>
  <c r="AA1203" i="6" s="1"/>
  <c r="BK1203" i="6" s="1"/>
  <c r="AA1204" i="6" s="1"/>
  <c r="BK1204" i="6" s="1"/>
  <c r="AA1205" i="6" s="1"/>
  <c r="BK1205" i="6" s="1"/>
  <c r="AA1206" i="6" s="1"/>
  <c r="BK1206" i="6" s="1"/>
  <c r="AA1207" i="6" s="1"/>
  <c r="BK1207" i="6" s="1"/>
  <c r="AA1208" i="6" s="1"/>
  <c r="BK1208" i="6" s="1"/>
  <c r="AA1209" i="6" s="1"/>
  <c r="BK1209" i="6" s="1"/>
  <c r="AA1210" i="6" s="1"/>
  <c r="BK1210" i="6" s="1"/>
  <c r="AA1211" i="6" s="1"/>
  <c r="BK1211" i="6" s="1"/>
  <c r="AA1212" i="6" s="1"/>
  <c r="BK1212" i="6" s="1"/>
  <c r="AA1213" i="6" s="1"/>
  <c r="BK1213" i="6" s="1"/>
  <c r="AA1214" i="6" s="1"/>
  <c r="BK1214" i="6" s="1"/>
  <c r="AA1215" i="6" s="1"/>
  <c r="BK1215" i="6" s="1"/>
  <c r="AA1216" i="6" s="1"/>
  <c r="BK1216" i="6" s="1"/>
  <c r="AA1217" i="6" s="1"/>
  <c r="BK1217" i="6" s="1"/>
  <c r="AA1218" i="6" s="1"/>
  <c r="BK1218" i="6" s="1"/>
  <c r="AA1219" i="6" s="1"/>
  <c r="BK1219" i="6" s="1"/>
  <c r="AA1220" i="6" s="1"/>
  <c r="BK1220" i="6" s="1"/>
  <c r="AA1221" i="6" s="1"/>
  <c r="BK1221" i="6" s="1"/>
  <c r="AA1222" i="6" s="1"/>
  <c r="BK1222" i="6" s="1"/>
  <c r="AA1223" i="6" s="1"/>
  <c r="BK1223" i="6" s="1"/>
  <c r="AA1224" i="6" s="1"/>
  <c r="BK1224" i="6" s="1"/>
  <c r="AA1225" i="6" s="1"/>
  <c r="BK1225" i="6" s="1"/>
  <c r="AA1226" i="6" s="1"/>
  <c r="BK1226" i="6" s="1"/>
  <c r="AA1227" i="6" s="1"/>
  <c r="BK1227" i="6" s="1"/>
  <c r="AA1228" i="6" s="1"/>
  <c r="BK1228" i="6" s="1"/>
  <c r="AA1229" i="6" s="1"/>
  <c r="BK1229" i="6" s="1"/>
  <c r="H1202" i="6"/>
  <c r="G1202" i="6"/>
  <c r="F1202" i="6"/>
  <c r="E1202" i="6"/>
  <c r="D1202" i="6"/>
  <c r="C1202" i="6"/>
  <c r="B1202" i="6"/>
  <c r="A1202" i="6"/>
  <c r="AT1201" i="6"/>
  <c r="AO1201" i="6"/>
  <c r="AF1201" i="6"/>
  <c r="AE1201" i="6"/>
  <c r="K1201" i="6"/>
  <c r="J1201" i="6"/>
  <c r="I1201" i="6"/>
  <c r="H1201" i="6"/>
  <c r="G1201" i="6"/>
  <c r="F1201" i="6"/>
  <c r="E1201" i="6"/>
  <c r="D1201" i="6"/>
  <c r="C1201" i="6"/>
  <c r="B1201" i="6"/>
  <c r="A1201" i="6"/>
  <c r="AT1200" i="6"/>
  <c r="AO1200" i="6"/>
  <c r="O1200" i="6"/>
  <c r="AY1200" i="6" s="1"/>
  <c r="O1201" i="6" s="1"/>
  <c r="AY1201" i="6" s="1"/>
  <c r="O1202" i="6" s="1"/>
  <c r="AY1202" i="6" s="1"/>
  <c r="O1203" i="6" s="1"/>
  <c r="AY1203" i="6" s="1"/>
  <c r="O1204" i="6" s="1"/>
  <c r="AY1204" i="6" s="1"/>
  <c r="O1205" i="6" s="1"/>
  <c r="AY1205" i="6" s="1"/>
  <c r="O1206" i="6" s="1"/>
  <c r="AY1206" i="6" s="1"/>
  <c r="O1207" i="6" s="1"/>
  <c r="AY1207" i="6" s="1"/>
  <c r="O1208" i="6" s="1"/>
  <c r="AY1208" i="6" s="1"/>
  <c r="O1209" i="6" s="1"/>
  <c r="AY1209" i="6" s="1"/>
  <c r="O1210" i="6" s="1"/>
  <c r="AY1210" i="6" s="1"/>
  <c r="O1211" i="6" s="1"/>
  <c r="AY1211" i="6" s="1"/>
  <c r="O1212" i="6" s="1"/>
  <c r="AY1212" i="6" s="1"/>
  <c r="O1213" i="6" s="1"/>
  <c r="AY1213" i="6" s="1"/>
  <c r="O1214" i="6" s="1"/>
  <c r="AY1214" i="6" s="1"/>
  <c r="O1215" i="6" s="1"/>
  <c r="AY1215" i="6" s="1"/>
  <c r="O1216" i="6" s="1"/>
  <c r="AY1216" i="6" s="1"/>
  <c r="O1217" i="6" s="1"/>
  <c r="AY1217" i="6" s="1"/>
  <c r="O1218" i="6" s="1"/>
  <c r="AY1218" i="6" s="1"/>
  <c r="O1219" i="6" s="1"/>
  <c r="AY1219" i="6" s="1"/>
  <c r="O1220" i="6" s="1"/>
  <c r="AY1220" i="6" s="1"/>
  <c r="O1221" i="6" s="1"/>
  <c r="AY1221" i="6" s="1"/>
  <c r="O1222" i="6" s="1"/>
  <c r="AY1222" i="6" s="1"/>
  <c r="O1223" i="6" s="1"/>
  <c r="AY1223" i="6" s="1"/>
  <c r="O1224" i="6" s="1"/>
  <c r="AY1224" i="6" s="1"/>
  <c r="O1225" i="6" s="1"/>
  <c r="AY1225" i="6" s="1"/>
  <c r="O1226" i="6" s="1"/>
  <c r="AY1226" i="6" s="1"/>
  <c r="O1227" i="6" s="1"/>
  <c r="AY1227" i="6" s="1"/>
  <c r="O1228" i="6" s="1"/>
  <c r="AY1228" i="6" s="1"/>
  <c r="O1229" i="6" s="1"/>
  <c r="AY1229" i="6" s="1"/>
  <c r="H1200" i="6"/>
  <c r="AF1200" i="6" s="1"/>
  <c r="G1200" i="6"/>
  <c r="F1200" i="6"/>
  <c r="E1200" i="6"/>
  <c r="D1200" i="6"/>
  <c r="C1200" i="6"/>
  <c r="B1200" i="6"/>
  <c r="A1200" i="6"/>
  <c r="AT1199" i="6"/>
  <c r="AI1199" i="6"/>
  <c r="AE1199" i="6"/>
  <c r="Y1199" i="6"/>
  <c r="BI1199" i="6" s="1"/>
  <c r="Y1200" i="6" s="1"/>
  <c r="BI1200" i="6" s="1"/>
  <c r="Y1201" i="6" s="1"/>
  <c r="BI1201" i="6" s="1"/>
  <c r="Y1202" i="6" s="1"/>
  <c r="BI1202" i="6" s="1"/>
  <c r="Y1203" i="6" s="1"/>
  <c r="BI1203" i="6" s="1"/>
  <c r="Y1204" i="6" s="1"/>
  <c r="BI1204" i="6" s="1"/>
  <c r="Y1205" i="6" s="1"/>
  <c r="BI1205" i="6" s="1"/>
  <c r="Y1206" i="6" s="1"/>
  <c r="BI1206" i="6" s="1"/>
  <c r="Y1207" i="6" s="1"/>
  <c r="BI1207" i="6" s="1"/>
  <c r="Y1208" i="6" s="1"/>
  <c r="BI1208" i="6" s="1"/>
  <c r="Y1209" i="6" s="1"/>
  <c r="BI1209" i="6" s="1"/>
  <c r="Y1210" i="6" s="1"/>
  <c r="BI1210" i="6" s="1"/>
  <c r="Y1211" i="6" s="1"/>
  <c r="BI1211" i="6" s="1"/>
  <c r="Y1212" i="6" s="1"/>
  <c r="BI1212" i="6" s="1"/>
  <c r="Y1213" i="6" s="1"/>
  <c r="BI1213" i="6" s="1"/>
  <c r="Y1214" i="6" s="1"/>
  <c r="BI1214" i="6" s="1"/>
  <c r="Y1215" i="6" s="1"/>
  <c r="BI1215" i="6" s="1"/>
  <c r="Y1216" i="6" s="1"/>
  <c r="BI1216" i="6" s="1"/>
  <c r="Y1217" i="6" s="1"/>
  <c r="BI1217" i="6" s="1"/>
  <c r="Y1218" i="6" s="1"/>
  <c r="BI1218" i="6" s="1"/>
  <c r="Y1219" i="6" s="1"/>
  <c r="BI1219" i="6" s="1"/>
  <c r="Y1220" i="6" s="1"/>
  <c r="BI1220" i="6" s="1"/>
  <c r="Y1221" i="6" s="1"/>
  <c r="BI1221" i="6" s="1"/>
  <c r="Y1222" i="6" s="1"/>
  <c r="BI1222" i="6" s="1"/>
  <c r="Y1223" i="6" s="1"/>
  <c r="BI1223" i="6" s="1"/>
  <c r="Y1224" i="6" s="1"/>
  <c r="BI1224" i="6" s="1"/>
  <c r="Y1225" i="6" s="1"/>
  <c r="BI1225" i="6" s="1"/>
  <c r="Y1226" i="6" s="1"/>
  <c r="BI1226" i="6" s="1"/>
  <c r="Y1227" i="6" s="1"/>
  <c r="BI1227" i="6" s="1"/>
  <c r="Y1228" i="6" s="1"/>
  <c r="BI1228" i="6" s="1"/>
  <c r="Y1229" i="6" s="1"/>
  <c r="BI1229" i="6" s="1"/>
  <c r="K1199" i="6"/>
  <c r="J1199" i="6"/>
  <c r="I1199" i="6"/>
  <c r="H1199" i="6"/>
  <c r="G1199" i="6"/>
  <c r="F1199" i="6"/>
  <c r="E1199" i="6"/>
  <c r="D1199" i="6"/>
  <c r="C1199" i="6"/>
  <c r="B1199" i="6"/>
  <c r="A1199" i="6"/>
  <c r="AT1198" i="6"/>
  <c r="AE1198" i="6"/>
  <c r="H1198" i="6"/>
  <c r="G1198" i="6"/>
  <c r="F1198" i="6"/>
  <c r="AI1198" i="6" s="1"/>
  <c r="E1198" i="6"/>
  <c r="D1198" i="6"/>
  <c r="C1198" i="6"/>
  <c r="B1198" i="6"/>
  <c r="A1198" i="6"/>
  <c r="AT1197" i="6"/>
  <c r="AO1197" i="6"/>
  <c r="AE1197" i="6"/>
  <c r="K1197" i="6"/>
  <c r="H1197" i="6"/>
  <c r="G1197" i="6"/>
  <c r="AI1197" i="6" s="1"/>
  <c r="F1197" i="6"/>
  <c r="E1197" i="6"/>
  <c r="D1197" i="6"/>
  <c r="C1197" i="6"/>
  <c r="B1197" i="6"/>
  <c r="A1197" i="6"/>
  <c r="BN1196" i="6"/>
  <c r="BO1196" i="6" s="1"/>
  <c r="BN1197" i="6" s="1"/>
  <c r="BO1197" i="6" s="1"/>
  <c r="BN1198" i="6" s="1"/>
  <c r="BO1198" i="6" s="1"/>
  <c r="BN1199" i="6" s="1"/>
  <c r="AT1196" i="6"/>
  <c r="AO1196" i="6"/>
  <c r="AF1196" i="6"/>
  <c r="AE1196" i="6"/>
  <c r="T1196" i="6"/>
  <c r="BD1196" i="6" s="1"/>
  <c r="T1197" i="6" s="1"/>
  <c r="BD1197" i="6" s="1"/>
  <c r="T1198" i="6" s="1"/>
  <c r="J1196" i="6"/>
  <c r="I1196" i="6"/>
  <c r="H1196" i="6"/>
  <c r="G1196" i="6"/>
  <c r="F1196" i="6"/>
  <c r="E1196" i="6"/>
  <c r="D1196" i="6"/>
  <c r="C1196" i="6"/>
  <c r="B1196" i="6"/>
  <c r="A1196" i="6"/>
  <c r="BI1195" i="6"/>
  <c r="Y1196" i="6" s="1"/>
  <c r="BI1196" i="6" s="1"/>
  <c r="Y1197" i="6" s="1"/>
  <c r="BI1197" i="6" s="1"/>
  <c r="Y1198" i="6" s="1"/>
  <c r="BI1198" i="6" s="1"/>
  <c r="AY1195" i="6"/>
  <c r="O1196" i="6" s="1"/>
  <c r="AY1196" i="6" s="1"/>
  <c r="O1197" i="6" s="1"/>
  <c r="AY1197" i="6" s="1"/>
  <c r="O1198" i="6" s="1"/>
  <c r="AY1198" i="6" s="1"/>
  <c r="O1199" i="6" s="1"/>
  <c r="AY1199" i="6" s="1"/>
  <c r="AW1195" i="6"/>
  <c r="M1196" i="6" s="1"/>
  <c r="AT1195" i="6"/>
  <c r="AO1195" i="6"/>
  <c r="AF1195" i="6"/>
  <c r="AE1195" i="6"/>
  <c r="AB1195" i="6"/>
  <c r="BL1195" i="6" s="1"/>
  <c r="AB1196" i="6" s="1"/>
  <c r="BL1196" i="6" s="1"/>
  <c r="AB1197" i="6" s="1"/>
  <c r="BL1197" i="6" s="1"/>
  <c r="AB1198" i="6" s="1"/>
  <c r="BL1198" i="6" s="1"/>
  <c r="AB1199" i="6" s="1"/>
  <c r="BL1199" i="6" s="1"/>
  <c r="AB1200" i="6" s="1"/>
  <c r="BL1200" i="6" s="1"/>
  <c r="AB1201" i="6" s="1"/>
  <c r="BL1201" i="6" s="1"/>
  <c r="AB1202" i="6" s="1"/>
  <c r="BL1202" i="6" s="1"/>
  <c r="AB1203" i="6" s="1"/>
  <c r="BL1203" i="6" s="1"/>
  <c r="AB1204" i="6" s="1"/>
  <c r="BL1204" i="6" s="1"/>
  <c r="AB1205" i="6" s="1"/>
  <c r="BL1205" i="6" s="1"/>
  <c r="AB1206" i="6" s="1"/>
  <c r="BL1206" i="6" s="1"/>
  <c r="AB1207" i="6" s="1"/>
  <c r="BL1207" i="6" s="1"/>
  <c r="AB1208" i="6" s="1"/>
  <c r="BL1208" i="6" s="1"/>
  <c r="AB1209" i="6" s="1"/>
  <c r="BL1209" i="6" s="1"/>
  <c r="AB1210" i="6" s="1"/>
  <c r="BL1210" i="6" s="1"/>
  <c r="AB1211" i="6" s="1"/>
  <c r="BL1211" i="6" s="1"/>
  <c r="AB1212" i="6" s="1"/>
  <c r="BL1212" i="6" s="1"/>
  <c r="AB1213" i="6" s="1"/>
  <c r="BL1213" i="6" s="1"/>
  <c r="AB1214" i="6" s="1"/>
  <c r="BL1214" i="6" s="1"/>
  <c r="AB1215" i="6" s="1"/>
  <c r="BL1215" i="6" s="1"/>
  <c r="AB1216" i="6" s="1"/>
  <c r="BL1216" i="6" s="1"/>
  <c r="AB1217" i="6" s="1"/>
  <c r="BL1217" i="6" s="1"/>
  <c r="AB1218" i="6" s="1"/>
  <c r="BL1218" i="6" s="1"/>
  <c r="AB1219" i="6" s="1"/>
  <c r="BL1219" i="6" s="1"/>
  <c r="AB1220" i="6" s="1"/>
  <c r="BL1220" i="6" s="1"/>
  <c r="AB1221" i="6" s="1"/>
  <c r="BL1221" i="6" s="1"/>
  <c r="AB1222" i="6" s="1"/>
  <c r="BL1222" i="6" s="1"/>
  <c r="AB1223" i="6" s="1"/>
  <c r="BL1223" i="6" s="1"/>
  <c r="AB1224" i="6" s="1"/>
  <c r="BL1224" i="6" s="1"/>
  <c r="AB1225" i="6" s="1"/>
  <c r="BL1225" i="6" s="1"/>
  <c r="AB1226" i="6" s="1"/>
  <c r="BL1226" i="6" s="1"/>
  <c r="AB1227" i="6" s="1"/>
  <c r="BL1227" i="6" s="1"/>
  <c r="AB1228" i="6" s="1"/>
  <c r="BL1228" i="6" s="1"/>
  <c r="AB1229" i="6" s="1"/>
  <c r="BL1229" i="6" s="1"/>
  <c r="AA1195" i="6"/>
  <c r="BK1195" i="6" s="1"/>
  <c r="AA1196" i="6" s="1"/>
  <c r="BK1196" i="6" s="1"/>
  <c r="AA1197" i="6" s="1"/>
  <c r="BK1197" i="6" s="1"/>
  <c r="AA1198" i="6" s="1"/>
  <c r="BK1198" i="6" s="1"/>
  <c r="AA1199" i="6" s="1"/>
  <c r="BK1199" i="6" s="1"/>
  <c r="AA1200" i="6" s="1"/>
  <c r="BK1200" i="6" s="1"/>
  <c r="AA1201" i="6" s="1"/>
  <c r="BK1201" i="6" s="1"/>
  <c r="Y1195" i="6"/>
  <c r="O1195" i="6"/>
  <c r="M1195" i="6"/>
  <c r="I1195" i="6"/>
  <c r="H1195" i="6"/>
  <c r="G1195" i="6"/>
  <c r="AV1195" i="6" s="1"/>
  <c r="L1196" i="6" s="1"/>
  <c r="F1195" i="6"/>
  <c r="AI1195" i="6" s="1"/>
  <c r="E1195" i="6"/>
  <c r="D1195" i="6"/>
  <c r="C1195" i="6"/>
  <c r="B1195" i="6"/>
  <c r="A1195" i="6"/>
  <c r="BN1194" i="6"/>
  <c r="BO1194" i="6" s="1"/>
  <c r="BN1195" i="6" s="1"/>
  <c r="BO1195" i="6" s="1"/>
  <c r="BH1194" i="6"/>
  <c r="X1195" i="6" s="1"/>
  <c r="BH1195" i="6" s="1"/>
  <c r="X1196" i="6" s="1"/>
  <c r="BH1196" i="6" s="1"/>
  <c r="X1197" i="6" s="1"/>
  <c r="BH1197" i="6" s="1"/>
  <c r="X1198" i="6" s="1"/>
  <c r="BH1198" i="6" s="1"/>
  <c r="X1199" i="6" s="1"/>
  <c r="BH1199" i="6" s="1"/>
  <c r="X1200" i="6" s="1"/>
  <c r="BH1200" i="6" s="1"/>
  <c r="X1201" i="6" s="1"/>
  <c r="BH1201" i="6" s="1"/>
  <c r="X1202" i="6" s="1"/>
  <c r="BH1202" i="6" s="1"/>
  <c r="X1203" i="6" s="1"/>
  <c r="BH1203" i="6" s="1"/>
  <c r="X1204" i="6" s="1"/>
  <c r="BH1204" i="6" s="1"/>
  <c r="X1205" i="6" s="1"/>
  <c r="BH1205" i="6" s="1"/>
  <c r="X1206" i="6" s="1"/>
  <c r="BH1206" i="6" s="1"/>
  <c r="X1207" i="6" s="1"/>
  <c r="BH1207" i="6" s="1"/>
  <c r="X1208" i="6" s="1"/>
  <c r="BH1208" i="6" s="1"/>
  <c r="X1209" i="6" s="1"/>
  <c r="BH1209" i="6" s="1"/>
  <c r="X1210" i="6" s="1"/>
  <c r="BH1210" i="6" s="1"/>
  <c r="X1211" i="6" s="1"/>
  <c r="BH1211" i="6" s="1"/>
  <c r="X1212" i="6" s="1"/>
  <c r="BH1212" i="6" s="1"/>
  <c r="X1213" i="6" s="1"/>
  <c r="BH1213" i="6" s="1"/>
  <c r="X1214" i="6" s="1"/>
  <c r="BH1214" i="6" s="1"/>
  <c r="X1215" i="6" s="1"/>
  <c r="BH1215" i="6" s="1"/>
  <c r="X1216" i="6" s="1"/>
  <c r="BH1216" i="6" s="1"/>
  <c r="X1217" i="6" s="1"/>
  <c r="BH1217" i="6" s="1"/>
  <c r="X1218" i="6" s="1"/>
  <c r="BH1218" i="6" s="1"/>
  <c r="X1219" i="6" s="1"/>
  <c r="BH1219" i="6" s="1"/>
  <c r="X1220" i="6" s="1"/>
  <c r="BH1220" i="6" s="1"/>
  <c r="X1221" i="6" s="1"/>
  <c r="BH1221" i="6" s="1"/>
  <c r="X1222" i="6" s="1"/>
  <c r="BH1222" i="6" s="1"/>
  <c r="X1223" i="6" s="1"/>
  <c r="BH1223" i="6" s="1"/>
  <c r="X1224" i="6" s="1"/>
  <c r="BH1224" i="6" s="1"/>
  <c r="X1225" i="6" s="1"/>
  <c r="BH1225" i="6" s="1"/>
  <c r="X1226" i="6" s="1"/>
  <c r="BH1226" i="6" s="1"/>
  <c r="X1227" i="6" s="1"/>
  <c r="BH1227" i="6" s="1"/>
  <c r="X1228" i="6" s="1"/>
  <c r="BH1228" i="6" s="1"/>
  <c r="X1229" i="6" s="1"/>
  <c r="BH1229" i="6" s="1"/>
  <c r="BG1194" i="6"/>
  <c r="W1195" i="6" s="1"/>
  <c r="BG1195" i="6" s="1"/>
  <c r="W1196" i="6" s="1"/>
  <c r="BE1194" i="6"/>
  <c r="BD1194" i="6"/>
  <c r="T1195" i="6" s="1"/>
  <c r="BD1195" i="6" s="1"/>
  <c r="AV1194" i="6"/>
  <c r="L1195" i="6" s="1"/>
  <c r="AT1194" i="6"/>
  <c r="AO1194" i="6"/>
  <c r="AI1194" i="6"/>
  <c r="AF1194" i="6"/>
  <c r="AC1194" i="6"/>
  <c r="BM1194" i="6" s="1"/>
  <c r="AC1195" i="6" s="1"/>
  <c r="BM1195" i="6" s="1"/>
  <c r="AC1196" i="6" s="1"/>
  <c r="BM1196" i="6" s="1"/>
  <c r="AC1197" i="6" s="1"/>
  <c r="BM1197" i="6" s="1"/>
  <c r="AC1198" i="6" s="1"/>
  <c r="BM1198" i="6" s="1"/>
  <c r="AC1199" i="6" s="1"/>
  <c r="BM1199" i="6" s="1"/>
  <c r="AC1200" i="6" s="1"/>
  <c r="BM1200" i="6" s="1"/>
  <c r="AC1201" i="6" s="1"/>
  <c r="BM1201" i="6" s="1"/>
  <c r="AC1202" i="6" s="1"/>
  <c r="BM1202" i="6" s="1"/>
  <c r="AC1203" i="6" s="1"/>
  <c r="BM1203" i="6" s="1"/>
  <c r="AC1204" i="6" s="1"/>
  <c r="BM1204" i="6" s="1"/>
  <c r="AC1205" i="6" s="1"/>
  <c r="BM1205" i="6" s="1"/>
  <c r="AC1206" i="6" s="1"/>
  <c r="BM1206" i="6" s="1"/>
  <c r="AC1207" i="6" s="1"/>
  <c r="BM1207" i="6" s="1"/>
  <c r="AC1208" i="6" s="1"/>
  <c r="BM1208" i="6" s="1"/>
  <c r="AC1209" i="6" s="1"/>
  <c r="BM1209" i="6" s="1"/>
  <c r="AC1210" i="6" s="1"/>
  <c r="BM1210" i="6" s="1"/>
  <c r="AC1211" i="6" s="1"/>
  <c r="BM1211" i="6" s="1"/>
  <c r="AC1212" i="6" s="1"/>
  <c r="BM1212" i="6" s="1"/>
  <c r="AC1213" i="6" s="1"/>
  <c r="BM1213" i="6" s="1"/>
  <c r="AC1214" i="6" s="1"/>
  <c r="BM1214" i="6" s="1"/>
  <c r="AC1215" i="6" s="1"/>
  <c r="BM1215" i="6" s="1"/>
  <c r="AC1216" i="6" s="1"/>
  <c r="BM1216" i="6" s="1"/>
  <c r="AC1217" i="6" s="1"/>
  <c r="BM1217" i="6" s="1"/>
  <c r="AC1218" i="6" s="1"/>
  <c r="BM1218" i="6" s="1"/>
  <c r="AC1219" i="6" s="1"/>
  <c r="BM1219" i="6" s="1"/>
  <c r="AC1220" i="6" s="1"/>
  <c r="BM1220" i="6" s="1"/>
  <c r="AC1221" i="6" s="1"/>
  <c r="BM1221" i="6" s="1"/>
  <c r="AC1222" i="6" s="1"/>
  <c r="BM1222" i="6" s="1"/>
  <c r="AC1223" i="6" s="1"/>
  <c r="BM1223" i="6" s="1"/>
  <c r="AC1224" i="6" s="1"/>
  <c r="BM1224" i="6" s="1"/>
  <c r="AC1225" i="6" s="1"/>
  <c r="BM1225" i="6" s="1"/>
  <c r="AC1226" i="6" s="1"/>
  <c r="BM1226" i="6" s="1"/>
  <c r="AC1227" i="6" s="1"/>
  <c r="BM1227" i="6" s="1"/>
  <c r="AC1228" i="6" s="1"/>
  <c r="BM1228" i="6" s="1"/>
  <c r="AC1229" i="6" s="1"/>
  <c r="BM1229" i="6" s="1"/>
  <c r="AB1194" i="6"/>
  <c r="BL1194" i="6" s="1"/>
  <c r="AA1194" i="6"/>
  <c r="BK1194" i="6" s="1"/>
  <c r="Z1194" i="6"/>
  <c r="BJ1194" i="6" s="1"/>
  <c r="Z1195" i="6" s="1"/>
  <c r="BJ1195" i="6" s="1"/>
  <c r="Z1196" i="6" s="1"/>
  <c r="BJ1196" i="6" s="1"/>
  <c r="Z1197" i="6" s="1"/>
  <c r="BJ1197" i="6" s="1"/>
  <c r="Z1198" i="6" s="1"/>
  <c r="BJ1198" i="6" s="1"/>
  <c r="Z1199" i="6" s="1"/>
  <c r="BJ1199" i="6" s="1"/>
  <c r="Z1200" i="6" s="1"/>
  <c r="BJ1200" i="6" s="1"/>
  <c r="Z1201" i="6" s="1"/>
  <c r="BJ1201" i="6" s="1"/>
  <c r="Z1202" i="6" s="1"/>
  <c r="BJ1202" i="6" s="1"/>
  <c r="Z1203" i="6" s="1"/>
  <c r="BJ1203" i="6" s="1"/>
  <c r="Z1204" i="6" s="1"/>
  <c r="BJ1204" i="6" s="1"/>
  <c r="Z1205" i="6" s="1"/>
  <c r="BJ1205" i="6" s="1"/>
  <c r="Z1206" i="6" s="1"/>
  <c r="BJ1206" i="6" s="1"/>
  <c r="Z1207" i="6" s="1"/>
  <c r="BJ1207" i="6" s="1"/>
  <c r="Z1208" i="6" s="1"/>
  <c r="BJ1208" i="6" s="1"/>
  <c r="Z1209" i="6" s="1"/>
  <c r="BJ1209" i="6" s="1"/>
  <c r="Z1210" i="6" s="1"/>
  <c r="BJ1210" i="6" s="1"/>
  <c r="Z1211" i="6" s="1"/>
  <c r="BJ1211" i="6" s="1"/>
  <c r="Z1212" i="6" s="1"/>
  <c r="BJ1212" i="6" s="1"/>
  <c r="Z1213" i="6" s="1"/>
  <c r="BJ1213" i="6" s="1"/>
  <c r="Z1214" i="6" s="1"/>
  <c r="BJ1214" i="6" s="1"/>
  <c r="Z1215" i="6" s="1"/>
  <c r="BJ1215" i="6" s="1"/>
  <c r="Z1216" i="6" s="1"/>
  <c r="BJ1216" i="6" s="1"/>
  <c r="Z1217" i="6" s="1"/>
  <c r="BJ1217" i="6" s="1"/>
  <c r="Z1218" i="6" s="1"/>
  <c r="BJ1218" i="6" s="1"/>
  <c r="Z1219" i="6" s="1"/>
  <c r="BJ1219" i="6" s="1"/>
  <c r="Z1220" i="6" s="1"/>
  <c r="BJ1220" i="6" s="1"/>
  <c r="Z1221" i="6" s="1"/>
  <c r="BJ1221" i="6" s="1"/>
  <c r="Z1222" i="6" s="1"/>
  <c r="BJ1222" i="6" s="1"/>
  <c r="Z1223" i="6" s="1"/>
  <c r="BJ1223" i="6" s="1"/>
  <c r="Z1224" i="6" s="1"/>
  <c r="BJ1224" i="6" s="1"/>
  <c r="Z1225" i="6" s="1"/>
  <c r="BJ1225" i="6" s="1"/>
  <c r="Z1226" i="6" s="1"/>
  <c r="BJ1226" i="6" s="1"/>
  <c r="Z1227" i="6" s="1"/>
  <c r="BJ1227" i="6" s="1"/>
  <c r="Z1228" i="6" s="1"/>
  <c r="BJ1228" i="6" s="1"/>
  <c r="Z1229" i="6" s="1"/>
  <c r="BJ1229" i="6" s="1"/>
  <c r="Y1194" i="6"/>
  <c r="BI1194" i="6" s="1"/>
  <c r="X1194" i="6"/>
  <c r="W1194" i="6"/>
  <c r="V1194" i="6"/>
  <c r="BF1194" i="6" s="1"/>
  <c r="V1195" i="6" s="1"/>
  <c r="BF1195" i="6" s="1"/>
  <c r="V1196" i="6" s="1"/>
  <c r="BF1196" i="6" s="1"/>
  <c r="V1197" i="6" s="1"/>
  <c r="BF1197" i="6" s="1"/>
  <c r="V1198" i="6" s="1"/>
  <c r="BF1198" i="6" s="1"/>
  <c r="V1199" i="6" s="1"/>
  <c r="BF1199" i="6" s="1"/>
  <c r="V1200" i="6" s="1"/>
  <c r="BF1200" i="6" s="1"/>
  <c r="V1201" i="6" s="1"/>
  <c r="BF1201" i="6" s="1"/>
  <c r="V1202" i="6" s="1"/>
  <c r="BF1202" i="6" s="1"/>
  <c r="V1203" i="6" s="1"/>
  <c r="BF1203" i="6" s="1"/>
  <c r="V1204" i="6" s="1"/>
  <c r="BF1204" i="6" s="1"/>
  <c r="V1205" i="6" s="1"/>
  <c r="BF1205" i="6" s="1"/>
  <c r="V1206" i="6" s="1"/>
  <c r="BF1206" i="6" s="1"/>
  <c r="V1207" i="6" s="1"/>
  <c r="BF1207" i="6" s="1"/>
  <c r="V1208" i="6" s="1"/>
  <c r="BF1208" i="6" s="1"/>
  <c r="V1209" i="6" s="1"/>
  <c r="BF1209" i="6" s="1"/>
  <c r="V1210" i="6" s="1"/>
  <c r="BF1210" i="6" s="1"/>
  <c r="V1211" i="6" s="1"/>
  <c r="BF1211" i="6" s="1"/>
  <c r="V1212" i="6" s="1"/>
  <c r="BF1212" i="6" s="1"/>
  <c r="V1213" i="6" s="1"/>
  <c r="BF1213" i="6" s="1"/>
  <c r="V1214" i="6" s="1"/>
  <c r="BF1214" i="6" s="1"/>
  <c r="V1215" i="6" s="1"/>
  <c r="BF1215" i="6" s="1"/>
  <c r="V1216" i="6" s="1"/>
  <c r="BF1216" i="6" s="1"/>
  <c r="V1217" i="6" s="1"/>
  <c r="U1194" i="6"/>
  <c r="T1194" i="6"/>
  <c r="S1194" i="6"/>
  <c r="BC1194" i="6" s="1"/>
  <c r="S1195" i="6" s="1"/>
  <c r="BC1195" i="6" s="1"/>
  <c r="S1196" i="6" s="1"/>
  <c r="BC1196" i="6" s="1"/>
  <c r="S1197" i="6" s="1"/>
  <c r="BC1197" i="6" s="1"/>
  <c r="S1198" i="6" s="1"/>
  <c r="BC1198" i="6" s="1"/>
  <c r="S1199" i="6" s="1"/>
  <c r="BC1199" i="6" s="1"/>
  <c r="S1200" i="6" s="1"/>
  <c r="BC1200" i="6" s="1"/>
  <c r="S1201" i="6" s="1"/>
  <c r="BC1201" i="6" s="1"/>
  <c r="S1202" i="6" s="1"/>
  <c r="BC1202" i="6" s="1"/>
  <c r="S1203" i="6" s="1"/>
  <c r="BC1203" i="6" s="1"/>
  <c r="S1204" i="6" s="1"/>
  <c r="BC1204" i="6" s="1"/>
  <c r="S1205" i="6" s="1"/>
  <c r="BC1205" i="6" s="1"/>
  <c r="S1206" i="6" s="1"/>
  <c r="BC1206" i="6" s="1"/>
  <c r="S1207" i="6" s="1"/>
  <c r="BC1207" i="6" s="1"/>
  <c r="S1208" i="6" s="1"/>
  <c r="BC1208" i="6" s="1"/>
  <c r="S1209" i="6" s="1"/>
  <c r="BC1209" i="6" s="1"/>
  <c r="S1210" i="6" s="1"/>
  <c r="BC1210" i="6" s="1"/>
  <c r="S1211" i="6" s="1"/>
  <c r="BC1211" i="6" s="1"/>
  <c r="S1212" i="6" s="1"/>
  <c r="BC1212" i="6" s="1"/>
  <c r="S1213" i="6" s="1"/>
  <c r="BC1213" i="6" s="1"/>
  <c r="S1214" i="6" s="1"/>
  <c r="BC1214" i="6" s="1"/>
  <c r="S1215" i="6" s="1"/>
  <c r="BC1215" i="6" s="1"/>
  <c r="S1216" i="6" s="1"/>
  <c r="BC1216" i="6" s="1"/>
  <c r="S1217" i="6" s="1"/>
  <c r="BC1217" i="6" s="1"/>
  <c r="S1218" i="6" s="1"/>
  <c r="BC1218" i="6" s="1"/>
  <c r="S1219" i="6" s="1"/>
  <c r="BC1219" i="6" s="1"/>
  <c r="S1220" i="6" s="1"/>
  <c r="BC1220" i="6" s="1"/>
  <c r="S1221" i="6" s="1"/>
  <c r="BC1221" i="6" s="1"/>
  <c r="S1222" i="6" s="1"/>
  <c r="BC1222" i="6" s="1"/>
  <c r="S1223" i="6" s="1"/>
  <c r="BC1223" i="6" s="1"/>
  <c r="S1224" i="6" s="1"/>
  <c r="BC1224" i="6" s="1"/>
  <c r="S1225" i="6" s="1"/>
  <c r="BC1225" i="6" s="1"/>
  <c r="S1226" i="6" s="1"/>
  <c r="BC1226" i="6" s="1"/>
  <c r="S1227" i="6" s="1"/>
  <c r="BC1227" i="6" s="1"/>
  <c r="S1228" i="6" s="1"/>
  <c r="BC1228" i="6" s="1"/>
  <c r="S1229" i="6" s="1"/>
  <c r="BC1229" i="6" s="1"/>
  <c r="R1194" i="6"/>
  <c r="BB1194" i="6" s="1"/>
  <c r="R1195" i="6" s="1"/>
  <c r="BB1195" i="6" s="1"/>
  <c r="R1196" i="6" s="1"/>
  <c r="BB1196" i="6" s="1"/>
  <c r="R1197" i="6" s="1"/>
  <c r="BB1197" i="6" s="1"/>
  <c r="R1198" i="6" s="1"/>
  <c r="BB1198" i="6" s="1"/>
  <c r="R1199" i="6" s="1"/>
  <c r="BB1199" i="6" s="1"/>
  <c r="R1200" i="6" s="1"/>
  <c r="BB1200" i="6" s="1"/>
  <c r="R1201" i="6" s="1"/>
  <c r="BB1201" i="6" s="1"/>
  <c r="R1202" i="6" s="1"/>
  <c r="BB1202" i="6" s="1"/>
  <c r="R1203" i="6" s="1"/>
  <c r="BB1203" i="6" s="1"/>
  <c r="R1204" i="6" s="1"/>
  <c r="BB1204" i="6" s="1"/>
  <c r="R1205" i="6" s="1"/>
  <c r="BB1205" i="6" s="1"/>
  <c r="R1206" i="6" s="1"/>
  <c r="BB1206" i="6" s="1"/>
  <c r="R1207" i="6" s="1"/>
  <c r="BB1207" i="6" s="1"/>
  <c r="R1208" i="6" s="1"/>
  <c r="BB1208" i="6" s="1"/>
  <c r="R1209" i="6" s="1"/>
  <c r="BB1209" i="6" s="1"/>
  <c r="R1210" i="6" s="1"/>
  <c r="BB1210" i="6" s="1"/>
  <c r="R1211" i="6" s="1"/>
  <c r="BB1211" i="6" s="1"/>
  <c r="R1212" i="6" s="1"/>
  <c r="BB1212" i="6" s="1"/>
  <c r="R1213" i="6" s="1"/>
  <c r="BB1213" i="6" s="1"/>
  <c r="R1214" i="6" s="1"/>
  <c r="BB1214" i="6" s="1"/>
  <c r="R1215" i="6" s="1"/>
  <c r="BB1215" i="6" s="1"/>
  <c r="R1216" i="6" s="1"/>
  <c r="BB1216" i="6" s="1"/>
  <c r="R1217" i="6" s="1"/>
  <c r="BB1217" i="6" s="1"/>
  <c r="R1218" i="6" s="1"/>
  <c r="BB1218" i="6" s="1"/>
  <c r="R1219" i="6" s="1"/>
  <c r="BB1219" i="6" s="1"/>
  <c r="R1220" i="6" s="1"/>
  <c r="BB1220" i="6" s="1"/>
  <c r="R1221" i="6" s="1"/>
  <c r="BB1221" i="6" s="1"/>
  <c r="R1222" i="6" s="1"/>
  <c r="BB1222" i="6" s="1"/>
  <c r="R1223" i="6" s="1"/>
  <c r="BB1223" i="6" s="1"/>
  <c r="R1224" i="6" s="1"/>
  <c r="BB1224" i="6" s="1"/>
  <c r="R1225" i="6" s="1"/>
  <c r="BB1225" i="6" s="1"/>
  <c r="R1226" i="6" s="1"/>
  <c r="BB1226" i="6" s="1"/>
  <c r="R1227" i="6" s="1"/>
  <c r="BB1227" i="6" s="1"/>
  <c r="R1228" i="6" s="1"/>
  <c r="BB1228" i="6" s="1"/>
  <c r="R1229" i="6" s="1"/>
  <c r="BB1229" i="6" s="1"/>
  <c r="Q1194" i="6"/>
  <c r="BA1194" i="6" s="1"/>
  <c r="Q1195" i="6" s="1"/>
  <c r="O1194" i="6"/>
  <c r="AY1194" i="6" s="1"/>
  <c r="N1194" i="6"/>
  <c r="AX1194" i="6" s="1"/>
  <c r="N1195" i="6" s="1"/>
  <c r="AX1195" i="6" s="1"/>
  <c r="N1196" i="6" s="1"/>
  <c r="AX1196" i="6" s="1"/>
  <c r="N1197" i="6" s="1"/>
  <c r="AX1197" i="6" s="1"/>
  <c r="N1198" i="6" s="1"/>
  <c r="AX1198" i="6" s="1"/>
  <c r="N1199" i="6" s="1"/>
  <c r="AX1199" i="6" s="1"/>
  <c r="N1200" i="6" s="1"/>
  <c r="AX1200" i="6" s="1"/>
  <c r="M1194" i="6"/>
  <c r="AW1194" i="6" s="1"/>
  <c r="L1194" i="6"/>
  <c r="K1194" i="6"/>
  <c r="J1194" i="6"/>
  <c r="I1194" i="6"/>
  <c r="H1194" i="6"/>
  <c r="G1194" i="6"/>
  <c r="F1194" i="6"/>
  <c r="E1194" i="6"/>
  <c r="D1194" i="6"/>
  <c r="C1194" i="6"/>
  <c r="B1194" i="6"/>
  <c r="A1194" i="6"/>
  <c r="AO1193" i="6"/>
  <c r="H1193" i="6"/>
  <c r="G1193" i="6"/>
  <c r="F1193" i="6"/>
  <c r="E1193" i="6"/>
  <c r="D1193" i="6"/>
  <c r="C1193" i="6"/>
  <c r="B1193" i="6"/>
  <c r="A1193" i="6"/>
  <c r="AO1192" i="6"/>
  <c r="AI1192" i="6"/>
  <c r="K1192" i="6"/>
  <c r="J1192" i="6"/>
  <c r="H1192" i="6"/>
  <c r="G1192" i="6"/>
  <c r="F1192" i="6"/>
  <c r="E1192" i="6"/>
  <c r="D1192" i="6"/>
  <c r="C1192" i="6"/>
  <c r="B1192" i="6"/>
  <c r="A1192" i="6"/>
  <c r="AO1191" i="6"/>
  <c r="H1191" i="6"/>
  <c r="G1191" i="6"/>
  <c r="F1191" i="6"/>
  <c r="E1191" i="6"/>
  <c r="D1191" i="6"/>
  <c r="C1191" i="6"/>
  <c r="B1191" i="6"/>
  <c r="A1191" i="6"/>
  <c r="AO1190" i="6"/>
  <c r="AE1190" i="6"/>
  <c r="H1190" i="6"/>
  <c r="G1190" i="6"/>
  <c r="F1190" i="6"/>
  <c r="J1190" i="6" s="1"/>
  <c r="E1190" i="6"/>
  <c r="D1190" i="6"/>
  <c r="C1190" i="6"/>
  <c r="B1190" i="6"/>
  <c r="A1190" i="6"/>
  <c r="AO1189" i="6"/>
  <c r="AE1189" i="6"/>
  <c r="K1189" i="6"/>
  <c r="J1189" i="6"/>
  <c r="I1189" i="6"/>
  <c r="H1189" i="6"/>
  <c r="G1189" i="6"/>
  <c r="F1189" i="6"/>
  <c r="E1189" i="6"/>
  <c r="D1189" i="6"/>
  <c r="C1189" i="6"/>
  <c r="B1189" i="6"/>
  <c r="A1189" i="6"/>
  <c r="AO1188" i="6"/>
  <c r="J1188" i="6"/>
  <c r="I1188" i="6"/>
  <c r="H1188" i="6"/>
  <c r="G1188" i="6"/>
  <c r="F1188" i="6"/>
  <c r="E1188" i="6"/>
  <c r="D1188" i="6"/>
  <c r="C1188" i="6"/>
  <c r="B1188" i="6"/>
  <c r="A1188" i="6"/>
  <c r="AO1187" i="6"/>
  <c r="AI1187" i="6"/>
  <c r="K1187" i="6"/>
  <c r="J1187" i="6"/>
  <c r="I1187" i="6"/>
  <c r="H1187" i="6"/>
  <c r="G1187" i="6"/>
  <c r="F1187" i="6"/>
  <c r="AE1187" i="6" s="1"/>
  <c r="E1187" i="6"/>
  <c r="D1187" i="6"/>
  <c r="C1187" i="6"/>
  <c r="B1187" i="6"/>
  <c r="A1187" i="6"/>
  <c r="AO1186" i="6"/>
  <c r="AI1186" i="6"/>
  <c r="AE1186" i="6"/>
  <c r="K1186" i="6"/>
  <c r="H1186" i="6"/>
  <c r="G1186" i="6"/>
  <c r="F1186" i="6"/>
  <c r="E1186" i="6"/>
  <c r="D1186" i="6"/>
  <c r="C1186" i="6"/>
  <c r="B1186" i="6"/>
  <c r="A1186" i="6"/>
  <c r="AO1185" i="6"/>
  <c r="AI1185" i="6"/>
  <c r="AE1185" i="6"/>
  <c r="H1185" i="6"/>
  <c r="G1185" i="6"/>
  <c r="F1185" i="6"/>
  <c r="E1185" i="6"/>
  <c r="D1185" i="6"/>
  <c r="C1185" i="6"/>
  <c r="B1185" i="6"/>
  <c r="A1185" i="6"/>
  <c r="AO1184" i="6"/>
  <c r="AE1184" i="6"/>
  <c r="J1184" i="6"/>
  <c r="H1184" i="6"/>
  <c r="G1184" i="6"/>
  <c r="F1184" i="6"/>
  <c r="E1184" i="6"/>
  <c r="D1184" i="6"/>
  <c r="C1184" i="6"/>
  <c r="B1184" i="6"/>
  <c r="A1184" i="6"/>
  <c r="AO1183" i="6"/>
  <c r="AE1183" i="6"/>
  <c r="I1183" i="6"/>
  <c r="H1183" i="6"/>
  <c r="G1183" i="6"/>
  <c r="F1183" i="6"/>
  <c r="E1183" i="6"/>
  <c r="D1183" i="6"/>
  <c r="C1183" i="6"/>
  <c r="B1183" i="6"/>
  <c r="A1183" i="6"/>
  <c r="AO1182" i="6"/>
  <c r="AI1182" i="6"/>
  <c r="K1182" i="6"/>
  <c r="J1182" i="6"/>
  <c r="I1182" i="6"/>
  <c r="H1182" i="6"/>
  <c r="G1182" i="6"/>
  <c r="F1182" i="6"/>
  <c r="E1182" i="6"/>
  <c r="D1182" i="6"/>
  <c r="C1182" i="6"/>
  <c r="B1182" i="6"/>
  <c r="A1182" i="6"/>
  <c r="AO1181" i="6"/>
  <c r="AI1181" i="6"/>
  <c r="AE1181" i="6"/>
  <c r="K1181" i="6"/>
  <c r="J1181" i="6"/>
  <c r="I1181" i="6"/>
  <c r="H1181" i="6"/>
  <c r="G1181" i="6"/>
  <c r="F1181" i="6"/>
  <c r="E1181" i="6"/>
  <c r="D1181" i="6"/>
  <c r="C1181" i="6"/>
  <c r="B1181" i="6"/>
  <c r="A1181" i="6"/>
  <c r="AT1180" i="6"/>
  <c r="AI1180" i="6"/>
  <c r="K1180" i="6"/>
  <c r="I1180" i="6"/>
  <c r="H1180" i="6"/>
  <c r="G1180" i="6"/>
  <c r="F1180" i="6"/>
  <c r="E1180" i="6"/>
  <c r="D1180" i="6"/>
  <c r="C1180" i="6"/>
  <c r="B1180" i="6"/>
  <c r="A1180" i="6"/>
  <c r="AT1179" i="6"/>
  <c r="AO1179" i="6"/>
  <c r="H1179" i="6"/>
  <c r="G1179" i="6"/>
  <c r="F1179" i="6"/>
  <c r="E1179" i="6"/>
  <c r="D1179" i="6"/>
  <c r="C1179" i="6"/>
  <c r="B1179" i="6"/>
  <c r="A1179" i="6"/>
  <c r="AT1178" i="6"/>
  <c r="AO1178" i="6"/>
  <c r="AI1178" i="6"/>
  <c r="AE1178" i="6"/>
  <c r="K1178" i="6"/>
  <c r="J1178" i="6"/>
  <c r="H1178" i="6"/>
  <c r="G1178" i="6"/>
  <c r="F1178" i="6"/>
  <c r="E1178" i="6"/>
  <c r="D1178" i="6"/>
  <c r="C1178" i="6"/>
  <c r="B1178" i="6"/>
  <c r="A1178" i="6"/>
  <c r="AT1177" i="6"/>
  <c r="AO1177" i="6"/>
  <c r="H1177" i="6"/>
  <c r="G1177" i="6"/>
  <c r="F1177" i="6"/>
  <c r="E1177" i="6"/>
  <c r="D1177" i="6"/>
  <c r="C1177" i="6"/>
  <c r="B1177" i="6"/>
  <c r="A1177" i="6"/>
  <c r="AT1176" i="6"/>
  <c r="AO1176" i="6"/>
  <c r="AE1176" i="6"/>
  <c r="J1176" i="6"/>
  <c r="I1176" i="6"/>
  <c r="H1176" i="6"/>
  <c r="G1176" i="6"/>
  <c r="F1176" i="6"/>
  <c r="AI1176" i="6" s="1"/>
  <c r="E1176" i="6"/>
  <c r="D1176" i="6"/>
  <c r="C1176" i="6"/>
  <c r="B1176" i="6"/>
  <c r="A1176" i="6"/>
  <c r="AT1175" i="6"/>
  <c r="AO1175" i="6"/>
  <c r="AF1175" i="6"/>
  <c r="AE1175" i="6"/>
  <c r="K1175" i="6"/>
  <c r="J1175" i="6"/>
  <c r="I1175" i="6"/>
  <c r="H1175" i="6"/>
  <c r="G1175" i="6"/>
  <c r="F1175" i="6"/>
  <c r="E1175" i="6"/>
  <c r="D1175" i="6"/>
  <c r="C1175" i="6"/>
  <c r="B1175" i="6"/>
  <c r="A1175" i="6"/>
  <c r="AT1174" i="6"/>
  <c r="O1174" i="6"/>
  <c r="AY1174" i="6" s="1"/>
  <c r="O1175" i="6" s="1"/>
  <c r="AY1175" i="6" s="1"/>
  <c r="O1176" i="6" s="1"/>
  <c r="AY1176" i="6" s="1"/>
  <c r="O1177" i="6" s="1"/>
  <c r="AY1177" i="6" s="1"/>
  <c r="O1178" i="6" s="1"/>
  <c r="AY1178" i="6" s="1"/>
  <c r="O1179" i="6" s="1"/>
  <c r="AY1179" i="6" s="1"/>
  <c r="O1180" i="6" s="1"/>
  <c r="AY1180" i="6" s="1"/>
  <c r="O1181" i="6" s="1"/>
  <c r="AY1181" i="6" s="1"/>
  <c r="O1182" i="6" s="1"/>
  <c r="AY1182" i="6" s="1"/>
  <c r="O1183" i="6" s="1"/>
  <c r="AY1183" i="6" s="1"/>
  <c r="O1184" i="6" s="1"/>
  <c r="AY1184" i="6" s="1"/>
  <c r="O1185" i="6" s="1"/>
  <c r="AY1185" i="6" s="1"/>
  <c r="O1186" i="6" s="1"/>
  <c r="AY1186" i="6" s="1"/>
  <c r="O1187" i="6" s="1"/>
  <c r="AY1187" i="6" s="1"/>
  <c r="O1188" i="6" s="1"/>
  <c r="AY1188" i="6" s="1"/>
  <c r="O1189" i="6" s="1"/>
  <c r="AY1189" i="6" s="1"/>
  <c r="O1190" i="6" s="1"/>
  <c r="AY1190" i="6" s="1"/>
  <c r="O1191" i="6" s="1"/>
  <c r="AY1191" i="6" s="1"/>
  <c r="O1192" i="6" s="1"/>
  <c r="AY1192" i="6" s="1"/>
  <c r="O1193" i="6" s="1"/>
  <c r="AY1193" i="6" s="1"/>
  <c r="H1174" i="6"/>
  <c r="G1174" i="6"/>
  <c r="F1174" i="6"/>
  <c r="AI1174" i="6" s="1"/>
  <c r="E1174" i="6"/>
  <c r="D1174" i="6"/>
  <c r="C1174" i="6"/>
  <c r="B1174" i="6"/>
  <c r="A1174" i="6"/>
  <c r="AT1173" i="6"/>
  <c r="AO1173" i="6"/>
  <c r="AF1173" i="6"/>
  <c r="AE1173" i="6"/>
  <c r="K1173" i="6"/>
  <c r="J1173" i="6"/>
  <c r="I1173" i="6"/>
  <c r="H1173" i="6"/>
  <c r="G1173" i="6"/>
  <c r="AI1173" i="6" s="1"/>
  <c r="F1173" i="6"/>
  <c r="E1173" i="6"/>
  <c r="D1173" i="6"/>
  <c r="C1173" i="6"/>
  <c r="B1173" i="6"/>
  <c r="A1173" i="6"/>
  <c r="AT1172" i="6"/>
  <c r="AO1172" i="6"/>
  <c r="AF1172" i="6"/>
  <c r="AE1172" i="6"/>
  <c r="K1172" i="6"/>
  <c r="H1172" i="6"/>
  <c r="G1172" i="6"/>
  <c r="F1172" i="6"/>
  <c r="E1172" i="6"/>
  <c r="D1172" i="6"/>
  <c r="C1172" i="6"/>
  <c r="B1172" i="6"/>
  <c r="A1172" i="6"/>
  <c r="AT1171" i="6"/>
  <c r="AO1171" i="6"/>
  <c r="AI1171" i="6"/>
  <c r="AF1171" i="6"/>
  <c r="K1171" i="6"/>
  <c r="I1171" i="6"/>
  <c r="H1171" i="6"/>
  <c r="G1171" i="6"/>
  <c r="F1171" i="6"/>
  <c r="E1171" i="6"/>
  <c r="D1171" i="6"/>
  <c r="C1171" i="6"/>
  <c r="B1171" i="6"/>
  <c r="A1171" i="6"/>
  <c r="AT1170" i="6"/>
  <c r="AO1170" i="6"/>
  <c r="H1170" i="6"/>
  <c r="G1170" i="6"/>
  <c r="F1170" i="6"/>
  <c r="E1170" i="6"/>
  <c r="D1170" i="6"/>
  <c r="C1170" i="6"/>
  <c r="B1170" i="6"/>
  <c r="A1170" i="6"/>
  <c r="AT1169" i="6"/>
  <c r="AI1169" i="6"/>
  <c r="AE1169" i="6"/>
  <c r="K1169" i="6"/>
  <c r="J1169" i="6"/>
  <c r="I1169" i="6"/>
  <c r="H1169" i="6"/>
  <c r="G1169" i="6"/>
  <c r="F1169" i="6"/>
  <c r="E1169" i="6"/>
  <c r="D1169" i="6"/>
  <c r="C1169" i="6"/>
  <c r="B1169" i="6"/>
  <c r="A1169" i="6"/>
  <c r="AT1168" i="6"/>
  <c r="AI1168" i="6"/>
  <c r="K1168" i="6"/>
  <c r="I1168" i="6"/>
  <c r="H1168" i="6"/>
  <c r="G1168" i="6"/>
  <c r="F1168" i="6"/>
  <c r="AE1168" i="6" s="1"/>
  <c r="E1168" i="6"/>
  <c r="D1168" i="6"/>
  <c r="C1168" i="6"/>
  <c r="B1168" i="6"/>
  <c r="A1168" i="6"/>
  <c r="AT1167" i="6"/>
  <c r="AO1167" i="6"/>
  <c r="S1167" i="6"/>
  <c r="BC1167" i="6" s="1"/>
  <c r="S1168" i="6" s="1"/>
  <c r="BC1168" i="6" s="1"/>
  <c r="S1169" i="6" s="1"/>
  <c r="BC1169" i="6" s="1"/>
  <c r="S1170" i="6" s="1"/>
  <c r="BC1170" i="6" s="1"/>
  <c r="S1171" i="6" s="1"/>
  <c r="BC1171" i="6" s="1"/>
  <c r="S1172" i="6" s="1"/>
  <c r="BC1172" i="6" s="1"/>
  <c r="S1173" i="6" s="1"/>
  <c r="BC1173" i="6" s="1"/>
  <c r="S1174" i="6" s="1"/>
  <c r="BC1174" i="6" s="1"/>
  <c r="S1175" i="6" s="1"/>
  <c r="BC1175" i="6" s="1"/>
  <c r="S1176" i="6" s="1"/>
  <c r="BC1176" i="6" s="1"/>
  <c r="S1177" i="6" s="1"/>
  <c r="BC1177" i="6" s="1"/>
  <c r="S1178" i="6" s="1"/>
  <c r="BC1178" i="6" s="1"/>
  <c r="S1179" i="6" s="1"/>
  <c r="BC1179" i="6" s="1"/>
  <c r="S1180" i="6" s="1"/>
  <c r="BC1180" i="6" s="1"/>
  <c r="S1181" i="6" s="1"/>
  <c r="BC1181" i="6" s="1"/>
  <c r="S1182" i="6" s="1"/>
  <c r="BC1182" i="6" s="1"/>
  <c r="S1183" i="6" s="1"/>
  <c r="BC1183" i="6" s="1"/>
  <c r="S1184" i="6" s="1"/>
  <c r="BC1184" i="6" s="1"/>
  <c r="S1185" i="6" s="1"/>
  <c r="BC1185" i="6" s="1"/>
  <c r="S1186" i="6" s="1"/>
  <c r="BC1186" i="6" s="1"/>
  <c r="S1187" i="6" s="1"/>
  <c r="BC1187" i="6" s="1"/>
  <c r="S1188" i="6" s="1"/>
  <c r="BC1188" i="6" s="1"/>
  <c r="S1189" i="6" s="1"/>
  <c r="BC1189" i="6" s="1"/>
  <c r="S1190" i="6" s="1"/>
  <c r="BC1190" i="6" s="1"/>
  <c r="S1191" i="6" s="1"/>
  <c r="BC1191" i="6" s="1"/>
  <c r="S1192" i="6" s="1"/>
  <c r="BC1192" i="6" s="1"/>
  <c r="S1193" i="6" s="1"/>
  <c r="BC1193" i="6" s="1"/>
  <c r="H1167" i="6"/>
  <c r="AF1167" i="6" s="1"/>
  <c r="G1167" i="6"/>
  <c r="F1167" i="6"/>
  <c r="AE1167" i="6" s="1"/>
  <c r="E1167" i="6"/>
  <c r="D1167" i="6"/>
  <c r="C1167" i="6"/>
  <c r="B1167" i="6"/>
  <c r="A1167" i="6"/>
  <c r="AT1166" i="6"/>
  <c r="AO1166" i="6"/>
  <c r="AI1166" i="6"/>
  <c r="AE1166" i="6"/>
  <c r="K1166" i="6"/>
  <c r="J1166" i="6"/>
  <c r="H1166" i="6"/>
  <c r="G1166" i="6"/>
  <c r="F1166" i="6"/>
  <c r="E1166" i="6"/>
  <c r="D1166" i="6"/>
  <c r="C1166" i="6"/>
  <c r="B1166" i="6"/>
  <c r="A1166" i="6"/>
  <c r="AT1165" i="6"/>
  <c r="AO1165" i="6"/>
  <c r="AF1165" i="6"/>
  <c r="I1165" i="6"/>
  <c r="H1165" i="6"/>
  <c r="G1165" i="6"/>
  <c r="F1165" i="6"/>
  <c r="E1165" i="6"/>
  <c r="D1165" i="6"/>
  <c r="C1165" i="6"/>
  <c r="B1165" i="6"/>
  <c r="A1165" i="6"/>
  <c r="AT1164" i="6"/>
  <c r="AO1164" i="6"/>
  <c r="AE1164" i="6"/>
  <c r="J1164" i="6"/>
  <c r="I1164" i="6"/>
  <c r="H1164" i="6"/>
  <c r="AF1164" i="6" s="1"/>
  <c r="G1164" i="6"/>
  <c r="F1164" i="6"/>
  <c r="AI1164" i="6" s="1"/>
  <c r="E1164" i="6"/>
  <c r="D1164" i="6"/>
  <c r="C1164" i="6"/>
  <c r="B1164" i="6"/>
  <c r="A1164" i="6"/>
  <c r="AT1163" i="6"/>
  <c r="AE1163" i="6"/>
  <c r="K1163" i="6"/>
  <c r="J1163" i="6"/>
  <c r="I1163" i="6"/>
  <c r="H1163" i="6"/>
  <c r="G1163" i="6"/>
  <c r="F1163" i="6"/>
  <c r="E1163" i="6"/>
  <c r="D1163" i="6"/>
  <c r="C1163" i="6"/>
  <c r="B1163" i="6"/>
  <c r="A1163" i="6"/>
  <c r="AT1162" i="6"/>
  <c r="H1162" i="6"/>
  <c r="G1162" i="6"/>
  <c r="F1162" i="6"/>
  <c r="E1162" i="6"/>
  <c r="D1162" i="6"/>
  <c r="C1162" i="6"/>
  <c r="B1162" i="6"/>
  <c r="A1162" i="6"/>
  <c r="AT1161" i="6"/>
  <c r="AO1161" i="6"/>
  <c r="AE1161" i="6"/>
  <c r="Y1161" i="6"/>
  <c r="BI1161" i="6" s="1"/>
  <c r="Y1162" i="6" s="1"/>
  <c r="BI1162" i="6" s="1"/>
  <c r="Y1163" i="6" s="1"/>
  <c r="BI1163" i="6" s="1"/>
  <c r="Y1164" i="6" s="1"/>
  <c r="BI1164" i="6" s="1"/>
  <c r="Y1165" i="6" s="1"/>
  <c r="BI1165" i="6" s="1"/>
  <c r="Y1166" i="6" s="1"/>
  <c r="BI1166" i="6" s="1"/>
  <c r="Y1167" i="6" s="1"/>
  <c r="BI1167" i="6" s="1"/>
  <c r="Y1168" i="6" s="1"/>
  <c r="BI1168" i="6" s="1"/>
  <c r="Y1169" i="6" s="1"/>
  <c r="BI1169" i="6" s="1"/>
  <c r="Y1170" i="6" s="1"/>
  <c r="BI1170" i="6" s="1"/>
  <c r="Y1171" i="6" s="1"/>
  <c r="BI1171" i="6" s="1"/>
  <c r="Y1172" i="6" s="1"/>
  <c r="BI1172" i="6" s="1"/>
  <c r="Y1173" i="6" s="1"/>
  <c r="BI1173" i="6" s="1"/>
  <c r="Y1174" i="6" s="1"/>
  <c r="BI1174" i="6" s="1"/>
  <c r="Y1175" i="6" s="1"/>
  <c r="BI1175" i="6" s="1"/>
  <c r="Y1176" i="6" s="1"/>
  <c r="BI1176" i="6" s="1"/>
  <c r="Y1177" i="6" s="1"/>
  <c r="BI1177" i="6" s="1"/>
  <c r="Y1178" i="6" s="1"/>
  <c r="BI1178" i="6" s="1"/>
  <c r="Y1179" i="6" s="1"/>
  <c r="BI1179" i="6" s="1"/>
  <c r="Y1180" i="6" s="1"/>
  <c r="BI1180" i="6" s="1"/>
  <c r="Y1181" i="6" s="1"/>
  <c r="BI1181" i="6" s="1"/>
  <c r="Y1182" i="6" s="1"/>
  <c r="BI1182" i="6" s="1"/>
  <c r="Y1183" i="6" s="1"/>
  <c r="BI1183" i="6" s="1"/>
  <c r="Y1184" i="6" s="1"/>
  <c r="BI1184" i="6" s="1"/>
  <c r="Y1185" i="6" s="1"/>
  <c r="BI1185" i="6" s="1"/>
  <c r="Y1186" i="6" s="1"/>
  <c r="BI1186" i="6" s="1"/>
  <c r="Y1187" i="6" s="1"/>
  <c r="BI1187" i="6" s="1"/>
  <c r="Y1188" i="6" s="1"/>
  <c r="BI1188" i="6" s="1"/>
  <c r="Y1189" i="6" s="1"/>
  <c r="BI1189" i="6" s="1"/>
  <c r="Y1190" i="6" s="1"/>
  <c r="BI1190" i="6" s="1"/>
  <c r="Y1191" i="6" s="1"/>
  <c r="BI1191" i="6" s="1"/>
  <c r="Y1192" i="6" s="1"/>
  <c r="BI1192" i="6" s="1"/>
  <c r="Y1193" i="6" s="1"/>
  <c r="BI1193" i="6" s="1"/>
  <c r="J1161" i="6"/>
  <c r="I1161" i="6"/>
  <c r="H1161" i="6"/>
  <c r="G1161" i="6"/>
  <c r="F1161" i="6"/>
  <c r="E1161" i="6"/>
  <c r="D1161" i="6"/>
  <c r="C1161" i="6"/>
  <c r="B1161" i="6"/>
  <c r="A1161" i="6"/>
  <c r="BL1160" i="6"/>
  <c r="AB1161" i="6" s="1"/>
  <c r="BL1161" i="6" s="1"/>
  <c r="AB1162" i="6" s="1"/>
  <c r="BL1162" i="6" s="1"/>
  <c r="AB1163" i="6" s="1"/>
  <c r="BL1163" i="6" s="1"/>
  <c r="AB1164" i="6" s="1"/>
  <c r="BL1164" i="6" s="1"/>
  <c r="AB1165" i="6" s="1"/>
  <c r="BL1165" i="6" s="1"/>
  <c r="AB1166" i="6" s="1"/>
  <c r="BL1166" i="6" s="1"/>
  <c r="AB1167" i="6" s="1"/>
  <c r="BL1167" i="6" s="1"/>
  <c r="AB1168" i="6" s="1"/>
  <c r="BL1168" i="6" s="1"/>
  <c r="AB1169" i="6" s="1"/>
  <c r="BL1169" i="6" s="1"/>
  <c r="AB1170" i="6" s="1"/>
  <c r="BL1170" i="6" s="1"/>
  <c r="AB1171" i="6" s="1"/>
  <c r="BL1171" i="6" s="1"/>
  <c r="AB1172" i="6" s="1"/>
  <c r="BL1172" i="6" s="1"/>
  <c r="AB1173" i="6" s="1"/>
  <c r="BL1173" i="6" s="1"/>
  <c r="AB1174" i="6" s="1"/>
  <c r="BL1174" i="6" s="1"/>
  <c r="AB1175" i="6" s="1"/>
  <c r="BL1175" i="6" s="1"/>
  <c r="AB1176" i="6" s="1"/>
  <c r="BL1176" i="6" s="1"/>
  <c r="AB1177" i="6" s="1"/>
  <c r="BL1177" i="6" s="1"/>
  <c r="AB1178" i="6" s="1"/>
  <c r="BL1178" i="6" s="1"/>
  <c r="AB1179" i="6" s="1"/>
  <c r="BL1179" i="6" s="1"/>
  <c r="AB1180" i="6" s="1"/>
  <c r="BL1180" i="6" s="1"/>
  <c r="AB1181" i="6" s="1"/>
  <c r="BL1181" i="6" s="1"/>
  <c r="AB1182" i="6" s="1"/>
  <c r="BL1182" i="6" s="1"/>
  <c r="AB1183" i="6" s="1"/>
  <c r="BL1183" i="6" s="1"/>
  <c r="AB1184" i="6" s="1"/>
  <c r="BL1184" i="6" s="1"/>
  <c r="AB1185" i="6" s="1"/>
  <c r="BL1185" i="6" s="1"/>
  <c r="AB1186" i="6" s="1"/>
  <c r="BL1186" i="6" s="1"/>
  <c r="AB1187" i="6" s="1"/>
  <c r="BL1187" i="6" s="1"/>
  <c r="AB1188" i="6" s="1"/>
  <c r="BL1188" i="6" s="1"/>
  <c r="AB1189" i="6" s="1"/>
  <c r="BL1189" i="6" s="1"/>
  <c r="AB1190" i="6" s="1"/>
  <c r="BL1190" i="6" s="1"/>
  <c r="AB1191" i="6" s="1"/>
  <c r="BL1191" i="6" s="1"/>
  <c r="AB1192" i="6" s="1"/>
  <c r="BL1192" i="6" s="1"/>
  <c r="AB1193" i="6" s="1"/>
  <c r="BL1193" i="6" s="1"/>
  <c r="AT1160" i="6"/>
  <c r="AO1160" i="6"/>
  <c r="AF1160" i="6"/>
  <c r="AE1160" i="6"/>
  <c r="AC1160" i="6"/>
  <c r="BM1160" i="6" s="1"/>
  <c r="AC1161" i="6" s="1"/>
  <c r="BM1161" i="6" s="1"/>
  <c r="AC1162" i="6" s="1"/>
  <c r="BM1162" i="6" s="1"/>
  <c r="AC1163" i="6" s="1"/>
  <c r="BM1163" i="6" s="1"/>
  <c r="AC1164" i="6" s="1"/>
  <c r="BM1164" i="6" s="1"/>
  <c r="AC1165" i="6" s="1"/>
  <c r="BM1165" i="6" s="1"/>
  <c r="AC1166" i="6" s="1"/>
  <c r="BM1166" i="6" s="1"/>
  <c r="AC1167" i="6" s="1"/>
  <c r="BM1167" i="6" s="1"/>
  <c r="AC1168" i="6" s="1"/>
  <c r="BM1168" i="6" s="1"/>
  <c r="AC1169" i="6" s="1"/>
  <c r="BM1169" i="6" s="1"/>
  <c r="AC1170" i="6" s="1"/>
  <c r="BM1170" i="6" s="1"/>
  <c r="AC1171" i="6" s="1"/>
  <c r="BM1171" i="6" s="1"/>
  <c r="AC1172" i="6" s="1"/>
  <c r="BM1172" i="6" s="1"/>
  <c r="AC1173" i="6" s="1"/>
  <c r="BM1173" i="6" s="1"/>
  <c r="AC1174" i="6" s="1"/>
  <c r="BM1174" i="6" s="1"/>
  <c r="AC1175" i="6" s="1"/>
  <c r="BM1175" i="6" s="1"/>
  <c r="AC1176" i="6" s="1"/>
  <c r="BM1176" i="6" s="1"/>
  <c r="AC1177" i="6" s="1"/>
  <c r="BM1177" i="6" s="1"/>
  <c r="AC1178" i="6" s="1"/>
  <c r="BM1178" i="6" s="1"/>
  <c r="AC1179" i="6" s="1"/>
  <c r="BM1179" i="6" s="1"/>
  <c r="AC1180" i="6" s="1"/>
  <c r="BM1180" i="6" s="1"/>
  <c r="AC1181" i="6" s="1"/>
  <c r="BM1181" i="6" s="1"/>
  <c r="AC1182" i="6" s="1"/>
  <c r="BM1182" i="6" s="1"/>
  <c r="AC1183" i="6" s="1"/>
  <c r="BM1183" i="6" s="1"/>
  <c r="AC1184" i="6" s="1"/>
  <c r="BM1184" i="6" s="1"/>
  <c r="AC1185" i="6" s="1"/>
  <c r="BM1185" i="6" s="1"/>
  <c r="AC1186" i="6" s="1"/>
  <c r="BM1186" i="6" s="1"/>
  <c r="AC1187" i="6" s="1"/>
  <c r="BM1187" i="6" s="1"/>
  <c r="AC1188" i="6" s="1"/>
  <c r="BM1188" i="6" s="1"/>
  <c r="AC1189" i="6" s="1"/>
  <c r="BM1189" i="6" s="1"/>
  <c r="AC1190" i="6" s="1"/>
  <c r="BM1190" i="6" s="1"/>
  <c r="AC1191" i="6" s="1"/>
  <c r="BM1191" i="6" s="1"/>
  <c r="AC1192" i="6" s="1"/>
  <c r="BM1192" i="6" s="1"/>
  <c r="AC1193" i="6" s="1"/>
  <c r="BM1193" i="6" s="1"/>
  <c r="AB1160" i="6"/>
  <c r="K1160" i="6"/>
  <c r="H1160" i="6"/>
  <c r="G1160" i="6"/>
  <c r="F1160" i="6"/>
  <c r="E1160" i="6"/>
  <c r="D1160" i="6"/>
  <c r="C1160" i="6"/>
  <c r="B1160" i="6"/>
  <c r="A1160" i="6"/>
  <c r="BK1159" i="6"/>
  <c r="AA1160" i="6" s="1"/>
  <c r="BK1160" i="6" s="1"/>
  <c r="AA1161" i="6" s="1"/>
  <c r="BK1161" i="6" s="1"/>
  <c r="AA1162" i="6" s="1"/>
  <c r="BK1162" i="6" s="1"/>
  <c r="AA1163" i="6" s="1"/>
  <c r="BK1163" i="6" s="1"/>
  <c r="AA1164" i="6" s="1"/>
  <c r="BK1164" i="6" s="1"/>
  <c r="AA1165" i="6" s="1"/>
  <c r="BK1165" i="6" s="1"/>
  <c r="AA1166" i="6" s="1"/>
  <c r="BK1166" i="6" s="1"/>
  <c r="AA1167" i="6" s="1"/>
  <c r="BK1167" i="6" s="1"/>
  <c r="AA1168" i="6" s="1"/>
  <c r="BK1168" i="6" s="1"/>
  <c r="AA1169" i="6" s="1"/>
  <c r="BK1169" i="6" s="1"/>
  <c r="AA1170" i="6" s="1"/>
  <c r="BK1170" i="6" s="1"/>
  <c r="AA1171" i="6" s="1"/>
  <c r="BK1171" i="6" s="1"/>
  <c r="AA1172" i="6" s="1"/>
  <c r="BK1172" i="6" s="1"/>
  <c r="AA1173" i="6" s="1"/>
  <c r="BK1173" i="6" s="1"/>
  <c r="AA1174" i="6" s="1"/>
  <c r="BK1174" i="6" s="1"/>
  <c r="AA1175" i="6" s="1"/>
  <c r="BK1175" i="6" s="1"/>
  <c r="AA1176" i="6" s="1"/>
  <c r="BK1176" i="6" s="1"/>
  <c r="AA1177" i="6" s="1"/>
  <c r="BK1177" i="6" s="1"/>
  <c r="AA1178" i="6" s="1"/>
  <c r="BK1178" i="6" s="1"/>
  <c r="AA1179" i="6" s="1"/>
  <c r="BK1179" i="6" s="1"/>
  <c r="AA1180" i="6" s="1"/>
  <c r="BK1180" i="6" s="1"/>
  <c r="AA1181" i="6" s="1"/>
  <c r="BK1181" i="6" s="1"/>
  <c r="AA1182" i="6" s="1"/>
  <c r="BK1182" i="6" s="1"/>
  <c r="AA1183" i="6" s="1"/>
  <c r="BK1183" i="6" s="1"/>
  <c r="AA1184" i="6" s="1"/>
  <c r="BK1184" i="6" s="1"/>
  <c r="AA1185" i="6" s="1"/>
  <c r="BK1185" i="6" s="1"/>
  <c r="AA1186" i="6" s="1"/>
  <c r="BK1186" i="6" s="1"/>
  <c r="AA1187" i="6" s="1"/>
  <c r="BK1187" i="6" s="1"/>
  <c r="AA1188" i="6" s="1"/>
  <c r="BK1188" i="6" s="1"/>
  <c r="AA1189" i="6" s="1"/>
  <c r="BK1189" i="6" s="1"/>
  <c r="AA1190" i="6" s="1"/>
  <c r="BK1190" i="6" s="1"/>
  <c r="AA1191" i="6" s="1"/>
  <c r="BK1191" i="6" s="1"/>
  <c r="AA1192" i="6" s="1"/>
  <c r="BK1192" i="6" s="1"/>
  <c r="AA1193" i="6" s="1"/>
  <c r="BK1193" i="6" s="1"/>
  <c r="AX1159" i="6"/>
  <c r="N1160" i="6" s="1"/>
  <c r="AX1160" i="6" s="1"/>
  <c r="N1161" i="6" s="1"/>
  <c r="AX1161" i="6" s="1"/>
  <c r="N1162" i="6" s="1"/>
  <c r="AX1162" i="6" s="1"/>
  <c r="N1163" i="6" s="1"/>
  <c r="AX1163" i="6" s="1"/>
  <c r="N1164" i="6" s="1"/>
  <c r="AX1164" i="6" s="1"/>
  <c r="AT1159" i="6"/>
  <c r="AO1159" i="6"/>
  <c r="AI1159" i="6"/>
  <c r="AF1159" i="6"/>
  <c r="AA1159" i="6"/>
  <c r="N1159" i="6"/>
  <c r="L1159" i="6"/>
  <c r="AV1159" i="6" s="1"/>
  <c r="L1160" i="6" s="1"/>
  <c r="K1159" i="6"/>
  <c r="I1159" i="6"/>
  <c r="H1159" i="6"/>
  <c r="G1159" i="6"/>
  <c r="F1159" i="6"/>
  <c r="E1159" i="6"/>
  <c r="D1159" i="6"/>
  <c r="C1159" i="6"/>
  <c r="B1159" i="6"/>
  <c r="A1159" i="6"/>
  <c r="BN1158" i="6"/>
  <c r="BO1158" i="6" s="1"/>
  <c r="BN1159" i="6" s="1"/>
  <c r="BO1159" i="6" s="1"/>
  <c r="BN1160" i="6" s="1"/>
  <c r="BO1160" i="6" s="1"/>
  <c r="BN1161" i="6" s="1"/>
  <c r="BO1161" i="6" s="1"/>
  <c r="BN1162" i="6" s="1"/>
  <c r="BO1162" i="6" s="1"/>
  <c r="BN1163" i="6" s="1"/>
  <c r="BO1163" i="6" s="1"/>
  <c r="BN1164" i="6" s="1"/>
  <c r="BO1164" i="6" s="1"/>
  <c r="BN1165" i="6" s="1"/>
  <c r="BO1165" i="6" s="1"/>
  <c r="BN1166" i="6" s="1"/>
  <c r="BO1166" i="6" s="1"/>
  <c r="BN1167" i="6" s="1"/>
  <c r="BO1167" i="6" s="1"/>
  <c r="BN1168" i="6" s="1"/>
  <c r="BO1168" i="6" s="1"/>
  <c r="BN1169" i="6" s="1"/>
  <c r="BF1158" i="6"/>
  <c r="V1159" i="6" s="1"/>
  <c r="BF1159" i="6" s="1"/>
  <c r="V1160" i="6" s="1"/>
  <c r="BF1160" i="6" s="1"/>
  <c r="V1161" i="6" s="1"/>
  <c r="BF1161" i="6" s="1"/>
  <c r="V1162" i="6" s="1"/>
  <c r="BF1162" i="6" s="1"/>
  <c r="V1163" i="6" s="1"/>
  <c r="BF1163" i="6" s="1"/>
  <c r="V1164" i="6" s="1"/>
  <c r="BF1164" i="6" s="1"/>
  <c r="V1165" i="6" s="1"/>
  <c r="BF1165" i="6" s="1"/>
  <c r="V1166" i="6" s="1"/>
  <c r="BF1166" i="6" s="1"/>
  <c r="V1167" i="6" s="1"/>
  <c r="BF1167" i="6" s="1"/>
  <c r="V1168" i="6" s="1"/>
  <c r="BF1168" i="6" s="1"/>
  <c r="V1169" i="6" s="1"/>
  <c r="BF1169" i="6" s="1"/>
  <c r="V1170" i="6" s="1"/>
  <c r="BF1170" i="6" s="1"/>
  <c r="V1171" i="6" s="1"/>
  <c r="BF1171" i="6" s="1"/>
  <c r="V1172" i="6" s="1"/>
  <c r="BF1172" i="6" s="1"/>
  <c r="V1173" i="6" s="1"/>
  <c r="BF1173" i="6" s="1"/>
  <c r="V1174" i="6" s="1"/>
  <c r="BF1174" i="6" s="1"/>
  <c r="V1175" i="6" s="1"/>
  <c r="BF1175" i="6" s="1"/>
  <c r="V1176" i="6" s="1"/>
  <c r="BF1176" i="6" s="1"/>
  <c r="V1177" i="6" s="1"/>
  <c r="BF1177" i="6" s="1"/>
  <c r="V1178" i="6" s="1"/>
  <c r="BF1178" i="6" s="1"/>
  <c r="V1179" i="6" s="1"/>
  <c r="BF1179" i="6" s="1"/>
  <c r="V1180" i="6" s="1"/>
  <c r="BF1180" i="6" s="1"/>
  <c r="V1181" i="6" s="1"/>
  <c r="BE1158" i="6"/>
  <c r="BC1158" i="6"/>
  <c r="S1159" i="6" s="1"/>
  <c r="BC1159" i="6" s="1"/>
  <c r="S1160" i="6" s="1"/>
  <c r="BC1160" i="6" s="1"/>
  <c r="S1161" i="6" s="1"/>
  <c r="BC1161" i="6" s="1"/>
  <c r="S1162" i="6" s="1"/>
  <c r="BC1162" i="6" s="1"/>
  <c r="S1163" i="6" s="1"/>
  <c r="BC1163" i="6" s="1"/>
  <c r="S1164" i="6" s="1"/>
  <c r="BC1164" i="6" s="1"/>
  <c r="S1165" i="6" s="1"/>
  <c r="BC1165" i="6" s="1"/>
  <c r="S1166" i="6" s="1"/>
  <c r="BC1166" i="6" s="1"/>
  <c r="BB1158" i="6"/>
  <c r="R1159" i="6" s="1"/>
  <c r="BB1159" i="6" s="1"/>
  <c r="R1160" i="6" s="1"/>
  <c r="BB1160" i="6" s="1"/>
  <c r="R1161" i="6" s="1"/>
  <c r="BB1161" i="6" s="1"/>
  <c r="R1162" i="6" s="1"/>
  <c r="BB1162" i="6" s="1"/>
  <c r="R1163" i="6" s="1"/>
  <c r="BB1163" i="6" s="1"/>
  <c r="R1164" i="6" s="1"/>
  <c r="BB1164" i="6" s="1"/>
  <c r="R1165" i="6" s="1"/>
  <c r="BB1165" i="6" s="1"/>
  <c r="R1166" i="6" s="1"/>
  <c r="BB1166" i="6" s="1"/>
  <c r="R1167" i="6" s="1"/>
  <c r="BB1167" i="6" s="1"/>
  <c r="R1168" i="6" s="1"/>
  <c r="BB1168" i="6" s="1"/>
  <c r="R1169" i="6" s="1"/>
  <c r="BB1169" i="6" s="1"/>
  <c r="R1170" i="6" s="1"/>
  <c r="BB1170" i="6" s="1"/>
  <c r="R1171" i="6" s="1"/>
  <c r="BB1171" i="6" s="1"/>
  <c r="R1172" i="6" s="1"/>
  <c r="BB1172" i="6" s="1"/>
  <c r="R1173" i="6" s="1"/>
  <c r="BB1173" i="6" s="1"/>
  <c r="R1174" i="6" s="1"/>
  <c r="BB1174" i="6" s="1"/>
  <c r="R1175" i="6" s="1"/>
  <c r="BB1175" i="6" s="1"/>
  <c r="R1176" i="6" s="1"/>
  <c r="BB1176" i="6" s="1"/>
  <c r="R1177" i="6" s="1"/>
  <c r="BB1177" i="6" s="1"/>
  <c r="R1178" i="6" s="1"/>
  <c r="BB1178" i="6" s="1"/>
  <c r="R1179" i="6" s="1"/>
  <c r="BB1179" i="6" s="1"/>
  <c r="R1180" i="6" s="1"/>
  <c r="BB1180" i="6" s="1"/>
  <c r="R1181" i="6" s="1"/>
  <c r="BB1181" i="6" s="1"/>
  <c r="R1182" i="6" s="1"/>
  <c r="BB1182" i="6" s="1"/>
  <c r="R1183" i="6" s="1"/>
  <c r="BB1183" i="6" s="1"/>
  <c r="R1184" i="6" s="1"/>
  <c r="BB1184" i="6" s="1"/>
  <c r="R1185" i="6" s="1"/>
  <c r="BB1185" i="6" s="1"/>
  <c r="R1186" i="6" s="1"/>
  <c r="BB1186" i="6" s="1"/>
  <c r="R1187" i="6" s="1"/>
  <c r="BB1187" i="6" s="1"/>
  <c r="R1188" i="6" s="1"/>
  <c r="BB1188" i="6" s="1"/>
  <c r="R1189" i="6" s="1"/>
  <c r="BB1189" i="6" s="1"/>
  <c r="R1190" i="6" s="1"/>
  <c r="BB1190" i="6" s="1"/>
  <c r="R1191" i="6" s="1"/>
  <c r="BB1191" i="6" s="1"/>
  <c r="R1192" i="6" s="1"/>
  <c r="BB1192" i="6" s="1"/>
  <c r="R1193" i="6" s="1"/>
  <c r="BB1193" i="6" s="1"/>
  <c r="AT1158" i="6"/>
  <c r="AO1158" i="6"/>
  <c r="AF1158" i="6"/>
  <c r="AC1158" i="6"/>
  <c r="BM1158" i="6" s="1"/>
  <c r="AC1159" i="6" s="1"/>
  <c r="BM1159" i="6" s="1"/>
  <c r="AB1158" i="6"/>
  <c r="BL1158" i="6" s="1"/>
  <c r="AB1159" i="6" s="1"/>
  <c r="BL1159" i="6" s="1"/>
  <c r="AA1158" i="6"/>
  <c r="BK1158" i="6" s="1"/>
  <c r="Z1158" i="6"/>
  <c r="BJ1158" i="6" s="1"/>
  <c r="Z1159" i="6" s="1"/>
  <c r="BJ1159" i="6" s="1"/>
  <c r="Z1160" i="6" s="1"/>
  <c r="BJ1160" i="6" s="1"/>
  <c r="Z1161" i="6" s="1"/>
  <c r="BJ1161" i="6" s="1"/>
  <c r="Z1162" i="6" s="1"/>
  <c r="BJ1162" i="6" s="1"/>
  <c r="Z1163" i="6" s="1"/>
  <c r="BJ1163" i="6" s="1"/>
  <c r="Z1164" i="6" s="1"/>
  <c r="BJ1164" i="6" s="1"/>
  <c r="Z1165" i="6" s="1"/>
  <c r="BJ1165" i="6" s="1"/>
  <c r="Z1166" i="6" s="1"/>
  <c r="BJ1166" i="6" s="1"/>
  <c r="Z1167" i="6" s="1"/>
  <c r="BJ1167" i="6" s="1"/>
  <c r="Z1168" i="6" s="1"/>
  <c r="BJ1168" i="6" s="1"/>
  <c r="Z1169" i="6" s="1"/>
  <c r="BJ1169" i="6" s="1"/>
  <c r="Z1170" i="6" s="1"/>
  <c r="BJ1170" i="6" s="1"/>
  <c r="Z1171" i="6" s="1"/>
  <c r="BJ1171" i="6" s="1"/>
  <c r="Z1172" i="6" s="1"/>
  <c r="BJ1172" i="6" s="1"/>
  <c r="Z1173" i="6" s="1"/>
  <c r="BJ1173" i="6" s="1"/>
  <c r="Z1174" i="6" s="1"/>
  <c r="BJ1174" i="6" s="1"/>
  <c r="Z1175" i="6" s="1"/>
  <c r="BJ1175" i="6" s="1"/>
  <c r="Z1176" i="6" s="1"/>
  <c r="BJ1176" i="6" s="1"/>
  <c r="Z1177" i="6" s="1"/>
  <c r="BJ1177" i="6" s="1"/>
  <c r="Z1178" i="6" s="1"/>
  <c r="BJ1178" i="6" s="1"/>
  <c r="Z1179" i="6" s="1"/>
  <c r="BJ1179" i="6" s="1"/>
  <c r="Z1180" i="6" s="1"/>
  <c r="BJ1180" i="6" s="1"/>
  <c r="Z1181" i="6" s="1"/>
  <c r="BJ1181" i="6" s="1"/>
  <c r="Z1182" i="6" s="1"/>
  <c r="BJ1182" i="6" s="1"/>
  <c r="Z1183" i="6" s="1"/>
  <c r="BJ1183" i="6" s="1"/>
  <c r="Z1184" i="6" s="1"/>
  <c r="BJ1184" i="6" s="1"/>
  <c r="Z1185" i="6" s="1"/>
  <c r="BJ1185" i="6" s="1"/>
  <c r="Z1186" i="6" s="1"/>
  <c r="BJ1186" i="6" s="1"/>
  <c r="Z1187" i="6" s="1"/>
  <c r="BJ1187" i="6" s="1"/>
  <c r="Z1188" i="6" s="1"/>
  <c r="BJ1188" i="6" s="1"/>
  <c r="Z1189" i="6" s="1"/>
  <c r="BJ1189" i="6" s="1"/>
  <c r="Z1190" i="6" s="1"/>
  <c r="BJ1190" i="6" s="1"/>
  <c r="Z1191" i="6" s="1"/>
  <c r="BJ1191" i="6" s="1"/>
  <c r="Z1192" i="6" s="1"/>
  <c r="BJ1192" i="6" s="1"/>
  <c r="Z1193" i="6" s="1"/>
  <c r="BJ1193" i="6" s="1"/>
  <c r="Y1158" i="6"/>
  <c r="BI1158" i="6" s="1"/>
  <c r="Y1159" i="6" s="1"/>
  <c r="BI1159" i="6" s="1"/>
  <c r="Y1160" i="6" s="1"/>
  <c r="BI1160" i="6" s="1"/>
  <c r="X1158" i="6"/>
  <c r="BH1158" i="6" s="1"/>
  <c r="X1159" i="6" s="1"/>
  <c r="BH1159" i="6" s="1"/>
  <c r="X1160" i="6" s="1"/>
  <c r="BH1160" i="6" s="1"/>
  <c r="X1161" i="6" s="1"/>
  <c r="BH1161" i="6" s="1"/>
  <c r="X1162" i="6" s="1"/>
  <c r="BH1162" i="6" s="1"/>
  <c r="X1163" i="6" s="1"/>
  <c r="BH1163" i="6" s="1"/>
  <c r="X1164" i="6" s="1"/>
  <c r="BH1164" i="6" s="1"/>
  <c r="X1165" i="6" s="1"/>
  <c r="BH1165" i="6" s="1"/>
  <c r="X1166" i="6" s="1"/>
  <c r="BH1166" i="6" s="1"/>
  <c r="X1167" i="6" s="1"/>
  <c r="BH1167" i="6" s="1"/>
  <c r="X1168" i="6" s="1"/>
  <c r="BH1168" i="6" s="1"/>
  <c r="X1169" i="6" s="1"/>
  <c r="BH1169" i="6" s="1"/>
  <c r="X1170" i="6" s="1"/>
  <c r="BH1170" i="6" s="1"/>
  <c r="X1171" i="6" s="1"/>
  <c r="BH1171" i="6" s="1"/>
  <c r="X1172" i="6" s="1"/>
  <c r="BH1172" i="6" s="1"/>
  <c r="X1173" i="6" s="1"/>
  <c r="BH1173" i="6" s="1"/>
  <c r="X1174" i="6" s="1"/>
  <c r="BH1174" i="6" s="1"/>
  <c r="X1175" i="6" s="1"/>
  <c r="BH1175" i="6" s="1"/>
  <c r="X1176" i="6" s="1"/>
  <c r="BH1176" i="6" s="1"/>
  <c r="X1177" i="6" s="1"/>
  <c r="BH1177" i="6" s="1"/>
  <c r="X1178" i="6" s="1"/>
  <c r="BH1178" i="6" s="1"/>
  <c r="X1179" i="6" s="1"/>
  <c r="BH1179" i="6" s="1"/>
  <c r="X1180" i="6" s="1"/>
  <c r="BH1180" i="6" s="1"/>
  <c r="X1181" i="6" s="1"/>
  <c r="W1158" i="6"/>
  <c r="BG1158" i="6" s="1"/>
  <c r="W1159" i="6" s="1"/>
  <c r="BG1159" i="6" s="1"/>
  <c r="W1160" i="6" s="1"/>
  <c r="BG1160" i="6" s="1"/>
  <c r="W1161" i="6" s="1"/>
  <c r="V1158" i="6"/>
  <c r="U1158" i="6"/>
  <c r="T1158" i="6"/>
  <c r="BD1158" i="6" s="1"/>
  <c r="T1159" i="6" s="1"/>
  <c r="BD1159" i="6" s="1"/>
  <c r="T1160" i="6" s="1"/>
  <c r="BD1160" i="6" s="1"/>
  <c r="T1161" i="6" s="1"/>
  <c r="BD1161" i="6" s="1"/>
  <c r="T1162" i="6" s="1"/>
  <c r="S1158" i="6"/>
  <c r="R1158" i="6"/>
  <c r="Q1158" i="6"/>
  <c r="BA1158" i="6" s="1"/>
  <c r="Q1159" i="6" s="1"/>
  <c r="O1158" i="6"/>
  <c r="AY1158" i="6" s="1"/>
  <c r="O1159" i="6" s="1"/>
  <c r="AY1159" i="6" s="1"/>
  <c r="O1160" i="6" s="1"/>
  <c r="AY1160" i="6" s="1"/>
  <c r="O1161" i="6" s="1"/>
  <c r="AY1161" i="6" s="1"/>
  <c r="O1162" i="6" s="1"/>
  <c r="AY1162" i="6" s="1"/>
  <c r="O1163" i="6" s="1"/>
  <c r="AY1163" i="6" s="1"/>
  <c r="O1164" i="6" s="1"/>
  <c r="AY1164" i="6" s="1"/>
  <c r="O1165" i="6" s="1"/>
  <c r="AY1165" i="6" s="1"/>
  <c r="O1166" i="6" s="1"/>
  <c r="AY1166" i="6" s="1"/>
  <c r="O1167" i="6" s="1"/>
  <c r="AY1167" i="6" s="1"/>
  <c r="O1168" i="6" s="1"/>
  <c r="AY1168" i="6" s="1"/>
  <c r="O1169" i="6" s="1"/>
  <c r="AY1169" i="6" s="1"/>
  <c r="O1170" i="6" s="1"/>
  <c r="AY1170" i="6" s="1"/>
  <c r="O1171" i="6" s="1"/>
  <c r="AY1171" i="6" s="1"/>
  <c r="O1172" i="6" s="1"/>
  <c r="AY1172" i="6" s="1"/>
  <c r="O1173" i="6" s="1"/>
  <c r="AY1173" i="6" s="1"/>
  <c r="N1158" i="6"/>
  <c r="AX1158" i="6" s="1"/>
  <c r="M1158" i="6"/>
  <c r="AW1158" i="6" s="1"/>
  <c r="M1159" i="6" s="1"/>
  <c r="AW1159" i="6" s="1"/>
  <c r="M1160" i="6" s="1"/>
  <c r="L1158" i="6"/>
  <c r="H1158" i="6"/>
  <c r="G1158" i="6"/>
  <c r="AV1158" i="6" s="1"/>
  <c r="F1158" i="6"/>
  <c r="I1158" i="6" s="1"/>
  <c r="E1158" i="6"/>
  <c r="D1158" i="6"/>
  <c r="C1158" i="6"/>
  <c r="B1158" i="6"/>
  <c r="A1158" i="6"/>
  <c r="AO1157" i="6"/>
  <c r="AI1157" i="6"/>
  <c r="AE1157" i="6"/>
  <c r="K1157" i="6"/>
  <c r="J1157" i="6"/>
  <c r="I1157" i="6"/>
  <c r="H1157" i="6"/>
  <c r="G1157" i="6"/>
  <c r="F1157" i="6"/>
  <c r="E1157" i="6"/>
  <c r="D1157" i="6"/>
  <c r="C1157" i="6"/>
  <c r="B1157" i="6"/>
  <c r="A1157" i="6"/>
  <c r="AO1156" i="6"/>
  <c r="K1156" i="6"/>
  <c r="I1156" i="6"/>
  <c r="H1156" i="6"/>
  <c r="G1156" i="6"/>
  <c r="F1156" i="6"/>
  <c r="E1156" i="6"/>
  <c r="D1156" i="6"/>
  <c r="C1156" i="6"/>
  <c r="B1156" i="6"/>
  <c r="A1156" i="6"/>
  <c r="AO1155" i="6"/>
  <c r="H1155" i="6"/>
  <c r="G1155" i="6"/>
  <c r="F1155" i="6"/>
  <c r="E1155" i="6"/>
  <c r="D1155" i="6"/>
  <c r="C1155" i="6"/>
  <c r="B1155" i="6"/>
  <c r="A1155" i="6"/>
  <c r="AO1154" i="6"/>
  <c r="AI1154" i="6"/>
  <c r="AE1154" i="6"/>
  <c r="K1154" i="6"/>
  <c r="J1154" i="6"/>
  <c r="H1154" i="6"/>
  <c r="G1154" i="6"/>
  <c r="F1154" i="6"/>
  <c r="E1154" i="6"/>
  <c r="D1154" i="6"/>
  <c r="C1154" i="6"/>
  <c r="B1154" i="6"/>
  <c r="A1154" i="6"/>
  <c r="AO1153" i="6"/>
  <c r="I1153" i="6"/>
  <c r="H1153" i="6"/>
  <c r="G1153" i="6"/>
  <c r="F1153" i="6"/>
  <c r="E1153" i="6"/>
  <c r="D1153" i="6"/>
  <c r="C1153" i="6"/>
  <c r="B1153" i="6"/>
  <c r="A1153" i="6"/>
  <c r="AO1152" i="6"/>
  <c r="AE1152" i="6"/>
  <c r="J1152" i="6"/>
  <c r="I1152" i="6"/>
  <c r="H1152" i="6"/>
  <c r="G1152" i="6"/>
  <c r="F1152" i="6"/>
  <c r="AI1152" i="6" s="1"/>
  <c r="E1152" i="6"/>
  <c r="D1152" i="6"/>
  <c r="C1152" i="6"/>
  <c r="B1152" i="6"/>
  <c r="A1152" i="6"/>
  <c r="AO1151" i="6"/>
  <c r="AE1151" i="6"/>
  <c r="K1151" i="6"/>
  <c r="J1151" i="6"/>
  <c r="I1151" i="6"/>
  <c r="H1151" i="6"/>
  <c r="G1151" i="6"/>
  <c r="F1151" i="6"/>
  <c r="E1151" i="6"/>
  <c r="D1151" i="6"/>
  <c r="C1151" i="6"/>
  <c r="B1151" i="6"/>
  <c r="A1151" i="6"/>
  <c r="AO1150" i="6"/>
  <c r="H1150" i="6"/>
  <c r="G1150" i="6"/>
  <c r="F1150" i="6"/>
  <c r="E1150" i="6"/>
  <c r="D1150" i="6"/>
  <c r="C1150" i="6"/>
  <c r="B1150" i="6"/>
  <c r="A1150" i="6"/>
  <c r="AO1149" i="6"/>
  <c r="AE1149" i="6"/>
  <c r="J1149" i="6"/>
  <c r="I1149" i="6"/>
  <c r="H1149" i="6"/>
  <c r="G1149" i="6"/>
  <c r="F1149" i="6"/>
  <c r="E1149" i="6"/>
  <c r="D1149" i="6"/>
  <c r="C1149" i="6"/>
  <c r="B1149" i="6"/>
  <c r="A1149" i="6"/>
  <c r="AO1148" i="6"/>
  <c r="AE1148" i="6"/>
  <c r="K1148" i="6"/>
  <c r="H1148" i="6"/>
  <c r="G1148" i="6"/>
  <c r="F1148" i="6"/>
  <c r="J1148" i="6" s="1"/>
  <c r="E1148" i="6"/>
  <c r="D1148" i="6"/>
  <c r="C1148" i="6"/>
  <c r="B1148" i="6"/>
  <c r="A1148" i="6"/>
  <c r="AO1147" i="6"/>
  <c r="AI1147" i="6"/>
  <c r="K1147" i="6"/>
  <c r="I1147" i="6"/>
  <c r="H1147" i="6"/>
  <c r="G1147" i="6"/>
  <c r="F1147" i="6"/>
  <c r="J1147" i="6" s="1"/>
  <c r="E1147" i="6"/>
  <c r="D1147" i="6"/>
  <c r="C1147" i="6"/>
  <c r="B1147" i="6"/>
  <c r="A1147" i="6"/>
  <c r="AO1146" i="6"/>
  <c r="H1146" i="6"/>
  <c r="G1146" i="6"/>
  <c r="F1146" i="6"/>
  <c r="E1146" i="6"/>
  <c r="D1146" i="6"/>
  <c r="C1146" i="6"/>
  <c r="B1146" i="6"/>
  <c r="A1146" i="6"/>
  <c r="AO1145" i="6"/>
  <c r="AI1145" i="6"/>
  <c r="AE1145" i="6"/>
  <c r="K1145" i="6"/>
  <c r="J1145" i="6"/>
  <c r="I1145" i="6"/>
  <c r="H1145" i="6"/>
  <c r="G1145" i="6"/>
  <c r="F1145" i="6"/>
  <c r="E1145" i="6"/>
  <c r="D1145" i="6"/>
  <c r="C1145" i="6"/>
  <c r="B1145" i="6"/>
  <c r="A1145" i="6"/>
  <c r="AT1144" i="6"/>
  <c r="AI1144" i="6"/>
  <c r="I1144" i="6"/>
  <c r="H1144" i="6"/>
  <c r="G1144" i="6"/>
  <c r="F1144" i="6"/>
  <c r="E1144" i="6"/>
  <c r="D1144" i="6"/>
  <c r="C1144" i="6"/>
  <c r="B1144" i="6"/>
  <c r="A1144" i="6"/>
  <c r="AT1143" i="6"/>
  <c r="AO1143" i="6"/>
  <c r="J1143" i="6"/>
  <c r="H1143" i="6"/>
  <c r="G1143" i="6"/>
  <c r="F1143" i="6"/>
  <c r="AE1143" i="6" s="1"/>
  <c r="E1143" i="6"/>
  <c r="D1143" i="6"/>
  <c r="C1143" i="6"/>
  <c r="B1143" i="6"/>
  <c r="A1143" i="6"/>
  <c r="AT1142" i="6"/>
  <c r="AO1142" i="6"/>
  <c r="AI1142" i="6"/>
  <c r="AE1142" i="6"/>
  <c r="Z1142" i="6"/>
  <c r="BJ1142" i="6" s="1"/>
  <c r="Z1143" i="6" s="1"/>
  <c r="BJ1143" i="6" s="1"/>
  <c r="Z1144" i="6" s="1"/>
  <c r="BJ1144" i="6" s="1"/>
  <c r="Z1145" i="6" s="1"/>
  <c r="BJ1145" i="6" s="1"/>
  <c r="Z1146" i="6" s="1"/>
  <c r="BJ1146" i="6" s="1"/>
  <c r="Z1147" i="6" s="1"/>
  <c r="BJ1147" i="6" s="1"/>
  <c r="Z1148" i="6" s="1"/>
  <c r="BJ1148" i="6" s="1"/>
  <c r="Z1149" i="6" s="1"/>
  <c r="BJ1149" i="6" s="1"/>
  <c r="Z1150" i="6" s="1"/>
  <c r="BJ1150" i="6" s="1"/>
  <c r="Z1151" i="6" s="1"/>
  <c r="BJ1151" i="6" s="1"/>
  <c r="Z1152" i="6" s="1"/>
  <c r="BJ1152" i="6" s="1"/>
  <c r="Z1153" i="6" s="1"/>
  <c r="BJ1153" i="6" s="1"/>
  <c r="Z1154" i="6" s="1"/>
  <c r="BJ1154" i="6" s="1"/>
  <c r="Z1155" i="6" s="1"/>
  <c r="BJ1155" i="6" s="1"/>
  <c r="Z1156" i="6" s="1"/>
  <c r="BJ1156" i="6" s="1"/>
  <c r="Z1157" i="6" s="1"/>
  <c r="BJ1157" i="6" s="1"/>
  <c r="K1142" i="6"/>
  <c r="J1142" i="6"/>
  <c r="H1142" i="6"/>
  <c r="G1142" i="6"/>
  <c r="F1142" i="6"/>
  <c r="E1142" i="6"/>
  <c r="D1142" i="6"/>
  <c r="C1142" i="6"/>
  <c r="B1142" i="6"/>
  <c r="A1142" i="6"/>
  <c r="AT1141" i="6"/>
  <c r="AO1141" i="6"/>
  <c r="I1141" i="6"/>
  <c r="H1141" i="6"/>
  <c r="G1141" i="6"/>
  <c r="F1141" i="6"/>
  <c r="E1141" i="6"/>
  <c r="D1141" i="6"/>
  <c r="C1141" i="6"/>
  <c r="B1141" i="6"/>
  <c r="A1141" i="6"/>
  <c r="BJ1140" i="6"/>
  <c r="Z1141" i="6" s="1"/>
  <c r="BJ1141" i="6" s="1"/>
  <c r="AT1140" i="6"/>
  <c r="AO1140" i="6"/>
  <c r="AE1140" i="6"/>
  <c r="J1140" i="6"/>
  <c r="I1140" i="6"/>
  <c r="H1140" i="6"/>
  <c r="G1140" i="6"/>
  <c r="F1140" i="6"/>
  <c r="E1140" i="6"/>
  <c r="D1140" i="6"/>
  <c r="C1140" i="6"/>
  <c r="B1140" i="6"/>
  <c r="A1140" i="6"/>
  <c r="AT1139" i="6"/>
  <c r="AO1139" i="6"/>
  <c r="AI1139" i="6"/>
  <c r="AF1139" i="6"/>
  <c r="AE1139" i="6"/>
  <c r="K1139" i="6"/>
  <c r="J1139" i="6"/>
  <c r="I1139" i="6"/>
  <c r="H1139" i="6"/>
  <c r="G1139" i="6"/>
  <c r="F1139" i="6"/>
  <c r="E1139" i="6"/>
  <c r="D1139" i="6"/>
  <c r="C1139" i="6"/>
  <c r="B1139" i="6"/>
  <c r="A1139" i="6"/>
  <c r="AT1138" i="6"/>
  <c r="AI1138" i="6"/>
  <c r="K1138" i="6"/>
  <c r="I1138" i="6"/>
  <c r="H1138" i="6"/>
  <c r="G1138" i="6"/>
  <c r="F1138" i="6"/>
  <c r="E1138" i="6"/>
  <c r="D1138" i="6"/>
  <c r="C1138" i="6"/>
  <c r="B1138" i="6"/>
  <c r="A1138" i="6"/>
  <c r="AT1137" i="6"/>
  <c r="AO1137" i="6"/>
  <c r="AF1137" i="6"/>
  <c r="AE1137" i="6"/>
  <c r="I1137" i="6"/>
  <c r="H1137" i="6"/>
  <c r="G1137" i="6"/>
  <c r="F1137" i="6"/>
  <c r="J1137" i="6" s="1"/>
  <c r="E1137" i="6"/>
  <c r="D1137" i="6"/>
  <c r="C1137" i="6"/>
  <c r="B1137" i="6"/>
  <c r="A1137" i="6"/>
  <c r="BB1136" i="6"/>
  <c r="R1137" i="6" s="1"/>
  <c r="BB1137" i="6" s="1"/>
  <c r="R1138" i="6" s="1"/>
  <c r="BB1138" i="6" s="1"/>
  <c r="R1139" i="6" s="1"/>
  <c r="BB1139" i="6" s="1"/>
  <c r="R1140" i="6" s="1"/>
  <c r="BB1140" i="6" s="1"/>
  <c r="R1141" i="6" s="1"/>
  <c r="BB1141" i="6" s="1"/>
  <c r="R1142" i="6" s="1"/>
  <c r="BB1142" i="6" s="1"/>
  <c r="R1143" i="6" s="1"/>
  <c r="BB1143" i="6" s="1"/>
  <c r="R1144" i="6" s="1"/>
  <c r="BB1144" i="6" s="1"/>
  <c r="R1145" i="6" s="1"/>
  <c r="BB1145" i="6" s="1"/>
  <c r="R1146" i="6" s="1"/>
  <c r="BB1146" i="6" s="1"/>
  <c r="R1147" i="6" s="1"/>
  <c r="BB1147" i="6" s="1"/>
  <c r="R1148" i="6" s="1"/>
  <c r="BB1148" i="6" s="1"/>
  <c r="R1149" i="6" s="1"/>
  <c r="BB1149" i="6" s="1"/>
  <c r="R1150" i="6" s="1"/>
  <c r="BB1150" i="6" s="1"/>
  <c r="R1151" i="6" s="1"/>
  <c r="BB1151" i="6" s="1"/>
  <c r="R1152" i="6" s="1"/>
  <c r="BB1152" i="6" s="1"/>
  <c r="R1153" i="6" s="1"/>
  <c r="BB1153" i="6" s="1"/>
  <c r="R1154" i="6" s="1"/>
  <c r="BB1154" i="6" s="1"/>
  <c r="R1155" i="6" s="1"/>
  <c r="BB1155" i="6" s="1"/>
  <c r="R1156" i="6" s="1"/>
  <c r="BB1156" i="6" s="1"/>
  <c r="R1157" i="6" s="1"/>
  <c r="BB1157" i="6" s="1"/>
  <c r="AT1136" i="6"/>
  <c r="AO1136" i="6"/>
  <c r="AF1136" i="6"/>
  <c r="K1136" i="6"/>
  <c r="H1136" i="6"/>
  <c r="G1136" i="6"/>
  <c r="F1136" i="6"/>
  <c r="AI1136" i="6" s="1"/>
  <c r="E1136" i="6"/>
  <c r="D1136" i="6"/>
  <c r="C1136" i="6"/>
  <c r="B1136" i="6"/>
  <c r="A1136" i="6"/>
  <c r="AT1135" i="6"/>
  <c r="AO1135" i="6"/>
  <c r="AI1135" i="6"/>
  <c r="AF1135" i="6"/>
  <c r="K1135" i="6"/>
  <c r="I1135" i="6"/>
  <c r="H1135" i="6"/>
  <c r="G1135" i="6"/>
  <c r="F1135" i="6"/>
  <c r="E1135" i="6"/>
  <c r="D1135" i="6"/>
  <c r="C1135" i="6"/>
  <c r="B1135" i="6"/>
  <c r="A1135" i="6"/>
  <c r="AT1134" i="6"/>
  <c r="AO1134" i="6"/>
  <c r="J1134" i="6"/>
  <c r="I1134" i="6"/>
  <c r="H1134" i="6"/>
  <c r="G1134" i="6"/>
  <c r="F1134" i="6"/>
  <c r="E1134" i="6"/>
  <c r="D1134" i="6"/>
  <c r="C1134" i="6"/>
  <c r="B1134" i="6"/>
  <c r="A1134" i="6"/>
  <c r="AT1133" i="6"/>
  <c r="AI1133" i="6"/>
  <c r="AE1133" i="6"/>
  <c r="K1133" i="6"/>
  <c r="J1133" i="6"/>
  <c r="I1133" i="6"/>
  <c r="H1133" i="6"/>
  <c r="G1133" i="6"/>
  <c r="F1133" i="6"/>
  <c r="E1133" i="6"/>
  <c r="D1133" i="6"/>
  <c r="C1133" i="6"/>
  <c r="B1133" i="6"/>
  <c r="A1133" i="6"/>
  <c r="AT1132" i="6"/>
  <c r="J1132" i="6"/>
  <c r="I1132" i="6"/>
  <c r="H1132" i="6"/>
  <c r="G1132" i="6"/>
  <c r="F1132" i="6"/>
  <c r="AE1132" i="6" s="1"/>
  <c r="E1132" i="6"/>
  <c r="D1132" i="6"/>
  <c r="C1132" i="6"/>
  <c r="B1132" i="6"/>
  <c r="A1132" i="6"/>
  <c r="AT1131" i="6"/>
  <c r="AO1131" i="6"/>
  <c r="AE1131" i="6"/>
  <c r="J1131" i="6"/>
  <c r="H1131" i="6"/>
  <c r="AF1131" i="6" s="1"/>
  <c r="G1131" i="6"/>
  <c r="F1131" i="6"/>
  <c r="E1131" i="6"/>
  <c r="D1131" i="6"/>
  <c r="C1131" i="6"/>
  <c r="B1131" i="6"/>
  <c r="A1131" i="6"/>
  <c r="AT1130" i="6"/>
  <c r="AO1130" i="6"/>
  <c r="AE1130" i="6"/>
  <c r="K1130" i="6"/>
  <c r="J1130" i="6"/>
  <c r="H1130" i="6"/>
  <c r="G1130" i="6"/>
  <c r="AI1130" i="6" s="1"/>
  <c r="F1130" i="6"/>
  <c r="E1130" i="6"/>
  <c r="D1130" i="6"/>
  <c r="C1130" i="6"/>
  <c r="B1130" i="6"/>
  <c r="A1130" i="6"/>
  <c r="AT1129" i="6"/>
  <c r="AO1129" i="6"/>
  <c r="AF1129" i="6"/>
  <c r="AE1129" i="6"/>
  <c r="I1129" i="6"/>
  <c r="H1129" i="6"/>
  <c r="G1129" i="6"/>
  <c r="F1129" i="6"/>
  <c r="E1129" i="6"/>
  <c r="D1129" i="6"/>
  <c r="C1129" i="6"/>
  <c r="B1129" i="6"/>
  <c r="A1129" i="6"/>
  <c r="AT1128" i="6"/>
  <c r="AO1128" i="6"/>
  <c r="AF1128" i="6"/>
  <c r="J1128" i="6"/>
  <c r="I1128" i="6"/>
  <c r="H1128" i="6"/>
  <c r="G1128" i="6"/>
  <c r="F1128" i="6"/>
  <c r="E1128" i="6"/>
  <c r="D1128" i="6"/>
  <c r="C1128" i="6"/>
  <c r="B1128" i="6"/>
  <c r="A1128" i="6"/>
  <c r="AT1127" i="6"/>
  <c r="AI1127" i="6"/>
  <c r="AE1127" i="6"/>
  <c r="K1127" i="6"/>
  <c r="J1127" i="6"/>
  <c r="I1127" i="6"/>
  <c r="H1127" i="6"/>
  <c r="G1127" i="6"/>
  <c r="F1127" i="6"/>
  <c r="E1127" i="6"/>
  <c r="D1127" i="6"/>
  <c r="C1127" i="6"/>
  <c r="B1127" i="6"/>
  <c r="A1127" i="6"/>
  <c r="BH1126" i="6"/>
  <c r="X1127" i="6" s="1"/>
  <c r="BH1127" i="6" s="1"/>
  <c r="X1128" i="6" s="1"/>
  <c r="AT1126" i="6"/>
  <c r="AI1126" i="6"/>
  <c r="J1126" i="6"/>
  <c r="I1126" i="6"/>
  <c r="H1126" i="6"/>
  <c r="G1126" i="6"/>
  <c r="F1126" i="6"/>
  <c r="AE1126" i="6" s="1"/>
  <c r="E1126" i="6"/>
  <c r="D1126" i="6"/>
  <c r="C1126" i="6"/>
  <c r="B1126" i="6"/>
  <c r="A1126" i="6"/>
  <c r="AT1125" i="6"/>
  <c r="AO1125" i="6"/>
  <c r="AC1125" i="6"/>
  <c r="BM1125" i="6" s="1"/>
  <c r="AC1126" i="6" s="1"/>
  <c r="BM1126" i="6" s="1"/>
  <c r="AC1127" i="6" s="1"/>
  <c r="BM1127" i="6" s="1"/>
  <c r="AC1128" i="6" s="1"/>
  <c r="BM1128" i="6" s="1"/>
  <c r="AC1129" i="6" s="1"/>
  <c r="BM1129" i="6" s="1"/>
  <c r="AC1130" i="6" s="1"/>
  <c r="BM1130" i="6" s="1"/>
  <c r="AC1131" i="6" s="1"/>
  <c r="BM1131" i="6" s="1"/>
  <c r="AC1132" i="6" s="1"/>
  <c r="BM1132" i="6" s="1"/>
  <c r="AC1133" i="6" s="1"/>
  <c r="BM1133" i="6" s="1"/>
  <c r="AC1134" i="6" s="1"/>
  <c r="BM1134" i="6" s="1"/>
  <c r="AC1135" i="6" s="1"/>
  <c r="BM1135" i="6" s="1"/>
  <c r="AC1136" i="6" s="1"/>
  <c r="BM1136" i="6" s="1"/>
  <c r="AC1137" i="6" s="1"/>
  <c r="BM1137" i="6" s="1"/>
  <c r="AC1138" i="6" s="1"/>
  <c r="BM1138" i="6" s="1"/>
  <c r="AC1139" i="6" s="1"/>
  <c r="BM1139" i="6" s="1"/>
  <c r="AC1140" i="6" s="1"/>
  <c r="BM1140" i="6" s="1"/>
  <c r="AC1141" i="6" s="1"/>
  <c r="BM1141" i="6" s="1"/>
  <c r="AC1142" i="6" s="1"/>
  <c r="BM1142" i="6" s="1"/>
  <c r="AC1143" i="6" s="1"/>
  <c r="BM1143" i="6" s="1"/>
  <c r="AC1144" i="6" s="1"/>
  <c r="BM1144" i="6" s="1"/>
  <c r="AC1145" i="6" s="1"/>
  <c r="BM1145" i="6" s="1"/>
  <c r="AC1146" i="6" s="1"/>
  <c r="BM1146" i="6" s="1"/>
  <c r="AC1147" i="6" s="1"/>
  <c r="BM1147" i="6" s="1"/>
  <c r="AC1148" i="6" s="1"/>
  <c r="BM1148" i="6" s="1"/>
  <c r="AC1149" i="6" s="1"/>
  <c r="BM1149" i="6" s="1"/>
  <c r="AC1150" i="6" s="1"/>
  <c r="BM1150" i="6" s="1"/>
  <c r="AC1151" i="6" s="1"/>
  <c r="BM1151" i="6" s="1"/>
  <c r="AC1152" i="6" s="1"/>
  <c r="BM1152" i="6" s="1"/>
  <c r="AC1153" i="6" s="1"/>
  <c r="BM1153" i="6" s="1"/>
  <c r="AC1154" i="6" s="1"/>
  <c r="BM1154" i="6" s="1"/>
  <c r="AC1155" i="6" s="1"/>
  <c r="BM1155" i="6" s="1"/>
  <c r="AC1156" i="6" s="1"/>
  <c r="BM1156" i="6" s="1"/>
  <c r="AC1157" i="6" s="1"/>
  <c r="BM1157" i="6" s="1"/>
  <c r="K1125" i="6"/>
  <c r="H1125" i="6"/>
  <c r="G1125" i="6"/>
  <c r="F1125" i="6"/>
  <c r="J1125" i="6" s="1"/>
  <c r="E1125" i="6"/>
  <c r="D1125" i="6"/>
  <c r="C1125" i="6"/>
  <c r="B1125" i="6"/>
  <c r="A1125" i="6"/>
  <c r="BG1124" i="6"/>
  <c r="W1125" i="6" s="1"/>
  <c r="BG1125" i="6" s="1"/>
  <c r="W1126" i="6" s="1"/>
  <c r="BG1126" i="6" s="1"/>
  <c r="W1127" i="6" s="1"/>
  <c r="AT1124" i="6"/>
  <c r="AO1124" i="6"/>
  <c r="AF1124" i="6"/>
  <c r="AE1124" i="6"/>
  <c r="Z1124" i="6"/>
  <c r="BJ1124" i="6" s="1"/>
  <c r="Z1125" i="6" s="1"/>
  <c r="BJ1125" i="6" s="1"/>
  <c r="Z1126" i="6" s="1"/>
  <c r="BJ1126" i="6" s="1"/>
  <c r="Z1127" i="6" s="1"/>
  <c r="BJ1127" i="6" s="1"/>
  <c r="Z1128" i="6" s="1"/>
  <c r="BJ1128" i="6" s="1"/>
  <c r="Z1129" i="6" s="1"/>
  <c r="BJ1129" i="6" s="1"/>
  <c r="Z1130" i="6" s="1"/>
  <c r="BJ1130" i="6" s="1"/>
  <c r="Z1131" i="6" s="1"/>
  <c r="BJ1131" i="6" s="1"/>
  <c r="Z1132" i="6" s="1"/>
  <c r="BJ1132" i="6" s="1"/>
  <c r="Z1133" i="6" s="1"/>
  <c r="BJ1133" i="6" s="1"/>
  <c r="Z1134" i="6" s="1"/>
  <c r="BJ1134" i="6" s="1"/>
  <c r="Z1135" i="6" s="1"/>
  <c r="BJ1135" i="6" s="1"/>
  <c r="Z1136" i="6" s="1"/>
  <c r="BJ1136" i="6" s="1"/>
  <c r="Z1137" i="6" s="1"/>
  <c r="BJ1137" i="6" s="1"/>
  <c r="Z1138" i="6" s="1"/>
  <c r="BJ1138" i="6" s="1"/>
  <c r="Z1139" i="6" s="1"/>
  <c r="BJ1139" i="6" s="1"/>
  <c r="Z1140" i="6" s="1"/>
  <c r="K1124" i="6"/>
  <c r="H1124" i="6"/>
  <c r="G1124" i="6"/>
  <c r="F1124" i="6"/>
  <c r="E1124" i="6"/>
  <c r="D1124" i="6"/>
  <c r="C1124" i="6"/>
  <c r="B1124" i="6"/>
  <c r="A1124" i="6"/>
  <c r="AT1123" i="6"/>
  <c r="AO1123" i="6"/>
  <c r="AI1123" i="6"/>
  <c r="AF1123" i="6"/>
  <c r="Y1123" i="6"/>
  <c r="BI1123" i="6" s="1"/>
  <c r="Y1124" i="6" s="1"/>
  <c r="BI1124" i="6" s="1"/>
  <c r="Y1125" i="6" s="1"/>
  <c r="BI1125" i="6" s="1"/>
  <c r="Y1126" i="6" s="1"/>
  <c r="BI1126" i="6" s="1"/>
  <c r="Y1127" i="6" s="1"/>
  <c r="BI1127" i="6" s="1"/>
  <c r="Y1128" i="6" s="1"/>
  <c r="BI1128" i="6" s="1"/>
  <c r="Y1129" i="6" s="1"/>
  <c r="BI1129" i="6" s="1"/>
  <c r="Y1130" i="6" s="1"/>
  <c r="BI1130" i="6" s="1"/>
  <c r="Y1131" i="6" s="1"/>
  <c r="BI1131" i="6" s="1"/>
  <c r="Y1132" i="6" s="1"/>
  <c r="BI1132" i="6" s="1"/>
  <c r="Y1133" i="6" s="1"/>
  <c r="BI1133" i="6" s="1"/>
  <c r="Y1134" i="6" s="1"/>
  <c r="BI1134" i="6" s="1"/>
  <c r="Y1135" i="6" s="1"/>
  <c r="BI1135" i="6" s="1"/>
  <c r="Y1136" i="6" s="1"/>
  <c r="BI1136" i="6" s="1"/>
  <c r="Y1137" i="6" s="1"/>
  <c r="BI1137" i="6" s="1"/>
  <c r="Y1138" i="6" s="1"/>
  <c r="BI1138" i="6" s="1"/>
  <c r="Y1139" i="6" s="1"/>
  <c r="BI1139" i="6" s="1"/>
  <c r="Y1140" i="6" s="1"/>
  <c r="BI1140" i="6" s="1"/>
  <c r="Y1141" i="6" s="1"/>
  <c r="BI1141" i="6" s="1"/>
  <c r="Y1142" i="6" s="1"/>
  <c r="BI1142" i="6" s="1"/>
  <c r="Y1143" i="6" s="1"/>
  <c r="BI1143" i="6" s="1"/>
  <c r="Y1144" i="6" s="1"/>
  <c r="BI1144" i="6" s="1"/>
  <c r="Y1145" i="6" s="1"/>
  <c r="BI1145" i="6" s="1"/>
  <c r="Y1146" i="6" s="1"/>
  <c r="BI1146" i="6" s="1"/>
  <c r="Y1147" i="6" s="1"/>
  <c r="BI1147" i="6" s="1"/>
  <c r="Y1148" i="6" s="1"/>
  <c r="BI1148" i="6" s="1"/>
  <c r="Y1149" i="6" s="1"/>
  <c r="BI1149" i="6" s="1"/>
  <c r="Y1150" i="6" s="1"/>
  <c r="BI1150" i="6" s="1"/>
  <c r="Y1151" i="6" s="1"/>
  <c r="BI1151" i="6" s="1"/>
  <c r="Y1152" i="6" s="1"/>
  <c r="BI1152" i="6" s="1"/>
  <c r="Y1153" i="6" s="1"/>
  <c r="BI1153" i="6" s="1"/>
  <c r="Y1154" i="6" s="1"/>
  <c r="BI1154" i="6" s="1"/>
  <c r="Y1155" i="6" s="1"/>
  <c r="BI1155" i="6" s="1"/>
  <c r="Y1156" i="6" s="1"/>
  <c r="BI1156" i="6" s="1"/>
  <c r="Y1157" i="6" s="1"/>
  <c r="BI1157" i="6" s="1"/>
  <c r="U1123" i="6"/>
  <c r="I1123" i="6"/>
  <c r="H1123" i="6"/>
  <c r="G1123" i="6"/>
  <c r="F1123" i="6"/>
  <c r="K1123" i="6" s="1"/>
  <c r="E1123" i="6"/>
  <c r="D1123" i="6"/>
  <c r="C1123" i="6"/>
  <c r="B1123" i="6"/>
  <c r="A1123" i="6"/>
  <c r="BO1122" i="6"/>
  <c r="BN1123" i="6" s="1"/>
  <c r="BO1123" i="6" s="1"/>
  <c r="BN1124" i="6" s="1"/>
  <c r="BN1122" i="6"/>
  <c r="BL1122" i="6"/>
  <c r="AB1123" i="6" s="1"/>
  <c r="BL1123" i="6" s="1"/>
  <c r="AB1124" i="6" s="1"/>
  <c r="BL1124" i="6" s="1"/>
  <c r="AB1125" i="6" s="1"/>
  <c r="BL1125" i="6" s="1"/>
  <c r="AB1126" i="6" s="1"/>
  <c r="BL1126" i="6" s="1"/>
  <c r="AB1127" i="6" s="1"/>
  <c r="BL1127" i="6" s="1"/>
  <c r="AB1128" i="6" s="1"/>
  <c r="BL1128" i="6" s="1"/>
  <c r="AB1129" i="6" s="1"/>
  <c r="BL1129" i="6" s="1"/>
  <c r="AB1130" i="6" s="1"/>
  <c r="BL1130" i="6" s="1"/>
  <c r="AB1131" i="6" s="1"/>
  <c r="BL1131" i="6" s="1"/>
  <c r="AB1132" i="6" s="1"/>
  <c r="BL1132" i="6" s="1"/>
  <c r="AB1133" i="6" s="1"/>
  <c r="BL1133" i="6" s="1"/>
  <c r="AB1134" i="6" s="1"/>
  <c r="BL1134" i="6" s="1"/>
  <c r="AB1135" i="6" s="1"/>
  <c r="BL1135" i="6" s="1"/>
  <c r="AB1136" i="6" s="1"/>
  <c r="BL1136" i="6" s="1"/>
  <c r="AB1137" i="6" s="1"/>
  <c r="BL1137" i="6" s="1"/>
  <c r="AB1138" i="6" s="1"/>
  <c r="BL1138" i="6" s="1"/>
  <c r="AB1139" i="6" s="1"/>
  <c r="BL1139" i="6" s="1"/>
  <c r="AB1140" i="6" s="1"/>
  <c r="BL1140" i="6" s="1"/>
  <c r="AB1141" i="6" s="1"/>
  <c r="BL1141" i="6" s="1"/>
  <c r="AB1142" i="6" s="1"/>
  <c r="BL1142" i="6" s="1"/>
  <c r="AB1143" i="6" s="1"/>
  <c r="BL1143" i="6" s="1"/>
  <c r="AB1144" i="6" s="1"/>
  <c r="BL1144" i="6" s="1"/>
  <c r="AB1145" i="6" s="1"/>
  <c r="BL1145" i="6" s="1"/>
  <c r="AB1146" i="6" s="1"/>
  <c r="BL1146" i="6" s="1"/>
  <c r="AB1147" i="6" s="1"/>
  <c r="BL1147" i="6" s="1"/>
  <c r="AB1148" i="6" s="1"/>
  <c r="BL1148" i="6" s="1"/>
  <c r="AB1149" i="6" s="1"/>
  <c r="BL1149" i="6" s="1"/>
  <c r="AB1150" i="6" s="1"/>
  <c r="BL1150" i="6" s="1"/>
  <c r="AB1151" i="6" s="1"/>
  <c r="BL1151" i="6" s="1"/>
  <c r="AB1152" i="6" s="1"/>
  <c r="BL1152" i="6" s="1"/>
  <c r="AB1153" i="6" s="1"/>
  <c r="BL1153" i="6" s="1"/>
  <c r="AB1154" i="6" s="1"/>
  <c r="BL1154" i="6" s="1"/>
  <c r="AB1155" i="6" s="1"/>
  <c r="BL1155" i="6" s="1"/>
  <c r="AB1156" i="6" s="1"/>
  <c r="BL1156" i="6" s="1"/>
  <c r="AB1157" i="6" s="1"/>
  <c r="BL1157" i="6" s="1"/>
  <c r="BF1122" i="6"/>
  <c r="V1123" i="6" s="1"/>
  <c r="BF1123" i="6" s="1"/>
  <c r="V1124" i="6" s="1"/>
  <c r="BF1124" i="6" s="1"/>
  <c r="V1125" i="6" s="1"/>
  <c r="BF1125" i="6" s="1"/>
  <c r="V1126" i="6" s="1"/>
  <c r="BF1126" i="6" s="1"/>
  <c r="V1127" i="6" s="1"/>
  <c r="BF1127" i="6" s="1"/>
  <c r="V1128" i="6" s="1"/>
  <c r="BF1128" i="6" s="1"/>
  <c r="V1129" i="6" s="1"/>
  <c r="BF1129" i="6" s="1"/>
  <c r="V1130" i="6" s="1"/>
  <c r="BF1130" i="6" s="1"/>
  <c r="V1131" i="6" s="1"/>
  <c r="BF1131" i="6" s="1"/>
  <c r="V1132" i="6" s="1"/>
  <c r="BF1132" i="6" s="1"/>
  <c r="V1133" i="6" s="1"/>
  <c r="BF1133" i="6" s="1"/>
  <c r="V1134" i="6" s="1"/>
  <c r="BF1134" i="6" s="1"/>
  <c r="V1135" i="6" s="1"/>
  <c r="BF1135" i="6" s="1"/>
  <c r="V1136" i="6" s="1"/>
  <c r="BF1136" i="6" s="1"/>
  <c r="V1137" i="6" s="1"/>
  <c r="BF1137" i="6" s="1"/>
  <c r="V1138" i="6" s="1"/>
  <c r="BF1138" i="6" s="1"/>
  <c r="V1139" i="6" s="1"/>
  <c r="BF1139" i="6" s="1"/>
  <c r="V1140" i="6" s="1"/>
  <c r="BF1140" i="6" s="1"/>
  <c r="V1141" i="6" s="1"/>
  <c r="BF1141" i="6" s="1"/>
  <c r="V1142" i="6" s="1"/>
  <c r="BF1142" i="6" s="1"/>
  <c r="V1143" i="6" s="1"/>
  <c r="BF1143" i="6" s="1"/>
  <c r="V1144" i="6" s="1"/>
  <c r="BF1144" i="6" s="1"/>
  <c r="V1145" i="6" s="1"/>
  <c r="BE1122" i="6"/>
  <c r="BE1123" i="6" s="1"/>
  <c r="AT1122" i="6"/>
  <c r="AO1122" i="6"/>
  <c r="AF1122" i="6"/>
  <c r="AE1122" i="6"/>
  <c r="AC1122" i="6"/>
  <c r="BM1122" i="6" s="1"/>
  <c r="AC1123" i="6" s="1"/>
  <c r="BM1123" i="6" s="1"/>
  <c r="AC1124" i="6" s="1"/>
  <c r="BM1124" i="6" s="1"/>
  <c r="AB1122" i="6"/>
  <c r="AA1122" i="6"/>
  <c r="BK1122" i="6" s="1"/>
  <c r="AA1123" i="6" s="1"/>
  <c r="BK1123" i="6" s="1"/>
  <c r="AA1124" i="6" s="1"/>
  <c r="BK1124" i="6" s="1"/>
  <c r="AA1125" i="6" s="1"/>
  <c r="BK1125" i="6" s="1"/>
  <c r="AA1126" i="6" s="1"/>
  <c r="BK1126" i="6" s="1"/>
  <c r="AA1127" i="6" s="1"/>
  <c r="BK1127" i="6" s="1"/>
  <c r="AA1128" i="6" s="1"/>
  <c r="BK1128" i="6" s="1"/>
  <c r="AA1129" i="6" s="1"/>
  <c r="BK1129" i="6" s="1"/>
  <c r="AA1130" i="6" s="1"/>
  <c r="BK1130" i="6" s="1"/>
  <c r="AA1131" i="6" s="1"/>
  <c r="BK1131" i="6" s="1"/>
  <c r="AA1132" i="6" s="1"/>
  <c r="BK1132" i="6" s="1"/>
  <c r="AA1133" i="6" s="1"/>
  <c r="BK1133" i="6" s="1"/>
  <c r="AA1134" i="6" s="1"/>
  <c r="BK1134" i="6" s="1"/>
  <c r="AA1135" i="6" s="1"/>
  <c r="BK1135" i="6" s="1"/>
  <c r="AA1136" i="6" s="1"/>
  <c r="BK1136" i="6" s="1"/>
  <c r="AA1137" i="6" s="1"/>
  <c r="BK1137" i="6" s="1"/>
  <c r="AA1138" i="6" s="1"/>
  <c r="BK1138" i="6" s="1"/>
  <c r="AA1139" i="6" s="1"/>
  <c r="BK1139" i="6" s="1"/>
  <c r="AA1140" i="6" s="1"/>
  <c r="BK1140" i="6" s="1"/>
  <c r="AA1141" i="6" s="1"/>
  <c r="BK1141" i="6" s="1"/>
  <c r="AA1142" i="6" s="1"/>
  <c r="BK1142" i="6" s="1"/>
  <c r="AA1143" i="6" s="1"/>
  <c r="BK1143" i="6" s="1"/>
  <c r="AA1144" i="6" s="1"/>
  <c r="BK1144" i="6" s="1"/>
  <c r="AA1145" i="6" s="1"/>
  <c r="BK1145" i="6" s="1"/>
  <c r="AA1146" i="6" s="1"/>
  <c r="BK1146" i="6" s="1"/>
  <c r="AA1147" i="6" s="1"/>
  <c r="BK1147" i="6" s="1"/>
  <c r="AA1148" i="6" s="1"/>
  <c r="BK1148" i="6" s="1"/>
  <c r="AA1149" i="6" s="1"/>
  <c r="BK1149" i="6" s="1"/>
  <c r="AA1150" i="6" s="1"/>
  <c r="BK1150" i="6" s="1"/>
  <c r="AA1151" i="6" s="1"/>
  <c r="BK1151" i="6" s="1"/>
  <c r="AA1152" i="6" s="1"/>
  <c r="BK1152" i="6" s="1"/>
  <c r="AA1153" i="6" s="1"/>
  <c r="BK1153" i="6" s="1"/>
  <c r="AA1154" i="6" s="1"/>
  <c r="BK1154" i="6" s="1"/>
  <c r="AA1155" i="6" s="1"/>
  <c r="BK1155" i="6" s="1"/>
  <c r="AA1156" i="6" s="1"/>
  <c r="BK1156" i="6" s="1"/>
  <c r="AA1157" i="6" s="1"/>
  <c r="BK1157" i="6" s="1"/>
  <c r="Z1122" i="6"/>
  <c r="BJ1122" i="6" s="1"/>
  <c r="Z1123" i="6" s="1"/>
  <c r="BJ1123" i="6" s="1"/>
  <c r="Y1122" i="6"/>
  <c r="BI1122" i="6" s="1"/>
  <c r="X1122" i="6"/>
  <c r="BH1122" i="6" s="1"/>
  <c r="X1123" i="6" s="1"/>
  <c r="BH1123" i="6" s="1"/>
  <c r="X1124" i="6" s="1"/>
  <c r="BH1124" i="6" s="1"/>
  <c r="X1125" i="6" s="1"/>
  <c r="BH1125" i="6" s="1"/>
  <c r="X1126" i="6" s="1"/>
  <c r="W1122" i="6"/>
  <c r="BG1122" i="6" s="1"/>
  <c r="W1123" i="6" s="1"/>
  <c r="BG1123" i="6" s="1"/>
  <c r="W1124" i="6" s="1"/>
  <c r="V1122" i="6"/>
  <c r="U1122" i="6"/>
  <c r="T1122" i="6"/>
  <c r="BD1122" i="6" s="1"/>
  <c r="T1123" i="6" s="1"/>
  <c r="BD1123" i="6" s="1"/>
  <c r="T1124" i="6" s="1"/>
  <c r="S1122" i="6"/>
  <c r="BC1122" i="6" s="1"/>
  <c r="S1123" i="6" s="1"/>
  <c r="BC1123" i="6" s="1"/>
  <c r="S1124" i="6" s="1"/>
  <c r="BC1124" i="6" s="1"/>
  <c r="S1125" i="6" s="1"/>
  <c r="BC1125" i="6" s="1"/>
  <c r="S1126" i="6" s="1"/>
  <c r="BC1126" i="6" s="1"/>
  <c r="S1127" i="6" s="1"/>
  <c r="BC1127" i="6" s="1"/>
  <c r="S1128" i="6" s="1"/>
  <c r="BC1128" i="6" s="1"/>
  <c r="S1129" i="6" s="1"/>
  <c r="BC1129" i="6" s="1"/>
  <c r="S1130" i="6" s="1"/>
  <c r="BC1130" i="6" s="1"/>
  <c r="S1131" i="6" s="1"/>
  <c r="BC1131" i="6" s="1"/>
  <c r="S1132" i="6" s="1"/>
  <c r="BC1132" i="6" s="1"/>
  <c r="S1133" i="6" s="1"/>
  <c r="BC1133" i="6" s="1"/>
  <c r="S1134" i="6" s="1"/>
  <c r="BC1134" i="6" s="1"/>
  <c r="S1135" i="6" s="1"/>
  <c r="BC1135" i="6" s="1"/>
  <c r="S1136" i="6" s="1"/>
  <c r="BC1136" i="6" s="1"/>
  <c r="S1137" i="6" s="1"/>
  <c r="BC1137" i="6" s="1"/>
  <c r="S1138" i="6" s="1"/>
  <c r="BC1138" i="6" s="1"/>
  <c r="S1139" i="6" s="1"/>
  <c r="BC1139" i="6" s="1"/>
  <c r="S1140" i="6" s="1"/>
  <c r="BC1140" i="6" s="1"/>
  <c r="S1141" i="6" s="1"/>
  <c r="BC1141" i="6" s="1"/>
  <c r="S1142" i="6" s="1"/>
  <c r="BC1142" i="6" s="1"/>
  <c r="S1143" i="6" s="1"/>
  <c r="BC1143" i="6" s="1"/>
  <c r="S1144" i="6" s="1"/>
  <c r="BC1144" i="6" s="1"/>
  <c r="S1145" i="6" s="1"/>
  <c r="BC1145" i="6" s="1"/>
  <c r="S1146" i="6" s="1"/>
  <c r="BC1146" i="6" s="1"/>
  <c r="S1147" i="6" s="1"/>
  <c r="BC1147" i="6" s="1"/>
  <c r="S1148" i="6" s="1"/>
  <c r="BC1148" i="6" s="1"/>
  <c r="S1149" i="6" s="1"/>
  <c r="BC1149" i="6" s="1"/>
  <c r="S1150" i="6" s="1"/>
  <c r="BC1150" i="6" s="1"/>
  <c r="S1151" i="6" s="1"/>
  <c r="BC1151" i="6" s="1"/>
  <c r="S1152" i="6" s="1"/>
  <c r="BC1152" i="6" s="1"/>
  <c r="S1153" i="6" s="1"/>
  <c r="BC1153" i="6" s="1"/>
  <c r="S1154" i="6" s="1"/>
  <c r="BC1154" i="6" s="1"/>
  <c r="S1155" i="6" s="1"/>
  <c r="BC1155" i="6" s="1"/>
  <c r="S1156" i="6" s="1"/>
  <c r="BC1156" i="6" s="1"/>
  <c r="S1157" i="6" s="1"/>
  <c r="BC1157" i="6" s="1"/>
  <c r="R1122" i="6"/>
  <c r="BB1122" i="6" s="1"/>
  <c r="R1123" i="6" s="1"/>
  <c r="BB1123" i="6" s="1"/>
  <c r="R1124" i="6" s="1"/>
  <c r="BB1124" i="6" s="1"/>
  <c r="R1125" i="6" s="1"/>
  <c r="BB1125" i="6" s="1"/>
  <c r="R1126" i="6" s="1"/>
  <c r="BB1126" i="6" s="1"/>
  <c r="R1127" i="6" s="1"/>
  <c r="BB1127" i="6" s="1"/>
  <c r="R1128" i="6" s="1"/>
  <c r="BB1128" i="6" s="1"/>
  <c r="R1129" i="6" s="1"/>
  <c r="BB1129" i="6" s="1"/>
  <c r="R1130" i="6" s="1"/>
  <c r="BB1130" i="6" s="1"/>
  <c r="R1131" i="6" s="1"/>
  <c r="BB1131" i="6" s="1"/>
  <c r="R1132" i="6" s="1"/>
  <c r="BB1132" i="6" s="1"/>
  <c r="R1133" i="6" s="1"/>
  <c r="BB1133" i="6" s="1"/>
  <c r="R1134" i="6" s="1"/>
  <c r="BB1134" i="6" s="1"/>
  <c r="R1135" i="6" s="1"/>
  <c r="BB1135" i="6" s="1"/>
  <c r="R1136" i="6" s="1"/>
  <c r="Q1122" i="6"/>
  <c r="BA1122" i="6" s="1"/>
  <c r="Q1123" i="6" s="1"/>
  <c r="BA1123" i="6" s="1"/>
  <c r="Q1124" i="6" s="1"/>
  <c r="BA1124" i="6" s="1"/>
  <c r="Q1125" i="6" s="1"/>
  <c r="BA1125" i="6" s="1"/>
  <c r="Q1126" i="6" s="1"/>
  <c r="O1122" i="6"/>
  <c r="AY1122" i="6" s="1"/>
  <c r="O1123" i="6" s="1"/>
  <c r="AY1123" i="6" s="1"/>
  <c r="O1124" i="6" s="1"/>
  <c r="AY1124" i="6" s="1"/>
  <c r="O1125" i="6" s="1"/>
  <c r="AY1125" i="6" s="1"/>
  <c r="O1126" i="6" s="1"/>
  <c r="AY1126" i="6" s="1"/>
  <c r="O1127" i="6" s="1"/>
  <c r="AY1127" i="6" s="1"/>
  <c r="O1128" i="6" s="1"/>
  <c r="AY1128" i="6" s="1"/>
  <c r="O1129" i="6" s="1"/>
  <c r="AY1129" i="6" s="1"/>
  <c r="O1130" i="6" s="1"/>
  <c r="AY1130" i="6" s="1"/>
  <c r="O1131" i="6" s="1"/>
  <c r="AY1131" i="6" s="1"/>
  <c r="O1132" i="6" s="1"/>
  <c r="AY1132" i="6" s="1"/>
  <c r="O1133" i="6" s="1"/>
  <c r="AY1133" i="6" s="1"/>
  <c r="O1134" i="6" s="1"/>
  <c r="AY1134" i="6" s="1"/>
  <c r="O1135" i="6" s="1"/>
  <c r="AY1135" i="6" s="1"/>
  <c r="O1136" i="6" s="1"/>
  <c r="AY1136" i="6" s="1"/>
  <c r="O1137" i="6" s="1"/>
  <c r="AY1137" i="6" s="1"/>
  <c r="O1138" i="6" s="1"/>
  <c r="AY1138" i="6" s="1"/>
  <c r="O1139" i="6" s="1"/>
  <c r="AY1139" i="6" s="1"/>
  <c r="O1140" i="6" s="1"/>
  <c r="AY1140" i="6" s="1"/>
  <c r="O1141" i="6" s="1"/>
  <c r="AY1141" i="6" s="1"/>
  <c r="O1142" i="6" s="1"/>
  <c r="AY1142" i="6" s="1"/>
  <c r="O1143" i="6" s="1"/>
  <c r="AY1143" i="6" s="1"/>
  <c r="O1144" i="6" s="1"/>
  <c r="AY1144" i="6" s="1"/>
  <c r="O1145" i="6" s="1"/>
  <c r="AY1145" i="6" s="1"/>
  <c r="O1146" i="6" s="1"/>
  <c r="AY1146" i="6" s="1"/>
  <c r="O1147" i="6" s="1"/>
  <c r="AY1147" i="6" s="1"/>
  <c r="O1148" i="6" s="1"/>
  <c r="AY1148" i="6" s="1"/>
  <c r="O1149" i="6" s="1"/>
  <c r="AY1149" i="6" s="1"/>
  <c r="O1150" i="6" s="1"/>
  <c r="AY1150" i="6" s="1"/>
  <c r="O1151" i="6" s="1"/>
  <c r="AY1151" i="6" s="1"/>
  <c r="O1152" i="6" s="1"/>
  <c r="AY1152" i="6" s="1"/>
  <c r="O1153" i="6" s="1"/>
  <c r="AY1153" i="6" s="1"/>
  <c r="O1154" i="6" s="1"/>
  <c r="AY1154" i="6" s="1"/>
  <c r="O1155" i="6" s="1"/>
  <c r="AY1155" i="6" s="1"/>
  <c r="O1156" i="6" s="1"/>
  <c r="AY1156" i="6" s="1"/>
  <c r="O1157" i="6" s="1"/>
  <c r="AY1157" i="6" s="1"/>
  <c r="N1122" i="6"/>
  <c r="AX1122" i="6" s="1"/>
  <c r="N1123" i="6" s="1"/>
  <c r="AX1123" i="6" s="1"/>
  <c r="N1124" i="6" s="1"/>
  <c r="AX1124" i="6" s="1"/>
  <c r="N1125" i="6" s="1"/>
  <c r="AX1125" i="6" s="1"/>
  <c r="N1126" i="6" s="1"/>
  <c r="AX1126" i="6" s="1"/>
  <c r="N1127" i="6" s="1"/>
  <c r="AX1127" i="6" s="1"/>
  <c r="N1128" i="6" s="1"/>
  <c r="AX1128" i="6" s="1"/>
  <c r="M1122" i="6"/>
  <c r="AW1122" i="6" s="1"/>
  <c r="M1123" i="6" s="1"/>
  <c r="AW1123" i="6" s="1"/>
  <c r="M1124" i="6" s="1"/>
  <c r="L1122" i="6"/>
  <c r="K1122" i="6"/>
  <c r="J1122" i="6"/>
  <c r="H1122" i="6"/>
  <c r="G1122" i="6"/>
  <c r="F1122" i="6"/>
  <c r="E1122" i="6"/>
  <c r="D1122" i="6"/>
  <c r="C1122" i="6"/>
  <c r="B1122" i="6"/>
  <c r="A1122" i="6"/>
  <c r="AO1121" i="6"/>
  <c r="AI1121" i="6"/>
  <c r="K1121" i="6"/>
  <c r="H1121" i="6"/>
  <c r="G1121" i="6"/>
  <c r="F1121" i="6"/>
  <c r="J1121" i="6" s="1"/>
  <c r="E1121" i="6"/>
  <c r="D1121" i="6"/>
  <c r="C1121" i="6"/>
  <c r="B1121" i="6"/>
  <c r="A1121" i="6"/>
  <c r="AO1120" i="6"/>
  <c r="H1120" i="6"/>
  <c r="G1120" i="6"/>
  <c r="F1120" i="6"/>
  <c r="E1120" i="6"/>
  <c r="D1120" i="6"/>
  <c r="C1120" i="6"/>
  <c r="B1120" i="6"/>
  <c r="A1120" i="6"/>
  <c r="AO1119" i="6"/>
  <c r="AE1119" i="6"/>
  <c r="J1119" i="6"/>
  <c r="I1119" i="6"/>
  <c r="H1119" i="6"/>
  <c r="G1119" i="6"/>
  <c r="F1119" i="6"/>
  <c r="E1119" i="6"/>
  <c r="D1119" i="6"/>
  <c r="C1119" i="6"/>
  <c r="B1119" i="6"/>
  <c r="A1119" i="6"/>
  <c r="AO1118" i="6"/>
  <c r="AI1118" i="6"/>
  <c r="AE1118" i="6"/>
  <c r="K1118" i="6"/>
  <c r="J1118" i="6"/>
  <c r="H1118" i="6"/>
  <c r="G1118" i="6"/>
  <c r="F1118" i="6"/>
  <c r="E1118" i="6"/>
  <c r="D1118" i="6"/>
  <c r="C1118" i="6"/>
  <c r="B1118" i="6"/>
  <c r="A1118" i="6"/>
  <c r="AO1117" i="6"/>
  <c r="H1117" i="6"/>
  <c r="G1117" i="6"/>
  <c r="F1117" i="6"/>
  <c r="E1117" i="6"/>
  <c r="D1117" i="6"/>
  <c r="C1117" i="6"/>
  <c r="B1117" i="6"/>
  <c r="A1117" i="6"/>
  <c r="AO1116" i="6"/>
  <c r="AE1116" i="6"/>
  <c r="J1116" i="6"/>
  <c r="I1116" i="6"/>
  <c r="H1116" i="6"/>
  <c r="G1116" i="6"/>
  <c r="F1116" i="6"/>
  <c r="E1116" i="6"/>
  <c r="D1116" i="6"/>
  <c r="C1116" i="6"/>
  <c r="B1116" i="6"/>
  <c r="A1116" i="6"/>
  <c r="AO1115" i="6"/>
  <c r="AI1115" i="6"/>
  <c r="AE1115" i="6"/>
  <c r="K1115" i="6"/>
  <c r="J1115" i="6"/>
  <c r="I1115" i="6"/>
  <c r="H1115" i="6"/>
  <c r="G1115" i="6"/>
  <c r="F1115" i="6"/>
  <c r="E1115" i="6"/>
  <c r="D1115" i="6"/>
  <c r="C1115" i="6"/>
  <c r="B1115" i="6"/>
  <c r="A1115" i="6"/>
  <c r="AO1114" i="6"/>
  <c r="H1114" i="6"/>
  <c r="G1114" i="6"/>
  <c r="F1114" i="6"/>
  <c r="E1114" i="6"/>
  <c r="D1114" i="6"/>
  <c r="C1114" i="6"/>
  <c r="B1114" i="6"/>
  <c r="A1114" i="6"/>
  <c r="AO1113" i="6"/>
  <c r="AE1113" i="6"/>
  <c r="J1113" i="6"/>
  <c r="I1113" i="6"/>
  <c r="H1113" i="6"/>
  <c r="G1113" i="6"/>
  <c r="F1113" i="6"/>
  <c r="E1113" i="6"/>
  <c r="D1113" i="6"/>
  <c r="C1113" i="6"/>
  <c r="B1113" i="6"/>
  <c r="A1113" i="6"/>
  <c r="AO1112" i="6"/>
  <c r="AI1112" i="6"/>
  <c r="K1112" i="6"/>
  <c r="I1112" i="6"/>
  <c r="H1112" i="6"/>
  <c r="G1112" i="6"/>
  <c r="F1112" i="6"/>
  <c r="J1112" i="6" s="1"/>
  <c r="E1112" i="6"/>
  <c r="D1112" i="6"/>
  <c r="C1112" i="6"/>
  <c r="B1112" i="6"/>
  <c r="A1112" i="6"/>
  <c r="AO1111" i="6"/>
  <c r="AI1111" i="6"/>
  <c r="K1111" i="6"/>
  <c r="I1111" i="6"/>
  <c r="H1111" i="6"/>
  <c r="G1111" i="6"/>
  <c r="F1111" i="6"/>
  <c r="E1111" i="6"/>
  <c r="D1111" i="6"/>
  <c r="C1111" i="6"/>
  <c r="B1111" i="6"/>
  <c r="A1111" i="6"/>
  <c r="AO1110" i="6"/>
  <c r="AE1110" i="6"/>
  <c r="K1110" i="6"/>
  <c r="H1110" i="6"/>
  <c r="G1110" i="6"/>
  <c r="F1110" i="6"/>
  <c r="E1110" i="6"/>
  <c r="D1110" i="6"/>
  <c r="C1110" i="6"/>
  <c r="B1110" i="6"/>
  <c r="A1110" i="6"/>
  <c r="AO1109" i="6"/>
  <c r="AI1109" i="6"/>
  <c r="K1109" i="6"/>
  <c r="J1109" i="6"/>
  <c r="H1109" i="6"/>
  <c r="G1109" i="6"/>
  <c r="F1109" i="6"/>
  <c r="E1109" i="6"/>
  <c r="D1109" i="6"/>
  <c r="C1109" i="6"/>
  <c r="B1109" i="6"/>
  <c r="A1109" i="6"/>
  <c r="AT1108" i="6"/>
  <c r="J1108" i="6"/>
  <c r="H1108" i="6"/>
  <c r="G1108" i="6"/>
  <c r="F1108" i="6"/>
  <c r="I1108" i="6" s="1"/>
  <c r="E1108" i="6"/>
  <c r="D1108" i="6"/>
  <c r="C1108" i="6"/>
  <c r="B1108" i="6"/>
  <c r="A1108" i="6"/>
  <c r="AT1107" i="6"/>
  <c r="AO1107" i="6"/>
  <c r="AE1107" i="6"/>
  <c r="J1107" i="6"/>
  <c r="H1107" i="6"/>
  <c r="G1107" i="6"/>
  <c r="F1107" i="6"/>
  <c r="E1107" i="6"/>
  <c r="D1107" i="6"/>
  <c r="C1107" i="6"/>
  <c r="B1107" i="6"/>
  <c r="A1107" i="6"/>
  <c r="AT1106" i="6"/>
  <c r="AO1106" i="6"/>
  <c r="AI1106" i="6"/>
  <c r="AE1106" i="6"/>
  <c r="K1106" i="6"/>
  <c r="J1106" i="6"/>
  <c r="I1106" i="6"/>
  <c r="H1106" i="6"/>
  <c r="G1106" i="6"/>
  <c r="F1106" i="6"/>
  <c r="E1106" i="6"/>
  <c r="D1106" i="6"/>
  <c r="C1106" i="6"/>
  <c r="B1106" i="6"/>
  <c r="A1106" i="6"/>
  <c r="AT1105" i="6"/>
  <c r="AO1105" i="6"/>
  <c r="K1105" i="6"/>
  <c r="J1105" i="6"/>
  <c r="H1105" i="6"/>
  <c r="G1105" i="6"/>
  <c r="AI1105" i="6" s="1"/>
  <c r="F1105" i="6"/>
  <c r="E1105" i="6"/>
  <c r="D1105" i="6"/>
  <c r="C1105" i="6"/>
  <c r="B1105" i="6"/>
  <c r="A1105" i="6"/>
  <c r="AT1104" i="6"/>
  <c r="AO1104" i="6"/>
  <c r="AE1104" i="6"/>
  <c r="J1104" i="6"/>
  <c r="I1104" i="6"/>
  <c r="H1104" i="6"/>
  <c r="G1104" i="6"/>
  <c r="F1104" i="6"/>
  <c r="E1104" i="6"/>
  <c r="D1104" i="6"/>
  <c r="C1104" i="6"/>
  <c r="B1104" i="6"/>
  <c r="A1104" i="6"/>
  <c r="AT1103" i="6"/>
  <c r="AO1103" i="6"/>
  <c r="AE1103" i="6"/>
  <c r="K1103" i="6"/>
  <c r="J1103" i="6"/>
  <c r="I1103" i="6"/>
  <c r="H1103" i="6"/>
  <c r="AF1103" i="6" s="1"/>
  <c r="G1103" i="6"/>
  <c r="AI1103" i="6" s="1"/>
  <c r="F1103" i="6"/>
  <c r="E1103" i="6"/>
  <c r="D1103" i="6"/>
  <c r="C1103" i="6"/>
  <c r="B1103" i="6"/>
  <c r="A1103" i="6"/>
  <c r="AT1102" i="6"/>
  <c r="AE1102" i="6"/>
  <c r="Z1102" i="6"/>
  <c r="BJ1102" i="6" s="1"/>
  <c r="Z1103" i="6" s="1"/>
  <c r="BJ1103" i="6" s="1"/>
  <c r="Z1104" i="6" s="1"/>
  <c r="BJ1104" i="6" s="1"/>
  <c r="Z1105" i="6" s="1"/>
  <c r="BJ1105" i="6" s="1"/>
  <c r="Z1106" i="6" s="1"/>
  <c r="BJ1106" i="6" s="1"/>
  <c r="Z1107" i="6" s="1"/>
  <c r="BJ1107" i="6" s="1"/>
  <c r="Z1108" i="6" s="1"/>
  <c r="BJ1108" i="6" s="1"/>
  <c r="Z1109" i="6" s="1"/>
  <c r="BJ1109" i="6" s="1"/>
  <c r="Z1110" i="6" s="1"/>
  <c r="BJ1110" i="6" s="1"/>
  <c r="Z1111" i="6" s="1"/>
  <c r="BJ1111" i="6" s="1"/>
  <c r="Z1112" i="6" s="1"/>
  <c r="BJ1112" i="6" s="1"/>
  <c r="Z1113" i="6" s="1"/>
  <c r="BJ1113" i="6" s="1"/>
  <c r="Z1114" i="6" s="1"/>
  <c r="BJ1114" i="6" s="1"/>
  <c r="Z1115" i="6" s="1"/>
  <c r="BJ1115" i="6" s="1"/>
  <c r="Z1116" i="6" s="1"/>
  <c r="BJ1116" i="6" s="1"/>
  <c r="Z1117" i="6" s="1"/>
  <c r="BJ1117" i="6" s="1"/>
  <c r="Z1118" i="6" s="1"/>
  <c r="BJ1118" i="6" s="1"/>
  <c r="Z1119" i="6" s="1"/>
  <c r="BJ1119" i="6" s="1"/>
  <c r="Z1120" i="6" s="1"/>
  <c r="BJ1120" i="6" s="1"/>
  <c r="Z1121" i="6" s="1"/>
  <c r="BJ1121" i="6" s="1"/>
  <c r="K1102" i="6"/>
  <c r="H1102" i="6"/>
  <c r="G1102" i="6"/>
  <c r="F1102" i="6"/>
  <c r="E1102" i="6"/>
  <c r="D1102" i="6"/>
  <c r="C1102" i="6"/>
  <c r="B1102" i="6"/>
  <c r="A1102" i="6"/>
  <c r="AT1101" i="6"/>
  <c r="AO1101" i="6"/>
  <c r="AF1101" i="6"/>
  <c r="AE1101" i="6"/>
  <c r="J1101" i="6"/>
  <c r="H1101" i="6"/>
  <c r="G1101" i="6"/>
  <c r="F1101" i="6"/>
  <c r="K1101" i="6" s="1"/>
  <c r="E1101" i="6"/>
  <c r="D1101" i="6"/>
  <c r="C1101" i="6"/>
  <c r="B1101" i="6"/>
  <c r="A1101" i="6"/>
  <c r="AT1100" i="6"/>
  <c r="AO1100" i="6"/>
  <c r="AI1100" i="6"/>
  <c r="AF1100" i="6"/>
  <c r="AE1100" i="6"/>
  <c r="K1100" i="6"/>
  <c r="J1100" i="6"/>
  <c r="I1100" i="6"/>
  <c r="H1100" i="6"/>
  <c r="G1100" i="6"/>
  <c r="F1100" i="6"/>
  <c r="E1100" i="6"/>
  <c r="D1100" i="6"/>
  <c r="C1100" i="6"/>
  <c r="B1100" i="6"/>
  <c r="A1100" i="6"/>
  <c r="AT1099" i="6"/>
  <c r="AO1099" i="6"/>
  <c r="AF1099" i="6"/>
  <c r="R1099" i="6"/>
  <c r="BB1099" i="6" s="1"/>
  <c r="R1100" i="6" s="1"/>
  <c r="BB1100" i="6" s="1"/>
  <c r="R1101" i="6" s="1"/>
  <c r="BB1101" i="6" s="1"/>
  <c r="R1102" i="6" s="1"/>
  <c r="BB1102" i="6" s="1"/>
  <c r="R1103" i="6" s="1"/>
  <c r="BB1103" i="6" s="1"/>
  <c r="R1104" i="6" s="1"/>
  <c r="BB1104" i="6" s="1"/>
  <c r="R1105" i="6" s="1"/>
  <c r="BB1105" i="6" s="1"/>
  <c r="R1106" i="6" s="1"/>
  <c r="BB1106" i="6" s="1"/>
  <c r="R1107" i="6" s="1"/>
  <c r="BB1107" i="6" s="1"/>
  <c r="R1108" i="6" s="1"/>
  <c r="BB1108" i="6" s="1"/>
  <c r="R1109" i="6" s="1"/>
  <c r="BB1109" i="6" s="1"/>
  <c r="R1110" i="6" s="1"/>
  <c r="BB1110" i="6" s="1"/>
  <c r="R1111" i="6" s="1"/>
  <c r="BB1111" i="6" s="1"/>
  <c r="R1112" i="6" s="1"/>
  <c r="BB1112" i="6" s="1"/>
  <c r="R1113" i="6" s="1"/>
  <c r="BB1113" i="6" s="1"/>
  <c r="R1114" i="6" s="1"/>
  <c r="BB1114" i="6" s="1"/>
  <c r="R1115" i="6" s="1"/>
  <c r="BB1115" i="6" s="1"/>
  <c r="R1116" i="6" s="1"/>
  <c r="BB1116" i="6" s="1"/>
  <c r="R1117" i="6" s="1"/>
  <c r="BB1117" i="6" s="1"/>
  <c r="R1118" i="6" s="1"/>
  <c r="BB1118" i="6" s="1"/>
  <c r="R1119" i="6" s="1"/>
  <c r="BB1119" i="6" s="1"/>
  <c r="R1120" i="6" s="1"/>
  <c r="BB1120" i="6" s="1"/>
  <c r="R1121" i="6" s="1"/>
  <c r="BB1121" i="6" s="1"/>
  <c r="K1099" i="6"/>
  <c r="H1099" i="6"/>
  <c r="G1099" i="6"/>
  <c r="F1099" i="6"/>
  <c r="I1099" i="6" s="1"/>
  <c r="E1099" i="6"/>
  <c r="D1099" i="6"/>
  <c r="C1099" i="6"/>
  <c r="B1099" i="6"/>
  <c r="A1099" i="6"/>
  <c r="AT1098" i="6"/>
  <c r="AO1098" i="6"/>
  <c r="AE1098" i="6"/>
  <c r="K1098" i="6"/>
  <c r="J1098" i="6"/>
  <c r="I1098" i="6"/>
  <c r="H1098" i="6"/>
  <c r="G1098" i="6"/>
  <c r="F1098" i="6"/>
  <c r="E1098" i="6"/>
  <c r="D1098" i="6"/>
  <c r="C1098" i="6"/>
  <c r="B1098" i="6"/>
  <c r="A1098" i="6"/>
  <c r="AT1097" i="6"/>
  <c r="H1097" i="6"/>
  <c r="G1097" i="6"/>
  <c r="F1097" i="6"/>
  <c r="E1097" i="6"/>
  <c r="D1097" i="6"/>
  <c r="C1097" i="6"/>
  <c r="B1097" i="6"/>
  <c r="A1097" i="6"/>
  <c r="AT1096" i="6"/>
  <c r="AI1096" i="6"/>
  <c r="K1096" i="6"/>
  <c r="J1096" i="6"/>
  <c r="I1096" i="6"/>
  <c r="H1096" i="6"/>
  <c r="G1096" i="6"/>
  <c r="F1096" i="6"/>
  <c r="AE1096" i="6" s="1"/>
  <c r="E1096" i="6"/>
  <c r="D1096" i="6"/>
  <c r="C1096" i="6"/>
  <c r="B1096" i="6"/>
  <c r="A1096" i="6"/>
  <c r="AT1095" i="6"/>
  <c r="AO1095" i="6"/>
  <c r="H1095" i="6"/>
  <c r="AF1095" i="6" s="1"/>
  <c r="G1095" i="6"/>
  <c r="F1095" i="6"/>
  <c r="E1095" i="6"/>
  <c r="D1095" i="6"/>
  <c r="C1095" i="6"/>
  <c r="B1095" i="6"/>
  <c r="A1095" i="6"/>
  <c r="AT1094" i="6"/>
  <c r="AO1094" i="6"/>
  <c r="AE1094" i="6"/>
  <c r="K1094" i="6"/>
  <c r="J1094" i="6"/>
  <c r="H1094" i="6"/>
  <c r="G1094" i="6"/>
  <c r="AI1094" i="6" s="1"/>
  <c r="F1094" i="6"/>
  <c r="E1094" i="6"/>
  <c r="D1094" i="6"/>
  <c r="C1094" i="6"/>
  <c r="B1094" i="6"/>
  <c r="A1094" i="6"/>
  <c r="AT1093" i="6"/>
  <c r="AO1093" i="6"/>
  <c r="AF1093" i="6"/>
  <c r="H1093" i="6"/>
  <c r="G1093" i="6"/>
  <c r="F1093" i="6"/>
  <c r="AE1093" i="6" s="1"/>
  <c r="E1093" i="6"/>
  <c r="D1093" i="6"/>
  <c r="C1093" i="6"/>
  <c r="B1093" i="6"/>
  <c r="A1093" i="6"/>
  <c r="AT1092" i="6"/>
  <c r="AO1092" i="6"/>
  <c r="AE1092" i="6"/>
  <c r="J1092" i="6"/>
  <c r="H1092" i="6"/>
  <c r="AF1092" i="6" s="1"/>
  <c r="G1092" i="6"/>
  <c r="F1092" i="6"/>
  <c r="E1092" i="6"/>
  <c r="D1092" i="6"/>
  <c r="C1092" i="6"/>
  <c r="B1092" i="6"/>
  <c r="A1092" i="6"/>
  <c r="BO1091" i="6"/>
  <c r="BN1092" i="6" s="1"/>
  <c r="BO1092" i="6" s="1"/>
  <c r="BN1093" i="6" s="1"/>
  <c r="BO1093" i="6" s="1"/>
  <c r="BN1094" i="6" s="1"/>
  <c r="AT1091" i="6"/>
  <c r="AI1091" i="6"/>
  <c r="AE1091" i="6"/>
  <c r="W1091" i="6"/>
  <c r="K1091" i="6"/>
  <c r="J1091" i="6"/>
  <c r="I1091" i="6"/>
  <c r="H1091" i="6"/>
  <c r="G1091" i="6"/>
  <c r="F1091" i="6"/>
  <c r="E1091" i="6"/>
  <c r="D1091" i="6"/>
  <c r="C1091" i="6"/>
  <c r="B1091" i="6"/>
  <c r="A1091" i="6"/>
  <c r="BJ1090" i="6"/>
  <c r="Z1091" i="6" s="1"/>
  <c r="BJ1091" i="6" s="1"/>
  <c r="Z1092" i="6" s="1"/>
  <c r="BJ1092" i="6" s="1"/>
  <c r="Z1093" i="6" s="1"/>
  <c r="BJ1093" i="6" s="1"/>
  <c r="Z1094" i="6" s="1"/>
  <c r="BJ1094" i="6" s="1"/>
  <c r="Z1095" i="6" s="1"/>
  <c r="BJ1095" i="6" s="1"/>
  <c r="Z1096" i="6" s="1"/>
  <c r="BJ1096" i="6" s="1"/>
  <c r="Z1097" i="6" s="1"/>
  <c r="BJ1097" i="6" s="1"/>
  <c r="Z1098" i="6" s="1"/>
  <c r="BJ1098" i="6" s="1"/>
  <c r="Z1099" i="6" s="1"/>
  <c r="BJ1099" i="6" s="1"/>
  <c r="Z1100" i="6" s="1"/>
  <c r="BJ1100" i="6" s="1"/>
  <c r="Z1101" i="6" s="1"/>
  <c r="BJ1101" i="6" s="1"/>
  <c r="AX1090" i="6"/>
  <c r="N1091" i="6" s="1"/>
  <c r="AX1091" i="6" s="1"/>
  <c r="N1092" i="6" s="1"/>
  <c r="AX1092" i="6" s="1"/>
  <c r="AT1090" i="6"/>
  <c r="K1090" i="6"/>
  <c r="H1090" i="6"/>
  <c r="G1090" i="6"/>
  <c r="F1090" i="6"/>
  <c r="AE1090" i="6" s="1"/>
  <c r="E1090" i="6"/>
  <c r="D1090" i="6"/>
  <c r="C1090" i="6"/>
  <c r="B1090" i="6"/>
  <c r="A1090" i="6"/>
  <c r="BI1089" i="6"/>
  <c r="Y1090" i="6" s="1"/>
  <c r="BI1090" i="6" s="1"/>
  <c r="Y1091" i="6" s="1"/>
  <c r="BI1091" i="6" s="1"/>
  <c r="Y1092" i="6" s="1"/>
  <c r="BI1092" i="6" s="1"/>
  <c r="Y1093" i="6" s="1"/>
  <c r="BI1093" i="6" s="1"/>
  <c r="Y1094" i="6" s="1"/>
  <c r="BI1094" i="6" s="1"/>
  <c r="Y1095" i="6" s="1"/>
  <c r="BI1095" i="6" s="1"/>
  <c r="Y1096" i="6" s="1"/>
  <c r="BI1096" i="6" s="1"/>
  <c r="Y1097" i="6" s="1"/>
  <c r="BI1097" i="6" s="1"/>
  <c r="Y1098" i="6" s="1"/>
  <c r="BI1098" i="6" s="1"/>
  <c r="Y1099" i="6" s="1"/>
  <c r="BI1099" i="6" s="1"/>
  <c r="Y1100" i="6" s="1"/>
  <c r="BI1100" i="6" s="1"/>
  <c r="Y1101" i="6" s="1"/>
  <c r="BI1101" i="6" s="1"/>
  <c r="Y1102" i="6" s="1"/>
  <c r="BI1102" i="6" s="1"/>
  <c r="Y1103" i="6" s="1"/>
  <c r="BI1103" i="6" s="1"/>
  <c r="Y1104" i="6" s="1"/>
  <c r="BI1104" i="6" s="1"/>
  <c r="Y1105" i="6" s="1"/>
  <c r="BI1105" i="6" s="1"/>
  <c r="Y1106" i="6" s="1"/>
  <c r="BI1106" i="6" s="1"/>
  <c r="Y1107" i="6" s="1"/>
  <c r="BI1107" i="6" s="1"/>
  <c r="Y1108" i="6" s="1"/>
  <c r="BI1108" i="6" s="1"/>
  <c r="Y1109" i="6" s="1"/>
  <c r="BI1109" i="6" s="1"/>
  <c r="Y1110" i="6" s="1"/>
  <c r="BI1110" i="6" s="1"/>
  <c r="Y1111" i="6" s="1"/>
  <c r="BI1111" i="6" s="1"/>
  <c r="Y1112" i="6" s="1"/>
  <c r="BI1112" i="6" s="1"/>
  <c r="Y1113" i="6" s="1"/>
  <c r="BI1113" i="6" s="1"/>
  <c r="Y1114" i="6" s="1"/>
  <c r="BI1114" i="6" s="1"/>
  <c r="Y1115" i="6" s="1"/>
  <c r="BI1115" i="6" s="1"/>
  <c r="Y1116" i="6" s="1"/>
  <c r="BI1116" i="6" s="1"/>
  <c r="Y1117" i="6" s="1"/>
  <c r="BI1117" i="6" s="1"/>
  <c r="Y1118" i="6" s="1"/>
  <c r="BI1118" i="6" s="1"/>
  <c r="Y1119" i="6" s="1"/>
  <c r="BI1119" i="6" s="1"/>
  <c r="Y1120" i="6" s="1"/>
  <c r="BI1120" i="6" s="1"/>
  <c r="Y1121" i="6" s="1"/>
  <c r="BI1121" i="6" s="1"/>
  <c r="BG1089" i="6"/>
  <c r="W1090" i="6" s="1"/>
  <c r="BG1090" i="6" s="1"/>
  <c r="AT1089" i="6"/>
  <c r="AO1089" i="6"/>
  <c r="H1089" i="6"/>
  <c r="G1089" i="6"/>
  <c r="F1089" i="6"/>
  <c r="E1089" i="6"/>
  <c r="D1089" i="6"/>
  <c r="C1089" i="6"/>
  <c r="B1089" i="6"/>
  <c r="A1089" i="6"/>
  <c r="BG1088" i="6"/>
  <c r="W1089" i="6" s="1"/>
  <c r="AT1088" i="6"/>
  <c r="AO1088" i="6"/>
  <c r="AF1088" i="6"/>
  <c r="AE1088" i="6"/>
  <c r="AC1088" i="6"/>
  <c r="BM1088" i="6" s="1"/>
  <c r="AC1089" i="6" s="1"/>
  <c r="BM1089" i="6" s="1"/>
  <c r="AC1090" i="6" s="1"/>
  <c r="BM1090" i="6" s="1"/>
  <c r="AC1091" i="6" s="1"/>
  <c r="BM1091" i="6" s="1"/>
  <c r="AC1092" i="6" s="1"/>
  <c r="BM1092" i="6" s="1"/>
  <c r="AC1093" i="6" s="1"/>
  <c r="BM1093" i="6" s="1"/>
  <c r="AC1094" i="6" s="1"/>
  <c r="BM1094" i="6" s="1"/>
  <c r="AC1095" i="6" s="1"/>
  <c r="BM1095" i="6" s="1"/>
  <c r="AC1096" i="6" s="1"/>
  <c r="BM1096" i="6" s="1"/>
  <c r="AC1097" i="6" s="1"/>
  <c r="BM1097" i="6" s="1"/>
  <c r="AC1098" i="6" s="1"/>
  <c r="BM1098" i="6" s="1"/>
  <c r="AC1099" i="6" s="1"/>
  <c r="BM1099" i="6" s="1"/>
  <c r="AC1100" i="6" s="1"/>
  <c r="BM1100" i="6" s="1"/>
  <c r="AC1101" i="6" s="1"/>
  <c r="BM1101" i="6" s="1"/>
  <c r="AC1102" i="6" s="1"/>
  <c r="BM1102" i="6" s="1"/>
  <c r="AC1103" i="6" s="1"/>
  <c r="BM1103" i="6" s="1"/>
  <c r="AC1104" i="6" s="1"/>
  <c r="BM1104" i="6" s="1"/>
  <c r="AC1105" i="6" s="1"/>
  <c r="BM1105" i="6" s="1"/>
  <c r="AC1106" i="6" s="1"/>
  <c r="BM1106" i="6" s="1"/>
  <c r="AC1107" i="6" s="1"/>
  <c r="BM1107" i="6" s="1"/>
  <c r="AC1108" i="6" s="1"/>
  <c r="BM1108" i="6" s="1"/>
  <c r="AC1109" i="6" s="1"/>
  <c r="BM1109" i="6" s="1"/>
  <c r="AC1110" i="6" s="1"/>
  <c r="BM1110" i="6" s="1"/>
  <c r="AC1111" i="6" s="1"/>
  <c r="BM1111" i="6" s="1"/>
  <c r="AC1112" i="6" s="1"/>
  <c r="BM1112" i="6" s="1"/>
  <c r="AC1113" i="6" s="1"/>
  <c r="BM1113" i="6" s="1"/>
  <c r="AC1114" i="6" s="1"/>
  <c r="BM1114" i="6" s="1"/>
  <c r="AC1115" i="6" s="1"/>
  <c r="BM1115" i="6" s="1"/>
  <c r="AC1116" i="6" s="1"/>
  <c r="BM1116" i="6" s="1"/>
  <c r="AC1117" i="6" s="1"/>
  <c r="BM1117" i="6" s="1"/>
  <c r="AC1118" i="6" s="1"/>
  <c r="BM1118" i="6" s="1"/>
  <c r="AC1119" i="6" s="1"/>
  <c r="BM1119" i="6" s="1"/>
  <c r="AC1120" i="6" s="1"/>
  <c r="BM1120" i="6" s="1"/>
  <c r="AC1121" i="6" s="1"/>
  <c r="BM1121" i="6" s="1"/>
  <c r="N1088" i="6"/>
  <c r="AX1088" i="6" s="1"/>
  <c r="N1089" i="6" s="1"/>
  <c r="AX1089" i="6" s="1"/>
  <c r="N1090" i="6" s="1"/>
  <c r="H1088" i="6"/>
  <c r="G1088" i="6"/>
  <c r="F1088" i="6"/>
  <c r="E1088" i="6"/>
  <c r="D1088" i="6"/>
  <c r="C1088" i="6"/>
  <c r="B1088" i="6"/>
  <c r="A1088" i="6"/>
  <c r="BD1087" i="6"/>
  <c r="T1088" i="6" s="1"/>
  <c r="BD1088" i="6" s="1"/>
  <c r="T1089" i="6" s="1"/>
  <c r="BD1089" i="6" s="1"/>
  <c r="T1090" i="6" s="1"/>
  <c r="BA1087" i="6"/>
  <c r="Q1088" i="6" s="1"/>
  <c r="BA1088" i="6" s="1"/>
  <c r="Q1089" i="6" s="1"/>
  <c r="BA1089" i="6" s="1"/>
  <c r="Q1090" i="6" s="1"/>
  <c r="AT1087" i="6"/>
  <c r="AO1087" i="6"/>
  <c r="AF1087" i="6"/>
  <c r="AB1087" i="6"/>
  <c r="BL1087" i="6" s="1"/>
  <c r="AB1088" i="6" s="1"/>
  <c r="BL1088" i="6" s="1"/>
  <c r="AB1089" i="6" s="1"/>
  <c r="BL1089" i="6" s="1"/>
  <c r="AB1090" i="6" s="1"/>
  <c r="BL1090" i="6" s="1"/>
  <c r="AB1091" i="6" s="1"/>
  <c r="BL1091" i="6" s="1"/>
  <c r="AB1092" i="6" s="1"/>
  <c r="BL1092" i="6" s="1"/>
  <c r="AB1093" i="6" s="1"/>
  <c r="BL1093" i="6" s="1"/>
  <c r="AB1094" i="6" s="1"/>
  <c r="BL1094" i="6" s="1"/>
  <c r="AB1095" i="6" s="1"/>
  <c r="BL1095" i="6" s="1"/>
  <c r="AB1096" i="6" s="1"/>
  <c r="BL1096" i="6" s="1"/>
  <c r="AB1097" i="6" s="1"/>
  <c r="BL1097" i="6" s="1"/>
  <c r="AB1098" i="6" s="1"/>
  <c r="BL1098" i="6" s="1"/>
  <c r="AB1099" i="6" s="1"/>
  <c r="BL1099" i="6" s="1"/>
  <c r="AB1100" i="6" s="1"/>
  <c r="BL1100" i="6" s="1"/>
  <c r="AB1101" i="6" s="1"/>
  <c r="BL1101" i="6" s="1"/>
  <c r="AB1102" i="6" s="1"/>
  <c r="BL1102" i="6" s="1"/>
  <c r="AB1103" i="6" s="1"/>
  <c r="BL1103" i="6" s="1"/>
  <c r="AB1104" i="6" s="1"/>
  <c r="BL1104" i="6" s="1"/>
  <c r="AB1105" i="6" s="1"/>
  <c r="BL1105" i="6" s="1"/>
  <c r="AB1106" i="6" s="1"/>
  <c r="BL1106" i="6" s="1"/>
  <c r="AB1107" i="6" s="1"/>
  <c r="BL1107" i="6" s="1"/>
  <c r="AB1108" i="6" s="1"/>
  <c r="BL1108" i="6" s="1"/>
  <c r="AB1109" i="6" s="1"/>
  <c r="BL1109" i="6" s="1"/>
  <c r="AB1110" i="6" s="1"/>
  <c r="BL1110" i="6" s="1"/>
  <c r="AB1111" i="6" s="1"/>
  <c r="BL1111" i="6" s="1"/>
  <c r="AB1112" i="6" s="1"/>
  <c r="BL1112" i="6" s="1"/>
  <c r="AB1113" i="6" s="1"/>
  <c r="BL1113" i="6" s="1"/>
  <c r="AB1114" i="6" s="1"/>
  <c r="BL1114" i="6" s="1"/>
  <c r="AB1115" i="6" s="1"/>
  <c r="BL1115" i="6" s="1"/>
  <c r="AB1116" i="6" s="1"/>
  <c r="BL1116" i="6" s="1"/>
  <c r="AB1117" i="6" s="1"/>
  <c r="BL1117" i="6" s="1"/>
  <c r="AB1118" i="6" s="1"/>
  <c r="BL1118" i="6" s="1"/>
  <c r="AB1119" i="6" s="1"/>
  <c r="BL1119" i="6" s="1"/>
  <c r="AB1120" i="6" s="1"/>
  <c r="BL1120" i="6" s="1"/>
  <c r="AB1121" i="6" s="1"/>
  <c r="BL1121" i="6" s="1"/>
  <c r="Z1087" i="6"/>
  <c r="BJ1087" i="6" s="1"/>
  <c r="Z1088" i="6" s="1"/>
  <c r="BJ1088" i="6" s="1"/>
  <c r="Z1089" i="6" s="1"/>
  <c r="BJ1089" i="6" s="1"/>
  <c r="Z1090" i="6" s="1"/>
  <c r="Q1087" i="6"/>
  <c r="N1087" i="6"/>
  <c r="AX1087" i="6" s="1"/>
  <c r="L1087" i="6"/>
  <c r="AV1087" i="6" s="1"/>
  <c r="L1088" i="6" s="1"/>
  <c r="I1087" i="6"/>
  <c r="H1087" i="6"/>
  <c r="G1087" i="6"/>
  <c r="F1087" i="6"/>
  <c r="E1087" i="6"/>
  <c r="D1087" i="6"/>
  <c r="C1087" i="6"/>
  <c r="B1087" i="6"/>
  <c r="A1087" i="6"/>
  <c r="BN1086" i="6"/>
  <c r="BO1086" i="6" s="1"/>
  <c r="BN1087" i="6" s="1"/>
  <c r="BO1087" i="6" s="1"/>
  <c r="BN1088" i="6" s="1"/>
  <c r="BO1088" i="6" s="1"/>
  <c r="BN1089" i="6" s="1"/>
  <c r="BO1089" i="6" s="1"/>
  <c r="BN1090" i="6" s="1"/>
  <c r="BO1090" i="6" s="1"/>
  <c r="BN1091" i="6" s="1"/>
  <c r="BH1086" i="6"/>
  <c r="X1087" i="6" s="1"/>
  <c r="BH1087" i="6" s="1"/>
  <c r="X1088" i="6" s="1"/>
  <c r="BH1088" i="6" s="1"/>
  <c r="X1089" i="6" s="1"/>
  <c r="BH1089" i="6" s="1"/>
  <c r="X1090" i="6" s="1"/>
  <c r="BH1090" i="6" s="1"/>
  <c r="X1091" i="6" s="1"/>
  <c r="BH1091" i="6" s="1"/>
  <c r="X1092" i="6" s="1"/>
  <c r="BH1092" i="6" s="1"/>
  <c r="X1093" i="6" s="1"/>
  <c r="BH1093" i="6" s="1"/>
  <c r="X1094" i="6" s="1"/>
  <c r="BH1094" i="6" s="1"/>
  <c r="X1095" i="6" s="1"/>
  <c r="BH1095" i="6" s="1"/>
  <c r="X1096" i="6" s="1"/>
  <c r="BH1096" i="6" s="1"/>
  <c r="X1097" i="6" s="1"/>
  <c r="BH1097" i="6" s="1"/>
  <c r="X1098" i="6" s="1"/>
  <c r="BH1098" i="6" s="1"/>
  <c r="X1099" i="6" s="1"/>
  <c r="BH1099" i="6" s="1"/>
  <c r="X1100" i="6" s="1"/>
  <c r="BH1100" i="6" s="1"/>
  <c r="X1101" i="6" s="1"/>
  <c r="BH1101" i="6" s="1"/>
  <c r="X1102" i="6" s="1"/>
  <c r="BH1102" i="6" s="1"/>
  <c r="X1103" i="6" s="1"/>
  <c r="BH1103" i="6" s="1"/>
  <c r="X1104" i="6" s="1"/>
  <c r="BF1086" i="6"/>
  <c r="V1087" i="6" s="1"/>
  <c r="BF1087" i="6" s="1"/>
  <c r="V1088" i="6" s="1"/>
  <c r="BF1088" i="6" s="1"/>
  <c r="V1089" i="6" s="1"/>
  <c r="BF1089" i="6" s="1"/>
  <c r="V1090" i="6" s="1"/>
  <c r="BF1090" i="6" s="1"/>
  <c r="V1091" i="6" s="1"/>
  <c r="BF1091" i="6" s="1"/>
  <c r="V1092" i="6" s="1"/>
  <c r="BF1092" i="6" s="1"/>
  <c r="V1093" i="6" s="1"/>
  <c r="BF1093" i="6" s="1"/>
  <c r="V1094" i="6" s="1"/>
  <c r="BF1094" i="6" s="1"/>
  <c r="V1095" i="6" s="1"/>
  <c r="BF1095" i="6" s="1"/>
  <c r="V1096" i="6" s="1"/>
  <c r="BF1096" i="6" s="1"/>
  <c r="V1097" i="6" s="1"/>
  <c r="BF1097" i="6" s="1"/>
  <c r="V1098" i="6" s="1"/>
  <c r="BF1098" i="6" s="1"/>
  <c r="V1099" i="6" s="1"/>
  <c r="BF1099" i="6" s="1"/>
  <c r="V1100" i="6" s="1"/>
  <c r="BF1100" i="6" s="1"/>
  <c r="V1101" i="6" s="1"/>
  <c r="BF1101" i="6" s="1"/>
  <c r="V1102" i="6" s="1"/>
  <c r="BF1102" i="6" s="1"/>
  <c r="V1103" i="6" s="1"/>
  <c r="BF1103" i="6" s="1"/>
  <c r="V1104" i="6" s="1"/>
  <c r="BF1104" i="6" s="1"/>
  <c r="V1105" i="6" s="1"/>
  <c r="BF1105" i="6" s="1"/>
  <c r="V1106" i="6" s="1"/>
  <c r="BF1106" i="6" s="1"/>
  <c r="V1107" i="6" s="1"/>
  <c r="BF1107" i="6" s="1"/>
  <c r="V1108" i="6" s="1"/>
  <c r="BF1108" i="6" s="1"/>
  <c r="V1109" i="6" s="1"/>
  <c r="BE1086" i="6"/>
  <c r="BE1087" i="6" s="1"/>
  <c r="U1088" i="6" s="1"/>
  <c r="BD1086" i="6"/>
  <c r="T1087" i="6" s="1"/>
  <c r="AP1087" i="6" s="1"/>
  <c r="BB1086" i="6"/>
  <c r="R1087" i="6" s="1"/>
  <c r="BB1087" i="6" s="1"/>
  <c r="R1088" i="6" s="1"/>
  <c r="BB1088" i="6" s="1"/>
  <c r="R1089" i="6" s="1"/>
  <c r="BB1089" i="6" s="1"/>
  <c r="R1090" i="6" s="1"/>
  <c r="BB1090" i="6" s="1"/>
  <c r="R1091" i="6" s="1"/>
  <c r="BB1091" i="6" s="1"/>
  <c r="R1092" i="6" s="1"/>
  <c r="BB1092" i="6" s="1"/>
  <c r="R1093" i="6" s="1"/>
  <c r="BB1093" i="6" s="1"/>
  <c r="R1094" i="6" s="1"/>
  <c r="BB1094" i="6" s="1"/>
  <c r="R1095" i="6" s="1"/>
  <c r="BB1095" i="6" s="1"/>
  <c r="R1096" i="6" s="1"/>
  <c r="BB1096" i="6" s="1"/>
  <c r="R1097" i="6" s="1"/>
  <c r="BB1097" i="6" s="1"/>
  <c r="R1098" i="6" s="1"/>
  <c r="BB1098" i="6" s="1"/>
  <c r="AT1086" i="6"/>
  <c r="AO1086" i="6"/>
  <c r="AF1086" i="6"/>
  <c r="AC1086" i="6"/>
  <c r="BM1086" i="6" s="1"/>
  <c r="AC1087" i="6" s="1"/>
  <c r="BM1087" i="6" s="1"/>
  <c r="AB1086" i="6"/>
  <c r="BL1086" i="6" s="1"/>
  <c r="AA1086" i="6"/>
  <c r="BK1086" i="6" s="1"/>
  <c r="AA1087" i="6" s="1"/>
  <c r="BK1087" i="6" s="1"/>
  <c r="AA1088" i="6" s="1"/>
  <c r="BK1088" i="6" s="1"/>
  <c r="AA1089" i="6" s="1"/>
  <c r="BK1089" i="6" s="1"/>
  <c r="AA1090" i="6" s="1"/>
  <c r="BK1090" i="6" s="1"/>
  <c r="AA1091" i="6" s="1"/>
  <c r="BK1091" i="6" s="1"/>
  <c r="AA1092" i="6" s="1"/>
  <c r="BK1092" i="6" s="1"/>
  <c r="AA1093" i="6" s="1"/>
  <c r="BK1093" i="6" s="1"/>
  <c r="AA1094" i="6" s="1"/>
  <c r="BK1094" i="6" s="1"/>
  <c r="AA1095" i="6" s="1"/>
  <c r="BK1095" i="6" s="1"/>
  <c r="AA1096" i="6" s="1"/>
  <c r="BK1096" i="6" s="1"/>
  <c r="AA1097" i="6" s="1"/>
  <c r="BK1097" i="6" s="1"/>
  <c r="AA1098" i="6" s="1"/>
  <c r="BK1098" i="6" s="1"/>
  <c r="AA1099" i="6" s="1"/>
  <c r="BK1099" i="6" s="1"/>
  <c r="AA1100" i="6" s="1"/>
  <c r="BK1100" i="6" s="1"/>
  <c r="AA1101" i="6" s="1"/>
  <c r="BK1101" i="6" s="1"/>
  <c r="AA1102" i="6" s="1"/>
  <c r="BK1102" i="6" s="1"/>
  <c r="AA1103" i="6" s="1"/>
  <c r="BK1103" i="6" s="1"/>
  <c r="AA1104" i="6" s="1"/>
  <c r="BK1104" i="6" s="1"/>
  <c r="AA1105" i="6" s="1"/>
  <c r="BK1105" i="6" s="1"/>
  <c r="AA1106" i="6" s="1"/>
  <c r="BK1106" i="6" s="1"/>
  <c r="AA1107" i="6" s="1"/>
  <c r="BK1107" i="6" s="1"/>
  <c r="AA1108" i="6" s="1"/>
  <c r="BK1108" i="6" s="1"/>
  <c r="AA1109" i="6" s="1"/>
  <c r="BK1109" i="6" s="1"/>
  <c r="AA1110" i="6" s="1"/>
  <c r="BK1110" i="6" s="1"/>
  <c r="AA1111" i="6" s="1"/>
  <c r="BK1111" i="6" s="1"/>
  <c r="AA1112" i="6" s="1"/>
  <c r="BK1112" i="6" s="1"/>
  <c r="AA1113" i="6" s="1"/>
  <c r="BK1113" i="6" s="1"/>
  <c r="AA1114" i="6" s="1"/>
  <c r="BK1114" i="6" s="1"/>
  <c r="AA1115" i="6" s="1"/>
  <c r="BK1115" i="6" s="1"/>
  <c r="AA1116" i="6" s="1"/>
  <c r="BK1116" i="6" s="1"/>
  <c r="AA1117" i="6" s="1"/>
  <c r="BK1117" i="6" s="1"/>
  <c r="AA1118" i="6" s="1"/>
  <c r="BK1118" i="6" s="1"/>
  <c r="AA1119" i="6" s="1"/>
  <c r="BK1119" i="6" s="1"/>
  <c r="AA1120" i="6" s="1"/>
  <c r="BK1120" i="6" s="1"/>
  <c r="AA1121" i="6" s="1"/>
  <c r="BK1121" i="6" s="1"/>
  <c r="Z1086" i="6"/>
  <c r="BJ1086" i="6" s="1"/>
  <c r="Y1086" i="6"/>
  <c r="BI1086" i="6" s="1"/>
  <c r="Y1087" i="6" s="1"/>
  <c r="BI1087" i="6" s="1"/>
  <c r="Y1088" i="6" s="1"/>
  <c r="BI1088" i="6" s="1"/>
  <c r="Y1089" i="6" s="1"/>
  <c r="X1086" i="6"/>
  <c r="W1086" i="6"/>
  <c r="BG1086" i="6" s="1"/>
  <c r="W1087" i="6" s="1"/>
  <c r="BG1087" i="6" s="1"/>
  <c r="W1088" i="6" s="1"/>
  <c r="V1086" i="6"/>
  <c r="U1086" i="6"/>
  <c r="T1086" i="6"/>
  <c r="S1086" i="6"/>
  <c r="BC1086" i="6" s="1"/>
  <c r="S1087" i="6" s="1"/>
  <c r="BC1087" i="6" s="1"/>
  <c r="S1088" i="6" s="1"/>
  <c r="BC1088" i="6" s="1"/>
  <c r="S1089" i="6" s="1"/>
  <c r="BC1089" i="6" s="1"/>
  <c r="S1090" i="6" s="1"/>
  <c r="BC1090" i="6" s="1"/>
  <c r="S1091" i="6" s="1"/>
  <c r="BC1091" i="6" s="1"/>
  <c r="S1092" i="6" s="1"/>
  <c r="BC1092" i="6" s="1"/>
  <c r="S1093" i="6" s="1"/>
  <c r="BC1093" i="6" s="1"/>
  <c r="S1094" i="6" s="1"/>
  <c r="BC1094" i="6" s="1"/>
  <c r="S1095" i="6" s="1"/>
  <c r="BC1095" i="6" s="1"/>
  <c r="S1096" i="6" s="1"/>
  <c r="BC1096" i="6" s="1"/>
  <c r="S1097" i="6" s="1"/>
  <c r="BC1097" i="6" s="1"/>
  <c r="S1098" i="6" s="1"/>
  <c r="BC1098" i="6" s="1"/>
  <c r="S1099" i="6" s="1"/>
  <c r="BC1099" i="6" s="1"/>
  <c r="S1100" i="6" s="1"/>
  <c r="BC1100" i="6" s="1"/>
  <c r="S1101" i="6" s="1"/>
  <c r="BC1101" i="6" s="1"/>
  <c r="S1102" i="6" s="1"/>
  <c r="BC1102" i="6" s="1"/>
  <c r="S1103" i="6" s="1"/>
  <c r="BC1103" i="6" s="1"/>
  <c r="S1104" i="6" s="1"/>
  <c r="BC1104" i="6" s="1"/>
  <c r="S1105" i="6" s="1"/>
  <c r="BC1105" i="6" s="1"/>
  <c r="S1106" i="6" s="1"/>
  <c r="BC1106" i="6" s="1"/>
  <c r="S1107" i="6" s="1"/>
  <c r="BC1107" i="6" s="1"/>
  <c r="S1108" i="6" s="1"/>
  <c r="BC1108" i="6" s="1"/>
  <c r="S1109" i="6" s="1"/>
  <c r="BC1109" i="6" s="1"/>
  <c r="S1110" i="6" s="1"/>
  <c r="BC1110" i="6" s="1"/>
  <c r="S1111" i="6" s="1"/>
  <c r="BC1111" i="6" s="1"/>
  <c r="S1112" i="6" s="1"/>
  <c r="BC1112" i="6" s="1"/>
  <c r="S1113" i="6" s="1"/>
  <c r="BC1113" i="6" s="1"/>
  <c r="S1114" i="6" s="1"/>
  <c r="BC1114" i="6" s="1"/>
  <c r="S1115" i="6" s="1"/>
  <c r="BC1115" i="6" s="1"/>
  <c r="S1116" i="6" s="1"/>
  <c r="BC1116" i="6" s="1"/>
  <c r="S1117" i="6" s="1"/>
  <c r="BC1117" i="6" s="1"/>
  <c r="S1118" i="6" s="1"/>
  <c r="BC1118" i="6" s="1"/>
  <c r="S1119" i="6" s="1"/>
  <c r="BC1119" i="6" s="1"/>
  <c r="S1120" i="6" s="1"/>
  <c r="BC1120" i="6" s="1"/>
  <c r="S1121" i="6" s="1"/>
  <c r="BC1121" i="6" s="1"/>
  <c r="R1086" i="6"/>
  <c r="Q1086" i="6"/>
  <c r="BA1086" i="6" s="1"/>
  <c r="O1086" i="6"/>
  <c r="AY1086" i="6" s="1"/>
  <c r="O1087" i="6" s="1"/>
  <c r="AY1087" i="6" s="1"/>
  <c r="O1088" i="6" s="1"/>
  <c r="AY1088" i="6" s="1"/>
  <c r="O1089" i="6" s="1"/>
  <c r="AY1089" i="6" s="1"/>
  <c r="O1090" i="6" s="1"/>
  <c r="AY1090" i="6" s="1"/>
  <c r="O1091" i="6" s="1"/>
  <c r="AY1091" i="6" s="1"/>
  <c r="O1092" i="6" s="1"/>
  <c r="AY1092" i="6" s="1"/>
  <c r="O1093" i="6" s="1"/>
  <c r="AY1093" i="6" s="1"/>
  <c r="O1094" i="6" s="1"/>
  <c r="AY1094" i="6" s="1"/>
  <c r="O1095" i="6" s="1"/>
  <c r="AY1095" i="6" s="1"/>
  <c r="O1096" i="6" s="1"/>
  <c r="AY1096" i="6" s="1"/>
  <c r="O1097" i="6" s="1"/>
  <c r="AY1097" i="6" s="1"/>
  <c r="O1098" i="6" s="1"/>
  <c r="AY1098" i="6" s="1"/>
  <c r="O1099" i="6" s="1"/>
  <c r="AY1099" i="6" s="1"/>
  <c r="O1100" i="6" s="1"/>
  <c r="AY1100" i="6" s="1"/>
  <c r="O1101" i="6" s="1"/>
  <c r="AY1101" i="6" s="1"/>
  <c r="O1102" i="6" s="1"/>
  <c r="AY1102" i="6" s="1"/>
  <c r="O1103" i="6" s="1"/>
  <c r="AY1103" i="6" s="1"/>
  <c r="O1104" i="6" s="1"/>
  <c r="AY1104" i="6" s="1"/>
  <c r="O1105" i="6" s="1"/>
  <c r="AY1105" i="6" s="1"/>
  <c r="O1106" i="6" s="1"/>
  <c r="AY1106" i="6" s="1"/>
  <c r="O1107" i="6" s="1"/>
  <c r="AY1107" i="6" s="1"/>
  <c r="O1108" i="6" s="1"/>
  <c r="AY1108" i="6" s="1"/>
  <c r="O1109" i="6" s="1"/>
  <c r="AY1109" i="6" s="1"/>
  <c r="O1110" i="6" s="1"/>
  <c r="AY1110" i="6" s="1"/>
  <c r="O1111" i="6" s="1"/>
  <c r="AY1111" i="6" s="1"/>
  <c r="O1112" i="6" s="1"/>
  <c r="AY1112" i="6" s="1"/>
  <c r="O1113" i="6" s="1"/>
  <c r="AY1113" i="6" s="1"/>
  <c r="O1114" i="6" s="1"/>
  <c r="AY1114" i="6" s="1"/>
  <c r="O1115" i="6" s="1"/>
  <c r="AY1115" i="6" s="1"/>
  <c r="O1116" i="6" s="1"/>
  <c r="AY1116" i="6" s="1"/>
  <c r="O1117" i="6" s="1"/>
  <c r="AY1117" i="6" s="1"/>
  <c r="O1118" i="6" s="1"/>
  <c r="AY1118" i="6" s="1"/>
  <c r="O1119" i="6" s="1"/>
  <c r="AY1119" i="6" s="1"/>
  <c r="O1120" i="6" s="1"/>
  <c r="AY1120" i="6" s="1"/>
  <c r="O1121" i="6" s="1"/>
  <c r="AY1121" i="6" s="1"/>
  <c r="N1086" i="6"/>
  <c r="AX1086" i="6" s="1"/>
  <c r="M1086" i="6"/>
  <c r="AW1086" i="6" s="1"/>
  <c r="M1087" i="6" s="1"/>
  <c r="AW1087" i="6" s="1"/>
  <c r="M1088" i="6" s="1"/>
  <c r="L1086" i="6"/>
  <c r="H1086" i="6"/>
  <c r="G1086" i="6"/>
  <c r="AV1086" i="6" s="1"/>
  <c r="F1086" i="6"/>
  <c r="AI1086" i="6" s="1"/>
  <c r="E1086" i="6"/>
  <c r="D1086" i="6"/>
  <c r="C1086" i="6"/>
  <c r="B1086" i="6"/>
  <c r="A1086" i="6"/>
  <c r="AO1085" i="6"/>
  <c r="AE1085" i="6"/>
  <c r="K1085" i="6"/>
  <c r="H1085" i="6"/>
  <c r="G1085" i="6"/>
  <c r="F1085" i="6"/>
  <c r="E1085" i="6"/>
  <c r="D1085" i="6"/>
  <c r="C1085" i="6"/>
  <c r="B1085" i="6"/>
  <c r="A1085" i="6"/>
  <c r="AO1084" i="6"/>
  <c r="AI1084" i="6"/>
  <c r="K1084" i="6"/>
  <c r="I1084" i="6"/>
  <c r="H1084" i="6"/>
  <c r="G1084" i="6"/>
  <c r="F1084" i="6"/>
  <c r="AE1084" i="6" s="1"/>
  <c r="E1084" i="6"/>
  <c r="D1084" i="6"/>
  <c r="C1084" i="6"/>
  <c r="B1084" i="6"/>
  <c r="A1084" i="6"/>
  <c r="AO1083" i="6"/>
  <c r="H1083" i="6"/>
  <c r="G1083" i="6"/>
  <c r="F1083" i="6"/>
  <c r="E1083" i="6"/>
  <c r="D1083" i="6"/>
  <c r="C1083" i="6"/>
  <c r="B1083" i="6"/>
  <c r="A1083" i="6"/>
  <c r="AO1082" i="6"/>
  <c r="J1082" i="6"/>
  <c r="I1082" i="6"/>
  <c r="H1082" i="6"/>
  <c r="G1082" i="6"/>
  <c r="F1082" i="6"/>
  <c r="AI1082" i="6" s="1"/>
  <c r="E1082" i="6"/>
  <c r="D1082" i="6"/>
  <c r="C1082" i="6"/>
  <c r="B1082" i="6"/>
  <c r="A1082" i="6"/>
  <c r="AO1081" i="6"/>
  <c r="AI1081" i="6"/>
  <c r="AE1081" i="6"/>
  <c r="K1081" i="6"/>
  <c r="J1081" i="6"/>
  <c r="I1081" i="6"/>
  <c r="H1081" i="6"/>
  <c r="G1081" i="6"/>
  <c r="F1081" i="6"/>
  <c r="E1081" i="6"/>
  <c r="D1081" i="6"/>
  <c r="C1081" i="6"/>
  <c r="B1081" i="6"/>
  <c r="A1081" i="6"/>
  <c r="AO1080" i="6"/>
  <c r="AI1080" i="6"/>
  <c r="K1080" i="6"/>
  <c r="J1080" i="6"/>
  <c r="H1080" i="6"/>
  <c r="G1080" i="6"/>
  <c r="F1080" i="6"/>
  <c r="E1080" i="6"/>
  <c r="D1080" i="6"/>
  <c r="C1080" i="6"/>
  <c r="B1080" i="6"/>
  <c r="A1080" i="6"/>
  <c r="AO1079" i="6"/>
  <c r="AE1079" i="6"/>
  <c r="K1079" i="6"/>
  <c r="J1079" i="6"/>
  <c r="H1079" i="6"/>
  <c r="G1079" i="6"/>
  <c r="F1079" i="6"/>
  <c r="E1079" i="6"/>
  <c r="D1079" i="6"/>
  <c r="C1079" i="6"/>
  <c r="B1079" i="6"/>
  <c r="A1079" i="6"/>
  <c r="AO1078" i="6"/>
  <c r="H1078" i="6"/>
  <c r="G1078" i="6"/>
  <c r="F1078" i="6"/>
  <c r="AI1078" i="6" s="1"/>
  <c r="E1078" i="6"/>
  <c r="D1078" i="6"/>
  <c r="C1078" i="6"/>
  <c r="B1078" i="6"/>
  <c r="A1078" i="6"/>
  <c r="AO1077" i="6"/>
  <c r="AE1077" i="6"/>
  <c r="K1077" i="6"/>
  <c r="I1077" i="6"/>
  <c r="H1077" i="6"/>
  <c r="G1077" i="6"/>
  <c r="AI1077" i="6" s="1"/>
  <c r="F1077" i="6"/>
  <c r="J1077" i="6" s="1"/>
  <c r="E1077" i="6"/>
  <c r="D1077" i="6"/>
  <c r="C1077" i="6"/>
  <c r="B1077" i="6"/>
  <c r="A1077" i="6"/>
  <c r="AO1076" i="6"/>
  <c r="AE1076" i="6"/>
  <c r="J1076" i="6"/>
  <c r="H1076" i="6"/>
  <c r="G1076" i="6"/>
  <c r="F1076" i="6"/>
  <c r="E1076" i="6"/>
  <c r="D1076" i="6"/>
  <c r="C1076" i="6"/>
  <c r="B1076" i="6"/>
  <c r="A1076" i="6"/>
  <c r="AO1075" i="6"/>
  <c r="AI1075" i="6"/>
  <c r="AE1075" i="6"/>
  <c r="K1075" i="6"/>
  <c r="J1075" i="6"/>
  <c r="I1075" i="6"/>
  <c r="H1075" i="6"/>
  <c r="G1075" i="6"/>
  <c r="F1075" i="6"/>
  <c r="E1075" i="6"/>
  <c r="D1075" i="6"/>
  <c r="C1075" i="6"/>
  <c r="B1075" i="6"/>
  <c r="A1075" i="6"/>
  <c r="AO1074" i="6"/>
  <c r="H1074" i="6"/>
  <c r="G1074" i="6"/>
  <c r="F1074" i="6"/>
  <c r="E1074" i="6"/>
  <c r="D1074" i="6"/>
  <c r="C1074" i="6"/>
  <c r="B1074" i="6"/>
  <c r="A1074" i="6"/>
  <c r="AO1073" i="6"/>
  <c r="AI1073" i="6"/>
  <c r="AE1073" i="6"/>
  <c r="K1073" i="6"/>
  <c r="I1073" i="6"/>
  <c r="H1073" i="6"/>
  <c r="G1073" i="6"/>
  <c r="F1073" i="6"/>
  <c r="J1073" i="6" s="1"/>
  <c r="E1073" i="6"/>
  <c r="D1073" i="6"/>
  <c r="C1073" i="6"/>
  <c r="B1073" i="6"/>
  <c r="A1073" i="6"/>
  <c r="AT1072" i="6"/>
  <c r="H1072" i="6"/>
  <c r="G1072" i="6"/>
  <c r="F1072" i="6"/>
  <c r="E1072" i="6"/>
  <c r="D1072" i="6"/>
  <c r="C1072" i="6"/>
  <c r="B1072" i="6"/>
  <c r="A1072" i="6"/>
  <c r="AT1071" i="6"/>
  <c r="AO1071" i="6"/>
  <c r="H1071" i="6"/>
  <c r="G1071" i="6"/>
  <c r="F1071" i="6"/>
  <c r="E1071" i="6"/>
  <c r="D1071" i="6"/>
  <c r="C1071" i="6"/>
  <c r="B1071" i="6"/>
  <c r="A1071" i="6"/>
  <c r="AT1070" i="6"/>
  <c r="AO1070" i="6"/>
  <c r="J1070" i="6"/>
  <c r="I1070" i="6"/>
  <c r="H1070" i="6"/>
  <c r="G1070" i="6"/>
  <c r="F1070" i="6"/>
  <c r="AI1070" i="6" s="1"/>
  <c r="E1070" i="6"/>
  <c r="D1070" i="6"/>
  <c r="C1070" i="6"/>
  <c r="B1070" i="6"/>
  <c r="A1070" i="6"/>
  <c r="AT1069" i="6"/>
  <c r="AO1069" i="6"/>
  <c r="AI1069" i="6"/>
  <c r="K1069" i="6"/>
  <c r="J1069" i="6"/>
  <c r="I1069" i="6"/>
  <c r="H1069" i="6"/>
  <c r="G1069" i="6"/>
  <c r="F1069" i="6"/>
  <c r="E1069" i="6"/>
  <c r="D1069" i="6"/>
  <c r="C1069" i="6"/>
  <c r="B1069" i="6"/>
  <c r="A1069" i="6"/>
  <c r="AT1068" i="6"/>
  <c r="AO1068" i="6"/>
  <c r="AI1068" i="6"/>
  <c r="K1068" i="6"/>
  <c r="J1068" i="6"/>
  <c r="H1068" i="6"/>
  <c r="G1068" i="6"/>
  <c r="F1068" i="6"/>
  <c r="E1068" i="6"/>
  <c r="D1068" i="6"/>
  <c r="C1068" i="6"/>
  <c r="B1068" i="6"/>
  <c r="A1068" i="6"/>
  <c r="AT1067" i="6"/>
  <c r="AO1067" i="6"/>
  <c r="AE1067" i="6"/>
  <c r="H1067" i="6"/>
  <c r="AF1067" i="6" s="1"/>
  <c r="G1067" i="6"/>
  <c r="F1067" i="6"/>
  <c r="E1067" i="6"/>
  <c r="D1067" i="6"/>
  <c r="C1067" i="6"/>
  <c r="B1067" i="6"/>
  <c r="A1067" i="6"/>
  <c r="AT1066" i="6"/>
  <c r="H1066" i="6"/>
  <c r="G1066" i="6"/>
  <c r="F1066" i="6"/>
  <c r="E1066" i="6"/>
  <c r="D1066" i="6"/>
  <c r="C1066" i="6"/>
  <c r="B1066" i="6"/>
  <c r="A1066" i="6"/>
  <c r="AT1065" i="6"/>
  <c r="AO1065" i="6"/>
  <c r="AF1065" i="6"/>
  <c r="AE1065" i="6"/>
  <c r="K1065" i="6"/>
  <c r="I1065" i="6"/>
  <c r="H1065" i="6"/>
  <c r="G1065" i="6"/>
  <c r="AI1065" i="6" s="1"/>
  <c r="F1065" i="6"/>
  <c r="E1065" i="6"/>
  <c r="D1065" i="6"/>
  <c r="C1065" i="6"/>
  <c r="B1065" i="6"/>
  <c r="A1065" i="6"/>
  <c r="AT1064" i="6"/>
  <c r="AO1064" i="6"/>
  <c r="AF1064" i="6"/>
  <c r="AE1064" i="6"/>
  <c r="J1064" i="6"/>
  <c r="H1064" i="6"/>
  <c r="G1064" i="6"/>
  <c r="F1064" i="6"/>
  <c r="E1064" i="6"/>
  <c r="D1064" i="6"/>
  <c r="C1064" i="6"/>
  <c r="B1064" i="6"/>
  <c r="A1064" i="6"/>
  <c r="AT1063" i="6"/>
  <c r="AO1063" i="6"/>
  <c r="AF1063" i="6"/>
  <c r="AE1063" i="6"/>
  <c r="K1063" i="6"/>
  <c r="J1063" i="6"/>
  <c r="I1063" i="6"/>
  <c r="H1063" i="6"/>
  <c r="G1063" i="6"/>
  <c r="AI1063" i="6" s="1"/>
  <c r="F1063" i="6"/>
  <c r="E1063" i="6"/>
  <c r="D1063" i="6"/>
  <c r="C1063" i="6"/>
  <c r="B1063" i="6"/>
  <c r="A1063" i="6"/>
  <c r="AT1062" i="6"/>
  <c r="AO1062" i="6"/>
  <c r="H1062" i="6"/>
  <c r="G1062" i="6"/>
  <c r="F1062" i="6"/>
  <c r="E1062" i="6"/>
  <c r="D1062" i="6"/>
  <c r="C1062" i="6"/>
  <c r="B1062" i="6"/>
  <c r="A1062" i="6"/>
  <c r="AT1061" i="6"/>
  <c r="AE1061" i="6"/>
  <c r="K1061" i="6"/>
  <c r="J1061" i="6"/>
  <c r="I1061" i="6"/>
  <c r="H1061" i="6"/>
  <c r="G1061" i="6"/>
  <c r="AI1061" i="6" s="1"/>
  <c r="F1061" i="6"/>
  <c r="E1061" i="6"/>
  <c r="D1061" i="6"/>
  <c r="C1061" i="6"/>
  <c r="B1061" i="6"/>
  <c r="A1061" i="6"/>
  <c r="AT1060" i="6"/>
  <c r="AE1060" i="6"/>
  <c r="K1060" i="6"/>
  <c r="H1060" i="6"/>
  <c r="G1060" i="6"/>
  <c r="F1060" i="6"/>
  <c r="E1060" i="6"/>
  <c r="D1060" i="6"/>
  <c r="C1060" i="6"/>
  <c r="B1060" i="6"/>
  <c r="A1060" i="6"/>
  <c r="AT1059" i="6"/>
  <c r="AO1059" i="6"/>
  <c r="I1059" i="6"/>
  <c r="H1059" i="6"/>
  <c r="AF1059" i="6" s="1"/>
  <c r="G1059" i="6"/>
  <c r="F1059" i="6"/>
  <c r="E1059" i="6"/>
  <c r="D1059" i="6"/>
  <c r="C1059" i="6"/>
  <c r="B1059" i="6"/>
  <c r="A1059" i="6"/>
  <c r="AT1058" i="6"/>
  <c r="AO1058" i="6"/>
  <c r="J1058" i="6"/>
  <c r="I1058" i="6"/>
  <c r="H1058" i="6"/>
  <c r="G1058" i="6"/>
  <c r="F1058" i="6"/>
  <c r="E1058" i="6"/>
  <c r="D1058" i="6"/>
  <c r="C1058" i="6"/>
  <c r="B1058" i="6"/>
  <c r="A1058" i="6"/>
  <c r="AT1057" i="6"/>
  <c r="AO1057" i="6"/>
  <c r="AI1057" i="6"/>
  <c r="AF1057" i="6"/>
  <c r="AE1057" i="6"/>
  <c r="O1057" i="6"/>
  <c r="AY1057" i="6" s="1"/>
  <c r="O1058" i="6" s="1"/>
  <c r="AY1058" i="6" s="1"/>
  <c r="O1059" i="6" s="1"/>
  <c r="AY1059" i="6" s="1"/>
  <c r="O1060" i="6" s="1"/>
  <c r="AY1060" i="6" s="1"/>
  <c r="O1061" i="6" s="1"/>
  <c r="AY1061" i="6" s="1"/>
  <c r="O1062" i="6" s="1"/>
  <c r="AY1062" i="6" s="1"/>
  <c r="O1063" i="6" s="1"/>
  <c r="AY1063" i="6" s="1"/>
  <c r="O1064" i="6" s="1"/>
  <c r="AY1064" i="6" s="1"/>
  <c r="O1065" i="6" s="1"/>
  <c r="AY1065" i="6" s="1"/>
  <c r="O1066" i="6" s="1"/>
  <c r="AY1066" i="6" s="1"/>
  <c r="O1067" i="6" s="1"/>
  <c r="AY1067" i="6" s="1"/>
  <c r="O1068" i="6" s="1"/>
  <c r="AY1068" i="6" s="1"/>
  <c r="O1069" i="6" s="1"/>
  <c r="K1057" i="6"/>
  <c r="I1057" i="6"/>
  <c r="H1057" i="6"/>
  <c r="G1057" i="6"/>
  <c r="F1057" i="6"/>
  <c r="E1057" i="6"/>
  <c r="D1057" i="6"/>
  <c r="C1057" i="6"/>
  <c r="B1057" i="6"/>
  <c r="A1057" i="6"/>
  <c r="BN1056" i="6"/>
  <c r="BO1056" i="6" s="1"/>
  <c r="BN1057" i="6" s="1"/>
  <c r="BO1057" i="6" s="1"/>
  <c r="BN1058" i="6" s="1"/>
  <c r="BO1058" i="6" s="1"/>
  <c r="BN1059" i="6" s="1"/>
  <c r="BO1059" i="6" s="1"/>
  <c r="BN1060" i="6" s="1"/>
  <c r="BO1060" i="6" s="1"/>
  <c r="BN1061" i="6" s="1"/>
  <c r="BO1061" i="6" s="1"/>
  <c r="BN1062" i="6" s="1"/>
  <c r="BO1062" i="6" s="1"/>
  <c r="BN1063" i="6" s="1"/>
  <c r="BO1063" i="6" s="1"/>
  <c r="BN1064" i="6" s="1"/>
  <c r="BO1064" i="6" s="1"/>
  <c r="BN1065" i="6" s="1"/>
  <c r="BH1056" i="6"/>
  <c r="X1057" i="6" s="1"/>
  <c r="BH1057" i="6" s="1"/>
  <c r="X1058" i="6" s="1"/>
  <c r="BH1058" i="6" s="1"/>
  <c r="X1059" i="6" s="1"/>
  <c r="BH1059" i="6" s="1"/>
  <c r="X1060" i="6" s="1"/>
  <c r="BH1060" i="6" s="1"/>
  <c r="X1061" i="6" s="1"/>
  <c r="BH1061" i="6" s="1"/>
  <c r="X1062" i="6" s="1"/>
  <c r="BH1062" i="6" s="1"/>
  <c r="X1063" i="6" s="1"/>
  <c r="BH1063" i="6" s="1"/>
  <c r="X1064" i="6" s="1"/>
  <c r="BH1064" i="6" s="1"/>
  <c r="X1065" i="6" s="1"/>
  <c r="BH1065" i="6" s="1"/>
  <c r="X1066" i="6" s="1"/>
  <c r="BH1066" i="6" s="1"/>
  <c r="X1067" i="6" s="1"/>
  <c r="BH1067" i="6" s="1"/>
  <c r="X1068" i="6" s="1"/>
  <c r="BH1068" i="6" s="1"/>
  <c r="X1069" i="6" s="1"/>
  <c r="BH1069" i="6" s="1"/>
  <c r="X1070" i="6" s="1"/>
  <c r="BH1070" i="6" s="1"/>
  <c r="X1071" i="6" s="1"/>
  <c r="BH1071" i="6" s="1"/>
  <c r="X1072" i="6" s="1"/>
  <c r="BH1072" i="6" s="1"/>
  <c r="X1073" i="6" s="1"/>
  <c r="BH1073" i="6" s="1"/>
  <c r="X1074" i="6" s="1"/>
  <c r="BH1074" i="6" s="1"/>
  <c r="X1075" i="6" s="1"/>
  <c r="BH1075" i="6" s="1"/>
  <c r="X1076" i="6" s="1"/>
  <c r="BH1076" i="6" s="1"/>
  <c r="X1077" i="6" s="1"/>
  <c r="BH1077" i="6" s="1"/>
  <c r="X1078" i="6" s="1"/>
  <c r="BH1078" i="6" s="1"/>
  <c r="X1079" i="6" s="1"/>
  <c r="BH1079" i="6" s="1"/>
  <c r="X1080" i="6" s="1"/>
  <c r="BH1080" i="6" s="1"/>
  <c r="X1081" i="6" s="1"/>
  <c r="BH1081" i="6" s="1"/>
  <c r="X1082" i="6" s="1"/>
  <c r="BH1082" i="6" s="1"/>
  <c r="X1083" i="6" s="1"/>
  <c r="BH1083" i="6" s="1"/>
  <c r="X1084" i="6" s="1"/>
  <c r="BH1084" i="6" s="1"/>
  <c r="X1085" i="6" s="1"/>
  <c r="BH1085" i="6" s="1"/>
  <c r="AT1056" i="6"/>
  <c r="AO1056" i="6"/>
  <c r="AI1056" i="6"/>
  <c r="AF1056" i="6"/>
  <c r="K1056" i="6"/>
  <c r="H1056" i="6"/>
  <c r="G1056" i="6"/>
  <c r="F1056" i="6"/>
  <c r="E1056" i="6"/>
  <c r="D1056" i="6"/>
  <c r="C1056" i="6"/>
  <c r="B1056" i="6"/>
  <c r="A1056" i="6"/>
  <c r="BO1055" i="6"/>
  <c r="AT1055" i="6"/>
  <c r="AI1055" i="6"/>
  <c r="K1055" i="6"/>
  <c r="J1055" i="6"/>
  <c r="I1055" i="6"/>
  <c r="H1055" i="6"/>
  <c r="G1055" i="6"/>
  <c r="F1055" i="6"/>
  <c r="AE1055" i="6" s="1"/>
  <c r="E1055" i="6"/>
  <c r="D1055" i="6"/>
  <c r="C1055" i="6"/>
  <c r="B1055" i="6"/>
  <c r="A1055" i="6"/>
  <c r="AT1054" i="6"/>
  <c r="J1054" i="6"/>
  <c r="H1054" i="6"/>
  <c r="G1054" i="6"/>
  <c r="F1054" i="6"/>
  <c r="E1054" i="6"/>
  <c r="D1054" i="6"/>
  <c r="C1054" i="6"/>
  <c r="B1054" i="6"/>
  <c r="A1054" i="6"/>
  <c r="BI1053" i="6"/>
  <c r="Y1054" i="6" s="1"/>
  <c r="BI1054" i="6" s="1"/>
  <c r="Y1055" i="6" s="1"/>
  <c r="BI1055" i="6" s="1"/>
  <c r="Y1056" i="6" s="1"/>
  <c r="BI1056" i="6" s="1"/>
  <c r="Y1057" i="6" s="1"/>
  <c r="BI1057" i="6" s="1"/>
  <c r="Y1058" i="6" s="1"/>
  <c r="BI1058" i="6" s="1"/>
  <c r="Y1059" i="6" s="1"/>
  <c r="BI1059" i="6" s="1"/>
  <c r="Y1060" i="6" s="1"/>
  <c r="BI1060" i="6" s="1"/>
  <c r="Y1061" i="6" s="1"/>
  <c r="BI1061" i="6" s="1"/>
  <c r="Y1062" i="6" s="1"/>
  <c r="BI1062" i="6" s="1"/>
  <c r="Y1063" i="6" s="1"/>
  <c r="BI1063" i="6" s="1"/>
  <c r="Y1064" i="6" s="1"/>
  <c r="BI1064" i="6" s="1"/>
  <c r="Y1065" i="6" s="1"/>
  <c r="BI1065" i="6" s="1"/>
  <c r="Y1066" i="6" s="1"/>
  <c r="BI1066" i="6" s="1"/>
  <c r="Y1067" i="6" s="1"/>
  <c r="BI1067" i="6" s="1"/>
  <c r="Y1068" i="6" s="1"/>
  <c r="BI1068" i="6" s="1"/>
  <c r="Y1069" i="6" s="1"/>
  <c r="BI1069" i="6" s="1"/>
  <c r="Y1070" i="6" s="1"/>
  <c r="BI1070" i="6" s="1"/>
  <c r="Y1071" i="6" s="1"/>
  <c r="BI1071" i="6" s="1"/>
  <c r="Y1072" i="6" s="1"/>
  <c r="BI1072" i="6" s="1"/>
  <c r="Y1073" i="6" s="1"/>
  <c r="BI1073" i="6" s="1"/>
  <c r="Y1074" i="6" s="1"/>
  <c r="BI1074" i="6" s="1"/>
  <c r="Y1075" i="6" s="1"/>
  <c r="BI1075" i="6" s="1"/>
  <c r="Y1076" i="6" s="1"/>
  <c r="BI1076" i="6" s="1"/>
  <c r="Y1077" i="6" s="1"/>
  <c r="BI1077" i="6" s="1"/>
  <c r="Y1078" i="6" s="1"/>
  <c r="BI1078" i="6" s="1"/>
  <c r="Y1079" i="6" s="1"/>
  <c r="BI1079" i="6" s="1"/>
  <c r="Y1080" i="6" s="1"/>
  <c r="BI1080" i="6" s="1"/>
  <c r="Y1081" i="6" s="1"/>
  <c r="BI1081" i="6" s="1"/>
  <c r="Y1082" i="6" s="1"/>
  <c r="BI1082" i="6" s="1"/>
  <c r="Y1083" i="6" s="1"/>
  <c r="BI1083" i="6" s="1"/>
  <c r="Y1084" i="6" s="1"/>
  <c r="BI1084" i="6" s="1"/>
  <c r="Y1085" i="6" s="1"/>
  <c r="BI1085" i="6" s="1"/>
  <c r="BC1053" i="6"/>
  <c r="S1054" i="6" s="1"/>
  <c r="BC1054" i="6" s="1"/>
  <c r="S1055" i="6" s="1"/>
  <c r="BC1055" i="6" s="1"/>
  <c r="S1056" i="6" s="1"/>
  <c r="BC1056" i="6" s="1"/>
  <c r="S1057" i="6" s="1"/>
  <c r="BC1057" i="6" s="1"/>
  <c r="S1058" i="6" s="1"/>
  <c r="BC1058" i="6" s="1"/>
  <c r="S1059" i="6" s="1"/>
  <c r="BC1059" i="6" s="1"/>
  <c r="S1060" i="6" s="1"/>
  <c r="BC1060" i="6" s="1"/>
  <c r="S1061" i="6" s="1"/>
  <c r="BC1061" i="6" s="1"/>
  <c r="S1062" i="6" s="1"/>
  <c r="BC1062" i="6" s="1"/>
  <c r="S1063" i="6" s="1"/>
  <c r="BC1063" i="6" s="1"/>
  <c r="S1064" i="6" s="1"/>
  <c r="BC1064" i="6" s="1"/>
  <c r="S1065" i="6" s="1"/>
  <c r="BC1065" i="6" s="1"/>
  <c r="S1066" i="6" s="1"/>
  <c r="BC1066" i="6" s="1"/>
  <c r="S1067" i="6" s="1"/>
  <c r="BC1067" i="6" s="1"/>
  <c r="S1068" i="6" s="1"/>
  <c r="BC1068" i="6" s="1"/>
  <c r="S1069" i="6" s="1"/>
  <c r="BC1069" i="6" s="1"/>
  <c r="S1070" i="6" s="1"/>
  <c r="BC1070" i="6" s="1"/>
  <c r="S1071" i="6" s="1"/>
  <c r="BC1071" i="6" s="1"/>
  <c r="S1072" i="6" s="1"/>
  <c r="BC1072" i="6" s="1"/>
  <c r="S1073" i="6" s="1"/>
  <c r="BC1073" i="6" s="1"/>
  <c r="S1074" i="6" s="1"/>
  <c r="BC1074" i="6" s="1"/>
  <c r="S1075" i="6" s="1"/>
  <c r="BC1075" i="6" s="1"/>
  <c r="S1076" i="6" s="1"/>
  <c r="BC1076" i="6" s="1"/>
  <c r="S1077" i="6" s="1"/>
  <c r="BC1077" i="6" s="1"/>
  <c r="S1078" i="6" s="1"/>
  <c r="BC1078" i="6" s="1"/>
  <c r="S1079" i="6" s="1"/>
  <c r="BC1079" i="6" s="1"/>
  <c r="S1080" i="6" s="1"/>
  <c r="BC1080" i="6" s="1"/>
  <c r="S1081" i="6" s="1"/>
  <c r="BC1081" i="6" s="1"/>
  <c r="S1082" i="6" s="1"/>
  <c r="BC1082" i="6" s="1"/>
  <c r="S1083" i="6" s="1"/>
  <c r="BC1083" i="6" s="1"/>
  <c r="S1084" i="6" s="1"/>
  <c r="BC1084" i="6" s="1"/>
  <c r="S1085" i="6" s="1"/>
  <c r="BC1085" i="6" s="1"/>
  <c r="AT1053" i="6"/>
  <c r="AO1053" i="6"/>
  <c r="AE1053" i="6"/>
  <c r="K1053" i="6"/>
  <c r="I1053" i="6"/>
  <c r="H1053" i="6"/>
  <c r="G1053" i="6"/>
  <c r="F1053" i="6"/>
  <c r="E1053" i="6"/>
  <c r="D1053" i="6"/>
  <c r="C1053" i="6"/>
  <c r="B1053" i="6"/>
  <c r="A1053" i="6"/>
  <c r="BC1052" i="6"/>
  <c r="S1053" i="6" s="1"/>
  <c r="AT1052" i="6"/>
  <c r="AO1052" i="6"/>
  <c r="AF1052" i="6"/>
  <c r="J1052" i="6"/>
  <c r="H1052" i="6"/>
  <c r="G1052" i="6"/>
  <c r="F1052" i="6"/>
  <c r="E1052" i="6"/>
  <c r="D1052" i="6"/>
  <c r="C1052" i="6"/>
  <c r="B1052" i="6"/>
  <c r="A1052" i="6"/>
  <c r="BO1051" i="6"/>
  <c r="BN1052" i="6" s="1"/>
  <c r="BO1052" i="6" s="1"/>
  <c r="BN1053" i="6" s="1"/>
  <c r="BO1053" i="6" s="1"/>
  <c r="BN1054" i="6" s="1"/>
  <c r="BO1054" i="6" s="1"/>
  <c r="BN1055" i="6" s="1"/>
  <c r="BI1051" i="6"/>
  <c r="Y1052" i="6" s="1"/>
  <c r="BI1052" i="6" s="1"/>
  <c r="Y1053" i="6" s="1"/>
  <c r="BC1051" i="6"/>
  <c r="S1052" i="6" s="1"/>
  <c r="AX1051" i="6"/>
  <c r="N1052" i="6" s="1"/>
  <c r="AX1052" i="6" s="1"/>
  <c r="N1053" i="6" s="1"/>
  <c r="AX1053" i="6" s="1"/>
  <c r="N1054" i="6" s="1"/>
  <c r="AX1054" i="6" s="1"/>
  <c r="N1055" i="6" s="1"/>
  <c r="AX1055" i="6" s="1"/>
  <c r="N1056" i="6" s="1"/>
  <c r="AX1056" i="6" s="1"/>
  <c r="AT1051" i="6"/>
  <c r="AO1051" i="6"/>
  <c r="AI1051" i="6"/>
  <c r="AF1051" i="6"/>
  <c r="AE1051" i="6"/>
  <c r="AA1051" i="6"/>
  <c r="BK1051" i="6" s="1"/>
  <c r="AA1052" i="6" s="1"/>
  <c r="BK1052" i="6" s="1"/>
  <c r="AA1053" i="6" s="1"/>
  <c r="BK1053" i="6" s="1"/>
  <c r="AA1054" i="6" s="1"/>
  <c r="BK1054" i="6" s="1"/>
  <c r="AA1055" i="6" s="1"/>
  <c r="BK1055" i="6" s="1"/>
  <c r="AA1056" i="6" s="1"/>
  <c r="BK1056" i="6" s="1"/>
  <c r="AA1057" i="6" s="1"/>
  <c r="BK1057" i="6" s="1"/>
  <c r="AA1058" i="6" s="1"/>
  <c r="BK1058" i="6" s="1"/>
  <c r="AA1059" i="6" s="1"/>
  <c r="BK1059" i="6" s="1"/>
  <c r="AA1060" i="6" s="1"/>
  <c r="BK1060" i="6" s="1"/>
  <c r="AA1061" i="6" s="1"/>
  <c r="BK1061" i="6" s="1"/>
  <c r="AA1062" i="6" s="1"/>
  <c r="BK1062" i="6" s="1"/>
  <c r="AA1063" i="6" s="1"/>
  <c r="BK1063" i="6" s="1"/>
  <c r="AA1064" i="6" s="1"/>
  <c r="BK1064" i="6" s="1"/>
  <c r="AA1065" i="6" s="1"/>
  <c r="BK1065" i="6" s="1"/>
  <c r="AA1066" i="6" s="1"/>
  <c r="BK1066" i="6" s="1"/>
  <c r="AA1067" i="6" s="1"/>
  <c r="BK1067" i="6" s="1"/>
  <c r="AA1068" i="6" s="1"/>
  <c r="BK1068" i="6" s="1"/>
  <c r="AA1069" i="6" s="1"/>
  <c r="BK1069" i="6" s="1"/>
  <c r="AA1070" i="6" s="1"/>
  <c r="BK1070" i="6" s="1"/>
  <c r="AA1071" i="6" s="1"/>
  <c r="BK1071" i="6" s="1"/>
  <c r="AA1072" i="6" s="1"/>
  <c r="BK1072" i="6" s="1"/>
  <c r="AA1073" i="6" s="1"/>
  <c r="BK1073" i="6" s="1"/>
  <c r="AA1074" i="6" s="1"/>
  <c r="BK1074" i="6" s="1"/>
  <c r="AA1075" i="6" s="1"/>
  <c r="BK1075" i="6" s="1"/>
  <c r="AA1076" i="6" s="1"/>
  <c r="BK1076" i="6" s="1"/>
  <c r="AA1077" i="6" s="1"/>
  <c r="BK1077" i="6" s="1"/>
  <c r="AA1078" i="6" s="1"/>
  <c r="BK1078" i="6" s="1"/>
  <c r="AA1079" i="6" s="1"/>
  <c r="BK1079" i="6" s="1"/>
  <c r="AA1080" i="6" s="1"/>
  <c r="BK1080" i="6" s="1"/>
  <c r="AA1081" i="6" s="1"/>
  <c r="BK1081" i="6" s="1"/>
  <c r="AA1082" i="6" s="1"/>
  <c r="BK1082" i="6" s="1"/>
  <c r="AA1083" i="6" s="1"/>
  <c r="BK1083" i="6" s="1"/>
  <c r="AA1084" i="6" s="1"/>
  <c r="BK1084" i="6" s="1"/>
  <c r="AA1085" i="6" s="1"/>
  <c r="BK1085" i="6" s="1"/>
  <c r="Y1051" i="6"/>
  <c r="U1051" i="6"/>
  <c r="S1051" i="6"/>
  <c r="O1051" i="6"/>
  <c r="AY1051" i="6" s="1"/>
  <c r="O1052" i="6" s="1"/>
  <c r="AY1052" i="6" s="1"/>
  <c r="O1053" i="6" s="1"/>
  <c r="AY1053" i="6" s="1"/>
  <c r="O1054" i="6" s="1"/>
  <c r="AY1054" i="6" s="1"/>
  <c r="O1055" i="6" s="1"/>
  <c r="AY1055" i="6" s="1"/>
  <c r="O1056" i="6" s="1"/>
  <c r="AY1056" i="6" s="1"/>
  <c r="K1051" i="6"/>
  <c r="J1051" i="6"/>
  <c r="I1051" i="6"/>
  <c r="H1051" i="6"/>
  <c r="G1051" i="6"/>
  <c r="F1051" i="6"/>
  <c r="E1051" i="6"/>
  <c r="D1051" i="6"/>
  <c r="C1051" i="6"/>
  <c r="B1051" i="6"/>
  <c r="A1051" i="6"/>
  <c r="BN1050" i="6"/>
  <c r="BO1050" i="6" s="1"/>
  <c r="BN1051" i="6" s="1"/>
  <c r="BL1050" i="6"/>
  <c r="AB1051" i="6" s="1"/>
  <c r="BL1051" i="6" s="1"/>
  <c r="AB1052" i="6" s="1"/>
  <c r="BL1052" i="6" s="1"/>
  <c r="AB1053" i="6" s="1"/>
  <c r="BL1053" i="6" s="1"/>
  <c r="AB1054" i="6" s="1"/>
  <c r="BL1054" i="6" s="1"/>
  <c r="AB1055" i="6" s="1"/>
  <c r="BL1055" i="6" s="1"/>
  <c r="AB1056" i="6" s="1"/>
  <c r="BL1056" i="6" s="1"/>
  <c r="AB1057" i="6" s="1"/>
  <c r="BL1057" i="6" s="1"/>
  <c r="AB1058" i="6" s="1"/>
  <c r="BL1058" i="6" s="1"/>
  <c r="AB1059" i="6" s="1"/>
  <c r="BL1059" i="6" s="1"/>
  <c r="AB1060" i="6" s="1"/>
  <c r="BL1060" i="6" s="1"/>
  <c r="AB1061" i="6" s="1"/>
  <c r="BL1061" i="6" s="1"/>
  <c r="AB1062" i="6" s="1"/>
  <c r="BL1062" i="6" s="1"/>
  <c r="AB1063" i="6" s="1"/>
  <c r="BL1063" i="6" s="1"/>
  <c r="AB1064" i="6" s="1"/>
  <c r="BL1064" i="6" s="1"/>
  <c r="AB1065" i="6" s="1"/>
  <c r="BL1065" i="6" s="1"/>
  <c r="AB1066" i="6" s="1"/>
  <c r="BL1066" i="6" s="1"/>
  <c r="AB1067" i="6" s="1"/>
  <c r="BL1067" i="6" s="1"/>
  <c r="AB1068" i="6" s="1"/>
  <c r="BL1068" i="6" s="1"/>
  <c r="AB1069" i="6" s="1"/>
  <c r="BL1069" i="6" s="1"/>
  <c r="AB1070" i="6" s="1"/>
  <c r="BL1070" i="6" s="1"/>
  <c r="AB1071" i="6" s="1"/>
  <c r="BL1071" i="6" s="1"/>
  <c r="AB1072" i="6" s="1"/>
  <c r="BL1072" i="6" s="1"/>
  <c r="AB1073" i="6" s="1"/>
  <c r="BL1073" i="6" s="1"/>
  <c r="AB1074" i="6" s="1"/>
  <c r="BL1074" i="6" s="1"/>
  <c r="AB1075" i="6" s="1"/>
  <c r="BL1075" i="6" s="1"/>
  <c r="AB1076" i="6" s="1"/>
  <c r="BL1076" i="6" s="1"/>
  <c r="AB1077" i="6" s="1"/>
  <c r="BL1077" i="6" s="1"/>
  <c r="AB1078" i="6" s="1"/>
  <c r="BL1078" i="6" s="1"/>
  <c r="AB1079" i="6" s="1"/>
  <c r="BL1079" i="6" s="1"/>
  <c r="AB1080" i="6" s="1"/>
  <c r="BL1080" i="6" s="1"/>
  <c r="AB1081" i="6" s="1"/>
  <c r="BL1081" i="6" s="1"/>
  <c r="AB1082" i="6" s="1"/>
  <c r="BL1082" i="6" s="1"/>
  <c r="AB1083" i="6" s="1"/>
  <c r="BL1083" i="6" s="1"/>
  <c r="AB1084" i="6" s="1"/>
  <c r="BL1084" i="6" s="1"/>
  <c r="AB1085" i="6" s="1"/>
  <c r="BL1085" i="6" s="1"/>
  <c r="BJ1050" i="6"/>
  <c r="Z1051" i="6" s="1"/>
  <c r="BJ1051" i="6" s="1"/>
  <c r="Z1052" i="6" s="1"/>
  <c r="BJ1052" i="6" s="1"/>
  <c r="Z1053" i="6" s="1"/>
  <c r="BJ1053" i="6" s="1"/>
  <c r="Z1054" i="6" s="1"/>
  <c r="BJ1054" i="6" s="1"/>
  <c r="Z1055" i="6" s="1"/>
  <c r="BJ1055" i="6" s="1"/>
  <c r="Z1056" i="6" s="1"/>
  <c r="BJ1056" i="6" s="1"/>
  <c r="Z1057" i="6" s="1"/>
  <c r="BJ1057" i="6" s="1"/>
  <c r="Z1058" i="6" s="1"/>
  <c r="BJ1058" i="6" s="1"/>
  <c r="Z1059" i="6" s="1"/>
  <c r="BJ1059" i="6" s="1"/>
  <c r="Z1060" i="6" s="1"/>
  <c r="BJ1060" i="6" s="1"/>
  <c r="Z1061" i="6" s="1"/>
  <c r="BJ1061" i="6" s="1"/>
  <c r="Z1062" i="6" s="1"/>
  <c r="BJ1062" i="6" s="1"/>
  <c r="Z1063" i="6" s="1"/>
  <c r="BJ1063" i="6" s="1"/>
  <c r="Z1064" i="6" s="1"/>
  <c r="BJ1064" i="6" s="1"/>
  <c r="Z1065" i="6" s="1"/>
  <c r="BJ1065" i="6" s="1"/>
  <c r="Z1066" i="6" s="1"/>
  <c r="BJ1066" i="6" s="1"/>
  <c r="Z1067" i="6" s="1"/>
  <c r="BJ1067" i="6" s="1"/>
  <c r="Z1068" i="6" s="1"/>
  <c r="BJ1068" i="6" s="1"/>
  <c r="Z1069" i="6" s="1"/>
  <c r="BJ1069" i="6" s="1"/>
  <c r="Z1070" i="6" s="1"/>
  <c r="BJ1070" i="6" s="1"/>
  <c r="Z1071" i="6" s="1"/>
  <c r="BJ1071" i="6" s="1"/>
  <c r="Z1072" i="6" s="1"/>
  <c r="BJ1072" i="6" s="1"/>
  <c r="Z1073" i="6" s="1"/>
  <c r="BJ1073" i="6" s="1"/>
  <c r="Z1074" i="6" s="1"/>
  <c r="BJ1074" i="6" s="1"/>
  <c r="Z1075" i="6" s="1"/>
  <c r="BJ1075" i="6" s="1"/>
  <c r="Z1076" i="6" s="1"/>
  <c r="BJ1076" i="6" s="1"/>
  <c r="Z1077" i="6" s="1"/>
  <c r="BJ1077" i="6" s="1"/>
  <c r="Z1078" i="6" s="1"/>
  <c r="BJ1078" i="6" s="1"/>
  <c r="Z1079" i="6" s="1"/>
  <c r="BJ1079" i="6" s="1"/>
  <c r="Z1080" i="6" s="1"/>
  <c r="BJ1080" i="6" s="1"/>
  <c r="Z1081" i="6" s="1"/>
  <c r="BJ1081" i="6" s="1"/>
  <c r="Z1082" i="6" s="1"/>
  <c r="BJ1082" i="6" s="1"/>
  <c r="Z1083" i="6" s="1"/>
  <c r="BJ1083" i="6" s="1"/>
  <c r="Z1084" i="6" s="1"/>
  <c r="BJ1084" i="6" s="1"/>
  <c r="Z1085" i="6" s="1"/>
  <c r="BJ1085" i="6" s="1"/>
  <c r="BH1050" i="6"/>
  <c r="X1051" i="6" s="1"/>
  <c r="BH1051" i="6" s="1"/>
  <c r="X1052" i="6" s="1"/>
  <c r="BH1052" i="6" s="1"/>
  <c r="X1053" i="6" s="1"/>
  <c r="BH1053" i="6" s="1"/>
  <c r="X1054" i="6" s="1"/>
  <c r="BH1054" i="6" s="1"/>
  <c r="X1055" i="6" s="1"/>
  <c r="BH1055" i="6" s="1"/>
  <c r="X1056" i="6" s="1"/>
  <c r="BE1050" i="6"/>
  <c r="BE1051" i="6" s="1"/>
  <c r="BB1050" i="6"/>
  <c r="R1051" i="6" s="1"/>
  <c r="BB1051" i="6" s="1"/>
  <c r="R1052" i="6" s="1"/>
  <c r="BB1052" i="6" s="1"/>
  <c r="R1053" i="6" s="1"/>
  <c r="BB1053" i="6" s="1"/>
  <c r="R1054" i="6" s="1"/>
  <c r="BB1054" i="6" s="1"/>
  <c r="R1055" i="6" s="1"/>
  <c r="BB1055" i="6" s="1"/>
  <c r="R1056" i="6" s="1"/>
  <c r="BB1056" i="6" s="1"/>
  <c r="R1057" i="6" s="1"/>
  <c r="BB1057" i="6" s="1"/>
  <c r="R1058" i="6" s="1"/>
  <c r="BB1058" i="6" s="1"/>
  <c r="R1059" i="6" s="1"/>
  <c r="BB1059" i="6" s="1"/>
  <c r="R1060" i="6" s="1"/>
  <c r="BB1060" i="6" s="1"/>
  <c r="R1061" i="6" s="1"/>
  <c r="BB1061" i="6" s="1"/>
  <c r="R1062" i="6" s="1"/>
  <c r="BB1062" i="6" s="1"/>
  <c r="R1063" i="6" s="1"/>
  <c r="BB1063" i="6" s="1"/>
  <c r="R1064" i="6" s="1"/>
  <c r="BB1064" i="6" s="1"/>
  <c r="R1065" i="6" s="1"/>
  <c r="BB1065" i="6" s="1"/>
  <c r="R1066" i="6" s="1"/>
  <c r="BB1066" i="6" s="1"/>
  <c r="R1067" i="6" s="1"/>
  <c r="BB1067" i="6" s="1"/>
  <c r="R1068" i="6" s="1"/>
  <c r="BB1068" i="6" s="1"/>
  <c r="R1069" i="6" s="1"/>
  <c r="BB1069" i="6" s="1"/>
  <c r="R1070" i="6" s="1"/>
  <c r="BB1070" i="6" s="1"/>
  <c r="R1071" i="6" s="1"/>
  <c r="BB1071" i="6" s="1"/>
  <c r="R1072" i="6" s="1"/>
  <c r="BB1072" i="6" s="1"/>
  <c r="R1073" i="6" s="1"/>
  <c r="BB1073" i="6" s="1"/>
  <c r="R1074" i="6" s="1"/>
  <c r="BB1074" i="6" s="1"/>
  <c r="R1075" i="6" s="1"/>
  <c r="BB1075" i="6" s="1"/>
  <c r="R1076" i="6" s="1"/>
  <c r="BB1076" i="6" s="1"/>
  <c r="R1077" i="6" s="1"/>
  <c r="BB1077" i="6" s="1"/>
  <c r="R1078" i="6" s="1"/>
  <c r="BB1078" i="6" s="1"/>
  <c r="R1079" i="6" s="1"/>
  <c r="BB1079" i="6" s="1"/>
  <c r="R1080" i="6" s="1"/>
  <c r="BB1080" i="6" s="1"/>
  <c r="R1081" i="6" s="1"/>
  <c r="BB1081" i="6" s="1"/>
  <c r="R1082" i="6" s="1"/>
  <c r="BB1082" i="6" s="1"/>
  <c r="R1083" i="6" s="1"/>
  <c r="BB1083" i="6" s="1"/>
  <c r="R1084" i="6" s="1"/>
  <c r="BB1084" i="6" s="1"/>
  <c r="R1085" i="6" s="1"/>
  <c r="BB1085" i="6" s="1"/>
  <c r="AT1050" i="6"/>
  <c r="AO1050" i="6"/>
  <c r="AF1050" i="6"/>
  <c r="AC1050" i="6"/>
  <c r="BM1050" i="6" s="1"/>
  <c r="AC1051" i="6" s="1"/>
  <c r="BM1051" i="6" s="1"/>
  <c r="AC1052" i="6" s="1"/>
  <c r="BM1052" i="6" s="1"/>
  <c r="AC1053" i="6" s="1"/>
  <c r="BM1053" i="6" s="1"/>
  <c r="AC1054" i="6" s="1"/>
  <c r="BM1054" i="6" s="1"/>
  <c r="AC1055" i="6" s="1"/>
  <c r="BM1055" i="6" s="1"/>
  <c r="AC1056" i="6" s="1"/>
  <c r="BM1056" i="6" s="1"/>
  <c r="AC1057" i="6" s="1"/>
  <c r="BM1057" i="6" s="1"/>
  <c r="AC1058" i="6" s="1"/>
  <c r="BM1058" i="6" s="1"/>
  <c r="AC1059" i="6" s="1"/>
  <c r="BM1059" i="6" s="1"/>
  <c r="AC1060" i="6" s="1"/>
  <c r="BM1060" i="6" s="1"/>
  <c r="AC1061" i="6" s="1"/>
  <c r="BM1061" i="6" s="1"/>
  <c r="AC1062" i="6" s="1"/>
  <c r="BM1062" i="6" s="1"/>
  <c r="AC1063" i="6" s="1"/>
  <c r="BM1063" i="6" s="1"/>
  <c r="AC1064" i="6" s="1"/>
  <c r="BM1064" i="6" s="1"/>
  <c r="AC1065" i="6" s="1"/>
  <c r="BM1065" i="6" s="1"/>
  <c r="AC1066" i="6" s="1"/>
  <c r="BM1066" i="6" s="1"/>
  <c r="AC1067" i="6" s="1"/>
  <c r="BM1067" i="6" s="1"/>
  <c r="AC1068" i="6" s="1"/>
  <c r="BM1068" i="6" s="1"/>
  <c r="AC1069" i="6" s="1"/>
  <c r="BM1069" i="6" s="1"/>
  <c r="AC1070" i="6" s="1"/>
  <c r="BM1070" i="6" s="1"/>
  <c r="AC1071" i="6" s="1"/>
  <c r="BM1071" i="6" s="1"/>
  <c r="AC1072" i="6" s="1"/>
  <c r="BM1072" i="6" s="1"/>
  <c r="AC1073" i="6" s="1"/>
  <c r="BM1073" i="6" s="1"/>
  <c r="AC1074" i="6" s="1"/>
  <c r="BM1074" i="6" s="1"/>
  <c r="AC1075" i="6" s="1"/>
  <c r="BM1075" i="6" s="1"/>
  <c r="AC1076" i="6" s="1"/>
  <c r="BM1076" i="6" s="1"/>
  <c r="AC1077" i="6" s="1"/>
  <c r="BM1077" i="6" s="1"/>
  <c r="AC1078" i="6" s="1"/>
  <c r="BM1078" i="6" s="1"/>
  <c r="AC1079" i="6" s="1"/>
  <c r="BM1079" i="6" s="1"/>
  <c r="AC1080" i="6" s="1"/>
  <c r="BM1080" i="6" s="1"/>
  <c r="AC1081" i="6" s="1"/>
  <c r="BM1081" i="6" s="1"/>
  <c r="AC1082" i="6" s="1"/>
  <c r="BM1082" i="6" s="1"/>
  <c r="AC1083" i="6" s="1"/>
  <c r="BM1083" i="6" s="1"/>
  <c r="AC1084" i="6" s="1"/>
  <c r="BM1084" i="6" s="1"/>
  <c r="AC1085" i="6" s="1"/>
  <c r="BM1085" i="6" s="1"/>
  <c r="AB1050" i="6"/>
  <c r="AA1050" i="6"/>
  <c r="BK1050" i="6" s="1"/>
  <c r="Z1050" i="6"/>
  <c r="Y1050" i="6"/>
  <c r="BI1050" i="6" s="1"/>
  <c r="X1050" i="6"/>
  <c r="W1050" i="6"/>
  <c r="BG1050" i="6" s="1"/>
  <c r="W1051" i="6" s="1"/>
  <c r="V1050" i="6"/>
  <c r="BF1050" i="6" s="1"/>
  <c r="V1051" i="6" s="1"/>
  <c r="BF1051" i="6" s="1"/>
  <c r="V1052" i="6" s="1"/>
  <c r="BF1052" i="6" s="1"/>
  <c r="V1053" i="6" s="1"/>
  <c r="BF1053" i="6" s="1"/>
  <c r="V1054" i="6" s="1"/>
  <c r="BF1054" i="6" s="1"/>
  <c r="V1055" i="6" s="1"/>
  <c r="BF1055" i="6" s="1"/>
  <c r="V1056" i="6" s="1"/>
  <c r="BF1056" i="6" s="1"/>
  <c r="V1057" i="6" s="1"/>
  <c r="BF1057" i="6" s="1"/>
  <c r="V1058" i="6" s="1"/>
  <c r="BF1058" i="6" s="1"/>
  <c r="V1059" i="6" s="1"/>
  <c r="BF1059" i="6" s="1"/>
  <c r="V1060" i="6" s="1"/>
  <c r="BF1060" i="6" s="1"/>
  <c r="V1061" i="6" s="1"/>
  <c r="BF1061" i="6" s="1"/>
  <c r="V1062" i="6" s="1"/>
  <c r="BF1062" i="6" s="1"/>
  <c r="V1063" i="6" s="1"/>
  <c r="BF1063" i="6" s="1"/>
  <c r="V1064" i="6" s="1"/>
  <c r="BF1064" i="6" s="1"/>
  <c r="V1065" i="6" s="1"/>
  <c r="BF1065" i="6" s="1"/>
  <c r="V1066" i="6" s="1"/>
  <c r="BF1066" i="6" s="1"/>
  <c r="V1067" i="6" s="1"/>
  <c r="BF1067" i="6" s="1"/>
  <c r="V1068" i="6" s="1"/>
  <c r="BF1068" i="6" s="1"/>
  <c r="V1069" i="6" s="1"/>
  <c r="BF1069" i="6" s="1"/>
  <c r="V1070" i="6" s="1"/>
  <c r="BF1070" i="6" s="1"/>
  <c r="V1071" i="6" s="1"/>
  <c r="BF1071" i="6" s="1"/>
  <c r="V1072" i="6" s="1"/>
  <c r="BF1072" i="6" s="1"/>
  <c r="V1073" i="6" s="1"/>
  <c r="U1050" i="6"/>
  <c r="T1050" i="6"/>
  <c r="AP1050" i="6" s="1"/>
  <c r="S1050" i="6"/>
  <c r="BC1050" i="6" s="1"/>
  <c r="R1050" i="6"/>
  <c r="Q1050" i="6"/>
  <c r="BA1050" i="6" s="1"/>
  <c r="Q1051" i="6" s="1"/>
  <c r="O1050" i="6"/>
  <c r="AY1050" i="6" s="1"/>
  <c r="N1050" i="6"/>
  <c r="AX1050" i="6" s="1"/>
  <c r="N1051" i="6" s="1"/>
  <c r="M1050" i="6"/>
  <c r="AW1050" i="6" s="1"/>
  <c r="M1051" i="6" s="1"/>
  <c r="AW1051" i="6" s="1"/>
  <c r="M1052" i="6" s="1"/>
  <c r="L1050" i="6"/>
  <c r="AV1050" i="6" s="1"/>
  <c r="L1051" i="6" s="1"/>
  <c r="J1050" i="6"/>
  <c r="I1050" i="6"/>
  <c r="H1050" i="6"/>
  <c r="G1050" i="6"/>
  <c r="F1050" i="6"/>
  <c r="E1050" i="6"/>
  <c r="D1050" i="6"/>
  <c r="C1050" i="6"/>
  <c r="B1050" i="6"/>
  <c r="A1050" i="6"/>
  <c r="AO1049" i="6"/>
  <c r="AI1049" i="6"/>
  <c r="AE1049" i="6"/>
  <c r="K1049" i="6"/>
  <c r="J1049" i="6"/>
  <c r="I1049" i="6"/>
  <c r="H1049" i="6"/>
  <c r="G1049" i="6"/>
  <c r="F1049" i="6"/>
  <c r="E1049" i="6"/>
  <c r="D1049" i="6"/>
  <c r="C1049" i="6"/>
  <c r="B1049" i="6"/>
  <c r="A1049" i="6"/>
  <c r="AO1048" i="6"/>
  <c r="AI1048" i="6"/>
  <c r="AE1048" i="6"/>
  <c r="K1048" i="6"/>
  <c r="J1048" i="6"/>
  <c r="H1048" i="6"/>
  <c r="G1048" i="6"/>
  <c r="F1048" i="6"/>
  <c r="E1048" i="6"/>
  <c r="D1048" i="6"/>
  <c r="C1048" i="6"/>
  <c r="B1048" i="6"/>
  <c r="A1048" i="6"/>
  <c r="AO1047" i="6"/>
  <c r="AI1047" i="6"/>
  <c r="AE1047" i="6"/>
  <c r="K1047" i="6"/>
  <c r="I1047" i="6"/>
  <c r="H1047" i="6"/>
  <c r="G1047" i="6"/>
  <c r="F1047" i="6"/>
  <c r="J1047" i="6" s="1"/>
  <c r="E1047" i="6"/>
  <c r="D1047" i="6"/>
  <c r="C1047" i="6"/>
  <c r="B1047" i="6"/>
  <c r="A1047" i="6"/>
  <c r="AO1046" i="6"/>
  <c r="J1046" i="6"/>
  <c r="I1046" i="6"/>
  <c r="H1046" i="6"/>
  <c r="G1046" i="6"/>
  <c r="F1046" i="6"/>
  <c r="E1046" i="6"/>
  <c r="D1046" i="6"/>
  <c r="C1046" i="6"/>
  <c r="B1046" i="6"/>
  <c r="A1046" i="6"/>
  <c r="AO1045" i="6"/>
  <c r="AE1045" i="6"/>
  <c r="K1045" i="6"/>
  <c r="I1045" i="6"/>
  <c r="H1045" i="6"/>
  <c r="G1045" i="6"/>
  <c r="F1045" i="6"/>
  <c r="E1045" i="6"/>
  <c r="D1045" i="6"/>
  <c r="C1045" i="6"/>
  <c r="B1045" i="6"/>
  <c r="A1045" i="6"/>
  <c r="AO1044" i="6"/>
  <c r="AI1044" i="6"/>
  <c r="K1044" i="6"/>
  <c r="J1044" i="6"/>
  <c r="H1044" i="6"/>
  <c r="G1044" i="6"/>
  <c r="F1044" i="6"/>
  <c r="E1044" i="6"/>
  <c r="D1044" i="6"/>
  <c r="C1044" i="6"/>
  <c r="B1044" i="6"/>
  <c r="A1044" i="6"/>
  <c r="AO1043" i="6"/>
  <c r="AI1043" i="6"/>
  <c r="H1043" i="6"/>
  <c r="G1043" i="6"/>
  <c r="F1043" i="6"/>
  <c r="E1043" i="6"/>
  <c r="D1043" i="6"/>
  <c r="C1043" i="6"/>
  <c r="B1043" i="6"/>
  <c r="A1043" i="6"/>
  <c r="AO1042" i="6"/>
  <c r="K1042" i="6"/>
  <c r="H1042" i="6"/>
  <c r="G1042" i="6"/>
  <c r="F1042" i="6"/>
  <c r="E1042" i="6"/>
  <c r="D1042" i="6"/>
  <c r="C1042" i="6"/>
  <c r="B1042" i="6"/>
  <c r="A1042" i="6"/>
  <c r="AO1041" i="6"/>
  <c r="K1041" i="6"/>
  <c r="J1041" i="6"/>
  <c r="H1041" i="6"/>
  <c r="G1041" i="6"/>
  <c r="F1041" i="6"/>
  <c r="E1041" i="6"/>
  <c r="D1041" i="6"/>
  <c r="C1041" i="6"/>
  <c r="B1041" i="6"/>
  <c r="A1041" i="6"/>
  <c r="AO1040" i="6"/>
  <c r="H1040" i="6"/>
  <c r="G1040" i="6"/>
  <c r="F1040" i="6"/>
  <c r="AI1040" i="6" s="1"/>
  <c r="E1040" i="6"/>
  <c r="D1040" i="6"/>
  <c r="C1040" i="6"/>
  <c r="B1040" i="6"/>
  <c r="A1040" i="6"/>
  <c r="AO1039" i="6"/>
  <c r="I1039" i="6"/>
  <c r="H1039" i="6"/>
  <c r="G1039" i="6"/>
  <c r="F1039" i="6"/>
  <c r="E1039" i="6"/>
  <c r="D1039" i="6"/>
  <c r="C1039" i="6"/>
  <c r="B1039" i="6"/>
  <c r="A1039" i="6"/>
  <c r="AO1038" i="6"/>
  <c r="AE1038" i="6"/>
  <c r="J1038" i="6"/>
  <c r="I1038" i="6"/>
  <c r="H1038" i="6"/>
  <c r="G1038" i="6"/>
  <c r="F1038" i="6"/>
  <c r="AI1038" i="6" s="1"/>
  <c r="E1038" i="6"/>
  <c r="D1038" i="6"/>
  <c r="C1038" i="6"/>
  <c r="B1038" i="6"/>
  <c r="A1038" i="6"/>
  <c r="AO1037" i="6"/>
  <c r="AI1037" i="6"/>
  <c r="AE1037" i="6"/>
  <c r="K1037" i="6"/>
  <c r="J1037" i="6"/>
  <c r="I1037" i="6"/>
  <c r="H1037" i="6"/>
  <c r="G1037" i="6"/>
  <c r="F1037" i="6"/>
  <c r="E1037" i="6"/>
  <c r="D1037" i="6"/>
  <c r="C1037" i="6"/>
  <c r="B1037" i="6"/>
  <c r="A1037" i="6"/>
  <c r="AT1036" i="6"/>
  <c r="AI1036" i="6"/>
  <c r="K1036" i="6"/>
  <c r="J1036" i="6"/>
  <c r="H1036" i="6"/>
  <c r="G1036" i="6"/>
  <c r="F1036" i="6"/>
  <c r="E1036" i="6"/>
  <c r="D1036" i="6"/>
  <c r="C1036" i="6"/>
  <c r="B1036" i="6"/>
  <c r="A1036" i="6"/>
  <c r="AT1035" i="6"/>
  <c r="AO1035" i="6"/>
  <c r="H1035" i="6"/>
  <c r="G1035" i="6"/>
  <c r="F1035" i="6"/>
  <c r="E1035" i="6"/>
  <c r="D1035" i="6"/>
  <c r="C1035" i="6"/>
  <c r="B1035" i="6"/>
  <c r="A1035" i="6"/>
  <c r="AT1034" i="6"/>
  <c r="AO1034" i="6"/>
  <c r="AI1034" i="6"/>
  <c r="K1034" i="6"/>
  <c r="H1034" i="6"/>
  <c r="G1034" i="6"/>
  <c r="F1034" i="6"/>
  <c r="E1034" i="6"/>
  <c r="D1034" i="6"/>
  <c r="C1034" i="6"/>
  <c r="B1034" i="6"/>
  <c r="A1034" i="6"/>
  <c r="AT1033" i="6"/>
  <c r="AO1033" i="6"/>
  <c r="I1033" i="6"/>
  <c r="H1033" i="6"/>
  <c r="G1033" i="6"/>
  <c r="F1033" i="6"/>
  <c r="E1033" i="6"/>
  <c r="D1033" i="6"/>
  <c r="C1033" i="6"/>
  <c r="B1033" i="6"/>
  <c r="A1033" i="6"/>
  <c r="BF1032" i="6"/>
  <c r="V1033" i="6" s="1"/>
  <c r="BF1033" i="6" s="1"/>
  <c r="V1034" i="6" s="1"/>
  <c r="BF1034" i="6" s="1"/>
  <c r="V1035" i="6" s="1"/>
  <c r="BF1035" i="6" s="1"/>
  <c r="V1036" i="6" s="1"/>
  <c r="BF1036" i="6" s="1"/>
  <c r="V1037" i="6" s="1"/>
  <c r="AT1032" i="6"/>
  <c r="AO1032" i="6"/>
  <c r="AE1032" i="6"/>
  <c r="J1032" i="6"/>
  <c r="I1032" i="6"/>
  <c r="H1032" i="6"/>
  <c r="G1032" i="6"/>
  <c r="F1032" i="6"/>
  <c r="E1032" i="6"/>
  <c r="D1032" i="6"/>
  <c r="C1032" i="6"/>
  <c r="B1032" i="6"/>
  <c r="A1032" i="6"/>
  <c r="AT1031" i="6"/>
  <c r="AO1031" i="6"/>
  <c r="AI1031" i="6"/>
  <c r="AE1031" i="6"/>
  <c r="K1031" i="6"/>
  <c r="J1031" i="6"/>
  <c r="I1031" i="6"/>
  <c r="H1031" i="6"/>
  <c r="AF1031" i="6" s="1"/>
  <c r="G1031" i="6"/>
  <c r="F1031" i="6"/>
  <c r="E1031" i="6"/>
  <c r="D1031" i="6"/>
  <c r="C1031" i="6"/>
  <c r="B1031" i="6"/>
  <c r="A1031" i="6"/>
  <c r="AT1030" i="6"/>
  <c r="H1030" i="6"/>
  <c r="G1030" i="6"/>
  <c r="F1030" i="6"/>
  <c r="E1030" i="6"/>
  <c r="D1030" i="6"/>
  <c r="C1030" i="6"/>
  <c r="B1030" i="6"/>
  <c r="A1030" i="6"/>
  <c r="AT1029" i="6"/>
  <c r="AO1029" i="6"/>
  <c r="AF1029" i="6"/>
  <c r="AE1029" i="6"/>
  <c r="K1029" i="6"/>
  <c r="J1029" i="6"/>
  <c r="I1029" i="6"/>
  <c r="H1029" i="6"/>
  <c r="G1029" i="6"/>
  <c r="AI1029" i="6" s="1"/>
  <c r="F1029" i="6"/>
  <c r="E1029" i="6"/>
  <c r="D1029" i="6"/>
  <c r="C1029" i="6"/>
  <c r="B1029" i="6"/>
  <c r="A1029" i="6"/>
  <c r="AT1028" i="6"/>
  <c r="AO1028" i="6"/>
  <c r="AF1028" i="6"/>
  <c r="AE1028" i="6"/>
  <c r="H1028" i="6"/>
  <c r="G1028" i="6"/>
  <c r="F1028" i="6"/>
  <c r="E1028" i="6"/>
  <c r="D1028" i="6"/>
  <c r="C1028" i="6"/>
  <c r="B1028" i="6"/>
  <c r="A1028" i="6"/>
  <c r="AT1027" i="6"/>
  <c r="AO1027" i="6"/>
  <c r="AF1027" i="6"/>
  <c r="H1027" i="6"/>
  <c r="G1027" i="6"/>
  <c r="F1027" i="6"/>
  <c r="E1027" i="6"/>
  <c r="D1027" i="6"/>
  <c r="C1027" i="6"/>
  <c r="B1027" i="6"/>
  <c r="A1027" i="6"/>
  <c r="AT1026" i="6"/>
  <c r="AO1026" i="6"/>
  <c r="AE1026" i="6"/>
  <c r="J1026" i="6"/>
  <c r="I1026" i="6"/>
  <c r="H1026" i="6"/>
  <c r="G1026" i="6"/>
  <c r="F1026" i="6"/>
  <c r="E1026" i="6"/>
  <c r="D1026" i="6"/>
  <c r="C1026" i="6"/>
  <c r="B1026" i="6"/>
  <c r="A1026" i="6"/>
  <c r="AT1025" i="6"/>
  <c r="AI1025" i="6"/>
  <c r="AE1025" i="6"/>
  <c r="K1025" i="6"/>
  <c r="J1025" i="6"/>
  <c r="I1025" i="6"/>
  <c r="H1025" i="6"/>
  <c r="G1025" i="6"/>
  <c r="F1025" i="6"/>
  <c r="E1025" i="6"/>
  <c r="D1025" i="6"/>
  <c r="C1025" i="6"/>
  <c r="B1025" i="6"/>
  <c r="A1025" i="6"/>
  <c r="AT1024" i="6"/>
  <c r="K1024" i="6"/>
  <c r="J1024" i="6"/>
  <c r="H1024" i="6"/>
  <c r="G1024" i="6"/>
  <c r="F1024" i="6"/>
  <c r="E1024" i="6"/>
  <c r="D1024" i="6"/>
  <c r="C1024" i="6"/>
  <c r="B1024" i="6"/>
  <c r="A1024" i="6"/>
  <c r="AT1023" i="6"/>
  <c r="AO1023" i="6"/>
  <c r="J1023" i="6"/>
  <c r="H1023" i="6"/>
  <c r="AF1023" i="6" s="1"/>
  <c r="G1023" i="6"/>
  <c r="F1023" i="6"/>
  <c r="E1023" i="6"/>
  <c r="D1023" i="6"/>
  <c r="C1023" i="6"/>
  <c r="B1023" i="6"/>
  <c r="A1023" i="6"/>
  <c r="AT1022" i="6"/>
  <c r="AO1022" i="6"/>
  <c r="AI1022" i="6"/>
  <c r="K1022" i="6"/>
  <c r="J1022" i="6"/>
  <c r="H1022" i="6"/>
  <c r="G1022" i="6"/>
  <c r="F1022" i="6"/>
  <c r="E1022" i="6"/>
  <c r="D1022" i="6"/>
  <c r="C1022" i="6"/>
  <c r="B1022" i="6"/>
  <c r="A1022" i="6"/>
  <c r="AT1021" i="6"/>
  <c r="AO1021" i="6"/>
  <c r="AF1021" i="6"/>
  <c r="AE1021" i="6"/>
  <c r="I1021" i="6"/>
  <c r="H1021" i="6"/>
  <c r="G1021" i="6"/>
  <c r="F1021" i="6"/>
  <c r="E1021" i="6"/>
  <c r="D1021" i="6"/>
  <c r="C1021" i="6"/>
  <c r="B1021" i="6"/>
  <c r="A1021" i="6"/>
  <c r="AT1020" i="6"/>
  <c r="AO1020" i="6"/>
  <c r="AE1020" i="6"/>
  <c r="J1020" i="6"/>
  <c r="I1020" i="6"/>
  <c r="H1020" i="6"/>
  <c r="AF1020" i="6" s="1"/>
  <c r="G1020" i="6"/>
  <c r="F1020" i="6"/>
  <c r="E1020" i="6"/>
  <c r="D1020" i="6"/>
  <c r="C1020" i="6"/>
  <c r="B1020" i="6"/>
  <c r="A1020" i="6"/>
  <c r="BA1019" i="6"/>
  <c r="Q1020" i="6" s="1"/>
  <c r="AT1019" i="6"/>
  <c r="AI1019" i="6"/>
  <c r="AE1019" i="6"/>
  <c r="K1019" i="6"/>
  <c r="J1019" i="6"/>
  <c r="I1019" i="6"/>
  <c r="H1019" i="6"/>
  <c r="G1019" i="6"/>
  <c r="F1019" i="6"/>
  <c r="E1019" i="6"/>
  <c r="D1019" i="6"/>
  <c r="C1019" i="6"/>
  <c r="B1019" i="6"/>
  <c r="A1019" i="6"/>
  <c r="AT1018" i="6"/>
  <c r="I1018" i="6"/>
  <c r="H1018" i="6"/>
  <c r="G1018" i="6"/>
  <c r="F1018" i="6"/>
  <c r="E1018" i="6"/>
  <c r="D1018" i="6"/>
  <c r="C1018" i="6"/>
  <c r="B1018" i="6"/>
  <c r="A1018" i="6"/>
  <c r="BL1017" i="6"/>
  <c r="AB1018" i="6" s="1"/>
  <c r="BL1018" i="6" s="1"/>
  <c r="AB1019" i="6" s="1"/>
  <c r="BL1019" i="6" s="1"/>
  <c r="AB1020" i="6" s="1"/>
  <c r="BL1020" i="6" s="1"/>
  <c r="AB1021" i="6" s="1"/>
  <c r="BL1021" i="6" s="1"/>
  <c r="AB1022" i="6" s="1"/>
  <c r="BL1022" i="6" s="1"/>
  <c r="AB1023" i="6" s="1"/>
  <c r="BL1023" i="6" s="1"/>
  <c r="AB1024" i="6" s="1"/>
  <c r="BL1024" i="6" s="1"/>
  <c r="AB1025" i="6" s="1"/>
  <c r="BL1025" i="6" s="1"/>
  <c r="AB1026" i="6" s="1"/>
  <c r="BL1026" i="6" s="1"/>
  <c r="AB1027" i="6" s="1"/>
  <c r="BL1027" i="6" s="1"/>
  <c r="AB1028" i="6" s="1"/>
  <c r="BL1028" i="6" s="1"/>
  <c r="AB1029" i="6" s="1"/>
  <c r="BL1029" i="6" s="1"/>
  <c r="AB1030" i="6" s="1"/>
  <c r="BL1030" i="6" s="1"/>
  <c r="AB1031" i="6" s="1"/>
  <c r="BL1031" i="6" s="1"/>
  <c r="AB1032" i="6" s="1"/>
  <c r="BL1032" i="6" s="1"/>
  <c r="AB1033" i="6" s="1"/>
  <c r="BL1033" i="6" s="1"/>
  <c r="AB1034" i="6" s="1"/>
  <c r="BL1034" i="6" s="1"/>
  <c r="AB1035" i="6" s="1"/>
  <c r="BL1035" i="6" s="1"/>
  <c r="AB1036" i="6" s="1"/>
  <c r="BL1036" i="6" s="1"/>
  <c r="AB1037" i="6" s="1"/>
  <c r="BL1037" i="6" s="1"/>
  <c r="AB1038" i="6" s="1"/>
  <c r="BL1038" i="6" s="1"/>
  <c r="AB1039" i="6" s="1"/>
  <c r="BL1039" i="6" s="1"/>
  <c r="AB1040" i="6" s="1"/>
  <c r="BL1040" i="6" s="1"/>
  <c r="AB1041" i="6" s="1"/>
  <c r="BL1041" i="6" s="1"/>
  <c r="AB1042" i="6" s="1"/>
  <c r="BL1042" i="6" s="1"/>
  <c r="AB1043" i="6" s="1"/>
  <c r="BL1043" i="6" s="1"/>
  <c r="AB1044" i="6" s="1"/>
  <c r="BL1044" i="6" s="1"/>
  <c r="AB1045" i="6" s="1"/>
  <c r="BL1045" i="6" s="1"/>
  <c r="AB1046" i="6" s="1"/>
  <c r="BL1046" i="6" s="1"/>
  <c r="AB1047" i="6" s="1"/>
  <c r="BL1047" i="6" s="1"/>
  <c r="AB1048" i="6" s="1"/>
  <c r="BL1048" i="6" s="1"/>
  <c r="AB1049" i="6" s="1"/>
  <c r="BL1049" i="6" s="1"/>
  <c r="AT1017" i="6"/>
  <c r="AO1017" i="6"/>
  <c r="AE1017" i="6"/>
  <c r="K1017" i="6"/>
  <c r="J1017" i="6"/>
  <c r="I1017" i="6"/>
  <c r="H1017" i="6"/>
  <c r="G1017" i="6"/>
  <c r="AI1017" i="6" s="1"/>
  <c r="F1017" i="6"/>
  <c r="E1017" i="6"/>
  <c r="D1017" i="6"/>
  <c r="C1017" i="6"/>
  <c r="B1017" i="6"/>
  <c r="A1017" i="6"/>
  <c r="AT1016" i="6"/>
  <c r="AO1016" i="6"/>
  <c r="AF1016" i="6"/>
  <c r="AC1016" i="6"/>
  <c r="BM1016" i="6" s="1"/>
  <c r="AC1017" i="6" s="1"/>
  <c r="BM1017" i="6" s="1"/>
  <c r="AC1018" i="6" s="1"/>
  <c r="BM1018" i="6" s="1"/>
  <c r="AC1019" i="6" s="1"/>
  <c r="BM1019" i="6" s="1"/>
  <c r="AC1020" i="6" s="1"/>
  <c r="BM1020" i="6" s="1"/>
  <c r="AC1021" i="6" s="1"/>
  <c r="BM1021" i="6" s="1"/>
  <c r="AC1022" i="6" s="1"/>
  <c r="BM1022" i="6" s="1"/>
  <c r="AC1023" i="6" s="1"/>
  <c r="BM1023" i="6" s="1"/>
  <c r="AC1024" i="6" s="1"/>
  <c r="BM1024" i="6" s="1"/>
  <c r="AC1025" i="6" s="1"/>
  <c r="BM1025" i="6" s="1"/>
  <c r="AC1026" i="6" s="1"/>
  <c r="BM1026" i="6" s="1"/>
  <c r="AC1027" i="6" s="1"/>
  <c r="BM1027" i="6" s="1"/>
  <c r="AC1028" i="6" s="1"/>
  <c r="BM1028" i="6" s="1"/>
  <c r="AC1029" i="6" s="1"/>
  <c r="BM1029" i="6" s="1"/>
  <c r="AC1030" i="6" s="1"/>
  <c r="BM1030" i="6" s="1"/>
  <c r="AC1031" i="6" s="1"/>
  <c r="BM1031" i="6" s="1"/>
  <c r="AC1032" i="6" s="1"/>
  <c r="BM1032" i="6" s="1"/>
  <c r="AC1033" i="6" s="1"/>
  <c r="BM1033" i="6" s="1"/>
  <c r="AC1034" i="6" s="1"/>
  <c r="BM1034" i="6" s="1"/>
  <c r="AC1035" i="6" s="1"/>
  <c r="BM1035" i="6" s="1"/>
  <c r="AC1036" i="6" s="1"/>
  <c r="BM1036" i="6" s="1"/>
  <c r="AC1037" i="6" s="1"/>
  <c r="BM1037" i="6" s="1"/>
  <c r="AC1038" i="6" s="1"/>
  <c r="BM1038" i="6" s="1"/>
  <c r="AC1039" i="6" s="1"/>
  <c r="BM1039" i="6" s="1"/>
  <c r="AC1040" i="6" s="1"/>
  <c r="BM1040" i="6" s="1"/>
  <c r="AC1041" i="6" s="1"/>
  <c r="BM1041" i="6" s="1"/>
  <c r="AC1042" i="6" s="1"/>
  <c r="BM1042" i="6" s="1"/>
  <c r="AC1043" i="6" s="1"/>
  <c r="BM1043" i="6" s="1"/>
  <c r="AC1044" i="6" s="1"/>
  <c r="BM1044" i="6" s="1"/>
  <c r="AC1045" i="6" s="1"/>
  <c r="BM1045" i="6" s="1"/>
  <c r="AC1046" i="6" s="1"/>
  <c r="BM1046" i="6" s="1"/>
  <c r="AC1047" i="6" s="1"/>
  <c r="BM1047" i="6" s="1"/>
  <c r="AC1048" i="6" s="1"/>
  <c r="BM1048" i="6" s="1"/>
  <c r="AC1049" i="6" s="1"/>
  <c r="BM1049" i="6" s="1"/>
  <c r="H1016" i="6"/>
  <c r="G1016" i="6"/>
  <c r="F1016" i="6"/>
  <c r="E1016" i="6"/>
  <c r="D1016" i="6"/>
  <c r="C1016" i="6"/>
  <c r="B1016" i="6"/>
  <c r="A1016" i="6"/>
  <c r="BE1015" i="6"/>
  <c r="AT1015" i="6"/>
  <c r="AO1015" i="6"/>
  <c r="AF1015" i="6"/>
  <c r="U1015" i="6"/>
  <c r="L1015" i="6"/>
  <c r="AV1015" i="6" s="1"/>
  <c r="L1016" i="6" s="1"/>
  <c r="I1015" i="6"/>
  <c r="H1015" i="6"/>
  <c r="G1015" i="6"/>
  <c r="F1015" i="6"/>
  <c r="E1015" i="6"/>
  <c r="D1015" i="6"/>
  <c r="C1015" i="6"/>
  <c r="B1015" i="6"/>
  <c r="A1015" i="6"/>
  <c r="BO1014" i="6"/>
  <c r="BN1015" i="6" s="1"/>
  <c r="BO1015" i="6" s="1"/>
  <c r="BN1016" i="6" s="1"/>
  <c r="BO1016" i="6" s="1"/>
  <c r="BN1017" i="6" s="1"/>
  <c r="BN1014" i="6"/>
  <c r="BL1014" i="6"/>
  <c r="AB1015" i="6" s="1"/>
  <c r="BL1015" i="6" s="1"/>
  <c r="AB1016" i="6" s="1"/>
  <c r="BL1016" i="6" s="1"/>
  <c r="AB1017" i="6" s="1"/>
  <c r="BI1014" i="6"/>
  <c r="Y1015" i="6" s="1"/>
  <c r="BI1015" i="6" s="1"/>
  <c r="Y1016" i="6" s="1"/>
  <c r="BI1016" i="6" s="1"/>
  <c r="Y1017" i="6" s="1"/>
  <c r="BI1017" i="6" s="1"/>
  <c r="Y1018" i="6" s="1"/>
  <c r="BI1018" i="6" s="1"/>
  <c r="Y1019" i="6" s="1"/>
  <c r="BI1019" i="6" s="1"/>
  <c r="Y1020" i="6" s="1"/>
  <c r="BI1020" i="6" s="1"/>
  <c r="Y1021" i="6" s="1"/>
  <c r="BI1021" i="6" s="1"/>
  <c r="Y1022" i="6" s="1"/>
  <c r="BI1022" i="6" s="1"/>
  <c r="Y1023" i="6" s="1"/>
  <c r="BI1023" i="6" s="1"/>
  <c r="Y1024" i="6" s="1"/>
  <c r="BI1024" i="6" s="1"/>
  <c r="Y1025" i="6" s="1"/>
  <c r="BI1025" i="6" s="1"/>
  <c r="Y1026" i="6" s="1"/>
  <c r="BI1026" i="6" s="1"/>
  <c r="Y1027" i="6" s="1"/>
  <c r="BI1027" i="6" s="1"/>
  <c r="Y1028" i="6" s="1"/>
  <c r="BI1028" i="6" s="1"/>
  <c r="Y1029" i="6" s="1"/>
  <c r="BI1029" i="6" s="1"/>
  <c r="Y1030" i="6" s="1"/>
  <c r="BI1030" i="6" s="1"/>
  <c r="Y1031" i="6" s="1"/>
  <c r="BI1031" i="6" s="1"/>
  <c r="Y1032" i="6" s="1"/>
  <c r="BI1032" i="6" s="1"/>
  <c r="Y1033" i="6" s="1"/>
  <c r="BI1033" i="6" s="1"/>
  <c r="Y1034" i="6" s="1"/>
  <c r="BI1034" i="6" s="1"/>
  <c r="Y1035" i="6" s="1"/>
  <c r="BI1035" i="6" s="1"/>
  <c r="Y1036" i="6" s="1"/>
  <c r="BI1036" i="6" s="1"/>
  <c r="Y1037" i="6" s="1"/>
  <c r="BI1037" i="6" s="1"/>
  <c r="Y1038" i="6" s="1"/>
  <c r="BI1038" i="6" s="1"/>
  <c r="Y1039" i="6" s="1"/>
  <c r="BI1039" i="6" s="1"/>
  <c r="Y1040" i="6" s="1"/>
  <c r="BI1040" i="6" s="1"/>
  <c r="Y1041" i="6" s="1"/>
  <c r="BI1041" i="6" s="1"/>
  <c r="Y1042" i="6" s="1"/>
  <c r="BI1042" i="6" s="1"/>
  <c r="Y1043" i="6" s="1"/>
  <c r="BI1043" i="6" s="1"/>
  <c r="Y1044" i="6" s="1"/>
  <c r="BI1044" i="6" s="1"/>
  <c r="Y1045" i="6" s="1"/>
  <c r="BI1045" i="6" s="1"/>
  <c r="Y1046" i="6" s="1"/>
  <c r="BI1046" i="6" s="1"/>
  <c r="Y1047" i="6" s="1"/>
  <c r="BI1047" i="6" s="1"/>
  <c r="Y1048" i="6" s="1"/>
  <c r="BI1048" i="6" s="1"/>
  <c r="Y1049" i="6" s="1"/>
  <c r="BI1049" i="6" s="1"/>
  <c r="BE1014" i="6"/>
  <c r="AT1014" i="6"/>
  <c r="AO1014" i="6"/>
  <c r="AF1014" i="6"/>
  <c r="AE1014" i="6"/>
  <c r="AC1014" i="6"/>
  <c r="BM1014" i="6" s="1"/>
  <c r="AC1015" i="6" s="1"/>
  <c r="BM1015" i="6" s="1"/>
  <c r="AB1014" i="6"/>
  <c r="AA1014" i="6"/>
  <c r="BK1014" i="6" s="1"/>
  <c r="AA1015" i="6" s="1"/>
  <c r="BK1015" i="6" s="1"/>
  <c r="AA1016" i="6" s="1"/>
  <c r="BK1016" i="6" s="1"/>
  <c r="AA1017" i="6" s="1"/>
  <c r="BK1017" i="6" s="1"/>
  <c r="AA1018" i="6" s="1"/>
  <c r="BK1018" i="6" s="1"/>
  <c r="AA1019" i="6" s="1"/>
  <c r="BK1019" i="6" s="1"/>
  <c r="AA1020" i="6" s="1"/>
  <c r="BK1020" i="6" s="1"/>
  <c r="AA1021" i="6" s="1"/>
  <c r="BK1021" i="6" s="1"/>
  <c r="AA1022" i="6" s="1"/>
  <c r="BK1022" i="6" s="1"/>
  <c r="AA1023" i="6" s="1"/>
  <c r="BK1023" i="6" s="1"/>
  <c r="AA1024" i="6" s="1"/>
  <c r="BK1024" i="6" s="1"/>
  <c r="AA1025" i="6" s="1"/>
  <c r="BK1025" i="6" s="1"/>
  <c r="AA1026" i="6" s="1"/>
  <c r="BK1026" i="6" s="1"/>
  <c r="AA1027" i="6" s="1"/>
  <c r="BK1027" i="6" s="1"/>
  <c r="AA1028" i="6" s="1"/>
  <c r="BK1028" i="6" s="1"/>
  <c r="AA1029" i="6" s="1"/>
  <c r="BK1029" i="6" s="1"/>
  <c r="AA1030" i="6" s="1"/>
  <c r="BK1030" i="6" s="1"/>
  <c r="AA1031" i="6" s="1"/>
  <c r="BK1031" i="6" s="1"/>
  <c r="AA1032" i="6" s="1"/>
  <c r="BK1032" i="6" s="1"/>
  <c r="AA1033" i="6" s="1"/>
  <c r="BK1033" i="6" s="1"/>
  <c r="AA1034" i="6" s="1"/>
  <c r="BK1034" i="6" s="1"/>
  <c r="AA1035" i="6" s="1"/>
  <c r="BK1035" i="6" s="1"/>
  <c r="AA1036" i="6" s="1"/>
  <c r="BK1036" i="6" s="1"/>
  <c r="AA1037" i="6" s="1"/>
  <c r="BK1037" i="6" s="1"/>
  <c r="AA1038" i="6" s="1"/>
  <c r="BK1038" i="6" s="1"/>
  <c r="AA1039" i="6" s="1"/>
  <c r="BK1039" i="6" s="1"/>
  <c r="AA1040" i="6" s="1"/>
  <c r="BK1040" i="6" s="1"/>
  <c r="AA1041" i="6" s="1"/>
  <c r="BK1041" i="6" s="1"/>
  <c r="AA1042" i="6" s="1"/>
  <c r="BK1042" i="6" s="1"/>
  <c r="AA1043" i="6" s="1"/>
  <c r="BK1043" i="6" s="1"/>
  <c r="AA1044" i="6" s="1"/>
  <c r="BK1044" i="6" s="1"/>
  <c r="AA1045" i="6" s="1"/>
  <c r="BK1045" i="6" s="1"/>
  <c r="AA1046" i="6" s="1"/>
  <c r="BK1046" i="6" s="1"/>
  <c r="AA1047" i="6" s="1"/>
  <c r="BK1047" i="6" s="1"/>
  <c r="AA1048" i="6" s="1"/>
  <c r="BK1048" i="6" s="1"/>
  <c r="AA1049" i="6" s="1"/>
  <c r="BK1049" i="6" s="1"/>
  <c r="Z1014" i="6"/>
  <c r="BJ1014" i="6" s="1"/>
  <c r="Z1015" i="6" s="1"/>
  <c r="BJ1015" i="6" s="1"/>
  <c r="Z1016" i="6" s="1"/>
  <c r="BJ1016" i="6" s="1"/>
  <c r="Z1017" i="6" s="1"/>
  <c r="BJ1017" i="6" s="1"/>
  <c r="Z1018" i="6" s="1"/>
  <c r="BJ1018" i="6" s="1"/>
  <c r="Z1019" i="6" s="1"/>
  <c r="BJ1019" i="6" s="1"/>
  <c r="Z1020" i="6" s="1"/>
  <c r="BJ1020" i="6" s="1"/>
  <c r="Z1021" i="6" s="1"/>
  <c r="BJ1021" i="6" s="1"/>
  <c r="Z1022" i="6" s="1"/>
  <c r="BJ1022" i="6" s="1"/>
  <c r="Z1023" i="6" s="1"/>
  <c r="BJ1023" i="6" s="1"/>
  <c r="Z1024" i="6" s="1"/>
  <c r="BJ1024" i="6" s="1"/>
  <c r="Z1025" i="6" s="1"/>
  <c r="BJ1025" i="6" s="1"/>
  <c r="Z1026" i="6" s="1"/>
  <c r="BJ1026" i="6" s="1"/>
  <c r="Z1027" i="6" s="1"/>
  <c r="BJ1027" i="6" s="1"/>
  <c r="Z1028" i="6" s="1"/>
  <c r="BJ1028" i="6" s="1"/>
  <c r="Z1029" i="6" s="1"/>
  <c r="BJ1029" i="6" s="1"/>
  <c r="Z1030" i="6" s="1"/>
  <c r="BJ1030" i="6" s="1"/>
  <c r="Z1031" i="6" s="1"/>
  <c r="BJ1031" i="6" s="1"/>
  <c r="Z1032" i="6" s="1"/>
  <c r="BJ1032" i="6" s="1"/>
  <c r="Z1033" i="6" s="1"/>
  <c r="BJ1033" i="6" s="1"/>
  <c r="Z1034" i="6" s="1"/>
  <c r="BJ1034" i="6" s="1"/>
  <c r="Z1035" i="6" s="1"/>
  <c r="BJ1035" i="6" s="1"/>
  <c r="Z1036" i="6" s="1"/>
  <c r="BJ1036" i="6" s="1"/>
  <c r="Z1037" i="6" s="1"/>
  <c r="BJ1037" i="6" s="1"/>
  <c r="Z1038" i="6" s="1"/>
  <c r="BJ1038" i="6" s="1"/>
  <c r="Z1039" i="6" s="1"/>
  <c r="BJ1039" i="6" s="1"/>
  <c r="Z1040" i="6" s="1"/>
  <c r="BJ1040" i="6" s="1"/>
  <c r="Z1041" i="6" s="1"/>
  <c r="BJ1041" i="6" s="1"/>
  <c r="Z1042" i="6" s="1"/>
  <c r="BJ1042" i="6" s="1"/>
  <c r="Z1043" i="6" s="1"/>
  <c r="BJ1043" i="6" s="1"/>
  <c r="Z1044" i="6" s="1"/>
  <c r="BJ1044" i="6" s="1"/>
  <c r="Z1045" i="6" s="1"/>
  <c r="BJ1045" i="6" s="1"/>
  <c r="Z1046" i="6" s="1"/>
  <c r="BJ1046" i="6" s="1"/>
  <c r="Z1047" i="6" s="1"/>
  <c r="BJ1047" i="6" s="1"/>
  <c r="Z1048" i="6" s="1"/>
  <c r="BJ1048" i="6" s="1"/>
  <c r="Z1049" i="6" s="1"/>
  <c r="BJ1049" i="6" s="1"/>
  <c r="Y1014" i="6"/>
  <c r="X1014" i="6"/>
  <c r="BH1014" i="6" s="1"/>
  <c r="X1015" i="6" s="1"/>
  <c r="BH1015" i="6" s="1"/>
  <c r="X1016" i="6" s="1"/>
  <c r="BH1016" i="6" s="1"/>
  <c r="X1017" i="6" s="1"/>
  <c r="BH1017" i="6" s="1"/>
  <c r="X1018" i="6" s="1"/>
  <c r="BH1018" i="6" s="1"/>
  <c r="X1019" i="6" s="1"/>
  <c r="BH1019" i="6" s="1"/>
  <c r="X1020" i="6" s="1"/>
  <c r="BH1020" i="6" s="1"/>
  <c r="X1021" i="6" s="1"/>
  <c r="BH1021" i="6" s="1"/>
  <c r="X1022" i="6" s="1"/>
  <c r="BH1022" i="6" s="1"/>
  <c r="X1023" i="6" s="1"/>
  <c r="BH1023" i="6" s="1"/>
  <c r="X1024" i="6" s="1"/>
  <c r="BH1024" i="6" s="1"/>
  <c r="X1025" i="6" s="1"/>
  <c r="BH1025" i="6" s="1"/>
  <c r="X1026" i="6" s="1"/>
  <c r="BH1026" i="6" s="1"/>
  <c r="X1027" i="6" s="1"/>
  <c r="BH1027" i="6" s="1"/>
  <c r="X1028" i="6" s="1"/>
  <c r="BH1028" i="6" s="1"/>
  <c r="X1029" i="6" s="1"/>
  <c r="BH1029" i="6" s="1"/>
  <c r="X1030" i="6" s="1"/>
  <c r="BH1030" i="6" s="1"/>
  <c r="X1031" i="6" s="1"/>
  <c r="BH1031" i="6" s="1"/>
  <c r="X1032" i="6" s="1"/>
  <c r="BH1032" i="6" s="1"/>
  <c r="X1033" i="6" s="1"/>
  <c r="BH1033" i="6" s="1"/>
  <c r="X1034" i="6" s="1"/>
  <c r="BH1034" i="6" s="1"/>
  <c r="X1035" i="6" s="1"/>
  <c r="BH1035" i="6" s="1"/>
  <c r="X1036" i="6" s="1"/>
  <c r="BH1036" i="6" s="1"/>
  <c r="X1037" i="6" s="1"/>
  <c r="BH1037" i="6" s="1"/>
  <c r="X1038" i="6" s="1"/>
  <c r="BH1038" i="6" s="1"/>
  <c r="X1039" i="6" s="1"/>
  <c r="BH1039" i="6" s="1"/>
  <c r="X1040" i="6" s="1"/>
  <c r="BH1040" i="6" s="1"/>
  <c r="X1041" i="6" s="1"/>
  <c r="BH1041" i="6" s="1"/>
  <c r="X1042" i="6" s="1"/>
  <c r="BH1042" i="6" s="1"/>
  <c r="X1043" i="6" s="1"/>
  <c r="BH1043" i="6" s="1"/>
  <c r="X1044" i="6" s="1"/>
  <c r="BH1044" i="6" s="1"/>
  <c r="X1045" i="6" s="1"/>
  <c r="BH1045" i="6" s="1"/>
  <c r="X1046" i="6" s="1"/>
  <c r="W1014" i="6"/>
  <c r="BG1014" i="6" s="1"/>
  <c r="W1015" i="6" s="1"/>
  <c r="BG1015" i="6" s="1"/>
  <c r="W1016" i="6" s="1"/>
  <c r="BG1016" i="6" s="1"/>
  <c r="W1017" i="6" s="1"/>
  <c r="V1014" i="6"/>
  <c r="BF1014" i="6" s="1"/>
  <c r="V1015" i="6" s="1"/>
  <c r="BF1015" i="6" s="1"/>
  <c r="V1016" i="6" s="1"/>
  <c r="BF1016" i="6" s="1"/>
  <c r="V1017" i="6" s="1"/>
  <c r="BF1017" i="6" s="1"/>
  <c r="V1018" i="6" s="1"/>
  <c r="BF1018" i="6" s="1"/>
  <c r="V1019" i="6" s="1"/>
  <c r="BF1019" i="6" s="1"/>
  <c r="V1020" i="6" s="1"/>
  <c r="BF1020" i="6" s="1"/>
  <c r="V1021" i="6" s="1"/>
  <c r="BF1021" i="6" s="1"/>
  <c r="V1022" i="6" s="1"/>
  <c r="BF1022" i="6" s="1"/>
  <c r="V1023" i="6" s="1"/>
  <c r="BF1023" i="6" s="1"/>
  <c r="V1024" i="6" s="1"/>
  <c r="BF1024" i="6" s="1"/>
  <c r="V1025" i="6" s="1"/>
  <c r="BF1025" i="6" s="1"/>
  <c r="V1026" i="6" s="1"/>
  <c r="BF1026" i="6" s="1"/>
  <c r="V1027" i="6" s="1"/>
  <c r="BF1027" i="6" s="1"/>
  <c r="V1028" i="6" s="1"/>
  <c r="BF1028" i="6" s="1"/>
  <c r="V1029" i="6" s="1"/>
  <c r="BF1029" i="6" s="1"/>
  <c r="V1030" i="6" s="1"/>
  <c r="BF1030" i="6" s="1"/>
  <c r="V1031" i="6" s="1"/>
  <c r="BF1031" i="6" s="1"/>
  <c r="V1032" i="6" s="1"/>
  <c r="U1014" i="6"/>
  <c r="T1014" i="6"/>
  <c r="BD1014" i="6" s="1"/>
  <c r="T1015" i="6" s="1"/>
  <c r="S1014" i="6"/>
  <c r="BC1014" i="6" s="1"/>
  <c r="S1015" i="6" s="1"/>
  <c r="BC1015" i="6" s="1"/>
  <c r="S1016" i="6" s="1"/>
  <c r="BC1016" i="6" s="1"/>
  <c r="S1017" i="6" s="1"/>
  <c r="BC1017" i="6" s="1"/>
  <c r="S1018" i="6" s="1"/>
  <c r="BC1018" i="6" s="1"/>
  <c r="S1019" i="6" s="1"/>
  <c r="BC1019" i="6" s="1"/>
  <c r="S1020" i="6" s="1"/>
  <c r="BC1020" i="6" s="1"/>
  <c r="S1021" i="6" s="1"/>
  <c r="BC1021" i="6" s="1"/>
  <c r="S1022" i="6" s="1"/>
  <c r="BC1022" i="6" s="1"/>
  <c r="S1023" i="6" s="1"/>
  <c r="BC1023" i="6" s="1"/>
  <c r="S1024" i="6" s="1"/>
  <c r="BC1024" i="6" s="1"/>
  <c r="S1025" i="6" s="1"/>
  <c r="BC1025" i="6" s="1"/>
  <c r="S1026" i="6" s="1"/>
  <c r="BC1026" i="6" s="1"/>
  <c r="S1027" i="6" s="1"/>
  <c r="BC1027" i="6" s="1"/>
  <c r="S1028" i="6" s="1"/>
  <c r="BC1028" i="6" s="1"/>
  <c r="S1029" i="6" s="1"/>
  <c r="BC1029" i="6" s="1"/>
  <c r="S1030" i="6" s="1"/>
  <c r="BC1030" i="6" s="1"/>
  <c r="S1031" i="6" s="1"/>
  <c r="BC1031" i="6" s="1"/>
  <c r="S1032" i="6" s="1"/>
  <c r="BC1032" i="6" s="1"/>
  <c r="S1033" i="6" s="1"/>
  <c r="BC1033" i="6" s="1"/>
  <c r="S1034" i="6" s="1"/>
  <c r="BC1034" i="6" s="1"/>
  <c r="S1035" i="6" s="1"/>
  <c r="BC1035" i="6" s="1"/>
  <c r="S1036" i="6" s="1"/>
  <c r="BC1036" i="6" s="1"/>
  <c r="S1037" i="6" s="1"/>
  <c r="BC1037" i="6" s="1"/>
  <c r="S1038" i="6" s="1"/>
  <c r="BC1038" i="6" s="1"/>
  <c r="S1039" i="6" s="1"/>
  <c r="BC1039" i="6" s="1"/>
  <c r="S1040" i="6" s="1"/>
  <c r="BC1040" i="6" s="1"/>
  <c r="S1041" i="6" s="1"/>
  <c r="BC1041" i="6" s="1"/>
  <c r="S1042" i="6" s="1"/>
  <c r="BC1042" i="6" s="1"/>
  <c r="S1043" i="6" s="1"/>
  <c r="BC1043" i="6" s="1"/>
  <c r="S1044" i="6" s="1"/>
  <c r="BC1044" i="6" s="1"/>
  <c r="S1045" i="6" s="1"/>
  <c r="BC1045" i="6" s="1"/>
  <c r="S1046" i="6" s="1"/>
  <c r="BC1046" i="6" s="1"/>
  <c r="S1047" i="6" s="1"/>
  <c r="BC1047" i="6" s="1"/>
  <c r="S1048" i="6" s="1"/>
  <c r="BC1048" i="6" s="1"/>
  <c r="S1049" i="6" s="1"/>
  <c r="BC1049" i="6" s="1"/>
  <c r="R1014" i="6"/>
  <c r="BB1014" i="6" s="1"/>
  <c r="R1015" i="6" s="1"/>
  <c r="BB1015" i="6" s="1"/>
  <c r="R1016" i="6" s="1"/>
  <c r="BB1016" i="6" s="1"/>
  <c r="R1017" i="6" s="1"/>
  <c r="BB1017" i="6" s="1"/>
  <c r="R1018" i="6" s="1"/>
  <c r="BB1018" i="6" s="1"/>
  <c r="R1019" i="6" s="1"/>
  <c r="BB1019" i="6" s="1"/>
  <c r="R1020" i="6" s="1"/>
  <c r="BB1020" i="6" s="1"/>
  <c r="R1021" i="6" s="1"/>
  <c r="BB1021" i="6" s="1"/>
  <c r="R1022" i="6" s="1"/>
  <c r="BB1022" i="6" s="1"/>
  <c r="R1023" i="6" s="1"/>
  <c r="BB1023" i="6" s="1"/>
  <c r="R1024" i="6" s="1"/>
  <c r="BB1024" i="6" s="1"/>
  <c r="R1025" i="6" s="1"/>
  <c r="BB1025" i="6" s="1"/>
  <c r="R1026" i="6" s="1"/>
  <c r="BB1026" i="6" s="1"/>
  <c r="R1027" i="6" s="1"/>
  <c r="BB1027" i="6" s="1"/>
  <c r="R1028" i="6" s="1"/>
  <c r="BB1028" i="6" s="1"/>
  <c r="R1029" i="6" s="1"/>
  <c r="BB1029" i="6" s="1"/>
  <c r="R1030" i="6" s="1"/>
  <c r="BB1030" i="6" s="1"/>
  <c r="R1031" i="6" s="1"/>
  <c r="BB1031" i="6" s="1"/>
  <c r="R1032" i="6" s="1"/>
  <c r="BB1032" i="6" s="1"/>
  <c r="R1033" i="6" s="1"/>
  <c r="BB1033" i="6" s="1"/>
  <c r="R1034" i="6" s="1"/>
  <c r="BB1034" i="6" s="1"/>
  <c r="R1035" i="6" s="1"/>
  <c r="BB1035" i="6" s="1"/>
  <c r="R1036" i="6" s="1"/>
  <c r="BB1036" i="6" s="1"/>
  <c r="R1037" i="6" s="1"/>
  <c r="BB1037" i="6" s="1"/>
  <c r="R1038" i="6" s="1"/>
  <c r="BB1038" i="6" s="1"/>
  <c r="R1039" i="6" s="1"/>
  <c r="BB1039" i="6" s="1"/>
  <c r="R1040" i="6" s="1"/>
  <c r="BB1040" i="6" s="1"/>
  <c r="R1041" i="6" s="1"/>
  <c r="BB1041" i="6" s="1"/>
  <c r="R1042" i="6" s="1"/>
  <c r="BB1042" i="6" s="1"/>
  <c r="R1043" i="6" s="1"/>
  <c r="BB1043" i="6" s="1"/>
  <c r="R1044" i="6" s="1"/>
  <c r="BB1044" i="6" s="1"/>
  <c r="R1045" i="6" s="1"/>
  <c r="BB1045" i="6" s="1"/>
  <c r="R1046" i="6" s="1"/>
  <c r="BB1046" i="6" s="1"/>
  <c r="R1047" i="6" s="1"/>
  <c r="BB1047" i="6" s="1"/>
  <c r="R1048" i="6" s="1"/>
  <c r="BB1048" i="6" s="1"/>
  <c r="R1049" i="6" s="1"/>
  <c r="BB1049" i="6" s="1"/>
  <c r="Q1014" i="6"/>
  <c r="BA1014" i="6" s="1"/>
  <c r="Q1015" i="6" s="1"/>
  <c r="BA1015" i="6" s="1"/>
  <c r="Q1016" i="6" s="1"/>
  <c r="BA1016" i="6" s="1"/>
  <c r="Q1017" i="6" s="1"/>
  <c r="BA1017" i="6" s="1"/>
  <c r="Q1018" i="6" s="1"/>
  <c r="BA1018" i="6" s="1"/>
  <c r="Q1019" i="6" s="1"/>
  <c r="O1014" i="6"/>
  <c r="AY1014" i="6" s="1"/>
  <c r="O1015" i="6" s="1"/>
  <c r="AY1015" i="6" s="1"/>
  <c r="O1016" i="6" s="1"/>
  <c r="AY1016" i="6" s="1"/>
  <c r="O1017" i="6" s="1"/>
  <c r="AY1017" i="6" s="1"/>
  <c r="O1018" i="6" s="1"/>
  <c r="AY1018" i="6" s="1"/>
  <c r="O1019" i="6" s="1"/>
  <c r="AY1019" i="6" s="1"/>
  <c r="O1020" i="6" s="1"/>
  <c r="AY1020" i="6" s="1"/>
  <c r="O1021" i="6" s="1"/>
  <c r="AY1021" i="6" s="1"/>
  <c r="O1022" i="6" s="1"/>
  <c r="AY1022" i="6" s="1"/>
  <c r="O1023" i="6" s="1"/>
  <c r="AY1023" i="6" s="1"/>
  <c r="O1024" i="6" s="1"/>
  <c r="AY1024" i="6" s="1"/>
  <c r="O1025" i="6" s="1"/>
  <c r="AY1025" i="6" s="1"/>
  <c r="O1026" i="6" s="1"/>
  <c r="AY1026" i="6" s="1"/>
  <c r="O1027" i="6" s="1"/>
  <c r="AY1027" i="6" s="1"/>
  <c r="O1028" i="6" s="1"/>
  <c r="AY1028" i="6" s="1"/>
  <c r="O1029" i="6" s="1"/>
  <c r="AY1029" i="6" s="1"/>
  <c r="O1030" i="6" s="1"/>
  <c r="AY1030" i="6" s="1"/>
  <c r="O1031" i="6" s="1"/>
  <c r="AY1031" i="6" s="1"/>
  <c r="O1032" i="6" s="1"/>
  <c r="AY1032" i="6" s="1"/>
  <c r="O1033" i="6" s="1"/>
  <c r="N1014" i="6"/>
  <c r="AX1014" i="6" s="1"/>
  <c r="N1015" i="6" s="1"/>
  <c r="AX1015" i="6" s="1"/>
  <c r="N1016" i="6" s="1"/>
  <c r="AX1016" i="6" s="1"/>
  <c r="N1017" i="6" s="1"/>
  <c r="AX1017" i="6" s="1"/>
  <c r="N1018" i="6" s="1"/>
  <c r="AX1018" i="6" s="1"/>
  <c r="N1019" i="6" s="1"/>
  <c r="AX1019" i="6" s="1"/>
  <c r="N1020" i="6" s="1"/>
  <c r="AX1020" i="6" s="1"/>
  <c r="M1014" i="6"/>
  <c r="AW1014" i="6" s="1"/>
  <c r="M1015" i="6" s="1"/>
  <c r="AW1015" i="6" s="1"/>
  <c r="M1016" i="6" s="1"/>
  <c r="L1014" i="6"/>
  <c r="J1014" i="6"/>
  <c r="I1014" i="6"/>
  <c r="H1014" i="6"/>
  <c r="G1014" i="6"/>
  <c r="AV1014" i="6" s="1"/>
  <c r="F1014" i="6"/>
  <c r="AI1014" i="6" s="1"/>
  <c r="E1014" i="6"/>
  <c r="D1014" i="6"/>
  <c r="C1014" i="6"/>
  <c r="B1014" i="6"/>
  <c r="A1014" i="6"/>
  <c r="AO1013" i="6"/>
  <c r="AI1013" i="6"/>
  <c r="K1013" i="6"/>
  <c r="J1013" i="6"/>
  <c r="I1013" i="6"/>
  <c r="H1013" i="6"/>
  <c r="G1013" i="6"/>
  <c r="F1013" i="6"/>
  <c r="AE1013" i="6" s="1"/>
  <c r="E1013" i="6"/>
  <c r="D1013" i="6"/>
  <c r="C1013" i="6"/>
  <c r="B1013" i="6"/>
  <c r="A1013" i="6"/>
  <c r="AO1012" i="6"/>
  <c r="K1012" i="6"/>
  <c r="J1012" i="6"/>
  <c r="I1012" i="6"/>
  <c r="H1012" i="6"/>
  <c r="G1012" i="6"/>
  <c r="F1012" i="6"/>
  <c r="AE1012" i="6" s="1"/>
  <c r="E1012" i="6"/>
  <c r="D1012" i="6"/>
  <c r="C1012" i="6"/>
  <c r="B1012" i="6"/>
  <c r="A1012" i="6"/>
  <c r="AO1011" i="6"/>
  <c r="H1011" i="6"/>
  <c r="G1011" i="6"/>
  <c r="F1011" i="6"/>
  <c r="E1011" i="6"/>
  <c r="D1011" i="6"/>
  <c r="C1011" i="6"/>
  <c r="B1011" i="6"/>
  <c r="A1011" i="6"/>
  <c r="AO1010" i="6"/>
  <c r="AI1010" i="6"/>
  <c r="K1010" i="6"/>
  <c r="J1010" i="6"/>
  <c r="H1010" i="6"/>
  <c r="G1010" i="6"/>
  <c r="F1010" i="6"/>
  <c r="E1010" i="6"/>
  <c r="D1010" i="6"/>
  <c r="C1010" i="6"/>
  <c r="B1010" i="6"/>
  <c r="A1010" i="6"/>
  <c r="AO1009" i="6"/>
  <c r="H1009" i="6"/>
  <c r="G1009" i="6"/>
  <c r="F1009" i="6"/>
  <c r="E1009" i="6"/>
  <c r="D1009" i="6"/>
  <c r="C1009" i="6"/>
  <c r="B1009" i="6"/>
  <c r="A1009" i="6"/>
  <c r="AO1008" i="6"/>
  <c r="AE1008" i="6"/>
  <c r="J1008" i="6"/>
  <c r="I1008" i="6"/>
  <c r="H1008" i="6"/>
  <c r="G1008" i="6"/>
  <c r="F1008" i="6"/>
  <c r="E1008" i="6"/>
  <c r="D1008" i="6"/>
  <c r="C1008" i="6"/>
  <c r="B1008" i="6"/>
  <c r="A1008" i="6"/>
  <c r="AO1007" i="6"/>
  <c r="AE1007" i="6"/>
  <c r="K1007" i="6"/>
  <c r="J1007" i="6"/>
  <c r="I1007" i="6"/>
  <c r="H1007" i="6"/>
  <c r="G1007" i="6"/>
  <c r="F1007" i="6"/>
  <c r="E1007" i="6"/>
  <c r="D1007" i="6"/>
  <c r="C1007" i="6"/>
  <c r="B1007" i="6"/>
  <c r="A1007" i="6"/>
  <c r="AO1006" i="6"/>
  <c r="I1006" i="6"/>
  <c r="H1006" i="6"/>
  <c r="G1006" i="6"/>
  <c r="F1006" i="6"/>
  <c r="E1006" i="6"/>
  <c r="D1006" i="6"/>
  <c r="C1006" i="6"/>
  <c r="B1006" i="6"/>
  <c r="A1006" i="6"/>
  <c r="AO1005" i="6"/>
  <c r="AI1005" i="6"/>
  <c r="AE1005" i="6"/>
  <c r="K1005" i="6"/>
  <c r="J1005" i="6"/>
  <c r="I1005" i="6"/>
  <c r="H1005" i="6"/>
  <c r="G1005" i="6"/>
  <c r="F1005" i="6"/>
  <c r="E1005" i="6"/>
  <c r="D1005" i="6"/>
  <c r="C1005" i="6"/>
  <c r="B1005" i="6"/>
  <c r="A1005" i="6"/>
  <c r="AO1004" i="6"/>
  <c r="H1004" i="6"/>
  <c r="G1004" i="6"/>
  <c r="F1004" i="6"/>
  <c r="E1004" i="6"/>
  <c r="D1004" i="6"/>
  <c r="C1004" i="6"/>
  <c r="B1004" i="6"/>
  <c r="A1004" i="6"/>
  <c r="AO1003" i="6"/>
  <c r="AI1003" i="6"/>
  <c r="H1003" i="6"/>
  <c r="G1003" i="6"/>
  <c r="F1003" i="6"/>
  <c r="E1003" i="6"/>
  <c r="D1003" i="6"/>
  <c r="C1003" i="6"/>
  <c r="B1003" i="6"/>
  <c r="A1003" i="6"/>
  <c r="AO1002" i="6"/>
  <c r="H1002" i="6"/>
  <c r="G1002" i="6"/>
  <c r="F1002" i="6"/>
  <c r="E1002" i="6"/>
  <c r="D1002" i="6"/>
  <c r="C1002" i="6"/>
  <c r="B1002" i="6"/>
  <c r="A1002" i="6"/>
  <c r="AO1001" i="6"/>
  <c r="AI1001" i="6"/>
  <c r="K1001" i="6"/>
  <c r="J1001" i="6"/>
  <c r="I1001" i="6"/>
  <c r="H1001" i="6"/>
  <c r="G1001" i="6"/>
  <c r="F1001" i="6"/>
  <c r="AE1001" i="6" s="1"/>
  <c r="E1001" i="6"/>
  <c r="D1001" i="6"/>
  <c r="C1001" i="6"/>
  <c r="B1001" i="6"/>
  <c r="A1001" i="6"/>
  <c r="BM1000" i="6"/>
  <c r="AC1001" i="6" s="1"/>
  <c r="BM1001" i="6" s="1"/>
  <c r="AC1002" i="6" s="1"/>
  <c r="BM1002" i="6" s="1"/>
  <c r="AC1003" i="6" s="1"/>
  <c r="BM1003" i="6" s="1"/>
  <c r="AC1004" i="6" s="1"/>
  <c r="BM1004" i="6" s="1"/>
  <c r="AC1005" i="6" s="1"/>
  <c r="BM1005" i="6" s="1"/>
  <c r="AC1006" i="6" s="1"/>
  <c r="BM1006" i="6" s="1"/>
  <c r="AC1007" i="6" s="1"/>
  <c r="BM1007" i="6" s="1"/>
  <c r="AC1008" i="6" s="1"/>
  <c r="BM1008" i="6" s="1"/>
  <c r="AC1009" i="6" s="1"/>
  <c r="BM1009" i="6" s="1"/>
  <c r="AC1010" i="6" s="1"/>
  <c r="BM1010" i="6" s="1"/>
  <c r="AC1011" i="6" s="1"/>
  <c r="BM1011" i="6" s="1"/>
  <c r="AC1012" i="6" s="1"/>
  <c r="BM1012" i="6" s="1"/>
  <c r="AC1013" i="6" s="1"/>
  <c r="BM1013" i="6" s="1"/>
  <c r="AT1000" i="6"/>
  <c r="J1000" i="6"/>
  <c r="I1000" i="6"/>
  <c r="H1000" i="6"/>
  <c r="G1000" i="6"/>
  <c r="F1000" i="6"/>
  <c r="AE1000" i="6" s="1"/>
  <c r="E1000" i="6"/>
  <c r="D1000" i="6"/>
  <c r="C1000" i="6"/>
  <c r="B1000" i="6"/>
  <c r="A1000" i="6"/>
  <c r="AT999" i="6"/>
  <c r="AO999" i="6"/>
  <c r="H999" i="6"/>
  <c r="G999" i="6"/>
  <c r="F999" i="6"/>
  <c r="E999" i="6"/>
  <c r="D999" i="6"/>
  <c r="C999" i="6"/>
  <c r="B999" i="6"/>
  <c r="A999" i="6"/>
  <c r="AT998" i="6"/>
  <c r="AO998" i="6"/>
  <c r="AI998" i="6"/>
  <c r="AE998" i="6"/>
  <c r="K998" i="6"/>
  <c r="H998" i="6"/>
  <c r="G998" i="6"/>
  <c r="F998" i="6"/>
  <c r="E998" i="6"/>
  <c r="D998" i="6"/>
  <c r="C998" i="6"/>
  <c r="B998" i="6"/>
  <c r="A998" i="6"/>
  <c r="AT997" i="6"/>
  <c r="AO997" i="6"/>
  <c r="I997" i="6"/>
  <c r="H997" i="6"/>
  <c r="G997" i="6"/>
  <c r="F997" i="6"/>
  <c r="E997" i="6"/>
  <c r="D997" i="6"/>
  <c r="C997" i="6"/>
  <c r="B997" i="6"/>
  <c r="A997" i="6"/>
  <c r="AT996" i="6"/>
  <c r="AO996" i="6"/>
  <c r="AE996" i="6"/>
  <c r="J996" i="6"/>
  <c r="I996" i="6"/>
  <c r="H996" i="6"/>
  <c r="G996" i="6"/>
  <c r="F996" i="6"/>
  <c r="E996" i="6"/>
  <c r="D996" i="6"/>
  <c r="C996" i="6"/>
  <c r="B996" i="6"/>
  <c r="A996" i="6"/>
  <c r="AT995" i="6"/>
  <c r="AO995" i="6"/>
  <c r="AE995" i="6"/>
  <c r="K995" i="6"/>
  <c r="J995" i="6"/>
  <c r="I995" i="6"/>
  <c r="H995" i="6"/>
  <c r="AF995" i="6" s="1"/>
  <c r="G995" i="6"/>
  <c r="F995" i="6"/>
  <c r="E995" i="6"/>
  <c r="D995" i="6"/>
  <c r="C995" i="6"/>
  <c r="B995" i="6"/>
  <c r="A995" i="6"/>
  <c r="AT994" i="6"/>
  <c r="H994" i="6"/>
  <c r="G994" i="6"/>
  <c r="F994" i="6"/>
  <c r="AE994" i="6" s="1"/>
  <c r="E994" i="6"/>
  <c r="D994" i="6"/>
  <c r="C994" i="6"/>
  <c r="B994" i="6"/>
  <c r="A994" i="6"/>
  <c r="AT993" i="6"/>
  <c r="AO993" i="6"/>
  <c r="AF993" i="6"/>
  <c r="AE993" i="6"/>
  <c r="I993" i="6"/>
  <c r="H993" i="6"/>
  <c r="G993" i="6"/>
  <c r="F993" i="6"/>
  <c r="E993" i="6"/>
  <c r="D993" i="6"/>
  <c r="C993" i="6"/>
  <c r="B993" i="6"/>
  <c r="A993" i="6"/>
  <c r="AT992" i="6"/>
  <c r="AO992" i="6"/>
  <c r="AF992" i="6"/>
  <c r="H992" i="6"/>
  <c r="G992" i="6"/>
  <c r="F992" i="6"/>
  <c r="AE992" i="6" s="1"/>
  <c r="E992" i="6"/>
  <c r="D992" i="6"/>
  <c r="C992" i="6"/>
  <c r="B992" i="6"/>
  <c r="A992" i="6"/>
  <c r="AT991" i="6"/>
  <c r="AO991" i="6"/>
  <c r="AF991" i="6"/>
  <c r="AE991" i="6"/>
  <c r="J991" i="6"/>
  <c r="I991" i="6"/>
  <c r="H991" i="6"/>
  <c r="G991" i="6"/>
  <c r="F991" i="6"/>
  <c r="AI991" i="6" s="1"/>
  <c r="E991" i="6"/>
  <c r="D991" i="6"/>
  <c r="C991" i="6"/>
  <c r="B991" i="6"/>
  <c r="A991" i="6"/>
  <c r="AT990" i="6"/>
  <c r="AO990" i="6"/>
  <c r="AE990" i="6"/>
  <c r="K990" i="6"/>
  <c r="J990" i="6"/>
  <c r="I990" i="6"/>
  <c r="H990" i="6"/>
  <c r="G990" i="6"/>
  <c r="F990" i="6"/>
  <c r="E990" i="6"/>
  <c r="D990" i="6"/>
  <c r="C990" i="6"/>
  <c r="B990" i="6"/>
  <c r="A990" i="6"/>
  <c r="AT989" i="6"/>
  <c r="AB989" i="6"/>
  <c r="BL989" i="6" s="1"/>
  <c r="AB990" i="6" s="1"/>
  <c r="BL990" i="6" s="1"/>
  <c r="AB991" i="6" s="1"/>
  <c r="BL991" i="6" s="1"/>
  <c r="AB992" i="6" s="1"/>
  <c r="BL992" i="6" s="1"/>
  <c r="AB993" i="6" s="1"/>
  <c r="BL993" i="6" s="1"/>
  <c r="AB994" i="6" s="1"/>
  <c r="BL994" i="6" s="1"/>
  <c r="AB995" i="6" s="1"/>
  <c r="BL995" i="6" s="1"/>
  <c r="AB996" i="6" s="1"/>
  <c r="BL996" i="6" s="1"/>
  <c r="AB997" i="6" s="1"/>
  <c r="BL997" i="6" s="1"/>
  <c r="AB998" i="6" s="1"/>
  <c r="BL998" i="6" s="1"/>
  <c r="AB999" i="6" s="1"/>
  <c r="BL999" i="6" s="1"/>
  <c r="AB1000" i="6" s="1"/>
  <c r="BL1000" i="6" s="1"/>
  <c r="AB1001" i="6" s="1"/>
  <c r="BL1001" i="6" s="1"/>
  <c r="AB1002" i="6" s="1"/>
  <c r="BL1002" i="6" s="1"/>
  <c r="AB1003" i="6" s="1"/>
  <c r="BL1003" i="6" s="1"/>
  <c r="AB1004" i="6" s="1"/>
  <c r="BL1004" i="6" s="1"/>
  <c r="AB1005" i="6" s="1"/>
  <c r="BL1005" i="6" s="1"/>
  <c r="AB1006" i="6" s="1"/>
  <c r="BL1006" i="6" s="1"/>
  <c r="AB1007" i="6" s="1"/>
  <c r="BL1007" i="6" s="1"/>
  <c r="AB1008" i="6" s="1"/>
  <c r="BL1008" i="6" s="1"/>
  <c r="AB1009" i="6" s="1"/>
  <c r="BL1009" i="6" s="1"/>
  <c r="AB1010" i="6" s="1"/>
  <c r="BL1010" i="6" s="1"/>
  <c r="AB1011" i="6" s="1"/>
  <c r="BL1011" i="6" s="1"/>
  <c r="AB1012" i="6" s="1"/>
  <c r="BL1012" i="6" s="1"/>
  <c r="AB1013" i="6" s="1"/>
  <c r="BL1013" i="6" s="1"/>
  <c r="I989" i="6"/>
  <c r="H989" i="6"/>
  <c r="G989" i="6"/>
  <c r="F989" i="6"/>
  <c r="AI989" i="6" s="1"/>
  <c r="E989" i="6"/>
  <c r="D989" i="6"/>
  <c r="C989" i="6"/>
  <c r="B989" i="6"/>
  <c r="A989" i="6"/>
  <c r="AT988" i="6"/>
  <c r="AI988" i="6"/>
  <c r="K988" i="6"/>
  <c r="J988" i="6"/>
  <c r="H988" i="6"/>
  <c r="G988" i="6"/>
  <c r="F988" i="6"/>
  <c r="E988" i="6"/>
  <c r="D988" i="6"/>
  <c r="C988" i="6"/>
  <c r="B988" i="6"/>
  <c r="A988" i="6"/>
  <c r="AT987" i="6"/>
  <c r="AO987" i="6"/>
  <c r="H987" i="6"/>
  <c r="AF987" i="6" s="1"/>
  <c r="G987" i="6"/>
  <c r="F987" i="6"/>
  <c r="AE987" i="6" s="1"/>
  <c r="E987" i="6"/>
  <c r="D987" i="6"/>
  <c r="C987" i="6"/>
  <c r="B987" i="6"/>
  <c r="A987" i="6"/>
  <c r="AT986" i="6"/>
  <c r="AO986" i="6"/>
  <c r="H986" i="6"/>
  <c r="G986" i="6"/>
  <c r="F986" i="6"/>
  <c r="E986" i="6"/>
  <c r="D986" i="6"/>
  <c r="C986" i="6"/>
  <c r="B986" i="6"/>
  <c r="A986" i="6"/>
  <c r="AT985" i="6"/>
  <c r="AO985" i="6"/>
  <c r="AF985" i="6"/>
  <c r="AE985" i="6"/>
  <c r="J985" i="6"/>
  <c r="I985" i="6"/>
  <c r="H985" i="6"/>
  <c r="G985" i="6"/>
  <c r="F985" i="6"/>
  <c r="E985" i="6"/>
  <c r="D985" i="6"/>
  <c r="C985" i="6"/>
  <c r="B985" i="6"/>
  <c r="A985" i="6"/>
  <c r="AT984" i="6"/>
  <c r="AO984" i="6"/>
  <c r="AI984" i="6"/>
  <c r="AE984" i="6"/>
  <c r="K984" i="6"/>
  <c r="J984" i="6"/>
  <c r="I984" i="6"/>
  <c r="H984" i="6"/>
  <c r="AF984" i="6" s="1"/>
  <c r="G984" i="6"/>
  <c r="F984" i="6"/>
  <c r="E984" i="6"/>
  <c r="D984" i="6"/>
  <c r="C984" i="6"/>
  <c r="B984" i="6"/>
  <c r="A984" i="6"/>
  <c r="AT983" i="6"/>
  <c r="AI983" i="6"/>
  <c r="K983" i="6"/>
  <c r="J983" i="6"/>
  <c r="I983" i="6"/>
  <c r="H983" i="6"/>
  <c r="G983" i="6"/>
  <c r="F983" i="6"/>
  <c r="AE983" i="6" s="1"/>
  <c r="E983" i="6"/>
  <c r="D983" i="6"/>
  <c r="C983" i="6"/>
  <c r="B983" i="6"/>
  <c r="A983" i="6"/>
  <c r="AT982" i="6"/>
  <c r="J982" i="6"/>
  <c r="H982" i="6"/>
  <c r="G982" i="6"/>
  <c r="F982" i="6"/>
  <c r="E982" i="6"/>
  <c r="D982" i="6"/>
  <c r="C982" i="6"/>
  <c r="B982" i="6"/>
  <c r="A982" i="6"/>
  <c r="BM981" i="6"/>
  <c r="AC982" i="6" s="1"/>
  <c r="BM982" i="6" s="1"/>
  <c r="AC983" i="6" s="1"/>
  <c r="BM983" i="6" s="1"/>
  <c r="AC984" i="6" s="1"/>
  <c r="BM984" i="6" s="1"/>
  <c r="AC985" i="6" s="1"/>
  <c r="BM985" i="6" s="1"/>
  <c r="AC986" i="6" s="1"/>
  <c r="BM986" i="6" s="1"/>
  <c r="AC987" i="6" s="1"/>
  <c r="BM987" i="6" s="1"/>
  <c r="AC988" i="6" s="1"/>
  <c r="BM988" i="6" s="1"/>
  <c r="AC989" i="6" s="1"/>
  <c r="BM989" i="6" s="1"/>
  <c r="AC990" i="6" s="1"/>
  <c r="BM990" i="6" s="1"/>
  <c r="AC991" i="6" s="1"/>
  <c r="BM991" i="6" s="1"/>
  <c r="AC992" i="6" s="1"/>
  <c r="BM992" i="6" s="1"/>
  <c r="AC993" i="6" s="1"/>
  <c r="BM993" i="6" s="1"/>
  <c r="AC994" i="6" s="1"/>
  <c r="BM994" i="6" s="1"/>
  <c r="AC995" i="6" s="1"/>
  <c r="BM995" i="6" s="1"/>
  <c r="AC996" i="6" s="1"/>
  <c r="BM996" i="6" s="1"/>
  <c r="AC997" i="6" s="1"/>
  <c r="BM997" i="6" s="1"/>
  <c r="AC998" i="6" s="1"/>
  <c r="BM998" i="6" s="1"/>
  <c r="AC999" i="6" s="1"/>
  <c r="BM999" i="6" s="1"/>
  <c r="AC1000" i="6" s="1"/>
  <c r="AT981" i="6"/>
  <c r="AO981" i="6"/>
  <c r="AI981" i="6"/>
  <c r="AE981" i="6"/>
  <c r="AC981" i="6"/>
  <c r="Q981" i="6"/>
  <c r="BA981" i="6" s="1"/>
  <c r="Q982" i="6" s="1"/>
  <c r="BA982" i="6" s="1"/>
  <c r="Q983" i="6" s="1"/>
  <c r="BA983" i="6" s="1"/>
  <c r="Q984" i="6" s="1"/>
  <c r="K981" i="6"/>
  <c r="J981" i="6"/>
  <c r="H981" i="6"/>
  <c r="G981" i="6"/>
  <c r="F981" i="6"/>
  <c r="E981" i="6"/>
  <c r="D981" i="6"/>
  <c r="C981" i="6"/>
  <c r="B981" i="6"/>
  <c r="A981" i="6"/>
  <c r="BJ980" i="6"/>
  <c r="Z981" i="6" s="1"/>
  <c r="BJ981" i="6" s="1"/>
  <c r="Z982" i="6" s="1"/>
  <c r="BJ982" i="6" s="1"/>
  <c r="Z983" i="6" s="1"/>
  <c r="BJ983" i="6" s="1"/>
  <c r="Z984" i="6" s="1"/>
  <c r="BJ984" i="6" s="1"/>
  <c r="Z985" i="6" s="1"/>
  <c r="BJ985" i="6" s="1"/>
  <c r="Z986" i="6" s="1"/>
  <c r="BJ986" i="6" s="1"/>
  <c r="Z987" i="6" s="1"/>
  <c r="BJ987" i="6" s="1"/>
  <c r="Z988" i="6" s="1"/>
  <c r="BJ988" i="6" s="1"/>
  <c r="Z989" i="6" s="1"/>
  <c r="BJ989" i="6" s="1"/>
  <c r="Z990" i="6" s="1"/>
  <c r="BJ990" i="6" s="1"/>
  <c r="Z991" i="6" s="1"/>
  <c r="BJ991" i="6" s="1"/>
  <c r="Z992" i="6" s="1"/>
  <c r="BJ992" i="6" s="1"/>
  <c r="Z993" i="6" s="1"/>
  <c r="BJ993" i="6" s="1"/>
  <c r="Z994" i="6" s="1"/>
  <c r="BJ994" i="6" s="1"/>
  <c r="Z995" i="6" s="1"/>
  <c r="BJ995" i="6" s="1"/>
  <c r="Z996" i="6" s="1"/>
  <c r="BJ996" i="6" s="1"/>
  <c r="Z997" i="6" s="1"/>
  <c r="BJ997" i="6" s="1"/>
  <c r="Z998" i="6" s="1"/>
  <c r="BJ998" i="6" s="1"/>
  <c r="Z999" i="6" s="1"/>
  <c r="BJ999" i="6" s="1"/>
  <c r="Z1000" i="6" s="1"/>
  <c r="BJ1000" i="6" s="1"/>
  <c r="Z1001" i="6" s="1"/>
  <c r="BJ1001" i="6" s="1"/>
  <c r="Z1002" i="6" s="1"/>
  <c r="BJ1002" i="6" s="1"/>
  <c r="Z1003" i="6" s="1"/>
  <c r="BJ1003" i="6" s="1"/>
  <c r="Z1004" i="6" s="1"/>
  <c r="BJ1004" i="6" s="1"/>
  <c r="Z1005" i="6" s="1"/>
  <c r="BJ1005" i="6" s="1"/>
  <c r="Z1006" i="6" s="1"/>
  <c r="BJ1006" i="6" s="1"/>
  <c r="Z1007" i="6" s="1"/>
  <c r="BJ1007" i="6" s="1"/>
  <c r="Z1008" i="6" s="1"/>
  <c r="BJ1008" i="6" s="1"/>
  <c r="Z1009" i="6" s="1"/>
  <c r="BJ1009" i="6" s="1"/>
  <c r="Z1010" i="6" s="1"/>
  <c r="BJ1010" i="6" s="1"/>
  <c r="Z1011" i="6" s="1"/>
  <c r="BJ1011" i="6" s="1"/>
  <c r="Z1012" i="6" s="1"/>
  <c r="BJ1012" i="6" s="1"/>
  <c r="Z1013" i="6" s="1"/>
  <c r="BJ1013" i="6" s="1"/>
  <c r="AT980" i="6"/>
  <c r="AO980" i="6"/>
  <c r="AF980" i="6"/>
  <c r="AE980" i="6"/>
  <c r="X980" i="6"/>
  <c r="BH980" i="6" s="1"/>
  <c r="X981" i="6" s="1"/>
  <c r="BH981" i="6" s="1"/>
  <c r="X982" i="6" s="1"/>
  <c r="BH982" i="6" s="1"/>
  <c r="X983" i="6" s="1"/>
  <c r="BH983" i="6" s="1"/>
  <c r="X984" i="6" s="1"/>
  <c r="BH984" i="6" s="1"/>
  <c r="X985" i="6" s="1"/>
  <c r="BH985" i="6" s="1"/>
  <c r="X986" i="6" s="1"/>
  <c r="BH986" i="6" s="1"/>
  <c r="X987" i="6" s="1"/>
  <c r="BH987" i="6" s="1"/>
  <c r="X988" i="6" s="1"/>
  <c r="BH988" i="6" s="1"/>
  <c r="X989" i="6" s="1"/>
  <c r="BH989" i="6" s="1"/>
  <c r="X990" i="6" s="1"/>
  <c r="BH990" i="6" s="1"/>
  <c r="X991" i="6" s="1"/>
  <c r="BH991" i="6" s="1"/>
  <c r="X992" i="6" s="1"/>
  <c r="BH992" i="6" s="1"/>
  <c r="X993" i="6" s="1"/>
  <c r="S980" i="6"/>
  <c r="BC980" i="6" s="1"/>
  <c r="S981" i="6" s="1"/>
  <c r="BC981" i="6" s="1"/>
  <c r="S982" i="6" s="1"/>
  <c r="BC982" i="6" s="1"/>
  <c r="S983" i="6" s="1"/>
  <c r="BC983" i="6" s="1"/>
  <c r="S984" i="6" s="1"/>
  <c r="BC984" i="6" s="1"/>
  <c r="S985" i="6" s="1"/>
  <c r="BC985" i="6" s="1"/>
  <c r="S986" i="6" s="1"/>
  <c r="BC986" i="6" s="1"/>
  <c r="S987" i="6" s="1"/>
  <c r="BC987" i="6" s="1"/>
  <c r="S988" i="6" s="1"/>
  <c r="BC988" i="6" s="1"/>
  <c r="S989" i="6" s="1"/>
  <c r="BC989" i="6" s="1"/>
  <c r="S990" i="6" s="1"/>
  <c r="BC990" i="6" s="1"/>
  <c r="S991" i="6" s="1"/>
  <c r="BC991" i="6" s="1"/>
  <c r="S992" i="6" s="1"/>
  <c r="BC992" i="6" s="1"/>
  <c r="S993" i="6" s="1"/>
  <c r="BC993" i="6" s="1"/>
  <c r="S994" i="6" s="1"/>
  <c r="BC994" i="6" s="1"/>
  <c r="S995" i="6" s="1"/>
  <c r="BC995" i="6" s="1"/>
  <c r="S996" i="6" s="1"/>
  <c r="BC996" i="6" s="1"/>
  <c r="S997" i="6" s="1"/>
  <c r="BC997" i="6" s="1"/>
  <c r="S998" i="6" s="1"/>
  <c r="BC998" i="6" s="1"/>
  <c r="S999" i="6" s="1"/>
  <c r="BC999" i="6" s="1"/>
  <c r="S1000" i="6" s="1"/>
  <c r="BC1000" i="6" s="1"/>
  <c r="S1001" i="6" s="1"/>
  <c r="BC1001" i="6" s="1"/>
  <c r="S1002" i="6" s="1"/>
  <c r="BC1002" i="6" s="1"/>
  <c r="S1003" i="6" s="1"/>
  <c r="BC1003" i="6" s="1"/>
  <c r="S1004" i="6" s="1"/>
  <c r="BC1004" i="6" s="1"/>
  <c r="S1005" i="6" s="1"/>
  <c r="BC1005" i="6" s="1"/>
  <c r="S1006" i="6" s="1"/>
  <c r="BC1006" i="6" s="1"/>
  <c r="S1007" i="6" s="1"/>
  <c r="BC1007" i="6" s="1"/>
  <c r="S1008" i="6" s="1"/>
  <c r="BC1008" i="6" s="1"/>
  <c r="S1009" i="6" s="1"/>
  <c r="BC1009" i="6" s="1"/>
  <c r="S1010" i="6" s="1"/>
  <c r="BC1010" i="6" s="1"/>
  <c r="S1011" i="6" s="1"/>
  <c r="BC1011" i="6" s="1"/>
  <c r="S1012" i="6" s="1"/>
  <c r="BC1012" i="6" s="1"/>
  <c r="S1013" i="6" s="1"/>
  <c r="BC1013" i="6" s="1"/>
  <c r="I980" i="6"/>
  <c r="H980" i="6"/>
  <c r="G980" i="6"/>
  <c r="F980" i="6"/>
  <c r="E980" i="6"/>
  <c r="D980" i="6"/>
  <c r="C980" i="6"/>
  <c r="B980" i="6"/>
  <c r="A980" i="6"/>
  <c r="BO979" i="6"/>
  <c r="BN980" i="6" s="1"/>
  <c r="BO980" i="6" s="1"/>
  <c r="BN981" i="6" s="1"/>
  <c r="BO981" i="6" s="1"/>
  <c r="BN982" i="6" s="1"/>
  <c r="BO982" i="6" s="1"/>
  <c r="BN983" i="6" s="1"/>
  <c r="BO983" i="6" s="1"/>
  <c r="BN984" i="6" s="1"/>
  <c r="AT979" i="6"/>
  <c r="AO979" i="6"/>
  <c r="AF979" i="6"/>
  <c r="AE979" i="6"/>
  <c r="AA979" i="6"/>
  <c r="BK979" i="6" s="1"/>
  <c r="AA980" i="6" s="1"/>
  <c r="BK980" i="6" s="1"/>
  <c r="AA981" i="6" s="1"/>
  <c r="BK981" i="6" s="1"/>
  <c r="AA982" i="6" s="1"/>
  <c r="BK982" i="6" s="1"/>
  <c r="AA983" i="6" s="1"/>
  <c r="BK983" i="6" s="1"/>
  <c r="AA984" i="6" s="1"/>
  <c r="BK984" i="6" s="1"/>
  <c r="AA985" i="6" s="1"/>
  <c r="BK985" i="6" s="1"/>
  <c r="AA986" i="6" s="1"/>
  <c r="BK986" i="6" s="1"/>
  <c r="AA987" i="6" s="1"/>
  <c r="BK987" i="6" s="1"/>
  <c r="AA988" i="6" s="1"/>
  <c r="BK988" i="6" s="1"/>
  <c r="AA989" i="6" s="1"/>
  <c r="BK989" i="6" s="1"/>
  <c r="AA990" i="6" s="1"/>
  <c r="BK990" i="6" s="1"/>
  <c r="AA991" i="6" s="1"/>
  <c r="BK991" i="6" s="1"/>
  <c r="AA992" i="6" s="1"/>
  <c r="BK992" i="6" s="1"/>
  <c r="AA993" i="6" s="1"/>
  <c r="BK993" i="6" s="1"/>
  <c r="AA994" i="6" s="1"/>
  <c r="BK994" i="6" s="1"/>
  <c r="AA995" i="6" s="1"/>
  <c r="BK995" i="6" s="1"/>
  <c r="AA996" i="6" s="1"/>
  <c r="BK996" i="6" s="1"/>
  <c r="AA997" i="6" s="1"/>
  <c r="BK997" i="6" s="1"/>
  <c r="AA998" i="6" s="1"/>
  <c r="BK998" i="6" s="1"/>
  <c r="AA999" i="6" s="1"/>
  <c r="BK999" i="6" s="1"/>
  <c r="AA1000" i="6" s="1"/>
  <c r="BK1000" i="6" s="1"/>
  <c r="AA1001" i="6" s="1"/>
  <c r="BK1001" i="6" s="1"/>
  <c r="AA1002" i="6" s="1"/>
  <c r="BK1002" i="6" s="1"/>
  <c r="AA1003" i="6" s="1"/>
  <c r="BK1003" i="6" s="1"/>
  <c r="AA1004" i="6" s="1"/>
  <c r="BK1004" i="6" s="1"/>
  <c r="AA1005" i="6" s="1"/>
  <c r="BK1005" i="6" s="1"/>
  <c r="AA1006" i="6" s="1"/>
  <c r="BK1006" i="6" s="1"/>
  <c r="AA1007" i="6" s="1"/>
  <c r="BK1007" i="6" s="1"/>
  <c r="AA1008" i="6" s="1"/>
  <c r="BK1008" i="6" s="1"/>
  <c r="AA1009" i="6" s="1"/>
  <c r="BK1009" i="6" s="1"/>
  <c r="AA1010" i="6" s="1"/>
  <c r="BK1010" i="6" s="1"/>
  <c r="AA1011" i="6" s="1"/>
  <c r="BK1011" i="6" s="1"/>
  <c r="AA1012" i="6" s="1"/>
  <c r="BK1012" i="6" s="1"/>
  <c r="AA1013" i="6" s="1"/>
  <c r="BK1013" i="6" s="1"/>
  <c r="S979" i="6"/>
  <c r="BC979" i="6" s="1"/>
  <c r="O979" i="6"/>
  <c r="AY979" i="6" s="1"/>
  <c r="O980" i="6" s="1"/>
  <c r="AY980" i="6" s="1"/>
  <c r="O981" i="6" s="1"/>
  <c r="AY981" i="6" s="1"/>
  <c r="O982" i="6" s="1"/>
  <c r="AY982" i="6" s="1"/>
  <c r="O983" i="6" s="1"/>
  <c r="AY983" i="6" s="1"/>
  <c r="O984" i="6" s="1"/>
  <c r="AY984" i="6" s="1"/>
  <c r="O985" i="6" s="1"/>
  <c r="AY985" i="6" s="1"/>
  <c r="O986" i="6" s="1"/>
  <c r="AY986" i="6" s="1"/>
  <c r="O987" i="6" s="1"/>
  <c r="AY987" i="6" s="1"/>
  <c r="O988" i="6" s="1"/>
  <c r="AY988" i="6" s="1"/>
  <c r="O989" i="6" s="1"/>
  <c r="AY989" i="6" s="1"/>
  <c r="O990" i="6" s="1"/>
  <c r="AY990" i="6" s="1"/>
  <c r="O991" i="6" s="1"/>
  <c r="AY991" i="6" s="1"/>
  <c r="O992" i="6" s="1"/>
  <c r="AY992" i="6" s="1"/>
  <c r="O993" i="6" s="1"/>
  <c r="AY993" i="6" s="1"/>
  <c r="O994" i="6" s="1"/>
  <c r="AY994" i="6" s="1"/>
  <c r="O995" i="6" s="1"/>
  <c r="AY995" i="6" s="1"/>
  <c r="O996" i="6" s="1"/>
  <c r="AY996" i="6" s="1"/>
  <c r="O997" i="6" s="1"/>
  <c r="AY997" i="6" s="1"/>
  <c r="O998" i="6" s="1"/>
  <c r="AY998" i="6" s="1"/>
  <c r="O999" i="6" s="1"/>
  <c r="AY999" i="6" s="1"/>
  <c r="O1000" i="6" s="1"/>
  <c r="AY1000" i="6" s="1"/>
  <c r="O1001" i="6" s="1"/>
  <c r="AY1001" i="6" s="1"/>
  <c r="O1002" i="6" s="1"/>
  <c r="AY1002" i="6" s="1"/>
  <c r="O1003" i="6" s="1"/>
  <c r="AY1003" i="6" s="1"/>
  <c r="O1004" i="6" s="1"/>
  <c r="AY1004" i="6" s="1"/>
  <c r="O1005" i="6" s="1"/>
  <c r="AY1005" i="6" s="1"/>
  <c r="O1006" i="6" s="1"/>
  <c r="AY1006" i="6" s="1"/>
  <c r="O1007" i="6" s="1"/>
  <c r="AY1007" i="6" s="1"/>
  <c r="O1008" i="6" s="1"/>
  <c r="AY1008" i="6" s="1"/>
  <c r="O1009" i="6" s="1"/>
  <c r="AY1009" i="6" s="1"/>
  <c r="O1010" i="6" s="1"/>
  <c r="AY1010" i="6" s="1"/>
  <c r="O1011" i="6" s="1"/>
  <c r="AY1011" i="6" s="1"/>
  <c r="O1012" i="6" s="1"/>
  <c r="AY1012" i="6" s="1"/>
  <c r="O1013" i="6" s="1"/>
  <c r="AY1013" i="6" s="1"/>
  <c r="M979" i="6"/>
  <c r="AW979" i="6" s="1"/>
  <c r="M980" i="6" s="1"/>
  <c r="J979" i="6"/>
  <c r="I979" i="6"/>
  <c r="H979" i="6"/>
  <c r="G979" i="6"/>
  <c r="AV979" i="6" s="1"/>
  <c r="L980" i="6" s="1"/>
  <c r="F979" i="6"/>
  <c r="E979" i="6"/>
  <c r="D979" i="6"/>
  <c r="C979" i="6"/>
  <c r="B979" i="6"/>
  <c r="A979" i="6"/>
  <c r="BO978" i="6"/>
  <c r="BN979" i="6" s="1"/>
  <c r="BN978" i="6"/>
  <c r="BE978" i="6"/>
  <c r="U979" i="6" s="1"/>
  <c r="AX978" i="6"/>
  <c r="N979" i="6" s="1"/>
  <c r="AX979" i="6" s="1"/>
  <c r="N980" i="6" s="1"/>
  <c r="AX980" i="6" s="1"/>
  <c r="N981" i="6" s="1"/>
  <c r="AX981" i="6" s="1"/>
  <c r="N982" i="6" s="1"/>
  <c r="AX982" i="6" s="1"/>
  <c r="N983" i="6" s="1"/>
  <c r="AX983" i="6" s="1"/>
  <c r="N984" i="6" s="1"/>
  <c r="AX984" i="6" s="1"/>
  <c r="AT978" i="6"/>
  <c r="AO978" i="6"/>
  <c r="AI978" i="6"/>
  <c r="AF978" i="6"/>
  <c r="AE978" i="6"/>
  <c r="AC978" i="6"/>
  <c r="BM978" i="6" s="1"/>
  <c r="AC979" i="6" s="1"/>
  <c r="BM979" i="6" s="1"/>
  <c r="AC980" i="6" s="1"/>
  <c r="BM980" i="6" s="1"/>
  <c r="AB978" i="6"/>
  <c r="BL978" i="6" s="1"/>
  <c r="AB979" i="6" s="1"/>
  <c r="BL979" i="6" s="1"/>
  <c r="AB980" i="6" s="1"/>
  <c r="BL980" i="6" s="1"/>
  <c r="AB981" i="6" s="1"/>
  <c r="BL981" i="6" s="1"/>
  <c r="AB982" i="6" s="1"/>
  <c r="BL982" i="6" s="1"/>
  <c r="AB983" i="6" s="1"/>
  <c r="BL983" i="6" s="1"/>
  <c r="AB984" i="6" s="1"/>
  <c r="BL984" i="6" s="1"/>
  <c r="AB985" i="6" s="1"/>
  <c r="BL985" i="6" s="1"/>
  <c r="AB986" i="6" s="1"/>
  <c r="BL986" i="6" s="1"/>
  <c r="AB987" i="6" s="1"/>
  <c r="BL987" i="6" s="1"/>
  <c r="AB988" i="6" s="1"/>
  <c r="BL988" i="6" s="1"/>
  <c r="AA978" i="6"/>
  <c r="BK978" i="6" s="1"/>
  <c r="Z978" i="6"/>
  <c r="BJ978" i="6" s="1"/>
  <c r="Z979" i="6" s="1"/>
  <c r="BJ979" i="6" s="1"/>
  <c r="Z980" i="6" s="1"/>
  <c r="Y978" i="6"/>
  <c r="BI978" i="6" s="1"/>
  <c r="Y979" i="6" s="1"/>
  <c r="BI979" i="6" s="1"/>
  <c r="Y980" i="6" s="1"/>
  <c r="BI980" i="6" s="1"/>
  <c r="Y981" i="6" s="1"/>
  <c r="BI981" i="6" s="1"/>
  <c r="Y982" i="6" s="1"/>
  <c r="BI982" i="6" s="1"/>
  <c r="Y983" i="6" s="1"/>
  <c r="BI983" i="6" s="1"/>
  <c r="Y984" i="6" s="1"/>
  <c r="BI984" i="6" s="1"/>
  <c r="Y985" i="6" s="1"/>
  <c r="BI985" i="6" s="1"/>
  <c r="Y986" i="6" s="1"/>
  <c r="BI986" i="6" s="1"/>
  <c r="Y987" i="6" s="1"/>
  <c r="BI987" i="6" s="1"/>
  <c r="Y988" i="6" s="1"/>
  <c r="BI988" i="6" s="1"/>
  <c r="Y989" i="6" s="1"/>
  <c r="BI989" i="6" s="1"/>
  <c r="Y990" i="6" s="1"/>
  <c r="BI990" i="6" s="1"/>
  <c r="Y991" i="6" s="1"/>
  <c r="BI991" i="6" s="1"/>
  <c r="Y992" i="6" s="1"/>
  <c r="BI992" i="6" s="1"/>
  <c r="Y993" i="6" s="1"/>
  <c r="BI993" i="6" s="1"/>
  <c r="Y994" i="6" s="1"/>
  <c r="BI994" i="6" s="1"/>
  <c r="Y995" i="6" s="1"/>
  <c r="BI995" i="6" s="1"/>
  <c r="Y996" i="6" s="1"/>
  <c r="BI996" i="6" s="1"/>
  <c r="Y997" i="6" s="1"/>
  <c r="BI997" i="6" s="1"/>
  <c r="Y998" i="6" s="1"/>
  <c r="BI998" i="6" s="1"/>
  <c r="Y999" i="6" s="1"/>
  <c r="BI999" i="6" s="1"/>
  <c r="Y1000" i="6" s="1"/>
  <c r="BI1000" i="6" s="1"/>
  <c r="Y1001" i="6" s="1"/>
  <c r="BI1001" i="6" s="1"/>
  <c r="Y1002" i="6" s="1"/>
  <c r="BI1002" i="6" s="1"/>
  <c r="Y1003" i="6" s="1"/>
  <c r="BI1003" i="6" s="1"/>
  <c r="Y1004" i="6" s="1"/>
  <c r="BI1004" i="6" s="1"/>
  <c r="Y1005" i="6" s="1"/>
  <c r="BI1005" i="6" s="1"/>
  <c r="Y1006" i="6" s="1"/>
  <c r="BI1006" i="6" s="1"/>
  <c r="Y1007" i="6" s="1"/>
  <c r="BI1007" i="6" s="1"/>
  <c r="Y1008" i="6" s="1"/>
  <c r="BI1008" i="6" s="1"/>
  <c r="Y1009" i="6" s="1"/>
  <c r="BI1009" i="6" s="1"/>
  <c r="Y1010" i="6" s="1"/>
  <c r="BI1010" i="6" s="1"/>
  <c r="Y1011" i="6" s="1"/>
  <c r="BI1011" i="6" s="1"/>
  <c r="Y1012" i="6" s="1"/>
  <c r="BI1012" i="6" s="1"/>
  <c r="Y1013" i="6" s="1"/>
  <c r="BI1013" i="6" s="1"/>
  <c r="X978" i="6"/>
  <c r="BH978" i="6" s="1"/>
  <c r="X979" i="6" s="1"/>
  <c r="BH979" i="6" s="1"/>
  <c r="W978" i="6"/>
  <c r="BG978" i="6" s="1"/>
  <c r="W979" i="6" s="1"/>
  <c r="V978" i="6"/>
  <c r="BF978" i="6" s="1"/>
  <c r="V979" i="6" s="1"/>
  <c r="BF979" i="6" s="1"/>
  <c r="V980" i="6" s="1"/>
  <c r="BF980" i="6" s="1"/>
  <c r="V981" i="6" s="1"/>
  <c r="BF981" i="6" s="1"/>
  <c r="V982" i="6" s="1"/>
  <c r="BF982" i="6" s="1"/>
  <c r="V983" i="6" s="1"/>
  <c r="BF983" i="6" s="1"/>
  <c r="V984" i="6" s="1"/>
  <c r="BF984" i="6" s="1"/>
  <c r="V985" i="6" s="1"/>
  <c r="BF985" i="6" s="1"/>
  <c r="V986" i="6" s="1"/>
  <c r="BF986" i="6" s="1"/>
  <c r="V987" i="6" s="1"/>
  <c r="BF987" i="6" s="1"/>
  <c r="V988" i="6" s="1"/>
  <c r="BF988" i="6" s="1"/>
  <c r="V989" i="6" s="1"/>
  <c r="BF989" i="6" s="1"/>
  <c r="V990" i="6" s="1"/>
  <c r="BF990" i="6" s="1"/>
  <c r="V991" i="6" s="1"/>
  <c r="BF991" i="6" s="1"/>
  <c r="V992" i="6" s="1"/>
  <c r="BF992" i="6" s="1"/>
  <c r="V993" i="6" s="1"/>
  <c r="BF993" i="6" s="1"/>
  <c r="V994" i="6" s="1"/>
  <c r="BF994" i="6" s="1"/>
  <c r="V995" i="6" s="1"/>
  <c r="BF995" i="6" s="1"/>
  <c r="V996" i="6" s="1"/>
  <c r="BF996" i="6" s="1"/>
  <c r="V997" i="6" s="1"/>
  <c r="BF997" i="6" s="1"/>
  <c r="V998" i="6" s="1"/>
  <c r="BF998" i="6" s="1"/>
  <c r="V999" i="6" s="1"/>
  <c r="BF999" i="6" s="1"/>
  <c r="V1000" i="6" s="1"/>
  <c r="BF1000" i="6" s="1"/>
  <c r="V1001" i="6" s="1"/>
  <c r="U978" i="6"/>
  <c r="T978" i="6"/>
  <c r="BD978" i="6" s="1"/>
  <c r="T979" i="6" s="1"/>
  <c r="BD979" i="6" s="1"/>
  <c r="T980" i="6" s="1"/>
  <c r="BD980" i="6" s="1"/>
  <c r="T981" i="6" s="1"/>
  <c r="BD981" i="6" s="1"/>
  <c r="T982" i="6" s="1"/>
  <c r="S978" i="6"/>
  <c r="BC978" i="6" s="1"/>
  <c r="R978" i="6"/>
  <c r="BB978" i="6" s="1"/>
  <c r="R979" i="6" s="1"/>
  <c r="BB979" i="6" s="1"/>
  <c r="R980" i="6" s="1"/>
  <c r="BB980" i="6" s="1"/>
  <c r="R981" i="6" s="1"/>
  <c r="BB981" i="6" s="1"/>
  <c r="R982" i="6" s="1"/>
  <c r="BB982" i="6" s="1"/>
  <c r="R983" i="6" s="1"/>
  <c r="BB983" i="6" s="1"/>
  <c r="R984" i="6" s="1"/>
  <c r="BB984" i="6" s="1"/>
  <c r="R985" i="6" s="1"/>
  <c r="BB985" i="6" s="1"/>
  <c r="R986" i="6" s="1"/>
  <c r="BB986" i="6" s="1"/>
  <c r="R987" i="6" s="1"/>
  <c r="BB987" i="6" s="1"/>
  <c r="R988" i="6" s="1"/>
  <c r="BB988" i="6" s="1"/>
  <c r="R989" i="6" s="1"/>
  <c r="BB989" i="6" s="1"/>
  <c r="R990" i="6" s="1"/>
  <c r="BB990" i="6" s="1"/>
  <c r="R991" i="6" s="1"/>
  <c r="BB991" i="6" s="1"/>
  <c r="R992" i="6" s="1"/>
  <c r="BB992" i="6" s="1"/>
  <c r="R993" i="6" s="1"/>
  <c r="BB993" i="6" s="1"/>
  <c r="R994" i="6" s="1"/>
  <c r="BB994" i="6" s="1"/>
  <c r="R995" i="6" s="1"/>
  <c r="BB995" i="6" s="1"/>
  <c r="R996" i="6" s="1"/>
  <c r="BB996" i="6" s="1"/>
  <c r="R997" i="6" s="1"/>
  <c r="BB997" i="6" s="1"/>
  <c r="R998" i="6" s="1"/>
  <c r="BB998" i="6" s="1"/>
  <c r="R999" i="6" s="1"/>
  <c r="BB999" i="6" s="1"/>
  <c r="R1000" i="6" s="1"/>
  <c r="BB1000" i="6" s="1"/>
  <c r="R1001" i="6" s="1"/>
  <c r="BB1001" i="6" s="1"/>
  <c r="R1002" i="6" s="1"/>
  <c r="BB1002" i="6" s="1"/>
  <c r="R1003" i="6" s="1"/>
  <c r="BB1003" i="6" s="1"/>
  <c r="R1004" i="6" s="1"/>
  <c r="BB1004" i="6" s="1"/>
  <c r="R1005" i="6" s="1"/>
  <c r="BB1005" i="6" s="1"/>
  <c r="R1006" i="6" s="1"/>
  <c r="BB1006" i="6" s="1"/>
  <c r="R1007" i="6" s="1"/>
  <c r="BB1007" i="6" s="1"/>
  <c r="R1008" i="6" s="1"/>
  <c r="BB1008" i="6" s="1"/>
  <c r="R1009" i="6" s="1"/>
  <c r="BB1009" i="6" s="1"/>
  <c r="R1010" i="6" s="1"/>
  <c r="BB1010" i="6" s="1"/>
  <c r="R1011" i="6" s="1"/>
  <c r="BB1011" i="6" s="1"/>
  <c r="R1012" i="6" s="1"/>
  <c r="BB1012" i="6" s="1"/>
  <c r="R1013" i="6" s="1"/>
  <c r="BB1013" i="6" s="1"/>
  <c r="Q978" i="6"/>
  <c r="BA978" i="6" s="1"/>
  <c r="Q979" i="6" s="1"/>
  <c r="BA979" i="6" s="1"/>
  <c r="Q980" i="6" s="1"/>
  <c r="BA980" i="6" s="1"/>
  <c r="O978" i="6"/>
  <c r="AY978" i="6" s="1"/>
  <c r="N978" i="6"/>
  <c r="M978" i="6"/>
  <c r="AW978" i="6" s="1"/>
  <c r="L978" i="6"/>
  <c r="K978" i="6"/>
  <c r="J978" i="6"/>
  <c r="I978" i="6"/>
  <c r="H978" i="6"/>
  <c r="G978" i="6"/>
  <c r="AV978" i="6" s="1"/>
  <c r="L979" i="6" s="1"/>
  <c r="F978" i="6"/>
  <c r="AP978" i="6" s="1"/>
  <c r="E978" i="6"/>
  <c r="D978" i="6"/>
  <c r="C978" i="6"/>
  <c r="B978" i="6"/>
  <c r="A978" i="6"/>
  <c r="AO977" i="6"/>
  <c r="K977" i="6"/>
  <c r="I977" i="6"/>
  <c r="H977" i="6"/>
  <c r="G977" i="6"/>
  <c r="F977" i="6"/>
  <c r="E977" i="6"/>
  <c r="D977" i="6"/>
  <c r="C977" i="6"/>
  <c r="B977" i="6"/>
  <c r="A977" i="6"/>
  <c r="AO976" i="6"/>
  <c r="AI976" i="6"/>
  <c r="K976" i="6"/>
  <c r="J976" i="6"/>
  <c r="I976" i="6"/>
  <c r="H976" i="6"/>
  <c r="G976" i="6"/>
  <c r="F976" i="6"/>
  <c r="AE976" i="6" s="1"/>
  <c r="E976" i="6"/>
  <c r="D976" i="6"/>
  <c r="C976" i="6"/>
  <c r="B976" i="6"/>
  <c r="A976" i="6"/>
  <c r="AO975" i="6"/>
  <c r="AI975" i="6"/>
  <c r="K975" i="6"/>
  <c r="H975" i="6"/>
  <c r="G975" i="6"/>
  <c r="F975" i="6"/>
  <c r="AE975" i="6" s="1"/>
  <c r="E975" i="6"/>
  <c r="D975" i="6"/>
  <c r="C975" i="6"/>
  <c r="B975" i="6"/>
  <c r="A975" i="6"/>
  <c r="AO974" i="6"/>
  <c r="I974" i="6"/>
  <c r="H974" i="6"/>
  <c r="G974" i="6"/>
  <c r="F974" i="6"/>
  <c r="AI974" i="6" s="1"/>
  <c r="E974" i="6"/>
  <c r="D974" i="6"/>
  <c r="C974" i="6"/>
  <c r="B974" i="6"/>
  <c r="A974" i="6"/>
  <c r="AO973" i="6"/>
  <c r="I973" i="6"/>
  <c r="H973" i="6"/>
  <c r="G973" i="6"/>
  <c r="F973" i="6"/>
  <c r="AE973" i="6" s="1"/>
  <c r="E973" i="6"/>
  <c r="D973" i="6"/>
  <c r="C973" i="6"/>
  <c r="B973" i="6"/>
  <c r="A973" i="6"/>
  <c r="AO972" i="6"/>
  <c r="AI972" i="6"/>
  <c r="AE972" i="6"/>
  <c r="K972" i="6"/>
  <c r="J972" i="6"/>
  <c r="I972" i="6"/>
  <c r="H972" i="6"/>
  <c r="G972" i="6"/>
  <c r="F972" i="6"/>
  <c r="E972" i="6"/>
  <c r="D972" i="6"/>
  <c r="C972" i="6"/>
  <c r="B972" i="6"/>
  <c r="A972" i="6"/>
  <c r="AO971" i="6"/>
  <c r="AI971" i="6"/>
  <c r="I971" i="6"/>
  <c r="H971" i="6"/>
  <c r="G971" i="6"/>
  <c r="F971" i="6"/>
  <c r="AE971" i="6" s="1"/>
  <c r="E971" i="6"/>
  <c r="D971" i="6"/>
  <c r="C971" i="6"/>
  <c r="B971" i="6"/>
  <c r="A971" i="6"/>
  <c r="AO970" i="6"/>
  <c r="AE970" i="6"/>
  <c r="J970" i="6"/>
  <c r="H970" i="6"/>
  <c r="G970" i="6"/>
  <c r="F970" i="6"/>
  <c r="E970" i="6"/>
  <c r="D970" i="6"/>
  <c r="C970" i="6"/>
  <c r="B970" i="6"/>
  <c r="A970" i="6"/>
  <c r="AO969" i="6"/>
  <c r="AI969" i="6"/>
  <c r="AE969" i="6"/>
  <c r="K969" i="6"/>
  <c r="J969" i="6"/>
  <c r="H969" i="6"/>
  <c r="G969" i="6"/>
  <c r="F969" i="6"/>
  <c r="E969" i="6"/>
  <c r="D969" i="6"/>
  <c r="C969" i="6"/>
  <c r="B969" i="6"/>
  <c r="A969" i="6"/>
  <c r="AO968" i="6"/>
  <c r="AE968" i="6"/>
  <c r="H968" i="6"/>
  <c r="G968" i="6"/>
  <c r="F968" i="6"/>
  <c r="I968" i="6" s="1"/>
  <c r="E968" i="6"/>
  <c r="D968" i="6"/>
  <c r="C968" i="6"/>
  <c r="B968" i="6"/>
  <c r="A968" i="6"/>
  <c r="AO967" i="6"/>
  <c r="AE967" i="6"/>
  <c r="J967" i="6"/>
  <c r="I967" i="6"/>
  <c r="H967" i="6"/>
  <c r="G967" i="6"/>
  <c r="F967" i="6"/>
  <c r="E967" i="6"/>
  <c r="D967" i="6"/>
  <c r="C967" i="6"/>
  <c r="B967" i="6"/>
  <c r="A967" i="6"/>
  <c r="AO966" i="6"/>
  <c r="AE966" i="6"/>
  <c r="K966" i="6"/>
  <c r="J966" i="6"/>
  <c r="I966" i="6"/>
  <c r="H966" i="6"/>
  <c r="G966" i="6"/>
  <c r="F966" i="6"/>
  <c r="E966" i="6"/>
  <c r="D966" i="6"/>
  <c r="C966" i="6"/>
  <c r="B966" i="6"/>
  <c r="A966" i="6"/>
  <c r="AO965" i="6"/>
  <c r="K965" i="6"/>
  <c r="H965" i="6"/>
  <c r="G965" i="6"/>
  <c r="F965" i="6"/>
  <c r="AI965" i="6" s="1"/>
  <c r="E965" i="6"/>
  <c r="D965" i="6"/>
  <c r="C965" i="6"/>
  <c r="B965" i="6"/>
  <c r="A965" i="6"/>
  <c r="AT964" i="6"/>
  <c r="K964" i="6"/>
  <c r="J964" i="6"/>
  <c r="H964" i="6"/>
  <c r="G964" i="6"/>
  <c r="F964" i="6"/>
  <c r="E964" i="6"/>
  <c r="D964" i="6"/>
  <c r="C964" i="6"/>
  <c r="B964" i="6"/>
  <c r="A964" i="6"/>
  <c r="AT963" i="6"/>
  <c r="AO963" i="6"/>
  <c r="AE963" i="6"/>
  <c r="H963" i="6"/>
  <c r="G963" i="6"/>
  <c r="F963" i="6"/>
  <c r="E963" i="6"/>
  <c r="D963" i="6"/>
  <c r="C963" i="6"/>
  <c r="B963" i="6"/>
  <c r="A963" i="6"/>
  <c r="AT962" i="6"/>
  <c r="AO962" i="6"/>
  <c r="AI962" i="6"/>
  <c r="H962" i="6"/>
  <c r="G962" i="6"/>
  <c r="F962" i="6"/>
  <c r="E962" i="6"/>
  <c r="D962" i="6"/>
  <c r="C962" i="6"/>
  <c r="B962" i="6"/>
  <c r="A962" i="6"/>
  <c r="AT961" i="6"/>
  <c r="AO961" i="6"/>
  <c r="H961" i="6"/>
  <c r="G961" i="6"/>
  <c r="F961" i="6"/>
  <c r="E961" i="6"/>
  <c r="D961" i="6"/>
  <c r="C961" i="6"/>
  <c r="B961" i="6"/>
  <c r="A961" i="6"/>
  <c r="AT960" i="6"/>
  <c r="AO960" i="6"/>
  <c r="AI960" i="6"/>
  <c r="AE960" i="6"/>
  <c r="K960" i="6"/>
  <c r="J960" i="6"/>
  <c r="I960" i="6"/>
  <c r="H960" i="6"/>
  <c r="G960" i="6"/>
  <c r="F960" i="6"/>
  <c r="E960" i="6"/>
  <c r="D960" i="6"/>
  <c r="C960" i="6"/>
  <c r="B960" i="6"/>
  <c r="A960" i="6"/>
  <c r="AT959" i="6"/>
  <c r="AO959" i="6"/>
  <c r="AI959" i="6"/>
  <c r="AF959" i="6"/>
  <c r="K959" i="6"/>
  <c r="J959" i="6"/>
  <c r="I959" i="6"/>
  <c r="H959" i="6"/>
  <c r="G959" i="6"/>
  <c r="F959" i="6"/>
  <c r="AE959" i="6" s="1"/>
  <c r="E959" i="6"/>
  <c r="D959" i="6"/>
  <c r="C959" i="6"/>
  <c r="B959" i="6"/>
  <c r="A959" i="6"/>
  <c r="AT958" i="6"/>
  <c r="AE958" i="6"/>
  <c r="K958" i="6"/>
  <c r="H958" i="6"/>
  <c r="G958" i="6"/>
  <c r="AI958" i="6" s="1"/>
  <c r="F958" i="6"/>
  <c r="E958" i="6"/>
  <c r="D958" i="6"/>
  <c r="C958" i="6"/>
  <c r="B958" i="6"/>
  <c r="A958" i="6"/>
  <c r="AT957" i="6"/>
  <c r="AO957" i="6"/>
  <c r="AF957" i="6"/>
  <c r="AE957" i="6"/>
  <c r="K957" i="6"/>
  <c r="J957" i="6"/>
  <c r="H957" i="6"/>
  <c r="G957" i="6"/>
  <c r="F957" i="6"/>
  <c r="E957" i="6"/>
  <c r="D957" i="6"/>
  <c r="C957" i="6"/>
  <c r="B957" i="6"/>
  <c r="A957" i="6"/>
  <c r="AT956" i="6"/>
  <c r="AO956" i="6"/>
  <c r="AF956" i="6"/>
  <c r="AE956" i="6"/>
  <c r="H956" i="6"/>
  <c r="G956" i="6"/>
  <c r="F956" i="6"/>
  <c r="E956" i="6"/>
  <c r="D956" i="6"/>
  <c r="C956" i="6"/>
  <c r="B956" i="6"/>
  <c r="A956" i="6"/>
  <c r="AT955" i="6"/>
  <c r="AO955" i="6"/>
  <c r="AF955" i="6"/>
  <c r="AE955" i="6"/>
  <c r="J955" i="6"/>
  <c r="I955" i="6"/>
  <c r="H955" i="6"/>
  <c r="G955" i="6"/>
  <c r="F955" i="6"/>
  <c r="E955" i="6"/>
  <c r="D955" i="6"/>
  <c r="C955" i="6"/>
  <c r="B955" i="6"/>
  <c r="A955" i="6"/>
  <c r="AT954" i="6"/>
  <c r="AO954" i="6"/>
  <c r="AE954" i="6"/>
  <c r="K954" i="6"/>
  <c r="J954" i="6"/>
  <c r="I954" i="6"/>
  <c r="H954" i="6"/>
  <c r="G954" i="6"/>
  <c r="F954" i="6"/>
  <c r="E954" i="6"/>
  <c r="D954" i="6"/>
  <c r="C954" i="6"/>
  <c r="B954" i="6"/>
  <c r="A954" i="6"/>
  <c r="AT953" i="6"/>
  <c r="AI953" i="6"/>
  <c r="K953" i="6"/>
  <c r="H953" i="6"/>
  <c r="G953" i="6"/>
  <c r="F953" i="6"/>
  <c r="AE953" i="6" s="1"/>
  <c r="E953" i="6"/>
  <c r="D953" i="6"/>
  <c r="C953" i="6"/>
  <c r="B953" i="6"/>
  <c r="A953" i="6"/>
  <c r="AT952" i="6"/>
  <c r="AE952" i="6"/>
  <c r="R952" i="6"/>
  <c r="BB952" i="6" s="1"/>
  <c r="R953" i="6" s="1"/>
  <c r="BB953" i="6" s="1"/>
  <c r="R954" i="6" s="1"/>
  <c r="BB954" i="6" s="1"/>
  <c r="R955" i="6" s="1"/>
  <c r="BB955" i="6" s="1"/>
  <c r="R956" i="6" s="1"/>
  <c r="BB956" i="6" s="1"/>
  <c r="R957" i="6" s="1"/>
  <c r="BB957" i="6" s="1"/>
  <c r="R958" i="6" s="1"/>
  <c r="BB958" i="6" s="1"/>
  <c r="R959" i="6" s="1"/>
  <c r="BB959" i="6" s="1"/>
  <c r="R960" i="6" s="1"/>
  <c r="BB960" i="6" s="1"/>
  <c r="R961" i="6" s="1"/>
  <c r="BB961" i="6" s="1"/>
  <c r="R962" i="6" s="1"/>
  <c r="BB962" i="6" s="1"/>
  <c r="R963" i="6" s="1"/>
  <c r="BB963" i="6" s="1"/>
  <c r="R964" i="6" s="1"/>
  <c r="BB964" i="6" s="1"/>
  <c r="R965" i="6" s="1"/>
  <c r="BB965" i="6" s="1"/>
  <c r="R966" i="6" s="1"/>
  <c r="BB966" i="6" s="1"/>
  <c r="R967" i="6" s="1"/>
  <c r="BB967" i="6" s="1"/>
  <c r="R968" i="6" s="1"/>
  <c r="BB968" i="6" s="1"/>
  <c r="R969" i="6" s="1"/>
  <c r="BB969" i="6" s="1"/>
  <c r="R970" i="6" s="1"/>
  <c r="BB970" i="6" s="1"/>
  <c r="R971" i="6" s="1"/>
  <c r="BB971" i="6" s="1"/>
  <c r="R972" i="6" s="1"/>
  <c r="BB972" i="6" s="1"/>
  <c r="R973" i="6" s="1"/>
  <c r="BB973" i="6" s="1"/>
  <c r="R974" i="6" s="1"/>
  <c r="BB974" i="6" s="1"/>
  <c r="R975" i="6" s="1"/>
  <c r="BB975" i="6" s="1"/>
  <c r="R976" i="6" s="1"/>
  <c r="BB976" i="6" s="1"/>
  <c r="R977" i="6" s="1"/>
  <c r="BB977" i="6" s="1"/>
  <c r="K952" i="6"/>
  <c r="J952" i="6"/>
  <c r="I952" i="6"/>
  <c r="H952" i="6"/>
  <c r="G952" i="6"/>
  <c r="AI952" i="6" s="1"/>
  <c r="F952" i="6"/>
  <c r="E952" i="6"/>
  <c r="D952" i="6"/>
  <c r="C952" i="6"/>
  <c r="B952" i="6"/>
  <c r="A952" i="6"/>
  <c r="AT951" i="6"/>
  <c r="AO951" i="6"/>
  <c r="K951" i="6"/>
  <c r="H951" i="6"/>
  <c r="AF951" i="6" s="1"/>
  <c r="G951" i="6"/>
  <c r="F951" i="6"/>
  <c r="E951" i="6"/>
  <c r="D951" i="6"/>
  <c r="C951" i="6"/>
  <c r="B951" i="6"/>
  <c r="A951" i="6"/>
  <c r="AT950" i="6"/>
  <c r="AO950" i="6"/>
  <c r="K950" i="6"/>
  <c r="H950" i="6"/>
  <c r="G950" i="6"/>
  <c r="F950" i="6"/>
  <c r="E950" i="6"/>
  <c r="D950" i="6"/>
  <c r="C950" i="6"/>
  <c r="B950" i="6"/>
  <c r="A950" i="6"/>
  <c r="AT949" i="6"/>
  <c r="AO949" i="6"/>
  <c r="AF949" i="6"/>
  <c r="J949" i="6"/>
  <c r="H949" i="6"/>
  <c r="G949" i="6"/>
  <c r="F949" i="6"/>
  <c r="E949" i="6"/>
  <c r="D949" i="6"/>
  <c r="C949" i="6"/>
  <c r="B949" i="6"/>
  <c r="A949" i="6"/>
  <c r="BA948" i="6"/>
  <c r="Q949" i="6" s="1"/>
  <c r="BA949" i="6" s="1"/>
  <c r="Q950" i="6" s="1"/>
  <c r="BA950" i="6" s="1"/>
  <c r="Q951" i="6" s="1"/>
  <c r="BA951" i="6" s="1"/>
  <c r="Q952" i="6" s="1"/>
  <c r="BA952" i="6" s="1"/>
  <c r="Q953" i="6" s="1"/>
  <c r="BA953" i="6" s="1"/>
  <c r="Q954" i="6" s="1"/>
  <c r="BA954" i="6" s="1"/>
  <c r="Q955" i="6" s="1"/>
  <c r="AT948" i="6"/>
  <c r="AO948" i="6"/>
  <c r="AI948" i="6"/>
  <c r="AE948" i="6"/>
  <c r="AC948" i="6"/>
  <c r="BM948" i="6" s="1"/>
  <c r="AC949" i="6" s="1"/>
  <c r="BM949" i="6" s="1"/>
  <c r="AC950" i="6" s="1"/>
  <c r="BM950" i="6" s="1"/>
  <c r="AC951" i="6" s="1"/>
  <c r="BM951" i="6" s="1"/>
  <c r="AC952" i="6" s="1"/>
  <c r="BM952" i="6" s="1"/>
  <c r="AC953" i="6" s="1"/>
  <c r="BM953" i="6" s="1"/>
  <c r="AC954" i="6" s="1"/>
  <c r="BM954" i="6" s="1"/>
  <c r="AC955" i="6" s="1"/>
  <c r="BM955" i="6" s="1"/>
  <c r="AC956" i="6" s="1"/>
  <c r="BM956" i="6" s="1"/>
  <c r="AC957" i="6" s="1"/>
  <c r="BM957" i="6" s="1"/>
  <c r="AC958" i="6" s="1"/>
  <c r="BM958" i="6" s="1"/>
  <c r="AC959" i="6" s="1"/>
  <c r="BM959" i="6" s="1"/>
  <c r="AC960" i="6" s="1"/>
  <c r="BM960" i="6" s="1"/>
  <c r="AC961" i="6" s="1"/>
  <c r="BM961" i="6" s="1"/>
  <c r="AC962" i="6" s="1"/>
  <c r="BM962" i="6" s="1"/>
  <c r="AC963" i="6" s="1"/>
  <c r="BM963" i="6" s="1"/>
  <c r="AC964" i="6" s="1"/>
  <c r="BM964" i="6" s="1"/>
  <c r="AC965" i="6" s="1"/>
  <c r="BM965" i="6" s="1"/>
  <c r="AC966" i="6" s="1"/>
  <c r="BM966" i="6" s="1"/>
  <c r="AC967" i="6" s="1"/>
  <c r="BM967" i="6" s="1"/>
  <c r="AC968" i="6" s="1"/>
  <c r="BM968" i="6" s="1"/>
  <c r="AC969" i="6" s="1"/>
  <c r="BM969" i="6" s="1"/>
  <c r="AC970" i="6" s="1"/>
  <c r="BM970" i="6" s="1"/>
  <c r="AC971" i="6" s="1"/>
  <c r="BM971" i="6" s="1"/>
  <c r="AC972" i="6" s="1"/>
  <c r="BM972" i="6" s="1"/>
  <c r="AC973" i="6" s="1"/>
  <c r="BM973" i="6" s="1"/>
  <c r="AC974" i="6" s="1"/>
  <c r="BM974" i="6" s="1"/>
  <c r="AC975" i="6" s="1"/>
  <c r="BM975" i="6" s="1"/>
  <c r="AC976" i="6" s="1"/>
  <c r="BM976" i="6" s="1"/>
  <c r="AC977" i="6" s="1"/>
  <c r="BM977" i="6" s="1"/>
  <c r="Q948" i="6"/>
  <c r="K948" i="6"/>
  <c r="J948" i="6"/>
  <c r="I948" i="6"/>
  <c r="H948" i="6"/>
  <c r="AF948" i="6" s="1"/>
  <c r="G948" i="6"/>
  <c r="F948" i="6"/>
  <c r="E948" i="6"/>
  <c r="D948" i="6"/>
  <c r="C948" i="6"/>
  <c r="B948" i="6"/>
  <c r="A948" i="6"/>
  <c r="AT947" i="6"/>
  <c r="AI947" i="6"/>
  <c r="K947" i="6"/>
  <c r="H947" i="6"/>
  <c r="G947" i="6"/>
  <c r="F947" i="6"/>
  <c r="E947" i="6"/>
  <c r="D947" i="6"/>
  <c r="C947" i="6"/>
  <c r="B947" i="6"/>
  <c r="A947" i="6"/>
  <c r="AT946" i="6"/>
  <c r="AE946" i="6"/>
  <c r="K946" i="6"/>
  <c r="H946" i="6"/>
  <c r="G946" i="6"/>
  <c r="F946" i="6"/>
  <c r="E946" i="6"/>
  <c r="D946" i="6"/>
  <c r="C946" i="6"/>
  <c r="B946" i="6"/>
  <c r="A946" i="6"/>
  <c r="AT945" i="6"/>
  <c r="AO945" i="6"/>
  <c r="Z945" i="6"/>
  <c r="BJ945" i="6" s="1"/>
  <c r="Z946" i="6" s="1"/>
  <c r="BJ946" i="6" s="1"/>
  <c r="Z947" i="6" s="1"/>
  <c r="BJ947" i="6" s="1"/>
  <c r="Z948" i="6" s="1"/>
  <c r="BJ948" i="6" s="1"/>
  <c r="Z949" i="6" s="1"/>
  <c r="BJ949" i="6" s="1"/>
  <c r="Z950" i="6" s="1"/>
  <c r="BJ950" i="6" s="1"/>
  <c r="Z951" i="6" s="1"/>
  <c r="BJ951" i="6" s="1"/>
  <c r="Z952" i="6" s="1"/>
  <c r="BJ952" i="6" s="1"/>
  <c r="Z953" i="6" s="1"/>
  <c r="BJ953" i="6" s="1"/>
  <c r="Z954" i="6" s="1"/>
  <c r="BJ954" i="6" s="1"/>
  <c r="Z955" i="6" s="1"/>
  <c r="BJ955" i="6" s="1"/>
  <c r="Z956" i="6" s="1"/>
  <c r="BJ956" i="6" s="1"/>
  <c r="Z957" i="6" s="1"/>
  <c r="BJ957" i="6" s="1"/>
  <c r="Z958" i="6" s="1"/>
  <c r="BJ958" i="6" s="1"/>
  <c r="Z959" i="6" s="1"/>
  <c r="BJ959" i="6" s="1"/>
  <c r="Z960" i="6" s="1"/>
  <c r="BJ960" i="6" s="1"/>
  <c r="Z961" i="6" s="1"/>
  <c r="BJ961" i="6" s="1"/>
  <c r="Z962" i="6" s="1"/>
  <c r="BJ962" i="6" s="1"/>
  <c r="Z963" i="6" s="1"/>
  <c r="BJ963" i="6" s="1"/>
  <c r="Z964" i="6" s="1"/>
  <c r="BJ964" i="6" s="1"/>
  <c r="Z965" i="6" s="1"/>
  <c r="BJ965" i="6" s="1"/>
  <c r="Z966" i="6" s="1"/>
  <c r="BJ966" i="6" s="1"/>
  <c r="Z967" i="6" s="1"/>
  <c r="BJ967" i="6" s="1"/>
  <c r="Z968" i="6" s="1"/>
  <c r="BJ968" i="6" s="1"/>
  <c r="Z969" i="6" s="1"/>
  <c r="BJ969" i="6" s="1"/>
  <c r="Z970" i="6" s="1"/>
  <c r="BJ970" i="6" s="1"/>
  <c r="Z971" i="6" s="1"/>
  <c r="BJ971" i="6" s="1"/>
  <c r="Z972" i="6" s="1"/>
  <c r="BJ972" i="6" s="1"/>
  <c r="Z973" i="6" s="1"/>
  <c r="BJ973" i="6" s="1"/>
  <c r="Z974" i="6" s="1"/>
  <c r="BJ974" i="6" s="1"/>
  <c r="Z975" i="6" s="1"/>
  <c r="BJ975" i="6" s="1"/>
  <c r="Z976" i="6" s="1"/>
  <c r="BJ976" i="6" s="1"/>
  <c r="Z977" i="6" s="1"/>
  <c r="BJ977" i="6" s="1"/>
  <c r="J945" i="6"/>
  <c r="H945" i="6"/>
  <c r="G945" i="6"/>
  <c r="F945" i="6"/>
  <c r="AI945" i="6" s="1"/>
  <c r="E945" i="6"/>
  <c r="D945" i="6"/>
  <c r="C945" i="6"/>
  <c r="B945" i="6"/>
  <c r="A945" i="6"/>
  <c r="BE944" i="6"/>
  <c r="AT944" i="6"/>
  <c r="AO944" i="6"/>
  <c r="AF944" i="6"/>
  <c r="AE944" i="6"/>
  <c r="U944" i="6"/>
  <c r="K944" i="6"/>
  <c r="I944" i="6"/>
  <c r="H944" i="6"/>
  <c r="G944" i="6"/>
  <c r="F944" i="6"/>
  <c r="AP944" i="6" s="1"/>
  <c r="E944" i="6"/>
  <c r="D944" i="6"/>
  <c r="C944" i="6"/>
  <c r="B944" i="6"/>
  <c r="A944" i="6"/>
  <c r="AV943" i="6"/>
  <c r="L944" i="6" s="1"/>
  <c r="AT943" i="6"/>
  <c r="AO943" i="6"/>
  <c r="AF943" i="6"/>
  <c r="AE943" i="6"/>
  <c r="L943" i="6"/>
  <c r="J943" i="6"/>
  <c r="H943" i="6"/>
  <c r="G943" i="6"/>
  <c r="F943" i="6"/>
  <c r="AI943" i="6" s="1"/>
  <c r="E943" i="6"/>
  <c r="D943" i="6"/>
  <c r="C943" i="6"/>
  <c r="B943" i="6"/>
  <c r="A943" i="6"/>
  <c r="BO942" i="6"/>
  <c r="BN943" i="6" s="1"/>
  <c r="BO943" i="6" s="1"/>
  <c r="BN944" i="6" s="1"/>
  <c r="BN942" i="6"/>
  <c r="BG942" i="6"/>
  <c r="W943" i="6" s="1"/>
  <c r="BE942" i="6"/>
  <c r="BE943" i="6" s="1"/>
  <c r="AT942" i="6"/>
  <c r="AO942" i="6"/>
  <c r="AF942" i="6"/>
  <c r="AE942" i="6"/>
  <c r="AC942" i="6"/>
  <c r="BM942" i="6" s="1"/>
  <c r="AC943" i="6" s="1"/>
  <c r="BM943" i="6" s="1"/>
  <c r="AC944" i="6" s="1"/>
  <c r="BM944" i="6" s="1"/>
  <c r="AC945" i="6" s="1"/>
  <c r="BM945" i="6" s="1"/>
  <c r="AC946" i="6" s="1"/>
  <c r="BM946" i="6" s="1"/>
  <c r="AC947" i="6" s="1"/>
  <c r="BM947" i="6" s="1"/>
  <c r="AB942" i="6"/>
  <c r="BL942" i="6" s="1"/>
  <c r="AB943" i="6" s="1"/>
  <c r="BL943" i="6" s="1"/>
  <c r="AB944" i="6" s="1"/>
  <c r="BL944" i="6" s="1"/>
  <c r="AB945" i="6" s="1"/>
  <c r="BL945" i="6" s="1"/>
  <c r="AB946" i="6" s="1"/>
  <c r="BL946" i="6" s="1"/>
  <c r="AB947" i="6" s="1"/>
  <c r="BL947" i="6" s="1"/>
  <c r="AB948" i="6" s="1"/>
  <c r="BL948" i="6" s="1"/>
  <c r="AB949" i="6" s="1"/>
  <c r="BL949" i="6" s="1"/>
  <c r="AB950" i="6" s="1"/>
  <c r="BL950" i="6" s="1"/>
  <c r="AB951" i="6" s="1"/>
  <c r="BL951" i="6" s="1"/>
  <c r="AB952" i="6" s="1"/>
  <c r="BL952" i="6" s="1"/>
  <c r="AB953" i="6" s="1"/>
  <c r="BL953" i="6" s="1"/>
  <c r="AB954" i="6" s="1"/>
  <c r="BL954" i="6" s="1"/>
  <c r="AB955" i="6" s="1"/>
  <c r="BL955" i="6" s="1"/>
  <c r="AB956" i="6" s="1"/>
  <c r="BL956" i="6" s="1"/>
  <c r="AB957" i="6" s="1"/>
  <c r="BL957" i="6" s="1"/>
  <c r="AB958" i="6" s="1"/>
  <c r="BL958" i="6" s="1"/>
  <c r="AB959" i="6" s="1"/>
  <c r="BL959" i="6" s="1"/>
  <c r="AB960" i="6" s="1"/>
  <c r="BL960" i="6" s="1"/>
  <c r="AB961" i="6" s="1"/>
  <c r="BL961" i="6" s="1"/>
  <c r="AB962" i="6" s="1"/>
  <c r="BL962" i="6" s="1"/>
  <c r="AB963" i="6" s="1"/>
  <c r="BL963" i="6" s="1"/>
  <c r="AB964" i="6" s="1"/>
  <c r="BL964" i="6" s="1"/>
  <c r="AB965" i="6" s="1"/>
  <c r="BL965" i="6" s="1"/>
  <c r="AB966" i="6" s="1"/>
  <c r="BL966" i="6" s="1"/>
  <c r="AB967" i="6" s="1"/>
  <c r="BL967" i="6" s="1"/>
  <c r="AB968" i="6" s="1"/>
  <c r="BL968" i="6" s="1"/>
  <c r="AB969" i="6" s="1"/>
  <c r="BL969" i="6" s="1"/>
  <c r="AB970" i="6" s="1"/>
  <c r="BL970" i="6" s="1"/>
  <c r="AB971" i="6" s="1"/>
  <c r="BL971" i="6" s="1"/>
  <c r="AB972" i="6" s="1"/>
  <c r="BL972" i="6" s="1"/>
  <c r="AB973" i="6" s="1"/>
  <c r="BL973" i="6" s="1"/>
  <c r="AB974" i="6" s="1"/>
  <c r="BL974" i="6" s="1"/>
  <c r="AB975" i="6" s="1"/>
  <c r="BL975" i="6" s="1"/>
  <c r="AB976" i="6" s="1"/>
  <c r="BL976" i="6" s="1"/>
  <c r="AB977" i="6" s="1"/>
  <c r="BL977" i="6" s="1"/>
  <c r="AA942" i="6"/>
  <c r="BK942" i="6" s="1"/>
  <c r="AA943" i="6" s="1"/>
  <c r="BK943" i="6" s="1"/>
  <c r="AA944" i="6" s="1"/>
  <c r="BK944" i="6" s="1"/>
  <c r="AA945" i="6" s="1"/>
  <c r="BK945" i="6" s="1"/>
  <c r="AA946" i="6" s="1"/>
  <c r="BK946" i="6" s="1"/>
  <c r="AA947" i="6" s="1"/>
  <c r="BK947" i="6" s="1"/>
  <c r="AA948" i="6" s="1"/>
  <c r="BK948" i="6" s="1"/>
  <c r="AA949" i="6" s="1"/>
  <c r="BK949" i="6" s="1"/>
  <c r="AA950" i="6" s="1"/>
  <c r="BK950" i="6" s="1"/>
  <c r="AA951" i="6" s="1"/>
  <c r="BK951" i="6" s="1"/>
  <c r="AA952" i="6" s="1"/>
  <c r="BK952" i="6" s="1"/>
  <c r="AA953" i="6" s="1"/>
  <c r="BK953" i="6" s="1"/>
  <c r="AA954" i="6" s="1"/>
  <c r="BK954" i="6" s="1"/>
  <c r="AA955" i="6" s="1"/>
  <c r="BK955" i="6" s="1"/>
  <c r="AA956" i="6" s="1"/>
  <c r="BK956" i="6" s="1"/>
  <c r="AA957" i="6" s="1"/>
  <c r="BK957" i="6" s="1"/>
  <c r="AA958" i="6" s="1"/>
  <c r="BK958" i="6" s="1"/>
  <c r="AA959" i="6" s="1"/>
  <c r="BK959" i="6" s="1"/>
  <c r="AA960" i="6" s="1"/>
  <c r="BK960" i="6" s="1"/>
  <c r="AA961" i="6" s="1"/>
  <c r="BK961" i="6" s="1"/>
  <c r="AA962" i="6" s="1"/>
  <c r="BK962" i="6" s="1"/>
  <c r="AA963" i="6" s="1"/>
  <c r="BK963" i="6" s="1"/>
  <c r="AA964" i="6" s="1"/>
  <c r="BK964" i="6" s="1"/>
  <c r="AA965" i="6" s="1"/>
  <c r="BK965" i="6" s="1"/>
  <c r="AA966" i="6" s="1"/>
  <c r="BK966" i="6" s="1"/>
  <c r="AA967" i="6" s="1"/>
  <c r="BK967" i="6" s="1"/>
  <c r="AA968" i="6" s="1"/>
  <c r="BK968" i="6" s="1"/>
  <c r="AA969" i="6" s="1"/>
  <c r="BK969" i="6" s="1"/>
  <c r="AA970" i="6" s="1"/>
  <c r="BK970" i="6" s="1"/>
  <c r="AA971" i="6" s="1"/>
  <c r="BK971" i="6" s="1"/>
  <c r="AA972" i="6" s="1"/>
  <c r="BK972" i="6" s="1"/>
  <c r="AA973" i="6" s="1"/>
  <c r="BK973" i="6" s="1"/>
  <c r="AA974" i="6" s="1"/>
  <c r="BK974" i="6" s="1"/>
  <c r="AA975" i="6" s="1"/>
  <c r="BK975" i="6" s="1"/>
  <c r="AA976" i="6" s="1"/>
  <c r="BK976" i="6" s="1"/>
  <c r="AA977" i="6" s="1"/>
  <c r="BK977" i="6" s="1"/>
  <c r="Z942" i="6"/>
  <c r="BJ942" i="6" s="1"/>
  <c r="Z943" i="6" s="1"/>
  <c r="BJ943" i="6" s="1"/>
  <c r="Z944" i="6" s="1"/>
  <c r="BJ944" i="6" s="1"/>
  <c r="Y942" i="6"/>
  <c r="BI942" i="6" s="1"/>
  <c r="Y943" i="6" s="1"/>
  <c r="BI943" i="6" s="1"/>
  <c r="Y944" i="6" s="1"/>
  <c r="BI944" i="6" s="1"/>
  <c r="Y945" i="6" s="1"/>
  <c r="BI945" i="6" s="1"/>
  <c r="Y946" i="6" s="1"/>
  <c r="BI946" i="6" s="1"/>
  <c r="Y947" i="6" s="1"/>
  <c r="BI947" i="6" s="1"/>
  <c r="Y948" i="6" s="1"/>
  <c r="BI948" i="6" s="1"/>
  <c r="Y949" i="6" s="1"/>
  <c r="BI949" i="6" s="1"/>
  <c r="Y950" i="6" s="1"/>
  <c r="BI950" i="6" s="1"/>
  <c r="Y951" i="6" s="1"/>
  <c r="BI951" i="6" s="1"/>
  <c r="Y952" i="6" s="1"/>
  <c r="BI952" i="6" s="1"/>
  <c r="Y953" i="6" s="1"/>
  <c r="BI953" i="6" s="1"/>
  <c r="Y954" i="6" s="1"/>
  <c r="BI954" i="6" s="1"/>
  <c r="Y955" i="6" s="1"/>
  <c r="BI955" i="6" s="1"/>
  <c r="Y956" i="6" s="1"/>
  <c r="BI956" i="6" s="1"/>
  <c r="Y957" i="6" s="1"/>
  <c r="BI957" i="6" s="1"/>
  <c r="Y958" i="6" s="1"/>
  <c r="BI958" i="6" s="1"/>
  <c r="Y959" i="6" s="1"/>
  <c r="BI959" i="6" s="1"/>
  <c r="Y960" i="6" s="1"/>
  <c r="BI960" i="6" s="1"/>
  <c r="Y961" i="6" s="1"/>
  <c r="BI961" i="6" s="1"/>
  <c r="Y962" i="6" s="1"/>
  <c r="BI962" i="6" s="1"/>
  <c r="Y963" i="6" s="1"/>
  <c r="BI963" i="6" s="1"/>
  <c r="Y964" i="6" s="1"/>
  <c r="BI964" i="6" s="1"/>
  <c r="Y965" i="6" s="1"/>
  <c r="BI965" i="6" s="1"/>
  <c r="Y966" i="6" s="1"/>
  <c r="BI966" i="6" s="1"/>
  <c r="Y967" i="6" s="1"/>
  <c r="BI967" i="6" s="1"/>
  <c r="Y968" i="6" s="1"/>
  <c r="BI968" i="6" s="1"/>
  <c r="Y969" i="6" s="1"/>
  <c r="BI969" i="6" s="1"/>
  <c r="Y970" i="6" s="1"/>
  <c r="BI970" i="6" s="1"/>
  <c r="Y971" i="6" s="1"/>
  <c r="BI971" i="6" s="1"/>
  <c r="Y972" i="6" s="1"/>
  <c r="BI972" i="6" s="1"/>
  <c r="Y973" i="6" s="1"/>
  <c r="BI973" i="6" s="1"/>
  <c r="Y974" i="6" s="1"/>
  <c r="BI974" i="6" s="1"/>
  <c r="Y975" i="6" s="1"/>
  <c r="BI975" i="6" s="1"/>
  <c r="Y976" i="6" s="1"/>
  <c r="BI976" i="6" s="1"/>
  <c r="Y977" i="6" s="1"/>
  <c r="BI977" i="6" s="1"/>
  <c r="X942" i="6"/>
  <c r="BH942" i="6" s="1"/>
  <c r="X943" i="6" s="1"/>
  <c r="BH943" i="6" s="1"/>
  <c r="X944" i="6" s="1"/>
  <c r="BH944" i="6" s="1"/>
  <c r="X945" i="6" s="1"/>
  <c r="BH945" i="6" s="1"/>
  <c r="X946" i="6" s="1"/>
  <c r="BH946" i="6" s="1"/>
  <c r="X947" i="6" s="1"/>
  <c r="BH947" i="6" s="1"/>
  <c r="X948" i="6" s="1"/>
  <c r="BH948" i="6" s="1"/>
  <c r="X949" i="6" s="1"/>
  <c r="BH949" i="6" s="1"/>
  <c r="X950" i="6" s="1"/>
  <c r="BH950" i="6" s="1"/>
  <c r="X951" i="6" s="1"/>
  <c r="BH951" i="6" s="1"/>
  <c r="X952" i="6" s="1"/>
  <c r="BH952" i="6" s="1"/>
  <c r="X953" i="6" s="1"/>
  <c r="BH953" i="6" s="1"/>
  <c r="X954" i="6" s="1"/>
  <c r="BH954" i="6" s="1"/>
  <c r="X955" i="6" s="1"/>
  <c r="BH955" i="6" s="1"/>
  <c r="X956" i="6" s="1"/>
  <c r="BH956" i="6" s="1"/>
  <c r="X957" i="6" s="1"/>
  <c r="BH957" i="6" s="1"/>
  <c r="X958" i="6" s="1"/>
  <c r="BH958" i="6" s="1"/>
  <c r="X959" i="6" s="1"/>
  <c r="BH959" i="6" s="1"/>
  <c r="X960" i="6" s="1"/>
  <c r="BH960" i="6" s="1"/>
  <c r="X961" i="6" s="1"/>
  <c r="BH961" i="6" s="1"/>
  <c r="X962" i="6" s="1"/>
  <c r="BH962" i="6" s="1"/>
  <c r="X963" i="6" s="1"/>
  <c r="BH963" i="6" s="1"/>
  <c r="X964" i="6" s="1"/>
  <c r="BH964" i="6" s="1"/>
  <c r="X965" i="6" s="1"/>
  <c r="BH965" i="6" s="1"/>
  <c r="X966" i="6" s="1"/>
  <c r="BH966" i="6" s="1"/>
  <c r="X967" i="6" s="1"/>
  <c r="BH967" i="6" s="1"/>
  <c r="X968" i="6" s="1"/>
  <c r="BH968" i="6" s="1"/>
  <c r="X969" i="6" s="1"/>
  <c r="BH969" i="6" s="1"/>
  <c r="X970" i="6" s="1"/>
  <c r="BH970" i="6" s="1"/>
  <c r="X971" i="6" s="1"/>
  <c r="BH971" i="6" s="1"/>
  <c r="X972" i="6" s="1"/>
  <c r="BH972" i="6" s="1"/>
  <c r="X973" i="6" s="1"/>
  <c r="BH973" i="6" s="1"/>
  <c r="X974" i="6" s="1"/>
  <c r="BH974" i="6" s="1"/>
  <c r="X975" i="6" s="1"/>
  <c r="BH975" i="6" s="1"/>
  <c r="X976" i="6" s="1"/>
  <c r="BH976" i="6" s="1"/>
  <c r="X977" i="6" s="1"/>
  <c r="BH977" i="6" s="1"/>
  <c r="W942" i="6"/>
  <c r="V942" i="6"/>
  <c r="BF942" i="6" s="1"/>
  <c r="V943" i="6" s="1"/>
  <c r="BF943" i="6" s="1"/>
  <c r="V944" i="6" s="1"/>
  <c r="BF944" i="6" s="1"/>
  <c r="V945" i="6" s="1"/>
  <c r="BF945" i="6" s="1"/>
  <c r="V946" i="6" s="1"/>
  <c r="BF946" i="6" s="1"/>
  <c r="V947" i="6" s="1"/>
  <c r="BF947" i="6" s="1"/>
  <c r="V948" i="6" s="1"/>
  <c r="BF948" i="6" s="1"/>
  <c r="V949" i="6" s="1"/>
  <c r="BF949" i="6" s="1"/>
  <c r="V950" i="6" s="1"/>
  <c r="BF950" i="6" s="1"/>
  <c r="V951" i="6" s="1"/>
  <c r="BF951" i="6" s="1"/>
  <c r="V952" i="6" s="1"/>
  <c r="BF952" i="6" s="1"/>
  <c r="V953" i="6" s="1"/>
  <c r="BF953" i="6" s="1"/>
  <c r="V954" i="6" s="1"/>
  <c r="BF954" i="6" s="1"/>
  <c r="V955" i="6" s="1"/>
  <c r="BF955" i="6" s="1"/>
  <c r="V956" i="6" s="1"/>
  <c r="BF956" i="6" s="1"/>
  <c r="V957" i="6" s="1"/>
  <c r="BF957" i="6" s="1"/>
  <c r="V958" i="6" s="1"/>
  <c r="BF958" i="6" s="1"/>
  <c r="V959" i="6" s="1"/>
  <c r="BF959" i="6" s="1"/>
  <c r="V960" i="6" s="1"/>
  <c r="BF960" i="6" s="1"/>
  <c r="V961" i="6" s="1"/>
  <c r="BF961" i="6" s="1"/>
  <c r="V962" i="6" s="1"/>
  <c r="BF962" i="6" s="1"/>
  <c r="V963" i="6" s="1"/>
  <c r="BF963" i="6" s="1"/>
  <c r="V964" i="6" s="1"/>
  <c r="BF964" i="6" s="1"/>
  <c r="V965" i="6" s="1"/>
  <c r="U942" i="6"/>
  <c r="T942" i="6"/>
  <c r="BD942" i="6" s="1"/>
  <c r="T943" i="6" s="1"/>
  <c r="BD943" i="6" s="1"/>
  <c r="T944" i="6" s="1"/>
  <c r="BD944" i="6" s="1"/>
  <c r="T945" i="6" s="1"/>
  <c r="BD945" i="6" s="1"/>
  <c r="T946" i="6" s="1"/>
  <c r="S942" i="6"/>
  <c r="BC942" i="6" s="1"/>
  <c r="S943" i="6" s="1"/>
  <c r="BC943" i="6" s="1"/>
  <c r="S944" i="6" s="1"/>
  <c r="BC944" i="6" s="1"/>
  <c r="S945" i="6" s="1"/>
  <c r="BC945" i="6" s="1"/>
  <c r="S946" i="6" s="1"/>
  <c r="BC946" i="6" s="1"/>
  <c r="S947" i="6" s="1"/>
  <c r="BC947" i="6" s="1"/>
  <c r="S948" i="6" s="1"/>
  <c r="BC948" i="6" s="1"/>
  <c r="S949" i="6" s="1"/>
  <c r="BC949" i="6" s="1"/>
  <c r="S950" i="6" s="1"/>
  <c r="BC950" i="6" s="1"/>
  <c r="S951" i="6" s="1"/>
  <c r="BC951" i="6" s="1"/>
  <c r="S952" i="6" s="1"/>
  <c r="BC952" i="6" s="1"/>
  <c r="S953" i="6" s="1"/>
  <c r="BC953" i="6" s="1"/>
  <c r="S954" i="6" s="1"/>
  <c r="BC954" i="6" s="1"/>
  <c r="S955" i="6" s="1"/>
  <c r="BC955" i="6" s="1"/>
  <c r="S956" i="6" s="1"/>
  <c r="BC956" i="6" s="1"/>
  <c r="S957" i="6" s="1"/>
  <c r="BC957" i="6" s="1"/>
  <c r="S958" i="6" s="1"/>
  <c r="BC958" i="6" s="1"/>
  <c r="S959" i="6" s="1"/>
  <c r="BC959" i="6" s="1"/>
  <c r="S960" i="6" s="1"/>
  <c r="BC960" i="6" s="1"/>
  <c r="S961" i="6" s="1"/>
  <c r="BC961" i="6" s="1"/>
  <c r="S962" i="6" s="1"/>
  <c r="BC962" i="6" s="1"/>
  <c r="S963" i="6" s="1"/>
  <c r="BC963" i="6" s="1"/>
  <c r="S964" i="6" s="1"/>
  <c r="BC964" i="6" s="1"/>
  <c r="S965" i="6" s="1"/>
  <c r="BC965" i="6" s="1"/>
  <c r="S966" i="6" s="1"/>
  <c r="BC966" i="6" s="1"/>
  <c r="S967" i="6" s="1"/>
  <c r="BC967" i="6" s="1"/>
  <c r="S968" i="6" s="1"/>
  <c r="BC968" i="6" s="1"/>
  <c r="S969" i="6" s="1"/>
  <c r="BC969" i="6" s="1"/>
  <c r="S970" i="6" s="1"/>
  <c r="BC970" i="6" s="1"/>
  <c r="S971" i="6" s="1"/>
  <c r="BC971" i="6" s="1"/>
  <c r="S972" i="6" s="1"/>
  <c r="BC972" i="6" s="1"/>
  <c r="S973" i="6" s="1"/>
  <c r="BC973" i="6" s="1"/>
  <c r="S974" i="6" s="1"/>
  <c r="BC974" i="6" s="1"/>
  <c r="S975" i="6" s="1"/>
  <c r="BC975" i="6" s="1"/>
  <c r="S976" i="6" s="1"/>
  <c r="BC976" i="6" s="1"/>
  <c r="S977" i="6" s="1"/>
  <c r="BC977" i="6" s="1"/>
  <c r="R942" i="6"/>
  <c r="BB942" i="6" s="1"/>
  <c r="R943" i="6" s="1"/>
  <c r="BB943" i="6" s="1"/>
  <c r="R944" i="6" s="1"/>
  <c r="BB944" i="6" s="1"/>
  <c r="R945" i="6" s="1"/>
  <c r="BB945" i="6" s="1"/>
  <c r="R946" i="6" s="1"/>
  <c r="BB946" i="6" s="1"/>
  <c r="R947" i="6" s="1"/>
  <c r="BB947" i="6" s="1"/>
  <c r="R948" i="6" s="1"/>
  <c r="BB948" i="6" s="1"/>
  <c r="R949" i="6" s="1"/>
  <c r="BB949" i="6" s="1"/>
  <c r="R950" i="6" s="1"/>
  <c r="BB950" i="6" s="1"/>
  <c r="R951" i="6" s="1"/>
  <c r="BB951" i="6" s="1"/>
  <c r="Q942" i="6"/>
  <c r="BA942" i="6" s="1"/>
  <c r="Q943" i="6" s="1"/>
  <c r="BA943" i="6" s="1"/>
  <c r="Q944" i="6" s="1"/>
  <c r="BA944" i="6" s="1"/>
  <c r="Q945" i="6" s="1"/>
  <c r="BA945" i="6" s="1"/>
  <c r="Q946" i="6" s="1"/>
  <c r="BA946" i="6" s="1"/>
  <c r="Q947" i="6" s="1"/>
  <c r="BA947" i="6" s="1"/>
  <c r="O942" i="6"/>
  <c r="AY942" i="6" s="1"/>
  <c r="O943" i="6" s="1"/>
  <c r="AY943" i="6" s="1"/>
  <c r="O944" i="6" s="1"/>
  <c r="AY944" i="6" s="1"/>
  <c r="O945" i="6" s="1"/>
  <c r="AY945" i="6" s="1"/>
  <c r="O946" i="6" s="1"/>
  <c r="AY946" i="6" s="1"/>
  <c r="O947" i="6" s="1"/>
  <c r="AY947" i="6" s="1"/>
  <c r="O948" i="6" s="1"/>
  <c r="AY948" i="6" s="1"/>
  <c r="O949" i="6" s="1"/>
  <c r="AY949" i="6" s="1"/>
  <c r="O950" i="6" s="1"/>
  <c r="AY950" i="6" s="1"/>
  <c r="O951" i="6" s="1"/>
  <c r="AY951" i="6" s="1"/>
  <c r="O952" i="6" s="1"/>
  <c r="AY952" i="6" s="1"/>
  <c r="O953" i="6" s="1"/>
  <c r="AY953" i="6" s="1"/>
  <c r="O954" i="6" s="1"/>
  <c r="AY954" i="6" s="1"/>
  <c r="O955" i="6" s="1"/>
  <c r="AY955" i="6" s="1"/>
  <c r="O956" i="6" s="1"/>
  <c r="AY956" i="6" s="1"/>
  <c r="O957" i="6" s="1"/>
  <c r="AY957" i="6" s="1"/>
  <c r="O958" i="6" s="1"/>
  <c r="AY958" i="6" s="1"/>
  <c r="O959" i="6" s="1"/>
  <c r="AY959" i="6" s="1"/>
  <c r="O960" i="6" s="1"/>
  <c r="AY960" i="6" s="1"/>
  <c r="O961" i="6" s="1"/>
  <c r="N942" i="6"/>
  <c r="AX942" i="6" s="1"/>
  <c r="N943" i="6" s="1"/>
  <c r="AX943" i="6" s="1"/>
  <c r="N944" i="6" s="1"/>
  <c r="AX944" i="6" s="1"/>
  <c r="N945" i="6" s="1"/>
  <c r="AX945" i="6" s="1"/>
  <c r="N946" i="6" s="1"/>
  <c r="AX946" i="6" s="1"/>
  <c r="N947" i="6" s="1"/>
  <c r="AX947" i="6" s="1"/>
  <c r="N948" i="6" s="1"/>
  <c r="AX948" i="6" s="1"/>
  <c r="M942" i="6"/>
  <c r="AW942" i="6" s="1"/>
  <c r="M943" i="6" s="1"/>
  <c r="AW943" i="6" s="1"/>
  <c r="M944" i="6" s="1"/>
  <c r="L942" i="6"/>
  <c r="K942" i="6"/>
  <c r="J942" i="6"/>
  <c r="I942" i="6"/>
  <c r="H942" i="6"/>
  <c r="G942" i="6"/>
  <c r="AV942" i="6" s="1"/>
  <c r="F942" i="6"/>
  <c r="AP942" i="6" s="1"/>
  <c r="E942" i="6"/>
  <c r="D942" i="6"/>
  <c r="C942" i="6"/>
  <c r="B942" i="6"/>
  <c r="A942" i="6"/>
  <c r="AO941" i="6"/>
  <c r="H941" i="6"/>
  <c r="G941" i="6"/>
  <c r="F941" i="6"/>
  <c r="E941" i="6"/>
  <c r="D941" i="6"/>
  <c r="C941" i="6"/>
  <c r="B941" i="6"/>
  <c r="A941" i="6"/>
  <c r="AO940" i="6"/>
  <c r="AI940" i="6"/>
  <c r="AE940" i="6"/>
  <c r="K940" i="6"/>
  <c r="J940" i="6"/>
  <c r="I940" i="6"/>
  <c r="H940" i="6"/>
  <c r="G940" i="6"/>
  <c r="F940" i="6"/>
  <c r="E940" i="6"/>
  <c r="D940" i="6"/>
  <c r="C940" i="6"/>
  <c r="B940" i="6"/>
  <c r="A940" i="6"/>
  <c r="AO939" i="6"/>
  <c r="H939" i="6"/>
  <c r="G939" i="6"/>
  <c r="F939" i="6"/>
  <c r="AE939" i="6" s="1"/>
  <c r="E939" i="6"/>
  <c r="D939" i="6"/>
  <c r="C939" i="6"/>
  <c r="B939" i="6"/>
  <c r="A939" i="6"/>
  <c r="AO938" i="6"/>
  <c r="AI938" i="6"/>
  <c r="AE938" i="6"/>
  <c r="K938" i="6"/>
  <c r="I938" i="6"/>
  <c r="H938" i="6"/>
  <c r="G938" i="6"/>
  <c r="F938" i="6"/>
  <c r="J938" i="6" s="1"/>
  <c r="E938" i="6"/>
  <c r="D938" i="6"/>
  <c r="C938" i="6"/>
  <c r="B938" i="6"/>
  <c r="A938" i="6"/>
  <c r="AO937" i="6"/>
  <c r="H937" i="6"/>
  <c r="G937" i="6"/>
  <c r="F937" i="6"/>
  <c r="E937" i="6"/>
  <c r="D937" i="6"/>
  <c r="C937" i="6"/>
  <c r="B937" i="6"/>
  <c r="A937" i="6"/>
  <c r="AO936" i="6"/>
  <c r="AI936" i="6"/>
  <c r="AE936" i="6"/>
  <c r="K936" i="6"/>
  <c r="J936" i="6"/>
  <c r="I936" i="6"/>
  <c r="H936" i="6"/>
  <c r="G936" i="6"/>
  <c r="F936" i="6"/>
  <c r="E936" i="6"/>
  <c r="D936" i="6"/>
  <c r="C936" i="6"/>
  <c r="B936" i="6"/>
  <c r="A936" i="6"/>
  <c r="AO935" i="6"/>
  <c r="J935" i="6"/>
  <c r="H935" i="6"/>
  <c r="G935" i="6"/>
  <c r="F935" i="6"/>
  <c r="AI935" i="6" s="1"/>
  <c r="E935" i="6"/>
  <c r="D935" i="6"/>
  <c r="C935" i="6"/>
  <c r="B935" i="6"/>
  <c r="A935" i="6"/>
  <c r="AO934" i="6"/>
  <c r="AE934" i="6"/>
  <c r="O934" i="6"/>
  <c r="AY934" i="6" s="1"/>
  <c r="O935" i="6" s="1"/>
  <c r="AY935" i="6" s="1"/>
  <c r="O936" i="6" s="1"/>
  <c r="AY936" i="6" s="1"/>
  <c r="O937" i="6" s="1"/>
  <c r="AY937" i="6" s="1"/>
  <c r="O938" i="6" s="1"/>
  <c r="AY938" i="6" s="1"/>
  <c r="O939" i="6" s="1"/>
  <c r="AY939" i="6" s="1"/>
  <c r="O940" i="6" s="1"/>
  <c r="AY940" i="6" s="1"/>
  <c r="O941" i="6" s="1"/>
  <c r="AY941" i="6" s="1"/>
  <c r="K934" i="6"/>
  <c r="H934" i="6"/>
  <c r="G934" i="6"/>
  <c r="AI934" i="6" s="1"/>
  <c r="F934" i="6"/>
  <c r="E934" i="6"/>
  <c r="D934" i="6"/>
  <c r="C934" i="6"/>
  <c r="B934" i="6"/>
  <c r="A934" i="6"/>
  <c r="AO933" i="6"/>
  <c r="Z933" i="6"/>
  <c r="BJ933" i="6" s="1"/>
  <c r="Z934" i="6" s="1"/>
  <c r="BJ934" i="6" s="1"/>
  <c r="Z935" i="6" s="1"/>
  <c r="BJ935" i="6" s="1"/>
  <c r="Z936" i="6" s="1"/>
  <c r="BJ936" i="6" s="1"/>
  <c r="Z937" i="6" s="1"/>
  <c r="BJ937" i="6" s="1"/>
  <c r="Z938" i="6" s="1"/>
  <c r="BJ938" i="6" s="1"/>
  <c r="Z939" i="6" s="1"/>
  <c r="BJ939" i="6" s="1"/>
  <c r="Z940" i="6" s="1"/>
  <c r="BJ940" i="6" s="1"/>
  <c r="Z941" i="6" s="1"/>
  <c r="BJ941" i="6" s="1"/>
  <c r="H933" i="6"/>
  <c r="G933" i="6"/>
  <c r="F933" i="6"/>
  <c r="E933" i="6"/>
  <c r="D933" i="6"/>
  <c r="C933" i="6"/>
  <c r="B933" i="6"/>
  <c r="A933" i="6"/>
  <c r="AO932" i="6"/>
  <c r="AE932" i="6"/>
  <c r="K932" i="6"/>
  <c r="I932" i="6"/>
  <c r="H932" i="6"/>
  <c r="G932" i="6"/>
  <c r="F932" i="6"/>
  <c r="E932" i="6"/>
  <c r="D932" i="6"/>
  <c r="C932" i="6"/>
  <c r="B932" i="6"/>
  <c r="A932" i="6"/>
  <c r="AO931" i="6"/>
  <c r="AE931" i="6"/>
  <c r="J931" i="6"/>
  <c r="H931" i="6"/>
  <c r="G931" i="6"/>
  <c r="F931" i="6"/>
  <c r="E931" i="6"/>
  <c r="D931" i="6"/>
  <c r="C931" i="6"/>
  <c r="B931" i="6"/>
  <c r="A931" i="6"/>
  <c r="AO930" i="6"/>
  <c r="AE930" i="6"/>
  <c r="K930" i="6"/>
  <c r="J930" i="6"/>
  <c r="I930" i="6"/>
  <c r="H930" i="6"/>
  <c r="G930" i="6"/>
  <c r="AI930" i="6" s="1"/>
  <c r="F930" i="6"/>
  <c r="E930" i="6"/>
  <c r="D930" i="6"/>
  <c r="C930" i="6"/>
  <c r="B930" i="6"/>
  <c r="A930" i="6"/>
  <c r="AO929" i="6"/>
  <c r="H929" i="6"/>
  <c r="G929" i="6"/>
  <c r="F929" i="6"/>
  <c r="E929" i="6"/>
  <c r="D929" i="6"/>
  <c r="C929" i="6"/>
  <c r="B929" i="6"/>
  <c r="A929" i="6"/>
  <c r="AT928" i="6"/>
  <c r="AI928" i="6"/>
  <c r="AE928" i="6"/>
  <c r="K928" i="6"/>
  <c r="J928" i="6"/>
  <c r="I928" i="6"/>
  <c r="H928" i="6"/>
  <c r="G928" i="6"/>
  <c r="F928" i="6"/>
  <c r="E928" i="6"/>
  <c r="D928" i="6"/>
  <c r="C928" i="6"/>
  <c r="B928" i="6"/>
  <c r="A928" i="6"/>
  <c r="AT927" i="6"/>
  <c r="AO927" i="6"/>
  <c r="H927" i="6"/>
  <c r="G927" i="6"/>
  <c r="F927" i="6"/>
  <c r="E927" i="6"/>
  <c r="D927" i="6"/>
  <c r="C927" i="6"/>
  <c r="B927" i="6"/>
  <c r="A927" i="6"/>
  <c r="AT926" i="6"/>
  <c r="AO926" i="6"/>
  <c r="AE926" i="6"/>
  <c r="K926" i="6"/>
  <c r="H926" i="6"/>
  <c r="G926" i="6"/>
  <c r="AI926" i="6" s="1"/>
  <c r="F926" i="6"/>
  <c r="E926" i="6"/>
  <c r="D926" i="6"/>
  <c r="C926" i="6"/>
  <c r="B926" i="6"/>
  <c r="A926" i="6"/>
  <c r="AT925" i="6"/>
  <c r="AO925" i="6"/>
  <c r="I925" i="6"/>
  <c r="H925" i="6"/>
  <c r="G925" i="6"/>
  <c r="F925" i="6"/>
  <c r="E925" i="6"/>
  <c r="D925" i="6"/>
  <c r="C925" i="6"/>
  <c r="B925" i="6"/>
  <c r="A925" i="6"/>
  <c r="AT924" i="6"/>
  <c r="AO924" i="6"/>
  <c r="AI924" i="6"/>
  <c r="AE924" i="6"/>
  <c r="K924" i="6"/>
  <c r="J924" i="6"/>
  <c r="I924" i="6"/>
  <c r="H924" i="6"/>
  <c r="G924" i="6"/>
  <c r="F924" i="6"/>
  <c r="E924" i="6"/>
  <c r="D924" i="6"/>
  <c r="C924" i="6"/>
  <c r="B924" i="6"/>
  <c r="A924" i="6"/>
  <c r="AT923" i="6"/>
  <c r="AO923" i="6"/>
  <c r="H923" i="6"/>
  <c r="AF923" i="6" s="1"/>
  <c r="G923" i="6"/>
  <c r="F923" i="6"/>
  <c r="AE923" i="6" s="1"/>
  <c r="E923" i="6"/>
  <c r="D923" i="6"/>
  <c r="C923" i="6"/>
  <c r="B923" i="6"/>
  <c r="A923" i="6"/>
  <c r="AT922" i="6"/>
  <c r="AE922" i="6"/>
  <c r="J922" i="6"/>
  <c r="H922" i="6"/>
  <c r="G922" i="6"/>
  <c r="F922" i="6"/>
  <c r="I922" i="6" s="1"/>
  <c r="E922" i="6"/>
  <c r="D922" i="6"/>
  <c r="C922" i="6"/>
  <c r="B922" i="6"/>
  <c r="A922" i="6"/>
  <c r="AT921" i="6"/>
  <c r="AO921" i="6"/>
  <c r="AF921" i="6"/>
  <c r="AE921" i="6"/>
  <c r="K921" i="6"/>
  <c r="J921" i="6"/>
  <c r="H921" i="6"/>
  <c r="G921" i="6"/>
  <c r="F921" i="6"/>
  <c r="E921" i="6"/>
  <c r="D921" i="6"/>
  <c r="C921" i="6"/>
  <c r="B921" i="6"/>
  <c r="A921" i="6"/>
  <c r="AT920" i="6"/>
  <c r="AO920" i="6"/>
  <c r="AF920" i="6"/>
  <c r="AE920" i="6"/>
  <c r="K920" i="6"/>
  <c r="I920" i="6"/>
  <c r="H920" i="6"/>
  <c r="G920" i="6"/>
  <c r="F920" i="6"/>
  <c r="E920" i="6"/>
  <c r="D920" i="6"/>
  <c r="C920" i="6"/>
  <c r="B920" i="6"/>
  <c r="A920" i="6"/>
  <c r="BF919" i="6"/>
  <c r="V920" i="6" s="1"/>
  <c r="BF920" i="6" s="1"/>
  <c r="V921" i="6" s="1"/>
  <c r="BF921" i="6" s="1"/>
  <c r="V922" i="6" s="1"/>
  <c r="BF922" i="6" s="1"/>
  <c r="V923" i="6" s="1"/>
  <c r="BF923" i="6" s="1"/>
  <c r="V924" i="6" s="1"/>
  <c r="BF924" i="6" s="1"/>
  <c r="V925" i="6" s="1"/>
  <c r="BF925" i="6" s="1"/>
  <c r="V926" i="6" s="1"/>
  <c r="BF926" i="6" s="1"/>
  <c r="V927" i="6" s="1"/>
  <c r="BF927" i="6" s="1"/>
  <c r="V928" i="6" s="1"/>
  <c r="BF928" i="6" s="1"/>
  <c r="V929" i="6" s="1"/>
  <c r="AT919" i="6"/>
  <c r="AO919" i="6"/>
  <c r="AF919" i="6"/>
  <c r="H919" i="6"/>
  <c r="G919" i="6"/>
  <c r="F919" i="6"/>
  <c r="E919" i="6"/>
  <c r="D919" i="6"/>
  <c r="C919" i="6"/>
  <c r="B919" i="6"/>
  <c r="A919" i="6"/>
  <c r="AT918" i="6"/>
  <c r="AO918" i="6"/>
  <c r="AE918" i="6"/>
  <c r="K918" i="6"/>
  <c r="J918" i="6"/>
  <c r="I918" i="6"/>
  <c r="H918" i="6"/>
  <c r="G918" i="6"/>
  <c r="F918" i="6"/>
  <c r="E918" i="6"/>
  <c r="D918" i="6"/>
  <c r="C918" i="6"/>
  <c r="B918" i="6"/>
  <c r="A918" i="6"/>
  <c r="AT917" i="6"/>
  <c r="AI917" i="6"/>
  <c r="K917" i="6"/>
  <c r="I917" i="6"/>
  <c r="H917" i="6"/>
  <c r="G917" i="6"/>
  <c r="F917" i="6"/>
  <c r="AE917" i="6" s="1"/>
  <c r="E917" i="6"/>
  <c r="D917" i="6"/>
  <c r="C917" i="6"/>
  <c r="B917" i="6"/>
  <c r="A917" i="6"/>
  <c r="AT916" i="6"/>
  <c r="AE916" i="6"/>
  <c r="K916" i="6"/>
  <c r="J916" i="6"/>
  <c r="I916" i="6"/>
  <c r="H916" i="6"/>
  <c r="G916" i="6"/>
  <c r="F916" i="6"/>
  <c r="E916" i="6"/>
  <c r="D916" i="6"/>
  <c r="C916" i="6"/>
  <c r="B916" i="6"/>
  <c r="A916" i="6"/>
  <c r="AT915" i="6"/>
  <c r="AO915" i="6"/>
  <c r="AF915" i="6"/>
  <c r="V915" i="6"/>
  <c r="BF915" i="6" s="1"/>
  <c r="V916" i="6" s="1"/>
  <c r="BF916" i="6" s="1"/>
  <c r="V917" i="6" s="1"/>
  <c r="BF917" i="6" s="1"/>
  <c r="V918" i="6" s="1"/>
  <c r="BF918" i="6" s="1"/>
  <c r="V919" i="6" s="1"/>
  <c r="K915" i="6"/>
  <c r="H915" i="6"/>
  <c r="G915" i="6"/>
  <c r="F915" i="6"/>
  <c r="E915" i="6"/>
  <c r="D915" i="6"/>
  <c r="C915" i="6"/>
  <c r="B915" i="6"/>
  <c r="A915" i="6"/>
  <c r="AT914" i="6"/>
  <c r="AO914" i="6"/>
  <c r="K914" i="6"/>
  <c r="I914" i="6"/>
  <c r="H914" i="6"/>
  <c r="G914" i="6"/>
  <c r="F914" i="6"/>
  <c r="AE914" i="6" s="1"/>
  <c r="E914" i="6"/>
  <c r="D914" i="6"/>
  <c r="C914" i="6"/>
  <c r="B914" i="6"/>
  <c r="A914" i="6"/>
  <c r="BF913" i="6"/>
  <c r="V914" i="6" s="1"/>
  <c r="BF914" i="6" s="1"/>
  <c r="AT913" i="6"/>
  <c r="AO913" i="6"/>
  <c r="AF913" i="6"/>
  <c r="AE913" i="6"/>
  <c r="H913" i="6"/>
  <c r="G913" i="6"/>
  <c r="F913" i="6"/>
  <c r="E913" i="6"/>
  <c r="D913" i="6"/>
  <c r="C913" i="6"/>
  <c r="B913" i="6"/>
  <c r="A913" i="6"/>
  <c r="AT912" i="6"/>
  <c r="AO912" i="6"/>
  <c r="AF912" i="6"/>
  <c r="AE912" i="6"/>
  <c r="K912" i="6"/>
  <c r="J912" i="6"/>
  <c r="I912" i="6"/>
  <c r="H912" i="6"/>
  <c r="G912" i="6"/>
  <c r="F912" i="6"/>
  <c r="E912" i="6"/>
  <c r="D912" i="6"/>
  <c r="C912" i="6"/>
  <c r="B912" i="6"/>
  <c r="A912" i="6"/>
  <c r="AT911" i="6"/>
  <c r="H911" i="6"/>
  <c r="G911" i="6"/>
  <c r="F911" i="6"/>
  <c r="E911" i="6"/>
  <c r="D911" i="6"/>
  <c r="C911" i="6"/>
  <c r="B911" i="6"/>
  <c r="A911" i="6"/>
  <c r="AT910" i="6"/>
  <c r="AI910" i="6"/>
  <c r="AE910" i="6"/>
  <c r="K910" i="6"/>
  <c r="J910" i="6"/>
  <c r="I910" i="6"/>
  <c r="H910" i="6"/>
  <c r="G910" i="6"/>
  <c r="F910" i="6"/>
  <c r="E910" i="6"/>
  <c r="D910" i="6"/>
  <c r="C910" i="6"/>
  <c r="B910" i="6"/>
  <c r="A910" i="6"/>
  <c r="AT909" i="6"/>
  <c r="AO909" i="6"/>
  <c r="T909" i="6"/>
  <c r="K909" i="6"/>
  <c r="H909" i="6"/>
  <c r="G909" i="6"/>
  <c r="F909" i="6"/>
  <c r="J909" i="6" s="1"/>
  <c r="E909" i="6"/>
  <c r="D909" i="6"/>
  <c r="C909" i="6"/>
  <c r="B909" i="6"/>
  <c r="A909" i="6"/>
  <c r="BN908" i="6"/>
  <c r="BO908" i="6" s="1"/>
  <c r="BN909" i="6" s="1"/>
  <c r="BO909" i="6" s="1"/>
  <c r="BN910" i="6" s="1"/>
  <c r="BO910" i="6" s="1"/>
  <c r="BN911" i="6" s="1"/>
  <c r="BO911" i="6" s="1"/>
  <c r="BN912" i="6" s="1"/>
  <c r="BO912" i="6" s="1"/>
  <c r="BN913" i="6" s="1"/>
  <c r="BO913" i="6" s="1"/>
  <c r="BN914" i="6" s="1"/>
  <c r="AT908" i="6"/>
  <c r="AO908" i="6"/>
  <c r="AF908" i="6"/>
  <c r="O908" i="6"/>
  <c r="AY908" i="6" s="1"/>
  <c r="O909" i="6" s="1"/>
  <c r="AY909" i="6" s="1"/>
  <c r="O910" i="6" s="1"/>
  <c r="AY910" i="6" s="1"/>
  <c r="O911" i="6" s="1"/>
  <c r="AY911" i="6" s="1"/>
  <c r="O912" i="6" s="1"/>
  <c r="AY912" i="6" s="1"/>
  <c r="O913" i="6" s="1"/>
  <c r="AY913" i="6" s="1"/>
  <c r="O914" i="6" s="1"/>
  <c r="AY914" i="6" s="1"/>
  <c r="O915" i="6" s="1"/>
  <c r="AY915" i="6" s="1"/>
  <c r="O916" i="6" s="1"/>
  <c r="AY916" i="6" s="1"/>
  <c r="O917" i="6" s="1"/>
  <c r="AY917" i="6" s="1"/>
  <c r="O918" i="6" s="1"/>
  <c r="AY918" i="6" s="1"/>
  <c r="O919" i="6" s="1"/>
  <c r="AY919" i="6" s="1"/>
  <c r="O920" i="6" s="1"/>
  <c r="AY920" i="6" s="1"/>
  <c r="O921" i="6" s="1"/>
  <c r="AY921" i="6" s="1"/>
  <c r="O922" i="6" s="1"/>
  <c r="AY922" i="6" s="1"/>
  <c r="O923" i="6" s="1"/>
  <c r="AY923" i="6" s="1"/>
  <c r="O924" i="6" s="1"/>
  <c r="AY924" i="6" s="1"/>
  <c r="O925" i="6" s="1"/>
  <c r="AY925" i="6" s="1"/>
  <c r="O926" i="6" s="1"/>
  <c r="AY926" i="6" s="1"/>
  <c r="O927" i="6" s="1"/>
  <c r="AY927" i="6" s="1"/>
  <c r="O928" i="6" s="1"/>
  <c r="AY928" i="6" s="1"/>
  <c r="O929" i="6" s="1"/>
  <c r="AY929" i="6" s="1"/>
  <c r="O930" i="6" s="1"/>
  <c r="AY930" i="6" s="1"/>
  <c r="O931" i="6" s="1"/>
  <c r="AY931" i="6" s="1"/>
  <c r="O932" i="6" s="1"/>
  <c r="AY932" i="6" s="1"/>
  <c r="O933" i="6" s="1"/>
  <c r="AY933" i="6" s="1"/>
  <c r="H908" i="6"/>
  <c r="G908" i="6"/>
  <c r="F908" i="6"/>
  <c r="E908" i="6"/>
  <c r="D908" i="6"/>
  <c r="C908" i="6"/>
  <c r="B908" i="6"/>
  <c r="A908" i="6"/>
  <c r="BN907" i="6"/>
  <c r="BO907" i="6" s="1"/>
  <c r="BF907" i="6"/>
  <c r="V908" i="6" s="1"/>
  <c r="BF908" i="6" s="1"/>
  <c r="V909" i="6" s="1"/>
  <c r="BF909" i="6" s="1"/>
  <c r="V910" i="6" s="1"/>
  <c r="BF910" i="6" s="1"/>
  <c r="V911" i="6" s="1"/>
  <c r="BF911" i="6" s="1"/>
  <c r="V912" i="6" s="1"/>
  <c r="BF912" i="6" s="1"/>
  <c r="V913" i="6" s="1"/>
  <c r="AT907" i="6"/>
  <c r="AO907" i="6"/>
  <c r="AF907" i="6"/>
  <c r="Y907" i="6"/>
  <c r="BI907" i="6" s="1"/>
  <c r="Y908" i="6" s="1"/>
  <c r="BI908" i="6" s="1"/>
  <c r="Y909" i="6" s="1"/>
  <c r="BI909" i="6" s="1"/>
  <c r="Y910" i="6" s="1"/>
  <c r="BI910" i="6" s="1"/>
  <c r="Y911" i="6" s="1"/>
  <c r="BI911" i="6" s="1"/>
  <c r="Y912" i="6" s="1"/>
  <c r="BI912" i="6" s="1"/>
  <c r="Y913" i="6" s="1"/>
  <c r="BI913" i="6" s="1"/>
  <c r="Y914" i="6" s="1"/>
  <c r="BI914" i="6" s="1"/>
  <c r="Y915" i="6" s="1"/>
  <c r="BI915" i="6" s="1"/>
  <c r="Y916" i="6" s="1"/>
  <c r="BI916" i="6" s="1"/>
  <c r="Y917" i="6" s="1"/>
  <c r="BI917" i="6" s="1"/>
  <c r="Y918" i="6" s="1"/>
  <c r="BI918" i="6" s="1"/>
  <c r="Y919" i="6" s="1"/>
  <c r="BI919" i="6" s="1"/>
  <c r="Y920" i="6" s="1"/>
  <c r="BI920" i="6" s="1"/>
  <c r="Y921" i="6" s="1"/>
  <c r="BI921" i="6" s="1"/>
  <c r="Y922" i="6" s="1"/>
  <c r="BI922" i="6" s="1"/>
  <c r="Y923" i="6" s="1"/>
  <c r="BI923" i="6" s="1"/>
  <c r="Y924" i="6" s="1"/>
  <c r="BI924" i="6" s="1"/>
  <c r="Y925" i="6" s="1"/>
  <c r="BI925" i="6" s="1"/>
  <c r="Y926" i="6" s="1"/>
  <c r="BI926" i="6" s="1"/>
  <c r="Y927" i="6" s="1"/>
  <c r="BI927" i="6" s="1"/>
  <c r="Y928" i="6" s="1"/>
  <c r="BI928" i="6" s="1"/>
  <c r="Y929" i="6" s="1"/>
  <c r="BI929" i="6" s="1"/>
  <c r="Y930" i="6" s="1"/>
  <c r="BI930" i="6" s="1"/>
  <c r="Y931" i="6" s="1"/>
  <c r="BI931" i="6" s="1"/>
  <c r="Y932" i="6" s="1"/>
  <c r="BI932" i="6" s="1"/>
  <c r="Y933" i="6" s="1"/>
  <c r="BI933" i="6" s="1"/>
  <c r="Y934" i="6" s="1"/>
  <c r="BI934" i="6" s="1"/>
  <c r="Y935" i="6" s="1"/>
  <c r="BI935" i="6" s="1"/>
  <c r="Y936" i="6" s="1"/>
  <c r="BI936" i="6" s="1"/>
  <c r="Y937" i="6" s="1"/>
  <c r="BI937" i="6" s="1"/>
  <c r="Y938" i="6" s="1"/>
  <c r="BI938" i="6" s="1"/>
  <c r="Y939" i="6" s="1"/>
  <c r="BI939" i="6" s="1"/>
  <c r="Y940" i="6" s="1"/>
  <c r="BI940" i="6" s="1"/>
  <c r="Y941" i="6" s="1"/>
  <c r="BI941" i="6" s="1"/>
  <c r="V907" i="6"/>
  <c r="J907" i="6"/>
  <c r="H907" i="6"/>
  <c r="G907" i="6"/>
  <c r="F907" i="6"/>
  <c r="E907" i="6"/>
  <c r="D907" i="6"/>
  <c r="C907" i="6"/>
  <c r="B907" i="6"/>
  <c r="A907" i="6"/>
  <c r="BO906" i="6"/>
  <c r="BN906" i="6"/>
  <c r="BE906" i="6"/>
  <c r="BE907" i="6" s="1"/>
  <c r="AT906" i="6"/>
  <c r="AO906" i="6"/>
  <c r="AI906" i="6"/>
  <c r="AF906" i="6"/>
  <c r="AE906" i="6"/>
  <c r="AC906" i="6"/>
  <c r="BM906" i="6" s="1"/>
  <c r="AC907" i="6" s="1"/>
  <c r="BM907" i="6" s="1"/>
  <c r="AC908" i="6" s="1"/>
  <c r="BM908" i="6" s="1"/>
  <c r="AC909" i="6" s="1"/>
  <c r="BM909" i="6" s="1"/>
  <c r="AC910" i="6" s="1"/>
  <c r="BM910" i="6" s="1"/>
  <c r="AC911" i="6" s="1"/>
  <c r="BM911" i="6" s="1"/>
  <c r="AC912" i="6" s="1"/>
  <c r="BM912" i="6" s="1"/>
  <c r="AC913" i="6" s="1"/>
  <c r="BM913" i="6" s="1"/>
  <c r="AC914" i="6" s="1"/>
  <c r="BM914" i="6" s="1"/>
  <c r="AC915" i="6" s="1"/>
  <c r="BM915" i="6" s="1"/>
  <c r="AC916" i="6" s="1"/>
  <c r="BM916" i="6" s="1"/>
  <c r="AC917" i="6" s="1"/>
  <c r="BM917" i="6" s="1"/>
  <c r="AC918" i="6" s="1"/>
  <c r="BM918" i="6" s="1"/>
  <c r="AC919" i="6" s="1"/>
  <c r="BM919" i="6" s="1"/>
  <c r="AC920" i="6" s="1"/>
  <c r="BM920" i="6" s="1"/>
  <c r="AC921" i="6" s="1"/>
  <c r="BM921" i="6" s="1"/>
  <c r="AC922" i="6" s="1"/>
  <c r="BM922" i="6" s="1"/>
  <c r="AC923" i="6" s="1"/>
  <c r="BM923" i="6" s="1"/>
  <c r="AC924" i="6" s="1"/>
  <c r="BM924" i="6" s="1"/>
  <c r="AC925" i="6" s="1"/>
  <c r="BM925" i="6" s="1"/>
  <c r="AC926" i="6" s="1"/>
  <c r="BM926" i="6" s="1"/>
  <c r="AC927" i="6" s="1"/>
  <c r="BM927" i="6" s="1"/>
  <c r="AC928" i="6" s="1"/>
  <c r="BM928" i="6" s="1"/>
  <c r="AC929" i="6" s="1"/>
  <c r="BM929" i="6" s="1"/>
  <c r="AC930" i="6" s="1"/>
  <c r="BM930" i="6" s="1"/>
  <c r="AC931" i="6" s="1"/>
  <c r="BM931" i="6" s="1"/>
  <c r="AC932" i="6" s="1"/>
  <c r="BM932" i="6" s="1"/>
  <c r="AC933" i="6" s="1"/>
  <c r="BM933" i="6" s="1"/>
  <c r="AC934" i="6" s="1"/>
  <c r="BM934" i="6" s="1"/>
  <c r="AC935" i="6" s="1"/>
  <c r="BM935" i="6" s="1"/>
  <c r="AC936" i="6" s="1"/>
  <c r="BM936" i="6" s="1"/>
  <c r="AC937" i="6" s="1"/>
  <c r="BM937" i="6" s="1"/>
  <c r="AC938" i="6" s="1"/>
  <c r="BM938" i="6" s="1"/>
  <c r="AC939" i="6" s="1"/>
  <c r="BM939" i="6" s="1"/>
  <c r="AC940" i="6" s="1"/>
  <c r="BM940" i="6" s="1"/>
  <c r="AC941" i="6" s="1"/>
  <c r="BM941" i="6" s="1"/>
  <c r="AB906" i="6"/>
  <c r="BL906" i="6" s="1"/>
  <c r="AB907" i="6" s="1"/>
  <c r="BL907" i="6" s="1"/>
  <c r="AB908" i="6" s="1"/>
  <c r="BL908" i="6" s="1"/>
  <c r="AB909" i="6" s="1"/>
  <c r="BL909" i="6" s="1"/>
  <c r="AB910" i="6" s="1"/>
  <c r="BL910" i="6" s="1"/>
  <c r="AB911" i="6" s="1"/>
  <c r="BL911" i="6" s="1"/>
  <c r="AB912" i="6" s="1"/>
  <c r="BL912" i="6" s="1"/>
  <c r="AB913" i="6" s="1"/>
  <c r="BL913" i="6" s="1"/>
  <c r="AB914" i="6" s="1"/>
  <c r="BL914" i="6" s="1"/>
  <c r="AB915" i="6" s="1"/>
  <c r="BL915" i="6" s="1"/>
  <c r="AB916" i="6" s="1"/>
  <c r="BL916" i="6" s="1"/>
  <c r="AB917" i="6" s="1"/>
  <c r="BL917" i="6" s="1"/>
  <c r="AB918" i="6" s="1"/>
  <c r="BL918" i="6" s="1"/>
  <c r="AB919" i="6" s="1"/>
  <c r="BL919" i="6" s="1"/>
  <c r="AB920" i="6" s="1"/>
  <c r="BL920" i="6" s="1"/>
  <c r="AB921" i="6" s="1"/>
  <c r="BL921" i="6" s="1"/>
  <c r="AB922" i="6" s="1"/>
  <c r="BL922" i="6" s="1"/>
  <c r="AB923" i="6" s="1"/>
  <c r="BL923" i="6" s="1"/>
  <c r="AB924" i="6" s="1"/>
  <c r="BL924" i="6" s="1"/>
  <c r="AB925" i="6" s="1"/>
  <c r="BL925" i="6" s="1"/>
  <c r="AB926" i="6" s="1"/>
  <c r="BL926" i="6" s="1"/>
  <c r="AB927" i="6" s="1"/>
  <c r="BL927" i="6" s="1"/>
  <c r="AB928" i="6" s="1"/>
  <c r="BL928" i="6" s="1"/>
  <c r="AB929" i="6" s="1"/>
  <c r="BL929" i="6" s="1"/>
  <c r="AB930" i="6" s="1"/>
  <c r="BL930" i="6" s="1"/>
  <c r="AB931" i="6" s="1"/>
  <c r="BL931" i="6" s="1"/>
  <c r="AB932" i="6" s="1"/>
  <c r="BL932" i="6" s="1"/>
  <c r="AB933" i="6" s="1"/>
  <c r="BL933" i="6" s="1"/>
  <c r="AB934" i="6" s="1"/>
  <c r="BL934" i="6" s="1"/>
  <c r="AB935" i="6" s="1"/>
  <c r="BL935" i="6" s="1"/>
  <c r="AB936" i="6" s="1"/>
  <c r="BL936" i="6" s="1"/>
  <c r="AB937" i="6" s="1"/>
  <c r="BL937" i="6" s="1"/>
  <c r="AB938" i="6" s="1"/>
  <c r="BL938" i="6" s="1"/>
  <c r="AB939" i="6" s="1"/>
  <c r="BL939" i="6" s="1"/>
  <c r="AB940" i="6" s="1"/>
  <c r="BL940" i="6" s="1"/>
  <c r="AB941" i="6" s="1"/>
  <c r="BL941" i="6" s="1"/>
  <c r="AA906" i="6"/>
  <c r="BK906" i="6" s="1"/>
  <c r="AA907" i="6" s="1"/>
  <c r="BK907" i="6" s="1"/>
  <c r="AA908" i="6" s="1"/>
  <c r="BK908" i="6" s="1"/>
  <c r="AA909" i="6" s="1"/>
  <c r="BK909" i="6" s="1"/>
  <c r="AA910" i="6" s="1"/>
  <c r="BK910" i="6" s="1"/>
  <c r="AA911" i="6" s="1"/>
  <c r="BK911" i="6" s="1"/>
  <c r="AA912" i="6" s="1"/>
  <c r="BK912" i="6" s="1"/>
  <c r="AA913" i="6" s="1"/>
  <c r="BK913" i="6" s="1"/>
  <c r="AA914" i="6" s="1"/>
  <c r="BK914" i="6" s="1"/>
  <c r="AA915" i="6" s="1"/>
  <c r="BK915" i="6" s="1"/>
  <c r="AA916" i="6" s="1"/>
  <c r="BK916" i="6" s="1"/>
  <c r="AA917" i="6" s="1"/>
  <c r="BK917" i="6" s="1"/>
  <c r="AA918" i="6" s="1"/>
  <c r="BK918" i="6" s="1"/>
  <c r="AA919" i="6" s="1"/>
  <c r="BK919" i="6" s="1"/>
  <c r="AA920" i="6" s="1"/>
  <c r="BK920" i="6" s="1"/>
  <c r="AA921" i="6" s="1"/>
  <c r="BK921" i="6" s="1"/>
  <c r="AA922" i="6" s="1"/>
  <c r="BK922" i="6" s="1"/>
  <c r="AA923" i="6" s="1"/>
  <c r="BK923" i="6" s="1"/>
  <c r="AA924" i="6" s="1"/>
  <c r="BK924" i="6" s="1"/>
  <c r="AA925" i="6" s="1"/>
  <c r="BK925" i="6" s="1"/>
  <c r="AA926" i="6" s="1"/>
  <c r="BK926" i="6" s="1"/>
  <c r="AA927" i="6" s="1"/>
  <c r="BK927" i="6" s="1"/>
  <c r="AA928" i="6" s="1"/>
  <c r="BK928" i="6" s="1"/>
  <c r="AA929" i="6" s="1"/>
  <c r="BK929" i="6" s="1"/>
  <c r="AA930" i="6" s="1"/>
  <c r="BK930" i="6" s="1"/>
  <c r="AA931" i="6" s="1"/>
  <c r="BK931" i="6" s="1"/>
  <c r="AA932" i="6" s="1"/>
  <c r="BK932" i="6" s="1"/>
  <c r="AA933" i="6" s="1"/>
  <c r="BK933" i="6" s="1"/>
  <c r="AA934" i="6" s="1"/>
  <c r="BK934" i="6" s="1"/>
  <c r="AA935" i="6" s="1"/>
  <c r="BK935" i="6" s="1"/>
  <c r="AA936" i="6" s="1"/>
  <c r="BK936" i="6" s="1"/>
  <c r="AA937" i="6" s="1"/>
  <c r="BK937" i="6" s="1"/>
  <c r="AA938" i="6" s="1"/>
  <c r="BK938" i="6" s="1"/>
  <c r="AA939" i="6" s="1"/>
  <c r="BK939" i="6" s="1"/>
  <c r="AA940" i="6" s="1"/>
  <c r="BK940" i="6" s="1"/>
  <c r="AA941" i="6" s="1"/>
  <c r="BK941" i="6" s="1"/>
  <c r="Z906" i="6"/>
  <c r="BJ906" i="6" s="1"/>
  <c r="Z907" i="6" s="1"/>
  <c r="BJ907" i="6" s="1"/>
  <c r="Z908" i="6" s="1"/>
  <c r="BJ908" i="6" s="1"/>
  <c r="Z909" i="6" s="1"/>
  <c r="BJ909" i="6" s="1"/>
  <c r="Z910" i="6" s="1"/>
  <c r="BJ910" i="6" s="1"/>
  <c r="Z911" i="6" s="1"/>
  <c r="BJ911" i="6" s="1"/>
  <c r="Z912" i="6" s="1"/>
  <c r="BJ912" i="6" s="1"/>
  <c r="Z913" i="6" s="1"/>
  <c r="BJ913" i="6" s="1"/>
  <c r="Z914" i="6" s="1"/>
  <c r="BJ914" i="6" s="1"/>
  <c r="Z915" i="6" s="1"/>
  <c r="BJ915" i="6" s="1"/>
  <c r="Z916" i="6" s="1"/>
  <c r="BJ916" i="6" s="1"/>
  <c r="Z917" i="6" s="1"/>
  <c r="BJ917" i="6" s="1"/>
  <c r="Z918" i="6" s="1"/>
  <c r="BJ918" i="6" s="1"/>
  <c r="Z919" i="6" s="1"/>
  <c r="BJ919" i="6" s="1"/>
  <c r="Z920" i="6" s="1"/>
  <c r="BJ920" i="6" s="1"/>
  <c r="Z921" i="6" s="1"/>
  <c r="BJ921" i="6" s="1"/>
  <c r="Z922" i="6" s="1"/>
  <c r="BJ922" i="6" s="1"/>
  <c r="Z923" i="6" s="1"/>
  <c r="BJ923" i="6" s="1"/>
  <c r="Z924" i="6" s="1"/>
  <c r="BJ924" i="6" s="1"/>
  <c r="Z925" i="6" s="1"/>
  <c r="BJ925" i="6" s="1"/>
  <c r="Z926" i="6" s="1"/>
  <c r="BJ926" i="6" s="1"/>
  <c r="Z927" i="6" s="1"/>
  <c r="BJ927" i="6" s="1"/>
  <c r="Z928" i="6" s="1"/>
  <c r="BJ928" i="6" s="1"/>
  <c r="Z929" i="6" s="1"/>
  <c r="BJ929" i="6" s="1"/>
  <c r="Z930" i="6" s="1"/>
  <c r="BJ930" i="6" s="1"/>
  <c r="Z931" i="6" s="1"/>
  <c r="BJ931" i="6" s="1"/>
  <c r="Z932" i="6" s="1"/>
  <c r="BJ932" i="6" s="1"/>
  <c r="Y906" i="6"/>
  <c r="BI906" i="6" s="1"/>
  <c r="X906" i="6"/>
  <c r="BH906" i="6" s="1"/>
  <c r="X907" i="6" s="1"/>
  <c r="BH907" i="6" s="1"/>
  <c r="X908" i="6" s="1"/>
  <c r="BH908" i="6" s="1"/>
  <c r="X909" i="6" s="1"/>
  <c r="BH909" i="6" s="1"/>
  <c r="X910" i="6" s="1"/>
  <c r="BH910" i="6" s="1"/>
  <c r="X911" i="6" s="1"/>
  <c r="BH911" i="6" s="1"/>
  <c r="X912" i="6" s="1"/>
  <c r="BH912" i="6" s="1"/>
  <c r="X913" i="6" s="1"/>
  <c r="BH913" i="6" s="1"/>
  <c r="X914" i="6" s="1"/>
  <c r="W906" i="6"/>
  <c r="BG906" i="6" s="1"/>
  <c r="W907" i="6" s="1"/>
  <c r="BG907" i="6" s="1"/>
  <c r="W908" i="6" s="1"/>
  <c r="BG908" i="6" s="1"/>
  <c r="W909" i="6" s="1"/>
  <c r="BG909" i="6" s="1"/>
  <c r="W910" i="6" s="1"/>
  <c r="V906" i="6"/>
  <c r="BF906" i="6" s="1"/>
  <c r="U906" i="6"/>
  <c r="T906" i="6"/>
  <c r="BD906" i="6" s="1"/>
  <c r="T907" i="6" s="1"/>
  <c r="BD907" i="6" s="1"/>
  <c r="T908" i="6" s="1"/>
  <c r="BD908" i="6" s="1"/>
  <c r="S906" i="6"/>
  <c r="BC906" i="6" s="1"/>
  <c r="S907" i="6" s="1"/>
  <c r="BC907" i="6" s="1"/>
  <c r="S908" i="6" s="1"/>
  <c r="BC908" i="6" s="1"/>
  <c r="S909" i="6" s="1"/>
  <c r="BC909" i="6" s="1"/>
  <c r="S910" i="6" s="1"/>
  <c r="BC910" i="6" s="1"/>
  <c r="S911" i="6" s="1"/>
  <c r="BC911" i="6" s="1"/>
  <c r="S912" i="6" s="1"/>
  <c r="BC912" i="6" s="1"/>
  <c r="S913" i="6" s="1"/>
  <c r="BC913" i="6" s="1"/>
  <c r="S914" i="6" s="1"/>
  <c r="BC914" i="6" s="1"/>
  <c r="S915" i="6" s="1"/>
  <c r="BC915" i="6" s="1"/>
  <c r="S916" i="6" s="1"/>
  <c r="BC916" i="6" s="1"/>
  <c r="S917" i="6" s="1"/>
  <c r="BC917" i="6" s="1"/>
  <c r="S918" i="6" s="1"/>
  <c r="BC918" i="6" s="1"/>
  <c r="S919" i="6" s="1"/>
  <c r="BC919" i="6" s="1"/>
  <c r="S920" i="6" s="1"/>
  <c r="BC920" i="6" s="1"/>
  <c r="S921" i="6" s="1"/>
  <c r="BC921" i="6" s="1"/>
  <c r="S922" i="6" s="1"/>
  <c r="BC922" i="6" s="1"/>
  <c r="S923" i="6" s="1"/>
  <c r="BC923" i="6" s="1"/>
  <c r="S924" i="6" s="1"/>
  <c r="BC924" i="6" s="1"/>
  <c r="S925" i="6" s="1"/>
  <c r="BC925" i="6" s="1"/>
  <c r="S926" i="6" s="1"/>
  <c r="BC926" i="6" s="1"/>
  <c r="S927" i="6" s="1"/>
  <c r="BC927" i="6" s="1"/>
  <c r="S928" i="6" s="1"/>
  <c r="BC928" i="6" s="1"/>
  <c r="S929" i="6" s="1"/>
  <c r="BC929" i="6" s="1"/>
  <c r="S930" i="6" s="1"/>
  <c r="BC930" i="6" s="1"/>
  <c r="S931" i="6" s="1"/>
  <c r="BC931" i="6" s="1"/>
  <c r="S932" i="6" s="1"/>
  <c r="BC932" i="6" s="1"/>
  <c r="S933" i="6" s="1"/>
  <c r="BC933" i="6" s="1"/>
  <c r="S934" i="6" s="1"/>
  <c r="BC934" i="6" s="1"/>
  <c r="S935" i="6" s="1"/>
  <c r="BC935" i="6" s="1"/>
  <c r="S936" i="6" s="1"/>
  <c r="BC936" i="6" s="1"/>
  <c r="S937" i="6" s="1"/>
  <c r="BC937" i="6" s="1"/>
  <c r="S938" i="6" s="1"/>
  <c r="BC938" i="6" s="1"/>
  <c r="S939" i="6" s="1"/>
  <c r="BC939" i="6" s="1"/>
  <c r="S940" i="6" s="1"/>
  <c r="BC940" i="6" s="1"/>
  <c r="S941" i="6" s="1"/>
  <c r="BC941" i="6" s="1"/>
  <c r="R906" i="6"/>
  <c r="BB906" i="6" s="1"/>
  <c r="R907" i="6" s="1"/>
  <c r="BB907" i="6" s="1"/>
  <c r="R908" i="6" s="1"/>
  <c r="BB908" i="6" s="1"/>
  <c r="R909" i="6" s="1"/>
  <c r="BB909" i="6" s="1"/>
  <c r="R910" i="6" s="1"/>
  <c r="BB910" i="6" s="1"/>
  <c r="R911" i="6" s="1"/>
  <c r="BB911" i="6" s="1"/>
  <c r="R912" i="6" s="1"/>
  <c r="BB912" i="6" s="1"/>
  <c r="R913" i="6" s="1"/>
  <c r="BB913" i="6" s="1"/>
  <c r="R914" i="6" s="1"/>
  <c r="BB914" i="6" s="1"/>
  <c r="R915" i="6" s="1"/>
  <c r="BB915" i="6" s="1"/>
  <c r="R916" i="6" s="1"/>
  <c r="BB916" i="6" s="1"/>
  <c r="R917" i="6" s="1"/>
  <c r="BB917" i="6" s="1"/>
  <c r="R918" i="6" s="1"/>
  <c r="BB918" i="6" s="1"/>
  <c r="R919" i="6" s="1"/>
  <c r="BB919" i="6" s="1"/>
  <c r="R920" i="6" s="1"/>
  <c r="BB920" i="6" s="1"/>
  <c r="R921" i="6" s="1"/>
  <c r="BB921" i="6" s="1"/>
  <c r="R922" i="6" s="1"/>
  <c r="BB922" i="6" s="1"/>
  <c r="R923" i="6" s="1"/>
  <c r="BB923" i="6" s="1"/>
  <c r="R924" i="6" s="1"/>
  <c r="BB924" i="6" s="1"/>
  <c r="R925" i="6" s="1"/>
  <c r="BB925" i="6" s="1"/>
  <c r="R926" i="6" s="1"/>
  <c r="BB926" i="6" s="1"/>
  <c r="R927" i="6" s="1"/>
  <c r="BB927" i="6" s="1"/>
  <c r="R928" i="6" s="1"/>
  <c r="BB928" i="6" s="1"/>
  <c r="R929" i="6" s="1"/>
  <c r="BB929" i="6" s="1"/>
  <c r="R930" i="6" s="1"/>
  <c r="BB930" i="6" s="1"/>
  <c r="R931" i="6" s="1"/>
  <c r="BB931" i="6" s="1"/>
  <c r="R932" i="6" s="1"/>
  <c r="BB932" i="6" s="1"/>
  <c r="R933" i="6" s="1"/>
  <c r="BB933" i="6" s="1"/>
  <c r="R934" i="6" s="1"/>
  <c r="BB934" i="6" s="1"/>
  <c r="R935" i="6" s="1"/>
  <c r="BB935" i="6" s="1"/>
  <c r="R936" i="6" s="1"/>
  <c r="BB936" i="6" s="1"/>
  <c r="R937" i="6" s="1"/>
  <c r="BB937" i="6" s="1"/>
  <c r="R938" i="6" s="1"/>
  <c r="BB938" i="6" s="1"/>
  <c r="R939" i="6" s="1"/>
  <c r="BB939" i="6" s="1"/>
  <c r="R940" i="6" s="1"/>
  <c r="BB940" i="6" s="1"/>
  <c r="R941" i="6" s="1"/>
  <c r="BB941" i="6" s="1"/>
  <c r="Q906" i="6"/>
  <c r="O906" i="6"/>
  <c r="AY906" i="6" s="1"/>
  <c r="O907" i="6" s="1"/>
  <c r="AY907" i="6" s="1"/>
  <c r="N906" i="6"/>
  <c r="AX906" i="6" s="1"/>
  <c r="N907" i="6" s="1"/>
  <c r="AX907" i="6" s="1"/>
  <c r="N908" i="6" s="1"/>
  <c r="AX908" i="6" s="1"/>
  <c r="N909" i="6" s="1"/>
  <c r="AX909" i="6" s="1"/>
  <c r="N910" i="6" s="1"/>
  <c r="AX910" i="6" s="1"/>
  <c r="N911" i="6" s="1"/>
  <c r="AX911" i="6" s="1"/>
  <c r="N912" i="6" s="1"/>
  <c r="AX912" i="6" s="1"/>
  <c r="M906" i="6"/>
  <c r="AW906" i="6" s="1"/>
  <c r="M907" i="6" s="1"/>
  <c r="AW907" i="6" s="1"/>
  <c r="M908" i="6" s="1"/>
  <c r="L906" i="6"/>
  <c r="K906" i="6"/>
  <c r="J906" i="6"/>
  <c r="I906" i="6"/>
  <c r="H906" i="6"/>
  <c r="G906" i="6"/>
  <c r="AV906" i="6" s="1"/>
  <c r="L907" i="6" s="1"/>
  <c r="F906" i="6"/>
  <c r="E906" i="6"/>
  <c r="D906" i="6"/>
  <c r="C906" i="6"/>
  <c r="B906" i="6"/>
  <c r="A906" i="6"/>
  <c r="AO905" i="6"/>
  <c r="H905" i="6"/>
  <c r="G905" i="6"/>
  <c r="F905" i="6"/>
  <c r="AI905" i="6" s="1"/>
  <c r="E905" i="6"/>
  <c r="D905" i="6"/>
  <c r="C905" i="6"/>
  <c r="B905" i="6"/>
  <c r="A905" i="6"/>
  <c r="AO904" i="6"/>
  <c r="AE904" i="6"/>
  <c r="K904" i="6"/>
  <c r="J904" i="6"/>
  <c r="I904" i="6"/>
  <c r="H904" i="6"/>
  <c r="G904" i="6"/>
  <c r="F904" i="6"/>
  <c r="E904" i="6"/>
  <c r="D904" i="6"/>
  <c r="C904" i="6"/>
  <c r="B904" i="6"/>
  <c r="A904" i="6"/>
  <c r="AO903" i="6"/>
  <c r="AI903" i="6"/>
  <c r="K903" i="6"/>
  <c r="J903" i="6"/>
  <c r="I903" i="6"/>
  <c r="H903" i="6"/>
  <c r="G903" i="6"/>
  <c r="F903" i="6"/>
  <c r="AE903" i="6" s="1"/>
  <c r="E903" i="6"/>
  <c r="D903" i="6"/>
  <c r="C903" i="6"/>
  <c r="B903" i="6"/>
  <c r="A903" i="6"/>
  <c r="AO902" i="6"/>
  <c r="AE902" i="6"/>
  <c r="K902" i="6"/>
  <c r="I902" i="6"/>
  <c r="H902" i="6"/>
  <c r="G902" i="6"/>
  <c r="F902" i="6"/>
  <c r="E902" i="6"/>
  <c r="D902" i="6"/>
  <c r="C902" i="6"/>
  <c r="B902" i="6"/>
  <c r="A902" i="6"/>
  <c r="AO901" i="6"/>
  <c r="AE901" i="6"/>
  <c r="J901" i="6"/>
  <c r="H901" i="6"/>
  <c r="G901" i="6"/>
  <c r="F901" i="6"/>
  <c r="AI901" i="6" s="1"/>
  <c r="E901" i="6"/>
  <c r="D901" i="6"/>
  <c r="C901" i="6"/>
  <c r="B901" i="6"/>
  <c r="A901" i="6"/>
  <c r="AO900" i="6"/>
  <c r="AI900" i="6"/>
  <c r="AE900" i="6"/>
  <c r="K900" i="6"/>
  <c r="I900" i="6"/>
  <c r="H900" i="6"/>
  <c r="G900" i="6"/>
  <c r="F900" i="6"/>
  <c r="J900" i="6" s="1"/>
  <c r="E900" i="6"/>
  <c r="D900" i="6"/>
  <c r="C900" i="6"/>
  <c r="B900" i="6"/>
  <c r="A900" i="6"/>
  <c r="AO899" i="6"/>
  <c r="H899" i="6"/>
  <c r="G899" i="6"/>
  <c r="F899" i="6"/>
  <c r="E899" i="6"/>
  <c r="D899" i="6"/>
  <c r="C899" i="6"/>
  <c r="B899" i="6"/>
  <c r="A899" i="6"/>
  <c r="AO898" i="6"/>
  <c r="AE898" i="6"/>
  <c r="K898" i="6"/>
  <c r="J898" i="6"/>
  <c r="I898" i="6"/>
  <c r="H898" i="6"/>
  <c r="G898" i="6"/>
  <c r="F898" i="6"/>
  <c r="E898" i="6"/>
  <c r="D898" i="6"/>
  <c r="C898" i="6"/>
  <c r="B898" i="6"/>
  <c r="A898" i="6"/>
  <c r="AO897" i="6"/>
  <c r="AI897" i="6"/>
  <c r="K897" i="6"/>
  <c r="H897" i="6"/>
  <c r="G897" i="6"/>
  <c r="F897" i="6"/>
  <c r="AE897" i="6" s="1"/>
  <c r="E897" i="6"/>
  <c r="D897" i="6"/>
  <c r="C897" i="6"/>
  <c r="B897" i="6"/>
  <c r="A897" i="6"/>
  <c r="AO896" i="6"/>
  <c r="I896" i="6"/>
  <c r="H896" i="6"/>
  <c r="G896" i="6"/>
  <c r="F896" i="6"/>
  <c r="E896" i="6"/>
  <c r="D896" i="6"/>
  <c r="C896" i="6"/>
  <c r="B896" i="6"/>
  <c r="A896" i="6"/>
  <c r="AO895" i="6"/>
  <c r="J895" i="6"/>
  <c r="H895" i="6"/>
  <c r="G895" i="6"/>
  <c r="F895" i="6"/>
  <c r="E895" i="6"/>
  <c r="D895" i="6"/>
  <c r="C895" i="6"/>
  <c r="B895" i="6"/>
  <c r="A895" i="6"/>
  <c r="AO894" i="6"/>
  <c r="AI894" i="6"/>
  <c r="AE894" i="6"/>
  <c r="K894" i="6"/>
  <c r="J894" i="6"/>
  <c r="I894" i="6"/>
  <c r="H894" i="6"/>
  <c r="G894" i="6"/>
  <c r="F894" i="6"/>
  <c r="E894" i="6"/>
  <c r="D894" i="6"/>
  <c r="C894" i="6"/>
  <c r="B894" i="6"/>
  <c r="A894" i="6"/>
  <c r="AO893" i="6"/>
  <c r="H893" i="6"/>
  <c r="G893" i="6"/>
  <c r="F893" i="6"/>
  <c r="E893" i="6"/>
  <c r="D893" i="6"/>
  <c r="C893" i="6"/>
  <c r="B893" i="6"/>
  <c r="A893" i="6"/>
  <c r="AT892" i="6"/>
  <c r="AE892" i="6"/>
  <c r="K892" i="6"/>
  <c r="J892" i="6"/>
  <c r="I892" i="6"/>
  <c r="H892" i="6"/>
  <c r="G892" i="6"/>
  <c r="F892" i="6"/>
  <c r="E892" i="6"/>
  <c r="D892" i="6"/>
  <c r="C892" i="6"/>
  <c r="B892" i="6"/>
  <c r="A892" i="6"/>
  <c r="AT891" i="6"/>
  <c r="AO891" i="6"/>
  <c r="K891" i="6"/>
  <c r="J891" i="6"/>
  <c r="I891" i="6"/>
  <c r="H891" i="6"/>
  <c r="G891" i="6"/>
  <c r="F891" i="6"/>
  <c r="AE891" i="6" s="1"/>
  <c r="E891" i="6"/>
  <c r="D891" i="6"/>
  <c r="C891" i="6"/>
  <c r="B891" i="6"/>
  <c r="A891" i="6"/>
  <c r="AT890" i="6"/>
  <c r="AO890" i="6"/>
  <c r="H890" i="6"/>
  <c r="G890" i="6"/>
  <c r="F890" i="6"/>
  <c r="E890" i="6"/>
  <c r="D890" i="6"/>
  <c r="C890" i="6"/>
  <c r="B890" i="6"/>
  <c r="A890" i="6"/>
  <c r="AT889" i="6"/>
  <c r="AO889" i="6"/>
  <c r="J889" i="6"/>
  <c r="H889" i="6"/>
  <c r="G889" i="6"/>
  <c r="F889" i="6"/>
  <c r="E889" i="6"/>
  <c r="D889" i="6"/>
  <c r="C889" i="6"/>
  <c r="B889" i="6"/>
  <c r="A889" i="6"/>
  <c r="AT888" i="6"/>
  <c r="AO888" i="6"/>
  <c r="AE888" i="6"/>
  <c r="K888" i="6"/>
  <c r="I888" i="6"/>
  <c r="H888" i="6"/>
  <c r="G888" i="6"/>
  <c r="AI888" i="6" s="1"/>
  <c r="F888" i="6"/>
  <c r="E888" i="6"/>
  <c r="D888" i="6"/>
  <c r="C888" i="6"/>
  <c r="B888" i="6"/>
  <c r="A888" i="6"/>
  <c r="AT887" i="6"/>
  <c r="AO887" i="6"/>
  <c r="AF887" i="6"/>
  <c r="H887" i="6"/>
  <c r="G887" i="6"/>
  <c r="F887" i="6"/>
  <c r="E887" i="6"/>
  <c r="D887" i="6"/>
  <c r="C887" i="6"/>
  <c r="B887" i="6"/>
  <c r="A887" i="6"/>
  <c r="AT886" i="6"/>
  <c r="AE886" i="6"/>
  <c r="K886" i="6"/>
  <c r="J886" i="6"/>
  <c r="I886" i="6"/>
  <c r="H886" i="6"/>
  <c r="G886" i="6"/>
  <c r="AI886" i="6" s="1"/>
  <c r="F886" i="6"/>
  <c r="E886" i="6"/>
  <c r="D886" i="6"/>
  <c r="C886" i="6"/>
  <c r="B886" i="6"/>
  <c r="A886" i="6"/>
  <c r="AT885" i="6"/>
  <c r="AO885" i="6"/>
  <c r="AF885" i="6"/>
  <c r="K885" i="6"/>
  <c r="J885" i="6"/>
  <c r="H885" i="6"/>
  <c r="G885" i="6"/>
  <c r="F885" i="6"/>
  <c r="AI885" i="6" s="1"/>
  <c r="E885" i="6"/>
  <c r="D885" i="6"/>
  <c r="C885" i="6"/>
  <c r="B885" i="6"/>
  <c r="A885" i="6"/>
  <c r="AT884" i="6"/>
  <c r="AO884" i="6"/>
  <c r="AI884" i="6"/>
  <c r="AF884" i="6"/>
  <c r="K884" i="6"/>
  <c r="H884" i="6"/>
  <c r="G884" i="6"/>
  <c r="F884" i="6"/>
  <c r="E884" i="6"/>
  <c r="D884" i="6"/>
  <c r="C884" i="6"/>
  <c r="B884" i="6"/>
  <c r="A884" i="6"/>
  <c r="AT883" i="6"/>
  <c r="AO883" i="6"/>
  <c r="AF883" i="6"/>
  <c r="H883" i="6"/>
  <c r="G883" i="6"/>
  <c r="F883" i="6"/>
  <c r="E883" i="6"/>
  <c r="D883" i="6"/>
  <c r="C883" i="6"/>
  <c r="B883" i="6"/>
  <c r="A883" i="6"/>
  <c r="AY882" i="6"/>
  <c r="O883" i="6" s="1"/>
  <c r="AY883" i="6" s="1"/>
  <c r="O884" i="6" s="1"/>
  <c r="AY884" i="6" s="1"/>
  <c r="O885" i="6" s="1"/>
  <c r="AY885" i="6" s="1"/>
  <c r="O886" i="6" s="1"/>
  <c r="AY886" i="6" s="1"/>
  <c r="O887" i="6" s="1"/>
  <c r="AY887" i="6" s="1"/>
  <c r="O888" i="6" s="1"/>
  <c r="AY888" i="6" s="1"/>
  <c r="O889" i="6" s="1"/>
  <c r="AY889" i="6" s="1"/>
  <c r="O890" i="6" s="1"/>
  <c r="AY890" i="6" s="1"/>
  <c r="O891" i="6" s="1"/>
  <c r="AY891" i="6" s="1"/>
  <c r="O892" i="6" s="1"/>
  <c r="AY892" i="6" s="1"/>
  <c r="O893" i="6" s="1"/>
  <c r="AY893" i="6" s="1"/>
  <c r="O894" i="6" s="1"/>
  <c r="AY894" i="6" s="1"/>
  <c r="O895" i="6" s="1"/>
  <c r="AY895" i="6" s="1"/>
  <c r="O896" i="6" s="1"/>
  <c r="AY896" i="6" s="1"/>
  <c r="O897" i="6" s="1"/>
  <c r="AY897" i="6" s="1"/>
  <c r="O898" i="6" s="1"/>
  <c r="AY898" i="6" s="1"/>
  <c r="O899" i="6" s="1"/>
  <c r="AY899" i="6" s="1"/>
  <c r="O900" i="6" s="1"/>
  <c r="AY900" i="6" s="1"/>
  <c r="O901" i="6" s="1"/>
  <c r="AY901" i="6" s="1"/>
  <c r="O902" i="6" s="1"/>
  <c r="AY902" i="6" s="1"/>
  <c r="O903" i="6" s="1"/>
  <c r="AY903" i="6" s="1"/>
  <c r="O904" i="6" s="1"/>
  <c r="AY904" i="6" s="1"/>
  <c r="O905" i="6" s="1"/>
  <c r="AY905" i="6" s="1"/>
  <c r="AT882" i="6"/>
  <c r="AO882" i="6"/>
  <c r="AE882" i="6"/>
  <c r="K882" i="6"/>
  <c r="J882" i="6"/>
  <c r="I882" i="6"/>
  <c r="H882" i="6"/>
  <c r="G882" i="6"/>
  <c r="F882" i="6"/>
  <c r="E882" i="6"/>
  <c r="D882" i="6"/>
  <c r="C882" i="6"/>
  <c r="B882" i="6"/>
  <c r="A882" i="6"/>
  <c r="AT881" i="6"/>
  <c r="H881" i="6"/>
  <c r="G881" i="6"/>
  <c r="F881" i="6"/>
  <c r="E881" i="6"/>
  <c r="D881" i="6"/>
  <c r="C881" i="6"/>
  <c r="B881" i="6"/>
  <c r="A881" i="6"/>
  <c r="AT880" i="6"/>
  <c r="AE880" i="6"/>
  <c r="K880" i="6"/>
  <c r="J880" i="6"/>
  <c r="I880" i="6"/>
  <c r="H880" i="6"/>
  <c r="G880" i="6"/>
  <c r="F880" i="6"/>
  <c r="E880" i="6"/>
  <c r="D880" i="6"/>
  <c r="C880" i="6"/>
  <c r="B880" i="6"/>
  <c r="A880" i="6"/>
  <c r="AT879" i="6"/>
  <c r="AO879" i="6"/>
  <c r="AI879" i="6"/>
  <c r="AF879" i="6"/>
  <c r="K879" i="6"/>
  <c r="J879" i="6"/>
  <c r="I879" i="6"/>
  <c r="H879" i="6"/>
  <c r="G879" i="6"/>
  <c r="F879" i="6"/>
  <c r="AE879" i="6" s="1"/>
  <c r="E879" i="6"/>
  <c r="D879" i="6"/>
  <c r="C879" i="6"/>
  <c r="B879" i="6"/>
  <c r="A879" i="6"/>
  <c r="BL878" i="6"/>
  <c r="AB879" i="6" s="1"/>
  <c r="BL879" i="6" s="1"/>
  <c r="AB880" i="6" s="1"/>
  <c r="BL880" i="6" s="1"/>
  <c r="AB881" i="6" s="1"/>
  <c r="BL881" i="6" s="1"/>
  <c r="AB882" i="6" s="1"/>
  <c r="BL882" i="6" s="1"/>
  <c r="AB883" i="6" s="1"/>
  <c r="BL883" i="6" s="1"/>
  <c r="AB884" i="6" s="1"/>
  <c r="BL884" i="6" s="1"/>
  <c r="AB885" i="6" s="1"/>
  <c r="BL885" i="6" s="1"/>
  <c r="AB886" i="6" s="1"/>
  <c r="BL886" i="6" s="1"/>
  <c r="AB887" i="6" s="1"/>
  <c r="BL887" i="6" s="1"/>
  <c r="AB888" i="6" s="1"/>
  <c r="BL888" i="6" s="1"/>
  <c r="AB889" i="6" s="1"/>
  <c r="BL889" i="6" s="1"/>
  <c r="AB890" i="6" s="1"/>
  <c r="BL890" i="6" s="1"/>
  <c r="AB891" i="6" s="1"/>
  <c r="BL891" i="6" s="1"/>
  <c r="AB892" i="6" s="1"/>
  <c r="BL892" i="6" s="1"/>
  <c r="AB893" i="6" s="1"/>
  <c r="BL893" i="6" s="1"/>
  <c r="AB894" i="6" s="1"/>
  <c r="BL894" i="6" s="1"/>
  <c r="AB895" i="6" s="1"/>
  <c r="BL895" i="6" s="1"/>
  <c r="AB896" i="6" s="1"/>
  <c r="BL896" i="6" s="1"/>
  <c r="AB897" i="6" s="1"/>
  <c r="BL897" i="6" s="1"/>
  <c r="AB898" i="6" s="1"/>
  <c r="BL898" i="6" s="1"/>
  <c r="AB899" i="6" s="1"/>
  <c r="BL899" i="6" s="1"/>
  <c r="AB900" i="6" s="1"/>
  <c r="BL900" i="6" s="1"/>
  <c r="AB901" i="6" s="1"/>
  <c r="BL901" i="6" s="1"/>
  <c r="AB902" i="6" s="1"/>
  <c r="BL902" i="6" s="1"/>
  <c r="AB903" i="6" s="1"/>
  <c r="BL903" i="6" s="1"/>
  <c r="AB904" i="6" s="1"/>
  <c r="BL904" i="6" s="1"/>
  <c r="AB905" i="6" s="1"/>
  <c r="BL905" i="6" s="1"/>
  <c r="AT878" i="6"/>
  <c r="AO878" i="6"/>
  <c r="AE878" i="6"/>
  <c r="K878" i="6"/>
  <c r="H878" i="6"/>
  <c r="G878" i="6"/>
  <c r="F878" i="6"/>
  <c r="E878" i="6"/>
  <c r="D878" i="6"/>
  <c r="C878" i="6"/>
  <c r="B878" i="6"/>
  <c r="A878" i="6"/>
  <c r="BL877" i="6"/>
  <c r="AB878" i="6" s="1"/>
  <c r="BH877" i="6"/>
  <c r="X878" i="6" s="1"/>
  <c r="BH878" i="6" s="1"/>
  <c r="X879" i="6" s="1"/>
  <c r="BH879" i="6" s="1"/>
  <c r="X880" i="6" s="1"/>
  <c r="BH880" i="6" s="1"/>
  <c r="X881" i="6" s="1"/>
  <c r="BH881" i="6" s="1"/>
  <c r="X882" i="6" s="1"/>
  <c r="BH882" i="6" s="1"/>
  <c r="X883" i="6" s="1"/>
  <c r="BH883" i="6" s="1"/>
  <c r="X884" i="6" s="1"/>
  <c r="BH884" i="6" s="1"/>
  <c r="X885" i="6" s="1"/>
  <c r="BH885" i="6" s="1"/>
  <c r="X886" i="6" s="1"/>
  <c r="BH886" i="6" s="1"/>
  <c r="X887" i="6" s="1"/>
  <c r="BH887" i="6" s="1"/>
  <c r="X888" i="6" s="1"/>
  <c r="BH888" i="6" s="1"/>
  <c r="X889" i="6" s="1"/>
  <c r="BH889" i="6" s="1"/>
  <c r="X890" i="6" s="1"/>
  <c r="BH890" i="6" s="1"/>
  <c r="X891" i="6" s="1"/>
  <c r="BH891" i="6" s="1"/>
  <c r="X892" i="6" s="1"/>
  <c r="BH892" i="6" s="1"/>
  <c r="X893" i="6" s="1"/>
  <c r="BH893" i="6" s="1"/>
  <c r="X894" i="6" s="1"/>
  <c r="BH894" i="6" s="1"/>
  <c r="X895" i="6" s="1"/>
  <c r="BH895" i="6" s="1"/>
  <c r="X896" i="6" s="1"/>
  <c r="BH896" i="6" s="1"/>
  <c r="X897" i="6" s="1"/>
  <c r="BH897" i="6" s="1"/>
  <c r="X898" i="6" s="1"/>
  <c r="BH898" i="6" s="1"/>
  <c r="X899" i="6" s="1"/>
  <c r="BH899" i="6" s="1"/>
  <c r="X900" i="6" s="1"/>
  <c r="BH900" i="6" s="1"/>
  <c r="X901" i="6" s="1"/>
  <c r="BH901" i="6" s="1"/>
  <c r="X902" i="6" s="1"/>
  <c r="BH902" i="6" s="1"/>
  <c r="X903" i="6" s="1"/>
  <c r="BH903" i="6" s="1"/>
  <c r="X904" i="6" s="1"/>
  <c r="BH904" i="6" s="1"/>
  <c r="X905" i="6" s="1"/>
  <c r="BH905" i="6" s="1"/>
  <c r="AT877" i="6"/>
  <c r="AO877" i="6"/>
  <c r="AI877" i="6"/>
  <c r="AF877" i="6"/>
  <c r="AE877" i="6"/>
  <c r="J877" i="6"/>
  <c r="H877" i="6"/>
  <c r="G877" i="6"/>
  <c r="F877" i="6"/>
  <c r="K877" i="6" s="1"/>
  <c r="E877" i="6"/>
  <c r="D877" i="6"/>
  <c r="C877" i="6"/>
  <c r="B877" i="6"/>
  <c r="A877" i="6"/>
  <c r="AT876" i="6"/>
  <c r="AO876" i="6"/>
  <c r="AI876" i="6"/>
  <c r="AF876" i="6"/>
  <c r="AE876" i="6"/>
  <c r="I876" i="6"/>
  <c r="H876" i="6"/>
  <c r="G876" i="6"/>
  <c r="F876" i="6"/>
  <c r="E876" i="6"/>
  <c r="D876" i="6"/>
  <c r="C876" i="6"/>
  <c r="B876" i="6"/>
  <c r="A876" i="6"/>
  <c r="AT875" i="6"/>
  <c r="I875" i="6"/>
  <c r="H875" i="6"/>
  <c r="G875" i="6"/>
  <c r="F875" i="6"/>
  <c r="E875" i="6"/>
  <c r="D875" i="6"/>
  <c r="C875" i="6"/>
  <c r="B875" i="6"/>
  <c r="A875" i="6"/>
  <c r="BO874" i="6"/>
  <c r="BN875" i="6" s="1"/>
  <c r="BO875" i="6" s="1"/>
  <c r="BN876" i="6" s="1"/>
  <c r="BO876" i="6" s="1"/>
  <c r="BN877" i="6" s="1"/>
  <c r="BO877" i="6" s="1"/>
  <c r="BN878" i="6" s="1"/>
  <c r="BO878" i="6" s="1"/>
  <c r="BN879" i="6" s="1"/>
  <c r="BO879" i="6" s="1"/>
  <c r="BN880" i="6" s="1"/>
  <c r="AT874" i="6"/>
  <c r="AE874" i="6"/>
  <c r="K874" i="6"/>
  <c r="J874" i="6"/>
  <c r="I874" i="6"/>
  <c r="H874" i="6"/>
  <c r="G874" i="6"/>
  <c r="F874" i="6"/>
  <c r="E874" i="6"/>
  <c r="D874" i="6"/>
  <c r="C874" i="6"/>
  <c r="B874" i="6"/>
  <c r="A874" i="6"/>
  <c r="AT873" i="6"/>
  <c r="AO873" i="6"/>
  <c r="K873" i="6"/>
  <c r="H873" i="6"/>
  <c r="G873" i="6"/>
  <c r="F873" i="6"/>
  <c r="E873" i="6"/>
  <c r="D873" i="6"/>
  <c r="C873" i="6"/>
  <c r="B873" i="6"/>
  <c r="A873" i="6"/>
  <c r="BK872" i="6"/>
  <c r="AA873" i="6" s="1"/>
  <c r="BK873" i="6" s="1"/>
  <c r="AA874" i="6" s="1"/>
  <c r="BK874" i="6" s="1"/>
  <c r="AA875" i="6" s="1"/>
  <c r="BK875" i="6" s="1"/>
  <c r="AA876" i="6" s="1"/>
  <c r="BK876" i="6" s="1"/>
  <c r="AA877" i="6" s="1"/>
  <c r="BK877" i="6" s="1"/>
  <c r="AA878" i="6" s="1"/>
  <c r="BK878" i="6" s="1"/>
  <c r="AA879" i="6" s="1"/>
  <c r="BK879" i="6" s="1"/>
  <c r="AA880" i="6" s="1"/>
  <c r="BK880" i="6" s="1"/>
  <c r="AA881" i="6" s="1"/>
  <c r="BK881" i="6" s="1"/>
  <c r="AA882" i="6" s="1"/>
  <c r="BK882" i="6" s="1"/>
  <c r="AA883" i="6" s="1"/>
  <c r="BK883" i="6" s="1"/>
  <c r="AA884" i="6" s="1"/>
  <c r="BK884" i="6" s="1"/>
  <c r="AA885" i="6" s="1"/>
  <c r="BK885" i="6" s="1"/>
  <c r="AA886" i="6" s="1"/>
  <c r="BK886" i="6" s="1"/>
  <c r="AA887" i="6" s="1"/>
  <c r="BK887" i="6" s="1"/>
  <c r="AA888" i="6" s="1"/>
  <c r="BK888" i="6" s="1"/>
  <c r="AA889" i="6" s="1"/>
  <c r="BK889" i="6" s="1"/>
  <c r="AA890" i="6" s="1"/>
  <c r="BK890" i="6" s="1"/>
  <c r="AA891" i="6" s="1"/>
  <c r="BK891" i="6" s="1"/>
  <c r="AA892" i="6" s="1"/>
  <c r="BK892" i="6" s="1"/>
  <c r="AA893" i="6" s="1"/>
  <c r="BK893" i="6" s="1"/>
  <c r="AA894" i="6" s="1"/>
  <c r="BK894" i="6" s="1"/>
  <c r="AA895" i="6" s="1"/>
  <c r="BK895" i="6" s="1"/>
  <c r="AA896" i="6" s="1"/>
  <c r="BK896" i="6" s="1"/>
  <c r="AA897" i="6" s="1"/>
  <c r="BK897" i="6" s="1"/>
  <c r="AA898" i="6" s="1"/>
  <c r="BK898" i="6" s="1"/>
  <c r="AA899" i="6" s="1"/>
  <c r="BK899" i="6" s="1"/>
  <c r="AA900" i="6" s="1"/>
  <c r="BK900" i="6" s="1"/>
  <c r="AA901" i="6" s="1"/>
  <c r="BK901" i="6" s="1"/>
  <c r="AA902" i="6" s="1"/>
  <c r="BK902" i="6" s="1"/>
  <c r="AA903" i="6" s="1"/>
  <c r="BK903" i="6" s="1"/>
  <c r="AA904" i="6" s="1"/>
  <c r="BK904" i="6" s="1"/>
  <c r="AA905" i="6" s="1"/>
  <c r="BK905" i="6" s="1"/>
  <c r="AT872" i="6"/>
  <c r="AO872" i="6"/>
  <c r="AI872" i="6"/>
  <c r="AF872" i="6"/>
  <c r="AC872" i="6"/>
  <c r="BM872" i="6" s="1"/>
  <c r="AC873" i="6" s="1"/>
  <c r="BM873" i="6" s="1"/>
  <c r="AC874" i="6" s="1"/>
  <c r="BM874" i="6" s="1"/>
  <c r="AC875" i="6" s="1"/>
  <c r="BM875" i="6" s="1"/>
  <c r="AC876" i="6" s="1"/>
  <c r="BM876" i="6" s="1"/>
  <c r="AC877" i="6" s="1"/>
  <c r="BM877" i="6" s="1"/>
  <c r="AC878" i="6" s="1"/>
  <c r="BM878" i="6" s="1"/>
  <c r="AC879" i="6" s="1"/>
  <c r="BM879" i="6" s="1"/>
  <c r="AC880" i="6" s="1"/>
  <c r="BM880" i="6" s="1"/>
  <c r="AC881" i="6" s="1"/>
  <c r="BM881" i="6" s="1"/>
  <c r="AC882" i="6" s="1"/>
  <c r="BM882" i="6" s="1"/>
  <c r="AC883" i="6" s="1"/>
  <c r="BM883" i="6" s="1"/>
  <c r="AC884" i="6" s="1"/>
  <c r="BM884" i="6" s="1"/>
  <c r="AC885" i="6" s="1"/>
  <c r="BM885" i="6" s="1"/>
  <c r="AC886" i="6" s="1"/>
  <c r="BM886" i="6" s="1"/>
  <c r="AC887" i="6" s="1"/>
  <c r="BM887" i="6" s="1"/>
  <c r="AC888" i="6" s="1"/>
  <c r="BM888" i="6" s="1"/>
  <c r="AC889" i="6" s="1"/>
  <c r="BM889" i="6" s="1"/>
  <c r="AC890" i="6" s="1"/>
  <c r="BM890" i="6" s="1"/>
  <c r="AC891" i="6" s="1"/>
  <c r="BM891" i="6" s="1"/>
  <c r="AC892" i="6" s="1"/>
  <c r="BM892" i="6" s="1"/>
  <c r="AC893" i="6" s="1"/>
  <c r="BM893" i="6" s="1"/>
  <c r="AC894" i="6" s="1"/>
  <c r="BM894" i="6" s="1"/>
  <c r="AC895" i="6" s="1"/>
  <c r="BM895" i="6" s="1"/>
  <c r="AC896" i="6" s="1"/>
  <c r="BM896" i="6" s="1"/>
  <c r="AC897" i="6" s="1"/>
  <c r="BM897" i="6" s="1"/>
  <c r="AC898" i="6" s="1"/>
  <c r="BM898" i="6" s="1"/>
  <c r="AC899" i="6" s="1"/>
  <c r="BM899" i="6" s="1"/>
  <c r="AC900" i="6" s="1"/>
  <c r="BM900" i="6" s="1"/>
  <c r="AC901" i="6" s="1"/>
  <c r="BM901" i="6" s="1"/>
  <c r="AC902" i="6" s="1"/>
  <c r="BM902" i="6" s="1"/>
  <c r="AC903" i="6" s="1"/>
  <c r="BM903" i="6" s="1"/>
  <c r="AC904" i="6" s="1"/>
  <c r="BM904" i="6" s="1"/>
  <c r="AC905" i="6" s="1"/>
  <c r="BM905" i="6" s="1"/>
  <c r="X872" i="6"/>
  <c r="BH872" i="6" s="1"/>
  <c r="X873" i="6" s="1"/>
  <c r="BH873" i="6" s="1"/>
  <c r="X874" i="6" s="1"/>
  <c r="BH874" i="6" s="1"/>
  <c r="X875" i="6" s="1"/>
  <c r="BH875" i="6" s="1"/>
  <c r="X876" i="6" s="1"/>
  <c r="BH876" i="6" s="1"/>
  <c r="X877" i="6" s="1"/>
  <c r="K872" i="6"/>
  <c r="J872" i="6"/>
  <c r="I872" i="6"/>
  <c r="H872" i="6"/>
  <c r="G872" i="6"/>
  <c r="F872" i="6"/>
  <c r="AE872" i="6" s="1"/>
  <c r="E872" i="6"/>
  <c r="D872" i="6"/>
  <c r="C872" i="6"/>
  <c r="B872" i="6"/>
  <c r="A872" i="6"/>
  <c r="BN871" i="6"/>
  <c r="BO871" i="6" s="1"/>
  <c r="BN872" i="6" s="1"/>
  <c r="BO872" i="6" s="1"/>
  <c r="BN873" i="6" s="1"/>
  <c r="BO873" i="6" s="1"/>
  <c r="BN874" i="6" s="1"/>
  <c r="AT871" i="6"/>
  <c r="AO871" i="6"/>
  <c r="AF871" i="6"/>
  <c r="AE871" i="6"/>
  <c r="V871" i="6"/>
  <c r="BF871" i="6" s="1"/>
  <c r="V872" i="6" s="1"/>
  <c r="BF872" i="6" s="1"/>
  <c r="V873" i="6" s="1"/>
  <c r="BF873" i="6" s="1"/>
  <c r="V874" i="6" s="1"/>
  <c r="BF874" i="6" s="1"/>
  <c r="V875" i="6" s="1"/>
  <c r="BF875" i="6" s="1"/>
  <c r="V876" i="6" s="1"/>
  <c r="BF876" i="6" s="1"/>
  <c r="V877" i="6" s="1"/>
  <c r="BF877" i="6" s="1"/>
  <c r="V878" i="6" s="1"/>
  <c r="BF878" i="6" s="1"/>
  <c r="V879" i="6" s="1"/>
  <c r="BF879" i="6" s="1"/>
  <c r="V880" i="6" s="1"/>
  <c r="BF880" i="6" s="1"/>
  <c r="V881" i="6" s="1"/>
  <c r="BF881" i="6" s="1"/>
  <c r="V882" i="6" s="1"/>
  <c r="BF882" i="6" s="1"/>
  <c r="V883" i="6" s="1"/>
  <c r="BF883" i="6" s="1"/>
  <c r="V884" i="6" s="1"/>
  <c r="BF884" i="6" s="1"/>
  <c r="V885" i="6" s="1"/>
  <c r="BF885" i="6" s="1"/>
  <c r="V886" i="6" s="1"/>
  <c r="BF886" i="6" s="1"/>
  <c r="V887" i="6" s="1"/>
  <c r="BF887" i="6" s="1"/>
  <c r="V888" i="6" s="1"/>
  <c r="BF888" i="6" s="1"/>
  <c r="V889" i="6" s="1"/>
  <c r="BF889" i="6" s="1"/>
  <c r="V890" i="6" s="1"/>
  <c r="BF890" i="6" s="1"/>
  <c r="V891" i="6" s="1"/>
  <c r="BF891" i="6" s="1"/>
  <c r="V892" i="6" s="1"/>
  <c r="BF892" i="6" s="1"/>
  <c r="V893" i="6" s="1"/>
  <c r="R871" i="6"/>
  <c r="BB871" i="6" s="1"/>
  <c r="R872" i="6" s="1"/>
  <c r="BB872" i="6" s="1"/>
  <c r="R873" i="6" s="1"/>
  <c r="BB873" i="6" s="1"/>
  <c r="R874" i="6" s="1"/>
  <c r="BB874" i="6" s="1"/>
  <c r="R875" i="6" s="1"/>
  <c r="BB875" i="6" s="1"/>
  <c r="R876" i="6" s="1"/>
  <c r="BB876" i="6" s="1"/>
  <c r="R877" i="6" s="1"/>
  <c r="BB877" i="6" s="1"/>
  <c r="R878" i="6" s="1"/>
  <c r="BB878" i="6" s="1"/>
  <c r="R879" i="6" s="1"/>
  <c r="BB879" i="6" s="1"/>
  <c r="R880" i="6" s="1"/>
  <c r="BB880" i="6" s="1"/>
  <c r="R881" i="6" s="1"/>
  <c r="BB881" i="6" s="1"/>
  <c r="R882" i="6" s="1"/>
  <c r="BB882" i="6" s="1"/>
  <c r="R883" i="6" s="1"/>
  <c r="BB883" i="6" s="1"/>
  <c r="R884" i="6" s="1"/>
  <c r="BB884" i="6" s="1"/>
  <c r="R885" i="6" s="1"/>
  <c r="BB885" i="6" s="1"/>
  <c r="R886" i="6" s="1"/>
  <c r="BB886" i="6" s="1"/>
  <c r="R887" i="6" s="1"/>
  <c r="BB887" i="6" s="1"/>
  <c r="R888" i="6" s="1"/>
  <c r="BB888" i="6" s="1"/>
  <c r="R889" i="6" s="1"/>
  <c r="BB889" i="6" s="1"/>
  <c r="R890" i="6" s="1"/>
  <c r="BB890" i="6" s="1"/>
  <c r="R891" i="6" s="1"/>
  <c r="BB891" i="6" s="1"/>
  <c r="R892" i="6" s="1"/>
  <c r="BB892" i="6" s="1"/>
  <c r="R893" i="6" s="1"/>
  <c r="BB893" i="6" s="1"/>
  <c r="R894" i="6" s="1"/>
  <c r="BB894" i="6" s="1"/>
  <c r="R895" i="6" s="1"/>
  <c r="BB895" i="6" s="1"/>
  <c r="R896" i="6" s="1"/>
  <c r="BB896" i="6" s="1"/>
  <c r="R897" i="6" s="1"/>
  <c r="BB897" i="6" s="1"/>
  <c r="R898" i="6" s="1"/>
  <c r="BB898" i="6" s="1"/>
  <c r="R899" i="6" s="1"/>
  <c r="BB899" i="6" s="1"/>
  <c r="R900" i="6" s="1"/>
  <c r="BB900" i="6" s="1"/>
  <c r="R901" i="6" s="1"/>
  <c r="BB901" i="6" s="1"/>
  <c r="R902" i="6" s="1"/>
  <c r="BB902" i="6" s="1"/>
  <c r="R903" i="6" s="1"/>
  <c r="BB903" i="6" s="1"/>
  <c r="R904" i="6" s="1"/>
  <c r="BB904" i="6" s="1"/>
  <c r="R905" i="6" s="1"/>
  <c r="BB905" i="6" s="1"/>
  <c r="N871" i="6"/>
  <c r="AX871" i="6" s="1"/>
  <c r="N872" i="6" s="1"/>
  <c r="AX872" i="6" s="1"/>
  <c r="N873" i="6" s="1"/>
  <c r="AX873" i="6" s="1"/>
  <c r="N874" i="6" s="1"/>
  <c r="AX874" i="6" s="1"/>
  <c r="N875" i="6" s="1"/>
  <c r="AX875" i="6" s="1"/>
  <c r="N876" i="6" s="1"/>
  <c r="AX876" i="6" s="1"/>
  <c r="J871" i="6"/>
  <c r="H871" i="6"/>
  <c r="G871" i="6"/>
  <c r="F871" i="6"/>
  <c r="E871" i="6"/>
  <c r="D871" i="6"/>
  <c r="C871" i="6"/>
  <c r="B871" i="6"/>
  <c r="A871" i="6"/>
  <c r="BO870" i="6"/>
  <c r="BN870" i="6"/>
  <c r="BK870" i="6"/>
  <c r="AA871" i="6" s="1"/>
  <c r="BK871" i="6" s="1"/>
  <c r="AA872" i="6" s="1"/>
  <c r="BI870" i="6"/>
  <c r="Y871" i="6" s="1"/>
  <c r="BI871" i="6" s="1"/>
  <c r="Y872" i="6" s="1"/>
  <c r="BI872" i="6" s="1"/>
  <c r="Y873" i="6" s="1"/>
  <c r="BI873" i="6" s="1"/>
  <c r="Y874" i="6" s="1"/>
  <c r="BI874" i="6" s="1"/>
  <c r="Y875" i="6" s="1"/>
  <c r="BI875" i="6" s="1"/>
  <c r="Y876" i="6" s="1"/>
  <c r="BI876" i="6" s="1"/>
  <c r="Y877" i="6" s="1"/>
  <c r="BI877" i="6" s="1"/>
  <c r="Y878" i="6" s="1"/>
  <c r="BI878" i="6" s="1"/>
  <c r="Y879" i="6" s="1"/>
  <c r="BI879" i="6" s="1"/>
  <c r="Y880" i="6" s="1"/>
  <c r="BI880" i="6" s="1"/>
  <c r="Y881" i="6" s="1"/>
  <c r="BI881" i="6" s="1"/>
  <c r="Y882" i="6" s="1"/>
  <c r="BI882" i="6" s="1"/>
  <c r="Y883" i="6" s="1"/>
  <c r="BI883" i="6" s="1"/>
  <c r="Y884" i="6" s="1"/>
  <c r="BI884" i="6" s="1"/>
  <c r="Y885" i="6" s="1"/>
  <c r="BI885" i="6" s="1"/>
  <c r="Y886" i="6" s="1"/>
  <c r="BI886" i="6" s="1"/>
  <c r="Y887" i="6" s="1"/>
  <c r="BI887" i="6" s="1"/>
  <c r="Y888" i="6" s="1"/>
  <c r="BI888" i="6" s="1"/>
  <c r="Y889" i="6" s="1"/>
  <c r="BI889" i="6" s="1"/>
  <c r="Y890" i="6" s="1"/>
  <c r="BI890" i="6" s="1"/>
  <c r="Y891" i="6" s="1"/>
  <c r="BI891" i="6" s="1"/>
  <c r="Y892" i="6" s="1"/>
  <c r="BI892" i="6" s="1"/>
  <c r="Y893" i="6" s="1"/>
  <c r="BI893" i="6" s="1"/>
  <c r="Y894" i="6" s="1"/>
  <c r="BI894" i="6" s="1"/>
  <c r="Y895" i="6" s="1"/>
  <c r="BI895" i="6" s="1"/>
  <c r="Y896" i="6" s="1"/>
  <c r="BI896" i="6" s="1"/>
  <c r="Y897" i="6" s="1"/>
  <c r="BI897" i="6" s="1"/>
  <c r="Y898" i="6" s="1"/>
  <c r="BI898" i="6" s="1"/>
  <c r="Y899" i="6" s="1"/>
  <c r="BI899" i="6" s="1"/>
  <c r="Y900" i="6" s="1"/>
  <c r="BI900" i="6" s="1"/>
  <c r="Y901" i="6" s="1"/>
  <c r="BI901" i="6" s="1"/>
  <c r="Y902" i="6" s="1"/>
  <c r="BI902" i="6" s="1"/>
  <c r="Y903" i="6" s="1"/>
  <c r="BI903" i="6" s="1"/>
  <c r="Y904" i="6" s="1"/>
  <c r="BI904" i="6" s="1"/>
  <c r="Y905" i="6" s="1"/>
  <c r="BI905" i="6" s="1"/>
  <c r="BH870" i="6"/>
  <c r="X871" i="6" s="1"/>
  <c r="BH871" i="6" s="1"/>
  <c r="BF870" i="6"/>
  <c r="BE870" i="6"/>
  <c r="AX870" i="6"/>
  <c r="AW870" i="6"/>
  <c r="M871" i="6" s="1"/>
  <c r="AW871" i="6" s="1"/>
  <c r="M872" i="6" s="1"/>
  <c r="AT870" i="6"/>
  <c r="AO870" i="6"/>
  <c r="AF870" i="6"/>
  <c r="AE870" i="6"/>
  <c r="AC870" i="6"/>
  <c r="BM870" i="6" s="1"/>
  <c r="AC871" i="6" s="1"/>
  <c r="BM871" i="6" s="1"/>
  <c r="AB870" i="6"/>
  <c r="BL870" i="6" s="1"/>
  <c r="AB871" i="6" s="1"/>
  <c r="BL871" i="6" s="1"/>
  <c r="AB872" i="6" s="1"/>
  <c r="BL872" i="6" s="1"/>
  <c r="AB873" i="6" s="1"/>
  <c r="BL873" i="6" s="1"/>
  <c r="AB874" i="6" s="1"/>
  <c r="BL874" i="6" s="1"/>
  <c r="AB875" i="6" s="1"/>
  <c r="BL875" i="6" s="1"/>
  <c r="AB876" i="6" s="1"/>
  <c r="BL876" i="6" s="1"/>
  <c r="AB877" i="6" s="1"/>
  <c r="AA870" i="6"/>
  <c r="Z870" i="6"/>
  <c r="BJ870" i="6" s="1"/>
  <c r="Z871" i="6" s="1"/>
  <c r="BJ871" i="6" s="1"/>
  <c r="Z872" i="6" s="1"/>
  <c r="BJ872" i="6" s="1"/>
  <c r="Z873" i="6" s="1"/>
  <c r="BJ873" i="6" s="1"/>
  <c r="Z874" i="6" s="1"/>
  <c r="BJ874" i="6" s="1"/>
  <c r="Z875" i="6" s="1"/>
  <c r="BJ875" i="6" s="1"/>
  <c r="Z876" i="6" s="1"/>
  <c r="BJ876" i="6" s="1"/>
  <c r="Z877" i="6" s="1"/>
  <c r="BJ877" i="6" s="1"/>
  <c r="Z878" i="6" s="1"/>
  <c r="BJ878" i="6" s="1"/>
  <c r="Z879" i="6" s="1"/>
  <c r="BJ879" i="6" s="1"/>
  <c r="Z880" i="6" s="1"/>
  <c r="BJ880" i="6" s="1"/>
  <c r="Z881" i="6" s="1"/>
  <c r="BJ881" i="6" s="1"/>
  <c r="Z882" i="6" s="1"/>
  <c r="BJ882" i="6" s="1"/>
  <c r="Z883" i="6" s="1"/>
  <c r="BJ883" i="6" s="1"/>
  <c r="Z884" i="6" s="1"/>
  <c r="BJ884" i="6" s="1"/>
  <c r="Z885" i="6" s="1"/>
  <c r="BJ885" i="6" s="1"/>
  <c r="Z886" i="6" s="1"/>
  <c r="BJ886" i="6" s="1"/>
  <c r="Z887" i="6" s="1"/>
  <c r="BJ887" i="6" s="1"/>
  <c r="Z888" i="6" s="1"/>
  <c r="BJ888" i="6" s="1"/>
  <c r="Z889" i="6" s="1"/>
  <c r="BJ889" i="6" s="1"/>
  <c r="Z890" i="6" s="1"/>
  <c r="BJ890" i="6" s="1"/>
  <c r="Z891" i="6" s="1"/>
  <c r="BJ891" i="6" s="1"/>
  <c r="Z892" i="6" s="1"/>
  <c r="BJ892" i="6" s="1"/>
  <c r="Z893" i="6" s="1"/>
  <c r="BJ893" i="6" s="1"/>
  <c r="Z894" i="6" s="1"/>
  <c r="BJ894" i="6" s="1"/>
  <c r="Z895" i="6" s="1"/>
  <c r="BJ895" i="6" s="1"/>
  <c r="Z896" i="6" s="1"/>
  <c r="BJ896" i="6" s="1"/>
  <c r="Z897" i="6" s="1"/>
  <c r="BJ897" i="6" s="1"/>
  <c r="Z898" i="6" s="1"/>
  <c r="BJ898" i="6" s="1"/>
  <c r="Z899" i="6" s="1"/>
  <c r="BJ899" i="6" s="1"/>
  <c r="Z900" i="6" s="1"/>
  <c r="BJ900" i="6" s="1"/>
  <c r="Z901" i="6" s="1"/>
  <c r="BJ901" i="6" s="1"/>
  <c r="Z902" i="6" s="1"/>
  <c r="BJ902" i="6" s="1"/>
  <c r="Z903" i="6" s="1"/>
  <c r="BJ903" i="6" s="1"/>
  <c r="Z904" i="6" s="1"/>
  <c r="BJ904" i="6" s="1"/>
  <c r="Z905" i="6" s="1"/>
  <c r="BJ905" i="6" s="1"/>
  <c r="Y870" i="6"/>
  <c r="X870" i="6"/>
  <c r="W870" i="6"/>
  <c r="V870" i="6"/>
  <c r="U870" i="6"/>
  <c r="T870" i="6"/>
  <c r="BD870" i="6" s="1"/>
  <c r="T871" i="6" s="1"/>
  <c r="S870" i="6"/>
  <c r="BC870" i="6" s="1"/>
  <c r="S871" i="6" s="1"/>
  <c r="BC871" i="6" s="1"/>
  <c r="S872" i="6" s="1"/>
  <c r="BC872" i="6" s="1"/>
  <c r="S873" i="6" s="1"/>
  <c r="BC873" i="6" s="1"/>
  <c r="S874" i="6" s="1"/>
  <c r="BC874" i="6" s="1"/>
  <c r="S875" i="6" s="1"/>
  <c r="BC875" i="6" s="1"/>
  <c r="S876" i="6" s="1"/>
  <c r="BC876" i="6" s="1"/>
  <c r="S877" i="6" s="1"/>
  <c r="BC877" i="6" s="1"/>
  <c r="S878" i="6" s="1"/>
  <c r="BC878" i="6" s="1"/>
  <c r="S879" i="6" s="1"/>
  <c r="BC879" i="6" s="1"/>
  <c r="S880" i="6" s="1"/>
  <c r="BC880" i="6" s="1"/>
  <c r="S881" i="6" s="1"/>
  <c r="BC881" i="6" s="1"/>
  <c r="S882" i="6" s="1"/>
  <c r="BC882" i="6" s="1"/>
  <c r="S883" i="6" s="1"/>
  <c r="BC883" i="6" s="1"/>
  <c r="S884" i="6" s="1"/>
  <c r="BC884" i="6" s="1"/>
  <c r="S885" i="6" s="1"/>
  <c r="BC885" i="6" s="1"/>
  <c r="S886" i="6" s="1"/>
  <c r="BC886" i="6" s="1"/>
  <c r="S887" i="6" s="1"/>
  <c r="BC887" i="6" s="1"/>
  <c r="S888" i="6" s="1"/>
  <c r="BC888" i="6" s="1"/>
  <c r="S889" i="6" s="1"/>
  <c r="BC889" i="6" s="1"/>
  <c r="S890" i="6" s="1"/>
  <c r="BC890" i="6" s="1"/>
  <c r="S891" i="6" s="1"/>
  <c r="BC891" i="6" s="1"/>
  <c r="S892" i="6" s="1"/>
  <c r="BC892" i="6" s="1"/>
  <c r="S893" i="6" s="1"/>
  <c r="BC893" i="6" s="1"/>
  <c r="S894" i="6" s="1"/>
  <c r="BC894" i="6" s="1"/>
  <c r="S895" i="6" s="1"/>
  <c r="BC895" i="6" s="1"/>
  <c r="S896" i="6" s="1"/>
  <c r="BC896" i="6" s="1"/>
  <c r="S897" i="6" s="1"/>
  <c r="BC897" i="6" s="1"/>
  <c r="S898" i="6" s="1"/>
  <c r="BC898" i="6" s="1"/>
  <c r="S899" i="6" s="1"/>
  <c r="BC899" i="6" s="1"/>
  <c r="S900" i="6" s="1"/>
  <c r="BC900" i="6" s="1"/>
  <c r="S901" i="6" s="1"/>
  <c r="BC901" i="6" s="1"/>
  <c r="S902" i="6" s="1"/>
  <c r="BC902" i="6" s="1"/>
  <c r="S903" i="6" s="1"/>
  <c r="BC903" i="6" s="1"/>
  <c r="S904" i="6" s="1"/>
  <c r="BC904" i="6" s="1"/>
  <c r="S905" i="6" s="1"/>
  <c r="BC905" i="6" s="1"/>
  <c r="R870" i="6"/>
  <c r="BB870" i="6" s="1"/>
  <c r="Q870" i="6"/>
  <c r="BA870" i="6" s="1"/>
  <c r="Q871" i="6" s="1"/>
  <c r="BA871" i="6" s="1"/>
  <c r="Q872" i="6" s="1"/>
  <c r="BA872" i="6" s="1"/>
  <c r="Q873" i="6" s="1"/>
  <c r="BA873" i="6" s="1"/>
  <c r="Q874" i="6" s="1"/>
  <c r="O870" i="6"/>
  <c r="AY870" i="6" s="1"/>
  <c r="O871" i="6" s="1"/>
  <c r="AY871" i="6" s="1"/>
  <c r="O872" i="6" s="1"/>
  <c r="AY872" i="6" s="1"/>
  <c r="O873" i="6" s="1"/>
  <c r="AY873" i="6" s="1"/>
  <c r="O874" i="6" s="1"/>
  <c r="AY874" i="6" s="1"/>
  <c r="O875" i="6" s="1"/>
  <c r="AY875" i="6" s="1"/>
  <c r="O876" i="6" s="1"/>
  <c r="AY876" i="6" s="1"/>
  <c r="O877" i="6" s="1"/>
  <c r="AY877" i="6" s="1"/>
  <c r="O878" i="6" s="1"/>
  <c r="AY878" i="6" s="1"/>
  <c r="O879" i="6" s="1"/>
  <c r="AY879" i="6" s="1"/>
  <c r="O880" i="6" s="1"/>
  <c r="AY880" i="6" s="1"/>
  <c r="O881" i="6" s="1"/>
  <c r="AY881" i="6" s="1"/>
  <c r="O882" i="6" s="1"/>
  <c r="N870" i="6"/>
  <c r="M870" i="6"/>
  <c r="L870" i="6"/>
  <c r="K870" i="6"/>
  <c r="J870" i="6"/>
  <c r="I870" i="6"/>
  <c r="H870" i="6"/>
  <c r="G870" i="6"/>
  <c r="F870" i="6"/>
  <c r="E870" i="6"/>
  <c r="D870" i="6"/>
  <c r="C870" i="6"/>
  <c r="B870" i="6"/>
  <c r="A870" i="6"/>
  <c r="AO869" i="6"/>
  <c r="H869" i="6"/>
  <c r="G869" i="6"/>
  <c r="F869" i="6"/>
  <c r="E869" i="6"/>
  <c r="D869" i="6"/>
  <c r="C869" i="6"/>
  <c r="B869" i="6"/>
  <c r="A869" i="6"/>
  <c r="AO868" i="6"/>
  <c r="AE868" i="6"/>
  <c r="Y868" i="6"/>
  <c r="BI868" i="6" s="1"/>
  <c r="Y869" i="6" s="1"/>
  <c r="BI869" i="6" s="1"/>
  <c r="K868" i="6"/>
  <c r="J868" i="6"/>
  <c r="I868" i="6"/>
  <c r="H868" i="6"/>
  <c r="G868" i="6"/>
  <c r="AI868" i="6" s="1"/>
  <c r="F868" i="6"/>
  <c r="E868" i="6"/>
  <c r="D868" i="6"/>
  <c r="C868" i="6"/>
  <c r="B868" i="6"/>
  <c r="A868" i="6"/>
  <c r="AO867" i="6"/>
  <c r="K867" i="6"/>
  <c r="J867" i="6"/>
  <c r="I867" i="6"/>
  <c r="H867" i="6"/>
  <c r="G867" i="6"/>
  <c r="F867" i="6"/>
  <c r="AE867" i="6" s="1"/>
  <c r="E867" i="6"/>
  <c r="D867" i="6"/>
  <c r="C867" i="6"/>
  <c r="B867" i="6"/>
  <c r="A867" i="6"/>
  <c r="AO866" i="6"/>
  <c r="AI866" i="6"/>
  <c r="I866" i="6"/>
  <c r="H866" i="6"/>
  <c r="G866" i="6"/>
  <c r="F866" i="6"/>
  <c r="E866" i="6"/>
  <c r="D866" i="6"/>
  <c r="C866" i="6"/>
  <c r="B866" i="6"/>
  <c r="A866" i="6"/>
  <c r="AO865" i="6"/>
  <c r="AI865" i="6"/>
  <c r="AE865" i="6"/>
  <c r="I865" i="6"/>
  <c r="H865" i="6"/>
  <c r="G865" i="6"/>
  <c r="F865" i="6"/>
  <c r="E865" i="6"/>
  <c r="D865" i="6"/>
  <c r="C865" i="6"/>
  <c r="B865" i="6"/>
  <c r="A865" i="6"/>
  <c r="AO864" i="6"/>
  <c r="H864" i="6"/>
  <c r="G864" i="6"/>
  <c r="F864" i="6"/>
  <c r="J864" i="6" s="1"/>
  <c r="E864" i="6"/>
  <c r="D864" i="6"/>
  <c r="C864" i="6"/>
  <c r="B864" i="6"/>
  <c r="A864" i="6"/>
  <c r="AO863" i="6"/>
  <c r="AI863" i="6"/>
  <c r="K863" i="6"/>
  <c r="J863" i="6"/>
  <c r="I863" i="6"/>
  <c r="H863" i="6"/>
  <c r="G863" i="6"/>
  <c r="F863" i="6"/>
  <c r="AE863" i="6" s="1"/>
  <c r="E863" i="6"/>
  <c r="D863" i="6"/>
  <c r="C863" i="6"/>
  <c r="B863" i="6"/>
  <c r="A863" i="6"/>
  <c r="AO862" i="6"/>
  <c r="K862" i="6"/>
  <c r="J862" i="6"/>
  <c r="I862" i="6"/>
  <c r="H862" i="6"/>
  <c r="G862" i="6"/>
  <c r="F862" i="6"/>
  <c r="AE862" i="6" s="1"/>
  <c r="E862" i="6"/>
  <c r="D862" i="6"/>
  <c r="C862" i="6"/>
  <c r="B862" i="6"/>
  <c r="A862" i="6"/>
  <c r="AO861" i="6"/>
  <c r="AI861" i="6"/>
  <c r="K861" i="6"/>
  <c r="J861" i="6"/>
  <c r="I861" i="6"/>
  <c r="H861" i="6"/>
  <c r="G861" i="6"/>
  <c r="F861" i="6"/>
  <c r="AE861" i="6" s="1"/>
  <c r="E861" i="6"/>
  <c r="D861" i="6"/>
  <c r="C861" i="6"/>
  <c r="B861" i="6"/>
  <c r="A861" i="6"/>
  <c r="AO860" i="6"/>
  <c r="AE860" i="6"/>
  <c r="I860" i="6"/>
  <c r="H860" i="6"/>
  <c r="G860" i="6"/>
  <c r="F860" i="6"/>
  <c r="E860" i="6"/>
  <c r="D860" i="6"/>
  <c r="C860" i="6"/>
  <c r="B860" i="6"/>
  <c r="A860" i="6"/>
  <c r="AO859" i="6"/>
  <c r="AI859" i="6"/>
  <c r="AE859" i="6"/>
  <c r="K859" i="6"/>
  <c r="J859" i="6"/>
  <c r="I859" i="6"/>
  <c r="H859" i="6"/>
  <c r="G859" i="6"/>
  <c r="F859" i="6"/>
  <c r="E859" i="6"/>
  <c r="D859" i="6"/>
  <c r="C859" i="6"/>
  <c r="B859" i="6"/>
  <c r="A859" i="6"/>
  <c r="AO858" i="6"/>
  <c r="I858" i="6"/>
  <c r="H858" i="6"/>
  <c r="G858" i="6"/>
  <c r="F858" i="6"/>
  <c r="E858" i="6"/>
  <c r="D858" i="6"/>
  <c r="C858" i="6"/>
  <c r="B858" i="6"/>
  <c r="A858" i="6"/>
  <c r="AO857" i="6"/>
  <c r="H857" i="6"/>
  <c r="G857" i="6"/>
  <c r="F857" i="6"/>
  <c r="AI857" i="6" s="1"/>
  <c r="E857" i="6"/>
  <c r="D857" i="6"/>
  <c r="C857" i="6"/>
  <c r="B857" i="6"/>
  <c r="A857" i="6"/>
  <c r="AT856" i="6"/>
  <c r="AI856" i="6"/>
  <c r="AE856" i="6"/>
  <c r="K856" i="6"/>
  <c r="J856" i="6"/>
  <c r="I856" i="6"/>
  <c r="H856" i="6"/>
  <c r="G856" i="6"/>
  <c r="F856" i="6"/>
  <c r="E856" i="6"/>
  <c r="D856" i="6"/>
  <c r="C856" i="6"/>
  <c r="B856" i="6"/>
  <c r="A856" i="6"/>
  <c r="AT855" i="6"/>
  <c r="AO855" i="6"/>
  <c r="H855" i="6"/>
  <c r="G855" i="6"/>
  <c r="F855" i="6"/>
  <c r="E855" i="6"/>
  <c r="D855" i="6"/>
  <c r="C855" i="6"/>
  <c r="B855" i="6"/>
  <c r="A855" i="6"/>
  <c r="AT854" i="6"/>
  <c r="AO854" i="6"/>
  <c r="J854" i="6"/>
  <c r="I854" i="6"/>
  <c r="H854" i="6"/>
  <c r="G854" i="6"/>
  <c r="F854" i="6"/>
  <c r="AE854" i="6" s="1"/>
  <c r="E854" i="6"/>
  <c r="D854" i="6"/>
  <c r="C854" i="6"/>
  <c r="B854" i="6"/>
  <c r="A854" i="6"/>
  <c r="AT853" i="6"/>
  <c r="AO853" i="6"/>
  <c r="J853" i="6"/>
  <c r="H853" i="6"/>
  <c r="G853" i="6"/>
  <c r="F853" i="6"/>
  <c r="AI853" i="6" s="1"/>
  <c r="E853" i="6"/>
  <c r="D853" i="6"/>
  <c r="C853" i="6"/>
  <c r="B853" i="6"/>
  <c r="A853" i="6"/>
  <c r="AT852" i="6"/>
  <c r="AO852" i="6"/>
  <c r="AI852" i="6"/>
  <c r="K852" i="6"/>
  <c r="H852" i="6"/>
  <c r="G852" i="6"/>
  <c r="F852" i="6"/>
  <c r="E852" i="6"/>
  <c r="D852" i="6"/>
  <c r="C852" i="6"/>
  <c r="B852" i="6"/>
  <c r="A852" i="6"/>
  <c r="AT851" i="6"/>
  <c r="AO851" i="6"/>
  <c r="AE851" i="6"/>
  <c r="J851" i="6"/>
  <c r="H851" i="6"/>
  <c r="AF851" i="6" s="1"/>
  <c r="G851" i="6"/>
  <c r="F851" i="6"/>
  <c r="AI851" i="6" s="1"/>
  <c r="E851" i="6"/>
  <c r="D851" i="6"/>
  <c r="C851" i="6"/>
  <c r="B851" i="6"/>
  <c r="A851" i="6"/>
  <c r="AT850" i="6"/>
  <c r="AE850" i="6"/>
  <c r="K850" i="6"/>
  <c r="J850" i="6"/>
  <c r="H850" i="6"/>
  <c r="G850" i="6"/>
  <c r="F850" i="6"/>
  <c r="E850" i="6"/>
  <c r="D850" i="6"/>
  <c r="C850" i="6"/>
  <c r="B850" i="6"/>
  <c r="A850" i="6"/>
  <c r="AT849" i="6"/>
  <c r="AO849" i="6"/>
  <c r="AI849" i="6"/>
  <c r="AF849" i="6"/>
  <c r="K849" i="6"/>
  <c r="J849" i="6"/>
  <c r="I849" i="6"/>
  <c r="H849" i="6"/>
  <c r="G849" i="6"/>
  <c r="F849" i="6"/>
  <c r="AE849" i="6" s="1"/>
  <c r="E849" i="6"/>
  <c r="D849" i="6"/>
  <c r="C849" i="6"/>
  <c r="B849" i="6"/>
  <c r="A849" i="6"/>
  <c r="AT848" i="6"/>
  <c r="AO848" i="6"/>
  <c r="AF848" i="6"/>
  <c r="AE848" i="6"/>
  <c r="I848" i="6"/>
  <c r="H848" i="6"/>
  <c r="G848" i="6"/>
  <c r="F848" i="6"/>
  <c r="AI848" i="6" s="1"/>
  <c r="E848" i="6"/>
  <c r="D848" i="6"/>
  <c r="C848" i="6"/>
  <c r="B848" i="6"/>
  <c r="A848" i="6"/>
  <c r="AT847" i="6"/>
  <c r="AO847" i="6"/>
  <c r="AI847" i="6"/>
  <c r="AF847" i="6"/>
  <c r="AE847" i="6"/>
  <c r="K847" i="6"/>
  <c r="J847" i="6"/>
  <c r="I847" i="6"/>
  <c r="H847" i="6"/>
  <c r="G847" i="6"/>
  <c r="F847" i="6"/>
  <c r="E847" i="6"/>
  <c r="D847" i="6"/>
  <c r="C847" i="6"/>
  <c r="B847" i="6"/>
  <c r="A847" i="6"/>
  <c r="AT846" i="6"/>
  <c r="AO846" i="6"/>
  <c r="I846" i="6"/>
  <c r="H846" i="6"/>
  <c r="G846" i="6"/>
  <c r="F846" i="6"/>
  <c r="E846" i="6"/>
  <c r="D846" i="6"/>
  <c r="C846" i="6"/>
  <c r="B846" i="6"/>
  <c r="A846" i="6"/>
  <c r="AT845" i="6"/>
  <c r="H845" i="6"/>
  <c r="G845" i="6"/>
  <c r="F845" i="6"/>
  <c r="AI845" i="6" s="1"/>
  <c r="E845" i="6"/>
  <c r="D845" i="6"/>
  <c r="C845" i="6"/>
  <c r="B845" i="6"/>
  <c r="A845" i="6"/>
  <c r="AT844" i="6"/>
  <c r="AI844" i="6"/>
  <c r="AE844" i="6"/>
  <c r="K844" i="6"/>
  <c r="J844" i="6"/>
  <c r="I844" i="6"/>
  <c r="H844" i="6"/>
  <c r="G844" i="6"/>
  <c r="F844" i="6"/>
  <c r="E844" i="6"/>
  <c r="D844" i="6"/>
  <c r="C844" i="6"/>
  <c r="B844" i="6"/>
  <c r="A844" i="6"/>
  <c r="AT843" i="6"/>
  <c r="AO843" i="6"/>
  <c r="H843" i="6"/>
  <c r="AF843" i="6" s="1"/>
  <c r="G843" i="6"/>
  <c r="F843" i="6"/>
  <c r="E843" i="6"/>
  <c r="D843" i="6"/>
  <c r="C843" i="6"/>
  <c r="B843" i="6"/>
  <c r="A843" i="6"/>
  <c r="AT842" i="6"/>
  <c r="AO842" i="6"/>
  <c r="J842" i="6"/>
  <c r="H842" i="6"/>
  <c r="G842" i="6"/>
  <c r="F842" i="6"/>
  <c r="AE842" i="6" s="1"/>
  <c r="E842" i="6"/>
  <c r="D842" i="6"/>
  <c r="C842" i="6"/>
  <c r="B842" i="6"/>
  <c r="A842" i="6"/>
  <c r="AT841" i="6"/>
  <c r="AO841" i="6"/>
  <c r="AF841" i="6"/>
  <c r="AE841" i="6"/>
  <c r="J841" i="6"/>
  <c r="H841" i="6"/>
  <c r="G841" i="6"/>
  <c r="F841" i="6"/>
  <c r="AI841" i="6" s="1"/>
  <c r="E841" i="6"/>
  <c r="D841" i="6"/>
  <c r="C841" i="6"/>
  <c r="B841" i="6"/>
  <c r="A841" i="6"/>
  <c r="AT840" i="6"/>
  <c r="AO840" i="6"/>
  <c r="AI840" i="6"/>
  <c r="K840" i="6"/>
  <c r="I840" i="6"/>
  <c r="H840" i="6"/>
  <c r="AF840" i="6" s="1"/>
  <c r="G840" i="6"/>
  <c r="F840" i="6"/>
  <c r="E840" i="6"/>
  <c r="D840" i="6"/>
  <c r="C840" i="6"/>
  <c r="B840" i="6"/>
  <c r="A840" i="6"/>
  <c r="AT839" i="6"/>
  <c r="AE839" i="6"/>
  <c r="J839" i="6"/>
  <c r="H839" i="6"/>
  <c r="G839" i="6"/>
  <c r="F839" i="6"/>
  <c r="E839" i="6"/>
  <c r="D839" i="6"/>
  <c r="C839" i="6"/>
  <c r="B839" i="6"/>
  <c r="A839" i="6"/>
  <c r="AT838" i="6"/>
  <c r="AE838" i="6"/>
  <c r="AC838" i="6"/>
  <c r="BM838" i="6" s="1"/>
  <c r="AC839" i="6" s="1"/>
  <c r="BM839" i="6" s="1"/>
  <c r="AC840" i="6" s="1"/>
  <c r="BM840" i="6" s="1"/>
  <c r="AC841" i="6" s="1"/>
  <c r="BM841" i="6" s="1"/>
  <c r="AC842" i="6" s="1"/>
  <c r="BM842" i="6" s="1"/>
  <c r="AC843" i="6" s="1"/>
  <c r="BM843" i="6" s="1"/>
  <c r="AC844" i="6" s="1"/>
  <c r="BM844" i="6" s="1"/>
  <c r="AC845" i="6" s="1"/>
  <c r="BM845" i="6" s="1"/>
  <c r="AC846" i="6" s="1"/>
  <c r="BM846" i="6" s="1"/>
  <c r="AC847" i="6" s="1"/>
  <c r="BM847" i="6" s="1"/>
  <c r="AC848" i="6" s="1"/>
  <c r="BM848" i="6" s="1"/>
  <c r="AC849" i="6" s="1"/>
  <c r="BM849" i="6" s="1"/>
  <c r="AC850" i="6" s="1"/>
  <c r="BM850" i="6" s="1"/>
  <c r="AC851" i="6" s="1"/>
  <c r="BM851" i="6" s="1"/>
  <c r="AC852" i="6" s="1"/>
  <c r="BM852" i="6" s="1"/>
  <c r="AC853" i="6" s="1"/>
  <c r="BM853" i="6" s="1"/>
  <c r="AC854" i="6" s="1"/>
  <c r="BM854" i="6" s="1"/>
  <c r="AC855" i="6" s="1"/>
  <c r="BM855" i="6" s="1"/>
  <c r="AC856" i="6" s="1"/>
  <c r="BM856" i="6" s="1"/>
  <c r="AC857" i="6" s="1"/>
  <c r="BM857" i="6" s="1"/>
  <c r="AC858" i="6" s="1"/>
  <c r="BM858" i="6" s="1"/>
  <c r="AC859" i="6" s="1"/>
  <c r="BM859" i="6" s="1"/>
  <c r="AC860" i="6" s="1"/>
  <c r="BM860" i="6" s="1"/>
  <c r="AC861" i="6" s="1"/>
  <c r="BM861" i="6" s="1"/>
  <c r="AC862" i="6" s="1"/>
  <c r="BM862" i="6" s="1"/>
  <c r="AC863" i="6" s="1"/>
  <c r="BM863" i="6" s="1"/>
  <c r="AC864" i="6" s="1"/>
  <c r="BM864" i="6" s="1"/>
  <c r="AC865" i="6" s="1"/>
  <c r="BM865" i="6" s="1"/>
  <c r="AC866" i="6" s="1"/>
  <c r="BM866" i="6" s="1"/>
  <c r="AC867" i="6" s="1"/>
  <c r="BM867" i="6" s="1"/>
  <c r="AC868" i="6" s="1"/>
  <c r="BM868" i="6" s="1"/>
  <c r="AC869" i="6" s="1"/>
  <c r="BM869" i="6" s="1"/>
  <c r="K838" i="6"/>
  <c r="J838" i="6"/>
  <c r="H838" i="6"/>
  <c r="G838" i="6"/>
  <c r="F838" i="6"/>
  <c r="E838" i="6"/>
  <c r="D838" i="6"/>
  <c r="C838" i="6"/>
  <c r="B838" i="6"/>
  <c r="A838" i="6"/>
  <c r="AT837" i="6"/>
  <c r="AO837" i="6"/>
  <c r="AI837" i="6"/>
  <c r="X837" i="6"/>
  <c r="BH837" i="6" s="1"/>
  <c r="X838" i="6" s="1"/>
  <c r="BH838" i="6" s="1"/>
  <c r="X839" i="6" s="1"/>
  <c r="BH839" i="6" s="1"/>
  <c r="X840" i="6" s="1"/>
  <c r="BH840" i="6" s="1"/>
  <c r="X841" i="6" s="1"/>
  <c r="BH841" i="6" s="1"/>
  <c r="X842" i="6" s="1"/>
  <c r="BH842" i="6" s="1"/>
  <c r="X843" i="6" s="1"/>
  <c r="BH843" i="6" s="1"/>
  <c r="X844" i="6" s="1"/>
  <c r="BH844" i="6" s="1"/>
  <c r="X845" i="6" s="1"/>
  <c r="BH845" i="6" s="1"/>
  <c r="X846" i="6" s="1"/>
  <c r="BH846" i="6" s="1"/>
  <c r="X847" i="6" s="1"/>
  <c r="BH847" i="6" s="1"/>
  <c r="X848" i="6" s="1"/>
  <c r="BH848" i="6" s="1"/>
  <c r="X849" i="6" s="1"/>
  <c r="BH849" i="6" s="1"/>
  <c r="X850" i="6" s="1"/>
  <c r="BH850" i="6" s="1"/>
  <c r="X851" i="6" s="1"/>
  <c r="BH851" i="6" s="1"/>
  <c r="X852" i="6" s="1"/>
  <c r="BH852" i="6" s="1"/>
  <c r="X853" i="6" s="1"/>
  <c r="BH853" i="6" s="1"/>
  <c r="X854" i="6" s="1"/>
  <c r="BH854" i="6" s="1"/>
  <c r="X855" i="6" s="1"/>
  <c r="BH855" i="6" s="1"/>
  <c r="X856" i="6" s="1"/>
  <c r="BH856" i="6" s="1"/>
  <c r="X857" i="6" s="1"/>
  <c r="BH857" i="6" s="1"/>
  <c r="X858" i="6" s="1"/>
  <c r="BH858" i="6" s="1"/>
  <c r="X859" i="6" s="1"/>
  <c r="BH859" i="6" s="1"/>
  <c r="X860" i="6" s="1"/>
  <c r="BH860" i="6" s="1"/>
  <c r="X861" i="6" s="1"/>
  <c r="BH861" i="6" s="1"/>
  <c r="X862" i="6" s="1"/>
  <c r="K837" i="6"/>
  <c r="J837" i="6"/>
  <c r="I837" i="6"/>
  <c r="H837" i="6"/>
  <c r="G837" i="6"/>
  <c r="F837" i="6"/>
  <c r="AE837" i="6" s="1"/>
  <c r="E837" i="6"/>
  <c r="D837" i="6"/>
  <c r="C837" i="6"/>
  <c r="B837" i="6"/>
  <c r="A837" i="6"/>
  <c r="BO836" i="6"/>
  <c r="BN837" i="6" s="1"/>
  <c r="BO837" i="6" s="1"/>
  <c r="BN838" i="6" s="1"/>
  <c r="BO838" i="6" s="1"/>
  <c r="BN839" i="6" s="1"/>
  <c r="BO839" i="6" s="1"/>
  <c r="BN840" i="6" s="1"/>
  <c r="BO840" i="6" s="1"/>
  <c r="BN841" i="6" s="1"/>
  <c r="BO841" i="6" s="1"/>
  <c r="BN842" i="6" s="1"/>
  <c r="BO842" i="6" s="1"/>
  <c r="BN843" i="6" s="1"/>
  <c r="BO843" i="6" s="1"/>
  <c r="BN844" i="6" s="1"/>
  <c r="BO844" i="6" s="1"/>
  <c r="BN845" i="6" s="1"/>
  <c r="BO845" i="6" s="1"/>
  <c r="BN846" i="6" s="1"/>
  <c r="BO846" i="6" s="1"/>
  <c r="BN847" i="6" s="1"/>
  <c r="BO847" i="6" s="1"/>
  <c r="BN848" i="6" s="1"/>
  <c r="BO848" i="6" s="1"/>
  <c r="BN849" i="6" s="1"/>
  <c r="BO849" i="6" s="1"/>
  <c r="BN850" i="6" s="1"/>
  <c r="AT836" i="6"/>
  <c r="AO836" i="6"/>
  <c r="AF836" i="6"/>
  <c r="AE836" i="6"/>
  <c r="S836" i="6"/>
  <c r="BC836" i="6" s="1"/>
  <c r="S837" i="6" s="1"/>
  <c r="BC837" i="6" s="1"/>
  <c r="S838" i="6" s="1"/>
  <c r="BC838" i="6" s="1"/>
  <c r="S839" i="6" s="1"/>
  <c r="BC839" i="6" s="1"/>
  <c r="S840" i="6" s="1"/>
  <c r="BC840" i="6" s="1"/>
  <c r="S841" i="6" s="1"/>
  <c r="BC841" i="6" s="1"/>
  <c r="S842" i="6" s="1"/>
  <c r="BC842" i="6" s="1"/>
  <c r="S843" i="6" s="1"/>
  <c r="BC843" i="6" s="1"/>
  <c r="S844" i="6" s="1"/>
  <c r="BC844" i="6" s="1"/>
  <c r="S845" i="6" s="1"/>
  <c r="BC845" i="6" s="1"/>
  <c r="S846" i="6" s="1"/>
  <c r="BC846" i="6" s="1"/>
  <c r="S847" i="6" s="1"/>
  <c r="BC847" i="6" s="1"/>
  <c r="S848" i="6" s="1"/>
  <c r="BC848" i="6" s="1"/>
  <c r="S849" i="6" s="1"/>
  <c r="BC849" i="6" s="1"/>
  <c r="S850" i="6" s="1"/>
  <c r="BC850" i="6" s="1"/>
  <c r="S851" i="6" s="1"/>
  <c r="BC851" i="6" s="1"/>
  <c r="S852" i="6" s="1"/>
  <c r="BC852" i="6" s="1"/>
  <c r="S853" i="6" s="1"/>
  <c r="BC853" i="6" s="1"/>
  <c r="S854" i="6" s="1"/>
  <c r="BC854" i="6" s="1"/>
  <c r="S855" i="6" s="1"/>
  <c r="BC855" i="6" s="1"/>
  <c r="S856" i="6" s="1"/>
  <c r="BC856" i="6" s="1"/>
  <c r="S857" i="6" s="1"/>
  <c r="BC857" i="6" s="1"/>
  <c r="S858" i="6" s="1"/>
  <c r="BC858" i="6" s="1"/>
  <c r="S859" i="6" s="1"/>
  <c r="BC859" i="6" s="1"/>
  <c r="S860" i="6" s="1"/>
  <c r="BC860" i="6" s="1"/>
  <c r="S861" i="6" s="1"/>
  <c r="BC861" i="6" s="1"/>
  <c r="S862" i="6" s="1"/>
  <c r="BC862" i="6" s="1"/>
  <c r="S863" i="6" s="1"/>
  <c r="BC863" i="6" s="1"/>
  <c r="S864" i="6" s="1"/>
  <c r="BC864" i="6" s="1"/>
  <c r="S865" i="6" s="1"/>
  <c r="BC865" i="6" s="1"/>
  <c r="S866" i="6" s="1"/>
  <c r="BC866" i="6" s="1"/>
  <c r="S867" i="6" s="1"/>
  <c r="BC867" i="6" s="1"/>
  <c r="S868" i="6" s="1"/>
  <c r="BC868" i="6" s="1"/>
  <c r="S869" i="6" s="1"/>
  <c r="BC869" i="6" s="1"/>
  <c r="I836" i="6"/>
  <c r="H836" i="6"/>
  <c r="G836" i="6"/>
  <c r="F836" i="6"/>
  <c r="AI836" i="6" s="1"/>
  <c r="E836" i="6"/>
  <c r="D836" i="6"/>
  <c r="C836" i="6"/>
  <c r="B836" i="6"/>
  <c r="A836" i="6"/>
  <c r="AT835" i="6"/>
  <c r="AO835" i="6"/>
  <c r="AI835" i="6"/>
  <c r="AF835" i="6"/>
  <c r="AE835" i="6"/>
  <c r="AB835" i="6"/>
  <c r="BL835" i="6" s="1"/>
  <c r="AB836" i="6" s="1"/>
  <c r="BL836" i="6" s="1"/>
  <c r="AB837" i="6" s="1"/>
  <c r="BL837" i="6" s="1"/>
  <c r="AB838" i="6" s="1"/>
  <c r="BL838" i="6" s="1"/>
  <c r="AB839" i="6" s="1"/>
  <c r="BL839" i="6" s="1"/>
  <c r="AB840" i="6" s="1"/>
  <c r="BL840" i="6" s="1"/>
  <c r="AB841" i="6" s="1"/>
  <c r="BL841" i="6" s="1"/>
  <c r="AB842" i="6" s="1"/>
  <c r="BL842" i="6" s="1"/>
  <c r="AB843" i="6" s="1"/>
  <c r="BL843" i="6" s="1"/>
  <c r="AB844" i="6" s="1"/>
  <c r="BL844" i="6" s="1"/>
  <c r="AB845" i="6" s="1"/>
  <c r="BL845" i="6" s="1"/>
  <c r="AB846" i="6" s="1"/>
  <c r="BL846" i="6" s="1"/>
  <c r="AB847" i="6" s="1"/>
  <c r="BL847" i="6" s="1"/>
  <c r="AB848" i="6" s="1"/>
  <c r="BL848" i="6" s="1"/>
  <c r="AB849" i="6" s="1"/>
  <c r="BL849" i="6" s="1"/>
  <c r="AB850" i="6" s="1"/>
  <c r="BL850" i="6" s="1"/>
  <c r="AB851" i="6" s="1"/>
  <c r="BL851" i="6" s="1"/>
  <c r="AB852" i="6" s="1"/>
  <c r="BL852" i="6" s="1"/>
  <c r="AB853" i="6" s="1"/>
  <c r="BL853" i="6" s="1"/>
  <c r="AB854" i="6" s="1"/>
  <c r="BL854" i="6" s="1"/>
  <c r="AB855" i="6" s="1"/>
  <c r="BL855" i="6" s="1"/>
  <c r="AB856" i="6" s="1"/>
  <c r="BL856" i="6" s="1"/>
  <c r="AB857" i="6" s="1"/>
  <c r="BL857" i="6" s="1"/>
  <c r="AB858" i="6" s="1"/>
  <c r="BL858" i="6" s="1"/>
  <c r="AB859" i="6" s="1"/>
  <c r="BL859" i="6" s="1"/>
  <c r="AB860" i="6" s="1"/>
  <c r="BL860" i="6" s="1"/>
  <c r="AB861" i="6" s="1"/>
  <c r="BL861" i="6" s="1"/>
  <c r="AB862" i="6" s="1"/>
  <c r="BL862" i="6" s="1"/>
  <c r="AB863" i="6" s="1"/>
  <c r="BL863" i="6" s="1"/>
  <c r="AB864" i="6" s="1"/>
  <c r="BL864" i="6" s="1"/>
  <c r="AB865" i="6" s="1"/>
  <c r="BL865" i="6" s="1"/>
  <c r="AB866" i="6" s="1"/>
  <c r="BL866" i="6" s="1"/>
  <c r="AB867" i="6" s="1"/>
  <c r="BL867" i="6" s="1"/>
  <c r="AB868" i="6" s="1"/>
  <c r="BL868" i="6" s="1"/>
  <c r="AB869" i="6" s="1"/>
  <c r="BL869" i="6" s="1"/>
  <c r="W835" i="6"/>
  <c r="K835" i="6"/>
  <c r="J835" i="6"/>
  <c r="I835" i="6"/>
  <c r="H835" i="6"/>
  <c r="G835" i="6"/>
  <c r="F835" i="6"/>
  <c r="E835" i="6"/>
  <c r="D835" i="6"/>
  <c r="C835" i="6"/>
  <c r="B835" i="6"/>
  <c r="A835" i="6"/>
  <c r="BN834" i="6"/>
  <c r="BO834" i="6" s="1"/>
  <c r="BN835" i="6" s="1"/>
  <c r="BO835" i="6" s="1"/>
  <c r="BN836" i="6" s="1"/>
  <c r="BG834" i="6"/>
  <c r="BE834" i="6"/>
  <c r="BB834" i="6"/>
  <c r="R835" i="6" s="1"/>
  <c r="BB835" i="6" s="1"/>
  <c r="R836" i="6" s="1"/>
  <c r="BB836" i="6" s="1"/>
  <c r="R837" i="6" s="1"/>
  <c r="BB837" i="6" s="1"/>
  <c r="R838" i="6" s="1"/>
  <c r="BB838" i="6" s="1"/>
  <c r="R839" i="6" s="1"/>
  <c r="BB839" i="6" s="1"/>
  <c r="R840" i="6" s="1"/>
  <c r="BB840" i="6" s="1"/>
  <c r="R841" i="6" s="1"/>
  <c r="BB841" i="6" s="1"/>
  <c r="R842" i="6" s="1"/>
  <c r="BB842" i="6" s="1"/>
  <c r="R843" i="6" s="1"/>
  <c r="BB843" i="6" s="1"/>
  <c r="R844" i="6" s="1"/>
  <c r="BB844" i="6" s="1"/>
  <c r="R845" i="6" s="1"/>
  <c r="BB845" i="6" s="1"/>
  <c r="R846" i="6" s="1"/>
  <c r="BB846" i="6" s="1"/>
  <c r="R847" i="6" s="1"/>
  <c r="BB847" i="6" s="1"/>
  <c r="R848" i="6" s="1"/>
  <c r="BB848" i="6" s="1"/>
  <c r="R849" i="6" s="1"/>
  <c r="BB849" i="6" s="1"/>
  <c r="R850" i="6" s="1"/>
  <c r="BB850" i="6" s="1"/>
  <c r="R851" i="6" s="1"/>
  <c r="BB851" i="6" s="1"/>
  <c r="R852" i="6" s="1"/>
  <c r="BB852" i="6" s="1"/>
  <c r="R853" i="6" s="1"/>
  <c r="BB853" i="6" s="1"/>
  <c r="R854" i="6" s="1"/>
  <c r="BB854" i="6" s="1"/>
  <c r="R855" i="6" s="1"/>
  <c r="BB855" i="6" s="1"/>
  <c r="R856" i="6" s="1"/>
  <c r="BB856" i="6" s="1"/>
  <c r="R857" i="6" s="1"/>
  <c r="BB857" i="6" s="1"/>
  <c r="R858" i="6" s="1"/>
  <c r="BB858" i="6" s="1"/>
  <c r="R859" i="6" s="1"/>
  <c r="BB859" i="6" s="1"/>
  <c r="R860" i="6" s="1"/>
  <c r="BB860" i="6" s="1"/>
  <c r="R861" i="6" s="1"/>
  <c r="BB861" i="6" s="1"/>
  <c r="R862" i="6" s="1"/>
  <c r="BB862" i="6" s="1"/>
  <c r="R863" i="6" s="1"/>
  <c r="BB863" i="6" s="1"/>
  <c r="R864" i="6" s="1"/>
  <c r="BB864" i="6" s="1"/>
  <c r="R865" i="6" s="1"/>
  <c r="BB865" i="6" s="1"/>
  <c r="R866" i="6" s="1"/>
  <c r="BB866" i="6" s="1"/>
  <c r="R867" i="6" s="1"/>
  <c r="BB867" i="6" s="1"/>
  <c r="R868" i="6" s="1"/>
  <c r="BB868" i="6" s="1"/>
  <c r="R869" i="6" s="1"/>
  <c r="BB869" i="6" s="1"/>
  <c r="AT834" i="6"/>
  <c r="AO834" i="6"/>
  <c r="AF834" i="6"/>
  <c r="AC834" i="6"/>
  <c r="BM834" i="6" s="1"/>
  <c r="AC835" i="6" s="1"/>
  <c r="BM835" i="6" s="1"/>
  <c r="AC836" i="6" s="1"/>
  <c r="BM836" i="6" s="1"/>
  <c r="AC837" i="6" s="1"/>
  <c r="BM837" i="6" s="1"/>
  <c r="AB834" i="6"/>
  <c r="BL834" i="6" s="1"/>
  <c r="AA834" i="6"/>
  <c r="BK834" i="6" s="1"/>
  <c r="AA835" i="6" s="1"/>
  <c r="BK835" i="6" s="1"/>
  <c r="AA836" i="6" s="1"/>
  <c r="BK836" i="6" s="1"/>
  <c r="AA837" i="6" s="1"/>
  <c r="BK837" i="6" s="1"/>
  <c r="AA838" i="6" s="1"/>
  <c r="BK838" i="6" s="1"/>
  <c r="AA839" i="6" s="1"/>
  <c r="BK839" i="6" s="1"/>
  <c r="AA840" i="6" s="1"/>
  <c r="BK840" i="6" s="1"/>
  <c r="AA841" i="6" s="1"/>
  <c r="BK841" i="6" s="1"/>
  <c r="AA842" i="6" s="1"/>
  <c r="BK842" i="6" s="1"/>
  <c r="AA843" i="6" s="1"/>
  <c r="BK843" i="6" s="1"/>
  <c r="AA844" i="6" s="1"/>
  <c r="BK844" i="6" s="1"/>
  <c r="AA845" i="6" s="1"/>
  <c r="BK845" i="6" s="1"/>
  <c r="AA846" i="6" s="1"/>
  <c r="BK846" i="6" s="1"/>
  <c r="AA847" i="6" s="1"/>
  <c r="BK847" i="6" s="1"/>
  <c r="AA848" i="6" s="1"/>
  <c r="BK848" i="6" s="1"/>
  <c r="AA849" i="6" s="1"/>
  <c r="BK849" i="6" s="1"/>
  <c r="AA850" i="6" s="1"/>
  <c r="BK850" i="6" s="1"/>
  <c r="AA851" i="6" s="1"/>
  <c r="BK851" i="6" s="1"/>
  <c r="AA852" i="6" s="1"/>
  <c r="BK852" i="6" s="1"/>
  <c r="AA853" i="6" s="1"/>
  <c r="BK853" i="6" s="1"/>
  <c r="AA854" i="6" s="1"/>
  <c r="BK854" i="6" s="1"/>
  <c r="AA855" i="6" s="1"/>
  <c r="BK855" i="6" s="1"/>
  <c r="AA856" i="6" s="1"/>
  <c r="BK856" i="6" s="1"/>
  <c r="AA857" i="6" s="1"/>
  <c r="BK857" i="6" s="1"/>
  <c r="AA858" i="6" s="1"/>
  <c r="BK858" i="6" s="1"/>
  <c r="AA859" i="6" s="1"/>
  <c r="BK859" i="6" s="1"/>
  <c r="AA860" i="6" s="1"/>
  <c r="BK860" i="6" s="1"/>
  <c r="AA861" i="6" s="1"/>
  <c r="BK861" i="6" s="1"/>
  <c r="AA862" i="6" s="1"/>
  <c r="BK862" i="6" s="1"/>
  <c r="AA863" i="6" s="1"/>
  <c r="BK863" i="6" s="1"/>
  <c r="AA864" i="6" s="1"/>
  <c r="BK864" i="6" s="1"/>
  <c r="AA865" i="6" s="1"/>
  <c r="BK865" i="6" s="1"/>
  <c r="AA866" i="6" s="1"/>
  <c r="BK866" i="6" s="1"/>
  <c r="AA867" i="6" s="1"/>
  <c r="BK867" i="6" s="1"/>
  <c r="AA868" i="6" s="1"/>
  <c r="BK868" i="6" s="1"/>
  <c r="AA869" i="6" s="1"/>
  <c r="BK869" i="6" s="1"/>
  <c r="Z834" i="6"/>
  <c r="BJ834" i="6" s="1"/>
  <c r="Z835" i="6" s="1"/>
  <c r="BJ835" i="6" s="1"/>
  <c r="Z836" i="6" s="1"/>
  <c r="BJ836" i="6" s="1"/>
  <c r="Z837" i="6" s="1"/>
  <c r="BJ837" i="6" s="1"/>
  <c r="Z838" i="6" s="1"/>
  <c r="BJ838" i="6" s="1"/>
  <c r="Z839" i="6" s="1"/>
  <c r="BJ839" i="6" s="1"/>
  <c r="Z840" i="6" s="1"/>
  <c r="BJ840" i="6" s="1"/>
  <c r="Z841" i="6" s="1"/>
  <c r="BJ841" i="6" s="1"/>
  <c r="Z842" i="6" s="1"/>
  <c r="BJ842" i="6" s="1"/>
  <c r="Z843" i="6" s="1"/>
  <c r="BJ843" i="6" s="1"/>
  <c r="Z844" i="6" s="1"/>
  <c r="BJ844" i="6" s="1"/>
  <c r="Z845" i="6" s="1"/>
  <c r="BJ845" i="6" s="1"/>
  <c r="Z846" i="6" s="1"/>
  <c r="BJ846" i="6" s="1"/>
  <c r="Z847" i="6" s="1"/>
  <c r="BJ847" i="6" s="1"/>
  <c r="Z848" i="6" s="1"/>
  <c r="BJ848" i="6" s="1"/>
  <c r="Z849" i="6" s="1"/>
  <c r="BJ849" i="6" s="1"/>
  <c r="Z850" i="6" s="1"/>
  <c r="BJ850" i="6" s="1"/>
  <c r="Z851" i="6" s="1"/>
  <c r="BJ851" i="6" s="1"/>
  <c r="Z852" i="6" s="1"/>
  <c r="BJ852" i="6" s="1"/>
  <c r="Z853" i="6" s="1"/>
  <c r="BJ853" i="6" s="1"/>
  <c r="Z854" i="6" s="1"/>
  <c r="BJ854" i="6" s="1"/>
  <c r="Z855" i="6" s="1"/>
  <c r="BJ855" i="6" s="1"/>
  <c r="Z856" i="6" s="1"/>
  <c r="BJ856" i="6" s="1"/>
  <c r="Z857" i="6" s="1"/>
  <c r="BJ857" i="6" s="1"/>
  <c r="Z858" i="6" s="1"/>
  <c r="BJ858" i="6" s="1"/>
  <c r="Z859" i="6" s="1"/>
  <c r="BJ859" i="6" s="1"/>
  <c r="Z860" i="6" s="1"/>
  <c r="BJ860" i="6" s="1"/>
  <c r="Z861" i="6" s="1"/>
  <c r="BJ861" i="6" s="1"/>
  <c r="Z862" i="6" s="1"/>
  <c r="BJ862" i="6" s="1"/>
  <c r="Z863" i="6" s="1"/>
  <c r="BJ863" i="6" s="1"/>
  <c r="Z864" i="6" s="1"/>
  <c r="BJ864" i="6" s="1"/>
  <c r="Z865" i="6" s="1"/>
  <c r="BJ865" i="6" s="1"/>
  <c r="Z866" i="6" s="1"/>
  <c r="BJ866" i="6" s="1"/>
  <c r="Z867" i="6" s="1"/>
  <c r="BJ867" i="6" s="1"/>
  <c r="Z868" i="6" s="1"/>
  <c r="BJ868" i="6" s="1"/>
  <c r="Z869" i="6" s="1"/>
  <c r="BJ869" i="6" s="1"/>
  <c r="Y834" i="6"/>
  <c r="BI834" i="6" s="1"/>
  <c r="Y835" i="6" s="1"/>
  <c r="BI835" i="6" s="1"/>
  <c r="Y836" i="6" s="1"/>
  <c r="BI836" i="6" s="1"/>
  <c r="Y837" i="6" s="1"/>
  <c r="BI837" i="6" s="1"/>
  <c r="Y838" i="6" s="1"/>
  <c r="BI838" i="6" s="1"/>
  <c r="Y839" i="6" s="1"/>
  <c r="BI839" i="6" s="1"/>
  <c r="Y840" i="6" s="1"/>
  <c r="BI840" i="6" s="1"/>
  <c r="Y841" i="6" s="1"/>
  <c r="BI841" i="6" s="1"/>
  <c r="Y842" i="6" s="1"/>
  <c r="BI842" i="6" s="1"/>
  <c r="Y843" i="6" s="1"/>
  <c r="BI843" i="6" s="1"/>
  <c r="Y844" i="6" s="1"/>
  <c r="BI844" i="6" s="1"/>
  <c r="Y845" i="6" s="1"/>
  <c r="BI845" i="6" s="1"/>
  <c r="Y846" i="6" s="1"/>
  <c r="BI846" i="6" s="1"/>
  <c r="Y847" i="6" s="1"/>
  <c r="BI847" i="6" s="1"/>
  <c r="Y848" i="6" s="1"/>
  <c r="BI848" i="6" s="1"/>
  <c r="Y849" i="6" s="1"/>
  <c r="BI849" i="6" s="1"/>
  <c r="Y850" i="6" s="1"/>
  <c r="BI850" i="6" s="1"/>
  <c r="Y851" i="6" s="1"/>
  <c r="BI851" i="6" s="1"/>
  <c r="Y852" i="6" s="1"/>
  <c r="BI852" i="6" s="1"/>
  <c r="Y853" i="6" s="1"/>
  <c r="BI853" i="6" s="1"/>
  <c r="Y854" i="6" s="1"/>
  <c r="BI854" i="6" s="1"/>
  <c r="Y855" i="6" s="1"/>
  <c r="BI855" i="6" s="1"/>
  <c r="Y856" i="6" s="1"/>
  <c r="BI856" i="6" s="1"/>
  <c r="Y857" i="6" s="1"/>
  <c r="BI857" i="6" s="1"/>
  <c r="Y858" i="6" s="1"/>
  <c r="BI858" i="6" s="1"/>
  <c r="Y859" i="6" s="1"/>
  <c r="BI859" i="6" s="1"/>
  <c r="Y860" i="6" s="1"/>
  <c r="BI860" i="6" s="1"/>
  <c r="Y861" i="6" s="1"/>
  <c r="BI861" i="6" s="1"/>
  <c r="Y862" i="6" s="1"/>
  <c r="BI862" i="6" s="1"/>
  <c r="Y863" i="6" s="1"/>
  <c r="BI863" i="6" s="1"/>
  <c r="Y864" i="6" s="1"/>
  <c r="BI864" i="6" s="1"/>
  <c r="Y865" i="6" s="1"/>
  <c r="BI865" i="6" s="1"/>
  <c r="Y866" i="6" s="1"/>
  <c r="BI866" i="6" s="1"/>
  <c r="Y867" i="6" s="1"/>
  <c r="BI867" i="6" s="1"/>
  <c r="X834" i="6"/>
  <c r="BH834" i="6" s="1"/>
  <c r="X835" i="6" s="1"/>
  <c r="BH835" i="6" s="1"/>
  <c r="X836" i="6" s="1"/>
  <c r="BH836" i="6" s="1"/>
  <c r="W834" i="6"/>
  <c r="V834" i="6"/>
  <c r="BF834" i="6" s="1"/>
  <c r="V835" i="6" s="1"/>
  <c r="BF835" i="6" s="1"/>
  <c r="V836" i="6" s="1"/>
  <c r="BF836" i="6" s="1"/>
  <c r="V837" i="6" s="1"/>
  <c r="BF837" i="6" s="1"/>
  <c r="V838" i="6" s="1"/>
  <c r="BF838" i="6" s="1"/>
  <c r="V839" i="6" s="1"/>
  <c r="BF839" i="6" s="1"/>
  <c r="V840" i="6" s="1"/>
  <c r="BF840" i="6" s="1"/>
  <c r="V841" i="6" s="1"/>
  <c r="BF841" i="6" s="1"/>
  <c r="V842" i="6" s="1"/>
  <c r="BF842" i="6" s="1"/>
  <c r="V843" i="6" s="1"/>
  <c r="BF843" i="6" s="1"/>
  <c r="V844" i="6" s="1"/>
  <c r="BF844" i="6" s="1"/>
  <c r="V845" i="6" s="1"/>
  <c r="BF845" i="6" s="1"/>
  <c r="V846" i="6" s="1"/>
  <c r="BF846" i="6" s="1"/>
  <c r="V847" i="6" s="1"/>
  <c r="BF847" i="6" s="1"/>
  <c r="V848" i="6" s="1"/>
  <c r="BF848" i="6" s="1"/>
  <c r="V849" i="6" s="1"/>
  <c r="BF849" i="6" s="1"/>
  <c r="V850" i="6" s="1"/>
  <c r="BF850" i="6" s="1"/>
  <c r="V851" i="6" s="1"/>
  <c r="BF851" i="6" s="1"/>
  <c r="V852" i="6" s="1"/>
  <c r="BF852" i="6" s="1"/>
  <c r="V853" i="6" s="1"/>
  <c r="BF853" i="6" s="1"/>
  <c r="V854" i="6" s="1"/>
  <c r="BF854" i="6" s="1"/>
  <c r="V855" i="6" s="1"/>
  <c r="BF855" i="6" s="1"/>
  <c r="V856" i="6" s="1"/>
  <c r="BF856" i="6" s="1"/>
  <c r="V857" i="6" s="1"/>
  <c r="U834" i="6"/>
  <c r="T834" i="6"/>
  <c r="BD834" i="6" s="1"/>
  <c r="T835" i="6" s="1"/>
  <c r="BD835" i="6" s="1"/>
  <c r="T836" i="6" s="1"/>
  <c r="BD836" i="6" s="1"/>
  <c r="T837" i="6" s="1"/>
  <c r="BD837" i="6" s="1"/>
  <c r="T838" i="6" s="1"/>
  <c r="S834" i="6"/>
  <c r="BC834" i="6" s="1"/>
  <c r="S835" i="6" s="1"/>
  <c r="BC835" i="6" s="1"/>
  <c r="R834" i="6"/>
  <c r="Q834" i="6"/>
  <c r="BA834" i="6" s="1"/>
  <c r="Q835" i="6" s="1"/>
  <c r="O834" i="6"/>
  <c r="AY834" i="6" s="1"/>
  <c r="O835" i="6" s="1"/>
  <c r="AY835" i="6" s="1"/>
  <c r="O836" i="6" s="1"/>
  <c r="AY836" i="6" s="1"/>
  <c r="O837" i="6" s="1"/>
  <c r="AY837" i="6" s="1"/>
  <c r="O838" i="6" s="1"/>
  <c r="AY838" i="6" s="1"/>
  <c r="O839" i="6" s="1"/>
  <c r="AY839" i="6" s="1"/>
  <c r="O840" i="6" s="1"/>
  <c r="AY840" i="6" s="1"/>
  <c r="O841" i="6" s="1"/>
  <c r="AY841" i="6" s="1"/>
  <c r="O842" i="6" s="1"/>
  <c r="AY842" i="6" s="1"/>
  <c r="O843" i="6" s="1"/>
  <c r="AY843" i="6" s="1"/>
  <c r="O844" i="6" s="1"/>
  <c r="AY844" i="6" s="1"/>
  <c r="O845" i="6" s="1"/>
  <c r="AY845" i="6" s="1"/>
  <c r="O846" i="6" s="1"/>
  <c r="AY846" i="6" s="1"/>
  <c r="O847" i="6" s="1"/>
  <c r="AY847" i="6" s="1"/>
  <c r="O848" i="6" s="1"/>
  <c r="AY848" i="6" s="1"/>
  <c r="O849" i="6" s="1"/>
  <c r="AY849" i="6" s="1"/>
  <c r="O850" i="6" s="1"/>
  <c r="AY850" i="6" s="1"/>
  <c r="O851" i="6" s="1"/>
  <c r="AY851" i="6" s="1"/>
  <c r="O852" i="6" s="1"/>
  <c r="AY852" i="6" s="1"/>
  <c r="O853" i="6" s="1"/>
  <c r="N834" i="6"/>
  <c r="AX834" i="6" s="1"/>
  <c r="N835" i="6" s="1"/>
  <c r="AX835" i="6" s="1"/>
  <c r="N836" i="6" s="1"/>
  <c r="AX836" i="6" s="1"/>
  <c r="N837" i="6" s="1"/>
  <c r="AX837" i="6" s="1"/>
  <c r="N838" i="6" s="1"/>
  <c r="AX838" i="6" s="1"/>
  <c r="N839" i="6" s="1"/>
  <c r="AX839" i="6" s="1"/>
  <c r="N840" i="6" s="1"/>
  <c r="AX840" i="6" s="1"/>
  <c r="M834" i="6"/>
  <c r="AW834" i="6" s="1"/>
  <c r="M835" i="6" s="1"/>
  <c r="AW835" i="6" s="1"/>
  <c r="M836" i="6" s="1"/>
  <c r="L834" i="6"/>
  <c r="H834" i="6"/>
  <c r="G834" i="6"/>
  <c r="AV834" i="6" s="1"/>
  <c r="L835" i="6" s="1"/>
  <c r="F834" i="6"/>
  <c r="E834" i="6"/>
  <c r="D834" i="6"/>
  <c r="C834" i="6"/>
  <c r="B834" i="6"/>
  <c r="A834" i="6"/>
  <c r="AO833" i="6"/>
  <c r="H833" i="6"/>
  <c r="G833" i="6"/>
  <c r="F833" i="6"/>
  <c r="E833" i="6"/>
  <c r="D833" i="6"/>
  <c r="C833" i="6"/>
  <c r="B833" i="6"/>
  <c r="A833" i="6"/>
  <c r="AO832" i="6"/>
  <c r="AI832" i="6"/>
  <c r="AE832" i="6"/>
  <c r="K832" i="6"/>
  <c r="J832" i="6"/>
  <c r="I832" i="6"/>
  <c r="H832" i="6"/>
  <c r="G832" i="6"/>
  <c r="F832" i="6"/>
  <c r="E832" i="6"/>
  <c r="D832" i="6"/>
  <c r="C832" i="6"/>
  <c r="B832" i="6"/>
  <c r="A832" i="6"/>
  <c r="AO831" i="6"/>
  <c r="H831" i="6"/>
  <c r="G831" i="6"/>
  <c r="F831" i="6"/>
  <c r="E831" i="6"/>
  <c r="D831" i="6"/>
  <c r="C831" i="6"/>
  <c r="B831" i="6"/>
  <c r="A831" i="6"/>
  <c r="AO830" i="6"/>
  <c r="J830" i="6"/>
  <c r="H830" i="6"/>
  <c r="G830" i="6"/>
  <c r="F830" i="6"/>
  <c r="E830" i="6"/>
  <c r="D830" i="6"/>
  <c r="C830" i="6"/>
  <c r="B830" i="6"/>
  <c r="A830" i="6"/>
  <c r="AO829" i="6"/>
  <c r="AE829" i="6"/>
  <c r="J829" i="6"/>
  <c r="H829" i="6"/>
  <c r="G829" i="6"/>
  <c r="F829" i="6"/>
  <c r="AI829" i="6" s="1"/>
  <c r="E829" i="6"/>
  <c r="D829" i="6"/>
  <c r="C829" i="6"/>
  <c r="B829" i="6"/>
  <c r="A829" i="6"/>
  <c r="AO828" i="6"/>
  <c r="AI828" i="6"/>
  <c r="K828" i="6"/>
  <c r="I828" i="6"/>
  <c r="H828" i="6"/>
  <c r="G828" i="6"/>
  <c r="F828" i="6"/>
  <c r="J828" i="6" s="1"/>
  <c r="E828" i="6"/>
  <c r="D828" i="6"/>
  <c r="C828" i="6"/>
  <c r="B828" i="6"/>
  <c r="A828" i="6"/>
  <c r="AO827" i="6"/>
  <c r="J827" i="6"/>
  <c r="H827" i="6"/>
  <c r="G827" i="6"/>
  <c r="F827" i="6"/>
  <c r="E827" i="6"/>
  <c r="D827" i="6"/>
  <c r="C827" i="6"/>
  <c r="B827" i="6"/>
  <c r="A827" i="6"/>
  <c r="AO826" i="6"/>
  <c r="AE826" i="6"/>
  <c r="K826" i="6"/>
  <c r="J826" i="6"/>
  <c r="I826" i="6"/>
  <c r="H826" i="6"/>
  <c r="G826" i="6"/>
  <c r="F826" i="6"/>
  <c r="E826" i="6"/>
  <c r="D826" i="6"/>
  <c r="C826" i="6"/>
  <c r="B826" i="6"/>
  <c r="A826" i="6"/>
  <c r="AO825" i="6"/>
  <c r="AI825" i="6"/>
  <c r="K825" i="6"/>
  <c r="J825" i="6"/>
  <c r="I825" i="6"/>
  <c r="H825" i="6"/>
  <c r="G825" i="6"/>
  <c r="F825" i="6"/>
  <c r="AE825" i="6" s="1"/>
  <c r="E825" i="6"/>
  <c r="D825" i="6"/>
  <c r="C825" i="6"/>
  <c r="B825" i="6"/>
  <c r="A825" i="6"/>
  <c r="AO824" i="6"/>
  <c r="AE824" i="6"/>
  <c r="I824" i="6"/>
  <c r="H824" i="6"/>
  <c r="G824" i="6"/>
  <c r="F824" i="6"/>
  <c r="AI824" i="6" s="1"/>
  <c r="E824" i="6"/>
  <c r="D824" i="6"/>
  <c r="C824" i="6"/>
  <c r="B824" i="6"/>
  <c r="A824" i="6"/>
  <c r="AO823" i="6"/>
  <c r="AI823" i="6"/>
  <c r="AE823" i="6"/>
  <c r="K823" i="6"/>
  <c r="J823" i="6"/>
  <c r="H823" i="6"/>
  <c r="G823" i="6"/>
  <c r="F823" i="6"/>
  <c r="E823" i="6"/>
  <c r="D823" i="6"/>
  <c r="C823" i="6"/>
  <c r="B823" i="6"/>
  <c r="A823" i="6"/>
  <c r="AO822" i="6"/>
  <c r="H822" i="6"/>
  <c r="G822" i="6"/>
  <c r="F822" i="6"/>
  <c r="E822" i="6"/>
  <c r="D822" i="6"/>
  <c r="C822" i="6"/>
  <c r="B822" i="6"/>
  <c r="A822" i="6"/>
  <c r="AO821" i="6"/>
  <c r="I821" i="6"/>
  <c r="H821" i="6"/>
  <c r="G821" i="6"/>
  <c r="F821" i="6"/>
  <c r="E821" i="6"/>
  <c r="D821" i="6"/>
  <c r="C821" i="6"/>
  <c r="B821" i="6"/>
  <c r="A821" i="6"/>
  <c r="AT820" i="6"/>
  <c r="AI820" i="6"/>
  <c r="AE820" i="6"/>
  <c r="K820" i="6"/>
  <c r="J820" i="6"/>
  <c r="I820" i="6"/>
  <c r="H820" i="6"/>
  <c r="G820" i="6"/>
  <c r="F820" i="6"/>
  <c r="E820" i="6"/>
  <c r="D820" i="6"/>
  <c r="C820" i="6"/>
  <c r="B820" i="6"/>
  <c r="A820" i="6"/>
  <c r="AT819" i="6"/>
  <c r="AO819" i="6"/>
  <c r="H819" i="6"/>
  <c r="G819" i="6"/>
  <c r="F819" i="6"/>
  <c r="E819" i="6"/>
  <c r="D819" i="6"/>
  <c r="C819" i="6"/>
  <c r="B819" i="6"/>
  <c r="A819" i="6"/>
  <c r="AT818" i="6"/>
  <c r="AO818" i="6"/>
  <c r="J818" i="6"/>
  <c r="H818" i="6"/>
  <c r="G818" i="6"/>
  <c r="F818" i="6"/>
  <c r="E818" i="6"/>
  <c r="D818" i="6"/>
  <c r="C818" i="6"/>
  <c r="B818" i="6"/>
  <c r="A818" i="6"/>
  <c r="AT817" i="6"/>
  <c r="AO817" i="6"/>
  <c r="J817" i="6"/>
  <c r="H817" i="6"/>
  <c r="G817" i="6"/>
  <c r="F817" i="6"/>
  <c r="E817" i="6"/>
  <c r="D817" i="6"/>
  <c r="C817" i="6"/>
  <c r="B817" i="6"/>
  <c r="A817" i="6"/>
  <c r="AT816" i="6"/>
  <c r="AO816" i="6"/>
  <c r="AI816" i="6"/>
  <c r="AE816" i="6"/>
  <c r="K816" i="6"/>
  <c r="I816" i="6"/>
  <c r="H816" i="6"/>
  <c r="G816" i="6"/>
  <c r="F816" i="6"/>
  <c r="E816" i="6"/>
  <c r="D816" i="6"/>
  <c r="C816" i="6"/>
  <c r="B816" i="6"/>
  <c r="A816" i="6"/>
  <c r="AT815" i="6"/>
  <c r="AO815" i="6"/>
  <c r="AE815" i="6"/>
  <c r="J815" i="6"/>
  <c r="I815" i="6"/>
  <c r="H815" i="6"/>
  <c r="AF815" i="6" s="1"/>
  <c r="G815" i="6"/>
  <c r="F815" i="6"/>
  <c r="E815" i="6"/>
  <c r="D815" i="6"/>
  <c r="C815" i="6"/>
  <c r="B815" i="6"/>
  <c r="A815" i="6"/>
  <c r="AT814" i="6"/>
  <c r="AE814" i="6"/>
  <c r="K814" i="6"/>
  <c r="J814" i="6"/>
  <c r="I814" i="6"/>
  <c r="H814" i="6"/>
  <c r="G814" i="6"/>
  <c r="F814" i="6"/>
  <c r="E814" i="6"/>
  <c r="D814" i="6"/>
  <c r="C814" i="6"/>
  <c r="B814" i="6"/>
  <c r="A814" i="6"/>
  <c r="AT813" i="6"/>
  <c r="AO813" i="6"/>
  <c r="AI813" i="6"/>
  <c r="AF813" i="6"/>
  <c r="K813" i="6"/>
  <c r="J813" i="6"/>
  <c r="I813" i="6"/>
  <c r="H813" i="6"/>
  <c r="G813" i="6"/>
  <c r="F813" i="6"/>
  <c r="AE813" i="6" s="1"/>
  <c r="E813" i="6"/>
  <c r="D813" i="6"/>
  <c r="C813" i="6"/>
  <c r="B813" i="6"/>
  <c r="A813" i="6"/>
  <c r="AY812" i="6"/>
  <c r="O813" i="6" s="1"/>
  <c r="AY813" i="6" s="1"/>
  <c r="O814" i="6" s="1"/>
  <c r="AY814" i="6" s="1"/>
  <c r="O815" i="6" s="1"/>
  <c r="AY815" i="6" s="1"/>
  <c r="O816" i="6" s="1"/>
  <c r="AY816" i="6" s="1"/>
  <c r="O817" i="6" s="1"/>
  <c r="AT812" i="6"/>
  <c r="AO812" i="6"/>
  <c r="AF812" i="6"/>
  <c r="AE812" i="6"/>
  <c r="I812" i="6"/>
  <c r="H812" i="6"/>
  <c r="G812" i="6"/>
  <c r="F812" i="6"/>
  <c r="E812" i="6"/>
  <c r="D812" i="6"/>
  <c r="C812" i="6"/>
  <c r="B812" i="6"/>
  <c r="A812" i="6"/>
  <c r="AT811" i="6"/>
  <c r="AO811" i="6"/>
  <c r="AF811" i="6"/>
  <c r="AE811" i="6"/>
  <c r="Y811" i="6"/>
  <c r="BI811" i="6" s="1"/>
  <c r="Y812" i="6" s="1"/>
  <c r="BI812" i="6" s="1"/>
  <c r="Y813" i="6" s="1"/>
  <c r="BI813" i="6" s="1"/>
  <c r="Y814" i="6" s="1"/>
  <c r="BI814" i="6" s="1"/>
  <c r="Y815" i="6" s="1"/>
  <c r="BI815" i="6" s="1"/>
  <c r="Y816" i="6" s="1"/>
  <c r="BI816" i="6" s="1"/>
  <c r="Y817" i="6" s="1"/>
  <c r="BI817" i="6" s="1"/>
  <c r="Y818" i="6" s="1"/>
  <c r="BI818" i="6" s="1"/>
  <c r="Y819" i="6" s="1"/>
  <c r="BI819" i="6" s="1"/>
  <c r="Y820" i="6" s="1"/>
  <c r="BI820" i="6" s="1"/>
  <c r="Y821" i="6" s="1"/>
  <c r="BI821" i="6" s="1"/>
  <c r="Y822" i="6" s="1"/>
  <c r="BI822" i="6" s="1"/>
  <c r="Y823" i="6" s="1"/>
  <c r="BI823" i="6" s="1"/>
  <c r="Y824" i="6" s="1"/>
  <c r="BI824" i="6" s="1"/>
  <c r="Y825" i="6" s="1"/>
  <c r="BI825" i="6" s="1"/>
  <c r="Y826" i="6" s="1"/>
  <c r="BI826" i="6" s="1"/>
  <c r="Y827" i="6" s="1"/>
  <c r="BI827" i="6" s="1"/>
  <c r="Y828" i="6" s="1"/>
  <c r="BI828" i="6" s="1"/>
  <c r="Y829" i="6" s="1"/>
  <c r="BI829" i="6" s="1"/>
  <c r="Y830" i="6" s="1"/>
  <c r="BI830" i="6" s="1"/>
  <c r="Y831" i="6" s="1"/>
  <c r="BI831" i="6" s="1"/>
  <c r="Y832" i="6" s="1"/>
  <c r="BI832" i="6" s="1"/>
  <c r="Y833" i="6" s="1"/>
  <c r="BI833" i="6" s="1"/>
  <c r="K811" i="6"/>
  <c r="J811" i="6"/>
  <c r="H811" i="6"/>
  <c r="G811" i="6"/>
  <c r="F811" i="6"/>
  <c r="E811" i="6"/>
  <c r="D811" i="6"/>
  <c r="C811" i="6"/>
  <c r="B811" i="6"/>
  <c r="A811" i="6"/>
  <c r="AT810" i="6"/>
  <c r="AO810" i="6"/>
  <c r="I810" i="6"/>
  <c r="H810" i="6"/>
  <c r="G810" i="6"/>
  <c r="F810" i="6"/>
  <c r="AE810" i="6" s="1"/>
  <c r="E810" i="6"/>
  <c r="D810" i="6"/>
  <c r="C810" i="6"/>
  <c r="B810" i="6"/>
  <c r="A810" i="6"/>
  <c r="AT809" i="6"/>
  <c r="I809" i="6"/>
  <c r="H809" i="6"/>
  <c r="G809" i="6"/>
  <c r="F809" i="6"/>
  <c r="J809" i="6" s="1"/>
  <c r="E809" i="6"/>
  <c r="D809" i="6"/>
  <c r="C809" i="6"/>
  <c r="B809" i="6"/>
  <c r="A809" i="6"/>
  <c r="AT808" i="6"/>
  <c r="AE808" i="6"/>
  <c r="K808" i="6"/>
  <c r="J808" i="6"/>
  <c r="I808" i="6"/>
  <c r="H808" i="6"/>
  <c r="G808" i="6"/>
  <c r="AI808" i="6" s="1"/>
  <c r="F808" i="6"/>
  <c r="E808" i="6"/>
  <c r="D808" i="6"/>
  <c r="C808" i="6"/>
  <c r="B808" i="6"/>
  <c r="A808" i="6"/>
  <c r="AT807" i="6"/>
  <c r="AO807" i="6"/>
  <c r="AF807" i="6"/>
  <c r="AE807" i="6"/>
  <c r="K807" i="6"/>
  <c r="J807" i="6"/>
  <c r="I807" i="6"/>
  <c r="H807" i="6"/>
  <c r="G807" i="6"/>
  <c r="F807" i="6"/>
  <c r="E807" i="6"/>
  <c r="D807" i="6"/>
  <c r="C807" i="6"/>
  <c r="B807" i="6"/>
  <c r="A807" i="6"/>
  <c r="AT806" i="6"/>
  <c r="AO806" i="6"/>
  <c r="AI806" i="6"/>
  <c r="K806" i="6"/>
  <c r="J806" i="6"/>
  <c r="H806" i="6"/>
  <c r="G806" i="6"/>
  <c r="F806" i="6"/>
  <c r="E806" i="6"/>
  <c r="D806" i="6"/>
  <c r="C806" i="6"/>
  <c r="B806" i="6"/>
  <c r="A806" i="6"/>
  <c r="AT805" i="6"/>
  <c r="AO805" i="6"/>
  <c r="AF805" i="6"/>
  <c r="H805" i="6"/>
  <c r="G805" i="6"/>
  <c r="F805" i="6"/>
  <c r="E805" i="6"/>
  <c r="D805" i="6"/>
  <c r="C805" i="6"/>
  <c r="B805" i="6"/>
  <c r="A805" i="6"/>
  <c r="AT804" i="6"/>
  <c r="AO804" i="6"/>
  <c r="Y804" i="6"/>
  <c r="BI804" i="6" s="1"/>
  <c r="Y805" i="6" s="1"/>
  <c r="BI805" i="6" s="1"/>
  <c r="Y806" i="6" s="1"/>
  <c r="BI806" i="6" s="1"/>
  <c r="Y807" i="6" s="1"/>
  <c r="BI807" i="6" s="1"/>
  <c r="Y808" i="6" s="1"/>
  <c r="BI808" i="6" s="1"/>
  <c r="Y809" i="6" s="1"/>
  <c r="BI809" i="6" s="1"/>
  <c r="Y810" i="6" s="1"/>
  <c r="BI810" i="6" s="1"/>
  <c r="H804" i="6"/>
  <c r="AF804" i="6" s="1"/>
  <c r="G804" i="6"/>
  <c r="F804" i="6"/>
  <c r="AI804" i="6" s="1"/>
  <c r="E804" i="6"/>
  <c r="D804" i="6"/>
  <c r="C804" i="6"/>
  <c r="B804" i="6"/>
  <c r="A804" i="6"/>
  <c r="AT803" i="6"/>
  <c r="AE803" i="6"/>
  <c r="I803" i="6"/>
  <c r="H803" i="6"/>
  <c r="G803" i="6"/>
  <c r="F803" i="6"/>
  <c r="E803" i="6"/>
  <c r="D803" i="6"/>
  <c r="C803" i="6"/>
  <c r="B803" i="6"/>
  <c r="A803" i="6"/>
  <c r="AY802" i="6"/>
  <c r="O803" i="6" s="1"/>
  <c r="AY803" i="6" s="1"/>
  <c r="O804" i="6" s="1"/>
  <c r="AY804" i="6" s="1"/>
  <c r="O805" i="6" s="1"/>
  <c r="AY805" i="6" s="1"/>
  <c r="O806" i="6" s="1"/>
  <c r="AY806" i="6" s="1"/>
  <c r="O807" i="6" s="1"/>
  <c r="AY807" i="6" s="1"/>
  <c r="O808" i="6" s="1"/>
  <c r="AY808" i="6" s="1"/>
  <c r="O809" i="6" s="1"/>
  <c r="AY809" i="6" s="1"/>
  <c r="O810" i="6" s="1"/>
  <c r="AY810" i="6" s="1"/>
  <c r="O811" i="6" s="1"/>
  <c r="AY811" i="6" s="1"/>
  <c r="O812" i="6" s="1"/>
  <c r="AT802" i="6"/>
  <c r="AE802" i="6"/>
  <c r="O802" i="6"/>
  <c r="J802" i="6"/>
  <c r="I802" i="6"/>
  <c r="H802" i="6"/>
  <c r="G802" i="6"/>
  <c r="F802" i="6"/>
  <c r="AI802" i="6" s="1"/>
  <c r="E802" i="6"/>
  <c r="D802" i="6"/>
  <c r="C802" i="6"/>
  <c r="B802" i="6"/>
  <c r="A802" i="6"/>
  <c r="BE801" i="6"/>
  <c r="AT801" i="6"/>
  <c r="AO801" i="6"/>
  <c r="AI801" i="6"/>
  <c r="AE801" i="6"/>
  <c r="U801" i="6"/>
  <c r="K801" i="6"/>
  <c r="J801" i="6"/>
  <c r="I801" i="6"/>
  <c r="H801" i="6"/>
  <c r="G801" i="6"/>
  <c r="F801" i="6"/>
  <c r="E801" i="6"/>
  <c r="D801" i="6"/>
  <c r="C801" i="6"/>
  <c r="B801" i="6"/>
  <c r="A801" i="6"/>
  <c r="BM800" i="6"/>
  <c r="AC801" i="6" s="1"/>
  <c r="BM801" i="6" s="1"/>
  <c r="AC802" i="6" s="1"/>
  <c r="BM802" i="6" s="1"/>
  <c r="AC803" i="6" s="1"/>
  <c r="BM803" i="6" s="1"/>
  <c r="AC804" i="6" s="1"/>
  <c r="BM804" i="6" s="1"/>
  <c r="AC805" i="6" s="1"/>
  <c r="BM805" i="6" s="1"/>
  <c r="AC806" i="6" s="1"/>
  <c r="BM806" i="6" s="1"/>
  <c r="AC807" i="6" s="1"/>
  <c r="BM807" i="6" s="1"/>
  <c r="AC808" i="6" s="1"/>
  <c r="BM808" i="6" s="1"/>
  <c r="AC809" i="6" s="1"/>
  <c r="BM809" i="6" s="1"/>
  <c r="AC810" i="6" s="1"/>
  <c r="BM810" i="6" s="1"/>
  <c r="AC811" i="6" s="1"/>
  <c r="BM811" i="6" s="1"/>
  <c r="AC812" i="6" s="1"/>
  <c r="BM812" i="6" s="1"/>
  <c r="AC813" i="6" s="1"/>
  <c r="BM813" i="6" s="1"/>
  <c r="AC814" i="6" s="1"/>
  <c r="BM814" i="6" s="1"/>
  <c r="AC815" i="6" s="1"/>
  <c r="BM815" i="6" s="1"/>
  <c r="AC816" i="6" s="1"/>
  <c r="BM816" i="6" s="1"/>
  <c r="AC817" i="6" s="1"/>
  <c r="BM817" i="6" s="1"/>
  <c r="AC818" i="6" s="1"/>
  <c r="BM818" i="6" s="1"/>
  <c r="AC819" i="6" s="1"/>
  <c r="BM819" i="6" s="1"/>
  <c r="AC820" i="6" s="1"/>
  <c r="BM820" i="6" s="1"/>
  <c r="AC821" i="6" s="1"/>
  <c r="BM821" i="6" s="1"/>
  <c r="AC822" i="6" s="1"/>
  <c r="BM822" i="6" s="1"/>
  <c r="AC823" i="6" s="1"/>
  <c r="BM823" i="6" s="1"/>
  <c r="AC824" i="6" s="1"/>
  <c r="BM824" i="6" s="1"/>
  <c r="AC825" i="6" s="1"/>
  <c r="BM825" i="6" s="1"/>
  <c r="AC826" i="6" s="1"/>
  <c r="BM826" i="6" s="1"/>
  <c r="AC827" i="6" s="1"/>
  <c r="BM827" i="6" s="1"/>
  <c r="AC828" i="6" s="1"/>
  <c r="BM828" i="6" s="1"/>
  <c r="AC829" i="6" s="1"/>
  <c r="BM829" i="6" s="1"/>
  <c r="AC830" i="6" s="1"/>
  <c r="BM830" i="6" s="1"/>
  <c r="AC831" i="6" s="1"/>
  <c r="BM831" i="6" s="1"/>
  <c r="AC832" i="6" s="1"/>
  <c r="BM832" i="6" s="1"/>
  <c r="AC833" i="6" s="1"/>
  <c r="BM833" i="6" s="1"/>
  <c r="AT800" i="6"/>
  <c r="AO800" i="6"/>
  <c r="AF800" i="6"/>
  <c r="AC800" i="6"/>
  <c r="AB800" i="6"/>
  <c r="BL800" i="6" s="1"/>
  <c r="AB801" i="6" s="1"/>
  <c r="BL801" i="6" s="1"/>
  <c r="AB802" i="6" s="1"/>
  <c r="BL802" i="6" s="1"/>
  <c r="AB803" i="6" s="1"/>
  <c r="BL803" i="6" s="1"/>
  <c r="AB804" i="6" s="1"/>
  <c r="BL804" i="6" s="1"/>
  <c r="AB805" i="6" s="1"/>
  <c r="BL805" i="6" s="1"/>
  <c r="AB806" i="6" s="1"/>
  <c r="BL806" i="6" s="1"/>
  <c r="AB807" i="6" s="1"/>
  <c r="BL807" i="6" s="1"/>
  <c r="AB808" i="6" s="1"/>
  <c r="BL808" i="6" s="1"/>
  <c r="AB809" i="6" s="1"/>
  <c r="BL809" i="6" s="1"/>
  <c r="AB810" i="6" s="1"/>
  <c r="BL810" i="6" s="1"/>
  <c r="AB811" i="6" s="1"/>
  <c r="BL811" i="6" s="1"/>
  <c r="AB812" i="6" s="1"/>
  <c r="BL812" i="6" s="1"/>
  <c r="AB813" i="6" s="1"/>
  <c r="BL813" i="6" s="1"/>
  <c r="AB814" i="6" s="1"/>
  <c r="BL814" i="6" s="1"/>
  <c r="AB815" i="6" s="1"/>
  <c r="BL815" i="6" s="1"/>
  <c r="AB816" i="6" s="1"/>
  <c r="BL816" i="6" s="1"/>
  <c r="AB817" i="6" s="1"/>
  <c r="BL817" i="6" s="1"/>
  <c r="AB818" i="6" s="1"/>
  <c r="BL818" i="6" s="1"/>
  <c r="AB819" i="6" s="1"/>
  <c r="BL819" i="6" s="1"/>
  <c r="AB820" i="6" s="1"/>
  <c r="BL820" i="6" s="1"/>
  <c r="AB821" i="6" s="1"/>
  <c r="BL821" i="6" s="1"/>
  <c r="AB822" i="6" s="1"/>
  <c r="BL822" i="6" s="1"/>
  <c r="AB823" i="6" s="1"/>
  <c r="BL823" i="6" s="1"/>
  <c r="AB824" i="6" s="1"/>
  <c r="BL824" i="6" s="1"/>
  <c r="AB825" i="6" s="1"/>
  <c r="BL825" i="6" s="1"/>
  <c r="AB826" i="6" s="1"/>
  <c r="BL826" i="6" s="1"/>
  <c r="AB827" i="6" s="1"/>
  <c r="BL827" i="6" s="1"/>
  <c r="AB828" i="6" s="1"/>
  <c r="BL828" i="6" s="1"/>
  <c r="AB829" i="6" s="1"/>
  <c r="BL829" i="6" s="1"/>
  <c r="AB830" i="6" s="1"/>
  <c r="BL830" i="6" s="1"/>
  <c r="AB831" i="6" s="1"/>
  <c r="BL831" i="6" s="1"/>
  <c r="AB832" i="6" s="1"/>
  <c r="BL832" i="6" s="1"/>
  <c r="AB833" i="6" s="1"/>
  <c r="BL833" i="6" s="1"/>
  <c r="J800" i="6"/>
  <c r="H800" i="6"/>
  <c r="G800" i="6"/>
  <c r="F800" i="6"/>
  <c r="AI800" i="6" s="1"/>
  <c r="E800" i="6"/>
  <c r="D800" i="6"/>
  <c r="C800" i="6"/>
  <c r="B800" i="6"/>
  <c r="A800" i="6"/>
  <c r="BH799" i="6"/>
  <c r="X800" i="6" s="1"/>
  <c r="BH800" i="6" s="1"/>
  <c r="X801" i="6" s="1"/>
  <c r="BH801" i="6" s="1"/>
  <c r="X802" i="6" s="1"/>
  <c r="BH802" i="6" s="1"/>
  <c r="X803" i="6" s="1"/>
  <c r="BH803" i="6" s="1"/>
  <c r="X804" i="6" s="1"/>
  <c r="BH804" i="6" s="1"/>
  <c r="X805" i="6" s="1"/>
  <c r="BH805" i="6" s="1"/>
  <c r="X806" i="6" s="1"/>
  <c r="BH806" i="6" s="1"/>
  <c r="X807" i="6" s="1"/>
  <c r="BE799" i="6"/>
  <c r="BE800" i="6" s="1"/>
  <c r="AT799" i="6"/>
  <c r="AO799" i="6"/>
  <c r="AI799" i="6"/>
  <c r="AF799" i="6"/>
  <c r="AE799" i="6"/>
  <c r="X799" i="6"/>
  <c r="W799" i="6"/>
  <c r="BG799" i="6" s="1"/>
  <c r="W800" i="6" s="1"/>
  <c r="U799" i="6"/>
  <c r="K799" i="6"/>
  <c r="H799" i="6"/>
  <c r="G799" i="6"/>
  <c r="F799" i="6"/>
  <c r="E799" i="6"/>
  <c r="D799" i="6"/>
  <c r="C799" i="6"/>
  <c r="B799" i="6"/>
  <c r="A799" i="6"/>
  <c r="BO798" i="6"/>
  <c r="BN799" i="6" s="1"/>
  <c r="BO799" i="6" s="1"/>
  <c r="BN800" i="6" s="1"/>
  <c r="BO800" i="6" s="1"/>
  <c r="BN801" i="6" s="1"/>
  <c r="BO801" i="6" s="1"/>
  <c r="BN802" i="6" s="1"/>
  <c r="BO802" i="6" s="1"/>
  <c r="BN803" i="6" s="1"/>
  <c r="BO803" i="6" s="1"/>
  <c r="BN804" i="6" s="1"/>
  <c r="BO804" i="6" s="1"/>
  <c r="BN805" i="6" s="1"/>
  <c r="BO805" i="6" s="1"/>
  <c r="BN806" i="6" s="1"/>
  <c r="BO806" i="6" s="1"/>
  <c r="BN807" i="6" s="1"/>
  <c r="BO807" i="6" s="1"/>
  <c r="BN808" i="6" s="1"/>
  <c r="BN798" i="6"/>
  <c r="BE798" i="6"/>
  <c r="BC798" i="6"/>
  <c r="S799" i="6" s="1"/>
  <c r="BC799" i="6" s="1"/>
  <c r="S800" i="6" s="1"/>
  <c r="BC800" i="6" s="1"/>
  <c r="S801" i="6" s="1"/>
  <c r="BC801" i="6" s="1"/>
  <c r="S802" i="6" s="1"/>
  <c r="BC802" i="6" s="1"/>
  <c r="S803" i="6" s="1"/>
  <c r="BC803" i="6" s="1"/>
  <c r="S804" i="6" s="1"/>
  <c r="BC804" i="6" s="1"/>
  <c r="S805" i="6" s="1"/>
  <c r="BC805" i="6" s="1"/>
  <c r="S806" i="6" s="1"/>
  <c r="BC806" i="6" s="1"/>
  <c r="S807" i="6" s="1"/>
  <c r="BC807" i="6" s="1"/>
  <c r="S808" i="6" s="1"/>
  <c r="BC808" i="6" s="1"/>
  <c r="S809" i="6" s="1"/>
  <c r="BC809" i="6" s="1"/>
  <c r="S810" i="6" s="1"/>
  <c r="BC810" i="6" s="1"/>
  <c r="S811" i="6" s="1"/>
  <c r="BC811" i="6" s="1"/>
  <c r="S812" i="6" s="1"/>
  <c r="BC812" i="6" s="1"/>
  <c r="S813" i="6" s="1"/>
  <c r="BC813" i="6" s="1"/>
  <c r="S814" i="6" s="1"/>
  <c r="BC814" i="6" s="1"/>
  <c r="S815" i="6" s="1"/>
  <c r="BC815" i="6" s="1"/>
  <c r="S816" i="6" s="1"/>
  <c r="BC816" i="6" s="1"/>
  <c r="S817" i="6" s="1"/>
  <c r="BC817" i="6" s="1"/>
  <c r="S818" i="6" s="1"/>
  <c r="BC818" i="6" s="1"/>
  <c r="S819" i="6" s="1"/>
  <c r="BC819" i="6" s="1"/>
  <c r="S820" i="6" s="1"/>
  <c r="BC820" i="6" s="1"/>
  <c r="S821" i="6" s="1"/>
  <c r="BC821" i="6" s="1"/>
  <c r="S822" i="6" s="1"/>
  <c r="BC822" i="6" s="1"/>
  <c r="S823" i="6" s="1"/>
  <c r="BC823" i="6" s="1"/>
  <c r="S824" i="6" s="1"/>
  <c r="BC824" i="6" s="1"/>
  <c r="S825" i="6" s="1"/>
  <c r="BC825" i="6" s="1"/>
  <c r="S826" i="6" s="1"/>
  <c r="BC826" i="6" s="1"/>
  <c r="S827" i="6" s="1"/>
  <c r="BC827" i="6" s="1"/>
  <c r="S828" i="6" s="1"/>
  <c r="BC828" i="6" s="1"/>
  <c r="S829" i="6" s="1"/>
  <c r="BC829" i="6" s="1"/>
  <c r="S830" i="6" s="1"/>
  <c r="BC830" i="6" s="1"/>
  <c r="S831" i="6" s="1"/>
  <c r="BC831" i="6" s="1"/>
  <c r="S832" i="6" s="1"/>
  <c r="BC832" i="6" s="1"/>
  <c r="S833" i="6" s="1"/>
  <c r="BC833" i="6" s="1"/>
  <c r="AT798" i="6"/>
  <c r="AO798" i="6"/>
  <c r="AF798" i="6"/>
  <c r="AC798" i="6"/>
  <c r="BM798" i="6" s="1"/>
  <c r="AC799" i="6" s="1"/>
  <c r="BM799" i="6" s="1"/>
  <c r="AB798" i="6"/>
  <c r="BL798" i="6" s="1"/>
  <c r="AB799" i="6" s="1"/>
  <c r="BL799" i="6" s="1"/>
  <c r="AA798" i="6"/>
  <c r="BK798" i="6" s="1"/>
  <c r="AA799" i="6" s="1"/>
  <c r="BK799" i="6" s="1"/>
  <c r="AA800" i="6" s="1"/>
  <c r="BK800" i="6" s="1"/>
  <c r="AA801" i="6" s="1"/>
  <c r="BK801" i="6" s="1"/>
  <c r="AA802" i="6" s="1"/>
  <c r="BK802" i="6" s="1"/>
  <c r="AA803" i="6" s="1"/>
  <c r="BK803" i="6" s="1"/>
  <c r="AA804" i="6" s="1"/>
  <c r="BK804" i="6" s="1"/>
  <c r="AA805" i="6" s="1"/>
  <c r="BK805" i="6" s="1"/>
  <c r="AA806" i="6" s="1"/>
  <c r="BK806" i="6" s="1"/>
  <c r="AA807" i="6" s="1"/>
  <c r="BK807" i="6" s="1"/>
  <c r="AA808" i="6" s="1"/>
  <c r="BK808" i="6" s="1"/>
  <c r="AA809" i="6" s="1"/>
  <c r="BK809" i="6" s="1"/>
  <c r="AA810" i="6" s="1"/>
  <c r="BK810" i="6" s="1"/>
  <c r="AA811" i="6" s="1"/>
  <c r="BK811" i="6" s="1"/>
  <c r="AA812" i="6" s="1"/>
  <c r="BK812" i="6" s="1"/>
  <c r="AA813" i="6" s="1"/>
  <c r="BK813" i="6" s="1"/>
  <c r="AA814" i="6" s="1"/>
  <c r="BK814" i="6" s="1"/>
  <c r="AA815" i="6" s="1"/>
  <c r="BK815" i="6" s="1"/>
  <c r="AA816" i="6" s="1"/>
  <c r="BK816" i="6" s="1"/>
  <c r="AA817" i="6" s="1"/>
  <c r="BK817" i="6" s="1"/>
  <c r="AA818" i="6" s="1"/>
  <c r="BK818" i="6" s="1"/>
  <c r="AA819" i="6" s="1"/>
  <c r="BK819" i="6" s="1"/>
  <c r="AA820" i="6" s="1"/>
  <c r="BK820" i="6" s="1"/>
  <c r="AA821" i="6" s="1"/>
  <c r="BK821" i="6" s="1"/>
  <c r="AA822" i="6" s="1"/>
  <c r="BK822" i="6" s="1"/>
  <c r="AA823" i="6" s="1"/>
  <c r="BK823" i="6" s="1"/>
  <c r="AA824" i="6" s="1"/>
  <c r="BK824" i="6" s="1"/>
  <c r="AA825" i="6" s="1"/>
  <c r="BK825" i="6" s="1"/>
  <c r="AA826" i="6" s="1"/>
  <c r="BK826" i="6" s="1"/>
  <c r="AA827" i="6" s="1"/>
  <c r="BK827" i="6" s="1"/>
  <c r="AA828" i="6" s="1"/>
  <c r="BK828" i="6" s="1"/>
  <c r="AA829" i="6" s="1"/>
  <c r="BK829" i="6" s="1"/>
  <c r="AA830" i="6" s="1"/>
  <c r="BK830" i="6" s="1"/>
  <c r="AA831" i="6" s="1"/>
  <c r="BK831" i="6" s="1"/>
  <c r="AA832" i="6" s="1"/>
  <c r="BK832" i="6" s="1"/>
  <c r="AA833" i="6" s="1"/>
  <c r="BK833" i="6" s="1"/>
  <c r="Z798" i="6"/>
  <c r="BJ798" i="6" s="1"/>
  <c r="Z799" i="6" s="1"/>
  <c r="BJ799" i="6" s="1"/>
  <c r="Z800" i="6" s="1"/>
  <c r="BJ800" i="6" s="1"/>
  <c r="Z801" i="6" s="1"/>
  <c r="BJ801" i="6" s="1"/>
  <c r="Z802" i="6" s="1"/>
  <c r="BJ802" i="6" s="1"/>
  <c r="Z803" i="6" s="1"/>
  <c r="BJ803" i="6" s="1"/>
  <c r="Z804" i="6" s="1"/>
  <c r="BJ804" i="6" s="1"/>
  <c r="Z805" i="6" s="1"/>
  <c r="BJ805" i="6" s="1"/>
  <c r="Z806" i="6" s="1"/>
  <c r="BJ806" i="6" s="1"/>
  <c r="Z807" i="6" s="1"/>
  <c r="BJ807" i="6" s="1"/>
  <c r="Z808" i="6" s="1"/>
  <c r="BJ808" i="6" s="1"/>
  <c r="Z809" i="6" s="1"/>
  <c r="BJ809" i="6" s="1"/>
  <c r="Z810" i="6" s="1"/>
  <c r="BJ810" i="6" s="1"/>
  <c r="Z811" i="6" s="1"/>
  <c r="BJ811" i="6" s="1"/>
  <c r="Z812" i="6" s="1"/>
  <c r="BJ812" i="6" s="1"/>
  <c r="Z813" i="6" s="1"/>
  <c r="BJ813" i="6" s="1"/>
  <c r="Z814" i="6" s="1"/>
  <c r="BJ814" i="6" s="1"/>
  <c r="Z815" i="6" s="1"/>
  <c r="BJ815" i="6" s="1"/>
  <c r="Z816" i="6" s="1"/>
  <c r="BJ816" i="6" s="1"/>
  <c r="Z817" i="6" s="1"/>
  <c r="BJ817" i="6" s="1"/>
  <c r="Z818" i="6" s="1"/>
  <c r="BJ818" i="6" s="1"/>
  <c r="Z819" i="6" s="1"/>
  <c r="BJ819" i="6" s="1"/>
  <c r="Z820" i="6" s="1"/>
  <c r="BJ820" i="6" s="1"/>
  <c r="Z821" i="6" s="1"/>
  <c r="BJ821" i="6" s="1"/>
  <c r="Z822" i="6" s="1"/>
  <c r="BJ822" i="6" s="1"/>
  <c r="Z823" i="6" s="1"/>
  <c r="BJ823" i="6" s="1"/>
  <c r="Z824" i="6" s="1"/>
  <c r="BJ824" i="6" s="1"/>
  <c r="Z825" i="6" s="1"/>
  <c r="BJ825" i="6" s="1"/>
  <c r="Z826" i="6" s="1"/>
  <c r="BJ826" i="6" s="1"/>
  <c r="Z827" i="6" s="1"/>
  <c r="BJ827" i="6" s="1"/>
  <c r="Z828" i="6" s="1"/>
  <c r="BJ828" i="6" s="1"/>
  <c r="Z829" i="6" s="1"/>
  <c r="BJ829" i="6" s="1"/>
  <c r="Z830" i="6" s="1"/>
  <c r="BJ830" i="6" s="1"/>
  <c r="Z831" i="6" s="1"/>
  <c r="BJ831" i="6" s="1"/>
  <c r="Z832" i="6" s="1"/>
  <c r="BJ832" i="6" s="1"/>
  <c r="Z833" i="6" s="1"/>
  <c r="BJ833" i="6" s="1"/>
  <c r="Y798" i="6"/>
  <c r="BI798" i="6" s="1"/>
  <c r="Y799" i="6" s="1"/>
  <c r="BI799" i="6" s="1"/>
  <c r="Y800" i="6" s="1"/>
  <c r="BI800" i="6" s="1"/>
  <c r="Y801" i="6" s="1"/>
  <c r="BI801" i="6" s="1"/>
  <c r="Y802" i="6" s="1"/>
  <c r="BI802" i="6" s="1"/>
  <c r="Y803" i="6" s="1"/>
  <c r="BI803" i="6" s="1"/>
  <c r="X798" i="6"/>
  <c r="BH798" i="6" s="1"/>
  <c r="W798" i="6"/>
  <c r="BG798" i="6" s="1"/>
  <c r="V798" i="6"/>
  <c r="BF798" i="6" s="1"/>
  <c r="V799" i="6" s="1"/>
  <c r="BF799" i="6" s="1"/>
  <c r="V800" i="6" s="1"/>
  <c r="BF800" i="6" s="1"/>
  <c r="V801" i="6" s="1"/>
  <c r="BF801" i="6" s="1"/>
  <c r="V802" i="6" s="1"/>
  <c r="BF802" i="6" s="1"/>
  <c r="V803" i="6" s="1"/>
  <c r="BF803" i="6" s="1"/>
  <c r="V804" i="6" s="1"/>
  <c r="BF804" i="6" s="1"/>
  <c r="V805" i="6" s="1"/>
  <c r="BF805" i="6" s="1"/>
  <c r="V806" i="6" s="1"/>
  <c r="BF806" i="6" s="1"/>
  <c r="V807" i="6" s="1"/>
  <c r="BF807" i="6" s="1"/>
  <c r="V808" i="6" s="1"/>
  <c r="BF808" i="6" s="1"/>
  <c r="V809" i="6" s="1"/>
  <c r="BF809" i="6" s="1"/>
  <c r="V810" i="6" s="1"/>
  <c r="BF810" i="6" s="1"/>
  <c r="V811" i="6" s="1"/>
  <c r="BF811" i="6" s="1"/>
  <c r="V812" i="6" s="1"/>
  <c r="BF812" i="6" s="1"/>
  <c r="V813" i="6" s="1"/>
  <c r="BF813" i="6" s="1"/>
  <c r="V814" i="6" s="1"/>
  <c r="BF814" i="6" s="1"/>
  <c r="V815" i="6" s="1"/>
  <c r="BF815" i="6" s="1"/>
  <c r="V816" i="6" s="1"/>
  <c r="BF816" i="6" s="1"/>
  <c r="V817" i="6" s="1"/>
  <c r="BF817" i="6" s="1"/>
  <c r="V818" i="6" s="1"/>
  <c r="BF818" i="6" s="1"/>
  <c r="V819" i="6" s="1"/>
  <c r="BF819" i="6" s="1"/>
  <c r="V820" i="6" s="1"/>
  <c r="BF820" i="6" s="1"/>
  <c r="V821" i="6" s="1"/>
  <c r="U798" i="6"/>
  <c r="T798" i="6"/>
  <c r="BD798" i="6" s="1"/>
  <c r="T799" i="6" s="1"/>
  <c r="BD799" i="6" s="1"/>
  <c r="T800" i="6" s="1"/>
  <c r="S798" i="6"/>
  <c r="R798" i="6"/>
  <c r="BB798" i="6" s="1"/>
  <c r="R799" i="6" s="1"/>
  <c r="BB799" i="6" s="1"/>
  <c r="R800" i="6" s="1"/>
  <c r="BB800" i="6" s="1"/>
  <c r="R801" i="6" s="1"/>
  <c r="BB801" i="6" s="1"/>
  <c r="R802" i="6" s="1"/>
  <c r="BB802" i="6" s="1"/>
  <c r="R803" i="6" s="1"/>
  <c r="BB803" i="6" s="1"/>
  <c r="R804" i="6" s="1"/>
  <c r="BB804" i="6" s="1"/>
  <c r="R805" i="6" s="1"/>
  <c r="BB805" i="6" s="1"/>
  <c r="R806" i="6" s="1"/>
  <c r="BB806" i="6" s="1"/>
  <c r="R807" i="6" s="1"/>
  <c r="BB807" i="6" s="1"/>
  <c r="R808" i="6" s="1"/>
  <c r="BB808" i="6" s="1"/>
  <c r="R809" i="6" s="1"/>
  <c r="BB809" i="6" s="1"/>
  <c r="R810" i="6" s="1"/>
  <c r="BB810" i="6" s="1"/>
  <c r="R811" i="6" s="1"/>
  <c r="BB811" i="6" s="1"/>
  <c r="R812" i="6" s="1"/>
  <c r="BB812" i="6" s="1"/>
  <c r="R813" i="6" s="1"/>
  <c r="BB813" i="6" s="1"/>
  <c r="R814" i="6" s="1"/>
  <c r="BB814" i="6" s="1"/>
  <c r="R815" i="6" s="1"/>
  <c r="BB815" i="6" s="1"/>
  <c r="R816" i="6" s="1"/>
  <c r="BB816" i="6" s="1"/>
  <c r="R817" i="6" s="1"/>
  <c r="BB817" i="6" s="1"/>
  <c r="R818" i="6" s="1"/>
  <c r="BB818" i="6" s="1"/>
  <c r="R819" i="6" s="1"/>
  <c r="BB819" i="6" s="1"/>
  <c r="R820" i="6" s="1"/>
  <c r="BB820" i="6" s="1"/>
  <c r="R821" i="6" s="1"/>
  <c r="BB821" i="6" s="1"/>
  <c r="R822" i="6" s="1"/>
  <c r="BB822" i="6" s="1"/>
  <c r="R823" i="6" s="1"/>
  <c r="BB823" i="6" s="1"/>
  <c r="R824" i="6" s="1"/>
  <c r="BB824" i="6" s="1"/>
  <c r="R825" i="6" s="1"/>
  <c r="BB825" i="6" s="1"/>
  <c r="R826" i="6" s="1"/>
  <c r="BB826" i="6" s="1"/>
  <c r="R827" i="6" s="1"/>
  <c r="BB827" i="6" s="1"/>
  <c r="R828" i="6" s="1"/>
  <c r="BB828" i="6" s="1"/>
  <c r="R829" i="6" s="1"/>
  <c r="BB829" i="6" s="1"/>
  <c r="R830" i="6" s="1"/>
  <c r="BB830" i="6" s="1"/>
  <c r="R831" i="6" s="1"/>
  <c r="BB831" i="6" s="1"/>
  <c r="R832" i="6" s="1"/>
  <c r="BB832" i="6" s="1"/>
  <c r="R833" i="6" s="1"/>
  <c r="BB833" i="6" s="1"/>
  <c r="Q798" i="6"/>
  <c r="BA798" i="6" s="1"/>
  <c r="Q799" i="6" s="1"/>
  <c r="BA799" i="6" s="1"/>
  <c r="Q800" i="6" s="1"/>
  <c r="BA800" i="6" s="1"/>
  <c r="Q801" i="6" s="1"/>
  <c r="BA801" i="6" s="1"/>
  <c r="Q802" i="6" s="1"/>
  <c r="O798" i="6"/>
  <c r="AY798" i="6" s="1"/>
  <c r="O799" i="6" s="1"/>
  <c r="AY799" i="6" s="1"/>
  <c r="O800" i="6" s="1"/>
  <c r="AY800" i="6" s="1"/>
  <c r="O801" i="6" s="1"/>
  <c r="AY801" i="6" s="1"/>
  <c r="N798" i="6"/>
  <c r="AX798" i="6" s="1"/>
  <c r="N799" i="6" s="1"/>
  <c r="AX799" i="6" s="1"/>
  <c r="N800" i="6" s="1"/>
  <c r="AX800" i="6" s="1"/>
  <c r="N801" i="6" s="1"/>
  <c r="AX801" i="6" s="1"/>
  <c r="N802" i="6" s="1"/>
  <c r="AX802" i="6" s="1"/>
  <c r="N803" i="6" s="1"/>
  <c r="AX803" i="6" s="1"/>
  <c r="N804" i="6" s="1"/>
  <c r="AX804" i="6" s="1"/>
  <c r="M798" i="6"/>
  <c r="AW798" i="6" s="1"/>
  <c r="M799" i="6" s="1"/>
  <c r="AW799" i="6" s="1"/>
  <c r="M800" i="6" s="1"/>
  <c r="L798" i="6"/>
  <c r="H798" i="6"/>
  <c r="G798" i="6"/>
  <c r="AV798" i="6" s="1"/>
  <c r="L799" i="6" s="1"/>
  <c r="AV799" i="6" s="1"/>
  <c r="L800" i="6" s="1"/>
  <c r="AV800" i="6" s="1"/>
  <c r="L801" i="6" s="1"/>
  <c r="F798" i="6"/>
  <c r="AE798" i="6" s="1"/>
  <c r="E798" i="6"/>
  <c r="D798" i="6"/>
  <c r="C798" i="6"/>
  <c r="B798" i="6"/>
  <c r="A798" i="6"/>
  <c r="AO797" i="6"/>
  <c r="AE797" i="6"/>
  <c r="K797" i="6"/>
  <c r="I797" i="6"/>
  <c r="H797" i="6"/>
  <c r="G797" i="6"/>
  <c r="F797" i="6"/>
  <c r="J797" i="6" s="1"/>
  <c r="E797" i="6"/>
  <c r="D797" i="6"/>
  <c r="C797" i="6"/>
  <c r="B797" i="6"/>
  <c r="A797" i="6"/>
  <c r="AO796" i="6"/>
  <c r="J796" i="6"/>
  <c r="I796" i="6"/>
  <c r="H796" i="6"/>
  <c r="G796" i="6"/>
  <c r="F796" i="6"/>
  <c r="AE796" i="6" s="1"/>
  <c r="E796" i="6"/>
  <c r="D796" i="6"/>
  <c r="C796" i="6"/>
  <c r="B796" i="6"/>
  <c r="A796" i="6"/>
  <c r="AO795" i="6"/>
  <c r="AI795" i="6"/>
  <c r="K795" i="6"/>
  <c r="J795" i="6"/>
  <c r="I795" i="6"/>
  <c r="H795" i="6"/>
  <c r="G795" i="6"/>
  <c r="F795" i="6"/>
  <c r="AE795" i="6" s="1"/>
  <c r="E795" i="6"/>
  <c r="D795" i="6"/>
  <c r="C795" i="6"/>
  <c r="B795" i="6"/>
  <c r="A795" i="6"/>
  <c r="AO794" i="6"/>
  <c r="J794" i="6"/>
  <c r="H794" i="6"/>
  <c r="G794" i="6"/>
  <c r="F794" i="6"/>
  <c r="E794" i="6"/>
  <c r="D794" i="6"/>
  <c r="C794" i="6"/>
  <c r="B794" i="6"/>
  <c r="A794" i="6"/>
  <c r="AO793" i="6"/>
  <c r="AI793" i="6"/>
  <c r="K793" i="6"/>
  <c r="H793" i="6"/>
  <c r="G793" i="6"/>
  <c r="F793" i="6"/>
  <c r="E793" i="6"/>
  <c r="D793" i="6"/>
  <c r="C793" i="6"/>
  <c r="B793" i="6"/>
  <c r="A793" i="6"/>
  <c r="AO792" i="6"/>
  <c r="H792" i="6"/>
  <c r="G792" i="6"/>
  <c r="F792" i="6"/>
  <c r="E792" i="6"/>
  <c r="D792" i="6"/>
  <c r="C792" i="6"/>
  <c r="B792" i="6"/>
  <c r="A792" i="6"/>
  <c r="AO791" i="6"/>
  <c r="AE791" i="6"/>
  <c r="I791" i="6"/>
  <c r="H791" i="6"/>
  <c r="G791" i="6"/>
  <c r="F791" i="6"/>
  <c r="E791" i="6"/>
  <c r="D791" i="6"/>
  <c r="C791" i="6"/>
  <c r="B791" i="6"/>
  <c r="A791" i="6"/>
  <c r="AO790" i="6"/>
  <c r="AE790" i="6"/>
  <c r="J790" i="6"/>
  <c r="I790" i="6"/>
  <c r="H790" i="6"/>
  <c r="G790" i="6"/>
  <c r="F790" i="6"/>
  <c r="AI790" i="6" s="1"/>
  <c r="E790" i="6"/>
  <c r="D790" i="6"/>
  <c r="C790" i="6"/>
  <c r="B790" i="6"/>
  <c r="A790" i="6"/>
  <c r="AO789" i="6"/>
  <c r="AI789" i="6"/>
  <c r="AE789" i="6"/>
  <c r="K789" i="6"/>
  <c r="J789" i="6"/>
  <c r="I789" i="6"/>
  <c r="H789" i="6"/>
  <c r="G789" i="6"/>
  <c r="F789" i="6"/>
  <c r="E789" i="6"/>
  <c r="D789" i="6"/>
  <c r="C789" i="6"/>
  <c r="B789" i="6"/>
  <c r="A789" i="6"/>
  <c r="AO788" i="6"/>
  <c r="H788" i="6"/>
  <c r="G788" i="6"/>
  <c r="F788" i="6"/>
  <c r="E788" i="6"/>
  <c r="D788" i="6"/>
  <c r="C788" i="6"/>
  <c r="B788" i="6"/>
  <c r="A788" i="6"/>
  <c r="AO787" i="6"/>
  <c r="AE787" i="6"/>
  <c r="K787" i="6"/>
  <c r="H787" i="6"/>
  <c r="G787" i="6"/>
  <c r="AI787" i="6" s="1"/>
  <c r="F787" i="6"/>
  <c r="J787" i="6" s="1"/>
  <c r="E787" i="6"/>
  <c r="D787" i="6"/>
  <c r="C787" i="6"/>
  <c r="B787" i="6"/>
  <c r="A787" i="6"/>
  <c r="AO786" i="6"/>
  <c r="AE786" i="6"/>
  <c r="H786" i="6"/>
  <c r="G786" i="6"/>
  <c r="F786" i="6"/>
  <c r="E786" i="6"/>
  <c r="D786" i="6"/>
  <c r="C786" i="6"/>
  <c r="B786" i="6"/>
  <c r="A786" i="6"/>
  <c r="AO785" i="6"/>
  <c r="AE785" i="6"/>
  <c r="K785" i="6"/>
  <c r="I785" i="6"/>
  <c r="H785" i="6"/>
  <c r="G785" i="6"/>
  <c r="F785" i="6"/>
  <c r="J785" i="6" s="1"/>
  <c r="E785" i="6"/>
  <c r="D785" i="6"/>
  <c r="C785" i="6"/>
  <c r="B785" i="6"/>
  <c r="A785" i="6"/>
  <c r="AT784" i="6"/>
  <c r="J784" i="6"/>
  <c r="I784" i="6"/>
  <c r="H784" i="6"/>
  <c r="G784" i="6"/>
  <c r="F784" i="6"/>
  <c r="AE784" i="6" s="1"/>
  <c r="E784" i="6"/>
  <c r="D784" i="6"/>
  <c r="C784" i="6"/>
  <c r="B784" i="6"/>
  <c r="A784" i="6"/>
  <c r="AT783" i="6"/>
  <c r="AO783" i="6"/>
  <c r="K783" i="6"/>
  <c r="J783" i="6"/>
  <c r="I783" i="6"/>
  <c r="H783" i="6"/>
  <c r="G783" i="6"/>
  <c r="F783" i="6"/>
  <c r="AE783" i="6" s="1"/>
  <c r="E783" i="6"/>
  <c r="D783" i="6"/>
  <c r="C783" i="6"/>
  <c r="B783" i="6"/>
  <c r="A783" i="6"/>
  <c r="AT782" i="6"/>
  <c r="AO782" i="6"/>
  <c r="AI782" i="6"/>
  <c r="K782" i="6"/>
  <c r="H782" i="6"/>
  <c r="G782" i="6"/>
  <c r="F782" i="6"/>
  <c r="E782" i="6"/>
  <c r="D782" i="6"/>
  <c r="C782" i="6"/>
  <c r="B782" i="6"/>
  <c r="A782" i="6"/>
  <c r="AT781" i="6"/>
  <c r="AO781" i="6"/>
  <c r="K781" i="6"/>
  <c r="H781" i="6"/>
  <c r="G781" i="6"/>
  <c r="AI781" i="6" s="1"/>
  <c r="F781" i="6"/>
  <c r="E781" i="6"/>
  <c r="D781" i="6"/>
  <c r="C781" i="6"/>
  <c r="B781" i="6"/>
  <c r="A781" i="6"/>
  <c r="AT780" i="6"/>
  <c r="AO780" i="6"/>
  <c r="H780" i="6"/>
  <c r="G780" i="6"/>
  <c r="F780" i="6"/>
  <c r="E780" i="6"/>
  <c r="D780" i="6"/>
  <c r="C780" i="6"/>
  <c r="B780" i="6"/>
  <c r="A780" i="6"/>
  <c r="AT779" i="6"/>
  <c r="AO779" i="6"/>
  <c r="AF779" i="6"/>
  <c r="AE779" i="6"/>
  <c r="J779" i="6"/>
  <c r="I779" i="6"/>
  <c r="H779" i="6"/>
  <c r="G779" i="6"/>
  <c r="F779" i="6"/>
  <c r="E779" i="6"/>
  <c r="D779" i="6"/>
  <c r="C779" i="6"/>
  <c r="B779" i="6"/>
  <c r="A779" i="6"/>
  <c r="AT778" i="6"/>
  <c r="AE778" i="6"/>
  <c r="J778" i="6"/>
  <c r="I778" i="6"/>
  <c r="H778" i="6"/>
  <c r="G778" i="6"/>
  <c r="F778" i="6"/>
  <c r="AI778" i="6" s="1"/>
  <c r="E778" i="6"/>
  <c r="D778" i="6"/>
  <c r="C778" i="6"/>
  <c r="B778" i="6"/>
  <c r="A778" i="6"/>
  <c r="AT777" i="6"/>
  <c r="AO777" i="6"/>
  <c r="AI777" i="6"/>
  <c r="AF777" i="6"/>
  <c r="AE777" i="6"/>
  <c r="K777" i="6"/>
  <c r="J777" i="6"/>
  <c r="I777" i="6"/>
  <c r="H777" i="6"/>
  <c r="G777" i="6"/>
  <c r="F777" i="6"/>
  <c r="E777" i="6"/>
  <c r="D777" i="6"/>
  <c r="C777" i="6"/>
  <c r="B777" i="6"/>
  <c r="A777" i="6"/>
  <c r="AT776" i="6"/>
  <c r="AO776" i="6"/>
  <c r="AI776" i="6"/>
  <c r="AF776" i="6"/>
  <c r="K776" i="6"/>
  <c r="J776" i="6"/>
  <c r="H776" i="6"/>
  <c r="G776" i="6"/>
  <c r="F776" i="6"/>
  <c r="E776" i="6"/>
  <c r="D776" i="6"/>
  <c r="C776" i="6"/>
  <c r="B776" i="6"/>
  <c r="A776" i="6"/>
  <c r="AT775" i="6"/>
  <c r="AO775" i="6"/>
  <c r="AI775" i="6"/>
  <c r="AF775" i="6"/>
  <c r="AE775" i="6"/>
  <c r="K775" i="6"/>
  <c r="H775" i="6"/>
  <c r="G775" i="6"/>
  <c r="F775" i="6"/>
  <c r="E775" i="6"/>
  <c r="D775" i="6"/>
  <c r="C775" i="6"/>
  <c r="B775" i="6"/>
  <c r="A775" i="6"/>
  <c r="AT774" i="6"/>
  <c r="AO774" i="6"/>
  <c r="AE774" i="6"/>
  <c r="H774" i="6"/>
  <c r="G774" i="6"/>
  <c r="F774" i="6"/>
  <c r="E774" i="6"/>
  <c r="D774" i="6"/>
  <c r="C774" i="6"/>
  <c r="B774" i="6"/>
  <c r="A774" i="6"/>
  <c r="AT773" i="6"/>
  <c r="AE773" i="6"/>
  <c r="K773" i="6"/>
  <c r="I773" i="6"/>
  <c r="H773" i="6"/>
  <c r="G773" i="6"/>
  <c r="F773" i="6"/>
  <c r="E773" i="6"/>
  <c r="D773" i="6"/>
  <c r="C773" i="6"/>
  <c r="B773" i="6"/>
  <c r="A773" i="6"/>
  <c r="AT772" i="6"/>
  <c r="J772" i="6"/>
  <c r="I772" i="6"/>
  <c r="H772" i="6"/>
  <c r="G772" i="6"/>
  <c r="F772" i="6"/>
  <c r="E772" i="6"/>
  <c r="D772" i="6"/>
  <c r="C772" i="6"/>
  <c r="B772" i="6"/>
  <c r="A772" i="6"/>
  <c r="AT771" i="6"/>
  <c r="AO771" i="6"/>
  <c r="AI771" i="6"/>
  <c r="K771" i="6"/>
  <c r="J771" i="6"/>
  <c r="I771" i="6"/>
  <c r="H771" i="6"/>
  <c r="AF771" i="6" s="1"/>
  <c r="G771" i="6"/>
  <c r="F771" i="6"/>
  <c r="AE771" i="6" s="1"/>
  <c r="E771" i="6"/>
  <c r="D771" i="6"/>
  <c r="C771" i="6"/>
  <c r="B771" i="6"/>
  <c r="A771" i="6"/>
  <c r="AT770" i="6"/>
  <c r="AO770" i="6"/>
  <c r="AI770" i="6"/>
  <c r="K770" i="6"/>
  <c r="J770" i="6"/>
  <c r="H770" i="6"/>
  <c r="G770" i="6"/>
  <c r="F770" i="6"/>
  <c r="E770" i="6"/>
  <c r="D770" i="6"/>
  <c r="C770" i="6"/>
  <c r="B770" i="6"/>
  <c r="A770" i="6"/>
  <c r="AT769" i="6"/>
  <c r="AO769" i="6"/>
  <c r="AI769" i="6"/>
  <c r="AF769" i="6"/>
  <c r="AE769" i="6"/>
  <c r="K769" i="6"/>
  <c r="H769" i="6"/>
  <c r="G769" i="6"/>
  <c r="F769" i="6"/>
  <c r="E769" i="6"/>
  <c r="D769" i="6"/>
  <c r="C769" i="6"/>
  <c r="B769" i="6"/>
  <c r="A769" i="6"/>
  <c r="BH768" i="6"/>
  <c r="X769" i="6" s="1"/>
  <c r="BH769" i="6" s="1"/>
  <c r="X770" i="6" s="1"/>
  <c r="BH770" i="6" s="1"/>
  <c r="X771" i="6" s="1"/>
  <c r="BH771" i="6" s="1"/>
  <c r="X772" i="6" s="1"/>
  <c r="BH772" i="6" s="1"/>
  <c r="X773" i="6" s="1"/>
  <c r="BH773" i="6" s="1"/>
  <c r="X774" i="6" s="1"/>
  <c r="BH774" i="6" s="1"/>
  <c r="X775" i="6" s="1"/>
  <c r="BH775" i="6" s="1"/>
  <c r="X776" i="6" s="1"/>
  <c r="BH776" i="6" s="1"/>
  <c r="X777" i="6" s="1"/>
  <c r="BH777" i="6" s="1"/>
  <c r="X778" i="6" s="1"/>
  <c r="BH778" i="6" s="1"/>
  <c r="X779" i="6" s="1"/>
  <c r="BH779" i="6" s="1"/>
  <c r="X780" i="6" s="1"/>
  <c r="BH780" i="6" s="1"/>
  <c r="X781" i="6" s="1"/>
  <c r="BH781" i="6" s="1"/>
  <c r="X782" i="6" s="1"/>
  <c r="BH782" i="6" s="1"/>
  <c r="X783" i="6" s="1"/>
  <c r="BH783" i="6" s="1"/>
  <c r="X784" i="6" s="1"/>
  <c r="BH784" i="6" s="1"/>
  <c r="X785" i="6" s="1"/>
  <c r="BH785" i="6" s="1"/>
  <c r="X786" i="6" s="1"/>
  <c r="BH786" i="6" s="1"/>
  <c r="X787" i="6" s="1"/>
  <c r="BH787" i="6" s="1"/>
  <c r="X788" i="6" s="1"/>
  <c r="BH788" i="6" s="1"/>
  <c r="X789" i="6" s="1"/>
  <c r="BH789" i="6" s="1"/>
  <c r="X790" i="6" s="1"/>
  <c r="BH790" i="6" s="1"/>
  <c r="X791" i="6" s="1"/>
  <c r="BH791" i="6" s="1"/>
  <c r="X792" i="6" s="1"/>
  <c r="BH792" i="6" s="1"/>
  <c r="X793" i="6" s="1"/>
  <c r="BH793" i="6" s="1"/>
  <c r="X794" i="6" s="1"/>
  <c r="BH794" i="6" s="1"/>
  <c r="X795" i="6" s="1"/>
  <c r="BH795" i="6" s="1"/>
  <c r="X796" i="6" s="1"/>
  <c r="BH796" i="6" s="1"/>
  <c r="X797" i="6" s="1"/>
  <c r="BH797" i="6" s="1"/>
  <c r="AT768" i="6"/>
  <c r="AO768" i="6"/>
  <c r="H768" i="6"/>
  <c r="AF768" i="6" s="1"/>
  <c r="G768" i="6"/>
  <c r="F768" i="6"/>
  <c r="E768" i="6"/>
  <c r="D768" i="6"/>
  <c r="C768" i="6"/>
  <c r="B768" i="6"/>
  <c r="A768" i="6"/>
  <c r="AY767" i="6"/>
  <c r="O768" i="6" s="1"/>
  <c r="AY768" i="6" s="1"/>
  <c r="O769" i="6" s="1"/>
  <c r="AY769" i="6" s="1"/>
  <c r="O770" i="6" s="1"/>
  <c r="AY770" i="6" s="1"/>
  <c r="O771" i="6" s="1"/>
  <c r="AY771" i="6" s="1"/>
  <c r="O772" i="6" s="1"/>
  <c r="AY772" i="6" s="1"/>
  <c r="O773" i="6" s="1"/>
  <c r="AY773" i="6" s="1"/>
  <c r="O774" i="6" s="1"/>
  <c r="AY774" i="6" s="1"/>
  <c r="O775" i="6" s="1"/>
  <c r="AY775" i="6" s="1"/>
  <c r="O776" i="6" s="1"/>
  <c r="AY776" i="6" s="1"/>
  <c r="O777" i="6" s="1"/>
  <c r="AY777" i="6" s="1"/>
  <c r="O778" i="6" s="1"/>
  <c r="AY778" i="6" s="1"/>
  <c r="O779" i="6" s="1"/>
  <c r="AY779" i="6" s="1"/>
  <c r="O780" i="6" s="1"/>
  <c r="AY780" i="6" s="1"/>
  <c r="O781" i="6" s="1"/>
  <c r="AY781" i="6" s="1"/>
  <c r="O782" i="6" s="1"/>
  <c r="AY782" i="6" s="1"/>
  <c r="O783" i="6" s="1"/>
  <c r="AY783" i="6" s="1"/>
  <c r="O784" i="6" s="1"/>
  <c r="AY784" i="6" s="1"/>
  <c r="O785" i="6" s="1"/>
  <c r="AY785" i="6" s="1"/>
  <c r="O786" i="6" s="1"/>
  <c r="AY786" i="6" s="1"/>
  <c r="O787" i="6" s="1"/>
  <c r="AY787" i="6" s="1"/>
  <c r="O788" i="6" s="1"/>
  <c r="AY788" i="6" s="1"/>
  <c r="O789" i="6" s="1"/>
  <c r="AY789" i="6" s="1"/>
  <c r="O790" i="6" s="1"/>
  <c r="AY790" i="6" s="1"/>
  <c r="O791" i="6" s="1"/>
  <c r="AY791" i="6" s="1"/>
  <c r="O792" i="6" s="1"/>
  <c r="AY792" i="6" s="1"/>
  <c r="O793" i="6" s="1"/>
  <c r="AY793" i="6" s="1"/>
  <c r="O794" i="6" s="1"/>
  <c r="AY794" i="6" s="1"/>
  <c r="O795" i="6" s="1"/>
  <c r="AY795" i="6" s="1"/>
  <c r="O796" i="6" s="1"/>
  <c r="AY796" i="6" s="1"/>
  <c r="O797" i="6" s="1"/>
  <c r="AY797" i="6" s="1"/>
  <c r="AT767" i="6"/>
  <c r="AE767" i="6"/>
  <c r="J767" i="6"/>
  <c r="I767" i="6"/>
  <c r="H767" i="6"/>
  <c r="G767" i="6"/>
  <c r="F767" i="6"/>
  <c r="E767" i="6"/>
  <c r="D767" i="6"/>
  <c r="C767" i="6"/>
  <c r="B767" i="6"/>
  <c r="A767" i="6"/>
  <c r="BL766" i="6"/>
  <c r="AB767" i="6" s="1"/>
  <c r="BL767" i="6" s="1"/>
  <c r="AB768" i="6" s="1"/>
  <c r="BL768" i="6" s="1"/>
  <c r="AB769" i="6" s="1"/>
  <c r="BL769" i="6" s="1"/>
  <c r="AB770" i="6" s="1"/>
  <c r="BL770" i="6" s="1"/>
  <c r="AB771" i="6" s="1"/>
  <c r="BL771" i="6" s="1"/>
  <c r="AB772" i="6" s="1"/>
  <c r="BL772" i="6" s="1"/>
  <c r="AB773" i="6" s="1"/>
  <c r="BL773" i="6" s="1"/>
  <c r="AB774" i="6" s="1"/>
  <c r="BL774" i="6" s="1"/>
  <c r="AB775" i="6" s="1"/>
  <c r="BL775" i="6" s="1"/>
  <c r="AB776" i="6" s="1"/>
  <c r="BL776" i="6" s="1"/>
  <c r="AB777" i="6" s="1"/>
  <c r="BL777" i="6" s="1"/>
  <c r="AB778" i="6" s="1"/>
  <c r="BL778" i="6" s="1"/>
  <c r="AB779" i="6" s="1"/>
  <c r="BL779" i="6" s="1"/>
  <c r="AB780" i="6" s="1"/>
  <c r="BL780" i="6" s="1"/>
  <c r="AB781" i="6" s="1"/>
  <c r="BL781" i="6" s="1"/>
  <c r="AB782" i="6" s="1"/>
  <c r="BL782" i="6" s="1"/>
  <c r="AB783" i="6" s="1"/>
  <c r="BL783" i="6" s="1"/>
  <c r="AB784" i="6" s="1"/>
  <c r="BL784" i="6" s="1"/>
  <c r="AB785" i="6" s="1"/>
  <c r="BL785" i="6" s="1"/>
  <c r="AB786" i="6" s="1"/>
  <c r="BL786" i="6" s="1"/>
  <c r="AB787" i="6" s="1"/>
  <c r="BL787" i="6" s="1"/>
  <c r="AB788" i="6" s="1"/>
  <c r="BL788" i="6" s="1"/>
  <c r="AB789" i="6" s="1"/>
  <c r="BL789" i="6" s="1"/>
  <c r="AB790" i="6" s="1"/>
  <c r="BL790" i="6" s="1"/>
  <c r="AB791" i="6" s="1"/>
  <c r="BL791" i="6" s="1"/>
  <c r="AB792" i="6" s="1"/>
  <c r="BL792" i="6" s="1"/>
  <c r="AB793" i="6" s="1"/>
  <c r="BL793" i="6" s="1"/>
  <c r="AB794" i="6" s="1"/>
  <c r="BL794" i="6" s="1"/>
  <c r="AB795" i="6" s="1"/>
  <c r="BL795" i="6" s="1"/>
  <c r="AB796" i="6" s="1"/>
  <c r="BL796" i="6" s="1"/>
  <c r="AB797" i="6" s="1"/>
  <c r="BL797" i="6" s="1"/>
  <c r="AT766" i="6"/>
  <c r="AE766" i="6"/>
  <c r="J766" i="6"/>
  <c r="I766" i="6"/>
  <c r="H766" i="6"/>
  <c r="G766" i="6"/>
  <c r="F766" i="6"/>
  <c r="AI766" i="6" s="1"/>
  <c r="E766" i="6"/>
  <c r="D766" i="6"/>
  <c r="C766" i="6"/>
  <c r="B766" i="6"/>
  <c r="A766" i="6"/>
  <c r="AT765" i="6"/>
  <c r="AO765" i="6"/>
  <c r="AI765" i="6"/>
  <c r="AE765" i="6"/>
  <c r="AC765" i="6"/>
  <c r="BM765" i="6" s="1"/>
  <c r="AC766" i="6" s="1"/>
  <c r="BM766" i="6" s="1"/>
  <c r="AC767" i="6" s="1"/>
  <c r="BM767" i="6" s="1"/>
  <c r="AC768" i="6" s="1"/>
  <c r="BM768" i="6" s="1"/>
  <c r="AC769" i="6" s="1"/>
  <c r="BM769" i="6" s="1"/>
  <c r="AC770" i="6" s="1"/>
  <c r="BM770" i="6" s="1"/>
  <c r="AC771" i="6" s="1"/>
  <c r="BM771" i="6" s="1"/>
  <c r="AC772" i="6" s="1"/>
  <c r="BM772" i="6" s="1"/>
  <c r="AC773" i="6" s="1"/>
  <c r="BM773" i="6" s="1"/>
  <c r="AC774" i="6" s="1"/>
  <c r="BM774" i="6" s="1"/>
  <c r="AC775" i="6" s="1"/>
  <c r="BM775" i="6" s="1"/>
  <c r="AC776" i="6" s="1"/>
  <c r="BM776" i="6" s="1"/>
  <c r="AC777" i="6" s="1"/>
  <c r="BM777" i="6" s="1"/>
  <c r="AC778" i="6" s="1"/>
  <c r="BM778" i="6" s="1"/>
  <c r="AC779" i="6" s="1"/>
  <c r="BM779" i="6" s="1"/>
  <c r="AC780" i="6" s="1"/>
  <c r="BM780" i="6" s="1"/>
  <c r="AC781" i="6" s="1"/>
  <c r="BM781" i="6" s="1"/>
  <c r="AC782" i="6" s="1"/>
  <c r="BM782" i="6" s="1"/>
  <c r="AC783" i="6" s="1"/>
  <c r="BM783" i="6" s="1"/>
  <c r="AC784" i="6" s="1"/>
  <c r="BM784" i="6" s="1"/>
  <c r="AC785" i="6" s="1"/>
  <c r="BM785" i="6" s="1"/>
  <c r="AC786" i="6" s="1"/>
  <c r="BM786" i="6" s="1"/>
  <c r="AC787" i="6" s="1"/>
  <c r="BM787" i="6" s="1"/>
  <c r="AC788" i="6" s="1"/>
  <c r="BM788" i="6" s="1"/>
  <c r="AC789" i="6" s="1"/>
  <c r="BM789" i="6" s="1"/>
  <c r="AC790" i="6" s="1"/>
  <c r="BM790" i="6" s="1"/>
  <c r="AC791" i="6" s="1"/>
  <c r="BM791" i="6" s="1"/>
  <c r="AC792" i="6" s="1"/>
  <c r="BM792" i="6" s="1"/>
  <c r="AC793" i="6" s="1"/>
  <c r="BM793" i="6" s="1"/>
  <c r="AC794" i="6" s="1"/>
  <c r="BM794" i="6" s="1"/>
  <c r="AC795" i="6" s="1"/>
  <c r="BM795" i="6" s="1"/>
  <c r="AC796" i="6" s="1"/>
  <c r="BM796" i="6" s="1"/>
  <c r="AC797" i="6" s="1"/>
  <c r="BM797" i="6" s="1"/>
  <c r="K765" i="6"/>
  <c r="J765" i="6"/>
  <c r="I765" i="6"/>
  <c r="H765" i="6"/>
  <c r="G765" i="6"/>
  <c r="F765" i="6"/>
  <c r="E765" i="6"/>
  <c r="D765" i="6"/>
  <c r="C765" i="6"/>
  <c r="B765" i="6"/>
  <c r="A765" i="6"/>
  <c r="BN764" i="6"/>
  <c r="BO764" i="6" s="1"/>
  <c r="BN765" i="6" s="1"/>
  <c r="BO765" i="6" s="1"/>
  <c r="BN766" i="6" s="1"/>
  <c r="BO766" i="6" s="1"/>
  <c r="BN767" i="6" s="1"/>
  <c r="BO767" i="6" s="1"/>
  <c r="BN768" i="6" s="1"/>
  <c r="BO768" i="6" s="1"/>
  <c r="BN769" i="6" s="1"/>
  <c r="AT764" i="6"/>
  <c r="AO764" i="6"/>
  <c r="AI764" i="6"/>
  <c r="AF764" i="6"/>
  <c r="AE764" i="6"/>
  <c r="V764" i="6"/>
  <c r="BF764" i="6" s="1"/>
  <c r="V765" i="6" s="1"/>
  <c r="BF765" i="6" s="1"/>
  <c r="V766" i="6" s="1"/>
  <c r="BF766" i="6" s="1"/>
  <c r="V767" i="6" s="1"/>
  <c r="BF767" i="6" s="1"/>
  <c r="V768" i="6" s="1"/>
  <c r="BF768" i="6" s="1"/>
  <c r="V769" i="6" s="1"/>
  <c r="BF769" i="6" s="1"/>
  <c r="V770" i="6" s="1"/>
  <c r="BF770" i="6" s="1"/>
  <c r="V771" i="6" s="1"/>
  <c r="BF771" i="6" s="1"/>
  <c r="V772" i="6" s="1"/>
  <c r="BF772" i="6" s="1"/>
  <c r="V773" i="6" s="1"/>
  <c r="BF773" i="6" s="1"/>
  <c r="V774" i="6" s="1"/>
  <c r="BF774" i="6" s="1"/>
  <c r="V775" i="6" s="1"/>
  <c r="BF775" i="6" s="1"/>
  <c r="V776" i="6" s="1"/>
  <c r="BF776" i="6" s="1"/>
  <c r="V777" i="6" s="1"/>
  <c r="BF777" i="6" s="1"/>
  <c r="V778" i="6" s="1"/>
  <c r="BF778" i="6" s="1"/>
  <c r="V779" i="6" s="1"/>
  <c r="BF779" i="6" s="1"/>
  <c r="V780" i="6" s="1"/>
  <c r="BF780" i="6" s="1"/>
  <c r="V781" i="6" s="1"/>
  <c r="BF781" i="6" s="1"/>
  <c r="V782" i="6" s="1"/>
  <c r="BF782" i="6" s="1"/>
  <c r="V783" i="6" s="1"/>
  <c r="BF783" i="6" s="1"/>
  <c r="V784" i="6" s="1"/>
  <c r="BF784" i="6" s="1"/>
  <c r="V785" i="6" s="1"/>
  <c r="N764" i="6"/>
  <c r="AX764" i="6" s="1"/>
  <c r="N765" i="6" s="1"/>
  <c r="AX765" i="6" s="1"/>
  <c r="N766" i="6" s="1"/>
  <c r="AX766" i="6" s="1"/>
  <c r="N767" i="6" s="1"/>
  <c r="AX767" i="6" s="1"/>
  <c r="N768" i="6" s="1"/>
  <c r="AX768" i="6" s="1"/>
  <c r="J764" i="6"/>
  <c r="H764" i="6"/>
  <c r="G764" i="6"/>
  <c r="F764" i="6"/>
  <c r="E764" i="6"/>
  <c r="D764" i="6"/>
  <c r="C764" i="6"/>
  <c r="B764" i="6"/>
  <c r="A764" i="6"/>
  <c r="BO763" i="6"/>
  <c r="BE763" i="6"/>
  <c r="AW763" i="6"/>
  <c r="M764" i="6" s="1"/>
  <c r="AT763" i="6"/>
  <c r="AO763" i="6"/>
  <c r="AF763" i="6"/>
  <c r="Q763" i="6"/>
  <c r="BA763" i="6" s="1"/>
  <c r="Q764" i="6" s="1"/>
  <c r="BA764" i="6" s="1"/>
  <c r="Q765" i="6" s="1"/>
  <c r="BA765" i="6" s="1"/>
  <c r="Q766" i="6" s="1"/>
  <c r="H763" i="6"/>
  <c r="G763" i="6"/>
  <c r="F763" i="6"/>
  <c r="AI763" i="6" s="1"/>
  <c r="E763" i="6"/>
  <c r="D763" i="6"/>
  <c r="C763" i="6"/>
  <c r="B763" i="6"/>
  <c r="A763" i="6"/>
  <c r="BN762" i="6"/>
  <c r="BO762" i="6" s="1"/>
  <c r="BN763" i="6" s="1"/>
  <c r="BH762" i="6"/>
  <c r="X763" i="6" s="1"/>
  <c r="BH763" i="6" s="1"/>
  <c r="X764" i="6" s="1"/>
  <c r="BH764" i="6" s="1"/>
  <c r="X765" i="6" s="1"/>
  <c r="BH765" i="6" s="1"/>
  <c r="X766" i="6" s="1"/>
  <c r="BH766" i="6" s="1"/>
  <c r="X767" i="6" s="1"/>
  <c r="BH767" i="6" s="1"/>
  <c r="X768" i="6" s="1"/>
  <c r="BG762" i="6"/>
  <c r="W763" i="6" s="1"/>
  <c r="BG763" i="6" s="1"/>
  <c r="W764" i="6" s="1"/>
  <c r="BG764" i="6" s="1"/>
  <c r="W765" i="6" s="1"/>
  <c r="BE762" i="6"/>
  <c r="U763" i="6" s="1"/>
  <c r="BB762" i="6"/>
  <c r="R763" i="6" s="1"/>
  <c r="BB763" i="6" s="1"/>
  <c r="R764" i="6" s="1"/>
  <c r="BB764" i="6" s="1"/>
  <c r="R765" i="6" s="1"/>
  <c r="BB765" i="6" s="1"/>
  <c r="R766" i="6" s="1"/>
  <c r="BB766" i="6" s="1"/>
  <c r="R767" i="6" s="1"/>
  <c r="BB767" i="6" s="1"/>
  <c r="R768" i="6" s="1"/>
  <c r="BB768" i="6" s="1"/>
  <c r="R769" i="6" s="1"/>
  <c r="BB769" i="6" s="1"/>
  <c r="R770" i="6" s="1"/>
  <c r="BB770" i="6" s="1"/>
  <c r="R771" i="6" s="1"/>
  <c r="BB771" i="6" s="1"/>
  <c r="R772" i="6" s="1"/>
  <c r="BB772" i="6" s="1"/>
  <c r="R773" i="6" s="1"/>
  <c r="BB773" i="6" s="1"/>
  <c r="R774" i="6" s="1"/>
  <c r="BB774" i="6" s="1"/>
  <c r="R775" i="6" s="1"/>
  <c r="BB775" i="6" s="1"/>
  <c r="R776" i="6" s="1"/>
  <c r="BB776" i="6" s="1"/>
  <c r="R777" i="6" s="1"/>
  <c r="BB777" i="6" s="1"/>
  <c r="R778" i="6" s="1"/>
  <c r="BB778" i="6" s="1"/>
  <c r="R779" i="6" s="1"/>
  <c r="BB779" i="6" s="1"/>
  <c r="R780" i="6" s="1"/>
  <c r="BB780" i="6" s="1"/>
  <c r="R781" i="6" s="1"/>
  <c r="BB781" i="6" s="1"/>
  <c r="R782" i="6" s="1"/>
  <c r="BB782" i="6" s="1"/>
  <c r="R783" i="6" s="1"/>
  <c r="BB783" i="6" s="1"/>
  <c r="R784" i="6" s="1"/>
  <c r="BB784" i="6" s="1"/>
  <c r="R785" i="6" s="1"/>
  <c r="BB785" i="6" s="1"/>
  <c r="R786" i="6" s="1"/>
  <c r="BB786" i="6" s="1"/>
  <c r="R787" i="6" s="1"/>
  <c r="BB787" i="6" s="1"/>
  <c r="R788" i="6" s="1"/>
  <c r="BB788" i="6" s="1"/>
  <c r="R789" i="6" s="1"/>
  <c r="BB789" i="6" s="1"/>
  <c r="R790" i="6" s="1"/>
  <c r="BB790" i="6" s="1"/>
  <c r="R791" i="6" s="1"/>
  <c r="BB791" i="6" s="1"/>
  <c r="R792" i="6" s="1"/>
  <c r="BB792" i="6" s="1"/>
  <c r="R793" i="6" s="1"/>
  <c r="BB793" i="6" s="1"/>
  <c r="R794" i="6" s="1"/>
  <c r="BB794" i="6" s="1"/>
  <c r="R795" i="6" s="1"/>
  <c r="BB795" i="6" s="1"/>
  <c r="R796" i="6" s="1"/>
  <c r="BB796" i="6" s="1"/>
  <c r="R797" i="6" s="1"/>
  <c r="BB797" i="6" s="1"/>
  <c r="AW762" i="6"/>
  <c r="M763" i="6" s="1"/>
  <c r="AT762" i="6"/>
  <c r="AO762" i="6"/>
  <c r="AF762" i="6"/>
  <c r="AC762" i="6"/>
  <c r="BM762" i="6" s="1"/>
  <c r="AC763" i="6" s="1"/>
  <c r="BM763" i="6" s="1"/>
  <c r="AC764" i="6" s="1"/>
  <c r="BM764" i="6" s="1"/>
  <c r="AB762" i="6"/>
  <c r="BL762" i="6" s="1"/>
  <c r="AB763" i="6" s="1"/>
  <c r="BL763" i="6" s="1"/>
  <c r="AB764" i="6" s="1"/>
  <c r="BL764" i="6" s="1"/>
  <c r="AB765" i="6" s="1"/>
  <c r="BL765" i="6" s="1"/>
  <c r="AB766" i="6" s="1"/>
  <c r="AA762" i="6"/>
  <c r="BK762" i="6" s="1"/>
  <c r="AA763" i="6" s="1"/>
  <c r="BK763" i="6" s="1"/>
  <c r="AA764" i="6" s="1"/>
  <c r="BK764" i="6" s="1"/>
  <c r="AA765" i="6" s="1"/>
  <c r="BK765" i="6" s="1"/>
  <c r="AA766" i="6" s="1"/>
  <c r="BK766" i="6" s="1"/>
  <c r="AA767" i="6" s="1"/>
  <c r="BK767" i="6" s="1"/>
  <c r="AA768" i="6" s="1"/>
  <c r="BK768" i="6" s="1"/>
  <c r="AA769" i="6" s="1"/>
  <c r="BK769" i="6" s="1"/>
  <c r="AA770" i="6" s="1"/>
  <c r="BK770" i="6" s="1"/>
  <c r="AA771" i="6" s="1"/>
  <c r="BK771" i="6" s="1"/>
  <c r="AA772" i="6" s="1"/>
  <c r="BK772" i="6" s="1"/>
  <c r="AA773" i="6" s="1"/>
  <c r="BK773" i="6" s="1"/>
  <c r="AA774" i="6" s="1"/>
  <c r="BK774" i="6" s="1"/>
  <c r="AA775" i="6" s="1"/>
  <c r="BK775" i="6" s="1"/>
  <c r="AA776" i="6" s="1"/>
  <c r="BK776" i="6" s="1"/>
  <c r="AA777" i="6" s="1"/>
  <c r="BK777" i="6" s="1"/>
  <c r="AA778" i="6" s="1"/>
  <c r="BK778" i="6" s="1"/>
  <c r="AA779" i="6" s="1"/>
  <c r="BK779" i="6" s="1"/>
  <c r="AA780" i="6" s="1"/>
  <c r="BK780" i="6" s="1"/>
  <c r="AA781" i="6" s="1"/>
  <c r="BK781" i="6" s="1"/>
  <c r="AA782" i="6" s="1"/>
  <c r="BK782" i="6" s="1"/>
  <c r="AA783" i="6" s="1"/>
  <c r="BK783" i="6" s="1"/>
  <c r="AA784" i="6" s="1"/>
  <c r="BK784" i="6" s="1"/>
  <c r="AA785" i="6" s="1"/>
  <c r="BK785" i="6" s="1"/>
  <c r="AA786" i="6" s="1"/>
  <c r="BK786" i="6" s="1"/>
  <c r="AA787" i="6" s="1"/>
  <c r="BK787" i="6" s="1"/>
  <c r="AA788" i="6" s="1"/>
  <c r="BK788" i="6" s="1"/>
  <c r="AA789" i="6" s="1"/>
  <c r="BK789" i="6" s="1"/>
  <c r="AA790" i="6" s="1"/>
  <c r="BK790" i="6" s="1"/>
  <c r="AA791" i="6" s="1"/>
  <c r="BK791" i="6" s="1"/>
  <c r="AA792" i="6" s="1"/>
  <c r="BK792" i="6" s="1"/>
  <c r="AA793" i="6" s="1"/>
  <c r="BK793" i="6" s="1"/>
  <c r="AA794" i="6" s="1"/>
  <c r="BK794" i="6" s="1"/>
  <c r="AA795" i="6" s="1"/>
  <c r="BK795" i="6" s="1"/>
  <c r="AA796" i="6" s="1"/>
  <c r="BK796" i="6" s="1"/>
  <c r="AA797" i="6" s="1"/>
  <c r="BK797" i="6" s="1"/>
  <c r="Z762" i="6"/>
  <c r="BJ762" i="6" s="1"/>
  <c r="Z763" i="6" s="1"/>
  <c r="BJ763" i="6" s="1"/>
  <c r="Z764" i="6" s="1"/>
  <c r="BJ764" i="6" s="1"/>
  <c r="Z765" i="6" s="1"/>
  <c r="BJ765" i="6" s="1"/>
  <c r="Z766" i="6" s="1"/>
  <c r="BJ766" i="6" s="1"/>
  <c r="Z767" i="6" s="1"/>
  <c r="BJ767" i="6" s="1"/>
  <c r="Z768" i="6" s="1"/>
  <c r="BJ768" i="6" s="1"/>
  <c r="Z769" i="6" s="1"/>
  <c r="BJ769" i="6" s="1"/>
  <c r="Z770" i="6" s="1"/>
  <c r="BJ770" i="6" s="1"/>
  <c r="Z771" i="6" s="1"/>
  <c r="BJ771" i="6" s="1"/>
  <c r="Z772" i="6" s="1"/>
  <c r="BJ772" i="6" s="1"/>
  <c r="Z773" i="6" s="1"/>
  <c r="BJ773" i="6" s="1"/>
  <c r="Z774" i="6" s="1"/>
  <c r="BJ774" i="6" s="1"/>
  <c r="Z775" i="6" s="1"/>
  <c r="BJ775" i="6" s="1"/>
  <c r="Z776" i="6" s="1"/>
  <c r="BJ776" i="6" s="1"/>
  <c r="Z777" i="6" s="1"/>
  <c r="BJ777" i="6" s="1"/>
  <c r="Z778" i="6" s="1"/>
  <c r="BJ778" i="6" s="1"/>
  <c r="Z779" i="6" s="1"/>
  <c r="BJ779" i="6" s="1"/>
  <c r="Z780" i="6" s="1"/>
  <c r="BJ780" i="6" s="1"/>
  <c r="Z781" i="6" s="1"/>
  <c r="BJ781" i="6" s="1"/>
  <c r="Z782" i="6" s="1"/>
  <c r="BJ782" i="6" s="1"/>
  <c r="Z783" i="6" s="1"/>
  <c r="BJ783" i="6" s="1"/>
  <c r="Z784" i="6" s="1"/>
  <c r="BJ784" i="6" s="1"/>
  <c r="Z785" i="6" s="1"/>
  <c r="BJ785" i="6" s="1"/>
  <c r="Z786" i="6" s="1"/>
  <c r="BJ786" i="6" s="1"/>
  <c r="Z787" i="6" s="1"/>
  <c r="BJ787" i="6" s="1"/>
  <c r="Z788" i="6" s="1"/>
  <c r="BJ788" i="6" s="1"/>
  <c r="Z789" i="6" s="1"/>
  <c r="BJ789" i="6" s="1"/>
  <c r="Z790" i="6" s="1"/>
  <c r="BJ790" i="6" s="1"/>
  <c r="Z791" i="6" s="1"/>
  <c r="BJ791" i="6" s="1"/>
  <c r="Z792" i="6" s="1"/>
  <c r="BJ792" i="6" s="1"/>
  <c r="Z793" i="6" s="1"/>
  <c r="BJ793" i="6" s="1"/>
  <c r="Z794" i="6" s="1"/>
  <c r="BJ794" i="6" s="1"/>
  <c r="Z795" i="6" s="1"/>
  <c r="BJ795" i="6" s="1"/>
  <c r="Z796" i="6" s="1"/>
  <c r="BJ796" i="6" s="1"/>
  <c r="Z797" i="6" s="1"/>
  <c r="BJ797" i="6" s="1"/>
  <c r="Y762" i="6"/>
  <c r="BI762" i="6" s="1"/>
  <c r="Y763" i="6" s="1"/>
  <c r="BI763" i="6" s="1"/>
  <c r="Y764" i="6" s="1"/>
  <c r="BI764" i="6" s="1"/>
  <c r="Y765" i="6" s="1"/>
  <c r="BI765" i="6" s="1"/>
  <c r="Y766" i="6" s="1"/>
  <c r="BI766" i="6" s="1"/>
  <c r="Y767" i="6" s="1"/>
  <c r="BI767" i="6" s="1"/>
  <c r="Y768" i="6" s="1"/>
  <c r="BI768" i="6" s="1"/>
  <c r="Y769" i="6" s="1"/>
  <c r="BI769" i="6" s="1"/>
  <c r="Y770" i="6" s="1"/>
  <c r="BI770" i="6" s="1"/>
  <c r="Y771" i="6" s="1"/>
  <c r="BI771" i="6" s="1"/>
  <c r="Y772" i="6" s="1"/>
  <c r="BI772" i="6" s="1"/>
  <c r="Y773" i="6" s="1"/>
  <c r="BI773" i="6" s="1"/>
  <c r="Y774" i="6" s="1"/>
  <c r="BI774" i="6" s="1"/>
  <c r="Y775" i="6" s="1"/>
  <c r="BI775" i="6" s="1"/>
  <c r="Y776" i="6" s="1"/>
  <c r="BI776" i="6" s="1"/>
  <c r="Y777" i="6" s="1"/>
  <c r="BI777" i="6" s="1"/>
  <c r="Y778" i="6" s="1"/>
  <c r="BI778" i="6" s="1"/>
  <c r="Y779" i="6" s="1"/>
  <c r="BI779" i="6" s="1"/>
  <c r="Y780" i="6" s="1"/>
  <c r="BI780" i="6" s="1"/>
  <c r="Y781" i="6" s="1"/>
  <c r="BI781" i="6" s="1"/>
  <c r="Y782" i="6" s="1"/>
  <c r="BI782" i="6" s="1"/>
  <c r="Y783" i="6" s="1"/>
  <c r="BI783" i="6" s="1"/>
  <c r="Y784" i="6" s="1"/>
  <c r="BI784" i="6" s="1"/>
  <c r="Y785" i="6" s="1"/>
  <c r="BI785" i="6" s="1"/>
  <c r="Y786" i="6" s="1"/>
  <c r="BI786" i="6" s="1"/>
  <c r="Y787" i="6" s="1"/>
  <c r="BI787" i="6" s="1"/>
  <c r="Y788" i="6" s="1"/>
  <c r="BI788" i="6" s="1"/>
  <c r="Y789" i="6" s="1"/>
  <c r="BI789" i="6" s="1"/>
  <c r="Y790" i="6" s="1"/>
  <c r="BI790" i="6" s="1"/>
  <c r="Y791" i="6" s="1"/>
  <c r="BI791" i="6" s="1"/>
  <c r="Y792" i="6" s="1"/>
  <c r="BI792" i="6" s="1"/>
  <c r="Y793" i="6" s="1"/>
  <c r="BI793" i="6" s="1"/>
  <c r="Y794" i="6" s="1"/>
  <c r="BI794" i="6" s="1"/>
  <c r="Y795" i="6" s="1"/>
  <c r="BI795" i="6" s="1"/>
  <c r="Y796" i="6" s="1"/>
  <c r="BI796" i="6" s="1"/>
  <c r="Y797" i="6" s="1"/>
  <c r="BI797" i="6" s="1"/>
  <c r="X762" i="6"/>
  <c r="W762" i="6"/>
  <c r="V762" i="6"/>
  <c r="BF762" i="6" s="1"/>
  <c r="V763" i="6" s="1"/>
  <c r="BF763" i="6" s="1"/>
  <c r="U762" i="6"/>
  <c r="T762" i="6"/>
  <c r="BD762" i="6" s="1"/>
  <c r="T763" i="6" s="1"/>
  <c r="BD763" i="6" s="1"/>
  <c r="T764" i="6" s="1"/>
  <c r="BD764" i="6" s="1"/>
  <c r="T765" i="6" s="1"/>
  <c r="BD765" i="6" s="1"/>
  <c r="T766" i="6" s="1"/>
  <c r="S762" i="6"/>
  <c r="BC762" i="6" s="1"/>
  <c r="S763" i="6" s="1"/>
  <c r="BC763" i="6" s="1"/>
  <c r="S764" i="6" s="1"/>
  <c r="BC764" i="6" s="1"/>
  <c r="S765" i="6" s="1"/>
  <c r="BC765" i="6" s="1"/>
  <c r="S766" i="6" s="1"/>
  <c r="BC766" i="6" s="1"/>
  <c r="S767" i="6" s="1"/>
  <c r="BC767" i="6" s="1"/>
  <c r="S768" i="6" s="1"/>
  <c r="BC768" i="6" s="1"/>
  <c r="S769" i="6" s="1"/>
  <c r="BC769" i="6" s="1"/>
  <c r="S770" i="6" s="1"/>
  <c r="BC770" i="6" s="1"/>
  <c r="S771" i="6" s="1"/>
  <c r="BC771" i="6" s="1"/>
  <c r="S772" i="6" s="1"/>
  <c r="BC772" i="6" s="1"/>
  <c r="S773" i="6" s="1"/>
  <c r="BC773" i="6" s="1"/>
  <c r="S774" i="6" s="1"/>
  <c r="BC774" i="6" s="1"/>
  <c r="S775" i="6" s="1"/>
  <c r="BC775" i="6" s="1"/>
  <c r="S776" i="6" s="1"/>
  <c r="BC776" i="6" s="1"/>
  <c r="S777" i="6" s="1"/>
  <c r="BC777" i="6" s="1"/>
  <c r="S778" i="6" s="1"/>
  <c r="BC778" i="6" s="1"/>
  <c r="S779" i="6" s="1"/>
  <c r="BC779" i="6" s="1"/>
  <c r="S780" i="6" s="1"/>
  <c r="BC780" i="6" s="1"/>
  <c r="S781" i="6" s="1"/>
  <c r="BC781" i="6" s="1"/>
  <c r="S782" i="6" s="1"/>
  <c r="BC782" i="6" s="1"/>
  <c r="S783" i="6" s="1"/>
  <c r="BC783" i="6" s="1"/>
  <c r="S784" i="6" s="1"/>
  <c r="BC784" i="6" s="1"/>
  <c r="S785" i="6" s="1"/>
  <c r="BC785" i="6" s="1"/>
  <c r="S786" i="6" s="1"/>
  <c r="BC786" i="6" s="1"/>
  <c r="S787" i="6" s="1"/>
  <c r="BC787" i="6" s="1"/>
  <c r="S788" i="6" s="1"/>
  <c r="BC788" i="6" s="1"/>
  <c r="S789" i="6" s="1"/>
  <c r="BC789" i="6" s="1"/>
  <c r="S790" i="6" s="1"/>
  <c r="BC790" i="6" s="1"/>
  <c r="S791" i="6" s="1"/>
  <c r="BC791" i="6" s="1"/>
  <c r="S792" i="6" s="1"/>
  <c r="BC792" i="6" s="1"/>
  <c r="S793" i="6" s="1"/>
  <c r="BC793" i="6" s="1"/>
  <c r="S794" i="6" s="1"/>
  <c r="BC794" i="6" s="1"/>
  <c r="S795" i="6" s="1"/>
  <c r="BC795" i="6" s="1"/>
  <c r="S796" i="6" s="1"/>
  <c r="BC796" i="6" s="1"/>
  <c r="S797" i="6" s="1"/>
  <c r="BC797" i="6" s="1"/>
  <c r="R762" i="6"/>
  <c r="Q762" i="6"/>
  <c r="BA762" i="6" s="1"/>
  <c r="O762" i="6"/>
  <c r="AY762" i="6" s="1"/>
  <c r="O763" i="6" s="1"/>
  <c r="AY763" i="6" s="1"/>
  <c r="O764" i="6" s="1"/>
  <c r="AY764" i="6" s="1"/>
  <c r="O765" i="6" s="1"/>
  <c r="AY765" i="6" s="1"/>
  <c r="O766" i="6" s="1"/>
  <c r="AY766" i="6" s="1"/>
  <c r="O767" i="6" s="1"/>
  <c r="N762" i="6"/>
  <c r="AX762" i="6" s="1"/>
  <c r="N763" i="6" s="1"/>
  <c r="AX763" i="6" s="1"/>
  <c r="M762" i="6"/>
  <c r="L762" i="6"/>
  <c r="K762" i="6"/>
  <c r="H762" i="6"/>
  <c r="G762" i="6"/>
  <c r="AV762" i="6" s="1"/>
  <c r="L763" i="6" s="1"/>
  <c r="F762" i="6"/>
  <c r="AP762" i="6" s="1"/>
  <c r="E762" i="6"/>
  <c r="D762" i="6"/>
  <c r="C762" i="6"/>
  <c r="B762" i="6"/>
  <c r="A762" i="6"/>
  <c r="AO761" i="6"/>
  <c r="AE761" i="6"/>
  <c r="K761" i="6"/>
  <c r="I761" i="6"/>
  <c r="H761" i="6"/>
  <c r="G761" i="6"/>
  <c r="F761" i="6"/>
  <c r="J761" i="6" s="1"/>
  <c r="E761" i="6"/>
  <c r="D761" i="6"/>
  <c r="C761" i="6"/>
  <c r="B761" i="6"/>
  <c r="A761" i="6"/>
  <c r="AO760" i="6"/>
  <c r="H760" i="6"/>
  <c r="G760" i="6"/>
  <c r="F760" i="6"/>
  <c r="E760" i="6"/>
  <c r="D760" i="6"/>
  <c r="C760" i="6"/>
  <c r="B760" i="6"/>
  <c r="A760" i="6"/>
  <c r="AO759" i="6"/>
  <c r="Y759" i="6"/>
  <c r="BI759" i="6" s="1"/>
  <c r="Y760" i="6" s="1"/>
  <c r="BI760" i="6" s="1"/>
  <c r="Y761" i="6" s="1"/>
  <c r="BI761" i="6" s="1"/>
  <c r="I759" i="6"/>
  <c r="H759" i="6"/>
  <c r="G759" i="6"/>
  <c r="F759" i="6"/>
  <c r="AE759" i="6" s="1"/>
  <c r="E759" i="6"/>
  <c r="D759" i="6"/>
  <c r="C759" i="6"/>
  <c r="B759" i="6"/>
  <c r="A759" i="6"/>
  <c r="AO758" i="6"/>
  <c r="AE758" i="6"/>
  <c r="J758" i="6"/>
  <c r="I758" i="6"/>
  <c r="H758" i="6"/>
  <c r="G758" i="6"/>
  <c r="F758" i="6"/>
  <c r="AI758" i="6" s="1"/>
  <c r="E758" i="6"/>
  <c r="D758" i="6"/>
  <c r="C758" i="6"/>
  <c r="B758" i="6"/>
  <c r="A758" i="6"/>
  <c r="AO757" i="6"/>
  <c r="AI757" i="6"/>
  <c r="K757" i="6"/>
  <c r="J757" i="6"/>
  <c r="I757" i="6"/>
  <c r="H757" i="6"/>
  <c r="G757" i="6"/>
  <c r="F757" i="6"/>
  <c r="AE757" i="6" s="1"/>
  <c r="E757" i="6"/>
  <c r="D757" i="6"/>
  <c r="C757" i="6"/>
  <c r="B757" i="6"/>
  <c r="A757" i="6"/>
  <c r="AO756" i="6"/>
  <c r="J756" i="6"/>
  <c r="H756" i="6"/>
  <c r="G756" i="6"/>
  <c r="F756" i="6"/>
  <c r="E756" i="6"/>
  <c r="D756" i="6"/>
  <c r="C756" i="6"/>
  <c r="B756" i="6"/>
  <c r="A756" i="6"/>
  <c r="AO755" i="6"/>
  <c r="J755" i="6"/>
  <c r="H755" i="6"/>
  <c r="G755" i="6"/>
  <c r="F755" i="6"/>
  <c r="AI755" i="6" s="1"/>
  <c r="E755" i="6"/>
  <c r="D755" i="6"/>
  <c r="C755" i="6"/>
  <c r="B755" i="6"/>
  <c r="A755" i="6"/>
  <c r="AO754" i="6"/>
  <c r="AE754" i="6"/>
  <c r="K754" i="6"/>
  <c r="J754" i="6"/>
  <c r="I754" i="6"/>
  <c r="H754" i="6"/>
  <c r="G754" i="6"/>
  <c r="AI754" i="6" s="1"/>
  <c r="F754" i="6"/>
  <c r="E754" i="6"/>
  <c r="D754" i="6"/>
  <c r="C754" i="6"/>
  <c r="B754" i="6"/>
  <c r="A754" i="6"/>
  <c r="AO753" i="6"/>
  <c r="AE753" i="6"/>
  <c r="H753" i="6"/>
  <c r="G753" i="6"/>
  <c r="F753" i="6"/>
  <c r="AI753" i="6" s="1"/>
  <c r="E753" i="6"/>
  <c r="D753" i="6"/>
  <c r="C753" i="6"/>
  <c r="B753" i="6"/>
  <c r="A753" i="6"/>
  <c r="AO752" i="6"/>
  <c r="AE752" i="6"/>
  <c r="K752" i="6"/>
  <c r="J752" i="6"/>
  <c r="I752" i="6"/>
  <c r="H752" i="6"/>
  <c r="G752" i="6"/>
  <c r="F752" i="6"/>
  <c r="E752" i="6"/>
  <c r="D752" i="6"/>
  <c r="C752" i="6"/>
  <c r="B752" i="6"/>
  <c r="A752" i="6"/>
  <c r="AO751" i="6"/>
  <c r="AI751" i="6"/>
  <c r="K751" i="6"/>
  <c r="J751" i="6"/>
  <c r="I751" i="6"/>
  <c r="H751" i="6"/>
  <c r="G751" i="6"/>
  <c r="F751" i="6"/>
  <c r="AE751" i="6" s="1"/>
  <c r="E751" i="6"/>
  <c r="D751" i="6"/>
  <c r="C751" i="6"/>
  <c r="B751" i="6"/>
  <c r="A751" i="6"/>
  <c r="AO750" i="6"/>
  <c r="AI750" i="6"/>
  <c r="K750" i="6"/>
  <c r="I750" i="6"/>
  <c r="H750" i="6"/>
  <c r="G750" i="6"/>
  <c r="F750" i="6"/>
  <c r="J750" i="6" s="1"/>
  <c r="E750" i="6"/>
  <c r="D750" i="6"/>
  <c r="C750" i="6"/>
  <c r="B750" i="6"/>
  <c r="A750" i="6"/>
  <c r="AO749" i="6"/>
  <c r="AI749" i="6"/>
  <c r="AE749" i="6"/>
  <c r="K749" i="6"/>
  <c r="H749" i="6"/>
  <c r="G749" i="6"/>
  <c r="F749" i="6"/>
  <c r="E749" i="6"/>
  <c r="D749" i="6"/>
  <c r="C749" i="6"/>
  <c r="B749" i="6"/>
  <c r="A749" i="6"/>
  <c r="AT748" i="6"/>
  <c r="H748" i="6"/>
  <c r="G748" i="6"/>
  <c r="F748" i="6"/>
  <c r="E748" i="6"/>
  <c r="D748" i="6"/>
  <c r="C748" i="6"/>
  <c r="B748" i="6"/>
  <c r="A748" i="6"/>
  <c r="AT747" i="6"/>
  <c r="AO747" i="6"/>
  <c r="I747" i="6"/>
  <c r="H747" i="6"/>
  <c r="G747" i="6"/>
  <c r="F747" i="6"/>
  <c r="AE747" i="6" s="1"/>
  <c r="E747" i="6"/>
  <c r="D747" i="6"/>
  <c r="C747" i="6"/>
  <c r="B747" i="6"/>
  <c r="A747" i="6"/>
  <c r="AT746" i="6"/>
  <c r="AO746" i="6"/>
  <c r="AE746" i="6"/>
  <c r="J746" i="6"/>
  <c r="I746" i="6"/>
  <c r="H746" i="6"/>
  <c r="G746" i="6"/>
  <c r="F746" i="6"/>
  <c r="AI746" i="6" s="1"/>
  <c r="E746" i="6"/>
  <c r="D746" i="6"/>
  <c r="C746" i="6"/>
  <c r="B746" i="6"/>
  <c r="A746" i="6"/>
  <c r="AT745" i="6"/>
  <c r="AO745" i="6"/>
  <c r="AI745" i="6"/>
  <c r="K745" i="6"/>
  <c r="J745" i="6"/>
  <c r="I745" i="6"/>
  <c r="H745" i="6"/>
  <c r="G745" i="6"/>
  <c r="F745" i="6"/>
  <c r="E745" i="6"/>
  <c r="D745" i="6"/>
  <c r="C745" i="6"/>
  <c r="B745" i="6"/>
  <c r="A745" i="6"/>
  <c r="AT744" i="6"/>
  <c r="AO744" i="6"/>
  <c r="J744" i="6"/>
  <c r="H744" i="6"/>
  <c r="G744" i="6"/>
  <c r="F744" i="6"/>
  <c r="E744" i="6"/>
  <c r="D744" i="6"/>
  <c r="C744" i="6"/>
  <c r="B744" i="6"/>
  <c r="A744" i="6"/>
  <c r="AT743" i="6"/>
  <c r="AO743" i="6"/>
  <c r="J743" i="6"/>
  <c r="H743" i="6"/>
  <c r="AF743" i="6" s="1"/>
  <c r="G743" i="6"/>
  <c r="F743" i="6"/>
  <c r="AI743" i="6" s="1"/>
  <c r="E743" i="6"/>
  <c r="D743" i="6"/>
  <c r="C743" i="6"/>
  <c r="B743" i="6"/>
  <c r="A743" i="6"/>
  <c r="AT742" i="6"/>
  <c r="AE742" i="6"/>
  <c r="K742" i="6"/>
  <c r="J742" i="6"/>
  <c r="I742" i="6"/>
  <c r="H742" i="6"/>
  <c r="G742" i="6"/>
  <c r="AI742" i="6" s="1"/>
  <c r="F742" i="6"/>
  <c r="E742" i="6"/>
  <c r="D742" i="6"/>
  <c r="C742" i="6"/>
  <c r="B742" i="6"/>
  <c r="A742" i="6"/>
  <c r="AT741" i="6"/>
  <c r="AO741" i="6"/>
  <c r="AF741" i="6"/>
  <c r="AE741" i="6"/>
  <c r="H741" i="6"/>
  <c r="G741" i="6"/>
  <c r="F741" i="6"/>
  <c r="AI741" i="6" s="1"/>
  <c r="E741" i="6"/>
  <c r="D741" i="6"/>
  <c r="C741" i="6"/>
  <c r="B741" i="6"/>
  <c r="A741" i="6"/>
  <c r="AT740" i="6"/>
  <c r="AO740" i="6"/>
  <c r="AF740" i="6"/>
  <c r="AE740" i="6"/>
  <c r="K740" i="6"/>
  <c r="J740" i="6"/>
  <c r="I740" i="6"/>
  <c r="H740" i="6"/>
  <c r="G740" i="6"/>
  <c r="F740" i="6"/>
  <c r="E740" i="6"/>
  <c r="D740" i="6"/>
  <c r="C740" i="6"/>
  <c r="B740" i="6"/>
  <c r="A740" i="6"/>
  <c r="AT739" i="6"/>
  <c r="AO739" i="6"/>
  <c r="AI739" i="6"/>
  <c r="AF739" i="6"/>
  <c r="K739" i="6"/>
  <c r="J739" i="6"/>
  <c r="I739" i="6"/>
  <c r="H739" i="6"/>
  <c r="G739" i="6"/>
  <c r="F739" i="6"/>
  <c r="AE739" i="6" s="1"/>
  <c r="E739" i="6"/>
  <c r="D739" i="6"/>
  <c r="C739" i="6"/>
  <c r="B739" i="6"/>
  <c r="A739" i="6"/>
  <c r="AT738" i="6"/>
  <c r="AO738" i="6"/>
  <c r="K738" i="6"/>
  <c r="I738" i="6"/>
  <c r="H738" i="6"/>
  <c r="G738" i="6"/>
  <c r="F738" i="6"/>
  <c r="E738" i="6"/>
  <c r="D738" i="6"/>
  <c r="C738" i="6"/>
  <c r="B738" i="6"/>
  <c r="A738" i="6"/>
  <c r="AT737" i="6"/>
  <c r="AI737" i="6"/>
  <c r="AE737" i="6"/>
  <c r="K737" i="6"/>
  <c r="H737" i="6"/>
  <c r="G737" i="6"/>
  <c r="F737" i="6"/>
  <c r="E737" i="6"/>
  <c r="D737" i="6"/>
  <c r="C737" i="6"/>
  <c r="B737" i="6"/>
  <c r="A737" i="6"/>
  <c r="AT736" i="6"/>
  <c r="H736" i="6"/>
  <c r="G736" i="6"/>
  <c r="F736" i="6"/>
  <c r="E736" i="6"/>
  <c r="D736" i="6"/>
  <c r="C736" i="6"/>
  <c r="B736" i="6"/>
  <c r="A736" i="6"/>
  <c r="AT735" i="6"/>
  <c r="AO735" i="6"/>
  <c r="I735" i="6"/>
  <c r="H735" i="6"/>
  <c r="AF735" i="6" s="1"/>
  <c r="G735" i="6"/>
  <c r="F735" i="6"/>
  <c r="E735" i="6"/>
  <c r="D735" i="6"/>
  <c r="C735" i="6"/>
  <c r="B735" i="6"/>
  <c r="A735" i="6"/>
  <c r="AT734" i="6"/>
  <c r="AO734" i="6"/>
  <c r="AE734" i="6"/>
  <c r="J734" i="6"/>
  <c r="I734" i="6"/>
  <c r="H734" i="6"/>
  <c r="G734" i="6"/>
  <c r="F734" i="6"/>
  <c r="E734" i="6"/>
  <c r="D734" i="6"/>
  <c r="C734" i="6"/>
  <c r="B734" i="6"/>
  <c r="A734" i="6"/>
  <c r="AT733" i="6"/>
  <c r="AO733" i="6"/>
  <c r="AI733" i="6"/>
  <c r="AF733" i="6"/>
  <c r="K733" i="6"/>
  <c r="J733" i="6"/>
  <c r="I733" i="6"/>
  <c r="H733" i="6"/>
  <c r="G733" i="6"/>
  <c r="F733" i="6"/>
  <c r="AE733" i="6" s="1"/>
  <c r="E733" i="6"/>
  <c r="D733" i="6"/>
  <c r="C733" i="6"/>
  <c r="B733" i="6"/>
  <c r="A733" i="6"/>
  <c r="AT732" i="6"/>
  <c r="AO732" i="6"/>
  <c r="J732" i="6"/>
  <c r="I732" i="6"/>
  <c r="H732" i="6"/>
  <c r="AF732" i="6" s="1"/>
  <c r="G732" i="6"/>
  <c r="F732" i="6"/>
  <c r="E732" i="6"/>
  <c r="D732" i="6"/>
  <c r="C732" i="6"/>
  <c r="B732" i="6"/>
  <c r="A732" i="6"/>
  <c r="AT731" i="6"/>
  <c r="J731" i="6"/>
  <c r="H731" i="6"/>
  <c r="G731" i="6"/>
  <c r="F731" i="6"/>
  <c r="AI731" i="6" s="1"/>
  <c r="E731" i="6"/>
  <c r="D731" i="6"/>
  <c r="C731" i="6"/>
  <c r="B731" i="6"/>
  <c r="A731" i="6"/>
  <c r="AT730" i="6"/>
  <c r="AI730" i="6"/>
  <c r="K730" i="6"/>
  <c r="H730" i="6"/>
  <c r="G730" i="6"/>
  <c r="F730" i="6"/>
  <c r="AE730" i="6" s="1"/>
  <c r="E730" i="6"/>
  <c r="D730" i="6"/>
  <c r="C730" i="6"/>
  <c r="B730" i="6"/>
  <c r="A730" i="6"/>
  <c r="BB729" i="6"/>
  <c r="R730" i="6" s="1"/>
  <c r="BB730" i="6" s="1"/>
  <c r="R731" i="6" s="1"/>
  <c r="BB731" i="6" s="1"/>
  <c r="R732" i="6" s="1"/>
  <c r="BB732" i="6" s="1"/>
  <c r="R733" i="6" s="1"/>
  <c r="BB733" i="6" s="1"/>
  <c r="R734" i="6" s="1"/>
  <c r="BB734" i="6" s="1"/>
  <c r="R735" i="6" s="1"/>
  <c r="BB735" i="6" s="1"/>
  <c r="R736" i="6" s="1"/>
  <c r="BB736" i="6" s="1"/>
  <c r="R737" i="6" s="1"/>
  <c r="BB737" i="6" s="1"/>
  <c r="R738" i="6" s="1"/>
  <c r="BB738" i="6" s="1"/>
  <c r="R739" i="6" s="1"/>
  <c r="BB739" i="6" s="1"/>
  <c r="R740" i="6" s="1"/>
  <c r="BB740" i="6" s="1"/>
  <c r="R741" i="6" s="1"/>
  <c r="BB741" i="6" s="1"/>
  <c r="R742" i="6" s="1"/>
  <c r="BB742" i="6" s="1"/>
  <c r="R743" i="6" s="1"/>
  <c r="BB743" i="6" s="1"/>
  <c r="R744" i="6" s="1"/>
  <c r="BB744" i="6" s="1"/>
  <c r="R745" i="6" s="1"/>
  <c r="BB745" i="6" s="1"/>
  <c r="R746" i="6" s="1"/>
  <c r="BB746" i="6" s="1"/>
  <c r="R747" i="6" s="1"/>
  <c r="BB747" i="6" s="1"/>
  <c r="R748" i="6" s="1"/>
  <c r="BB748" i="6" s="1"/>
  <c r="R749" i="6" s="1"/>
  <c r="BB749" i="6" s="1"/>
  <c r="R750" i="6" s="1"/>
  <c r="BB750" i="6" s="1"/>
  <c r="R751" i="6" s="1"/>
  <c r="BB751" i="6" s="1"/>
  <c r="R752" i="6" s="1"/>
  <c r="BB752" i="6" s="1"/>
  <c r="R753" i="6" s="1"/>
  <c r="BB753" i="6" s="1"/>
  <c r="R754" i="6" s="1"/>
  <c r="BB754" i="6" s="1"/>
  <c r="R755" i="6" s="1"/>
  <c r="BB755" i="6" s="1"/>
  <c r="R756" i="6" s="1"/>
  <c r="BB756" i="6" s="1"/>
  <c r="R757" i="6" s="1"/>
  <c r="BB757" i="6" s="1"/>
  <c r="R758" i="6" s="1"/>
  <c r="BB758" i="6" s="1"/>
  <c r="R759" i="6" s="1"/>
  <c r="BB759" i="6" s="1"/>
  <c r="R760" i="6" s="1"/>
  <c r="BB760" i="6" s="1"/>
  <c r="R761" i="6" s="1"/>
  <c r="BB761" i="6" s="1"/>
  <c r="AT729" i="6"/>
  <c r="AO729" i="6"/>
  <c r="H729" i="6"/>
  <c r="G729" i="6"/>
  <c r="F729" i="6"/>
  <c r="AE729" i="6" s="1"/>
  <c r="E729" i="6"/>
  <c r="D729" i="6"/>
  <c r="C729" i="6"/>
  <c r="B729" i="6"/>
  <c r="A729" i="6"/>
  <c r="AT728" i="6"/>
  <c r="AO728" i="6"/>
  <c r="AF728" i="6"/>
  <c r="AE728" i="6"/>
  <c r="K728" i="6"/>
  <c r="J728" i="6"/>
  <c r="I728" i="6"/>
  <c r="H728" i="6"/>
  <c r="G728" i="6"/>
  <c r="F728" i="6"/>
  <c r="E728" i="6"/>
  <c r="D728" i="6"/>
  <c r="C728" i="6"/>
  <c r="B728" i="6"/>
  <c r="A728" i="6"/>
  <c r="BD727" i="6"/>
  <c r="T728" i="6" s="1"/>
  <c r="BD728" i="6" s="1"/>
  <c r="T729" i="6" s="1"/>
  <c r="BD729" i="6" s="1"/>
  <c r="T730" i="6" s="1"/>
  <c r="AT727" i="6"/>
  <c r="AO727" i="6"/>
  <c r="AI727" i="6"/>
  <c r="AF727" i="6"/>
  <c r="AC727" i="6"/>
  <c r="BM727" i="6" s="1"/>
  <c r="AC728" i="6" s="1"/>
  <c r="BM728" i="6" s="1"/>
  <c r="AC729" i="6" s="1"/>
  <c r="BM729" i="6" s="1"/>
  <c r="AC730" i="6" s="1"/>
  <c r="BM730" i="6" s="1"/>
  <c r="AC731" i="6" s="1"/>
  <c r="BM731" i="6" s="1"/>
  <c r="AC732" i="6" s="1"/>
  <c r="BM732" i="6" s="1"/>
  <c r="AC733" i="6" s="1"/>
  <c r="BM733" i="6" s="1"/>
  <c r="AC734" i="6" s="1"/>
  <c r="BM734" i="6" s="1"/>
  <c r="AC735" i="6" s="1"/>
  <c r="BM735" i="6" s="1"/>
  <c r="AC736" i="6" s="1"/>
  <c r="BM736" i="6" s="1"/>
  <c r="AC737" i="6" s="1"/>
  <c r="BM737" i="6" s="1"/>
  <c r="AC738" i="6" s="1"/>
  <c r="BM738" i="6" s="1"/>
  <c r="AC739" i="6" s="1"/>
  <c r="BM739" i="6" s="1"/>
  <c r="AC740" i="6" s="1"/>
  <c r="BM740" i="6" s="1"/>
  <c r="AC741" i="6" s="1"/>
  <c r="BM741" i="6" s="1"/>
  <c r="AC742" i="6" s="1"/>
  <c r="BM742" i="6" s="1"/>
  <c r="AC743" i="6" s="1"/>
  <c r="BM743" i="6" s="1"/>
  <c r="AC744" i="6" s="1"/>
  <c r="BM744" i="6" s="1"/>
  <c r="AC745" i="6" s="1"/>
  <c r="BM745" i="6" s="1"/>
  <c r="AC746" i="6" s="1"/>
  <c r="BM746" i="6" s="1"/>
  <c r="AC747" i="6" s="1"/>
  <c r="BM747" i="6" s="1"/>
  <c r="AC748" i="6" s="1"/>
  <c r="BM748" i="6" s="1"/>
  <c r="AC749" i="6" s="1"/>
  <c r="BM749" i="6" s="1"/>
  <c r="AC750" i="6" s="1"/>
  <c r="BM750" i="6" s="1"/>
  <c r="AC751" i="6" s="1"/>
  <c r="BM751" i="6" s="1"/>
  <c r="AC752" i="6" s="1"/>
  <c r="BM752" i="6" s="1"/>
  <c r="AC753" i="6" s="1"/>
  <c r="BM753" i="6" s="1"/>
  <c r="AC754" i="6" s="1"/>
  <c r="BM754" i="6" s="1"/>
  <c r="AC755" i="6" s="1"/>
  <c r="BM755" i="6" s="1"/>
  <c r="AC756" i="6" s="1"/>
  <c r="BM756" i="6" s="1"/>
  <c r="AC757" i="6" s="1"/>
  <c r="BM757" i="6" s="1"/>
  <c r="AC758" i="6" s="1"/>
  <c r="BM758" i="6" s="1"/>
  <c r="AC759" i="6" s="1"/>
  <c r="BM759" i="6" s="1"/>
  <c r="AC760" i="6" s="1"/>
  <c r="BM760" i="6" s="1"/>
  <c r="AC761" i="6" s="1"/>
  <c r="BM761" i="6" s="1"/>
  <c r="T727" i="6"/>
  <c r="Q727" i="6"/>
  <c r="K727" i="6"/>
  <c r="J727" i="6"/>
  <c r="I727" i="6"/>
  <c r="H727" i="6"/>
  <c r="G727" i="6"/>
  <c r="F727" i="6"/>
  <c r="AE727" i="6" s="1"/>
  <c r="E727" i="6"/>
  <c r="D727" i="6"/>
  <c r="C727" i="6"/>
  <c r="B727" i="6"/>
  <c r="A727" i="6"/>
  <c r="BN726" i="6"/>
  <c r="BO726" i="6" s="1"/>
  <c r="BN727" i="6" s="1"/>
  <c r="BO727" i="6" s="1"/>
  <c r="BN728" i="6" s="1"/>
  <c r="BO728" i="6" s="1"/>
  <c r="BN729" i="6" s="1"/>
  <c r="BO729" i="6" s="1"/>
  <c r="BN730" i="6" s="1"/>
  <c r="BO730" i="6" s="1"/>
  <c r="BN731" i="6" s="1"/>
  <c r="BO731" i="6" s="1"/>
  <c r="BN732" i="6" s="1"/>
  <c r="BO732" i="6" s="1"/>
  <c r="BN733" i="6" s="1"/>
  <c r="BO733" i="6" s="1"/>
  <c r="BN734" i="6" s="1"/>
  <c r="BO734" i="6" s="1"/>
  <c r="BN735" i="6" s="1"/>
  <c r="BO735" i="6" s="1"/>
  <c r="BN736" i="6" s="1"/>
  <c r="BO736" i="6" s="1"/>
  <c r="BN737" i="6" s="1"/>
  <c r="BO737" i="6" s="1"/>
  <c r="BN738" i="6" s="1"/>
  <c r="BO738" i="6" s="1"/>
  <c r="BN739" i="6" s="1"/>
  <c r="BO739" i="6" s="1"/>
  <c r="BN740" i="6" s="1"/>
  <c r="BE726" i="6"/>
  <c r="BE727" i="6" s="1"/>
  <c r="AY726" i="6"/>
  <c r="O727" i="6" s="1"/>
  <c r="AY727" i="6" s="1"/>
  <c r="O728" i="6" s="1"/>
  <c r="AY728" i="6" s="1"/>
  <c r="O729" i="6" s="1"/>
  <c r="AY729" i="6" s="1"/>
  <c r="O730" i="6" s="1"/>
  <c r="AY730" i="6" s="1"/>
  <c r="O731" i="6" s="1"/>
  <c r="AY731" i="6" s="1"/>
  <c r="O732" i="6" s="1"/>
  <c r="AY732" i="6" s="1"/>
  <c r="O733" i="6" s="1"/>
  <c r="AY733" i="6" s="1"/>
  <c r="O734" i="6" s="1"/>
  <c r="AY734" i="6" s="1"/>
  <c r="O735" i="6" s="1"/>
  <c r="AY735" i="6" s="1"/>
  <c r="O736" i="6" s="1"/>
  <c r="AY736" i="6" s="1"/>
  <c r="O737" i="6" s="1"/>
  <c r="AY737" i="6" s="1"/>
  <c r="O738" i="6" s="1"/>
  <c r="AY738" i="6" s="1"/>
  <c r="O739" i="6" s="1"/>
  <c r="AY739" i="6" s="1"/>
  <c r="O740" i="6" s="1"/>
  <c r="AY740" i="6" s="1"/>
  <c r="O741" i="6" s="1"/>
  <c r="AY741" i="6" s="1"/>
  <c r="O742" i="6" s="1"/>
  <c r="AY742" i="6" s="1"/>
  <c r="O743" i="6" s="1"/>
  <c r="AY743" i="6" s="1"/>
  <c r="O744" i="6" s="1"/>
  <c r="AY744" i="6" s="1"/>
  <c r="O745" i="6" s="1"/>
  <c r="AY745" i="6" s="1"/>
  <c r="O746" i="6" s="1"/>
  <c r="AY746" i="6" s="1"/>
  <c r="O747" i="6" s="1"/>
  <c r="AY747" i="6" s="1"/>
  <c r="O748" i="6" s="1"/>
  <c r="AY748" i="6" s="1"/>
  <c r="O749" i="6" s="1"/>
  <c r="AY749" i="6" s="1"/>
  <c r="O750" i="6" s="1"/>
  <c r="AY750" i="6" s="1"/>
  <c r="O751" i="6" s="1"/>
  <c r="AY751" i="6" s="1"/>
  <c r="O752" i="6" s="1"/>
  <c r="AY752" i="6" s="1"/>
  <c r="O753" i="6" s="1"/>
  <c r="AY753" i="6" s="1"/>
  <c r="O754" i="6" s="1"/>
  <c r="AY754" i="6" s="1"/>
  <c r="O755" i="6" s="1"/>
  <c r="AY755" i="6" s="1"/>
  <c r="O756" i="6" s="1"/>
  <c r="AY756" i="6" s="1"/>
  <c r="O757" i="6" s="1"/>
  <c r="AY757" i="6" s="1"/>
  <c r="O758" i="6" s="1"/>
  <c r="AY758" i="6" s="1"/>
  <c r="O759" i="6" s="1"/>
  <c r="AY759" i="6" s="1"/>
  <c r="O760" i="6" s="1"/>
  <c r="AY760" i="6" s="1"/>
  <c r="O761" i="6" s="1"/>
  <c r="AY761" i="6" s="1"/>
  <c r="AT726" i="6"/>
  <c r="AO726" i="6"/>
  <c r="AI726" i="6"/>
  <c r="AF726" i="6"/>
  <c r="AC726" i="6"/>
  <c r="BM726" i="6" s="1"/>
  <c r="AB726" i="6"/>
  <c r="BL726" i="6" s="1"/>
  <c r="AB727" i="6" s="1"/>
  <c r="BL727" i="6" s="1"/>
  <c r="AB728" i="6" s="1"/>
  <c r="BL728" i="6" s="1"/>
  <c r="AB729" i="6" s="1"/>
  <c r="BL729" i="6" s="1"/>
  <c r="AB730" i="6" s="1"/>
  <c r="BL730" i="6" s="1"/>
  <c r="AB731" i="6" s="1"/>
  <c r="BL731" i="6" s="1"/>
  <c r="AB732" i="6" s="1"/>
  <c r="BL732" i="6" s="1"/>
  <c r="AB733" i="6" s="1"/>
  <c r="BL733" i="6" s="1"/>
  <c r="AB734" i="6" s="1"/>
  <c r="BL734" i="6" s="1"/>
  <c r="AB735" i="6" s="1"/>
  <c r="BL735" i="6" s="1"/>
  <c r="AB736" i="6" s="1"/>
  <c r="BL736" i="6" s="1"/>
  <c r="AB737" i="6" s="1"/>
  <c r="BL737" i="6" s="1"/>
  <c r="AB738" i="6" s="1"/>
  <c r="BL738" i="6" s="1"/>
  <c r="AB739" i="6" s="1"/>
  <c r="BL739" i="6" s="1"/>
  <c r="AB740" i="6" s="1"/>
  <c r="BL740" i="6" s="1"/>
  <c r="AB741" i="6" s="1"/>
  <c r="BL741" i="6" s="1"/>
  <c r="AB742" i="6" s="1"/>
  <c r="BL742" i="6" s="1"/>
  <c r="AB743" i="6" s="1"/>
  <c r="BL743" i="6" s="1"/>
  <c r="AB744" i="6" s="1"/>
  <c r="BL744" i="6" s="1"/>
  <c r="AB745" i="6" s="1"/>
  <c r="BL745" i="6" s="1"/>
  <c r="AB746" i="6" s="1"/>
  <c r="BL746" i="6" s="1"/>
  <c r="AB747" i="6" s="1"/>
  <c r="BL747" i="6" s="1"/>
  <c r="AB748" i="6" s="1"/>
  <c r="BL748" i="6" s="1"/>
  <c r="AB749" i="6" s="1"/>
  <c r="BL749" i="6" s="1"/>
  <c r="AB750" i="6" s="1"/>
  <c r="BL750" i="6" s="1"/>
  <c r="AB751" i="6" s="1"/>
  <c r="BL751" i="6" s="1"/>
  <c r="AB752" i="6" s="1"/>
  <c r="BL752" i="6" s="1"/>
  <c r="AB753" i="6" s="1"/>
  <c r="BL753" i="6" s="1"/>
  <c r="AB754" i="6" s="1"/>
  <c r="BL754" i="6" s="1"/>
  <c r="AB755" i="6" s="1"/>
  <c r="BL755" i="6" s="1"/>
  <c r="AB756" i="6" s="1"/>
  <c r="BL756" i="6" s="1"/>
  <c r="AB757" i="6" s="1"/>
  <c r="BL757" i="6" s="1"/>
  <c r="AB758" i="6" s="1"/>
  <c r="BL758" i="6" s="1"/>
  <c r="AB759" i="6" s="1"/>
  <c r="BL759" i="6" s="1"/>
  <c r="AB760" i="6" s="1"/>
  <c r="BL760" i="6" s="1"/>
  <c r="AB761" i="6" s="1"/>
  <c r="BL761" i="6" s="1"/>
  <c r="AA726" i="6"/>
  <c r="BK726" i="6" s="1"/>
  <c r="AA727" i="6" s="1"/>
  <c r="BK727" i="6" s="1"/>
  <c r="AA728" i="6" s="1"/>
  <c r="BK728" i="6" s="1"/>
  <c r="AA729" i="6" s="1"/>
  <c r="BK729" i="6" s="1"/>
  <c r="AA730" i="6" s="1"/>
  <c r="BK730" i="6" s="1"/>
  <c r="AA731" i="6" s="1"/>
  <c r="BK731" i="6" s="1"/>
  <c r="AA732" i="6" s="1"/>
  <c r="BK732" i="6" s="1"/>
  <c r="AA733" i="6" s="1"/>
  <c r="BK733" i="6" s="1"/>
  <c r="AA734" i="6" s="1"/>
  <c r="BK734" i="6" s="1"/>
  <c r="AA735" i="6" s="1"/>
  <c r="BK735" i="6" s="1"/>
  <c r="AA736" i="6" s="1"/>
  <c r="BK736" i="6" s="1"/>
  <c r="AA737" i="6" s="1"/>
  <c r="BK737" i="6" s="1"/>
  <c r="AA738" i="6" s="1"/>
  <c r="BK738" i="6" s="1"/>
  <c r="AA739" i="6" s="1"/>
  <c r="BK739" i="6" s="1"/>
  <c r="AA740" i="6" s="1"/>
  <c r="BK740" i="6" s="1"/>
  <c r="AA741" i="6" s="1"/>
  <c r="BK741" i="6" s="1"/>
  <c r="AA742" i="6" s="1"/>
  <c r="BK742" i="6" s="1"/>
  <c r="AA743" i="6" s="1"/>
  <c r="BK743" i="6" s="1"/>
  <c r="AA744" i="6" s="1"/>
  <c r="BK744" i="6" s="1"/>
  <c r="AA745" i="6" s="1"/>
  <c r="BK745" i="6" s="1"/>
  <c r="AA746" i="6" s="1"/>
  <c r="BK746" i="6" s="1"/>
  <c r="AA747" i="6" s="1"/>
  <c r="BK747" i="6" s="1"/>
  <c r="AA748" i="6" s="1"/>
  <c r="BK748" i="6" s="1"/>
  <c r="AA749" i="6" s="1"/>
  <c r="BK749" i="6" s="1"/>
  <c r="AA750" i="6" s="1"/>
  <c r="BK750" i="6" s="1"/>
  <c r="AA751" i="6" s="1"/>
  <c r="BK751" i="6" s="1"/>
  <c r="AA752" i="6" s="1"/>
  <c r="BK752" i="6" s="1"/>
  <c r="AA753" i="6" s="1"/>
  <c r="BK753" i="6" s="1"/>
  <c r="AA754" i="6" s="1"/>
  <c r="BK754" i="6" s="1"/>
  <c r="AA755" i="6" s="1"/>
  <c r="BK755" i="6" s="1"/>
  <c r="AA756" i="6" s="1"/>
  <c r="BK756" i="6" s="1"/>
  <c r="AA757" i="6" s="1"/>
  <c r="BK757" i="6" s="1"/>
  <c r="AA758" i="6" s="1"/>
  <c r="BK758" i="6" s="1"/>
  <c r="AA759" i="6" s="1"/>
  <c r="BK759" i="6" s="1"/>
  <c r="AA760" i="6" s="1"/>
  <c r="BK760" i="6" s="1"/>
  <c r="AA761" i="6" s="1"/>
  <c r="BK761" i="6" s="1"/>
  <c r="Z726" i="6"/>
  <c r="BJ726" i="6" s="1"/>
  <c r="Z727" i="6" s="1"/>
  <c r="BJ727" i="6" s="1"/>
  <c r="Z728" i="6" s="1"/>
  <c r="BJ728" i="6" s="1"/>
  <c r="Z729" i="6" s="1"/>
  <c r="BJ729" i="6" s="1"/>
  <c r="Z730" i="6" s="1"/>
  <c r="BJ730" i="6" s="1"/>
  <c r="Z731" i="6" s="1"/>
  <c r="BJ731" i="6" s="1"/>
  <c r="Z732" i="6" s="1"/>
  <c r="BJ732" i="6" s="1"/>
  <c r="Z733" i="6" s="1"/>
  <c r="BJ733" i="6" s="1"/>
  <c r="Z734" i="6" s="1"/>
  <c r="BJ734" i="6" s="1"/>
  <c r="Z735" i="6" s="1"/>
  <c r="BJ735" i="6" s="1"/>
  <c r="Z736" i="6" s="1"/>
  <c r="BJ736" i="6" s="1"/>
  <c r="Z737" i="6" s="1"/>
  <c r="BJ737" i="6" s="1"/>
  <c r="Z738" i="6" s="1"/>
  <c r="BJ738" i="6" s="1"/>
  <c r="Z739" i="6" s="1"/>
  <c r="BJ739" i="6" s="1"/>
  <c r="Z740" i="6" s="1"/>
  <c r="BJ740" i="6" s="1"/>
  <c r="Z741" i="6" s="1"/>
  <c r="BJ741" i="6" s="1"/>
  <c r="Z742" i="6" s="1"/>
  <c r="BJ742" i="6" s="1"/>
  <c r="Z743" i="6" s="1"/>
  <c r="BJ743" i="6" s="1"/>
  <c r="Z744" i="6" s="1"/>
  <c r="BJ744" i="6" s="1"/>
  <c r="Z745" i="6" s="1"/>
  <c r="BJ745" i="6" s="1"/>
  <c r="Z746" i="6" s="1"/>
  <c r="BJ746" i="6" s="1"/>
  <c r="Z747" i="6" s="1"/>
  <c r="BJ747" i="6" s="1"/>
  <c r="Z748" i="6" s="1"/>
  <c r="BJ748" i="6" s="1"/>
  <c r="Z749" i="6" s="1"/>
  <c r="BJ749" i="6" s="1"/>
  <c r="Z750" i="6" s="1"/>
  <c r="BJ750" i="6" s="1"/>
  <c r="Z751" i="6" s="1"/>
  <c r="BJ751" i="6" s="1"/>
  <c r="Z752" i="6" s="1"/>
  <c r="BJ752" i="6" s="1"/>
  <c r="Z753" i="6" s="1"/>
  <c r="BJ753" i="6" s="1"/>
  <c r="Z754" i="6" s="1"/>
  <c r="BJ754" i="6" s="1"/>
  <c r="Z755" i="6" s="1"/>
  <c r="BJ755" i="6" s="1"/>
  <c r="Z756" i="6" s="1"/>
  <c r="BJ756" i="6" s="1"/>
  <c r="Z757" i="6" s="1"/>
  <c r="BJ757" i="6" s="1"/>
  <c r="Z758" i="6" s="1"/>
  <c r="BJ758" i="6" s="1"/>
  <c r="Z759" i="6" s="1"/>
  <c r="BJ759" i="6" s="1"/>
  <c r="Z760" i="6" s="1"/>
  <c r="BJ760" i="6" s="1"/>
  <c r="Z761" i="6" s="1"/>
  <c r="BJ761" i="6" s="1"/>
  <c r="Y726" i="6"/>
  <c r="BI726" i="6" s="1"/>
  <c r="Y727" i="6" s="1"/>
  <c r="BI727" i="6" s="1"/>
  <c r="Y728" i="6" s="1"/>
  <c r="BI728" i="6" s="1"/>
  <c r="Y729" i="6" s="1"/>
  <c r="BI729" i="6" s="1"/>
  <c r="Y730" i="6" s="1"/>
  <c r="BI730" i="6" s="1"/>
  <c r="Y731" i="6" s="1"/>
  <c r="BI731" i="6" s="1"/>
  <c r="Y732" i="6" s="1"/>
  <c r="BI732" i="6" s="1"/>
  <c r="Y733" i="6" s="1"/>
  <c r="BI733" i="6" s="1"/>
  <c r="Y734" i="6" s="1"/>
  <c r="BI734" i="6" s="1"/>
  <c r="Y735" i="6" s="1"/>
  <c r="BI735" i="6" s="1"/>
  <c r="Y736" i="6" s="1"/>
  <c r="BI736" i="6" s="1"/>
  <c r="Y737" i="6" s="1"/>
  <c r="BI737" i="6" s="1"/>
  <c r="Y738" i="6" s="1"/>
  <c r="BI738" i="6" s="1"/>
  <c r="Y739" i="6" s="1"/>
  <c r="BI739" i="6" s="1"/>
  <c r="Y740" i="6" s="1"/>
  <c r="BI740" i="6" s="1"/>
  <c r="Y741" i="6" s="1"/>
  <c r="BI741" i="6" s="1"/>
  <c r="Y742" i="6" s="1"/>
  <c r="BI742" i="6" s="1"/>
  <c r="Y743" i="6" s="1"/>
  <c r="BI743" i="6" s="1"/>
  <c r="Y744" i="6" s="1"/>
  <c r="BI744" i="6" s="1"/>
  <c r="Y745" i="6" s="1"/>
  <c r="BI745" i="6" s="1"/>
  <c r="Y746" i="6" s="1"/>
  <c r="BI746" i="6" s="1"/>
  <c r="Y747" i="6" s="1"/>
  <c r="BI747" i="6" s="1"/>
  <c r="Y748" i="6" s="1"/>
  <c r="BI748" i="6" s="1"/>
  <c r="Y749" i="6" s="1"/>
  <c r="BI749" i="6" s="1"/>
  <c r="Y750" i="6" s="1"/>
  <c r="BI750" i="6" s="1"/>
  <c r="Y751" i="6" s="1"/>
  <c r="BI751" i="6" s="1"/>
  <c r="Y752" i="6" s="1"/>
  <c r="BI752" i="6" s="1"/>
  <c r="Y753" i="6" s="1"/>
  <c r="BI753" i="6" s="1"/>
  <c r="Y754" i="6" s="1"/>
  <c r="BI754" i="6" s="1"/>
  <c r="Y755" i="6" s="1"/>
  <c r="BI755" i="6" s="1"/>
  <c r="Y756" i="6" s="1"/>
  <c r="BI756" i="6" s="1"/>
  <c r="Y757" i="6" s="1"/>
  <c r="BI757" i="6" s="1"/>
  <c r="Y758" i="6" s="1"/>
  <c r="BI758" i="6" s="1"/>
  <c r="X726" i="6"/>
  <c r="BH726" i="6" s="1"/>
  <c r="X727" i="6" s="1"/>
  <c r="BH727" i="6" s="1"/>
  <c r="X728" i="6" s="1"/>
  <c r="BH728" i="6" s="1"/>
  <c r="X729" i="6" s="1"/>
  <c r="BH729" i="6" s="1"/>
  <c r="X730" i="6" s="1"/>
  <c r="BH730" i="6" s="1"/>
  <c r="X731" i="6" s="1"/>
  <c r="BH731" i="6" s="1"/>
  <c r="X732" i="6" s="1"/>
  <c r="BH732" i="6" s="1"/>
  <c r="X733" i="6" s="1"/>
  <c r="BH733" i="6" s="1"/>
  <c r="X734" i="6" s="1"/>
  <c r="BH734" i="6" s="1"/>
  <c r="X735" i="6" s="1"/>
  <c r="BH735" i="6" s="1"/>
  <c r="X736" i="6" s="1"/>
  <c r="BH736" i="6" s="1"/>
  <c r="X737" i="6" s="1"/>
  <c r="BH737" i="6" s="1"/>
  <c r="X738" i="6" s="1"/>
  <c r="BH738" i="6" s="1"/>
  <c r="X739" i="6" s="1"/>
  <c r="BH739" i="6" s="1"/>
  <c r="X740" i="6" s="1"/>
  <c r="BH740" i="6" s="1"/>
  <c r="X741" i="6" s="1"/>
  <c r="BH741" i="6" s="1"/>
  <c r="X742" i="6" s="1"/>
  <c r="BH742" i="6" s="1"/>
  <c r="X743" i="6" s="1"/>
  <c r="BH743" i="6" s="1"/>
  <c r="X744" i="6" s="1"/>
  <c r="BH744" i="6" s="1"/>
  <c r="X745" i="6" s="1"/>
  <c r="BH745" i="6" s="1"/>
  <c r="X746" i="6" s="1"/>
  <c r="BH746" i="6" s="1"/>
  <c r="X747" i="6" s="1"/>
  <c r="BH747" i="6" s="1"/>
  <c r="X748" i="6" s="1"/>
  <c r="BH748" i="6" s="1"/>
  <c r="X749" i="6" s="1"/>
  <c r="BH749" i="6" s="1"/>
  <c r="X750" i="6" s="1"/>
  <c r="BH750" i="6" s="1"/>
  <c r="X751" i="6" s="1"/>
  <c r="BH751" i="6" s="1"/>
  <c r="X752" i="6" s="1"/>
  <c r="BH752" i="6" s="1"/>
  <c r="X753" i="6" s="1"/>
  <c r="BH753" i="6" s="1"/>
  <c r="X754" i="6" s="1"/>
  <c r="BH754" i="6" s="1"/>
  <c r="X755" i="6" s="1"/>
  <c r="BH755" i="6" s="1"/>
  <c r="X756" i="6" s="1"/>
  <c r="BH756" i="6" s="1"/>
  <c r="X757" i="6" s="1"/>
  <c r="BH757" i="6" s="1"/>
  <c r="X758" i="6" s="1"/>
  <c r="BH758" i="6" s="1"/>
  <c r="X759" i="6" s="1"/>
  <c r="BH759" i="6" s="1"/>
  <c r="X760" i="6" s="1"/>
  <c r="BH760" i="6" s="1"/>
  <c r="X761" i="6" s="1"/>
  <c r="W726" i="6"/>
  <c r="BG726" i="6" s="1"/>
  <c r="W727" i="6" s="1"/>
  <c r="V726" i="6"/>
  <c r="BF726" i="6" s="1"/>
  <c r="V727" i="6" s="1"/>
  <c r="BF727" i="6" s="1"/>
  <c r="V728" i="6" s="1"/>
  <c r="BF728" i="6" s="1"/>
  <c r="V729" i="6" s="1"/>
  <c r="BF729" i="6" s="1"/>
  <c r="V730" i="6" s="1"/>
  <c r="BF730" i="6" s="1"/>
  <c r="V731" i="6" s="1"/>
  <c r="BF731" i="6" s="1"/>
  <c r="V732" i="6" s="1"/>
  <c r="BF732" i="6" s="1"/>
  <c r="V733" i="6" s="1"/>
  <c r="BF733" i="6" s="1"/>
  <c r="V734" i="6" s="1"/>
  <c r="BF734" i="6" s="1"/>
  <c r="V735" i="6" s="1"/>
  <c r="BF735" i="6" s="1"/>
  <c r="V736" i="6" s="1"/>
  <c r="BF736" i="6" s="1"/>
  <c r="V737" i="6" s="1"/>
  <c r="BF737" i="6" s="1"/>
  <c r="V738" i="6" s="1"/>
  <c r="BF738" i="6" s="1"/>
  <c r="V739" i="6" s="1"/>
  <c r="BF739" i="6" s="1"/>
  <c r="V740" i="6" s="1"/>
  <c r="BF740" i="6" s="1"/>
  <c r="V741" i="6" s="1"/>
  <c r="BF741" i="6" s="1"/>
  <c r="V742" i="6" s="1"/>
  <c r="BF742" i="6" s="1"/>
  <c r="V743" i="6" s="1"/>
  <c r="BF743" i="6" s="1"/>
  <c r="V744" i="6" s="1"/>
  <c r="BF744" i="6" s="1"/>
  <c r="V745" i="6" s="1"/>
  <c r="BF745" i="6" s="1"/>
  <c r="V746" i="6" s="1"/>
  <c r="BF746" i="6" s="1"/>
  <c r="V747" i="6" s="1"/>
  <c r="BF747" i="6" s="1"/>
  <c r="V748" i="6" s="1"/>
  <c r="BF748" i="6" s="1"/>
  <c r="V749" i="6" s="1"/>
  <c r="U726" i="6"/>
  <c r="T726" i="6"/>
  <c r="BD726" i="6" s="1"/>
  <c r="S726" i="6"/>
  <c r="BC726" i="6" s="1"/>
  <c r="S727" i="6" s="1"/>
  <c r="BC727" i="6" s="1"/>
  <c r="S728" i="6" s="1"/>
  <c r="BC728" i="6" s="1"/>
  <c r="S729" i="6" s="1"/>
  <c r="BC729" i="6" s="1"/>
  <c r="S730" i="6" s="1"/>
  <c r="BC730" i="6" s="1"/>
  <c r="S731" i="6" s="1"/>
  <c r="BC731" i="6" s="1"/>
  <c r="S732" i="6" s="1"/>
  <c r="BC732" i="6" s="1"/>
  <c r="S733" i="6" s="1"/>
  <c r="BC733" i="6" s="1"/>
  <c r="S734" i="6" s="1"/>
  <c r="BC734" i="6" s="1"/>
  <c r="S735" i="6" s="1"/>
  <c r="BC735" i="6" s="1"/>
  <c r="S736" i="6" s="1"/>
  <c r="BC736" i="6" s="1"/>
  <c r="S737" i="6" s="1"/>
  <c r="BC737" i="6" s="1"/>
  <c r="S738" i="6" s="1"/>
  <c r="BC738" i="6" s="1"/>
  <c r="S739" i="6" s="1"/>
  <c r="BC739" i="6" s="1"/>
  <c r="S740" i="6" s="1"/>
  <c r="BC740" i="6" s="1"/>
  <c r="S741" i="6" s="1"/>
  <c r="BC741" i="6" s="1"/>
  <c r="S742" i="6" s="1"/>
  <c r="BC742" i="6" s="1"/>
  <c r="S743" i="6" s="1"/>
  <c r="BC743" i="6" s="1"/>
  <c r="S744" i="6" s="1"/>
  <c r="BC744" i="6" s="1"/>
  <c r="S745" i="6" s="1"/>
  <c r="BC745" i="6" s="1"/>
  <c r="S746" i="6" s="1"/>
  <c r="BC746" i="6" s="1"/>
  <c r="S747" i="6" s="1"/>
  <c r="BC747" i="6" s="1"/>
  <c r="S748" i="6" s="1"/>
  <c r="BC748" i="6" s="1"/>
  <c r="S749" i="6" s="1"/>
  <c r="BC749" i="6" s="1"/>
  <c r="S750" i="6" s="1"/>
  <c r="BC750" i="6" s="1"/>
  <c r="S751" i="6" s="1"/>
  <c r="BC751" i="6" s="1"/>
  <c r="S752" i="6" s="1"/>
  <c r="BC752" i="6" s="1"/>
  <c r="S753" i="6" s="1"/>
  <c r="BC753" i="6" s="1"/>
  <c r="S754" i="6" s="1"/>
  <c r="BC754" i="6" s="1"/>
  <c r="S755" i="6" s="1"/>
  <c r="BC755" i="6" s="1"/>
  <c r="S756" i="6" s="1"/>
  <c r="BC756" i="6" s="1"/>
  <c r="S757" i="6" s="1"/>
  <c r="BC757" i="6" s="1"/>
  <c r="S758" i="6" s="1"/>
  <c r="BC758" i="6" s="1"/>
  <c r="S759" i="6" s="1"/>
  <c r="BC759" i="6" s="1"/>
  <c r="S760" i="6" s="1"/>
  <c r="BC760" i="6" s="1"/>
  <c r="S761" i="6" s="1"/>
  <c r="BC761" i="6" s="1"/>
  <c r="R726" i="6"/>
  <c r="BB726" i="6" s="1"/>
  <c r="R727" i="6" s="1"/>
  <c r="BB727" i="6" s="1"/>
  <c r="R728" i="6" s="1"/>
  <c r="BB728" i="6" s="1"/>
  <c r="R729" i="6" s="1"/>
  <c r="Q726" i="6"/>
  <c r="BA726" i="6" s="1"/>
  <c r="O726" i="6"/>
  <c r="N726" i="6"/>
  <c r="AX726" i="6" s="1"/>
  <c r="N727" i="6" s="1"/>
  <c r="AX727" i="6" s="1"/>
  <c r="N728" i="6" s="1"/>
  <c r="AX728" i="6" s="1"/>
  <c r="N729" i="6" s="1"/>
  <c r="AX729" i="6" s="1"/>
  <c r="N730" i="6" s="1"/>
  <c r="AX730" i="6" s="1"/>
  <c r="N731" i="6" s="1"/>
  <c r="AX731" i="6" s="1"/>
  <c r="N732" i="6" s="1"/>
  <c r="AX732" i="6" s="1"/>
  <c r="M726" i="6"/>
  <c r="AW726" i="6" s="1"/>
  <c r="M727" i="6" s="1"/>
  <c r="AW727" i="6" s="1"/>
  <c r="M728" i="6" s="1"/>
  <c r="L726" i="6"/>
  <c r="AV726" i="6" s="1"/>
  <c r="L727" i="6" s="1"/>
  <c r="K726" i="6"/>
  <c r="J726" i="6"/>
  <c r="I726" i="6"/>
  <c r="H726" i="6"/>
  <c r="G726" i="6"/>
  <c r="F726" i="6"/>
  <c r="AE726" i="6" s="1"/>
  <c r="E726" i="6"/>
  <c r="D726" i="6"/>
  <c r="C726" i="6"/>
  <c r="B726" i="6"/>
  <c r="A726" i="6"/>
  <c r="AO725" i="6"/>
  <c r="AE725" i="6"/>
  <c r="K725" i="6"/>
  <c r="J725" i="6"/>
  <c r="H725" i="6"/>
  <c r="G725" i="6"/>
  <c r="F725" i="6"/>
  <c r="E725" i="6"/>
  <c r="D725" i="6"/>
  <c r="C725" i="6"/>
  <c r="B725" i="6"/>
  <c r="A725" i="6"/>
  <c r="AO724" i="6"/>
  <c r="AI724" i="6"/>
  <c r="K724" i="6"/>
  <c r="H724" i="6"/>
  <c r="G724" i="6"/>
  <c r="F724" i="6"/>
  <c r="E724" i="6"/>
  <c r="D724" i="6"/>
  <c r="C724" i="6"/>
  <c r="B724" i="6"/>
  <c r="A724" i="6"/>
  <c r="AO723" i="6"/>
  <c r="H723" i="6"/>
  <c r="G723" i="6"/>
  <c r="F723" i="6"/>
  <c r="E723" i="6"/>
  <c r="D723" i="6"/>
  <c r="C723" i="6"/>
  <c r="B723" i="6"/>
  <c r="A723" i="6"/>
  <c r="AO722" i="6"/>
  <c r="AE722" i="6"/>
  <c r="J722" i="6"/>
  <c r="I722" i="6"/>
  <c r="H722" i="6"/>
  <c r="G722" i="6"/>
  <c r="F722" i="6"/>
  <c r="AI722" i="6" s="1"/>
  <c r="E722" i="6"/>
  <c r="D722" i="6"/>
  <c r="C722" i="6"/>
  <c r="B722" i="6"/>
  <c r="A722" i="6"/>
  <c r="AO721" i="6"/>
  <c r="AI721" i="6"/>
  <c r="K721" i="6"/>
  <c r="J721" i="6"/>
  <c r="I721" i="6"/>
  <c r="H721" i="6"/>
  <c r="G721" i="6"/>
  <c r="F721" i="6"/>
  <c r="AE721" i="6" s="1"/>
  <c r="E721" i="6"/>
  <c r="D721" i="6"/>
  <c r="C721" i="6"/>
  <c r="B721" i="6"/>
  <c r="A721" i="6"/>
  <c r="AO720" i="6"/>
  <c r="I720" i="6"/>
  <c r="H720" i="6"/>
  <c r="G720" i="6"/>
  <c r="F720" i="6"/>
  <c r="E720" i="6"/>
  <c r="D720" i="6"/>
  <c r="C720" i="6"/>
  <c r="B720" i="6"/>
  <c r="A720" i="6"/>
  <c r="AO719" i="6"/>
  <c r="AI719" i="6"/>
  <c r="K719" i="6"/>
  <c r="J719" i="6"/>
  <c r="H719" i="6"/>
  <c r="G719" i="6"/>
  <c r="F719" i="6"/>
  <c r="E719" i="6"/>
  <c r="D719" i="6"/>
  <c r="C719" i="6"/>
  <c r="B719" i="6"/>
  <c r="A719" i="6"/>
  <c r="AO718" i="6"/>
  <c r="H718" i="6"/>
  <c r="G718" i="6"/>
  <c r="F718" i="6"/>
  <c r="E718" i="6"/>
  <c r="D718" i="6"/>
  <c r="C718" i="6"/>
  <c r="B718" i="6"/>
  <c r="A718" i="6"/>
  <c r="AO717" i="6"/>
  <c r="AE717" i="6"/>
  <c r="H717" i="6"/>
  <c r="G717" i="6"/>
  <c r="F717" i="6"/>
  <c r="E717" i="6"/>
  <c r="D717" i="6"/>
  <c r="C717" i="6"/>
  <c r="B717" i="6"/>
  <c r="A717" i="6"/>
  <c r="AO716" i="6"/>
  <c r="AE716" i="6"/>
  <c r="K716" i="6"/>
  <c r="J716" i="6"/>
  <c r="I716" i="6"/>
  <c r="H716" i="6"/>
  <c r="G716" i="6"/>
  <c r="F716" i="6"/>
  <c r="E716" i="6"/>
  <c r="D716" i="6"/>
  <c r="C716" i="6"/>
  <c r="B716" i="6"/>
  <c r="A716" i="6"/>
  <c r="AO715" i="6"/>
  <c r="AI715" i="6"/>
  <c r="K715" i="6"/>
  <c r="J715" i="6"/>
  <c r="I715" i="6"/>
  <c r="H715" i="6"/>
  <c r="G715" i="6"/>
  <c r="F715" i="6"/>
  <c r="AE715" i="6" s="1"/>
  <c r="E715" i="6"/>
  <c r="D715" i="6"/>
  <c r="C715" i="6"/>
  <c r="B715" i="6"/>
  <c r="A715" i="6"/>
  <c r="AO714" i="6"/>
  <c r="AI714" i="6"/>
  <c r="K714" i="6"/>
  <c r="J714" i="6"/>
  <c r="I714" i="6"/>
  <c r="H714" i="6"/>
  <c r="G714" i="6"/>
  <c r="F714" i="6"/>
  <c r="AE714" i="6" s="1"/>
  <c r="E714" i="6"/>
  <c r="D714" i="6"/>
  <c r="C714" i="6"/>
  <c r="B714" i="6"/>
  <c r="A714" i="6"/>
  <c r="AO713" i="6"/>
  <c r="H713" i="6"/>
  <c r="G713" i="6"/>
  <c r="F713" i="6"/>
  <c r="E713" i="6"/>
  <c r="D713" i="6"/>
  <c r="C713" i="6"/>
  <c r="B713" i="6"/>
  <c r="A713" i="6"/>
  <c r="AT712" i="6"/>
  <c r="AE712" i="6"/>
  <c r="K712" i="6"/>
  <c r="H712" i="6"/>
  <c r="G712" i="6"/>
  <c r="F712" i="6"/>
  <c r="AI712" i="6" s="1"/>
  <c r="E712" i="6"/>
  <c r="D712" i="6"/>
  <c r="C712" i="6"/>
  <c r="B712" i="6"/>
  <c r="A712" i="6"/>
  <c r="AT711" i="6"/>
  <c r="AO711" i="6"/>
  <c r="H711" i="6"/>
  <c r="G711" i="6"/>
  <c r="F711" i="6"/>
  <c r="E711" i="6"/>
  <c r="D711" i="6"/>
  <c r="C711" i="6"/>
  <c r="B711" i="6"/>
  <c r="A711" i="6"/>
  <c r="AT710" i="6"/>
  <c r="AO710" i="6"/>
  <c r="AE710" i="6"/>
  <c r="J710" i="6"/>
  <c r="I710" i="6"/>
  <c r="H710" i="6"/>
  <c r="G710" i="6"/>
  <c r="F710" i="6"/>
  <c r="AI710" i="6" s="1"/>
  <c r="E710" i="6"/>
  <c r="D710" i="6"/>
  <c r="C710" i="6"/>
  <c r="B710" i="6"/>
  <c r="A710" i="6"/>
  <c r="AT709" i="6"/>
  <c r="AO709" i="6"/>
  <c r="AI709" i="6"/>
  <c r="K709" i="6"/>
  <c r="J709" i="6"/>
  <c r="I709" i="6"/>
  <c r="H709" i="6"/>
  <c r="G709" i="6"/>
  <c r="F709" i="6"/>
  <c r="E709" i="6"/>
  <c r="D709" i="6"/>
  <c r="C709" i="6"/>
  <c r="B709" i="6"/>
  <c r="A709" i="6"/>
  <c r="AT708" i="6"/>
  <c r="AO708" i="6"/>
  <c r="K708" i="6"/>
  <c r="I708" i="6"/>
  <c r="H708" i="6"/>
  <c r="G708" i="6"/>
  <c r="F708" i="6"/>
  <c r="AE708" i="6" s="1"/>
  <c r="E708" i="6"/>
  <c r="D708" i="6"/>
  <c r="C708" i="6"/>
  <c r="B708" i="6"/>
  <c r="A708" i="6"/>
  <c r="AT707" i="6"/>
  <c r="AO707" i="6"/>
  <c r="J707" i="6"/>
  <c r="H707" i="6"/>
  <c r="AF707" i="6" s="1"/>
  <c r="G707" i="6"/>
  <c r="F707" i="6"/>
  <c r="E707" i="6"/>
  <c r="D707" i="6"/>
  <c r="C707" i="6"/>
  <c r="B707" i="6"/>
  <c r="A707" i="6"/>
  <c r="AT706" i="6"/>
  <c r="AI706" i="6"/>
  <c r="AE706" i="6"/>
  <c r="K706" i="6"/>
  <c r="H706" i="6"/>
  <c r="G706" i="6"/>
  <c r="F706" i="6"/>
  <c r="E706" i="6"/>
  <c r="D706" i="6"/>
  <c r="C706" i="6"/>
  <c r="B706" i="6"/>
  <c r="A706" i="6"/>
  <c r="AT705" i="6"/>
  <c r="AO705" i="6"/>
  <c r="AF705" i="6"/>
  <c r="H705" i="6"/>
  <c r="G705" i="6"/>
  <c r="F705" i="6"/>
  <c r="E705" i="6"/>
  <c r="D705" i="6"/>
  <c r="C705" i="6"/>
  <c r="B705" i="6"/>
  <c r="A705" i="6"/>
  <c r="AT704" i="6"/>
  <c r="AO704" i="6"/>
  <c r="AF704" i="6"/>
  <c r="AE704" i="6"/>
  <c r="K704" i="6"/>
  <c r="J704" i="6"/>
  <c r="I704" i="6"/>
  <c r="H704" i="6"/>
  <c r="G704" i="6"/>
  <c r="F704" i="6"/>
  <c r="E704" i="6"/>
  <c r="D704" i="6"/>
  <c r="C704" i="6"/>
  <c r="B704" i="6"/>
  <c r="A704" i="6"/>
  <c r="AT703" i="6"/>
  <c r="AO703" i="6"/>
  <c r="AI703" i="6"/>
  <c r="AF703" i="6"/>
  <c r="K703" i="6"/>
  <c r="J703" i="6"/>
  <c r="I703" i="6"/>
  <c r="H703" i="6"/>
  <c r="G703" i="6"/>
  <c r="F703" i="6"/>
  <c r="AE703" i="6" s="1"/>
  <c r="E703" i="6"/>
  <c r="D703" i="6"/>
  <c r="C703" i="6"/>
  <c r="B703" i="6"/>
  <c r="A703" i="6"/>
  <c r="AT702" i="6"/>
  <c r="AO702" i="6"/>
  <c r="J702" i="6"/>
  <c r="H702" i="6"/>
  <c r="G702" i="6"/>
  <c r="F702" i="6"/>
  <c r="AE702" i="6" s="1"/>
  <c r="E702" i="6"/>
  <c r="D702" i="6"/>
  <c r="C702" i="6"/>
  <c r="B702" i="6"/>
  <c r="A702" i="6"/>
  <c r="AT701" i="6"/>
  <c r="AI701" i="6"/>
  <c r="AE701" i="6"/>
  <c r="K701" i="6"/>
  <c r="H701" i="6"/>
  <c r="G701" i="6"/>
  <c r="F701" i="6"/>
  <c r="E701" i="6"/>
  <c r="D701" i="6"/>
  <c r="C701" i="6"/>
  <c r="B701" i="6"/>
  <c r="A701" i="6"/>
  <c r="AT700" i="6"/>
  <c r="H700" i="6"/>
  <c r="G700" i="6"/>
  <c r="F700" i="6"/>
  <c r="AI700" i="6" s="1"/>
  <c r="E700" i="6"/>
  <c r="D700" i="6"/>
  <c r="C700" i="6"/>
  <c r="B700" i="6"/>
  <c r="A700" i="6"/>
  <c r="AT699" i="6"/>
  <c r="AO699" i="6"/>
  <c r="AE699" i="6"/>
  <c r="I699" i="6"/>
  <c r="H699" i="6"/>
  <c r="AF699" i="6" s="1"/>
  <c r="G699" i="6"/>
  <c r="F699" i="6"/>
  <c r="E699" i="6"/>
  <c r="D699" i="6"/>
  <c r="C699" i="6"/>
  <c r="B699" i="6"/>
  <c r="A699" i="6"/>
  <c r="AT698" i="6"/>
  <c r="AO698" i="6"/>
  <c r="AE698" i="6"/>
  <c r="I698" i="6"/>
  <c r="H698" i="6"/>
  <c r="G698" i="6"/>
  <c r="F698" i="6"/>
  <c r="E698" i="6"/>
  <c r="D698" i="6"/>
  <c r="C698" i="6"/>
  <c r="B698" i="6"/>
  <c r="A698" i="6"/>
  <c r="AT697" i="6"/>
  <c r="AO697" i="6"/>
  <c r="AI697" i="6"/>
  <c r="AF697" i="6"/>
  <c r="K697" i="6"/>
  <c r="J697" i="6"/>
  <c r="I697" i="6"/>
  <c r="H697" i="6"/>
  <c r="G697" i="6"/>
  <c r="F697" i="6"/>
  <c r="AE697" i="6" s="1"/>
  <c r="E697" i="6"/>
  <c r="D697" i="6"/>
  <c r="C697" i="6"/>
  <c r="B697" i="6"/>
  <c r="A697" i="6"/>
  <c r="AT696" i="6"/>
  <c r="AO696" i="6"/>
  <c r="J696" i="6"/>
  <c r="H696" i="6"/>
  <c r="AF696" i="6" s="1"/>
  <c r="G696" i="6"/>
  <c r="F696" i="6"/>
  <c r="AI696" i="6" s="1"/>
  <c r="E696" i="6"/>
  <c r="D696" i="6"/>
  <c r="C696" i="6"/>
  <c r="B696" i="6"/>
  <c r="A696" i="6"/>
  <c r="AT695" i="6"/>
  <c r="AE695" i="6"/>
  <c r="K695" i="6"/>
  <c r="I695" i="6"/>
  <c r="H695" i="6"/>
  <c r="G695" i="6"/>
  <c r="AI695" i="6" s="1"/>
  <c r="F695" i="6"/>
  <c r="E695" i="6"/>
  <c r="D695" i="6"/>
  <c r="C695" i="6"/>
  <c r="B695" i="6"/>
  <c r="A695" i="6"/>
  <c r="AT694" i="6"/>
  <c r="J694" i="6"/>
  <c r="H694" i="6"/>
  <c r="G694" i="6"/>
  <c r="F694" i="6"/>
  <c r="E694" i="6"/>
  <c r="D694" i="6"/>
  <c r="C694" i="6"/>
  <c r="B694" i="6"/>
  <c r="A694" i="6"/>
  <c r="AT693" i="6"/>
  <c r="AO693" i="6"/>
  <c r="AE693" i="6"/>
  <c r="AC693" i="6"/>
  <c r="BM693" i="6" s="1"/>
  <c r="AC694" i="6" s="1"/>
  <c r="BM694" i="6" s="1"/>
  <c r="AC695" i="6" s="1"/>
  <c r="BM695" i="6" s="1"/>
  <c r="AC696" i="6" s="1"/>
  <c r="BM696" i="6" s="1"/>
  <c r="AC697" i="6" s="1"/>
  <c r="BM697" i="6" s="1"/>
  <c r="AC698" i="6" s="1"/>
  <c r="BM698" i="6" s="1"/>
  <c r="AC699" i="6" s="1"/>
  <c r="BM699" i="6" s="1"/>
  <c r="AC700" i="6" s="1"/>
  <c r="BM700" i="6" s="1"/>
  <c r="AC701" i="6" s="1"/>
  <c r="BM701" i="6" s="1"/>
  <c r="AC702" i="6" s="1"/>
  <c r="BM702" i="6" s="1"/>
  <c r="AC703" i="6" s="1"/>
  <c r="BM703" i="6" s="1"/>
  <c r="AC704" i="6" s="1"/>
  <c r="BM704" i="6" s="1"/>
  <c r="AC705" i="6" s="1"/>
  <c r="BM705" i="6" s="1"/>
  <c r="AC706" i="6" s="1"/>
  <c r="BM706" i="6" s="1"/>
  <c r="AC707" i="6" s="1"/>
  <c r="BM707" i="6" s="1"/>
  <c r="AC708" i="6" s="1"/>
  <c r="BM708" i="6" s="1"/>
  <c r="AC709" i="6" s="1"/>
  <c r="BM709" i="6" s="1"/>
  <c r="AC710" i="6" s="1"/>
  <c r="BM710" i="6" s="1"/>
  <c r="AC711" i="6" s="1"/>
  <c r="BM711" i="6" s="1"/>
  <c r="AC712" i="6" s="1"/>
  <c r="BM712" i="6" s="1"/>
  <c r="AC713" i="6" s="1"/>
  <c r="BM713" i="6" s="1"/>
  <c r="AC714" i="6" s="1"/>
  <c r="BM714" i="6" s="1"/>
  <c r="AC715" i="6" s="1"/>
  <c r="BM715" i="6" s="1"/>
  <c r="AC716" i="6" s="1"/>
  <c r="BM716" i="6" s="1"/>
  <c r="AC717" i="6" s="1"/>
  <c r="BM717" i="6" s="1"/>
  <c r="AC718" i="6" s="1"/>
  <c r="BM718" i="6" s="1"/>
  <c r="AC719" i="6" s="1"/>
  <c r="BM719" i="6" s="1"/>
  <c r="AC720" i="6" s="1"/>
  <c r="BM720" i="6" s="1"/>
  <c r="AC721" i="6" s="1"/>
  <c r="BM721" i="6" s="1"/>
  <c r="AC722" i="6" s="1"/>
  <c r="BM722" i="6" s="1"/>
  <c r="AC723" i="6" s="1"/>
  <c r="BM723" i="6" s="1"/>
  <c r="AC724" i="6" s="1"/>
  <c r="BM724" i="6" s="1"/>
  <c r="AC725" i="6" s="1"/>
  <c r="BM725" i="6" s="1"/>
  <c r="I693" i="6"/>
  <c r="H693" i="6"/>
  <c r="G693" i="6"/>
  <c r="F693" i="6"/>
  <c r="AI693" i="6" s="1"/>
  <c r="E693" i="6"/>
  <c r="D693" i="6"/>
  <c r="C693" i="6"/>
  <c r="B693" i="6"/>
  <c r="A693" i="6"/>
  <c r="AT692" i="6"/>
  <c r="AO692" i="6"/>
  <c r="AF692" i="6"/>
  <c r="X692" i="6"/>
  <c r="BH692" i="6" s="1"/>
  <c r="X693" i="6" s="1"/>
  <c r="BH693" i="6" s="1"/>
  <c r="X694" i="6" s="1"/>
  <c r="BH694" i="6" s="1"/>
  <c r="X695" i="6" s="1"/>
  <c r="BH695" i="6" s="1"/>
  <c r="X696" i="6" s="1"/>
  <c r="BH696" i="6" s="1"/>
  <c r="X697" i="6" s="1"/>
  <c r="BH697" i="6" s="1"/>
  <c r="X698" i="6" s="1"/>
  <c r="BH698" i="6" s="1"/>
  <c r="X699" i="6" s="1"/>
  <c r="BH699" i="6" s="1"/>
  <c r="X700" i="6" s="1"/>
  <c r="BH700" i="6" s="1"/>
  <c r="X701" i="6" s="1"/>
  <c r="BH701" i="6" s="1"/>
  <c r="X702" i="6" s="1"/>
  <c r="BH702" i="6" s="1"/>
  <c r="X703" i="6" s="1"/>
  <c r="BH703" i="6" s="1"/>
  <c r="X704" i="6" s="1"/>
  <c r="BH704" i="6" s="1"/>
  <c r="X705" i="6" s="1"/>
  <c r="BH705" i="6" s="1"/>
  <c r="X706" i="6" s="1"/>
  <c r="BH706" i="6" s="1"/>
  <c r="X707" i="6" s="1"/>
  <c r="BH707" i="6" s="1"/>
  <c r="X708" i="6" s="1"/>
  <c r="BH708" i="6" s="1"/>
  <c r="X709" i="6" s="1"/>
  <c r="BH709" i="6" s="1"/>
  <c r="X710" i="6" s="1"/>
  <c r="BH710" i="6" s="1"/>
  <c r="X711" i="6" s="1"/>
  <c r="BH711" i="6" s="1"/>
  <c r="X712" i="6" s="1"/>
  <c r="BH712" i="6" s="1"/>
  <c r="X713" i="6" s="1"/>
  <c r="BH713" i="6" s="1"/>
  <c r="X714" i="6" s="1"/>
  <c r="BH714" i="6" s="1"/>
  <c r="X715" i="6" s="1"/>
  <c r="BH715" i="6" s="1"/>
  <c r="X716" i="6" s="1"/>
  <c r="BH716" i="6" s="1"/>
  <c r="X717" i="6" s="1"/>
  <c r="BH717" i="6" s="1"/>
  <c r="X718" i="6" s="1"/>
  <c r="BH718" i="6" s="1"/>
  <c r="X719" i="6" s="1"/>
  <c r="BH719" i="6" s="1"/>
  <c r="X720" i="6" s="1"/>
  <c r="BH720" i="6" s="1"/>
  <c r="X721" i="6" s="1"/>
  <c r="BH721" i="6" s="1"/>
  <c r="X722" i="6" s="1"/>
  <c r="BH722" i="6" s="1"/>
  <c r="X723" i="6" s="1"/>
  <c r="BH723" i="6" s="1"/>
  <c r="X724" i="6" s="1"/>
  <c r="BH724" i="6" s="1"/>
  <c r="X725" i="6" s="1"/>
  <c r="BH725" i="6" s="1"/>
  <c r="J692" i="6"/>
  <c r="I692" i="6"/>
  <c r="H692" i="6"/>
  <c r="G692" i="6"/>
  <c r="F692" i="6"/>
  <c r="AE692" i="6" s="1"/>
  <c r="E692" i="6"/>
  <c r="D692" i="6"/>
  <c r="C692" i="6"/>
  <c r="B692" i="6"/>
  <c r="A692" i="6"/>
  <c r="BO691" i="6"/>
  <c r="BN692" i="6" s="1"/>
  <c r="BO692" i="6" s="1"/>
  <c r="BN693" i="6" s="1"/>
  <c r="BO693" i="6" s="1"/>
  <c r="BN694" i="6" s="1"/>
  <c r="BO694" i="6" s="1"/>
  <c r="BN695" i="6" s="1"/>
  <c r="BO695" i="6" s="1"/>
  <c r="BN696" i="6" s="1"/>
  <c r="BO696" i="6" s="1"/>
  <c r="BN697" i="6" s="1"/>
  <c r="BO697" i="6" s="1"/>
  <c r="BN698" i="6" s="1"/>
  <c r="BO698" i="6" s="1"/>
  <c r="BN699" i="6" s="1"/>
  <c r="BO699" i="6" s="1"/>
  <c r="BN700" i="6" s="1"/>
  <c r="BO700" i="6" s="1"/>
  <c r="BN701" i="6" s="1"/>
  <c r="BO701" i="6" s="1"/>
  <c r="BN702" i="6" s="1"/>
  <c r="BO702" i="6" s="1"/>
  <c r="BN703" i="6" s="1"/>
  <c r="BO703" i="6" s="1"/>
  <c r="BN704" i="6" s="1"/>
  <c r="BE691" i="6"/>
  <c r="BE692" i="6" s="1"/>
  <c r="AT691" i="6"/>
  <c r="AO691" i="6"/>
  <c r="AF691" i="6"/>
  <c r="AE691" i="6"/>
  <c r="U691" i="6"/>
  <c r="S691" i="6"/>
  <c r="BC691" i="6" s="1"/>
  <c r="S692" i="6" s="1"/>
  <c r="BC692" i="6" s="1"/>
  <c r="S693" i="6" s="1"/>
  <c r="BC693" i="6" s="1"/>
  <c r="S694" i="6" s="1"/>
  <c r="BC694" i="6" s="1"/>
  <c r="S695" i="6" s="1"/>
  <c r="BC695" i="6" s="1"/>
  <c r="S696" i="6" s="1"/>
  <c r="BC696" i="6" s="1"/>
  <c r="S697" i="6" s="1"/>
  <c r="BC697" i="6" s="1"/>
  <c r="S698" i="6" s="1"/>
  <c r="BC698" i="6" s="1"/>
  <c r="S699" i="6" s="1"/>
  <c r="BC699" i="6" s="1"/>
  <c r="S700" i="6" s="1"/>
  <c r="BC700" i="6" s="1"/>
  <c r="S701" i="6" s="1"/>
  <c r="BC701" i="6" s="1"/>
  <c r="S702" i="6" s="1"/>
  <c r="BC702" i="6" s="1"/>
  <c r="S703" i="6" s="1"/>
  <c r="BC703" i="6" s="1"/>
  <c r="S704" i="6" s="1"/>
  <c r="BC704" i="6" s="1"/>
  <c r="S705" i="6" s="1"/>
  <c r="BC705" i="6" s="1"/>
  <c r="S706" i="6" s="1"/>
  <c r="BC706" i="6" s="1"/>
  <c r="S707" i="6" s="1"/>
  <c r="BC707" i="6" s="1"/>
  <c r="S708" i="6" s="1"/>
  <c r="BC708" i="6" s="1"/>
  <c r="S709" i="6" s="1"/>
  <c r="BC709" i="6" s="1"/>
  <c r="S710" i="6" s="1"/>
  <c r="BC710" i="6" s="1"/>
  <c r="S711" i="6" s="1"/>
  <c r="BC711" i="6" s="1"/>
  <c r="S712" i="6" s="1"/>
  <c r="BC712" i="6" s="1"/>
  <c r="S713" i="6" s="1"/>
  <c r="BC713" i="6" s="1"/>
  <c r="S714" i="6" s="1"/>
  <c r="BC714" i="6" s="1"/>
  <c r="S715" i="6" s="1"/>
  <c r="BC715" i="6" s="1"/>
  <c r="S716" i="6" s="1"/>
  <c r="BC716" i="6" s="1"/>
  <c r="S717" i="6" s="1"/>
  <c r="BC717" i="6" s="1"/>
  <c r="S718" i="6" s="1"/>
  <c r="BC718" i="6" s="1"/>
  <c r="S719" i="6" s="1"/>
  <c r="BC719" i="6" s="1"/>
  <c r="S720" i="6" s="1"/>
  <c r="BC720" i="6" s="1"/>
  <c r="S721" i="6" s="1"/>
  <c r="BC721" i="6" s="1"/>
  <c r="S722" i="6" s="1"/>
  <c r="BC722" i="6" s="1"/>
  <c r="S723" i="6" s="1"/>
  <c r="BC723" i="6" s="1"/>
  <c r="S724" i="6" s="1"/>
  <c r="BC724" i="6" s="1"/>
  <c r="S725" i="6" s="1"/>
  <c r="BC725" i="6" s="1"/>
  <c r="K691" i="6"/>
  <c r="I691" i="6"/>
  <c r="H691" i="6"/>
  <c r="G691" i="6"/>
  <c r="F691" i="6"/>
  <c r="E691" i="6"/>
  <c r="D691" i="6"/>
  <c r="C691" i="6"/>
  <c r="B691" i="6"/>
  <c r="A691" i="6"/>
  <c r="BN690" i="6"/>
  <c r="BO690" i="6" s="1"/>
  <c r="BN691" i="6" s="1"/>
  <c r="BJ690" i="6"/>
  <c r="Z691" i="6" s="1"/>
  <c r="BJ691" i="6" s="1"/>
  <c r="Z692" i="6" s="1"/>
  <c r="BJ692" i="6" s="1"/>
  <c r="Z693" i="6" s="1"/>
  <c r="BJ693" i="6" s="1"/>
  <c r="Z694" i="6" s="1"/>
  <c r="BJ694" i="6" s="1"/>
  <c r="Z695" i="6" s="1"/>
  <c r="BJ695" i="6" s="1"/>
  <c r="Z696" i="6" s="1"/>
  <c r="BJ696" i="6" s="1"/>
  <c r="Z697" i="6" s="1"/>
  <c r="BJ697" i="6" s="1"/>
  <c r="Z698" i="6" s="1"/>
  <c r="BJ698" i="6" s="1"/>
  <c r="Z699" i="6" s="1"/>
  <c r="BJ699" i="6" s="1"/>
  <c r="Z700" i="6" s="1"/>
  <c r="BJ700" i="6" s="1"/>
  <c r="Z701" i="6" s="1"/>
  <c r="BJ701" i="6" s="1"/>
  <c r="Z702" i="6" s="1"/>
  <c r="BJ702" i="6" s="1"/>
  <c r="Z703" i="6" s="1"/>
  <c r="BJ703" i="6" s="1"/>
  <c r="Z704" i="6" s="1"/>
  <c r="BJ704" i="6" s="1"/>
  <c r="Z705" i="6" s="1"/>
  <c r="BJ705" i="6" s="1"/>
  <c r="Z706" i="6" s="1"/>
  <c r="BJ706" i="6" s="1"/>
  <c r="Z707" i="6" s="1"/>
  <c r="BJ707" i="6" s="1"/>
  <c r="Z708" i="6" s="1"/>
  <c r="BJ708" i="6" s="1"/>
  <c r="Z709" i="6" s="1"/>
  <c r="BJ709" i="6" s="1"/>
  <c r="Z710" i="6" s="1"/>
  <c r="BJ710" i="6" s="1"/>
  <c r="Z711" i="6" s="1"/>
  <c r="BJ711" i="6" s="1"/>
  <c r="Z712" i="6" s="1"/>
  <c r="BJ712" i="6" s="1"/>
  <c r="Z713" i="6" s="1"/>
  <c r="BJ713" i="6" s="1"/>
  <c r="Z714" i="6" s="1"/>
  <c r="BJ714" i="6" s="1"/>
  <c r="Z715" i="6" s="1"/>
  <c r="BJ715" i="6" s="1"/>
  <c r="Z716" i="6" s="1"/>
  <c r="BJ716" i="6" s="1"/>
  <c r="Z717" i="6" s="1"/>
  <c r="BJ717" i="6" s="1"/>
  <c r="Z718" i="6" s="1"/>
  <c r="BJ718" i="6" s="1"/>
  <c r="Z719" i="6" s="1"/>
  <c r="BJ719" i="6" s="1"/>
  <c r="Z720" i="6" s="1"/>
  <c r="BJ720" i="6" s="1"/>
  <c r="Z721" i="6" s="1"/>
  <c r="BJ721" i="6" s="1"/>
  <c r="Z722" i="6" s="1"/>
  <c r="BJ722" i="6" s="1"/>
  <c r="Z723" i="6" s="1"/>
  <c r="BJ723" i="6" s="1"/>
  <c r="Z724" i="6" s="1"/>
  <c r="BJ724" i="6" s="1"/>
  <c r="Z725" i="6" s="1"/>
  <c r="BJ725" i="6" s="1"/>
  <c r="BE690" i="6"/>
  <c r="AX690" i="6"/>
  <c r="N691" i="6" s="1"/>
  <c r="AX691" i="6" s="1"/>
  <c r="N692" i="6" s="1"/>
  <c r="AX692" i="6" s="1"/>
  <c r="N693" i="6" s="1"/>
  <c r="AX693" i="6" s="1"/>
  <c r="N694" i="6" s="1"/>
  <c r="AX694" i="6" s="1"/>
  <c r="N695" i="6" s="1"/>
  <c r="AX695" i="6" s="1"/>
  <c r="N696" i="6" s="1"/>
  <c r="AX696" i="6" s="1"/>
  <c r="AT690" i="6"/>
  <c r="AO690" i="6"/>
  <c r="AF690" i="6"/>
  <c r="AC690" i="6"/>
  <c r="BM690" i="6" s="1"/>
  <c r="AC691" i="6" s="1"/>
  <c r="BM691" i="6" s="1"/>
  <c r="AC692" i="6" s="1"/>
  <c r="BM692" i="6" s="1"/>
  <c r="AB690" i="6"/>
  <c r="BL690" i="6" s="1"/>
  <c r="AB691" i="6" s="1"/>
  <c r="BL691" i="6" s="1"/>
  <c r="AB692" i="6" s="1"/>
  <c r="BL692" i="6" s="1"/>
  <c r="AB693" i="6" s="1"/>
  <c r="BL693" i="6" s="1"/>
  <c r="AB694" i="6" s="1"/>
  <c r="BL694" i="6" s="1"/>
  <c r="AB695" i="6" s="1"/>
  <c r="BL695" i="6" s="1"/>
  <c r="AB696" i="6" s="1"/>
  <c r="BL696" i="6" s="1"/>
  <c r="AB697" i="6" s="1"/>
  <c r="BL697" i="6" s="1"/>
  <c r="AB698" i="6" s="1"/>
  <c r="BL698" i="6" s="1"/>
  <c r="AB699" i="6" s="1"/>
  <c r="BL699" i="6" s="1"/>
  <c r="AB700" i="6" s="1"/>
  <c r="BL700" i="6" s="1"/>
  <c r="AB701" i="6" s="1"/>
  <c r="BL701" i="6" s="1"/>
  <c r="AB702" i="6" s="1"/>
  <c r="BL702" i="6" s="1"/>
  <c r="AB703" i="6" s="1"/>
  <c r="BL703" i="6" s="1"/>
  <c r="AB704" i="6" s="1"/>
  <c r="BL704" i="6" s="1"/>
  <c r="AB705" i="6" s="1"/>
  <c r="BL705" i="6" s="1"/>
  <c r="AB706" i="6" s="1"/>
  <c r="BL706" i="6" s="1"/>
  <c r="AB707" i="6" s="1"/>
  <c r="BL707" i="6" s="1"/>
  <c r="AB708" i="6" s="1"/>
  <c r="BL708" i="6" s="1"/>
  <c r="AB709" i="6" s="1"/>
  <c r="BL709" i="6" s="1"/>
  <c r="AB710" i="6" s="1"/>
  <c r="BL710" i="6" s="1"/>
  <c r="AB711" i="6" s="1"/>
  <c r="BL711" i="6" s="1"/>
  <c r="AB712" i="6" s="1"/>
  <c r="BL712" i="6" s="1"/>
  <c r="AB713" i="6" s="1"/>
  <c r="BL713" i="6" s="1"/>
  <c r="AB714" i="6" s="1"/>
  <c r="BL714" i="6" s="1"/>
  <c r="AB715" i="6" s="1"/>
  <c r="BL715" i="6" s="1"/>
  <c r="AB716" i="6" s="1"/>
  <c r="BL716" i="6" s="1"/>
  <c r="AB717" i="6" s="1"/>
  <c r="BL717" i="6" s="1"/>
  <c r="AB718" i="6" s="1"/>
  <c r="BL718" i="6" s="1"/>
  <c r="AB719" i="6" s="1"/>
  <c r="BL719" i="6" s="1"/>
  <c r="AB720" i="6" s="1"/>
  <c r="BL720" i="6" s="1"/>
  <c r="AB721" i="6" s="1"/>
  <c r="BL721" i="6" s="1"/>
  <c r="AB722" i="6" s="1"/>
  <c r="BL722" i="6" s="1"/>
  <c r="AB723" i="6" s="1"/>
  <c r="BL723" i="6" s="1"/>
  <c r="AB724" i="6" s="1"/>
  <c r="BL724" i="6" s="1"/>
  <c r="AB725" i="6" s="1"/>
  <c r="BL725" i="6" s="1"/>
  <c r="AA690" i="6"/>
  <c r="BK690" i="6" s="1"/>
  <c r="AA691" i="6" s="1"/>
  <c r="BK691" i="6" s="1"/>
  <c r="AA692" i="6" s="1"/>
  <c r="BK692" i="6" s="1"/>
  <c r="AA693" i="6" s="1"/>
  <c r="BK693" i="6" s="1"/>
  <c r="AA694" i="6" s="1"/>
  <c r="BK694" i="6" s="1"/>
  <c r="AA695" i="6" s="1"/>
  <c r="BK695" i="6" s="1"/>
  <c r="AA696" i="6" s="1"/>
  <c r="BK696" i="6" s="1"/>
  <c r="AA697" i="6" s="1"/>
  <c r="BK697" i="6" s="1"/>
  <c r="AA698" i="6" s="1"/>
  <c r="BK698" i="6" s="1"/>
  <c r="AA699" i="6" s="1"/>
  <c r="BK699" i="6" s="1"/>
  <c r="AA700" i="6" s="1"/>
  <c r="BK700" i="6" s="1"/>
  <c r="AA701" i="6" s="1"/>
  <c r="BK701" i="6" s="1"/>
  <c r="AA702" i="6" s="1"/>
  <c r="BK702" i="6" s="1"/>
  <c r="AA703" i="6" s="1"/>
  <c r="BK703" i="6" s="1"/>
  <c r="AA704" i="6" s="1"/>
  <c r="BK704" i="6" s="1"/>
  <c r="AA705" i="6" s="1"/>
  <c r="BK705" i="6" s="1"/>
  <c r="AA706" i="6" s="1"/>
  <c r="BK706" i="6" s="1"/>
  <c r="AA707" i="6" s="1"/>
  <c r="BK707" i="6" s="1"/>
  <c r="AA708" i="6" s="1"/>
  <c r="BK708" i="6" s="1"/>
  <c r="AA709" i="6" s="1"/>
  <c r="BK709" i="6" s="1"/>
  <c r="AA710" i="6" s="1"/>
  <c r="BK710" i="6" s="1"/>
  <c r="AA711" i="6" s="1"/>
  <c r="BK711" i="6" s="1"/>
  <c r="AA712" i="6" s="1"/>
  <c r="BK712" i="6" s="1"/>
  <c r="AA713" i="6" s="1"/>
  <c r="BK713" i="6" s="1"/>
  <c r="AA714" i="6" s="1"/>
  <c r="BK714" i="6" s="1"/>
  <c r="AA715" i="6" s="1"/>
  <c r="BK715" i="6" s="1"/>
  <c r="AA716" i="6" s="1"/>
  <c r="BK716" i="6" s="1"/>
  <c r="AA717" i="6" s="1"/>
  <c r="BK717" i="6" s="1"/>
  <c r="AA718" i="6" s="1"/>
  <c r="BK718" i="6" s="1"/>
  <c r="AA719" i="6" s="1"/>
  <c r="BK719" i="6" s="1"/>
  <c r="AA720" i="6" s="1"/>
  <c r="BK720" i="6" s="1"/>
  <c r="AA721" i="6" s="1"/>
  <c r="BK721" i="6" s="1"/>
  <c r="AA722" i="6" s="1"/>
  <c r="BK722" i="6" s="1"/>
  <c r="AA723" i="6" s="1"/>
  <c r="BK723" i="6" s="1"/>
  <c r="AA724" i="6" s="1"/>
  <c r="BK724" i="6" s="1"/>
  <c r="AA725" i="6" s="1"/>
  <c r="BK725" i="6" s="1"/>
  <c r="Z690" i="6"/>
  <c r="Y690" i="6"/>
  <c r="BI690" i="6" s="1"/>
  <c r="Y691" i="6" s="1"/>
  <c r="BI691" i="6" s="1"/>
  <c r="Y692" i="6" s="1"/>
  <c r="BI692" i="6" s="1"/>
  <c r="Y693" i="6" s="1"/>
  <c r="BI693" i="6" s="1"/>
  <c r="Y694" i="6" s="1"/>
  <c r="BI694" i="6" s="1"/>
  <c r="Y695" i="6" s="1"/>
  <c r="BI695" i="6" s="1"/>
  <c r="Y696" i="6" s="1"/>
  <c r="BI696" i="6" s="1"/>
  <c r="Y697" i="6" s="1"/>
  <c r="BI697" i="6" s="1"/>
  <c r="Y698" i="6" s="1"/>
  <c r="BI698" i="6" s="1"/>
  <c r="Y699" i="6" s="1"/>
  <c r="BI699" i="6" s="1"/>
  <c r="Y700" i="6" s="1"/>
  <c r="BI700" i="6" s="1"/>
  <c r="Y701" i="6" s="1"/>
  <c r="BI701" i="6" s="1"/>
  <c r="Y702" i="6" s="1"/>
  <c r="BI702" i="6" s="1"/>
  <c r="Y703" i="6" s="1"/>
  <c r="BI703" i="6" s="1"/>
  <c r="Y704" i="6" s="1"/>
  <c r="BI704" i="6" s="1"/>
  <c r="Y705" i="6" s="1"/>
  <c r="BI705" i="6" s="1"/>
  <c r="Y706" i="6" s="1"/>
  <c r="BI706" i="6" s="1"/>
  <c r="Y707" i="6" s="1"/>
  <c r="BI707" i="6" s="1"/>
  <c r="Y708" i="6" s="1"/>
  <c r="BI708" i="6" s="1"/>
  <c r="Y709" i="6" s="1"/>
  <c r="BI709" i="6" s="1"/>
  <c r="Y710" i="6" s="1"/>
  <c r="BI710" i="6" s="1"/>
  <c r="Y711" i="6" s="1"/>
  <c r="BI711" i="6" s="1"/>
  <c r="Y712" i="6" s="1"/>
  <c r="BI712" i="6" s="1"/>
  <c r="Y713" i="6" s="1"/>
  <c r="BI713" i="6" s="1"/>
  <c r="Y714" i="6" s="1"/>
  <c r="BI714" i="6" s="1"/>
  <c r="Y715" i="6" s="1"/>
  <c r="BI715" i="6" s="1"/>
  <c r="Y716" i="6" s="1"/>
  <c r="BI716" i="6" s="1"/>
  <c r="Y717" i="6" s="1"/>
  <c r="BI717" i="6" s="1"/>
  <c r="Y718" i="6" s="1"/>
  <c r="BI718" i="6" s="1"/>
  <c r="Y719" i="6" s="1"/>
  <c r="BI719" i="6" s="1"/>
  <c r="Y720" i="6" s="1"/>
  <c r="BI720" i="6" s="1"/>
  <c r="Y721" i="6" s="1"/>
  <c r="BI721" i="6" s="1"/>
  <c r="Y722" i="6" s="1"/>
  <c r="BI722" i="6" s="1"/>
  <c r="Y723" i="6" s="1"/>
  <c r="BI723" i="6" s="1"/>
  <c r="Y724" i="6" s="1"/>
  <c r="BI724" i="6" s="1"/>
  <c r="Y725" i="6" s="1"/>
  <c r="BI725" i="6" s="1"/>
  <c r="X690" i="6"/>
  <c r="BH690" i="6" s="1"/>
  <c r="X691" i="6" s="1"/>
  <c r="BH691" i="6" s="1"/>
  <c r="W690" i="6"/>
  <c r="BG690" i="6" s="1"/>
  <c r="W691" i="6" s="1"/>
  <c r="BG691" i="6" s="1"/>
  <c r="W692" i="6" s="1"/>
  <c r="V690" i="6"/>
  <c r="BF690" i="6" s="1"/>
  <c r="V691" i="6" s="1"/>
  <c r="BF691" i="6" s="1"/>
  <c r="V692" i="6" s="1"/>
  <c r="BF692" i="6" s="1"/>
  <c r="V693" i="6" s="1"/>
  <c r="BF693" i="6" s="1"/>
  <c r="V694" i="6" s="1"/>
  <c r="BF694" i="6" s="1"/>
  <c r="V695" i="6" s="1"/>
  <c r="BF695" i="6" s="1"/>
  <c r="V696" i="6" s="1"/>
  <c r="BF696" i="6" s="1"/>
  <c r="V697" i="6" s="1"/>
  <c r="BF697" i="6" s="1"/>
  <c r="V698" i="6" s="1"/>
  <c r="BF698" i="6" s="1"/>
  <c r="V699" i="6" s="1"/>
  <c r="BF699" i="6" s="1"/>
  <c r="V700" i="6" s="1"/>
  <c r="BF700" i="6" s="1"/>
  <c r="V701" i="6" s="1"/>
  <c r="BF701" i="6" s="1"/>
  <c r="V702" i="6" s="1"/>
  <c r="BF702" i="6" s="1"/>
  <c r="V703" i="6" s="1"/>
  <c r="BF703" i="6" s="1"/>
  <c r="V704" i="6" s="1"/>
  <c r="BF704" i="6" s="1"/>
  <c r="V705" i="6" s="1"/>
  <c r="BF705" i="6" s="1"/>
  <c r="V706" i="6" s="1"/>
  <c r="BF706" i="6" s="1"/>
  <c r="V707" i="6" s="1"/>
  <c r="BF707" i="6" s="1"/>
  <c r="V708" i="6" s="1"/>
  <c r="BF708" i="6" s="1"/>
  <c r="V709" i="6" s="1"/>
  <c r="BF709" i="6" s="1"/>
  <c r="V710" i="6" s="1"/>
  <c r="BF710" i="6" s="1"/>
  <c r="V711" i="6" s="1"/>
  <c r="BF711" i="6" s="1"/>
  <c r="V712" i="6" s="1"/>
  <c r="BF712" i="6" s="1"/>
  <c r="V713" i="6" s="1"/>
  <c r="U690" i="6"/>
  <c r="T690" i="6"/>
  <c r="BD690" i="6" s="1"/>
  <c r="T691" i="6" s="1"/>
  <c r="BD691" i="6" s="1"/>
  <c r="T692" i="6" s="1"/>
  <c r="BD692" i="6" s="1"/>
  <c r="T693" i="6" s="1"/>
  <c r="S690" i="6"/>
  <c r="BC690" i="6" s="1"/>
  <c r="R690" i="6"/>
  <c r="BB690" i="6" s="1"/>
  <c r="R691" i="6" s="1"/>
  <c r="BB691" i="6" s="1"/>
  <c r="R692" i="6" s="1"/>
  <c r="BB692" i="6" s="1"/>
  <c r="R693" i="6" s="1"/>
  <c r="BB693" i="6" s="1"/>
  <c r="R694" i="6" s="1"/>
  <c r="BB694" i="6" s="1"/>
  <c r="R695" i="6" s="1"/>
  <c r="BB695" i="6" s="1"/>
  <c r="R696" i="6" s="1"/>
  <c r="BB696" i="6" s="1"/>
  <c r="R697" i="6" s="1"/>
  <c r="BB697" i="6" s="1"/>
  <c r="R698" i="6" s="1"/>
  <c r="BB698" i="6" s="1"/>
  <c r="R699" i="6" s="1"/>
  <c r="BB699" i="6" s="1"/>
  <c r="R700" i="6" s="1"/>
  <c r="BB700" i="6" s="1"/>
  <c r="R701" i="6" s="1"/>
  <c r="BB701" i="6" s="1"/>
  <c r="R702" i="6" s="1"/>
  <c r="BB702" i="6" s="1"/>
  <c r="R703" i="6" s="1"/>
  <c r="BB703" i="6" s="1"/>
  <c r="R704" i="6" s="1"/>
  <c r="BB704" i="6" s="1"/>
  <c r="R705" i="6" s="1"/>
  <c r="BB705" i="6" s="1"/>
  <c r="R706" i="6" s="1"/>
  <c r="BB706" i="6" s="1"/>
  <c r="R707" i="6" s="1"/>
  <c r="BB707" i="6" s="1"/>
  <c r="R708" i="6" s="1"/>
  <c r="BB708" i="6" s="1"/>
  <c r="R709" i="6" s="1"/>
  <c r="BB709" i="6" s="1"/>
  <c r="R710" i="6" s="1"/>
  <c r="BB710" i="6" s="1"/>
  <c r="R711" i="6" s="1"/>
  <c r="BB711" i="6" s="1"/>
  <c r="R712" i="6" s="1"/>
  <c r="BB712" i="6" s="1"/>
  <c r="R713" i="6" s="1"/>
  <c r="BB713" i="6" s="1"/>
  <c r="R714" i="6" s="1"/>
  <c r="BB714" i="6" s="1"/>
  <c r="R715" i="6" s="1"/>
  <c r="BB715" i="6" s="1"/>
  <c r="R716" i="6" s="1"/>
  <c r="BB716" i="6" s="1"/>
  <c r="R717" i="6" s="1"/>
  <c r="BB717" i="6" s="1"/>
  <c r="R718" i="6" s="1"/>
  <c r="BB718" i="6" s="1"/>
  <c r="R719" i="6" s="1"/>
  <c r="BB719" i="6" s="1"/>
  <c r="R720" i="6" s="1"/>
  <c r="BB720" i="6" s="1"/>
  <c r="R721" i="6" s="1"/>
  <c r="BB721" i="6" s="1"/>
  <c r="R722" i="6" s="1"/>
  <c r="BB722" i="6" s="1"/>
  <c r="R723" i="6" s="1"/>
  <c r="BB723" i="6" s="1"/>
  <c r="R724" i="6" s="1"/>
  <c r="BB724" i="6" s="1"/>
  <c r="R725" i="6" s="1"/>
  <c r="BB725" i="6" s="1"/>
  <c r="Q690" i="6"/>
  <c r="BA690" i="6" s="1"/>
  <c r="Q691" i="6" s="1"/>
  <c r="O690" i="6"/>
  <c r="AY690" i="6" s="1"/>
  <c r="O691" i="6" s="1"/>
  <c r="AY691" i="6" s="1"/>
  <c r="O692" i="6" s="1"/>
  <c r="AY692" i="6" s="1"/>
  <c r="O693" i="6" s="1"/>
  <c r="AY693" i="6" s="1"/>
  <c r="O694" i="6" s="1"/>
  <c r="AY694" i="6" s="1"/>
  <c r="O695" i="6" s="1"/>
  <c r="AY695" i="6" s="1"/>
  <c r="O696" i="6" s="1"/>
  <c r="AY696" i="6" s="1"/>
  <c r="O697" i="6" s="1"/>
  <c r="AY697" i="6" s="1"/>
  <c r="O698" i="6" s="1"/>
  <c r="AY698" i="6" s="1"/>
  <c r="O699" i="6" s="1"/>
  <c r="AY699" i="6" s="1"/>
  <c r="O700" i="6" s="1"/>
  <c r="AY700" i="6" s="1"/>
  <c r="O701" i="6" s="1"/>
  <c r="AY701" i="6" s="1"/>
  <c r="O702" i="6" s="1"/>
  <c r="AY702" i="6" s="1"/>
  <c r="O703" i="6" s="1"/>
  <c r="AY703" i="6" s="1"/>
  <c r="O704" i="6" s="1"/>
  <c r="AY704" i="6" s="1"/>
  <c r="O705" i="6" s="1"/>
  <c r="AY705" i="6" s="1"/>
  <c r="O706" i="6" s="1"/>
  <c r="AY706" i="6" s="1"/>
  <c r="O707" i="6" s="1"/>
  <c r="AY707" i="6" s="1"/>
  <c r="O708" i="6" s="1"/>
  <c r="AY708" i="6" s="1"/>
  <c r="O709" i="6" s="1"/>
  <c r="AY709" i="6" s="1"/>
  <c r="O710" i="6" s="1"/>
  <c r="AY710" i="6" s="1"/>
  <c r="O711" i="6" s="1"/>
  <c r="AY711" i="6" s="1"/>
  <c r="O712" i="6" s="1"/>
  <c r="AY712" i="6" s="1"/>
  <c r="O713" i="6" s="1"/>
  <c r="AY713" i="6" s="1"/>
  <c r="O714" i="6" s="1"/>
  <c r="AY714" i="6" s="1"/>
  <c r="O715" i="6" s="1"/>
  <c r="AY715" i="6" s="1"/>
  <c r="O716" i="6" s="1"/>
  <c r="AY716" i="6" s="1"/>
  <c r="O717" i="6" s="1"/>
  <c r="AY717" i="6" s="1"/>
  <c r="O718" i="6" s="1"/>
  <c r="AY718" i="6" s="1"/>
  <c r="O719" i="6" s="1"/>
  <c r="AY719" i="6" s="1"/>
  <c r="O720" i="6" s="1"/>
  <c r="AY720" i="6" s="1"/>
  <c r="O721" i="6" s="1"/>
  <c r="AY721" i="6" s="1"/>
  <c r="O722" i="6" s="1"/>
  <c r="AY722" i="6" s="1"/>
  <c r="O723" i="6" s="1"/>
  <c r="AY723" i="6" s="1"/>
  <c r="O724" i="6" s="1"/>
  <c r="AY724" i="6" s="1"/>
  <c r="O725" i="6" s="1"/>
  <c r="AY725" i="6" s="1"/>
  <c r="N690" i="6"/>
  <c r="M690" i="6"/>
  <c r="AW690" i="6" s="1"/>
  <c r="M691" i="6" s="1"/>
  <c r="AW691" i="6" s="1"/>
  <c r="M692" i="6" s="1"/>
  <c r="L690" i="6"/>
  <c r="AV690" i="6" s="1"/>
  <c r="L691" i="6" s="1"/>
  <c r="H690" i="6"/>
  <c r="G690" i="6"/>
  <c r="F690" i="6"/>
  <c r="E690" i="6"/>
  <c r="D690" i="6"/>
  <c r="C690" i="6"/>
  <c r="B690" i="6"/>
  <c r="A690" i="6"/>
  <c r="AO689" i="6"/>
  <c r="AI689" i="6"/>
  <c r="K689" i="6"/>
  <c r="I689" i="6"/>
  <c r="H689" i="6"/>
  <c r="G689" i="6"/>
  <c r="F689" i="6"/>
  <c r="J689" i="6" s="1"/>
  <c r="E689" i="6"/>
  <c r="D689" i="6"/>
  <c r="C689" i="6"/>
  <c r="B689" i="6"/>
  <c r="A689" i="6"/>
  <c r="AO688" i="6"/>
  <c r="H688" i="6"/>
  <c r="G688" i="6"/>
  <c r="F688" i="6"/>
  <c r="AI688" i="6" s="1"/>
  <c r="E688" i="6"/>
  <c r="D688" i="6"/>
  <c r="C688" i="6"/>
  <c r="B688" i="6"/>
  <c r="A688" i="6"/>
  <c r="AO687" i="6"/>
  <c r="AI687" i="6"/>
  <c r="AE687" i="6"/>
  <c r="K687" i="6"/>
  <c r="I687" i="6"/>
  <c r="H687" i="6"/>
  <c r="G687" i="6"/>
  <c r="F687" i="6"/>
  <c r="E687" i="6"/>
  <c r="D687" i="6"/>
  <c r="C687" i="6"/>
  <c r="B687" i="6"/>
  <c r="A687" i="6"/>
  <c r="AO686" i="6"/>
  <c r="H686" i="6"/>
  <c r="G686" i="6"/>
  <c r="F686" i="6"/>
  <c r="E686" i="6"/>
  <c r="D686" i="6"/>
  <c r="C686" i="6"/>
  <c r="B686" i="6"/>
  <c r="A686" i="6"/>
  <c r="AO685" i="6"/>
  <c r="AI685" i="6"/>
  <c r="AE685" i="6"/>
  <c r="K685" i="6"/>
  <c r="J685" i="6"/>
  <c r="I685" i="6"/>
  <c r="H685" i="6"/>
  <c r="G685" i="6"/>
  <c r="F685" i="6"/>
  <c r="E685" i="6"/>
  <c r="D685" i="6"/>
  <c r="C685" i="6"/>
  <c r="B685" i="6"/>
  <c r="A685" i="6"/>
  <c r="AO684" i="6"/>
  <c r="J684" i="6"/>
  <c r="H684" i="6"/>
  <c r="G684" i="6"/>
  <c r="F684" i="6"/>
  <c r="AI684" i="6" s="1"/>
  <c r="E684" i="6"/>
  <c r="D684" i="6"/>
  <c r="C684" i="6"/>
  <c r="B684" i="6"/>
  <c r="A684" i="6"/>
  <c r="AO683" i="6"/>
  <c r="AE683" i="6"/>
  <c r="K683" i="6"/>
  <c r="I683" i="6"/>
  <c r="H683" i="6"/>
  <c r="G683" i="6"/>
  <c r="AI683" i="6" s="1"/>
  <c r="F683" i="6"/>
  <c r="J683" i="6" s="1"/>
  <c r="E683" i="6"/>
  <c r="D683" i="6"/>
  <c r="C683" i="6"/>
  <c r="B683" i="6"/>
  <c r="A683" i="6"/>
  <c r="AO682" i="6"/>
  <c r="J682" i="6"/>
  <c r="H682" i="6"/>
  <c r="G682" i="6"/>
  <c r="F682" i="6"/>
  <c r="E682" i="6"/>
  <c r="D682" i="6"/>
  <c r="C682" i="6"/>
  <c r="B682" i="6"/>
  <c r="A682" i="6"/>
  <c r="AO681" i="6"/>
  <c r="AE681" i="6"/>
  <c r="K681" i="6"/>
  <c r="I681" i="6"/>
  <c r="H681" i="6"/>
  <c r="G681" i="6"/>
  <c r="F681" i="6"/>
  <c r="J681" i="6" s="1"/>
  <c r="E681" i="6"/>
  <c r="D681" i="6"/>
  <c r="C681" i="6"/>
  <c r="B681" i="6"/>
  <c r="A681" i="6"/>
  <c r="AO680" i="6"/>
  <c r="J680" i="6"/>
  <c r="I680" i="6"/>
  <c r="H680" i="6"/>
  <c r="G680" i="6"/>
  <c r="F680" i="6"/>
  <c r="AE680" i="6" s="1"/>
  <c r="E680" i="6"/>
  <c r="D680" i="6"/>
  <c r="C680" i="6"/>
  <c r="B680" i="6"/>
  <c r="A680" i="6"/>
  <c r="AO679" i="6"/>
  <c r="AE679" i="6"/>
  <c r="K679" i="6"/>
  <c r="J679" i="6"/>
  <c r="I679" i="6"/>
  <c r="H679" i="6"/>
  <c r="G679" i="6"/>
  <c r="F679" i="6"/>
  <c r="E679" i="6"/>
  <c r="D679" i="6"/>
  <c r="C679" i="6"/>
  <c r="B679" i="6"/>
  <c r="A679" i="6"/>
  <c r="AO678" i="6"/>
  <c r="H678" i="6"/>
  <c r="G678" i="6"/>
  <c r="F678" i="6"/>
  <c r="J678" i="6" s="1"/>
  <c r="E678" i="6"/>
  <c r="D678" i="6"/>
  <c r="C678" i="6"/>
  <c r="B678" i="6"/>
  <c r="A678" i="6"/>
  <c r="AO677" i="6"/>
  <c r="AI677" i="6"/>
  <c r="AE677" i="6"/>
  <c r="K677" i="6"/>
  <c r="I677" i="6"/>
  <c r="H677" i="6"/>
  <c r="G677" i="6"/>
  <c r="F677" i="6"/>
  <c r="J677" i="6" s="1"/>
  <c r="E677" i="6"/>
  <c r="D677" i="6"/>
  <c r="C677" i="6"/>
  <c r="B677" i="6"/>
  <c r="A677" i="6"/>
  <c r="AT676" i="6"/>
  <c r="H676" i="6"/>
  <c r="G676" i="6"/>
  <c r="F676" i="6"/>
  <c r="E676" i="6"/>
  <c r="D676" i="6"/>
  <c r="C676" i="6"/>
  <c r="B676" i="6"/>
  <c r="A676" i="6"/>
  <c r="AT675" i="6"/>
  <c r="AO675" i="6"/>
  <c r="AE675" i="6"/>
  <c r="K675" i="6"/>
  <c r="I675" i="6"/>
  <c r="H675" i="6"/>
  <c r="G675" i="6"/>
  <c r="F675" i="6"/>
  <c r="E675" i="6"/>
  <c r="D675" i="6"/>
  <c r="C675" i="6"/>
  <c r="B675" i="6"/>
  <c r="A675" i="6"/>
  <c r="AT674" i="6"/>
  <c r="AO674" i="6"/>
  <c r="J674" i="6"/>
  <c r="H674" i="6"/>
  <c r="G674" i="6"/>
  <c r="F674" i="6"/>
  <c r="E674" i="6"/>
  <c r="D674" i="6"/>
  <c r="C674" i="6"/>
  <c r="B674" i="6"/>
  <c r="A674" i="6"/>
  <c r="AT673" i="6"/>
  <c r="AO673" i="6"/>
  <c r="AI673" i="6"/>
  <c r="K673" i="6"/>
  <c r="J673" i="6"/>
  <c r="I673" i="6"/>
  <c r="H673" i="6"/>
  <c r="G673" i="6"/>
  <c r="F673" i="6"/>
  <c r="E673" i="6"/>
  <c r="D673" i="6"/>
  <c r="C673" i="6"/>
  <c r="B673" i="6"/>
  <c r="A673" i="6"/>
  <c r="AT672" i="6"/>
  <c r="AO672" i="6"/>
  <c r="J672" i="6"/>
  <c r="H672" i="6"/>
  <c r="G672" i="6"/>
  <c r="F672" i="6"/>
  <c r="AI672" i="6" s="1"/>
  <c r="E672" i="6"/>
  <c r="D672" i="6"/>
  <c r="C672" i="6"/>
  <c r="B672" i="6"/>
  <c r="A672" i="6"/>
  <c r="AT671" i="6"/>
  <c r="AO671" i="6"/>
  <c r="AE671" i="6"/>
  <c r="K671" i="6"/>
  <c r="I671" i="6"/>
  <c r="H671" i="6"/>
  <c r="AF671" i="6" s="1"/>
  <c r="G671" i="6"/>
  <c r="F671" i="6"/>
  <c r="E671" i="6"/>
  <c r="D671" i="6"/>
  <c r="C671" i="6"/>
  <c r="B671" i="6"/>
  <c r="A671" i="6"/>
  <c r="AT670" i="6"/>
  <c r="J670" i="6"/>
  <c r="H670" i="6"/>
  <c r="G670" i="6"/>
  <c r="F670" i="6"/>
  <c r="E670" i="6"/>
  <c r="D670" i="6"/>
  <c r="C670" i="6"/>
  <c r="B670" i="6"/>
  <c r="A670" i="6"/>
  <c r="AT669" i="6"/>
  <c r="AO669" i="6"/>
  <c r="AF669" i="6"/>
  <c r="AE669" i="6"/>
  <c r="K669" i="6"/>
  <c r="J669" i="6"/>
  <c r="I669" i="6"/>
  <c r="H669" i="6"/>
  <c r="G669" i="6"/>
  <c r="F669" i="6"/>
  <c r="E669" i="6"/>
  <c r="D669" i="6"/>
  <c r="C669" i="6"/>
  <c r="B669" i="6"/>
  <c r="A669" i="6"/>
  <c r="AT668" i="6"/>
  <c r="AO668" i="6"/>
  <c r="AF668" i="6"/>
  <c r="J668" i="6"/>
  <c r="I668" i="6"/>
  <c r="H668" i="6"/>
  <c r="G668" i="6"/>
  <c r="F668" i="6"/>
  <c r="AE668" i="6" s="1"/>
  <c r="E668" i="6"/>
  <c r="D668" i="6"/>
  <c r="C668" i="6"/>
  <c r="B668" i="6"/>
  <c r="A668" i="6"/>
  <c r="AT667" i="6"/>
  <c r="AO667" i="6"/>
  <c r="AF667" i="6"/>
  <c r="AE667" i="6"/>
  <c r="K667" i="6"/>
  <c r="I667" i="6"/>
  <c r="H667" i="6"/>
  <c r="G667" i="6"/>
  <c r="AI667" i="6" s="1"/>
  <c r="F667" i="6"/>
  <c r="E667" i="6"/>
  <c r="D667" i="6"/>
  <c r="C667" i="6"/>
  <c r="B667" i="6"/>
  <c r="A667" i="6"/>
  <c r="AT666" i="6"/>
  <c r="AO666" i="6"/>
  <c r="H666" i="6"/>
  <c r="G666" i="6"/>
  <c r="F666" i="6"/>
  <c r="E666" i="6"/>
  <c r="D666" i="6"/>
  <c r="C666" i="6"/>
  <c r="B666" i="6"/>
  <c r="A666" i="6"/>
  <c r="AT665" i="6"/>
  <c r="AI665" i="6"/>
  <c r="AE665" i="6"/>
  <c r="K665" i="6"/>
  <c r="I665" i="6"/>
  <c r="H665" i="6"/>
  <c r="G665" i="6"/>
  <c r="F665" i="6"/>
  <c r="E665" i="6"/>
  <c r="D665" i="6"/>
  <c r="C665" i="6"/>
  <c r="B665" i="6"/>
  <c r="A665" i="6"/>
  <c r="AT664" i="6"/>
  <c r="H664" i="6"/>
  <c r="G664" i="6"/>
  <c r="F664" i="6"/>
  <c r="E664" i="6"/>
  <c r="D664" i="6"/>
  <c r="C664" i="6"/>
  <c r="B664" i="6"/>
  <c r="A664" i="6"/>
  <c r="AT663" i="6"/>
  <c r="AO663" i="6"/>
  <c r="AI663" i="6"/>
  <c r="AE663" i="6"/>
  <c r="K663" i="6"/>
  <c r="J663" i="6"/>
  <c r="I663" i="6"/>
  <c r="H663" i="6"/>
  <c r="AF663" i="6" s="1"/>
  <c r="G663" i="6"/>
  <c r="F663" i="6"/>
  <c r="E663" i="6"/>
  <c r="D663" i="6"/>
  <c r="C663" i="6"/>
  <c r="B663" i="6"/>
  <c r="A663" i="6"/>
  <c r="AT662" i="6"/>
  <c r="AO662" i="6"/>
  <c r="H662" i="6"/>
  <c r="G662" i="6"/>
  <c r="F662" i="6"/>
  <c r="E662" i="6"/>
  <c r="D662" i="6"/>
  <c r="C662" i="6"/>
  <c r="B662" i="6"/>
  <c r="A662" i="6"/>
  <c r="AT661" i="6"/>
  <c r="AO661" i="6"/>
  <c r="AI661" i="6"/>
  <c r="AF661" i="6"/>
  <c r="K661" i="6"/>
  <c r="J661" i="6"/>
  <c r="I661" i="6"/>
  <c r="H661" i="6"/>
  <c r="G661" i="6"/>
  <c r="F661" i="6"/>
  <c r="AE661" i="6" s="1"/>
  <c r="E661" i="6"/>
  <c r="D661" i="6"/>
  <c r="C661" i="6"/>
  <c r="B661" i="6"/>
  <c r="A661" i="6"/>
  <c r="AT660" i="6"/>
  <c r="AO660" i="6"/>
  <c r="J660" i="6"/>
  <c r="H660" i="6"/>
  <c r="AF660" i="6" s="1"/>
  <c r="G660" i="6"/>
  <c r="F660" i="6"/>
  <c r="E660" i="6"/>
  <c r="D660" i="6"/>
  <c r="C660" i="6"/>
  <c r="B660" i="6"/>
  <c r="A660" i="6"/>
  <c r="AT659" i="6"/>
  <c r="AE659" i="6"/>
  <c r="K659" i="6"/>
  <c r="I659" i="6"/>
  <c r="H659" i="6"/>
  <c r="G659" i="6"/>
  <c r="F659" i="6"/>
  <c r="E659" i="6"/>
  <c r="D659" i="6"/>
  <c r="C659" i="6"/>
  <c r="B659" i="6"/>
  <c r="A659" i="6"/>
  <c r="AT658" i="6"/>
  <c r="J658" i="6"/>
  <c r="H658" i="6"/>
  <c r="G658" i="6"/>
  <c r="F658" i="6"/>
  <c r="E658" i="6"/>
  <c r="D658" i="6"/>
  <c r="C658" i="6"/>
  <c r="B658" i="6"/>
  <c r="A658" i="6"/>
  <c r="AT657" i="6"/>
  <c r="AO657" i="6"/>
  <c r="AE657" i="6"/>
  <c r="Y657" i="6"/>
  <c r="BI657" i="6" s="1"/>
  <c r="Y658" i="6" s="1"/>
  <c r="BI658" i="6" s="1"/>
  <c r="Y659" i="6" s="1"/>
  <c r="BI659" i="6" s="1"/>
  <c r="Y660" i="6" s="1"/>
  <c r="BI660" i="6" s="1"/>
  <c r="Y661" i="6" s="1"/>
  <c r="BI661" i="6" s="1"/>
  <c r="Y662" i="6" s="1"/>
  <c r="BI662" i="6" s="1"/>
  <c r="Y663" i="6" s="1"/>
  <c r="BI663" i="6" s="1"/>
  <c r="Y664" i="6" s="1"/>
  <c r="BI664" i="6" s="1"/>
  <c r="Y665" i="6" s="1"/>
  <c r="BI665" i="6" s="1"/>
  <c r="Y666" i="6" s="1"/>
  <c r="BI666" i="6" s="1"/>
  <c r="Y667" i="6" s="1"/>
  <c r="BI667" i="6" s="1"/>
  <c r="Y668" i="6" s="1"/>
  <c r="BI668" i="6" s="1"/>
  <c r="Y669" i="6" s="1"/>
  <c r="BI669" i="6" s="1"/>
  <c r="Y670" i="6" s="1"/>
  <c r="BI670" i="6" s="1"/>
  <c r="Y671" i="6" s="1"/>
  <c r="BI671" i="6" s="1"/>
  <c r="Y672" i="6" s="1"/>
  <c r="BI672" i="6" s="1"/>
  <c r="Y673" i="6" s="1"/>
  <c r="BI673" i="6" s="1"/>
  <c r="Y674" i="6" s="1"/>
  <c r="BI674" i="6" s="1"/>
  <c r="Y675" i="6" s="1"/>
  <c r="BI675" i="6" s="1"/>
  <c r="Y676" i="6" s="1"/>
  <c r="BI676" i="6" s="1"/>
  <c r="Y677" i="6" s="1"/>
  <c r="BI677" i="6" s="1"/>
  <c r="Y678" i="6" s="1"/>
  <c r="BI678" i="6" s="1"/>
  <c r="Y679" i="6" s="1"/>
  <c r="BI679" i="6" s="1"/>
  <c r="Y680" i="6" s="1"/>
  <c r="BI680" i="6" s="1"/>
  <c r="Y681" i="6" s="1"/>
  <c r="BI681" i="6" s="1"/>
  <c r="Y682" i="6" s="1"/>
  <c r="BI682" i="6" s="1"/>
  <c r="Y683" i="6" s="1"/>
  <c r="BI683" i="6" s="1"/>
  <c r="Y684" i="6" s="1"/>
  <c r="BI684" i="6" s="1"/>
  <c r="Y685" i="6" s="1"/>
  <c r="BI685" i="6" s="1"/>
  <c r="Y686" i="6" s="1"/>
  <c r="BI686" i="6" s="1"/>
  <c r="Y687" i="6" s="1"/>
  <c r="BI687" i="6" s="1"/>
  <c r="Y688" i="6" s="1"/>
  <c r="BI688" i="6" s="1"/>
  <c r="Y689" i="6" s="1"/>
  <c r="BI689" i="6" s="1"/>
  <c r="K657" i="6"/>
  <c r="J657" i="6"/>
  <c r="I657" i="6"/>
  <c r="H657" i="6"/>
  <c r="G657" i="6"/>
  <c r="F657" i="6"/>
  <c r="E657" i="6"/>
  <c r="D657" i="6"/>
  <c r="C657" i="6"/>
  <c r="B657" i="6"/>
  <c r="A657" i="6"/>
  <c r="AT656" i="6"/>
  <c r="AO656" i="6"/>
  <c r="AI656" i="6"/>
  <c r="AF656" i="6"/>
  <c r="X656" i="6"/>
  <c r="BH656" i="6" s="1"/>
  <c r="X657" i="6" s="1"/>
  <c r="BH657" i="6" s="1"/>
  <c r="X658" i="6" s="1"/>
  <c r="BH658" i="6" s="1"/>
  <c r="X659" i="6" s="1"/>
  <c r="BH659" i="6" s="1"/>
  <c r="X660" i="6" s="1"/>
  <c r="BH660" i="6" s="1"/>
  <c r="X661" i="6" s="1"/>
  <c r="BH661" i="6" s="1"/>
  <c r="X662" i="6" s="1"/>
  <c r="BH662" i="6" s="1"/>
  <c r="X663" i="6" s="1"/>
  <c r="BH663" i="6" s="1"/>
  <c r="X664" i="6" s="1"/>
  <c r="BH664" i="6" s="1"/>
  <c r="X665" i="6" s="1"/>
  <c r="BH665" i="6" s="1"/>
  <c r="X666" i="6" s="1"/>
  <c r="BH666" i="6" s="1"/>
  <c r="X667" i="6" s="1"/>
  <c r="BH667" i="6" s="1"/>
  <c r="X668" i="6" s="1"/>
  <c r="BH668" i="6" s="1"/>
  <c r="X669" i="6" s="1"/>
  <c r="BH669" i="6" s="1"/>
  <c r="X670" i="6" s="1"/>
  <c r="BH670" i="6" s="1"/>
  <c r="X671" i="6" s="1"/>
  <c r="BH671" i="6" s="1"/>
  <c r="X672" i="6" s="1"/>
  <c r="BH672" i="6" s="1"/>
  <c r="X673" i="6" s="1"/>
  <c r="BH673" i="6" s="1"/>
  <c r="X674" i="6" s="1"/>
  <c r="BH674" i="6" s="1"/>
  <c r="X675" i="6" s="1"/>
  <c r="BH675" i="6" s="1"/>
  <c r="X676" i="6" s="1"/>
  <c r="BH676" i="6" s="1"/>
  <c r="X677" i="6" s="1"/>
  <c r="BH677" i="6" s="1"/>
  <c r="X678" i="6" s="1"/>
  <c r="BH678" i="6" s="1"/>
  <c r="X679" i="6" s="1"/>
  <c r="BH679" i="6" s="1"/>
  <c r="X680" i="6" s="1"/>
  <c r="BH680" i="6" s="1"/>
  <c r="X681" i="6" s="1"/>
  <c r="BH681" i="6" s="1"/>
  <c r="X682" i="6" s="1"/>
  <c r="BH682" i="6" s="1"/>
  <c r="X683" i="6" s="1"/>
  <c r="BH683" i="6" s="1"/>
  <c r="X684" i="6" s="1"/>
  <c r="BH684" i="6" s="1"/>
  <c r="X685" i="6" s="1"/>
  <c r="BH685" i="6" s="1"/>
  <c r="X686" i="6" s="1"/>
  <c r="BH686" i="6" s="1"/>
  <c r="X687" i="6" s="1"/>
  <c r="BH687" i="6" s="1"/>
  <c r="X688" i="6" s="1"/>
  <c r="BH688" i="6" s="1"/>
  <c r="X689" i="6" s="1"/>
  <c r="BH689" i="6" s="1"/>
  <c r="V656" i="6"/>
  <c r="BF656" i="6" s="1"/>
  <c r="V657" i="6" s="1"/>
  <c r="BF657" i="6" s="1"/>
  <c r="V658" i="6" s="1"/>
  <c r="BF658" i="6" s="1"/>
  <c r="V659" i="6" s="1"/>
  <c r="BF659" i="6" s="1"/>
  <c r="V660" i="6" s="1"/>
  <c r="BF660" i="6" s="1"/>
  <c r="V661" i="6" s="1"/>
  <c r="BF661" i="6" s="1"/>
  <c r="V662" i="6" s="1"/>
  <c r="BF662" i="6" s="1"/>
  <c r="V663" i="6" s="1"/>
  <c r="BF663" i="6" s="1"/>
  <c r="V664" i="6" s="1"/>
  <c r="BF664" i="6" s="1"/>
  <c r="V665" i="6" s="1"/>
  <c r="BF665" i="6" s="1"/>
  <c r="V666" i="6" s="1"/>
  <c r="BF666" i="6" s="1"/>
  <c r="V667" i="6" s="1"/>
  <c r="BF667" i="6" s="1"/>
  <c r="V668" i="6" s="1"/>
  <c r="BF668" i="6" s="1"/>
  <c r="V669" i="6" s="1"/>
  <c r="BF669" i="6" s="1"/>
  <c r="V670" i="6" s="1"/>
  <c r="BF670" i="6" s="1"/>
  <c r="V671" i="6" s="1"/>
  <c r="BF671" i="6" s="1"/>
  <c r="V672" i="6" s="1"/>
  <c r="BF672" i="6" s="1"/>
  <c r="V673" i="6" s="1"/>
  <c r="BF673" i="6" s="1"/>
  <c r="V674" i="6" s="1"/>
  <c r="BF674" i="6" s="1"/>
  <c r="V675" i="6" s="1"/>
  <c r="BF675" i="6" s="1"/>
  <c r="V676" i="6" s="1"/>
  <c r="BF676" i="6" s="1"/>
  <c r="V677" i="6" s="1"/>
  <c r="K656" i="6"/>
  <c r="J656" i="6"/>
  <c r="I656" i="6"/>
  <c r="H656" i="6"/>
  <c r="G656" i="6"/>
  <c r="F656" i="6"/>
  <c r="AE656" i="6" s="1"/>
  <c r="E656" i="6"/>
  <c r="D656" i="6"/>
  <c r="C656" i="6"/>
  <c r="B656" i="6"/>
  <c r="A656" i="6"/>
  <c r="BO655" i="6"/>
  <c r="BN656" i="6" s="1"/>
  <c r="BO656" i="6" s="1"/>
  <c r="BN657" i="6" s="1"/>
  <c r="BE655" i="6"/>
  <c r="AT655" i="6"/>
  <c r="AO655" i="6"/>
  <c r="AI655" i="6"/>
  <c r="AF655" i="6"/>
  <c r="AE655" i="6"/>
  <c r="AA655" i="6"/>
  <c r="BK655" i="6" s="1"/>
  <c r="AA656" i="6" s="1"/>
  <c r="BK656" i="6" s="1"/>
  <c r="AA657" i="6" s="1"/>
  <c r="BK657" i="6" s="1"/>
  <c r="AA658" i="6" s="1"/>
  <c r="BK658" i="6" s="1"/>
  <c r="AA659" i="6" s="1"/>
  <c r="BK659" i="6" s="1"/>
  <c r="AA660" i="6" s="1"/>
  <c r="BK660" i="6" s="1"/>
  <c r="AA661" i="6" s="1"/>
  <c r="BK661" i="6" s="1"/>
  <c r="AA662" i="6" s="1"/>
  <c r="BK662" i="6" s="1"/>
  <c r="AA663" i="6" s="1"/>
  <c r="BK663" i="6" s="1"/>
  <c r="AA664" i="6" s="1"/>
  <c r="BK664" i="6" s="1"/>
  <c r="AA665" i="6" s="1"/>
  <c r="BK665" i="6" s="1"/>
  <c r="AA666" i="6" s="1"/>
  <c r="BK666" i="6" s="1"/>
  <c r="AA667" i="6" s="1"/>
  <c r="BK667" i="6" s="1"/>
  <c r="AA668" i="6" s="1"/>
  <c r="BK668" i="6" s="1"/>
  <c r="AA669" i="6" s="1"/>
  <c r="BK669" i="6" s="1"/>
  <c r="AA670" i="6" s="1"/>
  <c r="BK670" i="6" s="1"/>
  <c r="AA671" i="6" s="1"/>
  <c r="BK671" i="6" s="1"/>
  <c r="AA672" i="6" s="1"/>
  <c r="BK672" i="6" s="1"/>
  <c r="AA673" i="6" s="1"/>
  <c r="BK673" i="6" s="1"/>
  <c r="AA674" i="6" s="1"/>
  <c r="BK674" i="6" s="1"/>
  <c r="AA675" i="6" s="1"/>
  <c r="BK675" i="6" s="1"/>
  <c r="AA676" i="6" s="1"/>
  <c r="BK676" i="6" s="1"/>
  <c r="AA677" i="6" s="1"/>
  <c r="BK677" i="6" s="1"/>
  <c r="AA678" i="6" s="1"/>
  <c r="BK678" i="6" s="1"/>
  <c r="AA679" i="6" s="1"/>
  <c r="BK679" i="6" s="1"/>
  <c r="AA680" i="6" s="1"/>
  <c r="BK680" i="6" s="1"/>
  <c r="AA681" i="6" s="1"/>
  <c r="BK681" i="6" s="1"/>
  <c r="AA682" i="6" s="1"/>
  <c r="BK682" i="6" s="1"/>
  <c r="AA683" i="6" s="1"/>
  <c r="BK683" i="6" s="1"/>
  <c r="AA684" i="6" s="1"/>
  <c r="BK684" i="6" s="1"/>
  <c r="AA685" i="6" s="1"/>
  <c r="BK685" i="6" s="1"/>
  <c r="AA686" i="6" s="1"/>
  <c r="BK686" i="6" s="1"/>
  <c r="AA687" i="6" s="1"/>
  <c r="BK687" i="6" s="1"/>
  <c r="AA688" i="6" s="1"/>
  <c r="BK688" i="6" s="1"/>
  <c r="AA689" i="6" s="1"/>
  <c r="BK689" i="6" s="1"/>
  <c r="U655" i="6"/>
  <c r="Q655" i="6"/>
  <c r="BA655" i="6" s="1"/>
  <c r="Q656" i="6" s="1"/>
  <c r="BA656" i="6" s="1"/>
  <c r="Q657" i="6" s="1"/>
  <c r="BA657" i="6" s="1"/>
  <c r="Q658" i="6" s="1"/>
  <c r="BA658" i="6" s="1"/>
  <c r="Q659" i="6" s="1"/>
  <c r="O655" i="6"/>
  <c r="AY655" i="6" s="1"/>
  <c r="O656" i="6" s="1"/>
  <c r="AY656" i="6" s="1"/>
  <c r="O657" i="6" s="1"/>
  <c r="AY657" i="6" s="1"/>
  <c r="O658" i="6" s="1"/>
  <c r="AY658" i="6" s="1"/>
  <c r="O659" i="6" s="1"/>
  <c r="AY659" i="6" s="1"/>
  <c r="O660" i="6" s="1"/>
  <c r="AY660" i="6" s="1"/>
  <c r="O661" i="6" s="1"/>
  <c r="AY661" i="6" s="1"/>
  <c r="O662" i="6" s="1"/>
  <c r="AY662" i="6" s="1"/>
  <c r="O663" i="6" s="1"/>
  <c r="AY663" i="6" s="1"/>
  <c r="O664" i="6" s="1"/>
  <c r="AY664" i="6" s="1"/>
  <c r="O665" i="6" s="1"/>
  <c r="AY665" i="6" s="1"/>
  <c r="O666" i="6" s="1"/>
  <c r="AY666" i="6" s="1"/>
  <c r="O667" i="6" s="1"/>
  <c r="AY667" i="6" s="1"/>
  <c r="O668" i="6" s="1"/>
  <c r="AY668" i="6" s="1"/>
  <c r="O669" i="6" s="1"/>
  <c r="AY669" i="6" s="1"/>
  <c r="O670" i="6" s="1"/>
  <c r="AY670" i="6" s="1"/>
  <c r="O671" i="6" s="1"/>
  <c r="AY671" i="6" s="1"/>
  <c r="O672" i="6" s="1"/>
  <c r="AY672" i="6" s="1"/>
  <c r="O673" i="6" s="1"/>
  <c r="AY673" i="6" s="1"/>
  <c r="O674" i="6" s="1"/>
  <c r="AY674" i="6" s="1"/>
  <c r="O675" i="6" s="1"/>
  <c r="AY675" i="6" s="1"/>
  <c r="O676" i="6" s="1"/>
  <c r="AY676" i="6" s="1"/>
  <c r="O677" i="6" s="1"/>
  <c r="AY677" i="6" s="1"/>
  <c r="O678" i="6" s="1"/>
  <c r="AY678" i="6" s="1"/>
  <c r="O679" i="6" s="1"/>
  <c r="AY679" i="6" s="1"/>
  <c r="O680" i="6" s="1"/>
  <c r="AY680" i="6" s="1"/>
  <c r="O681" i="6" s="1"/>
  <c r="AY681" i="6" s="1"/>
  <c r="O682" i="6" s="1"/>
  <c r="AY682" i="6" s="1"/>
  <c r="O683" i="6" s="1"/>
  <c r="AY683" i="6" s="1"/>
  <c r="O684" i="6" s="1"/>
  <c r="AY684" i="6" s="1"/>
  <c r="O685" i="6" s="1"/>
  <c r="AY685" i="6" s="1"/>
  <c r="O686" i="6" s="1"/>
  <c r="AY686" i="6" s="1"/>
  <c r="O687" i="6" s="1"/>
  <c r="AY687" i="6" s="1"/>
  <c r="O688" i="6" s="1"/>
  <c r="AY688" i="6" s="1"/>
  <c r="O689" i="6" s="1"/>
  <c r="AY689" i="6" s="1"/>
  <c r="K655" i="6"/>
  <c r="I655" i="6"/>
  <c r="H655" i="6"/>
  <c r="G655" i="6"/>
  <c r="F655" i="6"/>
  <c r="E655" i="6"/>
  <c r="D655" i="6"/>
  <c r="C655" i="6"/>
  <c r="B655" i="6"/>
  <c r="A655" i="6"/>
  <c r="BN654" i="6"/>
  <c r="BO654" i="6" s="1"/>
  <c r="BN655" i="6" s="1"/>
  <c r="BL654" i="6"/>
  <c r="AB655" i="6" s="1"/>
  <c r="BL655" i="6" s="1"/>
  <c r="AB656" i="6" s="1"/>
  <c r="BL656" i="6" s="1"/>
  <c r="AB657" i="6" s="1"/>
  <c r="BL657" i="6" s="1"/>
  <c r="AB658" i="6" s="1"/>
  <c r="BL658" i="6" s="1"/>
  <c r="AB659" i="6" s="1"/>
  <c r="BL659" i="6" s="1"/>
  <c r="AB660" i="6" s="1"/>
  <c r="BL660" i="6" s="1"/>
  <c r="AB661" i="6" s="1"/>
  <c r="BL661" i="6" s="1"/>
  <c r="AB662" i="6" s="1"/>
  <c r="BL662" i="6" s="1"/>
  <c r="AB663" i="6" s="1"/>
  <c r="BL663" i="6" s="1"/>
  <c r="AB664" i="6" s="1"/>
  <c r="BL664" i="6" s="1"/>
  <c r="AB665" i="6" s="1"/>
  <c r="BL665" i="6" s="1"/>
  <c r="AB666" i="6" s="1"/>
  <c r="BL666" i="6" s="1"/>
  <c r="AB667" i="6" s="1"/>
  <c r="BL667" i="6" s="1"/>
  <c r="AB668" i="6" s="1"/>
  <c r="BL668" i="6" s="1"/>
  <c r="AB669" i="6" s="1"/>
  <c r="BL669" i="6" s="1"/>
  <c r="AB670" i="6" s="1"/>
  <c r="BL670" i="6" s="1"/>
  <c r="AB671" i="6" s="1"/>
  <c r="BL671" i="6" s="1"/>
  <c r="AB672" i="6" s="1"/>
  <c r="BL672" i="6" s="1"/>
  <c r="AB673" i="6" s="1"/>
  <c r="BL673" i="6" s="1"/>
  <c r="AB674" i="6" s="1"/>
  <c r="BL674" i="6" s="1"/>
  <c r="AB675" i="6" s="1"/>
  <c r="BL675" i="6" s="1"/>
  <c r="AB676" i="6" s="1"/>
  <c r="BL676" i="6" s="1"/>
  <c r="AB677" i="6" s="1"/>
  <c r="BL677" i="6" s="1"/>
  <c r="AB678" i="6" s="1"/>
  <c r="BL678" i="6" s="1"/>
  <c r="AB679" i="6" s="1"/>
  <c r="BL679" i="6" s="1"/>
  <c r="AB680" i="6" s="1"/>
  <c r="BL680" i="6" s="1"/>
  <c r="AB681" i="6" s="1"/>
  <c r="BL681" i="6" s="1"/>
  <c r="AB682" i="6" s="1"/>
  <c r="BL682" i="6" s="1"/>
  <c r="AB683" i="6" s="1"/>
  <c r="BL683" i="6" s="1"/>
  <c r="AB684" i="6" s="1"/>
  <c r="BL684" i="6" s="1"/>
  <c r="AB685" i="6" s="1"/>
  <c r="BL685" i="6" s="1"/>
  <c r="AB686" i="6" s="1"/>
  <c r="BL686" i="6" s="1"/>
  <c r="AB687" i="6" s="1"/>
  <c r="BL687" i="6" s="1"/>
  <c r="AB688" i="6" s="1"/>
  <c r="BL688" i="6" s="1"/>
  <c r="AB689" i="6" s="1"/>
  <c r="BL689" i="6" s="1"/>
  <c r="BH654" i="6"/>
  <c r="X655" i="6" s="1"/>
  <c r="BH655" i="6" s="1"/>
  <c r="BF654" i="6"/>
  <c r="V655" i="6" s="1"/>
  <c r="BF655" i="6" s="1"/>
  <c r="BE654" i="6"/>
  <c r="AV654" i="6"/>
  <c r="L655" i="6" s="1"/>
  <c r="AT654" i="6"/>
  <c r="AO654" i="6"/>
  <c r="AF654" i="6"/>
  <c r="AC654" i="6"/>
  <c r="BM654" i="6" s="1"/>
  <c r="AC655" i="6" s="1"/>
  <c r="BM655" i="6" s="1"/>
  <c r="AC656" i="6" s="1"/>
  <c r="BM656" i="6" s="1"/>
  <c r="AC657" i="6" s="1"/>
  <c r="BM657" i="6" s="1"/>
  <c r="AC658" i="6" s="1"/>
  <c r="BM658" i="6" s="1"/>
  <c r="AC659" i="6" s="1"/>
  <c r="BM659" i="6" s="1"/>
  <c r="AC660" i="6" s="1"/>
  <c r="BM660" i="6" s="1"/>
  <c r="AC661" i="6" s="1"/>
  <c r="BM661" i="6" s="1"/>
  <c r="AC662" i="6" s="1"/>
  <c r="BM662" i="6" s="1"/>
  <c r="AC663" i="6" s="1"/>
  <c r="BM663" i="6" s="1"/>
  <c r="AC664" i="6" s="1"/>
  <c r="BM664" i="6" s="1"/>
  <c r="AC665" i="6" s="1"/>
  <c r="BM665" i="6" s="1"/>
  <c r="AC666" i="6" s="1"/>
  <c r="BM666" i="6" s="1"/>
  <c r="AC667" i="6" s="1"/>
  <c r="BM667" i="6" s="1"/>
  <c r="AC668" i="6" s="1"/>
  <c r="BM668" i="6" s="1"/>
  <c r="AC669" i="6" s="1"/>
  <c r="BM669" i="6" s="1"/>
  <c r="AC670" i="6" s="1"/>
  <c r="BM670" i="6" s="1"/>
  <c r="AC671" i="6" s="1"/>
  <c r="BM671" i="6" s="1"/>
  <c r="AC672" i="6" s="1"/>
  <c r="BM672" i="6" s="1"/>
  <c r="AC673" i="6" s="1"/>
  <c r="BM673" i="6" s="1"/>
  <c r="AC674" i="6" s="1"/>
  <c r="BM674" i="6" s="1"/>
  <c r="AC675" i="6" s="1"/>
  <c r="BM675" i="6" s="1"/>
  <c r="AC676" i="6" s="1"/>
  <c r="BM676" i="6" s="1"/>
  <c r="AC677" i="6" s="1"/>
  <c r="BM677" i="6" s="1"/>
  <c r="AC678" i="6" s="1"/>
  <c r="BM678" i="6" s="1"/>
  <c r="AC679" i="6" s="1"/>
  <c r="BM679" i="6" s="1"/>
  <c r="AC680" i="6" s="1"/>
  <c r="BM680" i="6" s="1"/>
  <c r="AC681" i="6" s="1"/>
  <c r="BM681" i="6" s="1"/>
  <c r="AC682" i="6" s="1"/>
  <c r="BM682" i="6" s="1"/>
  <c r="AC683" i="6" s="1"/>
  <c r="BM683" i="6" s="1"/>
  <c r="AC684" i="6" s="1"/>
  <c r="BM684" i="6" s="1"/>
  <c r="AC685" i="6" s="1"/>
  <c r="BM685" i="6" s="1"/>
  <c r="AC686" i="6" s="1"/>
  <c r="BM686" i="6" s="1"/>
  <c r="AC687" i="6" s="1"/>
  <c r="BM687" i="6" s="1"/>
  <c r="AC688" i="6" s="1"/>
  <c r="BM688" i="6" s="1"/>
  <c r="AC689" i="6" s="1"/>
  <c r="BM689" i="6" s="1"/>
  <c r="AB654" i="6"/>
  <c r="AA654" i="6"/>
  <c r="BK654" i="6" s="1"/>
  <c r="Z654" i="6"/>
  <c r="BJ654" i="6" s="1"/>
  <c r="Z655" i="6" s="1"/>
  <c r="BJ655" i="6" s="1"/>
  <c r="Z656" i="6" s="1"/>
  <c r="BJ656" i="6" s="1"/>
  <c r="Z657" i="6" s="1"/>
  <c r="BJ657" i="6" s="1"/>
  <c r="Z658" i="6" s="1"/>
  <c r="BJ658" i="6" s="1"/>
  <c r="Z659" i="6" s="1"/>
  <c r="BJ659" i="6" s="1"/>
  <c r="Z660" i="6" s="1"/>
  <c r="BJ660" i="6" s="1"/>
  <c r="Z661" i="6" s="1"/>
  <c r="BJ661" i="6" s="1"/>
  <c r="Z662" i="6" s="1"/>
  <c r="BJ662" i="6" s="1"/>
  <c r="Z663" i="6" s="1"/>
  <c r="BJ663" i="6" s="1"/>
  <c r="Z664" i="6" s="1"/>
  <c r="BJ664" i="6" s="1"/>
  <c r="Z665" i="6" s="1"/>
  <c r="BJ665" i="6" s="1"/>
  <c r="Z666" i="6" s="1"/>
  <c r="BJ666" i="6" s="1"/>
  <c r="Z667" i="6" s="1"/>
  <c r="BJ667" i="6" s="1"/>
  <c r="Z668" i="6" s="1"/>
  <c r="BJ668" i="6" s="1"/>
  <c r="Z669" i="6" s="1"/>
  <c r="BJ669" i="6" s="1"/>
  <c r="Z670" i="6" s="1"/>
  <c r="BJ670" i="6" s="1"/>
  <c r="Z671" i="6" s="1"/>
  <c r="BJ671" i="6" s="1"/>
  <c r="Z672" i="6" s="1"/>
  <c r="BJ672" i="6" s="1"/>
  <c r="Z673" i="6" s="1"/>
  <c r="BJ673" i="6" s="1"/>
  <c r="Z674" i="6" s="1"/>
  <c r="BJ674" i="6" s="1"/>
  <c r="Z675" i="6" s="1"/>
  <c r="BJ675" i="6" s="1"/>
  <c r="Z676" i="6" s="1"/>
  <c r="BJ676" i="6" s="1"/>
  <c r="Z677" i="6" s="1"/>
  <c r="BJ677" i="6" s="1"/>
  <c r="Z678" i="6" s="1"/>
  <c r="BJ678" i="6" s="1"/>
  <c r="Z679" i="6" s="1"/>
  <c r="BJ679" i="6" s="1"/>
  <c r="Z680" i="6" s="1"/>
  <c r="BJ680" i="6" s="1"/>
  <c r="Z681" i="6" s="1"/>
  <c r="BJ681" i="6" s="1"/>
  <c r="Z682" i="6" s="1"/>
  <c r="BJ682" i="6" s="1"/>
  <c r="Z683" i="6" s="1"/>
  <c r="BJ683" i="6" s="1"/>
  <c r="Z684" i="6" s="1"/>
  <c r="BJ684" i="6" s="1"/>
  <c r="Z685" i="6" s="1"/>
  <c r="BJ685" i="6" s="1"/>
  <c r="Z686" i="6" s="1"/>
  <c r="BJ686" i="6" s="1"/>
  <c r="Z687" i="6" s="1"/>
  <c r="BJ687" i="6" s="1"/>
  <c r="Z688" i="6" s="1"/>
  <c r="BJ688" i="6" s="1"/>
  <c r="Z689" i="6" s="1"/>
  <c r="BJ689" i="6" s="1"/>
  <c r="Y654" i="6"/>
  <c r="BI654" i="6" s="1"/>
  <c r="Y655" i="6" s="1"/>
  <c r="BI655" i="6" s="1"/>
  <c r="Y656" i="6" s="1"/>
  <c r="BI656" i="6" s="1"/>
  <c r="X654" i="6"/>
  <c r="W654" i="6"/>
  <c r="BG654" i="6" s="1"/>
  <c r="W655" i="6" s="1"/>
  <c r="BG655" i="6" s="1"/>
  <c r="W656" i="6" s="1"/>
  <c r="V654" i="6"/>
  <c r="U654" i="6"/>
  <c r="T654" i="6"/>
  <c r="BD654" i="6" s="1"/>
  <c r="T655" i="6" s="1"/>
  <c r="S654" i="6"/>
  <c r="BC654" i="6" s="1"/>
  <c r="S655" i="6" s="1"/>
  <c r="BC655" i="6" s="1"/>
  <c r="S656" i="6" s="1"/>
  <c r="BC656" i="6" s="1"/>
  <c r="S657" i="6" s="1"/>
  <c r="BC657" i="6" s="1"/>
  <c r="S658" i="6" s="1"/>
  <c r="BC658" i="6" s="1"/>
  <c r="S659" i="6" s="1"/>
  <c r="BC659" i="6" s="1"/>
  <c r="S660" i="6" s="1"/>
  <c r="BC660" i="6" s="1"/>
  <c r="S661" i="6" s="1"/>
  <c r="BC661" i="6" s="1"/>
  <c r="S662" i="6" s="1"/>
  <c r="BC662" i="6" s="1"/>
  <c r="S663" i="6" s="1"/>
  <c r="BC663" i="6" s="1"/>
  <c r="S664" i="6" s="1"/>
  <c r="BC664" i="6" s="1"/>
  <c r="S665" i="6" s="1"/>
  <c r="BC665" i="6" s="1"/>
  <c r="S666" i="6" s="1"/>
  <c r="BC666" i="6" s="1"/>
  <c r="S667" i="6" s="1"/>
  <c r="BC667" i="6" s="1"/>
  <c r="S668" i="6" s="1"/>
  <c r="BC668" i="6" s="1"/>
  <c r="S669" i="6" s="1"/>
  <c r="BC669" i="6" s="1"/>
  <c r="S670" i="6" s="1"/>
  <c r="BC670" i="6" s="1"/>
  <c r="S671" i="6" s="1"/>
  <c r="BC671" i="6" s="1"/>
  <c r="S672" i="6" s="1"/>
  <c r="BC672" i="6" s="1"/>
  <c r="S673" i="6" s="1"/>
  <c r="BC673" i="6" s="1"/>
  <c r="S674" i="6" s="1"/>
  <c r="BC674" i="6" s="1"/>
  <c r="S675" i="6" s="1"/>
  <c r="BC675" i="6" s="1"/>
  <c r="S676" i="6" s="1"/>
  <c r="BC676" i="6" s="1"/>
  <c r="S677" i="6" s="1"/>
  <c r="BC677" i="6" s="1"/>
  <c r="S678" i="6" s="1"/>
  <c r="BC678" i="6" s="1"/>
  <c r="S679" i="6" s="1"/>
  <c r="BC679" i="6" s="1"/>
  <c r="S680" i="6" s="1"/>
  <c r="BC680" i="6" s="1"/>
  <c r="S681" i="6" s="1"/>
  <c r="BC681" i="6" s="1"/>
  <c r="S682" i="6" s="1"/>
  <c r="BC682" i="6" s="1"/>
  <c r="S683" i="6" s="1"/>
  <c r="BC683" i="6" s="1"/>
  <c r="S684" i="6" s="1"/>
  <c r="BC684" i="6" s="1"/>
  <c r="S685" i="6" s="1"/>
  <c r="BC685" i="6" s="1"/>
  <c r="S686" i="6" s="1"/>
  <c r="BC686" i="6" s="1"/>
  <c r="S687" i="6" s="1"/>
  <c r="BC687" i="6" s="1"/>
  <c r="S688" i="6" s="1"/>
  <c r="BC688" i="6" s="1"/>
  <c r="S689" i="6" s="1"/>
  <c r="BC689" i="6" s="1"/>
  <c r="R654" i="6"/>
  <c r="BB654" i="6" s="1"/>
  <c r="R655" i="6" s="1"/>
  <c r="BB655" i="6" s="1"/>
  <c r="R656" i="6" s="1"/>
  <c r="BB656" i="6" s="1"/>
  <c r="R657" i="6" s="1"/>
  <c r="BB657" i="6" s="1"/>
  <c r="R658" i="6" s="1"/>
  <c r="BB658" i="6" s="1"/>
  <c r="R659" i="6" s="1"/>
  <c r="BB659" i="6" s="1"/>
  <c r="R660" i="6" s="1"/>
  <c r="BB660" i="6" s="1"/>
  <c r="R661" i="6" s="1"/>
  <c r="BB661" i="6" s="1"/>
  <c r="R662" i="6" s="1"/>
  <c r="BB662" i="6" s="1"/>
  <c r="R663" i="6" s="1"/>
  <c r="BB663" i="6" s="1"/>
  <c r="R664" i="6" s="1"/>
  <c r="BB664" i="6" s="1"/>
  <c r="R665" i="6" s="1"/>
  <c r="BB665" i="6" s="1"/>
  <c r="R666" i="6" s="1"/>
  <c r="BB666" i="6" s="1"/>
  <c r="R667" i="6" s="1"/>
  <c r="BB667" i="6" s="1"/>
  <c r="R668" i="6" s="1"/>
  <c r="BB668" i="6" s="1"/>
  <c r="R669" i="6" s="1"/>
  <c r="BB669" i="6" s="1"/>
  <c r="R670" i="6" s="1"/>
  <c r="BB670" i="6" s="1"/>
  <c r="R671" i="6" s="1"/>
  <c r="BB671" i="6" s="1"/>
  <c r="R672" i="6" s="1"/>
  <c r="BB672" i="6" s="1"/>
  <c r="R673" i="6" s="1"/>
  <c r="BB673" i="6" s="1"/>
  <c r="R674" i="6" s="1"/>
  <c r="BB674" i="6" s="1"/>
  <c r="R675" i="6" s="1"/>
  <c r="BB675" i="6" s="1"/>
  <c r="R676" i="6" s="1"/>
  <c r="BB676" i="6" s="1"/>
  <c r="R677" i="6" s="1"/>
  <c r="BB677" i="6" s="1"/>
  <c r="R678" i="6" s="1"/>
  <c r="BB678" i="6" s="1"/>
  <c r="R679" i="6" s="1"/>
  <c r="BB679" i="6" s="1"/>
  <c r="R680" i="6" s="1"/>
  <c r="BB680" i="6" s="1"/>
  <c r="R681" i="6" s="1"/>
  <c r="BB681" i="6" s="1"/>
  <c r="R682" i="6" s="1"/>
  <c r="BB682" i="6" s="1"/>
  <c r="R683" i="6" s="1"/>
  <c r="BB683" i="6" s="1"/>
  <c r="R684" i="6" s="1"/>
  <c r="BB684" i="6" s="1"/>
  <c r="R685" i="6" s="1"/>
  <c r="BB685" i="6" s="1"/>
  <c r="R686" i="6" s="1"/>
  <c r="BB686" i="6" s="1"/>
  <c r="R687" i="6" s="1"/>
  <c r="BB687" i="6" s="1"/>
  <c r="R688" i="6" s="1"/>
  <c r="BB688" i="6" s="1"/>
  <c r="R689" i="6" s="1"/>
  <c r="BB689" i="6" s="1"/>
  <c r="Q654" i="6"/>
  <c r="BA654" i="6" s="1"/>
  <c r="O654" i="6"/>
  <c r="AY654" i="6" s="1"/>
  <c r="N654" i="6"/>
  <c r="AX654" i="6" s="1"/>
  <c r="N655" i="6" s="1"/>
  <c r="AX655" i="6" s="1"/>
  <c r="N656" i="6" s="1"/>
  <c r="AX656" i="6" s="1"/>
  <c r="N657" i="6" s="1"/>
  <c r="AX657" i="6" s="1"/>
  <c r="N658" i="6" s="1"/>
  <c r="AX658" i="6" s="1"/>
  <c r="N659" i="6" s="1"/>
  <c r="AX659" i="6" s="1"/>
  <c r="N660" i="6" s="1"/>
  <c r="AX660" i="6" s="1"/>
  <c r="M654" i="6"/>
  <c r="AW654" i="6" s="1"/>
  <c r="M655" i="6" s="1"/>
  <c r="AW655" i="6" s="1"/>
  <c r="M656" i="6" s="1"/>
  <c r="L654" i="6"/>
  <c r="J654" i="6"/>
  <c r="H654" i="6"/>
  <c r="G654" i="6"/>
  <c r="F654" i="6"/>
  <c r="AP654" i="6" s="1"/>
  <c r="E654" i="6"/>
  <c r="D654" i="6"/>
  <c r="C654" i="6"/>
  <c r="B654" i="6"/>
  <c r="A654" i="6"/>
  <c r="AO653" i="6"/>
  <c r="AE653" i="6"/>
  <c r="K653" i="6"/>
  <c r="I653" i="6"/>
  <c r="H653" i="6"/>
  <c r="G653" i="6"/>
  <c r="F653" i="6"/>
  <c r="J653" i="6" s="1"/>
  <c r="E653" i="6"/>
  <c r="D653" i="6"/>
  <c r="C653" i="6"/>
  <c r="B653" i="6"/>
  <c r="A653" i="6"/>
  <c r="AO652" i="6"/>
  <c r="H652" i="6"/>
  <c r="G652" i="6"/>
  <c r="F652" i="6"/>
  <c r="E652" i="6"/>
  <c r="D652" i="6"/>
  <c r="C652" i="6"/>
  <c r="B652" i="6"/>
  <c r="A652" i="6"/>
  <c r="AO651" i="6"/>
  <c r="AE651" i="6"/>
  <c r="K651" i="6"/>
  <c r="J651" i="6"/>
  <c r="I651" i="6"/>
  <c r="H651" i="6"/>
  <c r="G651" i="6"/>
  <c r="F651" i="6"/>
  <c r="E651" i="6"/>
  <c r="D651" i="6"/>
  <c r="C651" i="6"/>
  <c r="B651" i="6"/>
  <c r="A651" i="6"/>
  <c r="AO650" i="6"/>
  <c r="J650" i="6"/>
  <c r="H650" i="6"/>
  <c r="G650" i="6"/>
  <c r="F650" i="6"/>
  <c r="E650" i="6"/>
  <c r="D650" i="6"/>
  <c r="C650" i="6"/>
  <c r="B650" i="6"/>
  <c r="A650" i="6"/>
  <c r="AO649" i="6"/>
  <c r="K649" i="6"/>
  <c r="I649" i="6"/>
  <c r="H649" i="6"/>
  <c r="G649" i="6"/>
  <c r="F649" i="6"/>
  <c r="E649" i="6"/>
  <c r="D649" i="6"/>
  <c r="C649" i="6"/>
  <c r="B649" i="6"/>
  <c r="A649" i="6"/>
  <c r="AO648" i="6"/>
  <c r="H648" i="6"/>
  <c r="G648" i="6"/>
  <c r="F648" i="6"/>
  <c r="E648" i="6"/>
  <c r="D648" i="6"/>
  <c r="C648" i="6"/>
  <c r="B648" i="6"/>
  <c r="A648" i="6"/>
  <c r="AO647" i="6"/>
  <c r="AE647" i="6"/>
  <c r="K647" i="6"/>
  <c r="I647" i="6"/>
  <c r="H647" i="6"/>
  <c r="G647" i="6"/>
  <c r="AI647" i="6" s="1"/>
  <c r="F647" i="6"/>
  <c r="J647" i="6" s="1"/>
  <c r="E647" i="6"/>
  <c r="D647" i="6"/>
  <c r="C647" i="6"/>
  <c r="B647" i="6"/>
  <c r="A647" i="6"/>
  <c r="AO646" i="6"/>
  <c r="H646" i="6"/>
  <c r="G646" i="6"/>
  <c r="F646" i="6"/>
  <c r="E646" i="6"/>
  <c r="D646" i="6"/>
  <c r="C646" i="6"/>
  <c r="B646" i="6"/>
  <c r="A646" i="6"/>
  <c r="AO645" i="6"/>
  <c r="AE645" i="6"/>
  <c r="K645" i="6"/>
  <c r="J645" i="6"/>
  <c r="I645" i="6"/>
  <c r="H645" i="6"/>
  <c r="G645" i="6"/>
  <c r="F645" i="6"/>
  <c r="E645" i="6"/>
  <c r="D645" i="6"/>
  <c r="C645" i="6"/>
  <c r="B645" i="6"/>
  <c r="A645" i="6"/>
  <c r="AO644" i="6"/>
  <c r="AI644" i="6"/>
  <c r="K644" i="6"/>
  <c r="J644" i="6"/>
  <c r="I644" i="6"/>
  <c r="H644" i="6"/>
  <c r="G644" i="6"/>
  <c r="F644" i="6"/>
  <c r="AE644" i="6" s="1"/>
  <c r="E644" i="6"/>
  <c r="D644" i="6"/>
  <c r="C644" i="6"/>
  <c r="B644" i="6"/>
  <c r="A644" i="6"/>
  <c r="AO643" i="6"/>
  <c r="AI643" i="6"/>
  <c r="H643" i="6"/>
  <c r="G643" i="6"/>
  <c r="F643" i="6"/>
  <c r="J643" i="6" s="1"/>
  <c r="E643" i="6"/>
  <c r="D643" i="6"/>
  <c r="C643" i="6"/>
  <c r="B643" i="6"/>
  <c r="A643" i="6"/>
  <c r="AO642" i="6"/>
  <c r="H642" i="6"/>
  <c r="G642" i="6"/>
  <c r="F642" i="6"/>
  <c r="E642" i="6"/>
  <c r="D642" i="6"/>
  <c r="C642" i="6"/>
  <c r="B642" i="6"/>
  <c r="A642" i="6"/>
  <c r="AO641" i="6"/>
  <c r="AI641" i="6"/>
  <c r="H641" i="6"/>
  <c r="G641" i="6"/>
  <c r="F641" i="6"/>
  <c r="J641" i="6" s="1"/>
  <c r="E641" i="6"/>
  <c r="D641" i="6"/>
  <c r="C641" i="6"/>
  <c r="B641" i="6"/>
  <c r="A641" i="6"/>
  <c r="AT640" i="6"/>
  <c r="H640" i="6"/>
  <c r="G640" i="6"/>
  <c r="F640" i="6"/>
  <c r="E640" i="6"/>
  <c r="D640" i="6"/>
  <c r="C640" i="6"/>
  <c r="B640" i="6"/>
  <c r="A640" i="6"/>
  <c r="AT639" i="6"/>
  <c r="AO639" i="6"/>
  <c r="AE639" i="6"/>
  <c r="K639" i="6"/>
  <c r="J639" i="6"/>
  <c r="I639" i="6"/>
  <c r="H639" i="6"/>
  <c r="G639" i="6"/>
  <c r="F639" i="6"/>
  <c r="E639" i="6"/>
  <c r="D639" i="6"/>
  <c r="C639" i="6"/>
  <c r="B639" i="6"/>
  <c r="A639" i="6"/>
  <c r="AT638" i="6"/>
  <c r="AO638" i="6"/>
  <c r="AE638" i="6"/>
  <c r="K638" i="6"/>
  <c r="J638" i="6"/>
  <c r="H638" i="6"/>
  <c r="G638" i="6"/>
  <c r="F638" i="6"/>
  <c r="E638" i="6"/>
  <c r="D638" i="6"/>
  <c r="C638" i="6"/>
  <c r="B638" i="6"/>
  <c r="A638" i="6"/>
  <c r="AT637" i="6"/>
  <c r="AO637" i="6"/>
  <c r="J637" i="6"/>
  <c r="I637" i="6"/>
  <c r="H637" i="6"/>
  <c r="G637" i="6"/>
  <c r="F637" i="6"/>
  <c r="AI637" i="6" s="1"/>
  <c r="E637" i="6"/>
  <c r="D637" i="6"/>
  <c r="C637" i="6"/>
  <c r="B637" i="6"/>
  <c r="A637" i="6"/>
  <c r="AT636" i="6"/>
  <c r="AO636" i="6"/>
  <c r="AE636" i="6"/>
  <c r="J636" i="6"/>
  <c r="I636" i="6"/>
  <c r="H636" i="6"/>
  <c r="G636" i="6"/>
  <c r="F636" i="6"/>
  <c r="AI636" i="6" s="1"/>
  <c r="E636" i="6"/>
  <c r="D636" i="6"/>
  <c r="C636" i="6"/>
  <c r="B636" i="6"/>
  <c r="A636" i="6"/>
  <c r="AT635" i="6"/>
  <c r="AO635" i="6"/>
  <c r="AE635" i="6"/>
  <c r="K635" i="6"/>
  <c r="J635" i="6"/>
  <c r="I635" i="6"/>
  <c r="H635" i="6"/>
  <c r="AF635" i="6" s="1"/>
  <c r="G635" i="6"/>
  <c r="F635" i="6"/>
  <c r="E635" i="6"/>
  <c r="D635" i="6"/>
  <c r="C635" i="6"/>
  <c r="B635" i="6"/>
  <c r="A635" i="6"/>
  <c r="AT634" i="6"/>
  <c r="H634" i="6"/>
  <c r="G634" i="6"/>
  <c r="F634" i="6"/>
  <c r="AI634" i="6" s="1"/>
  <c r="E634" i="6"/>
  <c r="D634" i="6"/>
  <c r="C634" i="6"/>
  <c r="B634" i="6"/>
  <c r="A634" i="6"/>
  <c r="AT633" i="6"/>
  <c r="AO633" i="6"/>
  <c r="AF633" i="6"/>
  <c r="AE633" i="6"/>
  <c r="I633" i="6"/>
  <c r="H633" i="6"/>
  <c r="G633" i="6"/>
  <c r="F633" i="6"/>
  <c r="E633" i="6"/>
  <c r="D633" i="6"/>
  <c r="C633" i="6"/>
  <c r="B633" i="6"/>
  <c r="A633" i="6"/>
  <c r="AT632" i="6"/>
  <c r="AO632" i="6"/>
  <c r="AF632" i="6"/>
  <c r="AE632" i="6"/>
  <c r="K632" i="6"/>
  <c r="I632" i="6"/>
  <c r="H632" i="6"/>
  <c r="G632" i="6"/>
  <c r="F632" i="6"/>
  <c r="E632" i="6"/>
  <c r="D632" i="6"/>
  <c r="C632" i="6"/>
  <c r="B632" i="6"/>
  <c r="A632" i="6"/>
  <c r="AT631" i="6"/>
  <c r="AO631" i="6"/>
  <c r="AI631" i="6"/>
  <c r="AF631" i="6"/>
  <c r="K631" i="6"/>
  <c r="H631" i="6"/>
  <c r="G631" i="6"/>
  <c r="F631" i="6"/>
  <c r="E631" i="6"/>
  <c r="D631" i="6"/>
  <c r="C631" i="6"/>
  <c r="B631" i="6"/>
  <c r="A631" i="6"/>
  <c r="AT630" i="6"/>
  <c r="AO630" i="6"/>
  <c r="H630" i="6"/>
  <c r="G630" i="6"/>
  <c r="F630" i="6"/>
  <c r="E630" i="6"/>
  <c r="D630" i="6"/>
  <c r="C630" i="6"/>
  <c r="B630" i="6"/>
  <c r="A630" i="6"/>
  <c r="BI629" i="6"/>
  <c r="Y630" i="6" s="1"/>
  <c r="BI630" i="6" s="1"/>
  <c r="Y631" i="6" s="1"/>
  <c r="BI631" i="6" s="1"/>
  <c r="Y632" i="6" s="1"/>
  <c r="BI632" i="6" s="1"/>
  <c r="Y633" i="6" s="1"/>
  <c r="BI633" i="6" s="1"/>
  <c r="Y634" i="6" s="1"/>
  <c r="BI634" i="6" s="1"/>
  <c r="Y635" i="6" s="1"/>
  <c r="BI635" i="6" s="1"/>
  <c r="Y636" i="6" s="1"/>
  <c r="BI636" i="6" s="1"/>
  <c r="Y637" i="6" s="1"/>
  <c r="BI637" i="6" s="1"/>
  <c r="Y638" i="6" s="1"/>
  <c r="BI638" i="6" s="1"/>
  <c r="Y639" i="6" s="1"/>
  <c r="BI639" i="6" s="1"/>
  <c r="Y640" i="6" s="1"/>
  <c r="BI640" i="6" s="1"/>
  <c r="Y641" i="6" s="1"/>
  <c r="BI641" i="6" s="1"/>
  <c r="Y642" i="6" s="1"/>
  <c r="BI642" i="6" s="1"/>
  <c r="Y643" i="6" s="1"/>
  <c r="BI643" i="6" s="1"/>
  <c r="Y644" i="6" s="1"/>
  <c r="BI644" i="6" s="1"/>
  <c r="Y645" i="6" s="1"/>
  <c r="BI645" i="6" s="1"/>
  <c r="Y646" i="6" s="1"/>
  <c r="BI646" i="6" s="1"/>
  <c r="Y647" i="6" s="1"/>
  <c r="BI647" i="6" s="1"/>
  <c r="Y648" i="6" s="1"/>
  <c r="BI648" i="6" s="1"/>
  <c r="Y649" i="6" s="1"/>
  <c r="BI649" i="6" s="1"/>
  <c r="Y650" i="6" s="1"/>
  <c r="BI650" i="6" s="1"/>
  <c r="Y651" i="6" s="1"/>
  <c r="BI651" i="6" s="1"/>
  <c r="Y652" i="6" s="1"/>
  <c r="BI652" i="6" s="1"/>
  <c r="Y653" i="6" s="1"/>
  <c r="BI653" i="6" s="1"/>
  <c r="AT629" i="6"/>
  <c r="Y629" i="6"/>
  <c r="H629" i="6"/>
  <c r="G629" i="6"/>
  <c r="F629" i="6"/>
  <c r="AI629" i="6" s="1"/>
  <c r="E629" i="6"/>
  <c r="D629" i="6"/>
  <c r="C629" i="6"/>
  <c r="B629" i="6"/>
  <c r="A629" i="6"/>
  <c r="AT628" i="6"/>
  <c r="AI628" i="6"/>
  <c r="K628" i="6"/>
  <c r="H628" i="6"/>
  <c r="G628" i="6"/>
  <c r="F628" i="6"/>
  <c r="AE628" i="6" s="1"/>
  <c r="E628" i="6"/>
  <c r="D628" i="6"/>
  <c r="C628" i="6"/>
  <c r="B628" i="6"/>
  <c r="A628" i="6"/>
  <c r="AT627" i="6"/>
  <c r="AO627" i="6"/>
  <c r="H627" i="6"/>
  <c r="AF627" i="6" s="1"/>
  <c r="G627" i="6"/>
  <c r="F627" i="6"/>
  <c r="AI627" i="6" s="1"/>
  <c r="E627" i="6"/>
  <c r="D627" i="6"/>
  <c r="C627" i="6"/>
  <c r="B627" i="6"/>
  <c r="A627" i="6"/>
  <c r="AT626" i="6"/>
  <c r="AO626" i="6"/>
  <c r="AE626" i="6"/>
  <c r="K626" i="6"/>
  <c r="J626" i="6"/>
  <c r="H626" i="6"/>
  <c r="G626" i="6"/>
  <c r="F626" i="6"/>
  <c r="E626" i="6"/>
  <c r="D626" i="6"/>
  <c r="C626" i="6"/>
  <c r="B626" i="6"/>
  <c r="A626" i="6"/>
  <c r="AT625" i="6"/>
  <c r="AO625" i="6"/>
  <c r="AF625" i="6"/>
  <c r="J625" i="6"/>
  <c r="I625" i="6"/>
  <c r="H625" i="6"/>
  <c r="G625" i="6"/>
  <c r="F625" i="6"/>
  <c r="AI625" i="6" s="1"/>
  <c r="E625" i="6"/>
  <c r="D625" i="6"/>
  <c r="C625" i="6"/>
  <c r="B625" i="6"/>
  <c r="A625" i="6"/>
  <c r="AT624" i="6"/>
  <c r="AO624" i="6"/>
  <c r="AE624" i="6"/>
  <c r="X624" i="6"/>
  <c r="BH624" i="6" s="1"/>
  <c r="X625" i="6" s="1"/>
  <c r="BH625" i="6" s="1"/>
  <c r="X626" i="6" s="1"/>
  <c r="BH626" i="6" s="1"/>
  <c r="X627" i="6" s="1"/>
  <c r="BH627" i="6" s="1"/>
  <c r="X628" i="6" s="1"/>
  <c r="BH628" i="6" s="1"/>
  <c r="X629" i="6" s="1"/>
  <c r="BH629" i="6" s="1"/>
  <c r="X630" i="6" s="1"/>
  <c r="BH630" i="6" s="1"/>
  <c r="X631" i="6" s="1"/>
  <c r="BH631" i="6" s="1"/>
  <c r="X632" i="6" s="1"/>
  <c r="BH632" i="6" s="1"/>
  <c r="X633" i="6" s="1"/>
  <c r="BH633" i="6" s="1"/>
  <c r="X634" i="6" s="1"/>
  <c r="BH634" i="6" s="1"/>
  <c r="X635" i="6" s="1"/>
  <c r="BH635" i="6" s="1"/>
  <c r="X636" i="6" s="1"/>
  <c r="BH636" i="6" s="1"/>
  <c r="X637" i="6" s="1"/>
  <c r="BH637" i="6" s="1"/>
  <c r="X638" i="6" s="1"/>
  <c r="BH638" i="6" s="1"/>
  <c r="X639" i="6" s="1"/>
  <c r="BH639" i="6" s="1"/>
  <c r="X640" i="6" s="1"/>
  <c r="BH640" i="6" s="1"/>
  <c r="X641" i="6" s="1"/>
  <c r="BH641" i="6" s="1"/>
  <c r="X642" i="6" s="1"/>
  <c r="BH642" i="6" s="1"/>
  <c r="X643" i="6" s="1"/>
  <c r="BH643" i="6" s="1"/>
  <c r="X644" i="6" s="1"/>
  <c r="BH644" i="6" s="1"/>
  <c r="X645" i="6" s="1"/>
  <c r="BH645" i="6" s="1"/>
  <c r="X646" i="6" s="1"/>
  <c r="BH646" i="6" s="1"/>
  <c r="X647" i="6" s="1"/>
  <c r="BH647" i="6" s="1"/>
  <c r="X648" i="6" s="1"/>
  <c r="BH648" i="6" s="1"/>
  <c r="X649" i="6" s="1"/>
  <c r="BH649" i="6" s="1"/>
  <c r="X650" i="6" s="1"/>
  <c r="BH650" i="6" s="1"/>
  <c r="X651" i="6" s="1"/>
  <c r="BH651" i="6" s="1"/>
  <c r="X652" i="6" s="1"/>
  <c r="BH652" i="6" s="1"/>
  <c r="X653" i="6" s="1"/>
  <c r="BH653" i="6" s="1"/>
  <c r="J624" i="6"/>
  <c r="I624" i="6"/>
  <c r="H624" i="6"/>
  <c r="AF624" i="6" s="1"/>
  <c r="G624" i="6"/>
  <c r="F624" i="6"/>
  <c r="AI624" i="6" s="1"/>
  <c r="E624" i="6"/>
  <c r="D624" i="6"/>
  <c r="C624" i="6"/>
  <c r="B624" i="6"/>
  <c r="A624" i="6"/>
  <c r="BO623" i="6"/>
  <c r="BN624" i="6" s="1"/>
  <c r="BO624" i="6" s="1"/>
  <c r="BN625" i="6" s="1"/>
  <c r="BO625" i="6" s="1"/>
  <c r="BN626" i="6" s="1"/>
  <c r="BC623" i="6"/>
  <c r="S624" i="6" s="1"/>
  <c r="BC624" i="6" s="1"/>
  <c r="S625" i="6" s="1"/>
  <c r="BC625" i="6" s="1"/>
  <c r="S626" i="6" s="1"/>
  <c r="BC626" i="6" s="1"/>
  <c r="S627" i="6" s="1"/>
  <c r="BC627" i="6" s="1"/>
  <c r="S628" i="6" s="1"/>
  <c r="BC628" i="6" s="1"/>
  <c r="S629" i="6" s="1"/>
  <c r="BC629" i="6" s="1"/>
  <c r="S630" i="6" s="1"/>
  <c r="BC630" i="6" s="1"/>
  <c r="S631" i="6" s="1"/>
  <c r="BC631" i="6" s="1"/>
  <c r="S632" i="6" s="1"/>
  <c r="BC632" i="6" s="1"/>
  <c r="S633" i="6" s="1"/>
  <c r="BC633" i="6" s="1"/>
  <c r="S634" i="6" s="1"/>
  <c r="BC634" i="6" s="1"/>
  <c r="S635" i="6" s="1"/>
  <c r="BC635" i="6" s="1"/>
  <c r="S636" i="6" s="1"/>
  <c r="BC636" i="6" s="1"/>
  <c r="S637" i="6" s="1"/>
  <c r="BC637" i="6" s="1"/>
  <c r="S638" i="6" s="1"/>
  <c r="BC638" i="6" s="1"/>
  <c r="S639" i="6" s="1"/>
  <c r="BC639" i="6" s="1"/>
  <c r="S640" i="6" s="1"/>
  <c r="BC640" i="6" s="1"/>
  <c r="S641" i="6" s="1"/>
  <c r="BC641" i="6" s="1"/>
  <c r="S642" i="6" s="1"/>
  <c r="BC642" i="6" s="1"/>
  <c r="S643" i="6" s="1"/>
  <c r="BC643" i="6" s="1"/>
  <c r="S644" i="6" s="1"/>
  <c r="BC644" i="6" s="1"/>
  <c r="S645" i="6" s="1"/>
  <c r="BC645" i="6" s="1"/>
  <c r="S646" i="6" s="1"/>
  <c r="BC646" i="6" s="1"/>
  <c r="S647" i="6" s="1"/>
  <c r="BC647" i="6" s="1"/>
  <c r="S648" i="6" s="1"/>
  <c r="BC648" i="6" s="1"/>
  <c r="S649" i="6" s="1"/>
  <c r="BC649" i="6" s="1"/>
  <c r="S650" i="6" s="1"/>
  <c r="BC650" i="6" s="1"/>
  <c r="S651" i="6" s="1"/>
  <c r="BC651" i="6" s="1"/>
  <c r="S652" i="6" s="1"/>
  <c r="BC652" i="6" s="1"/>
  <c r="S653" i="6" s="1"/>
  <c r="BC653" i="6" s="1"/>
  <c r="AT623" i="6"/>
  <c r="AE623" i="6"/>
  <c r="S623" i="6"/>
  <c r="K623" i="6"/>
  <c r="J623" i="6"/>
  <c r="I623" i="6"/>
  <c r="H623" i="6"/>
  <c r="G623" i="6"/>
  <c r="F623" i="6"/>
  <c r="E623" i="6"/>
  <c r="D623" i="6"/>
  <c r="C623" i="6"/>
  <c r="B623" i="6"/>
  <c r="A623" i="6"/>
  <c r="AT622" i="6"/>
  <c r="H622" i="6"/>
  <c r="G622" i="6"/>
  <c r="F622" i="6"/>
  <c r="AI622" i="6" s="1"/>
  <c r="E622" i="6"/>
  <c r="D622" i="6"/>
  <c r="C622" i="6"/>
  <c r="B622" i="6"/>
  <c r="A622" i="6"/>
  <c r="AT621" i="6"/>
  <c r="AO621" i="6"/>
  <c r="AE621" i="6"/>
  <c r="I621" i="6"/>
  <c r="H621" i="6"/>
  <c r="G621" i="6"/>
  <c r="F621" i="6"/>
  <c r="AP621" i="6" s="1"/>
  <c r="E621" i="6"/>
  <c r="D621" i="6"/>
  <c r="C621" i="6"/>
  <c r="B621" i="6"/>
  <c r="A621" i="6"/>
  <c r="AT620" i="6"/>
  <c r="AO620" i="6"/>
  <c r="AF620" i="6"/>
  <c r="AE620" i="6"/>
  <c r="K620" i="6"/>
  <c r="I620" i="6"/>
  <c r="H620" i="6"/>
  <c r="G620" i="6"/>
  <c r="F620" i="6"/>
  <c r="E620" i="6"/>
  <c r="D620" i="6"/>
  <c r="C620" i="6"/>
  <c r="B620" i="6"/>
  <c r="A620" i="6"/>
  <c r="AT619" i="6"/>
  <c r="AO619" i="6"/>
  <c r="AI619" i="6"/>
  <c r="AF619" i="6"/>
  <c r="K619" i="6"/>
  <c r="H619" i="6"/>
  <c r="G619" i="6"/>
  <c r="F619" i="6"/>
  <c r="E619" i="6"/>
  <c r="D619" i="6"/>
  <c r="C619" i="6"/>
  <c r="B619" i="6"/>
  <c r="A619" i="6"/>
  <c r="BN618" i="6"/>
  <c r="BO618" i="6" s="1"/>
  <c r="BN619" i="6" s="1"/>
  <c r="BO619" i="6" s="1"/>
  <c r="BN620" i="6" s="1"/>
  <c r="BO620" i="6" s="1"/>
  <c r="BN621" i="6" s="1"/>
  <c r="BO621" i="6" s="1"/>
  <c r="BN622" i="6" s="1"/>
  <c r="BO622" i="6" s="1"/>
  <c r="BN623" i="6" s="1"/>
  <c r="BE618" i="6"/>
  <c r="BE619" i="6" s="1"/>
  <c r="AT618" i="6"/>
  <c r="AO618" i="6"/>
  <c r="AF618" i="6"/>
  <c r="AC618" i="6"/>
  <c r="BM618" i="6" s="1"/>
  <c r="AC619" i="6" s="1"/>
  <c r="BM619" i="6" s="1"/>
  <c r="AC620" i="6" s="1"/>
  <c r="BM620" i="6" s="1"/>
  <c r="AC621" i="6" s="1"/>
  <c r="BM621" i="6" s="1"/>
  <c r="AC622" i="6" s="1"/>
  <c r="BM622" i="6" s="1"/>
  <c r="AC623" i="6" s="1"/>
  <c r="BM623" i="6" s="1"/>
  <c r="AC624" i="6" s="1"/>
  <c r="BM624" i="6" s="1"/>
  <c r="AC625" i="6" s="1"/>
  <c r="BM625" i="6" s="1"/>
  <c r="AC626" i="6" s="1"/>
  <c r="BM626" i="6" s="1"/>
  <c r="AC627" i="6" s="1"/>
  <c r="BM627" i="6" s="1"/>
  <c r="AC628" i="6" s="1"/>
  <c r="BM628" i="6" s="1"/>
  <c r="AC629" i="6" s="1"/>
  <c r="BM629" i="6" s="1"/>
  <c r="AC630" i="6" s="1"/>
  <c r="BM630" i="6" s="1"/>
  <c r="AC631" i="6" s="1"/>
  <c r="BM631" i="6" s="1"/>
  <c r="AC632" i="6" s="1"/>
  <c r="BM632" i="6" s="1"/>
  <c r="AC633" i="6" s="1"/>
  <c r="BM633" i="6" s="1"/>
  <c r="AC634" i="6" s="1"/>
  <c r="BM634" i="6" s="1"/>
  <c r="AC635" i="6" s="1"/>
  <c r="BM635" i="6" s="1"/>
  <c r="AC636" i="6" s="1"/>
  <c r="BM636" i="6" s="1"/>
  <c r="AC637" i="6" s="1"/>
  <c r="BM637" i="6" s="1"/>
  <c r="AC638" i="6" s="1"/>
  <c r="BM638" i="6" s="1"/>
  <c r="AC639" i="6" s="1"/>
  <c r="BM639" i="6" s="1"/>
  <c r="AC640" i="6" s="1"/>
  <c r="BM640" i="6" s="1"/>
  <c r="AC641" i="6" s="1"/>
  <c r="BM641" i="6" s="1"/>
  <c r="AC642" i="6" s="1"/>
  <c r="BM642" i="6" s="1"/>
  <c r="AC643" i="6" s="1"/>
  <c r="BM643" i="6" s="1"/>
  <c r="AC644" i="6" s="1"/>
  <c r="BM644" i="6" s="1"/>
  <c r="AC645" i="6" s="1"/>
  <c r="BM645" i="6" s="1"/>
  <c r="AC646" i="6" s="1"/>
  <c r="BM646" i="6" s="1"/>
  <c r="AC647" i="6" s="1"/>
  <c r="BM647" i="6" s="1"/>
  <c r="AC648" i="6" s="1"/>
  <c r="BM648" i="6" s="1"/>
  <c r="AC649" i="6" s="1"/>
  <c r="BM649" i="6" s="1"/>
  <c r="AC650" i="6" s="1"/>
  <c r="BM650" i="6" s="1"/>
  <c r="AC651" i="6" s="1"/>
  <c r="BM651" i="6" s="1"/>
  <c r="AC652" i="6" s="1"/>
  <c r="BM652" i="6" s="1"/>
  <c r="AC653" i="6" s="1"/>
  <c r="BM653" i="6" s="1"/>
  <c r="AB618" i="6"/>
  <c r="BL618" i="6" s="1"/>
  <c r="AB619" i="6" s="1"/>
  <c r="BL619" i="6" s="1"/>
  <c r="AB620" i="6" s="1"/>
  <c r="BL620" i="6" s="1"/>
  <c r="AB621" i="6" s="1"/>
  <c r="BL621" i="6" s="1"/>
  <c r="AB622" i="6" s="1"/>
  <c r="BL622" i="6" s="1"/>
  <c r="AB623" i="6" s="1"/>
  <c r="BL623" i="6" s="1"/>
  <c r="AB624" i="6" s="1"/>
  <c r="BL624" i="6" s="1"/>
  <c r="AB625" i="6" s="1"/>
  <c r="BL625" i="6" s="1"/>
  <c r="AB626" i="6" s="1"/>
  <c r="BL626" i="6" s="1"/>
  <c r="AB627" i="6" s="1"/>
  <c r="BL627" i="6" s="1"/>
  <c r="AB628" i="6" s="1"/>
  <c r="BL628" i="6" s="1"/>
  <c r="AB629" i="6" s="1"/>
  <c r="BL629" i="6" s="1"/>
  <c r="AB630" i="6" s="1"/>
  <c r="BL630" i="6" s="1"/>
  <c r="AB631" i="6" s="1"/>
  <c r="BL631" i="6" s="1"/>
  <c r="AB632" i="6" s="1"/>
  <c r="BL632" i="6" s="1"/>
  <c r="AB633" i="6" s="1"/>
  <c r="BL633" i="6" s="1"/>
  <c r="AB634" i="6" s="1"/>
  <c r="BL634" i="6" s="1"/>
  <c r="AB635" i="6" s="1"/>
  <c r="BL635" i="6" s="1"/>
  <c r="AB636" i="6" s="1"/>
  <c r="BL636" i="6" s="1"/>
  <c r="AB637" i="6" s="1"/>
  <c r="BL637" i="6" s="1"/>
  <c r="AB638" i="6" s="1"/>
  <c r="BL638" i="6" s="1"/>
  <c r="AB639" i="6" s="1"/>
  <c r="BL639" i="6" s="1"/>
  <c r="AB640" i="6" s="1"/>
  <c r="BL640" i="6" s="1"/>
  <c r="AB641" i="6" s="1"/>
  <c r="BL641" i="6" s="1"/>
  <c r="AB642" i="6" s="1"/>
  <c r="BL642" i="6" s="1"/>
  <c r="AB643" i="6" s="1"/>
  <c r="BL643" i="6" s="1"/>
  <c r="AB644" i="6" s="1"/>
  <c r="BL644" i="6" s="1"/>
  <c r="AB645" i="6" s="1"/>
  <c r="BL645" i="6" s="1"/>
  <c r="AB646" i="6" s="1"/>
  <c r="BL646" i="6" s="1"/>
  <c r="AB647" i="6" s="1"/>
  <c r="BL647" i="6" s="1"/>
  <c r="AB648" i="6" s="1"/>
  <c r="BL648" i="6" s="1"/>
  <c r="AB649" i="6" s="1"/>
  <c r="BL649" i="6" s="1"/>
  <c r="AB650" i="6" s="1"/>
  <c r="BL650" i="6" s="1"/>
  <c r="AB651" i="6" s="1"/>
  <c r="BL651" i="6" s="1"/>
  <c r="AB652" i="6" s="1"/>
  <c r="BL652" i="6" s="1"/>
  <c r="AB653" i="6" s="1"/>
  <c r="BL653" i="6" s="1"/>
  <c r="AA618" i="6"/>
  <c r="BK618" i="6" s="1"/>
  <c r="AA619" i="6" s="1"/>
  <c r="BK619" i="6" s="1"/>
  <c r="AA620" i="6" s="1"/>
  <c r="BK620" i="6" s="1"/>
  <c r="AA621" i="6" s="1"/>
  <c r="BK621" i="6" s="1"/>
  <c r="AA622" i="6" s="1"/>
  <c r="BK622" i="6" s="1"/>
  <c r="AA623" i="6" s="1"/>
  <c r="BK623" i="6" s="1"/>
  <c r="AA624" i="6" s="1"/>
  <c r="BK624" i="6" s="1"/>
  <c r="AA625" i="6" s="1"/>
  <c r="BK625" i="6" s="1"/>
  <c r="AA626" i="6" s="1"/>
  <c r="BK626" i="6" s="1"/>
  <c r="AA627" i="6" s="1"/>
  <c r="BK627" i="6" s="1"/>
  <c r="AA628" i="6" s="1"/>
  <c r="BK628" i="6" s="1"/>
  <c r="AA629" i="6" s="1"/>
  <c r="BK629" i="6" s="1"/>
  <c r="AA630" i="6" s="1"/>
  <c r="BK630" i="6" s="1"/>
  <c r="AA631" i="6" s="1"/>
  <c r="BK631" i="6" s="1"/>
  <c r="AA632" i="6" s="1"/>
  <c r="BK632" i="6" s="1"/>
  <c r="AA633" i="6" s="1"/>
  <c r="BK633" i="6" s="1"/>
  <c r="AA634" i="6" s="1"/>
  <c r="BK634" i="6" s="1"/>
  <c r="AA635" i="6" s="1"/>
  <c r="BK635" i="6" s="1"/>
  <c r="AA636" i="6" s="1"/>
  <c r="BK636" i="6" s="1"/>
  <c r="AA637" i="6" s="1"/>
  <c r="BK637" i="6" s="1"/>
  <c r="AA638" i="6" s="1"/>
  <c r="BK638" i="6" s="1"/>
  <c r="AA639" i="6" s="1"/>
  <c r="BK639" i="6" s="1"/>
  <c r="AA640" i="6" s="1"/>
  <c r="BK640" i="6" s="1"/>
  <c r="AA641" i="6" s="1"/>
  <c r="BK641" i="6" s="1"/>
  <c r="AA642" i="6" s="1"/>
  <c r="BK642" i="6" s="1"/>
  <c r="AA643" i="6" s="1"/>
  <c r="BK643" i="6" s="1"/>
  <c r="AA644" i="6" s="1"/>
  <c r="BK644" i="6" s="1"/>
  <c r="AA645" i="6" s="1"/>
  <c r="BK645" i="6" s="1"/>
  <c r="AA646" i="6" s="1"/>
  <c r="BK646" i="6" s="1"/>
  <c r="AA647" i="6" s="1"/>
  <c r="BK647" i="6" s="1"/>
  <c r="AA648" i="6" s="1"/>
  <c r="BK648" i="6" s="1"/>
  <c r="AA649" i="6" s="1"/>
  <c r="BK649" i="6" s="1"/>
  <c r="AA650" i="6" s="1"/>
  <c r="BK650" i="6" s="1"/>
  <c r="AA651" i="6" s="1"/>
  <c r="BK651" i="6" s="1"/>
  <c r="AA652" i="6" s="1"/>
  <c r="BK652" i="6" s="1"/>
  <c r="AA653" i="6" s="1"/>
  <c r="BK653" i="6" s="1"/>
  <c r="Z618" i="6"/>
  <c r="BJ618" i="6" s="1"/>
  <c r="Z619" i="6" s="1"/>
  <c r="BJ619" i="6" s="1"/>
  <c r="Z620" i="6" s="1"/>
  <c r="BJ620" i="6" s="1"/>
  <c r="Z621" i="6" s="1"/>
  <c r="BJ621" i="6" s="1"/>
  <c r="Z622" i="6" s="1"/>
  <c r="BJ622" i="6" s="1"/>
  <c r="Z623" i="6" s="1"/>
  <c r="BJ623" i="6" s="1"/>
  <c r="Z624" i="6" s="1"/>
  <c r="BJ624" i="6" s="1"/>
  <c r="Z625" i="6" s="1"/>
  <c r="BJ625" i="6" s="1"/>
  <c r="Z626" i="6" s="1"/>
  <c r="BJ626" i="6" s="1"/>
  <c r="Z627" i="6" s="1"/>
  <c r="BJ627" i="6" s="1"/>
  <c r="Z628" i="6" s="1"/>
  <c r="BJ628" i="6" s="1"/>
  <c r="Z629" i="6" s="1"/>
  <c r="BJ629" i="6" s="1"/>
  <c r="Z630" i="6" s="1"/>
  <c r="BJ630" i="6" s="1"/>
  <c r="Z631" i="6" s="1"/>
  <c r="BJ631" i="6" s="1"/>
  <c r="Z632" i="6" s="1"/>
  <c r="BJ632" i="6" s="1"/>
  <c r="Z633" i="6" s="1"/>
  <c r="BJ633" i="6" s="1"/>
  <c r="Z634" i="6" s="1"/>
  <c r="BJ634" i="6" s="1"/>
  <c r="Z635" i="6" s="1"/>
  <c r="BJ635" i="6" s="1"/>
  <c r="Z636" i="6" s="1"/>
  <c r="BJ636" i="6" s="1"/>
  <c r="Z637" i="6" s="1"/>
  <c r="BJ637" i="6" s="1"/>
  <c r="Z638" i="6" s="1"/>
  <c r="BJ638" i="6" s="1"/>
  <c r="Z639" i="6" s="1"/>
  <c r="BJ639" i="6" s="1"/>
  <c r="Z640" i="6" s="1"/>
  <c r="BJ640" i="6" s="1"/>
  <c r="Z641" i="6" s="1"/>
  <c r="BJ641" i="6" s="1"/>
  <c r="Z642" i="6" s="1"/>
  <c r="BJ642" i="6" s="1"/>
  <c r="Z643" i="6" s="1"/>
  <c r="BJ643" i="6" s="1"/>
  <c r="Z644" i="6" s="1"/>
  <c r="BJ644" i="6" s="1"/>
  <c r="Z645" i="6" s="1"/>
  <c r="BJ645" i="6" s="1"/>
  <c r="Z646" i="6" s="1"/>
  <c r="BJ646" i="6" s="1"/>
  <c r="Z647" i="6" s="1"/>
  <c r="BJ647" i="6" s="1"/>
  <c r="Z648" i="6" s="1"/>
  <c r="BJ648" i="6" s="1"/>
  <c r="Z649" i="6" s="1"/>
  <c r="BJ649" i="6" s="1"/>
  <c r="Z650" i="6" s="1"/>
  <c r="BJ650" i="6" s="1"/>
  <c r="Z651" i="6" s="1"/>
  <c r="BJ651" i="6" s="1"/>
  <c r="Z652" i="6" s="1"/>
  <c r="BJ652" i="6" s="1"/>
  <c r="Z653" i="6" s="1"/>
  <c r="BJ653" i="6" s="1"/>
  <c r="Y618" i="6"/>
  <c r="BI618" i="6" s="1"/>
  <c r="Y619" i="6" s="1"/>
  <c r="BI619" i="6" s="1"/>
  <c r="Y620" i="6" s="1"/>
  <c r="BI620" i="6" s="1"/>
  <c r="Y621" i="6" s="1"/>
  <c r="BI621" i="6" s="1"/>
  <c r="Y622" i="6" s="1"/>
  <c r="BI622" i="6" s="1"/>
  <c r="Y623" i="6" s="1"/>
  <c r="BI623" i="6" s="1"/>
  <c r="Y624" i="6" s="1"/>
  <c r="BI624" i="6" s="1"/>
  <c r="Y625" i="6" s="1"/>
  <c r="BI625" i="6" s="1"/>
  <c r="Y626" i="6" s="1"/>
  <c r="BI626" i="6" s="1"/>
  <c r="Y627" i="6" s="1"/>
  <c r="BI627" i="6" s="1"/>
  <c r="Y628" i="6" s="1"/>
  <c r="BI628" i="6" s="1"/>
  <c r="X618" i="6"/>
  <c r="BH618" i="6" s="1"/>
  <c r="X619" i="6" s="1"/>
  <c r="BH619" i="6" s="1"/>
  <c r="X620" i="6" s="1"/>
  <c r="BH620" i="6" s="1"/>
  <c r="X621" i="6" s="1"/>
  <c r="BH621" i="6" s="1"/>
  <c r="X622" i="6" s="1"/>
  <c r="BH622" i="6" s="1"/>
  <c r="X623" i="6" s="1"/>
  <c r="BH623" i="6" s="1"/>
  <c r="W618" i="6"/>
  <c r="BG618" i="6" s="1"/>
  <c r="W619" i="6" s="1"/>
  <c r="BG619" i="6" s="1"/>
  <c r="W620" i="6" s="1"/>
  <c r="BG620" i="6" s="1"/>
  <c r="W621" i="6" s="1"/>
  <c r="BG621" i="6" s="1"/>
  <c r="W622" i="6" s="1"/>
  <c r="BG622" i="6" s="1"/>
  <c r="W623" i="6" s="1"/>
  <c r="V618" i="6"/>
  <c r="BF618" i="6" s="1"/>
  <c r="V619" i="6" s="1"/>
  <c r="BF619" i="6" s="1"/>
  <c r="V620" i="6" s="1"/>
  <c r="BF620" i="6" s="1"/>
  <c r="V621" i="6" s="1"/>
  <c r="BF621" i="6" s="1"/>
  <c r="V622" i="6" s="1"/>
  <c r="BF622" i="6" s="1"/>
  <c r="V623" i="6" s="1"/>
  <c r="BF623" i="6" s="1"/>
  <c r="V624" i="6" s="1"/>
  <c r="BF624" i="6" s="1"/>
  <c r="V625" i="6" s="1"/>
  <c r="BF625" i="6" s="1"/>
  <c r="V626" i="6" s="1"/>
  <c r="BF626" i="6" s="1"/>
  <c r="V627" i="6" s="1"/>
  <c r="BF627" i="6" s="1"/>
  <c r="V628" i="6" s="1"/>
  <c r="BF628" i="6" s="1"/>
  <c r="V629" i="6" s="1"/>
  <c r="BF629" i="6" s="1"/>
  <c r="V630" i="6" s="1"/>
  <c r="BF630" i="6" s="1"/>
  <c r="V631" i="6" s="1"/>
  <c r="BF631" i="6" s="1"/>
  <c r="V632" i="6" s="1"/>
  <c r="BF632" i="6" s="1"/>
  <c r="V633" i="6" s="1"/>
  <c r="BF633" i="6" s="1"/>
  <c r="V634" i="6" s="1"/>
  <c r="BF634" i="6" s="1"/>
  <c r="V635" i="6" s="1"/>
  <c r="BF635" i="6" s="1"/>
  <c r="V636" i="6" s="1"/>
  <c r="BF636" i="6" s="1"/>
  <c r="V637" i="6" s="1"/>
  <c r="BF637" i="6" s="1"/>
  <c r="V638" i="6" s="1"/>
  <c r="BF638" i="6" s="1"/>
  <c r="V639" i="6" s="1"/>
  <c r="BF639" i="6" s="1"/>
  <c r="V640" i="6" s="1"/>
  <c r="BF640" i="6" s="1"/>
  <c r="V641" i="6" s="1"/>
  <c r="U618" i="6"/>
  <c r="T618" i="6"/>
  <c r="BD618" i="6" s="1"/>
  <c r="T619" i="6" s="1"/>
  <c r="BD619" i="6" s="1"/>
  <c r="T620" i="6" s="1"/>
  <c r="BD620" i="6" s="1"/>
  <c r="T621" i="6" s="1"/>
  <c r="BD621" i="6" s="1"/>
  <c r="T622" i="6" s="1"/>
  <c r="S618" i="6"/>
  <c r="BC618" i="6" s="1"/>
  <c r="S619" i="6" s="1"/>
  <c r="BC619" i="6" s="1"/>
  <c r="S620" i="6" s="1"/>
  <c r="BC620" i="6" s="1"/>
  <c r="S621" i="6" s="1"/>
  <c r="BC621" i="6" s="1"/>
  <c r="S622" i="6" s="1"/>
  <c r="BC622" i="6" s="1"/>
  <c r="R618" i="6"/>
  <c r="BB618" i="6" s="1"/>
  <c r="R619" i="6" s="1"/>
  <c r="BB619" i="6" s="1"/>
  <c r="R620" i="6" s="1"/>
  <c r="BB620" i="6" s="1"/>
  <c r="R621" i="6" s="1"/>
  <c r="BB621" i="6" s="1"/>
  <c r="R622" i="6" s="1"/>
  <c r="BB622" i="6" s="1"/>
  <c r="R623" i="6" s="1"/>
  <c r="BB623" i="6" s="1"/>
  <c r="R624" i="6" s="1"/>
  <c r="BB624" i="6" s="1"/>
  <c r="R625" i="6" s="1"/>
  <c r="BB625" i="6" s="1"/>
  <c r="R626" i="6" s="1"/>
  <c r="BB626" i="6" s="1"/>
  <c r="R627" i="6" s="1"/>
  <c r="BB627" i="6" s="1"/>
  <c r="R628" i="6" s="1"/>
  <c r="BB628" i="6" s="1"/>
  <c r="R629" i="6" s="1"/>
  <c r="BB629" i="6" s="1"/>
  <c r="R630" i="6" s="1"/>
  <c r="BB630" i="6" s="1"/>
  <c r="R631" i="6" s="1"/>
  <c r="BB631" i="6" s="1"/>
  <c r="R632" i="6" s="1"/>
  <c r="BB632" i="6" s="1"/>
  <c r="R633" i="6" s="1"/>
  <c r="BB633" i="6" s="1"/>
  <c r="R634" i="6" s="1"/>
  <c r="BB634" i="6" s="1"/>
  <c r="R635" i="6" s="1"/>
  <c r="BB635" i="6" s="1"/>
  <c r="R636" i="6" s="1"/>
  <c r="BB636" i="6" s="1"/>
  <c r="R637" i="6" s="1"/>
  <c r="BB637" i="6" s="1"/>
  <c r="R638" i="6" s="1"/>
  <c r="BB638" i="6" s="1"/>
  <c r="R639" i="6" s="1"/>
  <c r="BB639" i="6" s="1"/>
  <c r="R640" i="6" s="1"/>
  <c r="BB640" i="6" s="1"/>
  <c r="R641" i="6" s="1"/>
  <c r="BB641" i="6" s="1"/>
  <c r="R642" i="6" s="1"/>
  <c r="BB642" i="6" s="1"/>
  <c r="R643" i="6" s="1"/>
  <c r="BB643" i="6" s="1"/>
  <c r="R644" i="6" s="1"/>
  <c r="BB644" i="6" s="1"/>
  <c r="R645" i="6" s="1"/>
  <c r="BB645" i="6" s="1"/>
  <c r="R646" i="6" s="1"/>
  <c r="BB646" i="6" s="1"/>
  <c r="R647" i="6" s="1"/>
  <c r="BB647" i="6" s="1"/>
  <c r="R648" i="6" s="1"/>
  <c r="BB648" i="6" s="1"/>
  <c r="R649" i="6" s="1"/>
  <c r="BB649" i="6" s="1"/>
  <c r="R650" i="6" s="1"/>
  <c r="BB650" i="6" s="1"/>
  <c r="R651" i="6" s="1"/>
  <c r="BB651" i="6" s="1"/>
  <c r="R652" i="6" s="1"/>
  <c r="BB652" i="6" s="1"/>
  <c r="R653" i="6" s="1"/>
  <c r="BB653" i="6" s="1"/>
  <c r="Q618" i="6"/>
  <c r="BA618" i="6" s="1"/>
  <c r="Q619" i="6" s="1"/>
  <c r="BA619" i="6" s="1"/>
  <c r="Q620" i="6" s="1"/>
  <c r="BA620" i="6" s="1"/>
  <c r="Q621" i="6" s="1"/>
  <c r="BA621" i="6" s="1"/>
  <c r="Q622" i="6" s="1"/>
  <c r="BA622" i="6" s="1"/>
  <c r="Q623" i="6" s="1"/>
  <c r="O618" i="6"/>
  <c r="AY618" i="6" s="1"/>
  <c r="O619" i="6" s="1"/>
  <c r="AY619" i="6" s="1"/>
  <c r="O620" i="6" s="1"/>
  <c r="AY620" i="6" s="1"/>
  <c r="O621" i="6" s="1"/>
  <c r="AY621" i="6" s="1"/>
  <c r="O622" i="6" s="1"/>
  <c r="AY622" i="6" s="1"/>
  <c r="O623" i="6" s="1"/>
  <c r="AY623" i="6" s="1"/>
  <c r="O624" i="6" s="1"/>
  <c r="AY624" i="6" s="1"/>
  <c r="O625" i="6" s="1"/>
  <c r="AY625" i="6" s="1"/>
  <c r="O626" i="6" s="1"/>
  <c r="AY626" i="6" s="1"/>
  <c r="O627" i="6" s="1"/>
  <c r="AY627" i="6" s="1"/>
  <c r="O628" i="6" s="1"/>
  <c r="AY628" i="6" s="1"/>
  <c r="O629" i="6" s="1"/>
  <c r="AY629" i="6" s="1"/>
  <c r="O630" i="6" s="1"/>
  <c r="AY630" i="6" s="1"/>
  <c r="O631" i="6" s="1"/>
  <c r="AY631" i="6" s="1"/>
  <c r="O632" i="6" s="1"/>
  <c r="AY632" i="6" s="1"/>
  <c r="O633" i="6" s="1"/>
  <c r="AY633" i="6" s="1"/>
  <c r="O634" i="6" s="1"/>
  <c r="AY634" i="6" s="1"/>
  <c r="O635" i="6" s="1"/>
  <c r="AY635" i="6" s="1"/>
  <c r="O636" i="6" s="1"/>
  <c r="AY636" i="6" s="1"/>
  <c r="O637" i="6" s="1"/>
  <c r="AY637" i="6" s="1"/>
  <c r="O638" i="6" s="1"/>
  <c r="AY638" i="6" s="1"/>
  <c r="O639" i="6" s="1"/>
  <c r="AY639" i="6" s="1"/>
  <c r="O640" i="6" s="1"/>
  <c r="AY640" i="6" s="1"/>
  <c r="O641" i="6" s="1"/>
  <c r="AY641" i="6" s="1"/>
  <c r="O642" i="6" s="1"/>
  <c r="AY642" i="6" s="1"/>
  <c r="O643" i="6" s="1"/>
  <c r="AY643" i="6" s="1"/>
  <c r="O644" i="6" s="1"/>
  <c r="AY644" i="6" s="1"/>
  <c r="O645" i="6" s="1"/>
  <c r="AY645" i="6" s="1"/>
  <c r="O646" i="6" s="1"/>
  <c r="AY646" i="6" s="1"/>
  <c r="O647" i="6" s="1"/>
  <c r="AY647" i="6" s="1"/>
  <c r="O648" i="6" s="1"/>
  <c r="AY648" i="6" s="1"/>
  <c r="O649" i="6" s="1"/>
  <c r="AY649" i="6" s="1"/>
  <c r="O650" i="6" s="1"/>
  <c r="AY650" i="6" s="1"/>
  <c r="O651" i="6" s="1"/>
  <c r="AY651" i="6" s="1"/>
  <c r="O652" i="6" s="1"/>
  <c r="AY652" i="6" s="1"/>
  <c r="O653" i="6" s="1"/>
  <c r="AY653" i="6" s="1"/>
  <c r="N618" i="6"/>
  <c r="AX618" i="6" s="1"/>
  <c r="N619" i="6" s="1"/>
  <c r="AX619" i="6" s="1"/>
  <c r="N620" i="6" s="1"/>
  <c r="AX620" i="6" s="1"/>
  <c r="N621" i="6" s="1"/>
  <c r="AX621" i="6" s="1"/>
  <c r="N622" i="6" s="1"/>
  <c r="AX622" i="6" s="1"/>
  <c r="N623" i="6" s="1"/>
  <c r="AX623" i="6" s="1"/>
  <c r="N624" i="6" s="1"/>
  <c r="AX624" i="6" s="1"/>
  <c r="M618" i="6"/>
  <c r="AW618" i="6" s="1"/>
  <c r="M619" i="6" s="1"/>
  <c r="AW619" i="6" s="1"/>
  <c r="M620" i="6" s="1"/>
  <c r="L618" i="6"/>
  <c r="H618" i="6"/>
  <c r="G618" i="6"/>
  <c r="AV618" i="6" s="1"/>
  <c r="L619" i="6" s="1"/>
  <c r="AV619" i="6" s="1"/>
  <c r="L620" i="6" s="1"/>
  <c r="F618" i="6"/>
  <c r="AP618" i="6" s="1"/>
  <c r="E618" i="6"/>
  <c r="D618" i="6"/>
  <c r="C618" i="6"/>
  <c r="B618" i="6"/>
  <c r="A618" i="6"/>
  <c r="AO617" i="6"/>
  <c r="H617" i="6"/>
  <c r="G617" i="6"/>
  <c r="F617" i="6"/>
  <c r="AI617" i="6" s="1"/>
  <c r="E617" i="6"/>
  <c r="D617" i="6"/>
  <c r="C617" i="6"/>
  <c r="B617" i="6"/>
  <c r="A617" i="6"/>
  <c r="AO616" i="6"/>
  <c r="AI616" i="6"/>
  <c r="K616" i="6"/>
  <c r="H616" i="6"/>
  <c r="G616" i="6"/>
  <c r="F616" i="6"/>
  <c r="AE616" i="6" s="1"/>
  <c r="E616" i="6"/>
  <c r="D616" i="6"/>
  <c r="C616" i="6"/>
  <c r="B616" i="6"/>
  <c r="A616" i="6"/>
  <c r="AO615" i="6"/>
  <c r="H615" i="6"/>
  <c r="G615" i="6"/>
  <c r="F615" i="6"/>
  <c r="AI615" i="6" s="1"/>
  <c r="E615" i="6"/>
  <c r="D615" i="6"/>
  <c r="C615" i="6"/>
  <c r="B615" i="6"/>
  <c r="A615" i="6"/>
  <c r="AO614" i="6"/>
  <c r="AE614" i="6"/>
  <c r="K614" i="6"/>
  <c r="J614" i="6"/>
  <c r="I614" i="6"/>
  <c r="H614" i="6"/>
  <c r="G614" i="6"/>
  <c r="F614" i="6"/>
  <c r="E614" i="6"/>
  <c r="D614" i="6"/>
  <c r="C614" i="6"/>
  <c r="B614" i="6"/>
  <c r="A614" i="6"/>
  <c r="AO613" i="6"/>
  <c r="J613" i="6"/>
  <c r="I613" i="6"/>
  <c r="H613" i="6"/>
  <c r="G613" i="6"/>
  <c r="F613" i="6"/>
  <c r="AI613" i="6" s="1"/>
  <c r="E613" i="6"/>
  <c r="D613" i="6"/>
  <c r="C613" i="6"/>
  <c r="B613" i="6"/>
  <c r="A613" i="6"/>
  <c r="AO612" i="6"/>
  <c r="AE612" i="6"/>
  <c r="K612" i="6"/>
  <c r="J612" i="6"/>
  <c r="I612" i="6"/>
  <c r="H612" i="6"/>
  <c r="G612" i="6"/>
  <c r="F612" i="6"/>
  <c r="AI612" i="6" s="1"/>
  <c r="E612" i="6"/>
  <c r="D612" i="6"/>
  <c r="C612" i="6"/>
  <c r="B612" i="6"/>
  <c r="A612" i="6"/>
  <c r="AO611" i="6"/>
  <c r="AE611" i="6"/>
  <c r="K611" i="6"/>
  <c r="J611" i="6"/>
  <c r="I611" i="6"/>
  <c r="H611" i="6"/>
  <c r="G611" i="6"/>
  <c r="F611" i="6"/>
  <c r="E611" i="6"/>
  <c r="D611" i="6"/>
  <c r="C611" i="6"/>
  <c r="B611" i="6"/>
  <c r="A611" i="6"/>
  <c r="AO610" i="6"/>
  <c r="AE610" i="6"/>
  <c r="H610" i="6"/>
  <c r="G610" i="6"/>
  <c r="F610" i="6"/>
  <c r="AI610" i="6" s="1"/>
  <c r="E610" i="6"/>
  <c r="D610" i="6"/>
  <c r="C610" i="6"/>
  <c r="B610" i="6"/>
  <c r="A610" i="6"/>
  <c r="AO609" i="6"/>
  <c r="AE609" i="6"/>
  <c r="I609" i="6"/>
  <c r="H609" i="6"/>
  <c r="G609" i="6"/>
  <c r="F609" i="6"/>
  <c r="E609" i="6"/>
  <c r="D609" i="6"/>
  <c r="C609" i="6"/>
  <c r="B609" i="6"/>
  <c r="A609" i="6"/>
  <c r="AO608" i="6"/>
  <c r="AE608" i="6"/>
  <c r="K608" i="6"/>
  <c r="I608" i="6"/>
  <c r="H608" i="6"/>
  <c r="G608" i="6"/>
  <c r="F608" i="6"/>
  <c r="J608" i="6" s="1"/>
  <c r="E608" i="6"/>
  <c r="D608" i="6"/>
  <c r="C608" i="6"/>
  <c r="B608" i="6"/>
  <c r="A608" i="6"/>
  <c r="AO607" i="6"/>
  <c r="AI607" i="6"/>
  <c r="K607" i="6"/>
  <c r="H607" i="6"/>
  <c r="G607" i="6"/>
  <c r="F607" i="6"/>
  <c r="J607" i="6" s="1"/>
  <c r="E607" i="6"/>
  <c r="D607" i="6"/>
  <c r="C607" i="6"/>
  <c r="B607" i="6"/>
  <c r="A607" i="6"/>
  <c r="AO606" i="6"/>
  <c r="AI606" i="6"/>
  <c r="H606" i="6"/>
  <c r="G606" i="6"/>
  <c r="F606" i="6"/>
  <c r="E606" i="6"/>
  <c r="D606" i="6"/>
  <c r="C606" i="6"/>
  <c r="B606" i="6"/>
  <c r="A606" i="6"/>
  <c r="AO605" i="6"/>
  <c r="H605" i="6"/>
  <c r="G605" i="6"/>
  <c r="F605" i="6"/>
  <c r="E605" i="6"/>
  <c r="D605" i="6"/>
  <c r="C605" i="6"/>
  <c r="B605" i="6"/>
  <c r="A605" i="6"/>
  <c r="AT604" i="6"/>
  <c r="AI604" i="6"/>
  <c r="K604" i="6"/>
  <c r="H604" i="6"/>
  <c r="G604" i="6"/>
  <c r="F604" i="6"/>
  <c r="AE604" i="6" s="1"/>
  <c r="E604" i="6"/>
  <c r="D604" i="6"/>
  <c r="C604" i="6"/>
  <c r="B604" i="6"/>
  <c r="A604" i="6"/>
  <c r="AT603" i="6"/>
  <c r="AO603" i="6"/>
  <c r="H603" i="6"/>
  <c r="G603" i="6"/>
  <c r="F603" i="6"/>
  <c r="E603" i="6"/>
  <c r="D603" i="6"/>
  <c r="C603" i="6"/>
  <c r="B603" i="6"/>
  <c r="A603" i="6"/>
  <c r="AT602" i="6"/>
  <c r="AO602" i="6"/>
  <c r="AE602" i="6"/>
  <c r="J602" i="6"/>
  <c r="I602" i="6"/>
  <c r="H602" i="6"/>
  <c r="G602" i="6"/>
  <c r="F602" i="6"/>
  <c r="E602" i="6"/>
  <c r="D602" i="6"/>
  <c r="C602" i="6"/>
  <c r="B602" i="6"/>
  <c r="A602" i="6"/>
  <c r="AT601" i="6"/>
  <c r="AO601" i="6"/>
  <c r="AC601" i="6"/>
  <c r="BM601" i="6" s="1"/>
  <c r="AC602" i="6" s="1"/>
  <c r="BM602" i="6" s="1"/>
  <c r="AC603" i="6" s="1"/>
  <c r="BM603" i="6" s="1"/>
  <c r="AC604" i="6" s="1"/>
  <c r="BM604" i="6" s="1"/>
  <c r="AC605" i="6" s="1"/>
  <c r="BM605" i="6" s="1"/>
  <c r="AC606" i="6" s="1"/>
  <c r="BM606" i="6" s="1"/>
  <c r="AC607" i="6" s="1"/>
  <c r="BM607" i="6" s="1"/>
  <c r="AC608" i="6" s="1"/>
  <c r="BM608" i="6" s="1"/>
  <c r="AC609" i="6" s="1"/>
  <c r="BM609" i="6" s="1"/>
  <c r="AC610" i="6" s="1"/>
  <c r="BM610" i="6" s="1"/>
  <c r="AC611" i="6" s="1"/>
  <c r="BM611" i="6" s="1"/>
  <c r="AC612" i="6" s="1"/>
  <c r="BM612" i="6" s="1"/>
  <c r="AC613" i="6" s="1"/>
  <c r="BM613" i="6" s="1"/>
  <c r="AC614" i="6" s="1"/>
  <c r="BM614" i="6" s="1"/>
  <c r="AC615" i="6" s="1"/>
  <c r="BM615" i="6" s="1"/>
  <c r="AC616" i="6" s="1"/>
  <c r="BM616" i="6" s="1"/>
  <c r="AC617" i="6" s="1"/>
  <c r="BM617" i="6" s="1"/>
  <c r="K601" i="6"/>
  <c r="J601" i="6"/>
  <c r="I601" i="6"/>
  <c r="H601" i="6"/>
  <c r="G601" i="6"/>
  <c r="AI601" i="6" s="1"/>
  <c r="F601" i="6"/>
  <c r="E601" i="6"/>
  <c r="D601" i="6"/>
  <c r="C601" i="6"/>
  <c r="B601" i="6"/>
  <c r="A601" i="6"/>
  <c r="AT600" i="6"/>
  <c r="AO600" i="6"/>
  <c r="AE600" i="6"/>
  <c r="K600" i="6"/>
  <c r="J600" i="6"/>
  <c r="I600" i="6"/>
  <c r="H600" i="6"/>
  <c r="G600" i="6"/>
  <c r="AI600" i="6" s="1"/>
  <c r="F600" i="6"/>
  <c r="E600" i="6"/>
  <c r="D600" i="6"/>
  <c r="C600" i="6"/>
  <c r="B600" i="6"/>
  <c r="A600" i="6"/>
  <c r="AT599" i="6"/>
  <c r="AO599" i="6"/>
  <c r="AE599" i="6"/>
  <c r="K599" i="6"/>
  <c r="J599" i="6"/>
  <c r="H599" i="6"/>
  <c r="AF599" i="6" s="1"/>
  <c r="G599" i="6"/>
  <c r="AI599" i="6" s="1"/>
  <c r="F599" i="6"/>
  <c r="E599" i="6"/>
  <c r="D599" i="6"/>
  <c r="C599" i="6"/>
  <c r="B599" i="6"/>
  <c r="A599" i="6"/>
  <c r="BJ598" i="6"/>
  <c r="Z599" i="6" s="1"/>
  <c r="BJ599" i="6" s="1"/>
  <c r="Z600" i="6" s="1"/>
  <c r="BJ600" i="6" s="1"/>
  <c r="Z601" i="6" s="1"/>
  <c r="BJ601" i="6" s="1"/>
  <c r="Z602" i="6" s="1"/>
  <c r="BJ602" i="6" s="1"/>
  <c r="Z603" i="6" s="1"/>
  <c r="BJ603" i="6" s="1"/>
  <c r="Z604" i="6" s="1"/>
  <c r="BJ604" i="6" s="1"/>
  <c r="Z605" i="6" s="1"/>
  <c r="BJ605" i="6" s="1"/>
  <c r="Z606" i="6" s="1"/>
  <c r="BJ606" i="6" s="1"/>
  <c r="Z607" i="6" s="1"/>
  <c r="BJ607" i="6" s="1"/>
  <c r="Z608" i="6" s="1"/>
  <c r="BJ608" i="6" s="1"/>
  <c r="Z609" i="6" s="1"/>
  <c r="BJ609" i="6" s="1"/>
  <c r="Z610" i="6" s="1"/>
  <c r="BJ610" i="6" s="1"/>
  <c r="Z611" i="6" s="1"/>
  <c r="BJ611" i="6" s="1"/>
  <c r="Z612" i="6" s="1"/>
  <c r="BJ612" i="6" s="1"/>
  <c r="Z613" i="6" s="1"/>
  <c r="BJ613" i="6" s="1"/>
  <c r="Z614" i="6" s="1"/>
  <c r="BJ614" i="6" s="1"/>
  <c r="Z615" i="6" s="1"/>
  <c r="BJ615" i="6" s="1"/>
  <c r="Z616" i="6" s="1"/>
  <c r="BJ616" i="6" s="1"/>
  <c r="Z617" i="6" s="1"/>
  <c r="BJ617" i="6" s="1"/>
  <c r="AT598" i="6"/>
  <c r="AE598" i="6"/>
  <c r="I598" i="6"/>
  <c r="H598" i="6"/>
  <c r="G598" i="6"/>
  <c r="F598" i="6"/>
  <c r="E598" i="6"/>
  <c r="D598" i="6"/>
  <c r="C598" i="6"/>
  <c r="B598" i="6"/>
  <c r="A598" i="6"/>
  <c r="AT597" i="6"/>
  <c r="AO597" i="6"/>
  <c r="AF597" i="6"/>
  <c r="AE597" i="6"/>
  <c r="I597" i="6"/>
  <c r="H597" i="6"/>
  <c r="G597" i="6"/>
  <c r="F597" i="6"/>
  <c r="E597" i="6"/>
  <c r="D597" i="6"/>
  <c r="C597" i="6"/>
  <c r="B597" i="6"/>
  <c r="A597" i="6"/>
  <c r="AT596" i="6"/>
  <c r="AO596" i="6"/>
  <c r="AF596" i="6"/>
  <c r="AE596" i="6"/>
  <c r="K596" i="6"/>
  <c r="I596" i="6"/>
  <c r="H596" i="6"/>
  <c r="G596" i="6"/>
  <c r="F596" i="6"/>
  <c r="E596" i="6"/>
  <c r="D596" i="6"/>
  <c r="C596" i="6"/>
  <c r="B596" i="6"/>
  <c r="A596" i="6"/>
  <c r="AT595" i="6"/>
  <c r="AO595" i="6"/>
  <c r="AI595" i="6"/>
  <c r="AF595" i="6"/>
  <c r="K595" i="6"/>
  <c r="H595" i="6"/>
  <c r="G595" i="6"/>
  <c r="F595" i="6"/>
  <c r="E595" i="6"/>
  <c r="D595" i="6"/>
  <c r="C595" i="6"/>
  <c r="B595" i="6"/>
  <c r="A595" i="6"/>
  <c r="AT594" i="6"/>
  <c r="AO594" i="6"/>
  <c r="K594" i="6"/>
  <c r="H594" i="6"/>
  <c r="G594" i="6"/>
  <c r="F594" i="6"/>
  <c r="E594" i="6"/>
  <c r="D594" i="6"/>
  <c r="C594" i="6"/>
  <c r="B594" i="6"/>
  <c r="A594" i="6"/>
  <c r="AT593" i="6"/>
  <c r="H593" i="6"/>
  <c r="G593" i="6"/>
  <c r="F593" i="6"/>
  <c r="E593" i="6"/>
  <c r="D593" i="6"/>
  <c r="C593" i="6"/>
  <c r="B593" i="6"/>
  <c r="A593" i="6"/>
  <c r="AT592" i="6"/>
  <c r="AI592" i="6"/>
  <c r="Y592" i="6"/>
  <c r="BI592" i="6" s="1"/>
  <c r="Y593" i="6" s="1"/>
  <c r="BI593" i="6" s="1"/>
  <c r="Y594" i="6" s="1"/>
  <c r="BI594" i="6" s="1"/>
  <c r="Y595" i="6" s="1"/>
  <c r="BI595" i="6" s="1"/>
  <c r="Y596" i="6" s="1"/>
  <c r="BI596" i="6" s="1"/>
  <c r="Y597" i="6" s="1"/>
  <c r="BI597" i="6" s="1"/>
  <c r="Y598" i="6" s="1"/>
  <c r="BI598" i="6" s="1"/>
  <c r="Y599" i="6" s="1"/>
  <c r="BI599" i="6" s="1"/>
  <c r="Y600" i="6" s="1"/>
  <c r="BI600" i="6" s="1"/>
  <c r="Y601" i="6" s="1"/>
  <c r="BI601" i="6" s="1"/>
  <c r="Y602" i="6" s="1"/>
  <c r="BI602" i="6" s="1"/>
  <c r="Y603" i="6" s="1"/>
  <c r="BI603" i="6" s="1"/>
  <c r="Y604" i="6" s="1"/>
  <c r="BI604" i="6" s="1"/>
  <c r="Y605" i="6" s="1"/>
  <c r="BI605" i="6" s="1"/>
  <c r="Y606" i="6" s="1"/>
  <c r="BI606" i="6" s="1"/>
  <c r="Y607" i="6" s="1"/>
  <c r="BI607" i="6" s="1"/>
  <c r="Y608" i="6" s="1"/>
  <c r="BI608" i="6" s="1"/>
  <c r="Y609" i="6" s="1"/>
  <c r="BI609" i="6" s="1"/>
  <c r="Y610" i="6" s="1"/>
  <c r="BI610" i="6" s="1"/>
  <c r="Y611" i="6" s="1"/>
  <c r="BI611" i="6" s="1"/>
  <c r="Y612" i="6" s="1"/>
  <c r="BI612" i="6" s="1"/>
  <c r="Y613" i="6" s="1"/>
  <c r="BI613" i="6" s="1"/>
  <c r="Y614" i="6" s="1"/>
  <c r="BI614" i="6" s="1"/>
  <c r="Y615" i="6" s="1"/>
  <c r="BI615" i="6" s="1"/>
  <c r="Y616" i="6" s="1"/>
  <c r="BI616" i="6" s="1"/>
  <c r="Y617" i="6" s="1"/>
  <c r="BI617" i="6" s="1"/>
  <c r="K592" i="6"/>
  <c r="H592" i="6"/>
  <c r="G592" i="6"/>
  <c r="F592" i="6"/>
  <c r="AE592" i="6" s="1"/>
  <c r="E592" i="6"/>
  <c r="D592" i="6"/>
  <c r="C592" i="6"/>
  <c r="B592" i="6"/>
  <c r="A592" i="6"/>
  <c r="BK591" i="6"/>
  <c r="AA592" i="6" s="1"/>
  <c r="BK592" i="6" s="1"/>
  <c r="AA593" i="6" s="1"/>
  <c r="BK593" i="6" s="1"/>
  <c r="AA594" i="6" s="1"/>
  <c r="BK594" i="6" s="1"/>
  <c r="AA595" i="6" s="1"/>
  <c r="BK595" i="6" s="1"/>
  <c r="AA596" i="6" s="1"/>
  <c r="BK596" i="6" s="1"/>
  <c r="AA597" i="6" s="1"/>
  <c r="BK597" i="6" s="1"/>
  <c r="AA598" i="6" s="1"/>
  <c r="BK598" i="6" s="1"/>
  <c r="AA599" i="6" s="1"/>
  <c r="BK599" i="6" s="1"/>
  <c r="AA600" i="6" s="1"/>
  <c r="BK600" i="6" s="1"/>
  <c r="AA601" i="6" s="1"/>
  <c r="BK601" i="6" s="1"/>
  <c r="AA602" i="6" s="1"/>
  <c r="BK602" i="6" s="1"/>
  <c r="AA603" i="6" s="1"/>
  <c r="BK603" i="6" s="1"/>
  <c r="AA604" i="6" s="1"/>
  <c r="BK604" i="6" s="1"/>
  <c r="AA605" i="6" s="1"/>
  <c r="BK605" i="6" s="1"/>
  <c r="AA606" i="6" s="1"/>
  <c r="BK606" i="6" s="1"/>
  <c r="AA607" i="6" s="1"/>
  <c r="BK607" i="6" s="1"/>
  <c r="AA608" i="6" s="1"/>
  <c r="BK608" i="6" s="1"/>
  <c r="AA609" i="6" s="1"/>
  <c r="BK609" i="6" s="1"/>
  <c r="AA610" i="6" s="1"/>
  <c r="BK610" i="6" s="1"/>
  <c r="AA611" i="6" s="1"/>
  <c r="BK611" i="6" s="1"/>
  <c r="AA612" i="6" s="1"/>
  <c r="BK612" i="6" s="1"/>
  <c r="AA613" i="6" s="1"/>
  <c r="BK613" i="6" s="1"/>
  <c r="AA614" i="6" s="1"/>
  <c r="BK614" i="6" s="1"/>
  <c r="AA615" i="6" s="1"/>
  <c r="BK615" i="6" s="1"/>
  <c r="AA616" i="6" s="1"/>
  <c r="BK616" i="6" s="1"/>
  <c r="AA617" i="6" s="1"/>
  <c r="BK617" i="6" s="1"/>
  <c r="AT591" i="6"/>
  <c r="AO591" i="6"/>
  <c r="H591" i="6"/>
  <c r="AF591" i="6" s="1"/>
  <c r="G591" i="6"/>
  <c r="F591" i="6"/>
  <c r="AI591" i="6" s="1"/>
  <c r="E591" i="6"/>
  <c r="D591" i="6"/>
  <c r="C591" i="6"/>
  <c r="B591" i="6"/>
  <c r="A591" i="6"/>
  <c r="BK590" i="6"/>
  <c r="AA591" i="6" s="1"/>
  <c r="AT590" i="6"/>
  <c r="AO590" i="6"/>
  <c r="AE590" i="6"/>
  <c r="AA590" i="6"/>
  <c r="J590" i="6"/>
  <c r="I590" i="6"/>
  <c r="H590" i="6"/>
  <c r="G590" i="6"/>
  <c r="F590" i="6"/>
  <c r="E590" i="6"/>
  <c r="D590" i="6"/>
  <c r="C590" i="6"/>
  <c r="B590" i="6"/>
  <c r="A590" i="6"/>
  <c r="AT589" i="6"/>
  <c r="AO589" i="6"/>
  <c r="AF589" i="6"/>
  <c r="AE589" i="6"/>
  <c r="K589" i="6"/>
  <c r="J589" i="6"/>
  <c r="I589" i="6"/>
  <c r="H589" i="6"/>
  <c r="G589" i="6"/>
  <c r="AI589" i="6" s="1"/>
  <c r="F589" i="6"/>
  <c r="E589" i="6"/>
  <c r="D589" i="6"/>
  <c r="C589" i="6"/>
  <c r="B589" i="6"/>
  <c r="A589" i="6"/>
  <c r="AT588" i="6"/>
  <c r="AO588" i="6"/>
  <c r="AE588" i="6"/>
  <c r="K588" i="6"/>
  <c r="J588" i="6"/>
  <c r="I588" i="6"/>
  <c r="H588" i="6"/>
  <c r="AF588" i="6" s="1"/>
  <c r="G588" i="6"/>
  <c r="AI588" i="6" s="1"/>
  <c r="F588" i="6"/>
  <c r="E588" i="6"/>
  <c r="D588" i="6"/>
  <c r="C588" i="6"/>
  <c r="B588" i="6"/>
  <c r="A588" i="6"/>
  <c r="AT587" i="6"/>
  <c r="AE587" i="6"/>
  <c r="K587" i="6"/>
  <c r="J587" i="6"/>
  <c r="H587" i="6"/>
  <c r="G587" i="6"/>
  <c r="AI587" i="6" s="1"/>
  <c r="F587" i="6"/>
  <c r="E587" i="6"/>
  <c r="D587" i="6"/>
  <c r="C587" i="6"/>
  <c r="B587" i="6"/>
  <c r="A587" i="6"/>
  <c r="BC586" i="6"/>
  <c r="S587" i="6" s="1"/>
  <c r="BC587" i="6" s="1"/>
  <c r="S588" i="6" s="1"/>
  <c r="BC588" i="6" s="1"/>
  <c r="S589" i="6" s="1"/>
  <c r="BC589" i="6" s="1"/>
  <c r="S590" i="6" s="1"/>
  <c r="BC590" i="6" s="1"/>
  <c r="S591" i="6" s="1"/>
  <c r="BC591" i="6" s="1"/>
  <c r="S592" i="6" s="1"/>
  <c r="BC592" i="6" s="1"/>
  <c r="S593" i="6" s="1"/>
  <c r="BC593" i="6" s="1"/>
  <c r="S594" i="6" s="1"/>
  <c r="BC594" i="6" s="1"/>
  <c r="S595" i="6" s="1"/>
  <c r="BC595" i="6" s="1"/>
  <c r="S596" i="6" s="1"/>
  <c r="BC596" i="6" s="1"/>
  <c r="S597" i="6" s="1"/>
  <c r="BC597" i="6" s="1"/>
  <c r="S598" i="6" s="1"/>
  <c r="BC598" i="6" s="1"/>
  <c r="S599" i="6" s="1"/>
  <c r="BC599" i="6" s="1"/>
  <c r="S600" i="6" s="1"/>
  <c r="BC600" i="6" s="1"/>
  <c r="S601" i="6" s="1"/>
  <c r="BC601" i="6" s="1"/>
  <c r="S602" i="6" s="1"/>
  <c r="BC602" i="6" s="1"/>
  <c r="S603" i="6" s="1"/>
  <c r="BC603" i="6" s="1"/>
  <c r="S604" i="6" s="1"/>
  <c r="BC604" i="6" s="1"/>
  <c r="S605" i="6" s="1"/>
  <c r="BC605" i="6" s="1"/>
  <c r="S606" i="6" s="1"/>
  <c r="BC606" i="6" s="1"/>
  <c r="S607" i="6" s="1"/>
  <c r="BC607" i="6" s="1"/>
  <c r="S608" i="6" s="1"/>
  <c r="BC608" i="6" s="1"/>
  <c r="S609" i="6" s="1"/>
  <c r="BC609" i="6" s="1"/>
  <c r="S610" i="6" s="1"/>
  <c r="BC610" i="6" s="1"/>
  <c r="S611" i="6" s="1"/>
  <c r="BC611" i="6" s="1"/>
  <c r="S612" i="6" s="1"/>
  <c r="BC612" i="6" s="1"/>
  <c r="S613" i="6" s="1"/>
  <c r="BC613" i="6" s="1"/>
  <c r="S614" i="6" s="1"/>
  <c r="BC614" i="6" s="1"/>
  <c r="S615" i="6" s="1"/>
  <c r="BC615" i="6" s="1"/>
  <c r="S616" i="6" s="1"/>
  <c r="BC616" i="6" s="1"/>
  <c r="S617" i="6" s="1"/>
  <c r="BC617" i="6" s="1"/>
  <c r="AT586" i="6"/>
  <c r="AE586" i="6"/>
  <c r="S586" i="6"/>
  <c r="I586" i="6"/>
  <c r="H586" i="6"/>
  <c r="G586" i="6"/>
  <c r="F586" i="6"/>
  <c r="AI586" i="6" s="1"/>
  <c r="E586" i="6"/>
  <c r="D586" i="6"/>
  <c r="C586" i="6"/>
  <c r="B586" i="6"/>
  <c r="A586" i="6"/>
  <c r="BJ585" i="6"/>
  <c r="Z586" i="6" s="1"/>
  <c r="BJ586" i="6" s="1"/>
  <c r="Z587" i="6" s="1"/>
  <c r="BJ587" i="6" s="1"/>
  <c r="Z588" i="6" s="1"/>
  <c r="BJ588" i="6" s="1"/>
  <c r="Z589" i="6" s="1"/>
  <c r="BJ589" i="6" s="1"/>
  <c r="Z590" i="6" s="1"/>
  <c r="BJ590" i="6" s="1"/>
  <c r="Z591" i="6" s="1"/>
  <c r="BJ591" i="6" s="1"/>
  <c r="Z592" i="6" s="1"/>
  <c r="BJ592" i="6" s="1"/>
  <c r="Z593" i="6" s="1"/>
  <c r="BJ593" i="6" s="1"/>
  <c r="Z594" i="6" s="1"/>
  <c r="BJ594" i="6" s="1"/>
  <c r="Z595" i="6" s="1"/>
  <c r="BJ595" i="6" s="1"/>
  <c r="Z596" i="6" s="1"/>
  <c r="BJ596" i="6" s="1"/>
  <c r="Z597" i="6" s="1"/>
  <c r="BJ597" i="6" s="1"/>
  <c r="Z598" i="6" s="1"/>
  <c r="BE585" i="6"/>
  <c r="AT585" i="6"/>
  <c r="AO585" i="6"/>
  <c r="AE585" i="6"/>
  <c r="Z585" i="6"/>
  <c r="N585" i="6"/>
  <c r="AX585" i="6" s="1"/>
  <c r="N586" i="6" s="1"/>
  <c r="AX586" i="6" s="1"/>
  <c r="N587" i="6" s="1"/>
  <c r="AX587" i="6" s="1"/>
  <c r="N588" i="6" s="1"/>
  <c r="AX588" i="6" s="1"/>
  <c r="I585" i="6"/>
  <c r="H585" i="6"/>
  <c r="G585" i="6"/>
  <c r="F585" i="6"/>
  <c r="E585" i="6"/>
  <c r="D585" i="6"/>
  <c r="C585" i="6"/>
  <c r="B585" i="6"/>
  <c r="A585" i="6"/>
  <c r="BE584" i="6"/>
  <c r="U585" i="6" s="1"/>
  <c r="AT584" i="6"/>
  <c r="AO584" i="6"/>
  <c r="AI584" i="6"/>
  <c r="AF584" i="6"/>
  <c r="AE584" i="6"/>
  <c r="U584" i="6"/>
  <c r="K584" i="6"/>
  <c r="I584" i="6"/>
  <c r="H584" i="6"/>
  <c r="G584" i="6"/>
  <c r="F584" i="6"/>
  <c r="E584" i="6"/>
  <c r="D584" i="6"/>
  <c r="C584" i="6"/>
  <c r="B584" i="6"/>
  <c r="A584" i="6"/>
  <c r="AT583" i="6"/>
  <c r="AO583" i="6"/>
  <c r="AI583" i="6"/>
  <c r="AF583" i="6"/>
  <c r="AB583" i="6"/>
  <c r="BL583" i="6" s="1"/>
  <c r="AB584" i="6" s="1"/>
  <c r="BL584" i="6" s="1"/>
  <c r="AB585" i="6" s="1"/>
  <c r="BL585" i="6" s="1"/>
  <c r="AB586" i="6" s="1"/>
  <c r="BL586" i="6" s="1"/>
  <c r="AB587" i="6" s="1"/>
  <c r="BL587" i="6" s="1"/>
  <c r="AB588" i="6" s="1"/>
  <c r="BL588" i="6" s="1"/>
  <c r="AB589" i="6" s="1"/>
  <c r="BL589" i="6" s="1"/>
  <c r="AB590" i="6" s="1"/>
  <c r="BL590" i="6" s="1"/>
  <c r="AB591" i="6" s="1"/>
  <c r="BL591" i="6" s="1"/>
  <c r="AB592" i="6" s="1"/>
  <c r="BL592" i="6" s="1"/>
  <c r="AB593" i="6" s="1"/>
  <c r="BL593" i="6" s="1"/>
  <c r="AB594" i="6" s="1"/>
  <c r="BL594" i="6" s="1"/>
  <c r="AB595" i="6" s="1"/>
  <c r="BL595" i="6" s="1"/>
  <c r="AB596" i="6" s="1"/>
  <c r="BL596" i="6" s="1"/>
  <c r="AB597" i="6" s="1"/>
  <c r="BL597" i="6" s="1"/>
  <c r="AB598" i="6" s="1"/>
  <c r="BL598" i="6" s="1"/>
  <c r="AB599" i="6" s="1"/>
  <c r="BL599" i="6" s="1"/>
  <c r="AB600" i="6" s="1"/>
  <c r="BL600" i="6" s="1"/>
  <c r="AB601" i="6" s="1"/>
  <c r="BL601" i="6" s="1"/>
  <c r="AB602" i="6" s="1"/>
  <c r="BL602" i="6" s="1"/>
  <c r="AB603" i="6" s="1"/>
  <c r="BL603" i="6" s="1"/>
  <c r="AB604" i="6" s="1"/>
  <c r="BL604" i="6" s="1"/>
  <c r="AB605" i="6" s="1"/>
  <c r="BL605" i="6" s="1"/>
  <c r="AB606" i="6" s="1"/>
  <c r="BL606" i="6" s="1"/>
  <c r="AB607" i="6" s="1"/>
  <c r="BL607" i="6" s="1"/>
  <c r="AB608" i="6" s="1"/>
  <c r="BL608" i="6" s="1"/>
  <c r="AB609" i="6" s="1"/>
  <c r="BL609" i="6" s="1"/>
  <c r="AB610" i="6" s="1"/>
  <c r="BL610" i="6" s="1"/>
  <c r="AB611" i="6" s="1"/>
  <c r="BL611" i="6" s="1"/>
  <c r="AB612" i="6" s="1"/>
  <c r="BL612" i="6" s="1"/>
  <c r="AB613" i="6" s="1"/>
  <c r="BL613" i="6" s="1"/>
  <c r="AB614" i="6" s="1"/>
  <c r="BL614" i="6" s="1"/>
  <c r="AB615" i="6" s="1"/>
  <c r="BL615" i="6" s="1"/>
  <c r="AB616" i="6" s="1"/>
  <c r="BL616" i="6" s="1"/>
  <c r="AB617" i="6" s="1"/>
  <c r="BL617" i="6" s="1"/>
  <c r="K583" i="6"/>
  <c r="H583" i="6"/>
  <c r="G583" i="6"/>
  <c r="F583" i="6"/>
  <c r="E583" i="6"/>
  <c r="D583" i="6"/>
  <c r="C583" i="6"/>
  <c r="B583" i="6"/>
  <c r="A583" i="6"/>
  <c r="BN582" i="6"/>
  <c r="BO582" i="6" s="1"/>
  <c r="BN583" i="6" s="1"/>
  <c r="BO583" i="6" s="1"/>
  <c r="BN584" i="6" s="1"/>
  <c r="BO584" i="6" s="1"/>
  <c r="BN585" i="6" s="1"/>
  <c r="BO585" i="6" s="1"/>
  <c r="BN586" i="6" s="1"/>
  <c r="BO586" i="6" s="1"/>
  <c r="BN587" i="6" s="1"/>
  <c r="BO587" i="6" s="1"/>
  <c r="BN588" i="6" s="1"/>
  <c r="BO588" i="6" s="1"/>
  <c r="BN589" i="6" s="1"/>
  <c r="BO589" i="6" s="1"/>
  <c r="BN590" i="6" s="1"/>
  <c r="BO590" i="6" s="1"/>
  <c r="BN591" i="6" s="1"/>
  <c r="BO591" i="6" s="1"/>
  <c r="BN592" i="6" s="1"/>
  <c r="BE582" i="6"/>
  <c r="BE583" i="6" s="1"/>
  <c r="AT582" i="6"/>
  <c r="AP582" i="6"/>
  <c r="AO582" i="6"/>
  <c r="AF582" i="6"/>
  <c r="AC582" i="6"/>
  <c r="BM582" i="6" s="1"/>
  <c r="AC583" i="6" s="1"/>
  <c r="BM583" i="6" s="1"/>
  <c r="AC584" i="6" s="1"/>
  <c r="BM584" i="6" s="1"/>
  <c r="AC585" i="6" s="1"/>
  <c r="BM585" i="6" s="1"/>
  <c r="AC586" i="6" s="1"/>
  <c r="BM586" i="6" s="1"/>
  <c r="AC587" i="6" s="1"/>
  <c r="BM587" i="6" s="1"/>
  <c r="AC588" i="6" s="1"/>
  <c r="BM588" i="6" s="1"/>
  <c r="AC589" i="6" s="1"/>
  <c r="BM589" i="6" s="1"/>
  <c r="AC590" i="6" s="1"/>
  <c r="BM590" i="6" s="1"/>
  <c r="AC591" i="6" s="1"/>
  <c r="BM591" i="6" s="1"/>
  <c r="AC592" i="6" s="1"/>
  <c r="BM592" i="6" s="1"/>
  <c r="AC593" i="6" s="1"/>
  <c r="BM593" i="6" s="1"/>
  <c r="AC594" i="6" s="1"/>
  <c r="BM594" i="6" s="1"/>
  <c r="AC595" i="6" s="1"/>
  <c r="BM595" i="6" s="1"/>
  <c r="AC596" i="6" s="1"/>
  <c r="BM596" i="6" s="1"/>
  <c r="AC597" i="6" s="1"/>
  <c r="BM597" i="6" s="1"/>
  <c r="AC598" i="6" s="1"/>
  <c r="BM598" i="6" s="1"/>
  <c r="AC599" i="6" s="1"/>
  <c r="BM599" i="6" s="1"/>
  <c r="AC600" i="6" s="1"/>
  <c r="BM600" i="6" s="1"/>
  <c r="AB582" i="6"/>
  <c r="BL582" i="6" s="1"/>
  <c r="AA582" i="6"/>
  <c r="BK582" i="6" s="1"/>
  <c r="AA583" i="6" s="1"/>
  <c r="BK583" i="6" s="1"/>
  <c r="AA584" i="6" s="1"/>
  <c r="BK584" i="6" s="1"/>
  <c r="AA585" i="6" s="1"/>
  <c r="BK585" i="6" s="1"/>
  <c r="AA586" i="6" s="1"/>
  <c r="BK586" i="6" s="1"/>
  <c r="AA587" i="6" s="1"/>
  <c r="BK587" i="6" s="1"/>
  <c r="AA588" i="6" s="1"/>
  <c r="BK588" i="6" s="1"/>
  <c r="AA589" i="6" s="1"/>
  <c r="BK589" i="6" s="1"/>
  <c r="Z582" i="6"/>
  <c r="BJ582" i="6" s="1"/>
  <c r="Z583" i="6" s="1"/>
  <c r="BJ583" i="6" s="1"/>
  <c r="Z584" i="6" s="1"/>
  <c r="BJ584" i="6" s="1"/>
  <c r="Y582" i="6"/>
  <c r="BI582" i="6" s="1"/>
  <c r="Y583" i="6" s="1"/>
  <c r="BI583" i="6" s="1"/>
  <c r="Y584" i="6" s="1"/>
  <c r="BI584" i="6" s="1"/>
  <c r="Y585" i="6" s="1"/>
  <c r="BI585" i="6" s="1"/>
  <c r="Y586" i="6" s="1"/>
  <c r="BI586" i="6" s="1"/>
  <c r="Y587" i="6" s="1"/>
  <c r="BI587" i="6" s="1"/>
  <c r="Y588" i="6" s="1"/>
  <c r="BI588" i="6" s="1"/>
  <c r="Y589" i="6" s="1"/>
  <c r="BI589" i="6" s="1"/>
  <c r="Y590" i="6" s="1"/>
  <c r="BI590" i="6" s="1"/>
  <c r="Y591" i="6" s="1"/>
  <c r="BI591" i="6" s="1"/>
  <c r="X582" i="6"/>
  <c r="BH582" i="6" s="1"/>
  <c r="X583" i="6" s="1"/>
  <c r="BH583" i="6" s="1"/>
  <c r="X584" i="6" s="1"/>
  <c r="BH584" i="6" s="1"/>
  <c r="X585" i="6" s="1"/>
  <c r="BH585" i="6" s="1"/>
  <c r="X586" i="6" s="1"/>
  <c r="BH586" i="6" s="1"/>
  <c r="X587" i="6" s="1"/>
  <c r="BH587" i="6" s="1"/>
  <c r="X588" i="6" s="1"/>
  <c r="BH588" i="6" s="1"/>
  <c r="X589" i="6" s="1"/>
  <c r="BH589" i="6" s="1"/>
  <c r="X590" i="6" s="1"/>
  <c r="BH590" i="6" s="1"/>
  <c r="X591" i="6" s="1"/>
  <c r="BH591" i="6" s="1"/>
  <c r="X592" i="6" s="1"/>
  <c r="BH592" i="6" s="1"/>
  <c r="X593" i="6" s="1"/>
  <c r="BH593" i="6" s="1"/>
  <c r="X594" i="6" s="1"/>
  <c r="BH594" i="6" s="1"/>
  <c r="X595" i="6" s="1"/>
  <c r="BH595" i="6" s="1"/>
  <c r="X596" i="6" s="1"/>
  <c r="BH596" i="6" s="1"/>
  <c r="X597" i="6" s="1"/>
  <c r="BH597" i="6" s="1"/>
  <c r="X598" i="6" s="1"/>
  <c r="BH598" i="6" s="1"/>
  <c r="X599" i="6" s="1"/>
  <c r="BH599" i="6" s="1"/>
  <c r="X600" i="6" s="1"/>
  <c r="BH600" i="6" s="1"/>
  <c r="X601" i="6" s="1"/>
  <c r="BH601" i="6" s="1"/>
  <c r="X602" i="6" s="1"/>
  <c r="BH602" i="6" s="1"/>
  <c r="X603" i="6" s="1"/>
  <c r="BH603" i="6" s="1"/>
  <c r="X604" i="6" s="1"/>
  <c r="BH604" i="6" s="1"/>
  <c r="X605" i="6" s="1"/>
  <c r="BH605" i="6" s="1"/>
  <c r="X606" i="6" s="1"/>
  <c r="BH606" i="6" s="1"/>
  <c r="X607" i="6" s="1"/>
  <c r="BH607" i="6" s="1"/>
  <c r="X608" i="6" s="1"/>
  <c r="BH608" i="6" s="1"/>
  <c r="X609" i="6" s="1"/>
  <c r="BH609" i="6" s="1"/>
  <c r="X610" i="6" s="1"/>
  <c r="BH610" i="6" s="1"/>
  <c r="X611" i="6" s="1"/>
  <c r="BH611" i="6" s="1"/>
  <c r="X612" i="6" s="1"/>
  <c r="BH612" i="6" s="1"/>
  <c r="X613" i="6" s="1"/>
  <c r="BH613" i="6" s="1"/>
  <c r="X614" i="6" s="1"/>
  <c r="BH614" i="6" s="1"/>
  <c r="X615" i="6" s="1"/>
  <c r="BH615" i="6" s="1"/>
  <c r="X616" i="6" s="1"/>
  <c r="BH616" i="6" s="1"/>
  <c r="X617" i="6" s="1"/>
  <c r="BH617" i="6" s="1"/>
  <c r="W582" i="6"/>
  <c r="BG582" i="6" s="1"/>
  <c r="W583" i="6" s="1"/>
  <c r="BG583" i="6" s="1"/>
  <c r="W584" i="6" s="1"/>
  <c r="BG584" i="6" s="1"/>
  <c r="W585" i="6" s="1"/>
  <c r="BG585" i="6" s="1"/>
  <c r="W586" i="6" s="1"/>
  <c r="BG586" i="6" s="1"/>
  <c r="W587" i="6" s="1"/>
  <c r="V582" i="6"/>
  <c r="BF582" i="6" s="1"/>
  <c r="V583" i="6" s="1"/>
  <c r="BF583" i="6" s="1"/>
  <c r="V584" i="6" s="1"/>
  <c r="BF584" i="6" s="1"/>
  <c r="V585" i="6" s="1"/>
  <c r="BF585" i="6" s="1"/>
  <c r="V586" i="6" s="1"/>
  <c r="BF586" i="6" s="1"/>
  <c r="V587" i="6" s="1"/>
  <c r="BF587" i="6" s="1"/>
  <c r="V588" i="6" s="1"/>
  <c r="BF588" i="6" s="1"/>
  <c r="V589" i="6" s="1"/>
  <c r="BF589" i="6" s="1"/>
  <c r="V590" i="6" s="1"/>
  <c r="BF590" i="6" s="1"/>
  <c r="V591" i="6" s="1"/>
  <c r="BF591" i="6" s="1"/>
  <c r="V592" i="6" s="1"/>
  <c r="BF592" i="6" s="1"/>
  <c r="V593" i="6" s="1"/>
  <c r="BF593" i="6" s="1"/>
  <c r="V594" i="6" s="1"/>
  <c r="BF594" i="6" s="1"/>
  <c r="V595" i="6" s="1"/>
  <c r="BF595" i="6" s="1"/>
  <c r="V596" i="6" s="1"/>
  <c r="BF596" i="6" s="1"/>
  <c r="V597" i="6" s="1"/>
  <c r="BF597" i="6" s="1"/>
  <c r="V598" i="6" s="1"/>
  <c r="BF598" i="6" s="1"/>
  <c r="V599" i="6" s="1"/>
  <c r="BF599" i="6" s="1"/>
  <c r="V600" i="6" s="1"/>
  <c r="BF600" i="6" s="1"/>
  <c r="V601" i="6" s="1"/>
  <c r="BF601" i="6" s="1"/>
  <c r="V602" i="6" s="1"/>
  <c r="BF602" i="6" s="1"/>
  <c r="V603" i="6" s="1"/>
  <c r="BF603" i="6" s="1"/>
  <c r="V604" i="6" s="1"/>
  <c r="BF604" i="6" s="1"/>
  <c r="V605" i="6" s="1"/>
  <c r="U582" i="6"/>
  <c r="T582" i="6"/>
  <c r="BD582" i="6" s="1"/>
  <c r="T583" i="6" s="1"/>
  <c r="BD583" i="6" s="1"/>
  <c r="T584" i="6" s="1"/>
  <c r="BD584" i="6" s="1"/>
  <c r="T585" i="6" s="1"/>
  <c r="BD585" i="6" s="1"/>
  <c r="T586" i="6" s="1"/>
  <c r="S582" i="6"/>
  <c r="BC582" i="6" s="1"/>
  <c r="S583" i="6" s="1"/>
  <c r="BC583" i="6" s="1"/>
  <c r="S584" i="6" s="1"/>
  <c r="BC584" i="6" s="1"/>
  <c r="S585" i="6" s="1"/>
  <c r="BC585" i="6" s="1"/>
  <c r="R582" i="6"/>
  <c r="BB582" i="6" s="1"/>
  <c r="R583" i="6" s="1"/>
  <c r="BB583" i="6" s="1"/>
  <c r="R584" i="6" s="1"/>
  <c r="BB584" i="6" s="1"/>
  <c r="R585" i="6" s="1"/>
  <c r="BB585" i="6" s="1"/>
  <c r="R586" i="6" s="1"/>
  <c r="BB586" i="6" s="1"/>
  <c r="R587" i="6" s="1"/>
  <c r="BB587" i="6" s="1"/>
  <c r="R588" i="6" s="1"/>
  <c r="BB588" i="6" s="1"/>
  <c r="R589" i="6" s="1"/>
  <c r="BB589" i="6" s="1"/>
  <c r="R590" i="6" s="1"/>
  <c r="BB590" i="6" s="1"/>
  <c r="R591" i="6" s="1"/>
  <c r="BB591" i="6" s="1"/>
  <c r="R592" i="6" s="1"/>
  <c r="BB592" i="6" s="1"/>
  <c r="R593" i="6" s="1"/>
  <c r="BB593" i="6" s="1"/>
  <c r="R594" i="6" s="1"/>
  <c r="BB594" i="6" s="1"/>
  <c r="R595" i="6" s="1"/>
  <c r="BB595" i="6" s="1"/>
  <c r="R596" i="6" s="1"/>
  <c r="BB596" i="6" s="1"/>
  <c r="R597" i="6" s="1"/>
  <c r="BB597" i="6" s="1"/>
  <c r="R598" i="6" s="1"/>
  <c r="BB598" i="6" s="1"/>
  <c r="R599" i="6" s="1"/>
  <c r="BB599" i="6" s="1"/>
  <c r="R600" i="6" s="1"/>
  <c r="BB600" i="6" s="1"/>
  <c r="R601" i="6" s="1"/>
  <c r="BB601" i="6" s="1"/>
  <c r="R602" i="6" s="1"/>
  <c r="BB602" i="6" s="1"/>
  <c r="R603" i="6" s="1"/>
  <c r="BB603" i="6" s="1"/>
  <c r="R604" i="6" s="1"/>
  <c r="BB604" i="6" s="1"/>
  <c r="R605" i="6" s="1"/>
  <c r="BB605" i="6" s="1"/>
  <c r="R606" i="6" s="1"/>
  <c r="BB606" i="6" s="1"/>
  <c r="R607" i="6" s="1"/>
  <c r="BB607" i="6" s="1"/>
  <c r="R608" i="6" s="1"/>
  <c r="BB608" i="6" s="1"/>
  <c r="R609" i="6" s="1"/>
  <c r="BB609" i="6" s="1"/>
  <c r="R610" i="6" s="1"/>
  <c r="BB610" i="6" s="1"/>
  <c r="R611" i="6" s="1"/>
  <c r="BB611" i="6" s="1"/>
  <c r="R612" i="6" s="1"/>
  <c r="BB612" i="6" s="1"/>
  <c r="R613" i="6" s="1"/>
  <c r="BB613" i="6" s="1"/>
  <c r="R614" i="6" s="1"/>
  <c r="BB614" i="6" s="1"/>
  <c r="R615" i="6" s="1"/>
  <c r="BB615" i="6" s="1"/>
  <c r="R616" i="6" s="1"/>
  <c r="BB616" i="6" s="1"/>
  <c r="R617" i="6" s="1"/>
  <c r="BB617" i="6" s="1"/>
  <c r="Q582" i="6"/>
  <c r="BA582" i="6" s="1"/>
  <c r="Q583" i="6" s="1"/>
  <c r="BA583" i="6" s="1"/>
  <c r="Q584" i="6" s="1"/>
  <c r="BA584" i="6" s="1"/>
  <c r="Q585" i="6" s="1"/>
  <c r="BA585" i="6" s="1"/>
  <c r="Q586" i="6" s="1"/>
  <c r="O582" i="6"/>
  <c r="AY582" i="6" s="1"/>
  <c r="O583" i="6" s="1"/>
  <c r="AY583" i="6" s="1"/>
  <c r="O584" i="6" s="1"/>
  <c r="AY584" i="6" s="1"/>
  <c r="O585" i="6" s="1"/>
  <c r="AY585" i="6" s="1"/>
  <c r="O586" i="6" s="1"/>
  <c r="AY586" i="6" s="1"/>
  <c r="O587" i="6" s="1"/>
  <c r="AY587" i="6" s="1"/>
  <c r="O588" i="6" s="1"/>
  <c r="AY588" i="6" s="1"/>
  <c r="O589" i="6" s="1"/>
  <c r="AY589" i="6" s="1"/>
  <c r="O590" i="6" s="1"/>
  <c r="AY590" i="6" s="1"/>
  <c r="O591" i="6" s="1"/>
  <c r="AY591" i="6" s="1"/>
  <c r="O592" i="6" s="1"/>
  <c r="AY592" i="6" s="1"/>
  <c r="O593" i="6" s="1"/>
  <c r="AY593" i="6" s="1"/>
  <c r="O594" i="6" s="1"/>
  <c r="AY594" i="6" s="1"/>
  <c r="O595" i="6" s="1"/>
  <c r="AY595" i="6" s="1"/>
  <c r="O596" i="6" s="1"/>
  <c r="AY596" i="6" s="1"/>
  <c r="O597" i="6" s="1"/>
  <c r="AY597" i="6" s="1"/>
  <c r="O598" i="6" s="1"/>
  <c r="AY598" i="6" s="1"/>
  <c r="O599" i="6" s="1"/>
  <c r="AY599" i="6" s="1"/>
  <c r="O600" i="6" s="1"/>
  <c r="AY600" i="6" s="1"/>
  <c r="O601" i="6" s="1"/>
  <c r="N582" i="6"/>
  <c r="AX582" i="6" s="1"/>
  <c r="N583" i="6" s="1"/>
  <c r="AX583" i="6" s="1"/>
  <c r="N584" i="6" s="1"/>
  <c r="AX584" i="6" s="1"/>
  <c r="M582" i="6"/>
  <c r="AW582" i="6" s="1"/>
  <c r="M583" i="6" s="1"/>
  <c r="AW583" i="6" s="1"/>
  <c r="M584" i="6" s="1"/>
  <c r="L582" i="6"/>
  <c r="AV582" i="6" s="1"/>
  <c r="L583" i="6" s="1"/>
  <c r="H582" i="6"/>
  <c r="G582" i="6"/>
  <c r="F582" i="6"/>
  <c r="AI582" i="6" s="1"/>
  <c r="E582" i="6"/>
  <c r="D582" i="6"/>
  <c r="C582" i="6"/>
  <c r="B582" i="6"/>
  <c r="A582" i="6"/>
  <c r="AO581" i="6"/>
  <c r="H581" i="6"/>
  <c r="G581" i="6"/>
  <c r="F581" i="6"/>
  <c r="E581" i="6"/>
  <c r="D581" i="6"/>
  <c r="C581" i="6"/>
  <c r="B581" i="6"/>
  <c r="A581" i="6"/>
  <c r="AO580" i="6"/>
  <c r="AI580" i="6"/>
  <c r="K580" i="6"/>
  <c r="H580" i="6"/>
  <c r="G580" i="6"/>
  <c r="F580" i="6"/>
  <c r="AE580" i="6" s="1"/>
  <c r="E580" i="6"/>
  <c r="D580" i="6"/>
  <c r="C580" i="6"/>
  <c r="B580" i="6"/>
  <c r="A580" i="6"/>
  <c r="AO579" i="6"/>
  <c r="J579" i="6"/>
  <c r="H579" i="6"/>
  <c r="G579" i="6"/>
  <c r="F579" i="6"/>
  <c r="AI579" i="6" s="1"/>
  <c r="E579" i="6"/>
  <c r="D579" i="6"/>
  <c r="C579" i="6"/>
  <c r="B579" i="6"/>
  <c r="A579" i="6"/>
  <c r="AO578" i="6"/>
  <c r="AE578" i="6"/>
  <c r="J578" i="6"/>
  <c r="I578" i="6"/>
  <c r="H578" i="6"/>
  <c r="G578" i="6"/>
  <c r="F578" i="6"/>
  <c r="E578" i="6"/>
  <c r="D578" i="6"/>
  <c r="C578" i="6"/>
  <c r="B578" i="6"/>
  <c r="A578" i="6"/>
  <c r="AO577" i="6"/>
  <c r="AE577" i="6"/>
  <c r="K577" i="6"/>
  <c r="J577" i="6"/>
  <c r="I577" i="6"/>
  <c r="H577" i="6"/>
  <c r="G577" i="6"/>
  <c r="AI577" i="6" s="1"/>
  <c r="F577" i="6"/>
  <c r="E577" i="6"/>
  <c r="D577" i="6"/>
  <c r="C577" i="6"/>
  <c r="B577" i="6"/>
  <c r="A577" i="6"/>
  <c r="AO576" i="6"/>
  <c r="AE576" i="6"/>
  <c r="K576" i="6"/>
  <c r="J576" i="6"/>
  <c r="I576" i="6"/>
  <c r="H576" i="6"/>
  <c r="G576" i="6"/>
  <c r="AI576" i="6" s="1"/>
  <c r="F576" i="6"/>
  <c r="E576" i="6"/>
  <c r="D576" i="6"/>
  <c r="C576" i="6"/>
  <c r="B576" i="6"/>
  <c r="A576" i="6"/>
  <c r="AO575" i="6"/>
  <c r="AE575" i="6"/>
  <c r="K575" i="6"/>
  <c r="J575" i="6"/>
  <c r="H575" i="6"/>
  <c r="G575" i="6"/>
  <c r="AI575" i="6" s="1"/>
  <c r="F575" i="6"/>
  <c r="E575" i="6"/>
  <c r="D575" i="6"/>
  <c r="C575" i="6"/>
  <c r="B575" i="6"/>
  <c r="A575" i="6"/>
  <c r="AO574" i="6"/>
  <c r="AE574" i="6"/>
  <c r="I574" i="6"/>
  <c r="H574" i="6"/>
  <c r="G574" i="6"/>
  <c r="F574" i="6"/>
  <c r="E574" i="6"/>
  <c r="D574" i="6"/>
  <c r="C574" i="6"/>
  <c r="B574" i="6"/>
  <c r="A574" i="6"/>
  <c r="AO573" i="6"/>
  <c r="AE573" i="6"/>
  <c r="I573" i="6"/>
  <c r="H573" i="6"/>
  <c r="G573" i="6"/>
  <c r="F573" i="6"/>
  <c r="E573" i="6"/>
  <c r="D573" i="6"/>
  <c r="C573" i="6"/>
  <c r="B573" i="6"/>
  <c r="A573" i="6"/>
  <c r="AO572" i="6"/>
  <c r="AI572" i="6"/>
  <c r="AE572" i="6"/>
  <c r="K572" i="6"/>
  <c r="I572" i="6"/>
  <c r="H572" i="6"/>
  <c r="G572" i="6"/>
  <c r="F572" i="6"/>
  <c r="J572" i="6" s="1"/>
  <c r="E572" i="6"/>
  <c r="D572" i="6"/>
  <c r="C572" i="6"/>
  <c r="B572" i="6"/>
  <c r="A572" i="6"/>
  <c r="AO571" i="6"/>
  <c r="H571" i="6"/>
  <c r="G571" i="6"/>
  <c r="F571" i="6"/>
  <c r="E571" i="6"/>
  <c r="D571" i="6"/>
  <c r="C571" i="6"/>
  <c r="B571" i="6"/>
  <c r="A571" i="6"/>
  <c r="AO570" i="6"/>
  <c r="H570" i="6"/>
  <c r="G570" i="6"/>
  <c r="F570" i="6"/>
  <c r="E570" i="6"/>
  <c r="D570" i="6"/>
  <c r="C570" i="6"/>
  <c r="B570" i="6"/>
  <c r="A570" i="6"/>
  <c r="AO569" i="6"/>
  <c r="H569" i="6"/>
  <c r="G569" i="6"/>
  <c r="F569" i="6"/>
  <c r="E569" i="6"/>
  <c r="D569" i="6"/>
  <c r="C569" i="6"/>
  <c r="B569" i="6"/>
  <c r="A569" i="6"/>
  <c r="AT568" i="6"/>
  <c r="AI568" i="6"/>
  <c r="K568" i="6"/>
  <c r="H568" i="6"/>
  <c r="G568" i="6"/>
  <c r="F568" i="6"/>
  <c r="AE568" i="6" s="1"/>
  <c r="E568" i="6"/>
  <c r="D568" i="6"/>
  <c r="C568" i="6"/>
  <c r="B568" i="6"/>
  <c r="A568" i="6"/>
  <c r="AT567" i="6"/>
  <c r="AO567" i="6"/>
  <c r="H567" i="6"/>
  <c r="G567" i="6"/>
  <c r="F567" i="6"/>
  <c r="E567" i="6"/>
  <c r="D567" i="6"/>
  <c r="C567" i="6"/>
  <c r="B567" i="6"/>
  <c r="A567" i="6"/>
  <c r="AT566" i="6"/>
  <c r="AO566" i="6"/>
  <c r="AE566" i="6"/>
  <c r="J566" i="6"/>
  <c r="I566" i="6"/>
  <c r="H566" i="6"/>
  <c r="G566" i="6"/>
  <c r="F566" i="6"/>
  <c r="E566" i="6"/>
  <c r="D566" i="6"/>
  <c r="C566" i="6"/>
  <c r="B566" i="6"/>
  <c r="A566" i="6"/>
  <c r="AT565" i="6"/>
  <c r="AO565" i="6"/>
  <c r="K565" i="6"/>
  <c r="J565" i="6"/>
  <c r="I565" i="6"/>
  <c r="H565" i="6"/>
  <c r="G565" i="6"/>
  <c r="AI565" i="6" s="1"/>
  <c r="F565" i="6"/>
  <c r="E565" i="6"/>
  <c r="D565" i="6"/>
  <c r="C565" i="6"/>
  <c r="B565" i="6"/>
  <c r="A565" i="6"/>
  <c r="AT564" i="6"/>
  <c r="AO564" i="6"/>
  <c r="AE564" i="6"/>
  <c r="K564" i="6"/>
  <c r="J564" i="6"/>
  <c r="I564" i="6"/>
  <c r="H564" i="6"/>
  <c r="G564" i="6"/>
  <c r="AI564" i="6" s="1"/>
  <c r="F564" i="6"/>
  <c r="E564" i="6"/>
  <c r="D564" i="6"/>
  <c r="C564" i="6"/>
  <c r="B564" i="6"/>
  <c r="A564" i="6"/>
  <c r="AT563" i="6"/>
  <c r="AO563" i="6"/>
  <c r="AE563" i="6"/>
  <c r="K563" i="6"/>
  <c r="J563" i="6"/>
  <c r="H563" i="6"/>
  <c r="AF563" i="6" s="1"/>
  <c r="G563" i="6"/>
  <c r="AI563" i="6" s="1"/>
  <c r="F563" i="6"/>
  <c r="E563" i="6"/>
  <c r="D563" i="6"/>
  <c r="C563" i="6"/>
  <c r="B563" i="6"/>
  <c r="A563" i="6"/>
  <c r="AT562" i="6"/>
  <c r="AE562" i="6"/>
  <c r="I562" i="6"/>
  <c r="H562" i="6"/>
  <c r="G562" i="6"/>
  <c r="F562" i="6"/>
  <c r="AI562" i="6" s="1"/>
  <c r="E562" i="6"/>
  <c r="D562" i="6"/>
  <c r="C562" i="6"/>
  <c r="B562" i="6"/>
  <c r="A562" i="6"/>
  <c r="AT561" i="6"/>
  <c r="AO561" i="6"/>
  <c r="AF561" i="6"/>
  <c r="AE561" i="6"/>
  <c r="I561" i="6"/>
  <c r="H561" i="6"/>
  <c r="G561" i="6"/>
  <c r="F561" i="6"/>
  <c r="E561" i="6"/>
  <c r="D561" i="6"/>
  <c r="C561" i="6"/>
  <c r="B561" i="6"/>
  <c r="A561" i="6"/>
  <c r="AT560" i="6"/>
  <c r="AO560" i="6"/>
  <c r="AF560" i="6"/>
  <c r="AE560" i="6"/>
  <c r="K560" i="6"/>
  <c r="I560" i="6"/>
  <c r="H560" i="6"/>
  <c r="G560" i="6"/>
  <c r="AI560" i="6" s="1"/>
  <c r="F560" i="6"/>
  <c r="E560" i="6"/>
  <c r="D560" i="6"/>
  <c r="C560" i="6"/>
  <c r="B560" i="6"/>
  <c r="A560" i="6"/>
  <c r="AT559" i="6"/>
  <c r="AO559" i="6"/>
  <c r="AF559" i="6"/>
  <c r="H559" i="6"/>
  <c r="G559" i="6"/>
  <c r="F559" i="6"/>
  <c r="E559" i="6"/>
  <c r="D559" i="6"/>
  <c r="C559" i="6"/>
  <c r="B559" i="6"/>
  <c r="A559" i="6"/>
  <c r="AT558" i="6"/>
  <c r="AO558" i="6"/>
  <c r="K558" i="6"/>
  <c r="J558" i="6"/>
  <c r="I558" i="6"/>
  <c r="H558" i="6"/>
  <c r="G558" i="6"/>
  <c r="F558" i="6"/>
  <c r="AE558" i="6" s="1"/>
  <c r="E558" i="6"/>
  <c r="D558" i="6"/>
  <c r="C558" i="6"/>
  <c r="B558" i="6"/>
  <c r="A558" i="6"/>
  <c r="AT557" i="6"/>
  <c r="H557" i="6"/>
  <c r="G557" i="6"/>
  <c r="F557" i="6"/>
  <c r="E557" i="6"/>
  <c r="D557" i="6"/>
  <c r="C557" i="6"/>
  <c r="B557" i="6"/>
  <c r="A557" i="6"/>
  <c r="BK556" i="6"/>
  <c r="AA557" i="6" s="1"/>
  <c r="BK557" i="6" s="1"/>
  <c r="AA558" i="6" s="1"/>
  <c r="BK558" i="6" s="1"/>
  <c r="AA559" i="6" s="1"/>
  <c r="BK559" i="6" s="1"/>
  <c r="AA560" i="6" s="1"/>
  <c r="BK560" i="6" s="1"/>
  <c r="AA561" i="6" s="1"/>
  <c r="BK561" i="6" s="1"/>
  <c r="AA562" i="6" s="1"/>
  <c r="BK562" i="6" s="1"/>
  <c r="AA563" i="6" s="1"/>
  <c r="BK563" i="6" s="1"/>
  <c r="AA564" i="6" s="1"/>
  <c r="BK564" i="6" s="1"/>
  <c r="AA565" i="6" s="1"/>
  <c r="BK565" i="6" s="1"/>
  <c r="AA566" i="6" s="1"/>
  <c r="BK566" i="6" s="1"/>
  <c r="AA567" i="6" s="1"/>
  <c r="BK567" i="6" s="1"/>
  <c r="AA568" i="6" s="1"/>
  <c r="BK568" i="6" s="1"/>
  <c r="AA569" i="6" s="1"/>
  <c r="BK569" i="6" s="1"/>
  <c r="AA570" i="6" s="1"/>
  <c r="BK570" i="6" s="1"/>
  <c r="AA571" i="6" s="1"/>
  <c r="BK571" i="6" s="1"/>
  <c r="AA572" i="6" s="1"/>
  <c r="BK572" i="6" s="1"/>
  <c r="AA573" i="6" s="1"/>
  <c r="BK573" i="6" s="1"/>
  <c r="AA574" i="6" s="1"/>
  <c r="BK574" i="6" s="1"/>
  <c r="AA575" i="6" s="1"/>
  <c r="BK575" i="6" s="1"/>
  <c r="AA576" i="6" s="1"/>
  <c r="BK576" i="6" s="1"/>
  <c r="AA577" i="6" s="1"/>
  <c r="BK577" i="6" s="1"/>
  <c r="AA578" i="6" s="1"/>
  <c r="BK578" i="6" s="1"/>
  <c r="AA579" i="6" s="1"/>
  <c r="BK579" i="6" s="1"/>
  <c r="AA580" i="6" s="1"/>
  <c r="BK580" i="6" s="1"/>
  <c r="AA581" i="6" s="1"/>
  <c r="BK581" i="6" s="1"/>
  <c r="AT556" i="6"/>
  <c r="AI556" i="6"/>
  <c r="K556" i="6"/>
  <c r="H556" i="6"/>
  <c r="G556" i="6"/>
  <c r="F556" i="6"/>
  <c r="AE556" i="6" s="1"/>
  <c r="E556" i="6"/>
  <c r="D556" i="6"/>
  <c r="C556" i="6"/>
  <c r="B556" i="6"/>
  <c r="A556" i="6"/>
  <c r="AT555" i="6"/>
  <c r="AO555" i="6"/>
  <c r="AF555" i="6"/>
  <c r="H555" i="6"/>
  <c r="G555" i="6"/>
  <c r="F555" i="6"/>
  <c r="E555" i="6"/>
  <c r="D555" i="6"/>
  <c r="C555" i="6"/>
  <c r="B555" i="6"/>
  <c r="A555" i="6"/>
  <c r="AT554" i="6"/>
  <c r="AO554" i="6"/>
  <c r="AE554" i="6"/>
  <c r="J554" i="6"/>
  <c r="I554" i="6"/>
  <c r="H554" i="6"/>
  <c r="G554" i="6"/>
  <c r="F554" i="6"/>
  <c r="E554" i="6"/>
  <c r="D554" i="6"/>
  <c r="C554" i="6"/>
  <c r="B554" i="6"/>
  <c r="A554" i="6"/>
  <c r="AT553" i="6"/>
  <c r="AO553" i="6"/>
  <c r="AF553" i="6"/>
  <c r="AE553" i="6"/>
  <c r="K553" i="6"/>
  <c r="J553" i="6"/>
  <c r="I553" i="6"/>
  <c r="H553" i="6"/>
  <c r="G553" i="6"/>
  <c r="AI553" i="6" s="1"/>
  <c r="F553" i="6"/>
  <c r="E553" i="6"/>
  <c r="D553" i="6"/>
  <c r="C553" i="6"/>
  <c r="B553" i="6"/>
  <c r="A553" i="6"/>
  <c r="AT552" i="6"/>
  <c r="AO552" i="6"/>
  <c r="AE552" i="6"/>
  <c r="S552" i="6"/>
  <c r="BC552" i="6" s="1"/>
  <c r="S553" i="6" s="1"/>
  <c r="BC553" i="6" s="1"/>
  <c r="S554" i="6" s="1"/>
  <c r="BC554" i="6" s="1"/>
  <c r="S555" i="6" s="1"/>
  <c r="BC555" i="6" s="1"/>
  <c r="S556" i="6" s="1"/>
  <c r="BC556" i="6" s="1"/>
  <c r="S557" i="6" s="1"/>
  <c r="BC557" i="6" s="1"/>
  <c r="S558" i="6" s="1"/>
  <c r="BC558" i="6" s="1"/>
  <c r="S559" i="6" s="1"/>
  <c r="BC559" i="6" s="1"/>
  <c r="S560" i="6" s="1"/>
  <c r="BC560" i="6" s="1"/>
  <c r="S561" i="6" s="1"/>
  <c r="BC561" i="6" s="1"/>
  <c r="S562" i="6" s="1"/>
  <c r="BC562" i="6" s="1"/>
  <c r="S563" i="6" s="1"/>
  <c r="BC563" i="6" s="1"/>
  <c r="S564" i="6" s="1"/>
  <c r="BC564" i="6" s="1"/>
  <c r="S565" i="6" s="1"/>
  <c r="BC565" i="6" s="1"/>
  <c r="S566" i="6" s="1"/>
  <c r="BC566" i="6" s="1"/>
  <c r="S567" i="6" s="1"/>
  <c r="BC567" i="6" s="1"/>
  <c r="S568" i="6" s="1"/>
  <c r="BC568" i="6" s="1"/>
  <c r="S569" i="6" s="1"/>
  <c r="BC569" i="6" s="1"/>
  <c r="S570" i="6" s="1"/>
  <c r="BC570" i="6" s="1"/>
  <c r="S571" i="6" s="1"/>
  <c r="BC571" i="6" s="1"/>
  <c r="S572" i="6" s="1"/>
  <c r="BC572" i="6" s="1"/>
  <c r="S573" i="6" s="1"/>
  <c r="BC573" i="6" s="1"/>
  <c r="S574" i="6" s="1"/>
  <c r="BC574" i="6" s="1"/>
  <c r="S575" i="6" s="1"/>
  <c r="BC575" i="6" s="1"/>
  <c r="S576" i="6" s="1"/>
  <c r="BC576" i="6" s="1"/>
  <c r="S577" i="6" s="1"/>
  <c r="BC577" i="6" s="1"/>
  <c r="S578" i="6" s="1"/>
  <c r="BC578" i="6" s="1"/>
  <c r="S579" i="6" s="1"/>
  <c r="BC579" i="6" s="1"/>
  <c r="S580" i="6" s="1"/>
  <c r="BC580" i="6" s="1"/>
  <c r="S581" i="6" s="1"/>
  <c r="BC581" i="6" s="1"/>
  <c r="K552" i="6"/>
  <c r="J552" i="6"/>
  <c r="I552" i="6"/>
  <c r="H552" i="6"/>
  <c r="AF552" i="6" s="1"/>
  <c r="G552" i="6"/>
  <c r="AI552" i="6" s="1"/>
  <c r="F552" i="6"/>
  <c r="E552" i="6"/>
  <c r="D552" i="6"/>
  <c r="C552" i="6"/>
  <c r="B552" i="6"/>
  <c r="A552" i="6"/>
  <c r="AT551" i="6"/>
  <c r="AE551" i="6"/>
  <c r="S551" i="6"/>
  <c r="BC551" i="6" s="1"/>
  <c r="K551" i="6"/>
  <c r="J551" i="6"/>
  <c r="H551" i="6"/>
  <c r="G551" i="6"/>
  <c r="AI551" i="6" s="1"/>
  <c r="F551" i="6"/>
  <c r="E551" i="6"/>
  <c r="D551" i="6"/>
  <c r="C551" i="6"/>
  <c r="B551" i="6"/>
  <c r="A551" i="6"/>
  <c r="AT550" i="6"/>
  <c r="Q550" i="6"/>
  <c r="BA550" i="6" s="1"/>
  <c r="Q551" i="6" s="1"/>
  <c r="BA551" i="6" s="1"/>
  <c r="Q552" i="6" s="1"/>
  <c r="H550" i="6"/>
  <c r="G550" i="6"/>
  <c r="F550" i="6"/>
  <c r="E550" i="6"/>
  <c r="D550" i="6"/>
  <c r="C550" i="6"/>
  <c r="B550" i="6"/>
  <c r="A550" i="6"/>
  <c r="AT549" i="6"/>
  <c r="AO549" i="6"/>
  <c r="AE549" i="6"/>
  <c r="I549" i="6"/>
  <c r="H549" i="6"/>
  <c r="G549" i="6"/>
  <c r="F549" i="6"/>
  <c r="E549" i="6"/>
  <c r="D549" i="6"/>
  <c r="C549" i="6"/>
  <c r="B549" i="6"/>
  <c r="A549" i="6"/>
  <c r="BL548" i="6"/>
  <c r="AB549" i="6" s="1"/>
  <c r="BL549" i="6" s="1"/>
  <c r="AB550" i="6" s="1"/>
  <c r="BL550" i="6" s="1"/>
  <c r="AB551" i="6" s="1"/>
  <c r="BL551" i="6" s="1"/>
  <c r="AB552" i="6" s="1"/>
  <c r="BL552" i="6" s="1"/>
  <c r="AB553" i="6" s="1"/>
  <c r="BL553" i="6" s="1"/>
  <c r="AB554" i="6" s="1"/>
  <c r="BL554" i="6" s="1"/>
  <c r="AB555" i="6" s="1"/>
  <c r="BL555" i="6" s="1"/>
  <c r="AB556" i="6" s="1"/>
  <c r="BL556" i="6" s="1"/>
  <c r="AB557" i="6" s="1"/>
  <c r="BL557" i="6" s="1"/>
  <c r="AB558" i="6" s="1"/>
  <c r="BL558" i="6" s="1"/>
  <c r="AB559" i="6" s="1"/>
  <c r="BL559" i="6" s="1"/>
  <c r="AB560" i="6" s="1"/>
  <c r="BL560" i="6" s="1"/>
  <c r="AB561" i="6" s="1"/>
  <c r="BL561" i="6" s="1"/>
  <c r="AB562" i="6" s="1"/>
  <c r="BL562" i="6" s="1"/>
  <c r="AB563" i="6" s="1"/>
  <c r="BL563" i="6" s="1"/>
  <c r="AB564" i="6" s="1"/>
  <c r="BL564" i="6" s="1"/>
  <c r="AB565" i="6" s="1"/>
  <c r="BL565" i="6" s="1"/>
  <c r="AB566" i="6" s="1"/>
  <c r="BL566" i="6" s="1"/>
  <c r="AB567" i="6" s="1"/>
  <c r="BL567" i="6" s="1"/>
  <c r="AB568" i="6" s="1"/>
  <c r="BL568" i="6" s="1"/>
  <c r="AB569" i="6" s="1"/>
  <c r="BL569" i="6" s="1"/>
  <c r="AB570" i="6" s="1"/>
  <c r="BL570" i="6" s="1"/>
  <c r="AB571" i="6" s="1"/>
  <c r="BL571" i="6" s="1"/>
  <c r="AB572" i="6" s="1"/>
  <c r="BL572" i="6" s="1"/>
  <c r="AB573" i="6" s="1"/>
  <c r="BL573" i="6" s="1"/>
  <c r="AB574" i="6" s="1"/>
  <c r="BL574" i="6" s="1"/>
  <c r="AB575" i="6" s="1"/>
  <c r="BL575" i="6" s="1"/>
  <c r="AB576" i="6" s="1"/>
  <c r="BL576" i="6" s="1"/>
  <c r="AB577" i="6" s="1"/>
  <c r="BL577" i="6" s="1"/>
  <c r="AB578" i="6" s="1"/>
  <c r="BL578" i="6" s="1"/>
  <c r="AB579" i="6" s="1"/>
  <c r="BL579" i="6" s="1"/>
  <c r="AB580" i="6" s="1"/>
  <c r="BL580" i="6" s="1"/>
  <c r="AB581" i="6" s="1"/>
  <c r="BL581" i="6" s="1"/>
  <c r="AT548" i="6"/>
  <c r="AO548" i="6"/>
  <c r="AI548" i="6"/>
  <c r="AF548" i="6"/>
  <c r="AE548" i="6"/>
  <c r="K548" i="6"/>
  <c r="I548" i="6"/>
  <c r="H548" i="6"/>
  <c r="G548" i="6"/>
  <c r="F548" i="6"/>
  <c r="E548" i="6"/>
  <c r="D548" i="6"/>
  <c r="C548" i="6"/>
  <c r="B548" i="6"/>
  <c r="A548" i="6"/>
  <c r="AT547" i="6"/>
  <c r="AO547" i="6"/>
  <c r="AF547" i="6"/>
  <c r="O547" i="6"/>
  <c r="AY547" i="6" s="1"/>
  <c r="O548" i="6" s="1"/>
  <c r="AY548" i="6" s="1"/>
  <c r="O549" i="6" s="1"/>
  <c r="AY549" i="6" s="1"/>
  <c r="O550" i="6" s="1"/>
  <c r="AY550" i="6" s="1"/>
  <c r="O551" i="6" s="1"/>
  <c r="AY551" i="6" s="1"/>
  <c r="O552" i="6" s="1"/>
  <c r="AY552" i="6" s="1"/>
  <c r="O553" i="6" s="1"/>
  <c r="AY553" i="6" s="1"/>
  <c r="O554" i="6" s="1"/>
  <c r="AY554" i="6" s="1"/>
  <c r="O555" i="6" s="1"/>
  <c r="AY555" i="6" s="1"/>
  <c r="O556" i="6" s="1"/>
  <c r="AY556" i="6" s="1"/>
  <c r="O557" i="6" s="1"/>
  <c r="AY557" i="6" s="1"/>
  <c r="O558" i="6" s="1"/>
  <c r="AY558" i="6" s="1"/>
  <c r="O559" i="6" s="1"/>
  <c r="AY559" i="6" s="1"/>
  <c r="O560" i="6" s="1"/>
  <c r="AY560" i="6" s="1"/>
  <c r="O561" i="6" s="1"/>
  <c r="AY561" i="6" s="1"/>
  <c r="O562" i="6" s="1"/>
  <c r="AY562" i="6" s="1"/>
  <c r="O563" i="6" s="1"/>
  <c r="AY563" i="6" s="1"/>
  <c r="O564" i="6" s="1"/>
  <c r="AY564" i="6" s="1"/>
  <c r="O565" i="6" s="1"/>
  <c r="N547" i="6"/>
  <c r="AX547" i="6" s="1"/>
  <c r="N548" i="6" s="1"/>
  <c r="AX548" i="6" s="1"/>
  <c r="N549" i="6" s="1"/>
  <c r="AX549" i="6" s="1"/>
  <c r="N550" i="6" s="1"/>
  <c r="AX550" i="6" s="1"/>
  <c r="N551" i="6" s="1"/>
  <c r="AX551" i="6" s="1"/>
  <c r="N552" i="6" s="1"/>
  <c r="AX552" i="6" s="1"/>
  <c r="K547" i="6"/>
  <c r="H547" i="6"/>
  <c r="G547" i="6"/>
  <c r="F547" i="6"/>
  <c r="E547" i="6"/>
  <c r="D547" i="6"/>
  <c r="C547" i="6"/>
  <c r="B547" i="6"/>
  <c r="A547" i="6"/>
  <c r="BN546" i="6"/>
  <c r="BO546" i="6" s="1"/>
  <c r="BN547" i="6" s="1"/>
  <c r="BO547" i="6" s="1"/>
  <c r="BN548" i="6" s="1"/>
  <c r="BO548" i="6" s="1"/>
  <c r="BN549" i="6" s="1"/>
  <c r="BO549" i="6" s="1"/>
  <c r="BN550" i="6" s="1"/>
  <c r="BO550" i="6" s="1"/>
  <c r="BN551" i="6" s="1"/>
  <c r="BO551" i="6" s="1"/>
  <c r="BN552" i="6" s="1"/>
  <c r="BO552" i="6" s="1"/>
  <c r="BN553" i="6" s="1"/>
  <c r="BO553" i="6" s="1"/>
  <c r="BN554" i="6" s="1"/>
  <c r="BO554" i="6" s="1"/>
  <c r="BN555" i="6" s="1"/>
  <c r="BO555" i="6" s="1"/>
  <c r="BN556" i="6" s="1"/>
  <c r="BO556" i="6" s="1"/>
  <c r="BN557" i="6" s="1"/>
  <c r="BO557" i="6" s="1"/>
  <c r="BN558" i="6" s="1"/>
  <c r="BG546" i="6"/>
  <c r="W547" i="6" s="1"/>
  <c r="BG547" i="6" s="1"/>
  <c r="W548" i="6" s="1"/>
  <c r="BG548" i="6" s="1"/>
  <c r="W549" i="6" s="1"/>
  <c r="BG549" i="6" s="1"/>
  <c r="W550" i="6" s="1"/>
  <c r="BG550" i="6" s="1"/>
  <c r="W551" i="6" s="1"/>
  <c r="BF546" i="6"/>
  <c r="V547" i="6" s="1"/>
  <c r="BF547" i="6" s="1"/>
  <c r="V548" i="6" s="1"/>
  <c r="BF548" i="6" s="1"/>
  <c r="V549" i="6" s="1"/>
  <c r="BF549" i="6" s="1"/>
  <c r="V550" i="6" s="1"/>
  <c r="BF550" i="6" s="1"/>
  <c r="V551" i="6" s="1"/>
  <c r="BF551" i="6" s="1"/>
  <c r="V552" i="6" s="1"/>
  <c r="BF552" i="6" s="1"/>
  <c r="V553" i="6" s="1"/>
  <c r="BF553" i="6" s="1"/>
  <c r="V554" i="6" s="1"/>
  <c r="BF554" i="6" s="1"/>
  <c r="V555" i="6" s="1"/>
  <c r="BF555" i="6" s="1"/>
  <c r="V556" i="6" s="1"/>
  <c r="BF556" i="6" s="1"/>
  <c r="V557" i="6" s="1"/>
  <c r="BF557" i="6" s="1"/>
  <c r="V558" i="6" s="1"/>
  <c r="BF558" i="6" s="1"/>
  <c r="V559" i="6" s="1"/>
  <c r="BF559" i="6" s="1"/>
  <c r="V560" i="6" s="1"/>
  <c r="BF560" i="6" s="1"/>
  <c r="V561" i="6" s="1"/>
  <c r="BF561" i="6" s="1"/>
  <c r="V562" i="6" s="1"/>
  <c r="BF562" i="6" s="1"/>
  <c r="V563" i="6" s="1"/>
  <c r="BF563" i="6" s="1"/>
  <c r="V564" i="6" s="1"/>
  <c r="BF564" i="6" s="1"/>
  <c r="V565" i="6" s="1"/>
  <c r="BF565" i="6" s="1"/>
  <c r="V566" i="6" s="1"/>
  <c r="BF566" i="6" s="1"/>
  <c r="V567" i="6" s="1"/>
  <c r="BF567" i="6" s="1"/>
  <c r="V568" i="6" s="1"/>
  <c r="BF568" i="6" s="1"/>
  <c r="V569" i="6" s="1"/>
  <c r="BE546" i="6"/>
  <c r="AT546" i="6"/>
  <c r="AP546" i="6"/>
  <c r="AO546" i="6"/>
  <c r="AI546" i="6"/>
  <c r="AF546" i="6"/>
  <c r="AC546" i="6"/>
  <c r="BM546" i="6" s="1"/>
  <c r="AC547" i="6" s="1"/>
  <c r="BM547" i="6" s="1"/>
  <c r="AC548" i="6" s="1"/>
  <c r="BM548" i="6" s="1"/>
  <c r="AC549" i="6" s="1"/>
  <c r="BM549" i="6" s="1"/>
  <c r="AC550" i="6" s="1"/>
  <c r="BM550" i="6" s="1"/>
  <c r="AC551" i="6" s="1"/>
  <c r="BM551" i="6" s="1"/>
  <c r="AC552" i="6" s="1"/>
  <c r="BM552" i="6" s="1"/>
  <c r="AC553" i="6" s="1"/>
  <c r="BM553" i="6" s="1"/>
  <c r="AC554" i="6" s="1"/>
  <c r="BM554" i="6" s="1"/>
  <c r="AC555" i="6" s="1"/>
  <c r="BM555" i="6" s="1"/>
  <c r="AC556" i="6" s="1"/>
  <c r="BM556" i="6" s="1"/>
  <c r="AC557" i="6" s="1"/>
  <c r="BM557" i="6" s="1"/>
  <c r="AC558" i="6" s="1"/>
  <c r="BM558" i="6" s="1"/>
  <c r="AC559" i="6" s="1"/>
  <c r="BM559" i="6" s="1"/>
  <c r="AC560" i="6" s="1"/>
  <c r="BM560" i="6" s="1"/>
  <c r="AC561" i="6" s="1"/>
  <c r="BM561" i="6" s="1"/>
  <c r="AC562" i="6" s="1"/>
  <c r="BM562" i="6" s="1"/>
  <c r="AC563" i="6" s="1"/>
  <c r="BM563" i="6" s="1"/>
  <c r="AC564" i="6" s="1"/>
  <c r="BM564" i="6" s="1"/>
  <c r="AC565" i="6" s="1"/>
  <c r="BM565" i="6" s="1"/>
  <c r="AC566" i="6" s="1"/>
  <c r="BM566" i="6" s="1"/>
  <c r="AC567" i="6" s="1"/>
  <c r="BM567" i="6" s="1"/>
  <c r="AC568" i="6" s="1"/>
  <c r="BM568" i="6" s="1"/>
  <c r="AC569" i="6" s="1"/>
  <c r="BM569" i="6" s="1"/>
  <c r="AC570" i="6" s="1"/>
  <c r="BM570" i="6" s="1"/>
  <c r="AC571" i="6" s="1"/>
  <c r="BM571" i="6" s="1"/>
  <c r="AC572" i="6" s="1"/>
  <c r="BM572" i="6" s="1"/>
  <c r="AC573" i="6" s="1"/>
  <c r="BM573" i="6" s="1"/>
  <c r="AC574" i="6" s="1"/>
  <c r="BM574" i="6" s="1"/>
  <c r="AC575" i="6" s="1"/>
  <c r="BM575" i="6" s="1"/>
  <c r="AC576" i="6" s="1"/>
  <c r="BM576" i="6" s="1"/>
  <c r="AC577" i="6" s="1"/>
  <c r="BM577" i="6" s="1"/>
  <c r="AC578" i="6" s="1"/>
  <c r="BM578" i="6" s="1"/>
  <c r="AC579" i="6" s="1"/>
  <c r="BM579" i="6" s="1"/>
  <c r="AC580" i="6" s="1"/>
  <c r="BM580" i="6" s="1"/>
  <c r="AC581" i="6" s="1"/>
  <c r="BM581" i="6" s="1"/>
  <c r="AB546" i="6"/>
  <c r="BL546" i="6" s="1"/>
  <c r="AB547" i="6" s="1"/>
  <c r="BL547" i="6" s="1"/>
  <c r="AB548" i="6" s="1"/>
  <c r="AA546" i="6"/>
  <c r="BK546" i="6" s="1"/>
  <c r="AA547" i="6" s="1"/>
  <c r="BK547" i="6" s="1"/>
  <c r="AA548" i="6" s="1"/>
  <c r="BK548" i="6" s="1"/>
  <c r="AA549" i="6" s="1"/>
  <c r="BK549" i="6" s="1"/>
  <c r="AA550" i="6" s="1"/>
  <c r="BK550" i="6" s="1"/>
  <c r="AA551" i="6" s="1"/>
  <c r="BK551" i="6" s="1"/>
  <c r="AA552" i="6" s="1"/>
  <c r="BK552" i="6" s="1"/>
  <c r="AA553" i="6" s="1"/>
  <c r="BK553" i="6" s="1"/>
  <c r="AA554" i="6" s="1"/>
  <c r="BK554" i="6" s="1"/>
  <c r="AA555" i="6" s="1"/>
  <c r="BK555" i="6" s="1"/>
  <c r="AA556" i="6" s="1"/>
  <c r="Z546" i="6"/>
  <c r="BJ546" i="6" s="1"/>
  <c r="Z547" i="6" s="1"/>
  <c r="BJ547" i="6" s="1"/>
  <c r="Z548" i="6" s="1"/>
  <c r="BJ548" i="6" s="1"/>
  <c r="Z549" i="6" s="1"/>
  <c r="BJ549" i="6" s="1"/>
  <c r="Z550" i="6" s="1"/>
  <c r="BJ550" i="6" s="1"/>
  <c r="Z551" i="6" s="1"/>
  <c r="BJ551" i="6" s="1"/>
  <c r="Z552" i="6" s="1"/>
  <c r="BJ552" i="6" s="1"/>
  <c r="Z553" i="6" s="1"/>
  <c r="BJ553" i="6" s="1"/>
  <c r="Z554" i="6" s="1"/>
  <c r="BJ554" i="6" s="1"/>
  <c r="Z555" i="6" s="1"/>
  <c r="BJ555" i="6" s="1"/>
  <c r="Z556" i="6" s="1"/>
  <c r="BJ556" i="6" s="1"/>
  <c r="Z557" i="6" s="1"/>
  <c r="BJ557" i="6" s="1"/>
  <c r="Z558" i="6" s="1"/>
  <c r="BJ558" i="6" s="1"/>
  <c r="Z559" i="6" s="1"/>
  <c r="BJ559" i="6" s="1"/>
  <c r="Z560" i="6" s="1"/>
  <c r="BJ560" i="6" s="1"/>
  <c r="Z561" i="6" s="1"/>
  <c r="BJ561" i="6" s="1"/>
  <c r="Z562" i="6" s="1"/>
  <c r="BJ562" i="6" s="1"/>
  <c r="Z563" i="6" s="1"/>
  <c r="BJ563" i="6" s="1"/>
  <c r="Z564" i="6" s="1"/>
  <c r="BJ564" i="6" s="1"/>
  <c r="Z565" i="6" s="1"/>
  <c r="BJ565" i="6" s="1"/>
  <c r="Z566" i="6" s="1"/>
  <c r="BJ566" i="6" s="1"/>
  <c r="Z567" i="6" s="1"/>
  <c r="BJ567" i="6" s="1"/>
  <c r="Z568" i="6" s="1"/>
  <c r="BJ568" i="6" s="1"/>
  <c r="Z569" i="6" s="1"/>
  <c r="BJ569" i="6" s="1"/>
  <c r="Z570" i="6" s="1"/>
  <c r="BJ570" i="6" s="1"/>
  <c r="Z571" i="6" s="1"/>
  <c r="BJ571" i="6" s="1"/>
  <c r="Z572" i="6" s="1"/>
  <c r="BJ572" i="6" s="1"/>
  <c r="Z573" i="6" s="1"/>
  <c r="BJ573" i="6" s="1"/>
  <c r="Z574" i="6" s="1"/>
  <c r="BJ574" i="6" s="1"/>
  <c r="Z575" i="6" s="1"/>
  <c r="BJ575" i="6" s="1"/>
  <c r="Z576" i="6" s="1"/>
  <c r="BJ576" i="6" s="1"/>
  <c r="Z577" i="6" s="1"/>
  <c r="BJ577" i="6" s="1"/>
  <c r="Z578" i="6" s="1"/>
  <c r="BJ578" i="6" s="1"/>
  <c r="Z579" i="6" s="1"/>
  <c r="BJ579" i="6" s="1"/>
  <c r="Z580" i="6" s="1"/>
  <c r="BJ580" i="6" s="1"/>
  <c r="Z581" i="6" s="1"/>
  <c r="BJ581" i="6" s="1"/>
  <c r="Y546" i="6"/>
  <c r="BI546" i="6" s="1"/>
  <c r="Y547" i="6" s="1"/>
  <c r="BI547" i="6" s="1"/>
  <c r="Y548" i="6" s="1"/>
  <c r="BI548" i="6" s="1"/>
  <c r="Y549" i="6" s="1"/>
  <c r="BI549" i="6" s="1"/>
  <c r="Y550" i="6" s="1"/>
  <c r="BI550" i="6" s="1"/>
  <c r="Y551" i="6" s="1"/>
  <c r="BI551" i="6" s="1"/>
  <c r="Y552" i="6" s="1"/>
  <c r="BI552" i="6" s="1"/>
  <c r="Y553" i="6" s="1"/>
  <c r="BI553" i="6" s="1"/>
  <c r="Y554" i="6" s="1"/>
  <c r="BI554" i="6" s="1"/>
  <c r="Y555" i="6" s="1"/>
  <c r="BI555" i="6" s="1"/>
  <c r="Y556" i="6" s="1"/>
  <c r="BI556" i="6" s="1"/>
  <c r="Y557" i="6" s="1"/>
  <c r="BI557" i="6" s="1"/>
  <c r="Y558" i="6" s="1"/>
  <c r="BI558" i="6" s="1"/>
  <c r="Y559" i="6" s="1"/>
  <c r="BI559" i="6" s="1"/>
  <c r="Y560" i="6" s="1"/>
  <c r="BI560" i="6" s="1"/>
  <c r="Y561" i="6" s="1"/>
  <c r="BI561" i="6" s="1"/>
  <c r="Y562" i="6" s="1"/>
  <c r="BI562" i="6" s="1"/>
  <c r="Y563" i="6" s="1"/>
  <c r="BI563" i="6" s="1"/>
  <c r="Y564" i="6" s="1"/>
  <c r="BI564" i="6" s="1"/>
  <c r="Y565" i="6" s="1"/>
  <c r="BI565" i="6" s="1"/>
  <c r="Y566" i="6" s="1"/>
  <c r="BI566" i="6" s="1"/>
  <c r="Y567" i="6" s="1"/>
  <c r="BI567" i="6" s="1"/>
  <c r="Y568" i="6" s="1"/>
  <c r="BI568" i="6" s="1"/>
  <c r="Y569" i="6" s="1"/>
  <c r="BI569" i="6" s="1"/>
  <c r="Y570" i="6" s="1"/>
  <c r="BI570" i="6" s="1"/>
  <c r="Y571" i="6" s="1"/>
  <c r="BI571" i="6" s="1"/>
  <c r="Y572" i="6" s="1"/>
  <c r="BI572" i="6" s="1"/>
  <c r="Y573" i="6" s="1"/>
  <c r="BI573" i="6" s="1"/>
  <c r="Y574" i="6" s="1"/>
  <c r="BI574" i="6" s="1"/>
  <c r="Y575" i="6" s="1"/>
  <c r="BI575" i="6" s="1"/>
  <c r="Y576" i="6" s="1"/>
  <c r="BI576" i="6" s="1"/>
  <c r="Y577" i="6" s="1"/>
  <c r="BI577" i="6" s="1"/>
  <c r="Y578" i="6" s="1"/>
  <c r="BI578" i="6" s="1"/>
  <c r="Y579" i="6" s="1"/>
  <c r="BI579" i="6" s="1"/>
  <c r="Y580" i="6" s="1"/>
  <c r="BI580" i="6" s="1"/>
  <c r="Y581" i="6" s="1"/>
  <c r="BI581" i="6" s="1"/>
  <c r="X546" i="6"/>
  <c r="BH546" i="6" s="1"/>
  <c r="X547" i="6" s="1"/>
  <c r="BH547" i="6" s="1"/>
  <c r="X548" i="6" s="1"/>
  <c r="BH548" i="6" s="1"/>
  <c r="X549" i="6" s="1"/>
  <c r="BH549" i="6" s="1"/>
  <c r="X550" i="6" s="1"/>
  <c r="BH550" i="6" s="1"/>
  <c r="X551" i="6" s="1"/>
  <c r="BH551" i="6" s="1"/>
  <c r="X552" i="6" s="1"/>
  <c r="BH552" i="6" s="1"/>
  <c r="X553" i="6" s="1"/>
  <c r="BH553" i="6" s="1"/>
  <c r="X554" i="6" s="1"/>
  <c r="BH554" i="6" s="1"/>
  <c r="X555" i="6" s="1"/>
  <c r="BH555" i="6" s="1"/>
  <c r="X556" i="6" s="1"/>
  <c r="BH556" i="6" s="1"/>
  <c r="X557" i="6" s="1"/>
  <c r="BH557" i="6" s="1"/>
  <c r="X558" i="6" s="1"/>
  <c r="BH558" i="6" s="1"/>
  <c r="X559" i="6" s="1"/>
  <c r="BH559" i="6" s="1"/>
  <c r="X560" i="6" s="1"/>
  <c r="BH560" i="6" s="1"/>
  <c r="X561" i="6" s="1"/>
  <c r="BH561" i="6" s="1"/>
  <c r="X562" i="6" s="1"/>
  <c r="BH562" i="6" s="1"/>
  <c r="X563" i="6" s="1"/>
  <c r="BH563" i="6" s="1"/>
  <c r="X564" i="6" s="1"/>
  <c r="BH564" i="6" s="1"/>
  <c r="X565" i="6" s="1"/>
  <c r="BH565" i="6" s="1"/>
  <c r="X566" i="6" s="1"/>
  <c r="BH566" i="6" s="1"/>
  <c r="X567" i="6" s="1"/>
  <c r="BH567" i="6" s="1"/>
  <c r="X568" i="6" s="1"/>
  <c r="BH568" i="6" s="1"/>
  <c r="X569" i="6" s="1"/>
  <c r="BH569" i="6" s="1"/>
  <c r="X570" i="6" s="1"/>
  <c r="BH570" i="6" s="1"/>
  <c r="X571" i="6" s="1"/>
  <c r="BH571" i="6" s="1"/>
  <c r="X572" i="6" s="1"/>
  <c r="BH572" i="6" s="1"/>
  <c r="X573" i="6" s="1"/>
  <c r="BH573" i="6" s="1"/>
  <c r="X574" i="6" s="1"/>
  <c r="BH574" i="6" s="1"/>
  <c r="X575" i="6" s="1"/>
  <c r="BH575" i="6" s="1"/>
  <c r="X576" i="6" s="1"/>
  <c r="BH576" i="6" s="1"/>
  <c r="X577" i="6" s="1"/>
  <c r="BH577" i="6" s="1"/>
  <c r="X578" i="6" s="1"/>
  <c r="BH578" i="6" s="1"/>
  <c r="X579" i="6" s="1"/>
  <c r="BH579" i="6" s="1"/>
  <c r="X580" i="6" s="1"/>
  <c r="BH580" i="6" s="1"/>
  <c r="X581" i="6" s="1"/>
  <c r="BH581" i="6" s="1"/>
  <c r="W546" i="6"/>
  <c r="V546" i="6"/>
  <c r="U546" i="6"/>
  <c r="T546" i="6"/>
  <c r="BD546" i="6" s="1"/>
  <c r="T547" i="6" s="1"/>
  <c r="BD547" i="6" s="1"/>
  <c r="T548" i="6" s="1"/>
  <c r="BD548" i="6" s="1"/>
  <c r="T549" i="6" s="1"/>
  <c r="BD549" i="6" s="1"/>
  <c r="T550" i="6" s="1"/>
  <c r="S546" i="6"/>
  <c r="BC546" i="6" s="1"/>
  <c r="S547" i="6" s="1"/>
  <c r="BC547" i="6" s="1"/>
  <c r="S548" i="6" s="1"/>
  <c r="BC548" i="6" s="1"/>
  <c r="S549" i="6" s="1"/>
  <c r="BC549" i="6" s="1"/>
  <c r="S550" i="6" s="1"/>
  <c r="BC550" i="6" s="1"/>
  <c r="R546" i="6"/>
  <c r="BB546" i="6" s="1"/>
  <c r="R547" i="6" s="1"/>
  <c r="BB547" i="6" s="1"/>
  <c r="R548" i="6" s="1"/>
  <c r="BB548" i="6" s="1"/>
  <c r="R549" i="6" s="1"/>
  <c r="BB549" i="6" s="1"/>
  <c r="R550" i="6" s="1"/>
  <c r="BB550" i="6" s="1"/>
  <c r="R551" i="6" s="1"/>
  <c r="BB551" i="6" s="1"/>
  <c r="R552" i="6" s="1"/>
  <c r="BB552" i="6" s="1"/>
  <c r="R553" i="6" s="1"/>
  <c r="BB553" i="6" s="1"/>
  <c r="R554" i="6" s="1"/>
  <c r="BB554" i="6" s="1"/>
  <c r="R555" i="6" s="1"/>
  <c r="BB555" i="6" s="1"/>
  <c r="R556" i="6" s="1"/>
  <c r="BB556" i="6" s="1"/>
  <c r="R557" i="6" s="1"/>
  <c r="BB557" i="6" s="1"/>
  <c r="R558" i="6" s="1"/>
  <c r="BB558" i="6" s="1"/>
  <c r="R559" i="6" s="1"/>
  <c r="BB559" i="6" s="1"/>
  <c r="R560" i="6" s="1"/>
  <c r="BB560" i="6" s="1"/>
  <c r="R561" i="6" s="1"/>
  <c r="BB561" i="6" s="1"/>
  <c r="R562" i="6" s="1"/>
  <c r="BB562" i="6" s="1"/>
  <c r="R563" i="6" s="1"/>
  <c r="BB563" i="6" s="1"/>
  <c r="R564" i="6" s="1"/>
  <c r="BB564" i="6" s="1"/>
  <c r="R565" i="6" s="1"/>
  <c r="BB565" i="6" s="1"/>
  <c r="R566" i="6" s="1"/>
  <c r="BB566" i="6" s="1"/>
  <c r="R567" i="6" s="1"/>
  <c r="BB567" i="6" s="1"/>
  <c r="R568" i="6" s="1"/>
  <c r="BB568" i="6" s="1"/>
  <c r="R569" i="6" s="1"/>
  <c r="BB569" i="6" s="1"/>
  <c r="R570" i="6" s="1"/>
  <c r="BB570" i="6" s="1"/>
  <c r="R571" i="6" s="1"/>
  <c r="BB571" i="6" s="1"/>
  <c r="R572" i="6" s="1"/>
  <c r="BB572" i="6" s="1"/>
  <c r="R573" i="6" s="1"/>
  <c r="BB573" i="6" s="1"/>
  <c r="R574" i="6" s="1"/>
  <c r="BB574" i="6" s="1"/>
  <c r="R575" i="6" s="1"/>
  <c r="BB575" i="6" s="1"/>
  <c r="R576" i="6" s="1"/>
  <c r="BB576" i="6" s="1"/>
  <c r="R577" i="6" s="1"/>
  <c r="BB577" i="6" s="1"/>
  <c r="R578" i="6" s="1"/>
  <c r="BB578" i="6" s="1"/>
  <c r="R579" i="6" s="1"/>
  <c r="BB579" i="6" s="1"/>
  <c r="R580" i="6" s="1"/>
  <c r="BB580" i="6" s="1"/>
  <c r="R581" i="6" s="1"/>
  <c r="BB581" i="6" s="1"/>
  <c r="Q546" i="6"/>
  <c r="BA546" i="6" s="1"/>
  <c r="Q547" i="6" s="1"/>
  <c r="BA547" i="6" s="1"/>
  <c r="Q548" i="6" s="1"/>
  <c r="BA548" i="6" s="1"/>
  <c r="Q549" i="6" s="1"/>
  <c r="BA549" i="6" s="1"/>
  <c r="O546" i="6"/>
  <c r="AY546" i="6" s="1"/>
  <c r="N546" i="6"/>
  <c r="AX546" i="6" s="1"/>
  <c r="M546" i="6"/>
  <c r="AW546" i="6" s="1"/>
  <c r="M547" i="6" s="1"/>
  <c r="AW547" i="6" s="1"/>
  <c r="M548" i="6" s="1"/>
  <c r="L546" i="6"/>
  <c r="AV546" i="6" s="1"/>
  <c r="L547" i="6" s="1"/>
  <c r="K546" i="6"/>
  <c r="J546" i="6"/>
  <c r="I546" i="6"/>
  <c r="H546" i="6"/>
  <c r="G546" i="6"/>
  <c r="F546" i="6"/>
  <c r="AE546" i="6" s="1"/>
  <c r="E546" i="6"/>
  <c r="D546" i="6"/>
  <c r="C546" i="6"/>
  <c r="B546" i="6"/>
  <c r="A546" i="6"/>
  <c r="AO545" i="6"/>
  <c r="H545" i="6"/>
  <c r="G545" i="6"/>
  <c r="F545" i="6"/>
  <c r="E545" i="6"/>
  <c r="D545" i="6"/>
  <c r="C545" i="6"/>
  <c r="B545" i="6"/>
  <c r="A545" i="6"/>
  <c r="AO544" i="6"/>
  <c r="AI544" i="6"/>
  <c r="K544" i="6"/>
  <c r="H544" i="6"/>
  <c r="G544" i="6"/>
  <c r="F544" i="6"/>
  <c r="AE544" i="6" s="1"/>
  <c r="E544" i="6"/>
  <c r="D544" i="6"/>
  <c r="C544" i="6"/>
  <c r="B544" i="6"/>
  <c r="A544" i="6"/>
  <c r="AO543" i="6"/>
  <c r="J543" i="6"/>
  <c r="H543" i="6"/>
  <c r="G543" i="6"/>
  <c r="F543" i="6"/>
  <c r="AE543" i="6" s="1"/>
  <c r="E543" i="6"/>
  <c r="D543" i="6"/>
  <c r="C543" i="6"/>
  <c r="B543" i="6"/>
  <c r="A543" i="6"/>
  <c r="AO542" i="6"/>
  <c r="AE542" i="6"/>
  <c r="J542" i="6"/>
  <c r="I542" i="6"/>
  <c r="H542" i="6"/>
  <c r="G542" i="6"/>
  <c r="F542" i="6"/>
  <c r="E542" i="6"/>
  <c r="D542" i="6"/>
  <c r="C542" i="6"/>
  <c r="B542" i="6"/>
  <c r="A542" i="6"/>
  <c r="AO541" i="6"/>
  <c r="AE541" i="6"/>
  <c r="K541" i="6"/>
  <c r="J541" i="6"/>
  <c r="I541" i="6"/>
  <c r="H541" i="6"/>
  <c r="G541" i="6"/>
  <c r="AI541" i="6" s="1"/>
  <c r="F541" i="6"/>
  <c r="E541" i="6"/>
  <c r="D541" i="6"/>
  <c r="C541" i="6"/>
  <c r="B541" i="6"/>
  <c r="A541" i="6"/>
  <c r="AO540" i="6"/>
  <c r="AE540" i="6"/>
  <c r="K540" i="6"/>
  <c r="J540" i="6"/>
  <c r="I540" i="6"/>
  <c r="H540" i="6"/>
  <c r="G540" i="6"/>
  <c r="AI540" i="6" s="1"/>
  <c r="F540" i="6"/>
  <c r="E540" i="6"/>
  <c r="D540" i="6"/>
  <c r="C540" i="6"/>
  <c r="B540" i="6"/>
  <c r="A540" i="6"/>
  <c r="AO539" i="6"/>
  <c r="AI539" i="6"/>
  <c r="AE539" i="6"/>
  <c r="K539" i="6"/>
  <c r="J539" i="6"/>
  <c r="H539" i="6"/>
  <c r="G539" i="6"/>
  <c r="F539" i="6"/>
  <c r="E539" i="6"/>
  <c r="D539" i="6"/>
  <c r="C539" i="6"/>
  <c r="B539" i="6"/>
  <c r="A539" i="6"/>
  <c r="AO538" i="6"/>
  <c r="H538" i="6"/>
  <c r="G538" i="6"/>
  <c r="F538" i="6"/>
  <c r="E538" i="6"/>
  <c r="D538" i="6"/>
  <c r="C538" i="6"/>
  <c r="B538" i="6"/>
  <c r="A538" i="6"/>
  <c r="AO537" i="6"/>
  <c r="I537" i="6"/>
  <c r="H537" i="6"/>
  <c r="G537" i="6"/>
  <c r="F537" i="6"/>
  <c r="AE537" i="6" s="1"/>
  <c r="E537" i="6"/>
  <c r="D537" i="6"/>
  <c r="C537" i="6"/>
  <c r="B537" i="6"/>
  <c r="A537" i="6"/>
  <c r="AO536" i="6"/>
  <c r="AI536" i="6"/>
  <c r="AE536" i="6"/>
  <c r="K536" i="6"/>
  <c r="I536" i="6"/>
  <c r="H536" i="6"/>
  <c r="G536" i="6"/>
  <c r="F536" i="6"/>
  <c r="J536" i="6" s="1"/>
  <c r="E536" i="6"/>
  <c r="D536" i="6"/>
  <c r="C536" i="6"/>
  <c r="B536" i="6"/>
  <c r="A536" i="6"/>
  <c r="AO535" i="6"/>
  <c r="H535" i="6"/>
  <c r="G535" i="6"/>
  <c r="F535" i="6"/>
  <c r="E535" i="6"/>
  <c r="D535" i="6"/>
  <c r="C535" i="6"/>
  <c r="B535" i="6"/>
  <c r="A535" i="6"/>
  <c r="AO534" i="6"/>
  <c r="AI534" i="6"/>
  <c r="J534" i="6"/>
  <c r="H534" i="6"/>
  <c r="G534" i="6"/>
  <c r="F534" i="6"/>
  <c r="AE534" i="6" s="1"/>
  <c r="E534" i="6"/>
  <c r="D534" i="6"/>
  <c r="C534" i="6"/>
  <c r="B534" i="6"/>
  <c r="A534" i="6"/>
  <c r="AO533" i="6"/>
  <c r="H533" i="6"/>
  <c r="G533" i="6"/>
  <c r="F533" i="6"/>
  <c r="AI533" i="6" s="1"/>
  <c r="E533" i="6"/>
  <c r="D533" i="6"/>
  <c r="C533" i="6"/>
  <c r="B533" i="6"/>
  <c r="A533" i="6"/>
  <c r="AT532" i="6"/>
  <c r="AI532" i="6"/>
  <c r="AE532" i="6"/>
  <c r="H532" i="6"/>
  <c r="G532" i="6"/>
  <c r="F532" i="6"/>
  <c r="E532" i="6"/>
  <c r="D532" i="6"/>
  <c r="C532" i="6"/>
  <c r="B532" i="6"/>
  <c r="A532" i="6"/>
  <c r="AT531" i="6"/>
  <c r="AO531" i="6"/>
  <c r="AE531" i="6"/>
  <c r="H531" i="6"/>
  <c r="G531" i="6"/>
  <c r="F531" i="6"/>
  <c r="E531" i="6"/>
  <c r="D531" i="6"/>
  <c r="C531" i="6"/>
  <c r="B531" i="6"/>
  <c r="A531" i="6"/>
  <c r="AT530" i="6"/>
  <c r="AO530" i="6"/>
  <c r="AE530" i="6"/>
  <c r="J530" i="6"/>
  <c r="I530" i="6"/>
  <c r="H530" i="6"/>
  <c r="G530" i="6"/>
  <c r="F530" i="6"/>
  <c r="E530" i="6"/>
  <c r="D530" i="6"/>
  <c r="C530" i="6"/>
  <c r="B530" i="6"/>
  <c r="A530" i="6"/>
  <c r="AT529" i="6"/>
  <c r="AO529" i="6"/>
  <c r="K529" i="6"/>
  <c r="J529" i="6"/>
  <c r="I529" i="6"/>
  <c r="H529" i="6"/>
  <c r="G529" i="6"/>
  <c r="AI529" i="6" s="1"/>
  <c r="F529" i="6"/>
  <c r="E529" i="6"/>
  <c r="D529" i="6"/>
  <c r="C529" i="6"/>
  <c r="B529" i="6"/>
  <c r="A529" i="6"/>
  <c r="AT528" i="6"/>
  <c r="AO528" i="6"/>
  <c r="AI528" i="6"/>
  <c r="AE528" i="6"/>
  <c r="K528" i="6"/>
  <c r="J528" i="6"/>
  <c r="I528" i="6"/>
  <c r="H528" i="6"/>
  <c r="G528" i="6"/>
  <c r="F528" i="6"/>
  <c r="E528" i="6"/>
  <c r="D528" i="6"/>
  <c r="C528" i="6"/>
  <c r="B528" i="6"/>
  <c r="A528" i="6"/>
  <c r="AT527" i="6"/>
  <c r="AO527" i="6"/>
  <c r="AE527" i="6"/>
  <c r="K527" i="6"/>
  <c r="J527" i="6"/>
  <c r="I527" i="6"/>
  <c r="H527" i="6"/>
  <c r="AF527" i="6" s="1"/>
  <c r="G527" i="6"/>
  <c r="F527" i="6"/>
  <c r="E527" i="6"/>
  <c r="D527" i="6"/>
  <c r="C527" i="6"/>
  <c r="B527" i="6"/>
  <c r="A527" i="6"/>
  <c r="AT526" i="6"/>
  <c r="AI526" i="6"/>
  <c r="AE526" i="6"/>
  <c r="K526" i="6"/>
  <c r="I526" i="6"/>
  <c r="H526" i="6"/>
  <c r="G526" i="6"/>
  <c r="F526" i="6"/>
  <c r="E526" i="6"/>
  <c r="D526" i="6"/>
  <c r="C526" i="6"/>
  <c r="B526" i="6"/>
  <c r="A526" i="6"/>
  <c r="AT525" i="6"/>
  <c r="AO525" i="6"/>
  <c r="AI525" i="6"/>
  <c r="AF525" i="6"/>
  <c r="K525" i="6"/>
  <c r="I525" i="6"/>
  <c r="H525" i="6"/>
  <c r="G525" i="6"/>
  <c r="F525" i="6"/>
  <c r="E525" i="6"/>
  <c r="D525" i="6"/>
  <c r="C525" i="6"/>
  <c r="B525" i="6"/>
  <c r="A525" i="6"/>
  <c r="AT524" i="6"/>
  <c r="AO524" i="6"/>
  <c r="AF524" i="6"/>
  <c r="H524" i="6"/>
  <c r="G524" i="6"/>
  <c r="F524" i="6"/>
  <c r="K524" i="6" s="1"/>
  <c r="E524" i="6"/>
  <c r="D524" i="6"/>
  <c r="C524" i="6"/>
  <c r="B524" i="6"/>
  <c r="A524" i="6"/>
  <c r="AT523" i="6"/>
  <c r="AO523" i="6"/>
  <c r="AF523" i="6"/>
  <c r="K523" i="6"/>
  <c r="J523" i="6"/>
  <c r="I523" i="6"/>
  <c r="H523" i="6"/>
  <c r="G523" i="6"/>
  <c r="F523" i="6"/>
  <c r="AE523" i="6" s="1"/>
  <c r="E523" i="6"/>
  <c r="D523" i="6"/>
  <c r="C523" i="6"/>
  <c r="B523" i="6"/>
  <c r="A523" i="6"/>
  <c r="AT522" i="6"/>
  <c r="AO522" i="6"/>
  <c r="H522" i="6"/>
  <c r="G522" i="6"/>
  <c r="F522" i="6"/>
  <c r="E522" i="6"/>
  <c r="D522" i="6"/>
  <c r="C522" i="6"/>
  <c r="B522" i="6"/>
  <c r="A522" i="6"/>
  <c r="BH521" i="6"/>
  <c r="X522" i="6" s="1"/>
  <c r="BH522" i="6" s="1"/>
  <c r="X523" i="6" s="1"/>
  <c r="BH523" i="6" s="1"/>
  <c r="X524" i="6" s="1"/>
  <c r="BH524" i="6" s="1"/>
  <c r="X525" i="6" s="1"/>
  <c r="BH525" i="6" s="1"/>
  <c r="X526" i="6" s="1"/>
  <c r="BH526" i="6" s="1"/>
  <c r="X527" i="6" s="1"/>
  <c r="BH527" i="6" s="1"/>
  <c r="X528" i="6" s="1"/>
  <c r="BH528" i="6" s="1"/>
  <c r="X529" i="6" s="1"/>
  <c r="BH529" i="6" s="1"/>
  <c r="X530" i="6" s="1"/>
  <c r="BH530" i="6" s="1"/>
  <c r="X531" i="6" s="1"/>
  <c r="BH531" i="6" s="1"/>
  <c r="X532" i="6" s="1"/>
  <c r="BH532" i="6" s="1"/>
  <c r="X533" i="6" s="1"/>
  <c r="BH533" i="6" s="1"/>
  <c r="X534" i="6" s="1"/>
  <c r="BH534" i="6" s="1"/>
  <c r="X535" i="6" s="1"/>
  <c r="BH535" i="6" s="1"/>
  <c r="X536" i="6" s="1"/>
  <c r="BH536" i="6" s="1"/>
  <c r="X537" i="6" s="1"/>
  <c r="BH537" i="6" s="1"/>
  <c r="X538" i="6" s="1"/>
  <c r="BH538" i="6" s="1"/>
  <c r="X539" i="6" s="1"/>
  <c r="BH539" i="6" s="1"/>
  <c r="X540" i="6" s="1"/>
  <c r="BH540" i="6" s="1"/>
  <c r="X541" i="6" s="1"/>
  <c r="BH541" i="6" s="1"/>
  <c r="X542" i="6" s="1"/>
  <c r="BH542" i="6" s="1"/>
  <c r="X543" i="6" s="1"/>
  <c r="BH543" i="6" s="1"/>
  <c r="X544" i="6" s="1"/>
  <c r="BH544" i="6" s="1"/>
  <c r="X545" i="6" s="1"/>
  <c r="BH545" i="6" s="1"/>
  <c r="AT521" i="6"/>
  <c r="AE521" i="6"/>
  <c r="K521" i="6"/>
  <c r="J521" i="6"/>
  <c r="H521" i="6"/>
  <c r="G521" i="6"/>
  <c r="F521" i="6"/>
  <c r="E521" i="6"/>
  <c r="D521" i="6"/>
  <c r="C521" i="6"/>
  <c r="B521" i="6"/>
  <c r="A521" i="6"/>
  <c r="AT520" i="6"/>
  <c r="H520" i="6"/>
  <c r="G520" i="6"/>
  <c r="F520" i="6"/>
  <c r="E520" i="6"/>
  <c r="D520" i="6"/>
  <c r="C520" i="6"/>
  <c r="B520" i="6"/>
  <c r="A520" i="6"/>
  <c r="AT519" i="6"/>
  <c r="AO519" i="6"/>
  <c r="AF519" i="6"/>
  <c r="AE519" i="6"/>
  <c r="X519" i="6"/>
  <c r="BH519" i="6" s="1"/>
  <c r="X520" i="6" s="1"/>
  <c r="BH520" i="6" s="1"/>
  <c r="X521" i="6" s="1"/>
  <c r="J519" i="6"/>
  <c r="I519" i="6"/>
  <c r="H519" i="6"/>
  <c r="G519" i="6"/>
  <c r="F519" i="6"/>
  <c r="E519" i="6"/>
  <c r="D519" i="6"/>
  <c r="C519" i="6"/>
  <c r="B519" i="6"/>
  <c r="A519" i="6"/>
  <c r="AT518" i="6"/>
  <c r="AO518" i="6"/>
  <c r="AE518" i="6"/>
  <c r="J518" i="6"/>
  <c r="I518" i="6"/>
  <c r="H518" i="6"/>
  <c r="G518" i="6"/>
  <c r="F518" i="6"/>
  <c r="E518" i="6"/>
  <c r="D518" i="6"/>
  <c r="C518" i="6"/>
  <c r="B518" i="6"/>
  <c r="A518" i="6"/>
  <c r="AT517" i="6"/>
  <c r="AO517" i="6"/>
  <c r="AF517" i="6"/>
  <c r="AE517" i="6"/>
  <c r="K517" i="6"/>
  <c r="J517" i="6"/>
  <c r="I517" i="6"/>
  <c r="H517" i="6"/>
  <c r="G517" i="6"/>
  <c r="AI517" i="6" s="1"/>
  <c r="F517" i="6"/>
  <c r="E517" i="6"/>
  <c r="D517" i="6"/>
  <c r="C517" i="6"/>
  <c r="B517" i="6"/>
  <c r="A517" i="6"/>
  <c r="AT516" i="6"/>
  <c r="AO516" i="6"/>
  <c r="AB516" i="6"/>
  <c r="BL516" i="6" s="1"/>
  <c r="AB517" i="6" s="1"/>
  <c r="BL517" i="6" s="1"/>
  <c r="AB518" i="6" s="1"/>
  <c r="BL518" i="6" s="1"/>
  <c r="AB519" i="6" s="1"/>
  <c r="BL519" i="6" s="1"/>
  <c r="AB520" i="6" s="1"/>
  <c r="BL520" i="6" s="1"/>
  <c r="AB521" i="6" s="1"/>
  <c r="BL521" i="6" s="1"/>
  <c r="AB522" i="6" s="1"/>
  <c r="BL522" i="6" s="1"/>
  <c r="AB523" i="6" s="1"/>
  <c r="BL523" i="6" s="1"/>
  <c r="AB524" i="6" s="1"/>
  <c r="BL524" i="6" s="1"/>
  <c r="AB525" i="6" s="1"/>
  <c r="BL525" i="6" s="1"/>
  <c r="AB526" i="6" s="1"/>
  <c r="BL526" i="6" s="1"/>
  <c r="AB527" i="6" s="1"/>
  <c r="BL527" i="6" s="1"/>
  <c r="AB528" i="6" s="1"/>
  <c r="BL528" i="6" s="1"/>
  <c r="AB529" i="6" s="1"/>
  <c r="BL529" i="6" s="1"/>
  <c r="AB530" i="6" s="1"/>
  <c r="BL530" i="6" s="1"/>
  <c r="AB531" i="6" s="1"/>
  <c r="BL531" i="6" s="1"/>
  <c r="AB532" i="6" s="1"/>
  <c r="BL532" i="6" s="1"/>
  <c r="AB533" i="6" s="1"/>
  <c r="BL533" i="6" s="1"/>
  <c r="AB534" i="6" s="1"/>
  <c r="BL534" i="6" s="1"/>
  <c r="AB535" i="6" s="1"/>
  <c r="BL535" i="6" s="1"/>
  <c r="AB536" i="6" s="1"/>
  <c r="BL536" i="6" s="1"/>
  <c r="AB537" i="6" s="1"/>
  <c r="BL537" i="6" s="1"/>
  <c r="AB538" i="6" s="1"/>
  <c r="BL538" i="6" s="1"/>
  <c r="AB539" i="6" s="1"/>
  <c r="BL539" i="6" s="1"/>
  <c r="AB540" i="6" s="1"/>
  <c r="BL540" i="6" s="1"/>
  <c r="AB541" i="6" s="1"/>
  <c r="BL541" i="6" s="1"/>
  <c r="AB542" i="6" s="1"/>
  <c r="BL542" i="6" s="1"/>
  <c r="AB543" i="6" s="1"/>
  <c r="BL543" i="6" s="1"/>
  <c r="AB544" i="6" s="1"/>
  <c r="BL544" i="6" s="1"/>
  <c r="AB545" i="6" s="1"/>
  <c r="BL545" i="6" s="1"/>
  <c r="J516" i="6"/>
  <c r="H516" i="6"/>
  <c r="AF516" i="6" s="1"/>
  <c r="G516" i="6"/>
  <c r="AI516" i="6" s="1"/>
  <c r="F516" i="6"/>
  <c r="K516" i="6" s="1"/>
  <c r="E516" i="6"/>
  <c r="D516" i="6"/>
  <c r="C516" i="6"/>
  <c r="B516" i="6"/>
  <c r="A516" i="6"/>
  <c r="AT515" i="6"/>
  <c r="R515" i="6"/>
  <c r="BB515" i="6" s="1"/>
  <c r="R516" i="6" s="1"/>
  <c r="BB516" i="6" s="1"/>
  <c r="R517" i="6" s="1"/>
  <c r="BB517" i="6" s="1"/>
  <c r="R518" i="6" s="1"/>
  <c r="BB518" i="6" s="1"/>
  <c r="R519" i="6" s="1"/>
  <c r="BB519" i="6" s="1"/>
  <c r="R520" i="6" s="1"/>
  <c r="BB520" i="6" s="1"/>
  <c r="R521" i="6" s="1"/>
  <c r="BB521" i="6" s="1"/>
  <c r="R522" i="6" s="1"/>
  <c r="BB522" i="6" s="1"/>
  <c r="R523" i="6" s="1"/>
  <c r="BB523" i="6" s="1"/>
  <c r="R524" i="6" s="1"/>
  <c r="BB524" i="6" s="1"/>
  <c r="R525" i="6" s="1"/>
  <c r="BB525" i="6" s="1"/>
  <c r="R526" i="6" s="1"/>
  <c r="BB526" i="6" s="1"/>
  <c r="R527" i="6" s="1"/>
  <c r="BB527" i="6" s="1"/>
  <c r="R528" i="6" s="1"/>
  <c r="BB528" i="6" s="1"/>
  <c r="R529" i="6" s="1"/>
  <c r="BB529" i="6" s="1"/>
  <c r="R530" i="6" s="1"/>
  <c r="BB530" i="6" s="1"/>
  <c r="R531" i="6" s="1"/>
  <c r="BB531" i="6" s="1"/>
  <c r="R532" i="6" s="1"/>
  <c r="BB532" i="6" s="1"/>
  <c r="R533" i="6" s="1"/>
  <c r="BB533" i="6" s="1"/>
  <c r="R534" i="6" s="1"/>
  <c r="BB534" i="6" s="1"/>
  <c r="R535" i="6" s="1"/>
  <c r="BB535" i="6" s="1"/>
  <c r="R536" i="6" s="1"/>
  <c r="BB536" i="6" s="1"/>
  <c r="R537" i="6" s="1"/>
  <c r="BB537" i="6" s="1"/>
  <c r="R538" i="6" s="1"/>
  <c r="BB538" i="6" s="1"/>
  <c r="R539" i="6" s="1"/>
  <c r="BB539" i="6" s="1"/>
  <c r="R540" i="6" s="1"/>
  <c r="BB540" i="6" s="1"/>
  <c r="R541" i="6" s="1"/>
  <c r="BB541" i="6" s="1"/>
  <c r="R542" i="6" s="1"/>
  <c r="BB542" i="6" s="1"/>
  <c r="R543" i="6" s="1"/>
  <c r="BB543" i="6" s="1"/>
  <c r="R544" i="6" s="1"/>
  <c r="BB544" i="6" s="1"/>
  <c r="R545" i="6" s="1"/>
  <c r="BB545" i="6" s="1"/>
  <c r="H515" i="6"/>
  <c r="G515" i="6"/>
  <c r="F515" i="6"/>
  <c r="E515" i="6"/>
  <c r="D515" i="6"/>
  <c r="C515" i="6"/>
  <c r="B515" i="6"/>
  <c r="A515" i="6"/>
  <c r="AT514" i="6"/>
  <c r="AE514" i="6"/>
  <c r="J514" i="6"/>
  <c r="H514" i="6"/>
  <c r="G514" i="6"/>
  <c r="F514" i="6"/>
  <c r="AI514" i="6" s="1"/>
  <c r="E514" i="6"/>
  <c r="D514" i="6"/>
  <c r="C514" i="6"/>
  <c r="B514" i="6"/>
  <c r="A514" i="6"/>
  <c r="AT513" i="6"/>
  <c r="AO513" i="6"/>
  <c r="AE513" i="6"/>
  <c r="T513" i="6"/>
  <c r="BD513" i="6" s="1"/>
  <c r="T514" i="6" s="1"/>
  <c r="K513" i="6"/>
  <c r="J513" i="6"/>
  <c r="I513" i="6"/>
  <c r="H513" i="6"/>
  <c r="G513" i="6"/>
  <c r="AI513" i="6" s="1"/>
  <c r="F513" i="6"/>
  <c r="E513" i="6"/>
  <c r="D513" i="6"/>
  <c r="C513" i="6"/>
  <c r="B513" i="6"/>
  <c r="A513" i="6"/>
  <c r="AT512" i="6"/>
  <c r="AO512" i="6"/>
  <c r="AF512" i="6"/>
  <c r="AE512" i="6"/>
  <c r="K512" i="6"/>
  <c r="J512" i="6"/>
  <c r="I512" i="6"/>
  <c r="H512" i="6"/>
  <c r="G512" i="6"/>
  <c r="AI512" i="6" s="1"/>
  <c r="F512" i="6"/>
  <c r="AP512" i="6" s="1"/>
  <c r="E512" i="6"/>
  <c r="D512" i="6"/>
  <c r="C512" i="6"/>
  <c r="B512" i="6"/>
  <c r="A512" i="6"/>
  <c r="AT511" i="6"/>
  <c r="AO511" i="6"/>
  <c r="AF511" i="6"/>
  <c r="AE511" i="6"/>
  <c r="V511" i="6"/>
  <c r="BF511" i="6" s="1"/>
  <c r="V512" i="6" s="1"/>
  <c r="BF512" i="6" s="1"/>
  <c r="V513" i="6" s="1"/>
  <c r="BF513" i="6" s="1"/>
  <c r="V514" i="6" s="1"/>
  <c r="BF514" i="6" s="1"/>
  <c r="V515" i="6" s="1"/>
  <c r="BF515" i="6" s="1"/>
  <c r="V516" i="6" s="1"/>
  <c r="BF516" i="6" s="1"/>
  <c r="V517" i="6" s="1"/>
  <c r="BF517" i="6" s="1"/>
  <c r="V518" i="6" s="1"/>
  <c r="BF518" i="6" s="1"/>
  <c r="V519" i="6" s="1"/>
  <c r="BF519" i="6" s="1"/>
  <c r="V520" i="6" s="1"/>
  <c r="BF520" i="6" s="1"/>
  <c r="V521" i="6" s="1"/>
  <c r="BF521" i="6" s="1"/>
  <c r="V522" i="6" s="1"/>
  <c r="BF522" i="6" s="1"/>
  <c r="V523" i="6" s="1"/>
  <c r="BF523" i="6" s="1"/>
  <c r="V524" i="6" s="1"/>
  <c r="BF524" i="6" s="1"/>
  <c r="V525" i="6" s="1"/>
  <c r="BF525" i="6" s="1"/>
  <c r="V526" i="6" s="1"/>
  <c r="BF526" i="6" s="1"/>
  <c r="V527" i="6" s="1"/>
  <c r="BF527" i="6" s="1"/>
  <c r="V528" i="6" s="1"/>
  <c r="BF528" i="6" s="1"/>
  <c r="V529" i="6" s="1"/>
  <c r="BF529" i="6" s="1"/>
  <c r="V530" i="6" s="1"/>
  <c r="BF530" i="6" s="1"/>
  <c r="V531" i="6" s="1"/>
  <c r="BF531" i="6" s="1"/>
  <c r="V532" i="6" s="1"/>
  <c r="BF532" i="6" s="1"/>
  <c r="V533" i="6" s="1"/>
  <c r="K511" i="6"/>
  <c r="J511" i="6"/>
  <c r="H511" i="6"/>
  <c r="G511" i="6"/>
  <c r="F511" i="6"/>
  <c r="E511" i="6"/>
  <c r="D511" i="6"/>
  <c r="C511" i="6"/>
  <c r="B511" i="6"/>
  <c r="A511" i="6"/>
  <c r="BO510" i="6"/>
  <c r="BN511" i="6" s="1"/>
  <c r="BO511" i="6" s="1"/>
  <c r="BN512" i="6" s="1"/>
  <c r="BO512" i="6" s="1"/>
  <c r="BN513" i="6" s="1"/>
  <c r="BN510" i="6"/>
  <c r="BE510" i="6"/>
  <c r="BE511" i="6" s="1"/>
  <c r="BA510" i="6"/>
  <c r="Q511" i="6" s="1"/>
  <c r="BA511" i="6" s="1"/>
  <c r="Q512" i="6" s="1"/>
  <c r="BA512" i="6" s="1"/>
  <c r="Q513" i="6" s="1"/>
  <c r="BA513" i="6" s="1"/>
  <c r="Q514" i="6" s="1"/>
  <c r="BA514" i="6" s="1"/>
  <c r="Q515" i="6" s="1"/>
  <c r="BA515" i="6" s="1"/>
  <c r="Q516" i="6" s="1"/>
  <c r="BA516" i="6" s="1"/>
  <c r="Q517" i="6" s="1"/>
  <c r="AT510" i="6"/>
  <c r="AO510" i="6"/>
  <c r="AI510" i="6"/>
  <c r="AF510" i="6"/>
  <c r="AE510" i="6"/>
  <c r="AC510" i="6"/>
  <c r="BM510" i="6" s="1"/>
  <c r="AC511" i="6" s="1"/>
  <c r="BM511" i="6" s="1"/>
  <c r="AC512" i="6" s="1"/>
  <c r="BM512" i="6" s="1"/>
  <c r="AC513" i="6" s="1"/>
  <c r="BM513" i="6" s="1"/>
  <c r="AC514" i="6" s="1"/>
  <c r="BM514" i="6" s="1"/>
  <c r="AC515" i="6" s="1"/>
  <c r="BM515" i="6" s="1"/>
  <c r="AC516" i="6" s="1"/>
  <c r="BM516" i="6" s="1"/>
  <c r="AC517" i="6" s="1"/>
  <c r="BM517" i="6" s="1"/>
  <c r="AC518" i="6" s="1"/>
  <c r="BM518" i="6" s="1"/>
  <c r="AC519" i="6" s="1"/>
  <c r="BM519" i="6" s="1"/>
  <c r="AC520" i="6" s="1"/>
  <c r="BM520" i="6" s="1"/>
  <c r="AC521" i="6" s="1"/>
  <c r="BM521" i="6" s="1"/>
  <c r="AC522" i="6" s="1"/>
  <c r="BM522" i="6" s="1"/>
  <c r="AC523" i="6" s="1"/>
  <c r="BM523" i="6" s="1"/>
  <c r="AC524" i="6" s="1"/>
  <c r="BM524" i="6" s="1"/>
  <c r="AC525" i="6" s="1"/>
  <c r="BM525" i="6" s="1"/>
  <c r="AC526" i="6" s="1"/>
  <c r="BM526" i="6" s="1"/>
  <c r="AC527" i="6" s="1"/>
  <c r="BM527" i="6" s="1"/>
  <c r="AC528" i="6" s="1"/>
  <c r="BM528" i="6" s="1"/>
  <c r="AC529" i="6" s="1"/>
  <c r="BM529" i="6" s="1"/>
  <c r="AC530" i="6" s="1"/>
  <c r="BM530" i="6" s="1"/>
  <c r="AC531" i="6" s="1"/>
  <c r="BM531" i="6" s="1"/>
  <c r="AC532" i="6" s="1"/>
  <c r="BM532" i="6" s="1"/>
  <c r="AC533" i="6" s="1"/>
  <c r="BM533" i="6" s="1"/>
  <c r="AC534" i="6" s="1"/>
  <c r="BM534" i="6" s="1"/>
  <c r="AC535" i="6" s="1"/>
  <c r="BM535" i="6" s="1"/>
  <c r="AC536" i="6" s="1"/>
  <c r="BM536" i="6" s="1"/>
  <c r="AC537" i="6" s="1"/>
  <c r="BM537" i="6" s="1"/>
  <c r="AC538" i="6" s="1"/>
  <c r="BM538" i="6" s="1"/>
  <c r="AC539" i="6" s="1"/>
  <c r="BM539" i="6" s="1"/>
  <c r="AC540" i="6" s="1"/>
  <c r="BM540" i="6" s="1"/>
  <c r="AC541" i="6" s="1"/>
  <c r="BM541" i="6" s="1"/>
  <c r="AC542" i="6" s="1"/>
  <c r="BM542" i="6" s="1"/>
  <c r="AC543" i="6" s="1"/>
  <c r="BM543" i="6" s="1"/>
  <c r="AC544" i="6" s="1"/>
  <c r="BM544" i="6" s="1"/>
  <c r="AC545" i="6" s="1"/>
  <c r="BM545" i="6" s="1"/>
  <c r="AB510" i="6"/>
  <c r="BL510" i="6" s="1"/>
  <c r="AB511" i="6" s="1"/>
  <c r="BL511" i="6" s="1"/>
  <c r="AB512" i="6" s="1"/>
  <c r="BL512" i="6" s="1"/>
  <c r="AB513" i="6" s="1"/>
  <c r="BL513" i="6" s="1"/>
  <c r="AB514" i="6" s="1"/>
  <c r="BL514" i="6" s="1"/>
  <c r="AB515" i="6" s="1"/>
  <c r="BL515" i="6" s="1"/>
  <c r="AA510" i="6"/>
  <c r="BK510" i="6" s="1"/>
  <c r="AA511" i="6" s="1"/>
  <c r="BK511" i="6" s="1"/>
  <c r="AA512" i="6" s="1"/>
  <c r="BK512" i="6" s="1"/>
  <c r="AA513" i="6" s="1"/>
  <c r="BK513" i="6" s="1"/>
  <c r="AA514" i="6" s="1"/>
  <c r="BK514" i="6" s="1"/>
  <c r="AA515" i="6" s="1"/>
  <c r="BK515" i="6" s="1"/>
  <c r="AA516" i="6" s="1"/>
  <c r="BK516" i="6" s="1"/>
  <c r="AA517" i="6" s="1"/>
  <c r="BK517" i="6" s="1"/>
  <c r="AA518" i="6" s="1"/>
  <c r="BK518" i="6" s="1"/>
  <c r="AA519" i="6" s="1"/>
  <c r="BK519" i="6" s="1"/>
  <c r="AA520" i="6" s="1"/>
  <c r="BK520" i="6" s="1"/>
  <c r="AA521" i="6" s="1"/>
  <c r="BK521" i="6" s="1"/>
  <c r="AA522" i="6" s="1"/>
  <c r="BK522" i="6" s="1"/>
  <c r="AA523" i="6" s="1"/>
  <c r="BK523" i="6" s="1"/>
  <c r="AA524" i="6" s="1"/>
  <c r="BK524" i="6" s="1"/>
  <c r="AA525" i="6" s="1"/>
  <c r="BK525" i="6" s="1"/>
  <c r="AA526" i="6" s="1"/>
  <c r="BK526" i="6" s="1"/>
  <c r="AA527" i="6" s="1"/>
  <c r="BK527" i="6" s="1"/>
  <c r="AA528" i="6" s="1"/>
  <c r="BK528" i="6" s="1"/>
  <c r="AA529" i="6" s="1"/>
  <c r="BK529" i="6" s="1"/>
  <c r="AA530" i="6" s="1"/>
  <c r="BK530" i="6" s="1"/>
  <c r="AA531" i="6" s="1"/>
  <c r="BK531" i="6" s="1"/>
  <c r="AA532" i="6" s="1"/>
  <c r="BK532" i="6" s="1"/>
  <c r="AA533" i="6" s="1"/>
  <c r="BK533" i="6" s="1"/>
  <c r="AA534" i="6" s="1"/>
  <c r="BK534" i="6" s="1"/>
  <c r="AA535" i="6" s="1"/>
  <c r="BK535" i="6" s="1"/>
  <c r="AA536" i="6" s="1"/>
  <c r="BK536" i="6" s="1"/>
  <c r="AA537" i="6" s="1"/>
  <c r="BK537" i="6" s="1"/>
  <c r="AA538" i="6" s="1"/>
  <c r="BK538" i="6" s="1"/>
  <c r="AA539" i="6" s="1"/>
  <c r="BK539" i="6" s="1"/>
  <c r="AA540" i="6" s="1"/>
  <c r="BK540" i="6" s="1"/>
  <c r="AA541" i="6" s="1"/>
  <c r="BK541" i="6" s="1"/>
  <c r="AA542" i="6" s="1"/>
  <c r="BK542" i="6" s="1"/>
  <c r="AA543" i="6" s="1"/>
  <c r="BK543" i="6" s="1"/>
  <c r="AA544" i="6" s="1"/>
  <c r="BK544" i="6" s="1"/>
  <c r="AA545" i="6" s="1"/>
  <c r="BK545" i="6" s="1"/>
  <c r="Z510" i="6"/>
  <c r="BJ510" i="6" s="1"/>
  <c r="Z511" i="6" s="1"/>
  <c r="BJ511" i="6" s="1"/>
  <c r="Z512" i="6" s="1"/>
  <c r="BJ512" i="6" s="1"/>
  <c r="Z513" i="6" s="1"/>
  <c r="BJ513" i="6" s="1"/>
  <c r="Z514" i="6" s="1"/>
  <c r="BJ514" i="6" s="1"/>
  <c r="Z515" i="6" s="1"/>
  <c r="BJ515" i="6" s="1"/>
  <c r="Z516" i="6" s="1"/>
  <c r="BJ516" i="6" s="1"/>
  <c r="Z517" i="6" s="1"/>
  <c r="BJ517" i="6" s="1"/>
  <c r="Z518" i="6" s="1"/>
  <c r="BJ518" i="6" s="1"/>
  <c r="Z519" i="6" s="1"/>
  <c r="BJ519" i="6" s="1"/>
  <c r="Z520" i="6" s="1"/>
  <c r="BJ520" i="6" s="1"/>
  <c r="Z521" i="6" s="1"/>
  <c r="BJ521" i="6" s="1"/>
  <c r="Z522" i="6" s="1"/>
  <c r="BJ522" i="6" s="1"/>
  <c r="Z523" i="6" s="1"/>
  <c r="BJ523" i="6" s="1"/>
  <c r="Z524" i="6" s="1"/>
  <c r="BJ524" i="6" s="1"/>
  <c r="Z525" i="6" s="1"/>
  <c r="BJ525" i="6" s="1"/>
  <c r="Z526" i="6" s="1"/>
  <c r="BJ526" i="6" s="1"/>
  <c r="Z527" i="6" s="1"/>
  <c r="BJ527" i="6" s="1"/>
  <c r="Z528" i="6" s="1"/>
  <c r="BJ528" i="6" s="1"/>
  <c r="Z529" i="6" s="1"/>
  <c r="BJ529" i="6" s="1"/>
  <c r="Z530" i="6" s="1"/>
  <c r="BJ530" i="6" s="1"/>
  <c r="Z531" i="6" s="1"/>
  <c r="BJ531" i="6" s="1"/>
  <c r="Z532" i="6" s="1"/>
  <c r="BJ532" i="6" s="1"/>
  <c r="Z533" i="6" s="1"/>
  <c r="BJ533" i="6" s="1"/>
  <c r="Z534" i="6" s="1"/>
  <c r="BJ534" i="6" s="1"/>
  <c r="Z535" i="6" s="1"/>
  <c r="BJ535" i="6" s="1"/>
  <c r="Z536" i="6" s="1"/>
  <c r="BJ536" i="6" s="1"/>
  <c r="Z537" i="6" s="1"/>
  <c r="BJ537" i="6" s="1"/>
  <c r="Z538" i="6" s="1"/>
  <c r="BJ538" i="6" s="1"/>
  <c r="Z539" i="6" s="1"/>
  <c r="BJ539" i="6" s="1"/>
  <c r="Z540" i="6" s="1"/>
  <c r="BJ540" i="6" s="1"/>
  <c r="Z541" i="6" s="1"/>
  <c r="BJ541" i="6" s="1"/>
  <c r="Z542" i="6" s="1"/>
  <c r="BJ542" i="6" s="1"/>
  <c r="Z543" i="6" s="1"/>
  <c r="BJ543" i="6" s="1"/>
  <c r="Z544" i="6" s="1"/>
  <c r="BJ544" i="6" s="1"/>
  <c r="Z545" i="6" s="1"/>
  <c r="BJ545" i="6" s="1"/>
  <c r="Y510" i="6"/>
  <c r="BI510" i="6" s="1"/>
  <c r="Y511" i="6" s="1"/>
  <c r="BI511" i="6" s="1"/>
  <c r="Y512" i="6" s="1"/>
  <c r="BI512" i="6" s="1"/>
  <c r="Y513" i="6" s="1"/>
  <c r="BI513" i="6" s="1"/>
  <c r="Y514" i="6" s="1"/>
  <c r="BI514" i="6" s="1"/>
  <c r="Y515" i="6" s="1"/>
  <c r="BI515" i="6" s="1"/>
  <c r="Y516" i="6" s="1"/>
  <c r="BI516" i="6" s="1"/>
  <c r="Y517" i="6" s="1"/>
  <c r="BI517" i="6" s="1"/>
  <c r="Y518" i="6" s="1"/>
  <c r="BI518" i="6" s="1"/>
  <c r="Y519" i="6" s="1"/>
  <c r="BI519" i="6" s="1"/>
  <c r="Y520" i="6" s="1"/>
  <c r="BI520" i="6" s="1"/>
  <c r="Y521" i="6" s="1"/>
  <c r="BI521" i="6" s="1"/>
  <c r="Y522" i="6" s="1"/>
  <c r="BI522" i="6" s="1"/>
  <c r="Y523" i="6" s="1"/>
  <c r="BI523" i="6" s="1"/>
  <c r="Y524" i="6" s="1"/>
  <c r="BI524" i="6" s="1"/>
  <c r="Y525" i="6" s="1"/>
  <c r="BI525" i="6" s="1"/>
  <c r="Y526" i="6" s="1"/>
  <c r="BI526" i="6" s="1"/>
  <c r="Y527" i="6" s="1"/>
  <c r="BI527" i="6" s="1"/>
  <c r="Y528" i="6" s="1"/>
  <c r="BI528" i="6" s="1"/>
  <c r="Y529" i="6" s="1"/>
  <c r="BI529" i="6" s="1"/>
  <c r="Y530" i="6" s="1"/>
  <c r="BI530" i="6" s="1"/>
  <c r="Y531" i="6" s="1"/>
  <c r="BI531" i="6" s="1"/>
  <c r="Y532" i="6" s="1"/>
  <c r="BI532" i="6" s="1"/>
  <c r="Y533" i="6" s="1"/>
  <c r="BI533" i="6" s="1"/>
  <c r="Y534" i="6" s="1"/>
  <c r="BI534" i="6" s="1"/>
  <c r="Y535" i="6" s="1"/>
  <c r="BI535" i="6" s="1"/>
  <c r="Y536" i="6" s="1"/>
  <c r="BI536" i="6" s="1"/>
  <c r="Y537" i="6" s="1"/>
  <c r="BI537" i="6" s="1"/>
  <c r="Y538" i="6" s="1"/>
  <c r="BI538" i="6" s="1"/>
  <c r="Y539" i="6" s="1"/>
  <c r="BI539" i="6" s="1"/>
  <c r="Y540" i="6" s="1"/>
  <c r="BI540" i="6" s="1"/>
  <c r="Y541" i="6" s="1"/>
  <c r="BI541" i="6" s="1"/>
  <c r="Y542" i="6" s="1"/>
  <c r="BI542" i="6" s="1"/>
  <c r="Y543" i="6" s="1"/>
  <c r="BI543" i="6" s="1"/>
  <c r="Y544" i="6" s="1"/>
  <c r="BI544" i="6" s="1"/>
  <c r="Y545" i="6" s="1"/>
  <c r="BI545" i="6" s="1"/>
  <c r="X510" i="6"/>
  <c r="BH510" i="6" s="1"/>
  <c r="X511" i="6" s="1"/>
  <c r="BH511" i="6" s="1"/>
  <c r="X512" i="6" s="1"/>
  <c r="BH512" i="6" s="1"/>
  <c r="X513" i="6" s="1"/>
  <c r="BH513" i="6" s="1"/>
  <c r="X514" i="6" s="1"/>
  <c r="BH514" i="6" s="1"/>
  <c r="X515" i="6" s="1"/>
  <c r="BH515" i="6" s="1"/>
  <c r="X516" i="6" s="1"/>
  <c r="BH516" i="6" s="1"/>
  <c r="X517" i="6" s="1"/>
  <c r="BH517" i="6" s="1"/>
  <c r="X518" i="6" s="1"/>
  <c r="BH518" i="6" s="1"/>
  <c r="W510" i="6"/>
  <c r="BG510" i="6" s="1"/>
  <c r="W511" i="6" s="1"/>
  <c r="V510" i="6"/>
  <c r="BF510" i="6" s="1"/>
  <c r="U510" i="6"/>
  <c r="T510" i="6"/>
  <c r="BD510" i="6" s="1"/>
  <c r="T511" i="6" s="1"/>
  <c r="BD511" i="6" s="1"/>
  <c r="T512" i="6" s="1"/>
  <c r="BD512" i="6" s="1"/>
  <c r="S510" i="6"/>
  <c r="BC510" i="6" s="1"/>
  <c r="S511" i="6" s="1"/>
  <c r="BC511" i="6" s="1"/>
  <c r="S512" i="6" s="1"/>
  <c r="BC512" i="6" s="1"/>
  <c r="S513" i="6" s="1"/>
  <c r="BC513" i="6" s="1"/>
  <c r="S514" i="6" s="1"/>
  <c r="BC514" i="6" s="1"/>
  <c r="S515" i="6" s="1"/>
  <c r="BC515" i="6" s="1"/>
  <c r="S516" i="6" s="1"/>
  <c r="BC516" i="6" s="1"/>
  <c r="S517" i="6" s="1"/>
  <c r="BC517" i="6" s="1"/>
  <c r="S518" i="6" s="1"/>
  <c r="BC518" i="6" s="1"/>
  <c r="S519" i="6" s="1"/>
  <c r="BC519" i="6" s="1"/>
  <c r="S520" i="6" s="1"/>
  <c r="BC520" i="6" s="1"/>
  <c r="S521" i="6" s="1"/>
  <c r="BC521" i="6" s="1"/>
  <c r="S522" i="6" s="1"/>
  <c r="BC522" i="6" s="1"/>
  <c r="S523" i="6" s="1"/>
  <c r="BC523" i="6" s="1"/>
  <c r="S524" i="6" s="1"/>
  <c r="BC524" i="6" s="1"/>
  <c r="S525" i="6" s="1"/>
  <c r="BC525" i="6" s="1"/>
  <c r="S526" i="6" s="1"/>
  <c r="BC526" i="6" s="1"/>
  <c r="S527" i="6" s="1"/>
  <c r="BC527" i="6" s="1"/>
  <c r="S528" i="6" s="1"/>
  <c r="BC528" i="6" s="1"/>
  <c r="S529" i="6" s="1"/>
  <c r="BC529" i="6" s="1"/>
  <c r="S530" i="6" s="1"/>
  <c r="BC530" i="6" s="1"/>
  <c r="S531" i="6" s="1"/>
  <c r="BC531" i="6" s="1"/>
  <c r="S532" i="6" s="1"/>
  <c r="BC532" i="6" s="1"/>
  <c r="S533" i="6" s="1"/>
  <c r="BC533" i="6" s="1"/>
  <c r="S534" i="6" s="1"/>
  <c r="BC534" i="6" s="1"/>
  <c r="S535" i="6" s="1"/>
  <c r="BC535" i="6" s="1"/>
  <c r="S536" i="6" s="1"/>
  <c r="BC536" i="6" s="1"/>
  <c r="S537" i="6" s="1"/>
  <c r="BC537" i="6" s="1"/>
  <c r="S538" i="6" s="1"/>
  <c r="BC538" i="6" s="1"/>
  <c r="S539" i="6" s="1"/>
  <c r="BC539" i="6" s="1"/>
  <c r="S540" i="6" s="1"/>
  <c r="BC540" i="6" s="1"/>
  <c r="S541" i="6" s="1"/>
  <c r="BC541" i="6" s="1"/>
  <c r="S542" i="6" s="1"/>
  <c r="BC542" i="6" s="1"/>
  <c r="S543" i="6" s="1"/>
  <c r="BC543" i="6" s="1"/>
  <c r="S544" i="6" s="1"/>
  <c r="BC544" i="6" s="1"/>
  <c r="S545" i="6" s="1"/>
  <c r="BC545" i="6" s="1"/>
  <c r="R510" i="6"/>
  <c r="BB510" i="6" s="1"/>
  <c r="R511" i="6" s="1"/>
  <c r="BB511" i="6" s="1"/>
  <c r="R512" i="6" s="1"/>
  <c r="BB512" i="6" s="1"/>
  <c r="R513" i="6" s="1"/>
  <c r="BB513" i="6" s="1"/>
  <c r="R514" i="6" s="1"/>
  <c r="BB514" i="6" s="1"/>
  <c r="Q510" i="6"/>
  <c r="O510" i="6"/>
  <c r="AY510" i="6" s="1"/>
  <c r="O511" i="6" s="1"/>
  <c r="AY511" i="6" s="1"/>
  <c r="O512" i="6" s="1"/>
  <c r="AY512" i="6" s="1"/>
  <c r="O513" i="6" s="1"/>
  <c r="AY513" i="6" s="1"/>
  <c r="O514" i="6" s="1"/>
  <c r="AY514" i="6" s="1"/>
  <c r="O515" i="6" s="1"/>
  <c r="AY515" i="6" s="1"/>
  <c r="O516" i="6" s="1"/>
  <c r="AY516" i="6" s="1"/>
  <c r="O517" i="6" s="1"/>
  <c r="AY517" i="6" s="1"/>
  <c r="O518" i="6" s="1"/>
  <c r="AY518" i="6" s="1"/>
  <c r="O519" i="6" s="1"/>
  <c r="AY519" i="6" s="1"/>
  <c r="O520" i="6" s="1"/>
  <c r="AY520" i="6" s="1"/>
  <c r="O521" i="6" s="1"/>
  <c r="AY521" i="6" s="1"/>
  <c r="O522" i="6" s="1"/>
  <c r="AY522" i="6" s="1"/>
  <c r="O523" i="6" s="1"/>
  <c r="AY523" i="6" s="1"/>
  <c r="O524" i="6" s="1"/>
  <c r="AY524" i="6" s="1"/>
  <c r="O525" i="6" s="1"/>
  <c r="AY525" i="6" s="1"/>
  <c r="O526" i="6" s="1"/>
  <c r="AY526" i="6" s="1"/>
  <c r="O527" i="6" s="1"/>
  <c r="AY527" i="6" s="1"/>
  <c r="O528" i="6" s="1"/>
  <c r="AY528" i="6" s="1"/>
  <c r="O529" i="6" s="1"/>
  <c r="N510" i="6"/>
  <c r="AX510" i="6" s="1"/>
  <c r="N511" i="6" s="1"/>
  <c r="AX511" i="6" s="1"/>
  <c r="N512" i="6" s="1"/>
  <c r="AX512" i="6" s="1"/>
  <c r="N513" i="6" s="1"/>
  <c r="AX513" i="6" s="1"/>
  <c r="N514" i="6" s="1"/>
  <c r="AX514" i="6" s="1"/>
  <c r="N515" i="6" s="1"/>
  <c r="AX515" i="6" s="1"/>
  <c r="N516" i="6" s="1"/>
  <c r="AX516" i="6" s="1"/>
  <c r="M510" i="6"/>
  <c r="AW510" i="6" s="1"/>
  <c r="M511" i="6" s="1"/>
  <c r="AW511" i="6" s="1"/>
  <c r="M512" i="6" s="1"/>
  <c r="L510" i="6"/>
  <c r="K510" i="6"/>
  <c r="H510" i="6"/>
  <c r="G510" i="6"/>
  <c r="AV510" i="6" s="1"/>
  <c r="L511" i="6" s="1"/>
  <c r="F510" i="6"/>
  <c r="E510" i="6"/>
  <c r="D510" i="6"/>
  <c r="C510" i="6"/>
  <c r="B510" i="6"/>
  <c r="A510" i="6"/>
  <c r="AO509" i="6"/>
  <c r="H509" i="6"/>
  <c r="G509" i="6"/>
  <c r="F509" i="6"/>
  <c r="AI509" i="6" s="1"/>
  <c r="E509" i="6"/>
  <c r="D509" i="6"/>
  <c r="C509" i="6"/>
  <c r="B509" i="6"/>
  <c r="A509" i="6"/>
  <c r="AO508" i="6"/>
  <c r="AE508" i="6"/>
  <c r="K508" i="6"/>
  <c r="I508" i="6"/>
  <c r="H508" i="6"/>
  <c r="G508" i="6"/>
  <c r="F508" i="6"/>
  <c r="E508" i="6"/>
  <c r="D508" i="6"/>
  <c r="C508" i="6"/>
  <c r="B508" i="6"/>
  <c r="A508" i="6"/>
  <c r="AO507" i="6"/>
  <c r="AI507" i="6"/>
  <c r="AE507" i="6"/>
  <c r="K507" i="6"/>
  <c r="J507" i="6"/>
  <c r="I507" i="6"/>
  <c r="H507" i="6"/>
  <c r="G507" i="6"/>
  <c r="F507" i="6"/>
  <c r="E507" i="6"/>
  <c r="D507" i="6"/>
  <c r="C507" i="6"/>
  <c r="B507" i="6"/>
  <c r="A507" i="6"/>
  <c r="AO506" i="6"/>
  <c r="I506" i="6"/>
  <c r="H506" i="6"/>
  <c r="G506" i="6"/>
  <c r="F506" i="6"/>
  <c r="AE506" i="6" s="1"/>
  <c r="E506" i="6"/>
  <c r="D506" i="6"/>
  <c r="C506" i="6"/>
  <c r="B506" i="6"/>
  <c r="A506" i="6"/>
  <c r="AO505" i="6"/>
  <c r="J505" i="6"/>
  <c r="H505" i="6"/>
  <c r="G505" i="6"/>
  <c r="F505" i="6"/>
  <c r="AI505" i="6" s="1"/>
  <c r="E505" i="6"/>
  <c r="D505" i="6"/>
  <c r="C505" i="6"/>
  <c r="B505" i="6"/>
  <c r="A505" i="6"/>
  <c r="AO504" i="6"/>
  <c r="AI504" i="6"/>
  <c r="K504" i="6"/>
  <c r="H504" i="6"/>
  <c r="G504" i="6"/>
  <c r="F504" i="6"/>
  <c r="J504" i="6" s="1"/>
  <c r="E504" i="6"/>
  <c r="D504" i="6"/>
  <c r="C504" i="6"/>
  <c r="B504" i="6"/>
  <c r="A504" i="6"/>
  <c r="AO503" i="6"/>
  <c r="H503" i="6"/>
  <c r="G503" i="6"/>
  <c r="F503" i="6"/>
  <c r="E503" i="6"/>
  <c r="D503" i="6"/>
  <c r="C503" i="6"/>
  <c r="B503" i="6"/>
  <c r="A503" i="6"/>
  <c r="AO502" i="6"/>
  <c r="AE502" i="6"/>
  <c r="J502" i="6"/>
  <c r="H502" i="6"/>
  <c r="G502" i="6"/>
  <c r="F502" i="6"/>
  <c r="AI502" i="6" s="1"/>
  <c r="E502" i="6"/>
  <c r="D502" i="6"/>
  <c r="C502" i="6"/>
  <c r="B502" i="6"/>
  <c r="A502" i="6"/>
  <c r="AO501" i="6"/>
  <c r="K501" i="6"/>
  <c r="J501" i="6"/>
  <c r="I501" i="6"/>
  <c r="H501" i="6"/>
  <c r="G501" i="6"/>
  <c r="F501" i="6"/>
  <c r="AE501" i="6" s="1"/>
  <c r="E501" i="6"/>
  <c r="D501" i="6"/>
  <c r="C501" i="6"/>
  <c r="B501" i="6"/>
  <c r="A501" i="6"/>
  <c r="AO500" i="6"/>
  <c r="AE500" i="6"/>
  <c r="K500" i="6"/>
  <c r="J500" i="6"/>
  <c r="I500" i="6"/>
  <c r="H500" i="6"/>
  <c r="G500" i="6"/>
  <c r="AI500" i="6" s="1"/>
  <c r="F500" i="6"/>
  <c r="E500" i="6"/>
  <c r="D500" i="6"/>
  <c r="C500" i="6"/>
  <c r="B500" i="6"/>
  <c r="A500" i="6"/>
  <c r="AO499" i="6"/>
  <c r="AE499" i="6"/>
  <c r="K499" i="6"/>
  <c r="J499" i="6"/>
  <c r="H499" i="6"/>
  <c r="G499" i="6"/>
  <c r="F499" i="6"/>
  <c r="E499" i="6"/>
  <c r="D499" i="6"/>
  <c r="C499" i="6"/>
  <c r="B499" i="6"/>
  <c r="A499" i="6"/>
  <c r="AO498" i="6"/>
  <c r="AI498" i="6"/>
  <c r="AE498" i="6"/>
  <c r="K498" i="6"/>
  <c r="H498" i="6"/>
  <c r="G498" i="6"/>
  <c r="F498" i="6"/>
  <c r="J498" i="6" s="1"/>
  <c r="E498" i="6"/>
  <c r="D498" i="6"/>
  <c r="C498" i="6"/>
  <c r="B498" i="6"/>
  <c r="A498" i="6"/>
  <c r="AO497" i="6"/>
  <c r="H497" i="6"/>
  <c r="G497" i="6"/>
  <c r="F497" i="6"/>
  <c r="AI497" i="6" s="1"/>
  <c r="E497" i="6"/>
  <c r="D497" i="6"/>
  <c r="C497" i="6"/>
  <c r="B497" i="6"/>
  <c r="A497" i="6"/>
  <c r="AT496" i="6"/>
  <c r="AE496" i="6"/>
  <c r="K496" i="6"/>
  <c r="I496" i="6"/>
  <c r="H496" i="6"/>
  <c r="G496" i="6"/>
  <c r="F496" i="6"/>
  <c r="E496" i="6"/>
  <c r="D496" i="6"/>
  <c r="C496" i="6"/>
  <c r="B496" i="6"/>
  <c r="A496" i="6"/>
  <c r="AT495" i="6"/>
  <c r="AO495" i="6"/>
  <c r="AE495" i="6"/>
  <c r="K495" i="6"/>
  <c r="I495" i="6"/>
  <c r="H495" i="6"/>
  <c r="G495" i="6"/>
  <c r="F495" i="6"/>
  <c r="E495" i="6"/>
  <c r="D495" i="6"/>
  <c r="C495" i="6"/>
  <c r="B495" i="6"/>
  <c r="A495" i="6"/>
  <c r="AT494" i="6"/>
  <c r="AO494" i="6"/>
  <c r="I494" i="6"/>
  <c r="H494" i="6"/>
  <c r="G494" i="6"/>
  <c r="F494" i="6"/>
  <c r="AE494" i="6" s="1"/>
  <c r="E494" i="6"/>
  <c r="D494" i="6"/>
  <c r="C494" i="6"/>
  <c r="B494" i="6"/>
  <c r="A494" i="6"/>
  <c r="AT493" i="6"/>
  <c r="AO493" i="6"/>
  <c r="J493" i="6"/>
  <c r="H493" i="6"/>
  <c r="G493" i="6"/>
  <c r="F493" i="6"/>
  <c r="AI493" i="6" s="1"/>
  <c r="E493" i="6"/>
  <c r="D493" i="6"/>
  <c r="C493" i="6"/>
  <c r="B493" i="6"/>
  <c r="A493" i="6"/>
  <c r="BM492" i="6"/>
  <c r="AC493" i="6" s="1"/>
  <c r="BM493" i="6" s="1"/>
  <c r="AC494" i="6" s="1"/>
  <c r="BM494" i="6" s="1"/>
  <c r="AC495" i="6" s="1"/>
  <c r="BM495" i="6" s="1"/>
  <c r="AC496" i="6" s="1"/>
  <c r="BM496" i="6" s="1"/>
  <c r="AC497" i="6" s="1"/>
  <c r="BM497" i="6" s="1"/>
  <c r="AC498" i="6" s="1"/>
  <c r="BM498" i="6" s="1"/>
  <c r="AC499" i="6" s="1"/>
  <c r="BM499" i="6" s="1"/>
  <c r="AC500" i="6" s="1"/>
  <c r="BM500" i="6" s="1"/>
  <c r="AC501" i="6" s="1"/>
  <c r="BM501" i="6" s="1"/>
  <c r="AC502" i="6" s="1"/>
  <c r="BM502" i="6" s="1"/>
  <c r="AC503" i="6" s="1"/>
  <c r="BM503" i="6" s="1"/>
  <c r="AC504" i="6" s="1"/>
  <c r="BM504" i="6" s="1"/>
  <c r="AC505" i="6" s="1"/>
  <c r="BM505" i="6" s="1"/>
  <c r="AC506" i="6" s="1"/>
  <c r="BM506" i="6" s="1"/>
  <c r="AC507" i="6" s="1"/>
  <c r="BM507" i="6" s="1"/>
  <c r="AC508" i="6" s="1"/>
  <c r="BM508" i="6" s="1"/>
  <c r="AC509" i="6" s="1"/>
  <c r="BM509" i="6" s="1"/>
  <c r="AT492" i="6"/>
  <c r="AO492" i="6"/>
  <c r="AI492" i="6"/>
  <c r="K492" i="6"/>
  <c r="H492" i="6"/>
  <c r="G492" i="6"/>
  <c r="F492" i="6"/>
  <c r="E492" i="6"/>
  <c r="D492" i="6"/>
  <c r="C492" i="6"/>
  <c r="B492" i="6"/>
  <c r="A492" i="6"/>
  <c r="AT491" i="6"/>
  <c r="AO491" i="6"/>
  <c r="H491" i="6"/>
  <c r="AF491" i="6" s="1"/>
  <c r="G491" i="6"/>
  <c r="F491" i="6"/>
  <c r="E491" i="6"/>
  <c r="D491" i="6"/>
  <c r="C491" i="6"/>
  <c r="B491" i="6"/>
  <c r="A491" i="6"/>
  <c r="AT490" i="6"/>
  <c r="AE490" i="6"/>
  <c r="S490" i="6"/>
  <c r="BC490" i="6" s="1"/>
  <c r="S491" i="6" s="1"/>
  <c r="BC491" i="6" s="1"/>
  <c r="S492" i="6" s="1"/>
  <c r="BC492" i="6" s="1"/>
  <c r="S493" i="6" s="1"/>
  <c r="BC493" i="6" s="1"/>
  <c r="S494" i="6" s="1"/>
  <c r="BC494" i="6" s="1"/>
  <c r="S495" i="6" s="1"/>
  <c r="BC495" i="6" s="1"/>
  <c r="S496" i="6" s="1"/>
  <c r="BC496" i="6" s="1"/>
  <c r="S497" i="6" s="1"/>
  <c r="BC497" i="6" s="1"/>
  <c r="S498" i="6" s="1"/>
  <c r="BC498" i="6" s="1"/>
  <c r="S499" i="6" s="1"/>
  <c r="BC499" i="6" s="1"/>
  <c r="S500" i="6" s="1"/>
  <c r="BC500" i="6" s="1"/>
  <c r="S501" i="6" s="1"/>
  <c r="BC501" i="6" s="1"/>
  <c r="S502" i="6" s="1"/>
  <c r="BC502" i="6" s="1"/>
  <c r="S503" i="6" s="1"/>
  <c r="BC503" i="6" s="1"/>
  <c r="S504" i="6" s="1"/>
  <c r="BC504" i="6" s="1"/>
  <c r="S505" i="6" s="1"/>
  <c r="BC505" i="6" s="1"/>
  <c r="S506" i="6" s="1"/>
  <c r="BC506" i="6" s="1"/>
  <c r="S507" i="6" s="1"/>
  <c r="BC507" i="6" s="1"/>
  <c r="S508" i="6" s="1"/>
  <c r="BC508" i="6" s="1"/>
  <c r="S509" i="6" s="1"/>
  <c r="BC509" i="6" s="1"/>
  <c r="J490" i="6"/>
  <c r="H490" i="6"/>
  <c r="G490" i="6"/>
  <c r="F490" i="6"/>
  <c r="AI490" i="6" s="1"/>
  <c r="E490" i="6"/>
  <c r="D490" i="6"/>
  <c r="C490" i="6"/>
  <c r="B490" i="6"/>
  <c r="A490" i="6"/>
  <c r="AT489" i="6"/>
  <c r="AO489" i="6"/>
  <c r="AF489" i="6"/>
  <c r="J489" i="6"/>
  <c r="I489" i="6"/>
  <c r="H489" i="6"/>
  <c r="G489" i="6"/>
  <c r="F489" i="6"/>
  <c r="AE489" i="6" s="1"/>
  <c r="E489" i="6"/>
  <c r="D489" i="6"/>
  <c r="C489" i="6"/>
  <c r="B489" i="6"/>
  <c r="A489" i="6"/>
  <c r="AT488" i="6"/>
  <c r="AO488" i="6"/>
  <c r="AF488" i="6"/>
  <c r="AE488" i="6"/>
  <c r="K488" i="6"/>
  <c r="J488" i="6"/>
  <c r="I488" i="6"/>
  <c r="H488" i="6"/>
  <c r="G488" i="6"/>
  <c r="AI488" i="6" s="1"/>
  <c r="F488" i="6"/>
  <c r="E488" i="6"/>
  <c r="D488" i="6"/>
  <c r="C488" i="6"/>
  <c r="B488" i="6"/>
  <c r="A488" i="6"/>
  <c r="AT487" i="6"/>
  <c r="AO487" i="6"/>
  <c r="AF487" i="6"/>
  <c r="AE487" i="6"/>
  <c r="K487" i="6"/>
  <c r="J487" i="6"/>
  <c r="H487" i="6"/>
  <c r="G487" i="6"/>
  <c r="F487" i="6"/>
  <c r="E487" i="6"/>
  <c r="D487" i="6"/>
  <c r="C487" i="6"/>
  <c r="B487" i="6"/>
  <c r="A487" i="6"/>
  <c r="AT486" i="6"/>
  <c r="AO486" i="6"/>
  <c r="AE486" i="6"/>
  <c r="K486" i="6"/>
  <c r="H486" i="6"/>
  <c r="G486" i="6"/>
  <c r="F486" i="6"/>
  <c r="E486" i="6"/>
  <c r="D486" i="6"/>
  <c r="C486" i="6"/>
  <c r="B486" i="6"/>
  <c r="A486" i="6"/>
  <c r="AT485" i="6"/>
  <c r="H485" i="6"/>
  <c r="G485" i="6"/>
  <c r="F485" i="6"/>
  <c r="E485" i="6"/>
  <c r="D485" i="6"/>
  <c r="C485" i="6"/>
  <c r="B485" i="6"/>
  <c r="A485" i="6"/>
  <c r="BO484" i="6"/>
  <c r="BN485" i="6" s="1"/>
  <c r="BO485" i="6" s="1"/>
  <c r="BN486" i="6" s="1"/>
  <c r="BO486" i="6" s="1"/>
  <c r="BN487" i="6" s="1"/>
  <c r="BO487" i="6" s="1"/>
  <c r="BN488" i="6" s="1"/>
  <c r="BO488" i="6" s="1"/>
  <c r="BN489" i="6" s="1"/>
  <c r="BO489" i="6" s="1"/>
  <c r="BN490" i="6" s="1"/>
  <c r="BO490" i="6" s="1"/>
  <c r="BN491" i="6" s="1"/>
  <c r="BO491" i="6" s="1"/>
  <c r="BN492" i="6" s="1"/>
  <c r="BO492" i="6" s="1"/>
  <c r="BN493" i="6" s="1"/>
  <c r="BO493" i="6" s="1"/>
  <c r="BN494" i="6" s="1"/>
  <c r="BO494" i="6" s="1"/>
  <c r="BN495" i="6" s="1"/>
  <c r="BO495" i="6" s="1"/>
  <c r="BN496" i="6" s="1"/>
  <c r="AT484" i="6"/>
  <c r="AE484" i="6"/>
  <c r="K484" i="6"/>
  <c r="I484" i="6"/>
  <c r="H484" i="6"/>
  <c r="G484" i="6"/>
  <c r="F484" i="6"/>
  <c r="E484" i="6"/>
  <c r="D484" i="6"/>
  <c r="C484" i="6"/>
  <c r="B484" i="6"/>
  <c r="A484" i="6"/>
  <c r="AT483" i="6"/>
  <c r="AO483" i="6"/>
  <c r="AI483" i="6"/>
  <c r="AE483" i="6"/>
  <c r="K483" i="6"/>
  <c r="I483" i="6"/>
  <c r="H483" i="6"/>
  <c r="AF483" i="6" s="1"/>
  <c r="G483" i="6"/>
  <c r="F483" i="6"/>
  <c r="E483" i="6"/>
  <c r="D483" i="6"/>
  <c r="C483" i="6"/>
  <c r="B483" i="6"/>
  <c r="A483" i="6"/>
  <c r="AT482" i="6"/>
  <c r="AO482" i="6"/>
  <c r="I482" i="6"/>
  <c r="H482" i="6"/>
  <c r="G482" i="6"/>
  <c r="F482" i="6"/>
  <c r="AE482" i="6" s="1"/>
  <c r="E482" i="6"/>
  <c r="D482" i="6"/>
  <c r="C482" i="6"/>
  <c r="B482" i="6"/>
  <c r="A482" i="6"/>
  <c r="AT481" i="6"/>
  <c r="AO481" i="6"/>
  <c r="AF481" i="6"/>
  <c r="AB481" i="6"/>
  <c r="BL481" i="6" s="1"/>
  <c r="AB482" i="6" s="1"/>
  <c r="BL482" i="6" s="1"/>
  <c r="AB483" i="6" s="1"/>
  <c r="BL483" i="6" s="1"/>
  <c r="AB484" i="6" s="1"/>
  <c r="BL484" i="6" s="1"/>
  <c r="AB485" i="6" s="1"/>
  <c r="BL485" i="6" s="1"/>
  <c r="AB486" i="6" s="1"/>
  <c r="BL486" i="6" s="1"/>
  <c r="AB487" i="6" s="1"/>
  <c r="BL487" i="6" s="1"/>
  <c r="AB488" i="6" s="1"/>
  <c r="BL488" i="6" s="1"/>
  <c r="AB489" i="6" s="1"/>
  <c r="BL489" i="6" s="1"/>
  <c r="AB490" i="6" s="1"/>
  <c r="BL490" i="6" s="1"/>
  <c r="AB491" i="6" s="1"/>
  <c r="BL491" i="6" s="1"/>
  <c r="AB492" i="6" s="1"/>
  <c r="BL492" i="6" s="1"/>
  <c r="AB493" i="6" s="1"/>
  <c r="BL493" i="6" s="1"/>
  <c r="AB494" i="6" s="1"/>
  <c r="BL494" i="6" s="1"/>
  <c r="AB495" i="6" s="1"/>
  <c r="BL495" i="6" s="1"/>
  <c r="AB496" i="6" s="1"/>
  <c r="BL496" i="6" s="1"/>
  <c r="AB497" i="6" s="1"/>
  <c r="BL497" i="6" s="1"/>
  <c r="AB498" i="6" s="1"/>
  <c r="BL498" i="6" s="1"/>
  <c r="AB499" i="6" s="1"/>
  <c r="BL499" i="6" s="1"/>
  <c r="AB500" i="6" s="1"/>
  <c r="BL500" i="6" s="1"/>
  <c r="AB501" i="6" s="1"/>
  <c r="BL501" i="6" s="1"/>
  <c r="AB502" i="6" s="1"/>
  <c r="BL502" i="6" s="1"/>
  <c r="AB503" i="6" s="1"/>
  <c r="BL503" i="6" s="1"/>
  <c r="AB504" i="6" s="1"/>
  <c r="BL504" i="6" s="1"/>
  <c r="AB505" i="6" s="1"/>
  <c r="BL505" i="6" s="1"/>
  <c r="AB506" i="6" s="1"/>
  <c r="BL506" i="6" s="1"/>
  <c r="AB507" i="6" s="1"/>
  <c r="BL507" i="6" s="1"/>
  <c r="AB508" i="6" s="1"/>
  <c r="BL508" i="6" s="1"/>
  <c r="AB509" i="6" s="1"/>
  <c r="BL509" i="6" s="1"/>
  <c r="J481" i="6"/>
  <c r="H481" i="6"/>
  <c r="G481" i="6"/>
  <c r="F481" i="6"/>
  <c r="AI481" i="6" s="1"/>
  <c r="E481" i="6"/>
  <c r="D481" i="6"/>
  <c r="C481" i="6"/>
  <c r="B481" i="6"/>
  <c r="A481" i="6"/>
  <c r="AT480" i="6"/>
  <c r="AO480" i="6"/>
  <c r="AI480" i="6"/>
  <c r="K480" i="6"/>
  <c r="H480" i="6"/>
  <c r="AF480" i="6" s="1"/>
  <c r="G480" i="6"/>
  <c r="F480" i="6"/>
  <c r="E480" i="6"/>
  <c r="D480" i="6"/>
  <c r="C480" i="6"/>
  <c r="B480" i="6"/>
  <c r="A480" i="6"/>
  <c r="BN479" i="6"/>
  <c r="BO479" i="6" s="1"/>
  <c r="BN480" i="6" s="1"/>
  <c r="BO480" i="6" s="1"/>
  <c r="BN481" i="6" s="1"/>
  <c r="BO481" i="6" s="1"/>
  <c r="BN482" i="6" s="1"/>
  <c r="BO482" i="6" s="1"/>
  <c r="BN483" i="6" s="1"/>
  <c r="BO483" i="6" s="1"/>
  <c r="BN484" i="6" s="1"/>
  <c r="AT479" i="6"/>
  <c r="X479" i="6"/>
  <c r="BH479" i="6" s="1"/>
  <c r="X480" i="6" s="1"/>
  <c r="BH480" i="6" s="1"/>
  <c r="X481" i="6" s="1"/>
  <c r="BH481" i="6" s="1"/>
  <c r="X482" i="6" s="1"/>
  <c r="BH482" i="6" s="1"/>
  <c r="X483" i="6" s="1"/>
  <c r="BH483" i="6" s="1"/>
  <c r="X484" i="6" s="1"/>
  <c r="BH484" i="6" s="1"/>
  <c r="X485" i="6" s="1"/>
  <c r="BH485" i="6" s="1"/>
  <c r="X486" i="6" s="1"/>
  <c r="BH486" i="6" s="1"/>
  <c r="X487" i="6" s="1"/>
  <c r="BH487" i="6" s="1"/>
  <c r="X488" i="6" s="1"/>
  <c r="BH488" i="6" s="1"/>
  <c r="X489" i="6" s="1"/>
  <c r="BH489" i="6" s="1"/>
  <c r="X490" i="6" s="1"/>
  <c r="BH490" i="6" s="1"/>
  <c r="X491" i="6" s="1"/>
  <c r="BH491" i="6" s="1"/>
  <c r="X492" i="6" s="1"/>
  <c r="BH492" i="6" s="1"/>
  <c r="X493" i="6" s="1"/>
  <c r="BH493" i="6" s="1"/>
  <c r="X494" i="6" s="1"/>
  <c r="BH494" i="6" s="1"/>
  <c r="X495" i="6" s="1"/>
  <c r="BH495" i="6" s="1"/>
  <c r="X496" i="6" s="1"/>
  <c r="BH496" i="6" s="1"/>
  <c r="X497" i="6" s="1"/>
  <c r="BH497" i="6" s="1"/>
  <c r="X498" i="6" s="1"/>
  <c r="BH498" i="6" s="1"/>
  <c r="X499" i="6" s="1"/>
  <c r="BH499" i="6" s="1"/>
  <c r="X500" i="6" s="1"/>
  <c r="BH500" i="6" s="1"/>
  <c r="X501" i="6" s="1"/>
  <c r="BH501" i="6" s="1"/>
  <c r="X502" i="6" s="1"/>
  <c r="BH502" i="6" s="1"/>
  <c r="X503" i="6" s="1"/>
  <c r="BH503" i="6" s="1"/>
  <c r="X504" i="6" s="1"/>
  <c r="BH504" i="6" s="1"/>
  <c r="X505" i="6" s="1"/>
  <c r="BH505" i="6" s="1"/>
  <c r="X506" i="6" s="1"/>
  <c r="BH506" i="6" s="1"/>
  <c r="X507" i="6" s="1"/>
  <c r="BH507" i="6" s="1"/>
  <c r="X508" i="6" s="1"/>
  <c r="BH508" i="6" s="1"/>
  <c r="X509" i="6" s="1"/>
  <c r="BH509" i="6" s="1"/>
  <c r="H479" i="6"/>
  <c r="G479" i="6"/>
  <c r="F479" i="6"/>
  <c r="E479" i="6"/>
  <c r="D479" i="6"/>
  <c r="C479" i="6"/>
  <c r="B479" i="6"/>
  <c r="A479" i="6"/>
  <c r="BO478" i="6"/>
  <c r="BI478" i="6"/>
  <c r="Y479" i="6" s="1"/>
  <c r="BI479" i="6" s="1"/>
  <c r="Y480" i="6" s="1"/>
  <c r="BI480" i="6" s="1"/>
  <c r="Y481" i="6" s="1"/>
  <c r="BI481" i="6" s="1"/>
  <c r="Y482" i="6" s="1"/>
  <c r="BI482" i="6" s="1"/>
  <c r="Y483" i="6" s="1"/>
  <c r="BI483" i="6" s="1"/>
  <c r="Y484" i="6" s="1"/>
  <c r="BI484" i="6" s="1"/>
  <c r="Y485" i="6" s="1"/>
  <c r="BI485" i="6" s="1"/>
  <c r="Y486" i="6" s="1"/>
  <c r="BI486" i="6" s="1"/>
  <c r="Y487" i="6" s="1"/>
  <c r="BI487" i="6" s="1"/>
  <c r="Y488" i="6" s="1"/>
  <c r="BI488" i="6" s="1"/>
  <c r="Y489" i="6" s="1"/>
  <c r="BI489" i="6" s="1"/>
  <c r="Y490" i="6" s="1"/>
  <c r="BI490" i="6" s="1"/>
  <c r="Y491" i="6" s="1"/>
  <c r="BI491" i="6" s="1"/>
  <c r="Y492" i="6" s="1"/>
  <c r="BI492" i="6" s="1"/>
  <c r="Y493" i="6" s="1"/>
  <c r="BI493" i="6" s="1"/>
  <c r="Y494" i="6" s="1"/>
  <c r="BI494" i="6" s="1"/>
  <c r="Y495" i="6" s="1"/>
  <c r="BI495" i="6" s="1"/>
  <c r="Y496" i="6" s="1"/>
  <c r="BI496" i="6" s="1"/>
  <c r="Y497" i="6" s="1"/>
  <c r="BI497" i="6" s="1"/>
  <c r="Y498" i="6" s="1"/>
  <c r="BI498" i="6" s="1"/>
  <c r="Y499" i="6" s="1"/>
  <c r="BI499" i="6" s="1"/>
  <c r="Y500" i="6" s="1"/>
  <c r="BI500" i="6" s="1"/>
  <c r="Y501" i="6" s="1"/>
  <c r="BI501" i="6" s="1"/>
  <c r="Y502" i="6" s="1"/>
  <c r="BI502" i="6" s="1"/>
  <c r="Y503" i="6" s="1"/>
  <c r="BI503" i="6" s="1"/>
  <c r="Y504" i="6" s="1"/>
  <c r="BI504" i="6" s="1"/>
  <c r="Y505" i="6" s="1"/>
  <c r="BI505" i="6" s="1"/>
  <c r="Y506" i="6" s="1"/>
  <c r="BI506" i="6" s="1"/>
  <c r="Y507" i="6" s="1"/>
  <c r="BI507" i="6" s="1"/>
  <c r="Y508" i="6" s="1"/>
  <c r="BI508" i="6" s="1"/>
  <c r="Y509" i="6" s="1"/>
  <c r="BI509" i="6" s="1"/>
  <c r="AT478" i="6"/>
  <c r="AE478" i="6"/>
  <c r="Y478" i="6"/>
  <c r="J478" i="6"/>
  <c r="H478" i="6"/>
  <c r="G478" i="6"/>
  <c r="F478" i="6"/>
  <c r="E478" i="6"/>
  <c r="D478" i="6"/>
  <c r="C478" i="6"/>
  <c r="B478" i="6"/>
  <c r="A478" i="6"/>
  <c r="AT477" i="6"/>
  <c r="AO477" i="6"/>
  <c r="N477" i="6"/>
  <c r="AX477" i="6" s="1"/>
  <c r="N478" i="6" s="1"/>
  <c r="AX478" i="6" s="1"/>
  <c r="N479" i="6" s="1"/>
  <c r="AX479" i="6" s="1"/>
  <c r="N480" i="6" s="1"/>
  <c r="AX480" i="6" s="1"/>
  <c r="J477" i="6"/>
  <c r="I477" i="6"/>
  <c r="H477" i="6"/>
  <c r="G477" i="6"/>
  <c r="F477" i="6"/>
  <c r="AE477" i="6" s="1"/>
  <c r="E477" i="6"/>
  <c r="D477" i="6"/>
  <c r="C477" i="6"/>
  <c r="B477" i="6"/>
  <c r="A477" i="6"/>
  <c r="BE476" i="6"/>
  <c r="AT476" i="6"/>
  <c r="AO476" i="6"/>
  <c r="AF476" i="6"/>
  <c r="AE476" i="6"/>
  <c r="O476" i="6"/>
  <c r="AY476" i="6" s="1"/>
  <c r="O477" i="6" s="1"/>
  <c r="AY477" i="6" s="1"/>
  <c r="O478" i="6" s="1"/>
  <c r="AY478" i="6" s="1"/>
  <c r="O479" i="6" s="1"/>
  <c r="AY479" i="6" s="1"/>
  <c r="O480" i="6" s="1"/>
  <c r="AY480" i="6" s="1"/>
  <c r="O481" i="6" s="1"/>
  <c r="AY481" i="6" s="1"/>
  <c r="O482" i="6" s="1"/>
  <c r="AY482" i="6" s="1"/>
  <c r="O483" i="6" s="1"/>
  <c r="AY483" i="6" s="1"/>
  <c r="O484" i="6" s="1"/>
  <c r="AY484" i="6" s="1"/>
  <c r="O485" i="6" s="1"/>
  <c r="AY485" i="6" s="1"/>
  <c r="O486" i="6" s="1"/>
  <c r="AY486" i="6" s="1"/>
  <c r="O487" i="6" s="1"/>
  <c r="AY487" i="6" s="1"/>
  <c r="O488" i="6" s="1"/>
  <c r="AY488" i="6" s="1"/>
  <c r="O489" i="6" s="1"/>
  <c r="AY489" i="6" s="1"/>
  <c r="O490" i="6" s="1"/>
  <c r="AY490" i="6" s="1"/>
  <c r="O491" i="6" s="1"/>
  <c r="AY491" i="6" s="1"/>
  <c r="O492" i="6" s="1"/>
  <c r="AY492" i="6" s="1"/>
  <c r="O493" i="6" s="1"/>
  <c r="AY493" i="6" s="1"/>
  <c r="O494" i="6" s="1"/>
  <c r="AY494" i="6" s="1"/>
  <c r="O495" i="6" s="1"/>
  <c r="AY495" i="6" s="1"/>
  <c r="O496" i="6" s="1"/>
  <c r="AY496" i="6" s="1"/>
  <c r="O497" i="6" s="1"/>
  <c r="AY497" i="6" s="1"/>
  <c r="O498" i="6" s="1"/>
  <c r="AY498" i="6" s="1"/>
  <c r="O499" i="6" s="1"/>
  <c r="AY499" i="6" s="1"/>
  <c r="O500" i="6" s="1"/>
  <c r="AY500" i="6" s="1"/>
  <c r="O501" i="6" s="1"/>
  <c r="AY501" i="6" s="1"/>
  <c r="O502" i="6" s="1"/>
  <c r="AY502" i="6" s="1"/>
  <c r="O503" i="6" s="1"/>
  <c r="AY503" i="6" s="1"/>
  <c r="O504" i="6" s="1"/>
  <c r="AY504" i="6" s="1"/>
  <c r="O505" i="6" s="1"/>
  <c r="AY505" i="6" s="1"/>
  <c r="O506" i="6" s="1"/>
  <c r="AY506" i="6" s="1"/>
  <c r="O507" i="6" s="1"/>
  <c r="AY507" i="6" s="1"/>
  <c r="O508" i="6" s="1"/>
  <c r="AY508" i="6" s="1"/>
  <c r="O509" i="6" s="1"/>
  <c r="AY509" i="6" s="1"/>
  <c r="K476" i="6"/>
  <c r="J476" i="6"/>
  <c r="I476" i="6"/>
  <c r="H476" i="6"/>
  <c r="G476" i="6"/>
  <c r="AI476" i="6" s="1"/>
  <c r="F476" i="6"/>
  <c r="E476" i="6"/>
  <c r="D476" i="6"/>
  <c r="C476" i="6"/>
  <c r="B476" i="6"/>
  <c r="A476" i="6"/>
  <c r="BL475" i="6"/>
  <c r="AB476" i="6" s="1"/>
  <c r="BL476" i="6" s="1"/>
  <c r="AB477" i="6" s="1"/>
  <c r="BL477" i="6" s="1"/>
  <c r="AB478" i="6" s="1"/>
  <c r="BL478" i="6" s="1"/>
  <c r="AB479" i="6" s="1"/>
  <c r="BL479" i="6" s="1"/>
  <c r="AB480" i="6" s="1"/>
  <c r="BL480" i="6" s="1"/>
  <c r="AT475" i="6"/>
  <c r="AO475" i="6"/>
  <c r="AF475" i="6"/>
  <c r="AE475" i="6"/>
  <c r="AB475" i="6"/>
  <c r="K475" i="6"/>
  <c r="J475" i="6"/>
  <c r="H475" i="6"/>
  <c r="G475" i="6"/>
  <c r="F475" i="6"/>
  <c r="E475" i="6"/>
  <c r="D475" i="6"/>
  <c r="C475" i="6"/>
  <c r="B475" i="6"/>
  <c r="A475" i="6"/>
  <c r="BO474" i="6"/>
  <c r="BN475" i="6" s="1"/>
  <c r="BO475" i="6" s="1"/>
  <c r="BN476" i="6" s="1"/>
  <c r="BO476" i="6" s="1"/>
  <c r="BN477" i="6" s="1"/>
  <c r="BO477" i="6" s="1"/>
  <c r="BN478" i="6" s="1"/>
  <c r="BN474" i="6"/>
  <c r="BM474" i="6"/>
  <c r="AC475" i="6" s="1"/>
  <c r="BM475" i="6" s="1"/>
  <c r="AC476" i="6" s="1"/>
  <c r="BM476" i="6" s="1"/>
  <c r="AC477" i="6" s="1"/>
  <c r="BM477" i="6" s="1"/>
  <c r="AC478" i="6" s="1"/>
  <c r="BM478" i="6" s="1"/>
  <c r="AC479" i="6" s="1"/>
  <c r="BM479" i="6" s="1"/>
  <c r="AC480" i="6" s="1"/>
  <c r="BM480" i="6" s="1"/>
  <c r="AC481" i="6" s="1"/>
  <c r="BM481" i="6" s="1"/>
  <c r="AC482" i="6" s="1"/>
  <c r="BM482" i="6" s="1"/>
  <c r="AC483" i="6" s="1"/>
  <c r="BM483" i="6" s="1"/>
  <c r="AC484" i="6" s="1"/>
  <c r="BM484" i="6" s="1"/>
  <c r="AC485" i="6" s="1"/>
  <c r="BM485" i="6" s="1"/>
  <c r="AC486" i="6" s="1"/>
  <c r="BM486" i="6" s="1"/>
  <c r="AC487" i="6" s="1"/>
  <c r="BM487" i="6" s="1"/>
  <c r="AC488" i="6" s="1"/>
  <c r="BM488" i="6" s="1"/>
  <c r="AC489" i="6" s="1"/>
  <c r="BM489" i="6" s="1"/>
  <c r="AC490" i="6" s="1"/>
  <c r="BM490" i="6" s="1"/>
  <c r="AC491" i="6" s="1"/>
  <c r="BM491" i="6" s="1"/>
  <c r="AC492" i="6" s="1"/>
  <c r="BG474" i="6"/>
  <c r="W475" i="6" s="1"/>
  <c r="BG475" i="6" s="1"/>
  <c r="W476" i="6" s="1"/>
  <c r="BE474" i="6"/>
  <c r="BE475" i="6" s="1"/>
  <c r="U476" i="6" s="1"/>
  <c r="BA474" i="6"/>
  <c r="Q475" i="6" s="1"/>
  <c r="BA475" i="6" s="1"/>
  <c r="Q476" i="6" s="1"/>
  <c r="BA476" i="6" s="1"/>
  <c r="Q477" i="6" s="1"/>
  <c r="BA477" i="6" s="1"/>
  <c r="Q478" i="6" s="1"/>
  <c r="BA478" i="6" s="1"/>
  <c r="Q479" i="6" s="1"/>
  <c r="BA479" i="6" s="1"/>
  <c r="Q480" i="6" s="1"/>
  <c r="BA480" i="6" s="1"/>
  <c r="Q481" i="6" s="1"/>
  <c r="BA481" i="6" s="1"/>
  <c r="Q482" i="6" s="1"/>
  <c r="BA482" i="6" s="1"/>
  <c r="Q483" i="6" s="1"/>
  <c r="AT474" i="6"/>
  <c r="AO474" i="6"/>
  <c r="AI474" i="6"/>
  <c r="AF474" i="6"/>
  <c r="AE474" i="6"/>
  <c r="AC474" i="6"/>
  <c r="AB474" i="6"/>
  <c r="BL474" i="6" s="1"/>
  <c r="AA474" i="6"/>
  <c r="BK474" i="6" s="1"/>
  <c r="AA475" i="6" s="1"/>
  <c r="BK475" i="6" s="1"/>
  <c r="AA476" i="6" s="1"/>
  <c r="BK476" i="6" s="1"/>
  <c r="AA477" i="6" s="1"/>
  <c r="BK477" i="6" s="1"/>
  <c r="AA478" i="6" s="1"/>
  <c r="BK478" i="6" s="1"/>
  <c r="AA479" i="6" s="1"/>
  <c r="BK479" i="6" s="1"/>
  <c r="AA480" i="6" s="1"/>
  <c r="BK480" i="6" s="1"/>
  <c r="AA481" i="6" s="1"/>
  <c r="BK481" i="6" s="1"/>
  <c r="AA482" i="6" s="1"/>
  <c r="BK482" i="6" s="1"/>
  <c r="AA483" i="6" s="1"/>
  <c r="BK483" i="6" s="1"/>
  <c r="AA484" i="6" s="1"/>
  <c r="BK484" i="6" s="1"/>
  <c r="AA485" i="6" s="1"/>
  <c r="BK485" i="6" s="1"/>
  <c r="AA486" i="6" s="1"/>
  <c r="BK486" i="6" s="1"/>
  <c r="AA487" i="6" s="1"/>
  <c r="BK487" i="6" s="1"/>
  <c r="AA488" i="6" s="1"/>
  <c r="BK488" i="6" s="1"/>
  <c r="AA489" i="6" s="1"/>
  <c r="BK489" i="6" s="1"/>
  <c r="AA490" i="6" s="1"/>
  <c r="BK490" i="6" s="1"/>
  <c r="AA491" i="6" s="1"/>
  <c r="BK491" i="6" s="1"/>
  <c r="AA492" i="6" s="1"/>
  <c r="BK492" i="6" s="1"/>
  <c r="AA493" i="6" s="1"/>
  <c r="BK493" i="6" s="1"/>
  <c r="AA494" i="6" s="1"/>
  <c r="BK494" i="6" s="1"/>
  <c r="AA495" i="6" s="1"/>
  <c r="BK495" i="6" s="1"/>
  <c r="AA496" i="6" s="1"/>
  <c r="BK496" i="6" s="1"/>
  <c r="AA497" i="6" s="1"/>
  <c r="BK497" i="6" s="1"/>
  <c r="AA498" i="6" s="1"/>
  <c r="BK498" i="6" s="1"/>
  <c r="AA499" i="6" s="1"/>
  <c r="BK499" i="6" s="1"/>
  <c r="AA500" i="6" s="1"/>
  <c r="BK500" i="6" s="1"/>
  <c r="AA501" i="6" s="1"/>
  <c r="BK501" i="6" s="1"/>
  <c r="AA502" i="6" s="1"/>
  <c r="BK502" i="6" s="1"/>
  <c r="AA503" i="6" s="1"/>
  <c r="BK503" i="6" s="1"/>
  <c r="AA504" i="6" s="1"/>
  <c r="BK504" i="6" s="1"/>
  <c r="AA505" i="6" s="1"/>
  <c r="BK505" i="6" s="1"/>
  <c r="AA506" i="6" s="1"/>
  <c r="BK506" i="6" s="1"/>
  <c r="AA507" i="6" s="1"/>
  <c r="BK507" i="6" s="1"/>
  <c r="AA508" i="6" s="1"/>
  <c r="BK508" i="6" s="1"/>
  <c r="AA509" i="6" s="1"/>
  <c r="BK509" i="6" s="1"/>
  <c r="Z474" i="6"/>
  <c r="BJ474" i="6" s="1"/>
  <c r="Z475" i="6" s="1"/>
  <c r="BJ475" i="6" s="1"/>
  <c r="Z476" i="6" s="1"/>
  <c r="BJ476" i="6" s="1"/>
  <c r="Z477" i="6" s="1"/>
  <c r="BJ477" i="6" s="1"/>
  <c r="Z478" i="6" s="1"/>
  <c r="BJ478" i="6" s="1"/>
  <c r="Z479" i="6" s="1"/>
  <c r="BJ479" i="6" s="1"/>
  <c r="Z480" i="6" s="1"/>
  <c r="BJ480" i="6" s="1"/>
  <c r="Z481" i="6" s="1"/>
  <c r="BJ481" i="6" s="1"/>
  <c r="Z482" i="6" s="1"/>
  <c r="BJ482" i="6" s="1"/>
  <c r="Z483" i="6" s="1"/>
  <c r="BJ483" i="6" s="1"/>
  <c r="Z484" i="6" s="1"/>
  <c r="BJ484" i="6" s="1"/>
  <c r="Z485" i="6" s="1"/>
  <c r="BJ485" i="6" s="1"/>
  <c r="Z486" i="6" s="1"/>
  <c r="BJ486" i="6" s="1"/>
  <c r="Z487" i="6" s="1"/>
  <c r="BJ487" i="6" s="1"/>
  <c r="Z488" i="6" s="1"/>
  <c r="BJ488" i="6" s="1"/>
  <c r="Z489" i="6" s="1"/>
  <c r="BJ489" i="6" s="1"/>
  <c r="Z490" i="6" s="1"/>
  <c r="BJ490" i="6" s="1"/>
  <c r="Z491" i="6" s="1"/>
  <c r="BJ491" i="6" s="1"/>
  <c r="Z492" i="6" s="1"/>
  <c r="BJ492" i="6" s="1"/>
  <c r="Z493" i="6" s="1"/>
  <c r="BJ493" i="6" s="1"/>
  <c r="Z494" i="6" s="1"/>
  <c r="BJ494" i="6" s="1"/>
  <c r="Z495" i="6" s="1"/>
  <c r="BJ495" i="6" s="1"/>
  <c r="Z496" i="6" s="1"/>
  <c r="BJ496" i="6" s="1"/>
  <c r="Z497" i="6" s="1"/>
  <c r="BJ497" i="6" s="1"/>
  <c r="Z498" i="6" s="1"/>
  <c r="BJ498" i="6" s="1"/>
  <c r="Z499" i="6" s="1"/>
  <c r="BJ499" i="6" s="1"/>
  <c r="Z500" i="6" s="1"/>
  <c r="BJ500" i="6" s="1"/>
  <c r="Z501" i="6" s="1"/>
  <c r="BJ501" i="6" s="1"/>
  <c r="Z502" i="6" s="1"/>
  <c r="BJ502" i="6" s="1"/>
  <c r="Z503" i="6" s="1"/>
  <c r="BJ503" i="6" s="1"/>
  <c r="Z504" i="6" s="1"/>
  <c r="BJ504" i="6" s="1"/>
  <c r="Z505" i="6" s="1"/>
  <c r="BJ505" i="6" s="1"/>
  <c r="Z506" i="6" s="1"/>
  <c r="BJ506" i="6" s="1"/>
  <c r="Z507" i="6" s="1"/>
  <c r="BJ507" i="6" s="1"/>
  <c r="Z508" i="6" s="1"/>
  <c r="BJ508" i="6" s="1"/>
  <c r="Z509" i="6" s="1"/>
  <c r="BJ509" i="6" s="1"/>
  <c r="Y474" i="6"/>
  <c r="BI474" i="6" s="1"/>
  <c r="Y475" i="6" s="1"/>
  <c r="BI475" i="6" s="1"/>
  <c r="Y476" i="6" s="1"/>
  <c r="BI476" i="6" s="1"/>
  <c r="Y477" i="6" s="1"/>
  <c r="BI477" i="6" s="1"/>
  <c r="X474" i="6"/>
  <c r="BH474" i="6" s="1"/>
  <c r="X475" i="6" s="1"/>
  <c r="BH475" i="6" s="1"/>
  <c r="X476" i="6" s="1"/>
  <c r="BH476" i="6" s="1"/>
  <c r="X477" i="6" s="1"/>
  <c r="BH477" i="6" s="1"/>
  <c r="X478" i="6" s="1"/>
  <c r="BH478" i="6" s="1"/>
  <c r="W474" i="6"/>
  <c r="V474" i="6"/>
  <c r="BF474" i="6" s="1"/>
  <c r="V475" i="6" s="1"/>
  <c r="BF475" i="6" s="1"/>
  <c r="V476" i="6" s="1"/>
  <c r="BF476" i="6" s="1"/>
  <c r="V477" i="6" s="1"/>
  <c r="BF477" i="6" s="1"/>
  <c r="V478" i="6" s="1"/>
  <c r="BF478" i="6" s="1"/>
  <c r="V479" i="6" s="1"/>
  <c r="BF479" i="6" s="1"/>
  <c r="V480" i="6" s="1"/>
  <c r="BF480" i="6" s="1"/>
  <c r="V481" i="6" s="1"/>
  <c r="BF481" i="6" s="1"/>
  <c r="V482" i="6" s="1"/>
  <c r="BF482" i="6" s="1"/>
  <c r="V483" i="6" s="1"/>
  <c r="BF483" i="6" s="1"/>
  <c r="V484" i="6" s="1"/>
  <c r="BF484" i="6" s="1"/>
  <c r="V485" i="6" s="1"/>
  <c r="BF485" i="6" s="1"/>
  <c r="V486" i="6" s="1"/>
  <c r="BF486" i="6" s="1"/>
  <c r="V487" i="6" s="1"/>
  <c r="BF487" i="6" s="1"/>
  <c r="V488" i="6" s="1"/>
  <c r="BF488" i="6" s="1"/>
  <c r="V489" i="6" s="1"/>
  <c r="BF489" i="6" s="1"/>
  <c r="V490" i="6" s="1"/>
  <c r="BF490" i="6" s="1"/>
  <c r="V491" i="6" s="1"/>
  <c r="BF491" i="6" s="1"/>
  <c r="V492" i="6" s="1"/>
  <c r="BF492" i="6" s="1"/>
  <c r="V493" i="6" s="1"/>
  <c r="BF493" i="6" s="1"/>
  <c r="V494" i="6" s="1"/>
  <c r="BF494" i="6" s="1"/>
  <c r="V495" i="6" s="1"/>
  <c r="BF495" i="6" s="1"/>
  <c r="V496" i="6" s="1"/>
  <c r="BF496" i="6" s="1"/>
  <c r="V497" i="6" s="1"/>
  <c r="U474" i="6"/>
  <c r="T474" i="6"/>
  <c r="BD474" i="6" s="1"/>
  <c r="T475" i="6" s="1"/>
  <c r="BD475" i="6" s="1"/>
  <c r="T476" i="6" s="1"/>
  <c r="BD476" i="6" s="1"/>
  <c r="T477" i="6" s="1"/>
  <c r="BD477" i="6" s="1"/>
  <c r="T478" i="6" s="1"/>
  <c r="S474" i="6"/>
  <c r="BC474" i="6" s="1"/>
  <c r="S475" i="6" s="1"/>
  <c r="BC475" i="6" s="1"/>
  <c r="S476" i="6" s="1"/>
  <c r="BC476" i="6" s="1"/>
  <c r="S477" i="6" s="1"/>
  <c r="BC477" i="6" s="1"/>
  <c r="S478" i="6" s="1"/>
  <c r="BC478" i="6" s="1"/>
  <c r="S479" i="6" s="1"/>
  <c r="BC479" i="6" s="1"/>
  <c r="S480" i="6" s="1"/>
  <c r="BC480" i="6" s="1"/>
  <c r="S481" i="6" s="1"/>
  <c r="BC481" i="6" s="1"/>
  <c r="S482" i="6" s="1"/>
  <c r="BC482" i="6" s="1"/>
  <c r="S483" i="6" s="1"/>
  <c r="BC483" i="6" s="1"/>
  <c r="S484" i="6" s="1"/>
  <c r="BC484" i="6" s="1"/>
  <c r="S485" i="6" s="1"/>
  <c r="BC485" i="6" s="1"/>
  <c r="S486" i="6" s="1"/>
  <c r="BC486" i="6" s="1"/>
  <c r="S487" i="6" s="1"/>
  <c r="BC487" i="6" s="1"/>
  <c r="S488" i="6" s="1"/>
  <c r="BC488" i="6" s="1"/>
  <c r="S489" i="6" s="1"/>
  <c r="BC489" i="6" s="1"/>
  <c r="R474" i="6"/>
  <c r="BB474" i="6" s="1"/>
  <c r="R475" i="6" s="1"/>
  <c r="BB475" i="6" s="1"/>
  <c r="R476" i="6" s="1"/>
  <c r="BB476" i="6" s="1"/>
  <c r="R477" i="6" s="1"/>
  <c r="BB477" i="6" s="1"/>
  <c r="R478" i="6" s="1"/>
  <c r="BB478" i="6" s="1"/>
  <c r="R479" i="6" s="1"/>
  <c r="BB479" i="6" s="1"/>
  <c r="R480" i="6" s="1"/>
  <c r="BB480" i="6" s="1"/>
  <c r="R481" i="6" s="1"/>
  <c r="BB481" i="6" s="1"/>
  <c r="R482" i="6" s="1"/>
  <c r="BB482" i="6" s="1"/>
  <c r="R483" i="6" s="1"/>
  <c r="BB483" i="6" s="1"/>
  <c r="R484" i="6" s="1"/>
  <c r="BB484" i="6" s="1"/>
  <c r="R485" i="6" s="1"/>
  <c r="BB485" i="6" s="1"/>
  <c r="R486" i="6" s="1"/>
  <c r="BB486" i="6" s="1"/>
  <c r="R487" i="6" s="1"/>
  <c r="BB487" i="6" s="1"/>
  <c r="R488" i="6" s="1"/>
  <c r="BB488" i="6" s="1"/>
  <c r="R489" i="6" s="1"/>
  <c r="BB489" i="6" s="1"/>
  <c r="R490" i="6" s="1"/>
  <c r="BB490" i="6" s="1"/>
  <c r="R491" i="6" s="1"/>
  <c r="BB491" i="6" s="1"/>
  <c r="R492" i="6" s="1"/>
  <c r="BB492" i="6" s="1"/>
  <c r="R493" i="6" s="1"/>
  <c r="BB493" i="6" s="1"/>
  <c r="R494" i="6" s="1"/>
  <c r="BB494" i="6" s="1"/>
  <c r="R495" i="6" s="1"/>
  <c r="BB495" i="6" s="1"/>
  <c r="R496" i="6" s="1"/>
  <c r="BB496" i="6" s="1"/>
  <c r="R497" i="6" s="1"/>
  <c r="BB497" i="6" s="1"/>
  <c r="R498" i="6" s="1"/>
  <c r="BB498" i="6" s="1"/>
  <c r="R499" i="6" s="1"/>
  <c r="BB499" i="6" s="1"/>
  <c r="R500" i="6" s="1"/>
  <c r="BB500" i="6" s="1"/>
  <c r="R501" i="6" s="1"/>
  <c r="BB501" i="6" s="1"/>
  <c r="R502" i="6" s="1"/>
  <c r="BB502" i="6" s="1"/>
  <c r="R503" i="6" s="1"/>
  <c r="BB503" i="6" s="1"/>
  <c r="R504" i="6" s="1"/>
  <c r="BB504" i="6" s="1"/>
  <c r="R505" i="6" s="1"/>
  <c r="BB505" i="6" s="1"/>
  <c r="R506" i="6" s="1"/>
  <c r="BB506" i="6" s="1"/>
  <c r="R507" i="6" s="1"/>
  <c r="BB507" i="6" s="1"/>
  <c r="R508" i="6" s="1"/>
  <c r="BB508" i="6" s="1"/>
  <c r="R509" i="6" s="1"/>
  <c r="BB509" i="6" s="1"/>
  <c r="Q474" i="6"/>
  <c r="O474" i="6"/>
  <c r="AY474" i="6" s="1"/>
  <c r="O475" i="6" s="1"/>
  <c r="AY475" i="6" s="1"/>
  <c r="N474" i="6"/>
  <c r="AX474" i="6" s="1"/>
  <c r="N475" i="6" s="1"/>
  <c r="AX475" i="6" s="1"/>
  <c r="N476" i="6" s="1"/>
  <c r="AX476" i="6" s="1"/>
  <c r="M474" i="6"/>
  <c r="AW474" i="6" s="1"/>
  <c r="M475" i="6" s="1"/>
  <c r="AW475" i="6" s="1"/>
  <c r="M476" i="6" s="1"/>
  <c r="L474" i="6"/>
  <c r="K474" i="6"/>
  <c r="H474" i="6"/>
  <c r="G474" i="6"/>
  <c r="AV474" i="6" s="1"/>
  <c r="L475" i="6" s="1"/>
  <c r="F474" i="6"/>
  <c r="E474" i="6"/>
  <c r="D474" i="6"/>
  <c r="C474" i="6"/>
  <c r="B474" i="6"/>
  <c r="A474" i="6"/>
  <c r="AO473" i="6"/>
  <c r="H473" i="6"/>
  <c r="G473" i="6"/>
  <c r="F473" i="6"/>
  <c r="E473" i="6"/>
  <c r="D473" i="6"/>
  <c r="C473" i="6"/>
  <c r="B473" i="6"/>
  <c r="A473" i="6"/>
  <c r="AO472" i="6"/>
  <c r="AE472" i="6"/>
  <c r="K472" i="6"/>
  <c r="I472" i="6"/>
  <c r="H472" i="6"/>
  <c r="G472" i="6"/>
  <c r="F472" i="6"/>
  <c r="E472" i="6"/>
  <c r="D472" i="6"/>
  <c r="C472" i="6"/>
  <c r="B472" i="6"/>
  <c r="A472" i="6"/>
  <c r="AO471" i="6"/>
  <c r="AI471" i="6"/>
  <c r="AE471" i="6"/>
  <c r="K471" i="6"/>
  <c r="I471" i="6"/>
  <c r="H471" i="6"/>
  <c r="G471" i="6"/>
  <c r="F471" i="6"/>
  <c r="J471" i="6" s="1"/>
  <c r="E471" i="6"/>
  <c r="D471" i="6"/>
  <c r="C471" i="6"/>
  <c r="B471" i="6"/>
  <c r="A471" i="6"/>
  <c r="AO470" i="6"/>
  <c r="I470" i="6"/>
  <c r="H470" i="6"/>
  <c r="G470" i="6"/>
  <c r="F470" i="6"/>
  <c r="AE470" i="6" s="1"/>
  <c r="E470" i="6"/>
  <c r="D470" i="6"/>
  <c r="C470" i="6"/>
  <c r="B470" i="6"/>
  <c r="A470" i="6"/>
  <c r="AO469" i="6"/>
  <c r="J469" i="6"/>
  <c r="H469" i="6"/>
  <c r="G469" i="6"/>
  <c r="F469" i="6"/>
  <c r="AI469" i="6" s="1"/>
  <c r="E469" i="6"/>
  <c r="D469" i="6"/>
  <c r="C469" i="6"/>
  <c r="B469" i="6"/>
  <c r="A469" i="6"/>
  <c r="AO468" i="6"/>
  <c r="AI468" i="6"/>
  <c r="K468" i="6"/>
  <c r="H468" i="6"/>
  <c r="G468" i="6"/>
  <c r="F468" i="6"/>
  <c r="J468" i="6" s="1"/>
  <c r="E468" i="6"/>
  <c r="D468" i="6"/>
  <c r="C468" i="6"/>
  <c r="B468" i="6"/>
  <c r="A468" i="6"/>
  <c r="AO467" i="6"/>
  <c r="H467" i="6"/>
  <c r="G467" i="6"/>
  <c r="F467" i="6"/>
  <c r="E467" i="6"/>
  <c r="D467" i="6"/>
  <c r="C467" i="6"/>
  <c r="B467" i="6"/>
  <c r="A467" i="6"/>
  <c r="AO466" i="6"/>
  <c r="AE466" i="6"/>
  <c r="J466" i="6"/>
  <c r="H466" i="6"/>
  <c r="G466" i="6"/>
  <c r="F466" i="6"/>
  <c r="AI466" i="6" s="1"/>
  <c r="E466" i="6"/>
  <c r="D466" i="6"/>
  <c r="C466" i="6"/>
  <c r="B466" i="6"/>
  <c r="A466" i="6"/>
  <c r="AO465" i="6"/>
  <c r="J465" i="6"/>
  <c r="I465" i="6"/>
  <c r="H465" i="6"/>
  <c r="G465" i="6"/>
  <c r="F465" i="6"/>
  <c r="AE465" i="6" s="1"/>
  <c r="E465" i="6"/>
  <c r="D465" i="6"/>
  <c r="C465" i="6"/>
  <c r="B465" i="6"/>
  <c r="A465" i="6"/>
  <c r="AO464" i="6"/>
  <c r="AE464" i="6"/>
  <c r="K464" i="6"/>
  <c r="J464" i="6"/>
  <c r="I464" i="6"/>
  <c r="H464" i="6"/>
  <c r="G464" i="6"/>
  <c r="AI464" i="6" s="1"/>
  <c r="F464" i="6"/>
  <c r="E464" i="6"/>
  <c r="D464" i="6"/>
  <c r="C464" i="6"/>
  <c r="B464" i="6"/>
  <c r="A464" i="6"/>
  <c r="AO463" i="6"/>
  <c r="AE463" i="6"/>
  <c r="K463" i="6"/>
  <c r="J463" i="6"/>
  <c r="H463" i="6"/>
  <c r="G463" i="6"/>
  <c r="F463" i="6"/>
  <c r="E463" i="6"/>
  <c r="D463" i="6"/>
  <c r="C463" i="6"/>
  <c r="B463" i="6"/>
  <c r="A463" i="6"/>
  <c r="AO462" i="6"/>
  <c r="AI462" i="6"/>
  <c r="AE462" i="6"/>
  <c r="K462" i="6"/>
  <c r="H462" i="6"/>
  <c r="G462" i="6"/>
  <c r="F462" i="6"/>
  <c r="J462" i="6" s="1"/>
  <c r="E462" i="6"/>
  <c r="D462" i="6"/>
  <c r="C462" i="6"/>
  <c r="B462" i="6"/>
  <c r="A462" i="6"/>
  <c r="AO461" i="6"/>
  <c r="H461" i="6"/>
  <c r="G461" i="6"/>
  <c r="F461" i="6"/>
  <c r="E461" i="6"/>
  <c r="D461" i="6"/>
  <c r="C461" i="6"/>
  <c r="B461" i="6"/>
  <c r="A461" i="6"/>
  <c r="AT460" i="6"/>
  <c r="AE460" i="6"/>
  <c r="K460" i="6"/>
  <c r="I460" i="6"/>
  <c r="H460" i="6"/>
  <c r="G460" i="6"/>
  <c r="F460" i="6"/>
  <c r="E460" i="6"/>
  <c r="D460" i="6"/>
  <c r="C460" i="6"/>
  <c r="B460" i="6"/>
  <c r="A460" i="6"/>
  <c r="AT459" i="6"/>
  <c r="AO459" i="6"/>
  <c r="K459" i="6"/>
  <c r="I459" i="6"/>
  <c r="H459" i="6"/>
  <c r="G459" i="6"/>
  <c r="F459" i="6"/>
  <c r="E459" i="6"/>
  <c r="D459" i="6"/>
  <c r="C459" i="6"/>
  <c r="B459" i="6"/>
  <c r="A459" i="6"/>
  <c r="AT458" i="6"/>
  <c r="AO458" i="6"/>
  <c r="I458" i="6"/>
  <c r="H458" i="6"/>
  <c r="G458" i="6"/>
  <c r="F458" i="6"/>
  <c r="AE458" i="6" s="1"/>
  <c r="E458" i="6"/>
  <c r="D458" i="6"/>
  <c r="C458" i="6"/>
  <c r="B458" i="6"/>
  <c r="A458" i="6"/>
  <c r="AT457" i="6"/>
  <c r="AO457" i="6"/>
  <c r="J457" i="6"/>
  <c r="H457" i="6"/>
  <c r="G457" i="6"/>
  <c r="F457" i="6"/>
  <c r="AI457" i="6" s="1"/>
  <c r="E457" i="6"/>
  <c r="D457" i="6"/>
  <c r="C457" i="6"/>
  <c r="B457" i="6"/>
  <c r="A457" i="6"/>
  <c r="AT456" i="6"/>
  <c r="AO456" i="6"/>
  <c r="AI456" i="6"/>
  <c r="K456" i="6"/>
  <c r="H456" i="6"/>
  <c r="G456" i="6"/>
  <c r="F456" i="6"/>
  <c r="E456" i="6"/>
  <c r="D456" i="6"/>
  <c r="C456" i="6"/>
  <c r="B456" i="6"/>
  <c r="A456" i="6"/>
  <c r="AT455" i="6"/>
  <c r="AO455" i="6"/>
  <c r="H455" i="6"/>
  <c r="AF455" i="6" s="1"/>
  <c r="G455" i="6"/>
  <c r="F455" i="6"/>
  <c r="E455" i="6"/>
  <c r="D455" i="6"/>
  <c r="C455" i="6"/>
  <c r="B455" i="6"/>
  <c r="A455" i="6"/>
  <c r="AT454" i="6"/>
  <c r="AE454" i="6"/>
  <c r="J454" i="6"/>
  <c r="I454" i="6"/>
  <c r="H454" i="6"/>
  <c r="G454" i="6"/>
  <c r="F454" i="6"/>
  <c r="E454" i="6"/>
  <c r="D454" i="6"/>
  <c r="C454" i="6"/>
  <c r="B454" i="6"/>
  <c r="A454" i="6"/>
  <c r="AT453" i="6"/>
  <c r="AO453" i="6"/>
  <c r="AF453" i="6"/>
  <c r="J453" i="6"/>
  <c r="I453" i="6"/>
  <c r="H453" i="6"/>
  <c r="G453" i="6"/>
  <c r="F453" i="6"/>
  <c r="AE453" i="6" s="1"/>
  <c r="E453" i="6"/>
  <c r="D453" i="6"/>
  <c r="C453" i="6"/>
  <c r="B453" i="6"/>
  <c r="A453" i="6"/>
  <c r="AT452" i="6"/>
  <c r="AO452" i="6"/>
  <c r="AF452" i="6"/>
  <c r="AE452" i="6"/>
  <c r="K452" i="6"/>
  <c r="J452" i="6"/>
  <c r="I452" i="6"/>
  <c r="H452" i="6"/>
  <c r="G452" i="6"/>
  <c r="AI452" i="6" s="1"/>
  <c r="F452" i="6"/>
  <c r="E452" i="6"/>
  <c r="D452" i="6"/>
  <c r="C452" i="6"/>
  <c r="B452" i="6"/>
  <c r="A452" i="6"/>
  <c r="AT451" i="6"/>
  <c r="AO451" i="6"/>
  <c r="AF451" i="6"/>
  <c r="AE451" i="6"/>
  <c r="J451" i="6"/>
  <c r="H451" i="6"/>
  <c r="G451" i="6"/>
  <c r="F451" i="6"/>
  <c r="E451" i="6"/>
  <c r="D451" i="6"/>
  <c r="C451" i="6"/>
  <c r="B451" i="6"/>
  <c r="A451" i="6"/>
  <c r="AT450" i="6"/>
  <c r="AO450" i="6"/>
  <c r="AE450" i="6"/>
  <c r="K450" i="6"/>
  <c r="I450" i="6"/>
  <c r="H450" i="6"/>
  <c r="G450" i="6"/>
  <c r="F450" i="6"/>
  <c r="E450" i="6"/>
  <c r="D450" i="6"/>
  <c r="C450" i="6"/>
  <c r="B450" i="6"/>
  <c r="A450" i="6"/>
  <c r="AT449" i="6"/>
  <c r="H449" i="6"/>
  <c r="G449" i="6"/>
  <c r="F449" i="6"/>
  <c r="I449" i="6" s="1"/>
  <c r="E449" i="6"/>
  <c r="D449" i="6"/>
  <c r="C449" i="6"/>
  <c r="B449" i="6"/>
  <c r="A449" i="6"/>
  <c r="BI448" i="6"/>
  <c r="Y449" i="6" s="1"/>
  <c r="BI449" i="6" s="1"/>
  <c r="Y450" i="6" s="1"/>
  <c r="BI450" i="6" s="1"/>
  <c r="Y451" i="6" s="1"/>
  <c r="BI451" i="6" s="1"/>
  <c r="Y452" i="6" s="1"/>
  <c r="BI452" i="6" s="1"/>
  <c r="Y453" i="6" s="1"/>
  <c r="BI453" i="6" s="1"/>
  <c r="Y454" i="6" s="1"/>
  <c r="BI454" i="6" s="1"/>
  <c r="Y455" i="6" s="1"/>
  <c r="BI455" i="6" s="1"/>
  <c r="Y456" i="6" s="1"/>
  <c r="BI456" i="6" s="1"/>
  <c r="Y457" i="6" s="1"/>
  <c r="BI457" i="6" s="1"/>
  <c r="Y458" i="6" s="1"/>
  <c r="BI458" i="6" s="1"/>
  <c r="Y459" i="6" s="1"/>
  <c r="BI459" i="6" s="1"/>
  <c r="Y460" i="6" s="1"/>
  <c r="BI460" i="6" s="1"/>
  <c r="Y461" i="6" s="1"/>
  <c r="BI461" i="6" s="1"/>
  <c r="Y462" i="6" s="1"/>
  <c r="BI462" i="6" s="1"/>
  <c r="Y463" i="6" s="1"/>
  <c r="BI463" i="6" s="1"/>
  <c r="Y464" i="6" s="1"/>
  <c r="BI464" i="6" s="1"/>
  <c r="Y465" i="6" s="1"/>
  <c r="BI465" i="6" s="1"/>
  <c r="Y466" i="6" s="1"/>
  <c r="BI466" i="6" s="1"/>
  <c r="Y467" i="6" s="1"/>
  <c r="BI467" i="6" s="1"/>
  <c r="Y468" i="6" s="1"/>
  <c r="BI468" i="6" s="1"/>
  <c r="Y469" i="6" s="1"/>
  <c r="BI469" i="6" s="1"/>
  <c r="Y470" i="6" s="1"/>
  <c r="BI470" i="6" s="1"/>
  <c r="Y471" i="6" s="1"/>
  <c r="BI471" i="6" s="1"/>
  <c r="Y472" i="6" s="1"/>
  <c r="BI472" i="6" s="1"/>
  <c r="Y473" i="6" s="1"/>
  <c r="BI473" i="6" s="1"/>
  <c r="AT448" i="6"/>
  <c r="AE448" i="6"/>
  <c r="K448" i="6"/>
  <c r="I448" i="6"/>
  <c r="H448" i="6"/>
  <c r="G448" i="6"/>
  <c r="F448" i="6"/>
  <c r="E448" i="6"/>
  <c r="D448" i="6"/>
  <c r="C448" i="6"/>
  <c r="B448" i="6"/>
  <c r="A448" i="6"/>
  <c r="AT447" i="6"/>
  <c r="AO447" i="6"/>
  <c r="AI447" i="6"/>
  <c r="K447" i="6"/>
  <c r="H447" i="6"/>
  <c r="AF447" i="6" s="1"/>
  <c r="G447" i="6"/>
  <c r="F447" i="6"/>
  <c r="E447" i="6"/>
  <c r="D447" i="6"/>
  <c r="C447" i="6"/>
  <c r="B447" i="6"/>
  <c r="A447" i="6"/>
  <c r="AT446" i="6"/>
  <c r="AO446" i="6"/>
  <c r="H446" i="6"/>
  <c r="G446" i="6"/>
  <c r="F446" i="6"/>
  <c r="E446" i="6"/>
  <c r="D446" i="6"/>
  <c r="C446" i="6"/>
  <c r="B446" i="6"/>
  <c r="A446" i="6"/>
  <c r="AT445" i="6"/>
  <c r="AO445" i="6"/>
  <c r="AF445" i="6"/>
  <c r="AB445" i="6"/>
  <c r="BL445" i="6" s="1"/>
  <c r="AB446" i="6" s="1"/>
  <c r="BL446" i="6" s="1"/>
  <c r="AB447" i="6" s="1"/>
  <c r="BL447" i="6" s="1"/>
  <c r="AB448" i="6" s="1"/>
  <c r="BL448" i="6" s="1"/>
  <c r="AB449" i="6" s="1"/>
  <c r="BL449" i="6" s="1"/>
  <c r="AB450" i="6" s="1"/>
  <c r="BL450" i="6" s="1"/>
  <c r="AB451" i="6" s="1"/>
  <c r="BL451" i="6" s="1"/>
  <c r="AB452" i="6" s="1"/>
  <c r="BL452" i="6" s="1"/>
  <c r="AB453" i="6" s="1"/>
  <c r="BL453" i="6" s="1"/>
  <c r="AB454" i="6" s="1"/>
  <c r="BL454" i="6" s="1"/>
  <c r="AB455" i="6" s="1"/>
  <c r="BL455" i="6" s="1"/>
  <c r="AB456" i="6" s="1"/>
  <c r="BL456" i="6" s="1"/>
  <c r="AB457" i="6" s="1"/>
  <c r="BL457" i="6" s="1"/>
  <c r="AB458" i="6" s="1"/>
  <c r="BL458" i="6" s="1"/>
  <c r="AB459" i="6" s="1"/>
  <c r="BL459" i="6" s="1"/>
  <c r="AB460" i="6" s="1"/>
  <c r="BL460" i="6" s="1"/>
  <c r="AB461" i="6" s="1"/>
  <c r="BL461" i="6" s="1"/>
  <c r="AB462" i="6" s="1"/>
  <c r="BL462" i="6" s="1"/>
  <c r="AB463" i="6" s="1"/>
  <c r="BL463" i="6" s="1"/>
  <c r="AB464" i="6" s="1"/>
  <c r="BL464" i="6" s="1"/>
  <c r="AB465" i="6" s="1"/>
  <c r="BL465" i="6" s="1"/>
  <c r="AB466" i="6" s="1"/>
  <c r="BL466" i="6" s="1"/>
  <c r="AB467" i="6" s="1"/>
  <c r="BL467" i="6" s="1"/>
  <c r="AB468" i="6" s="1"/>
  <c r="BL468" i="6" s="1"/>
  <c r="AB469" i="6" s="1"/>
  <c r="BL469" i="6" s="1"/>
  <c r="AB470" i="6" s="1"/>
  <c r="BL470" i="6" s="1"/>
  <c r="AB471" i="6" s="1"/>
  <c r="BL471" i="6" s="1"/>
  <c r="AB472" i="6" s="1"/>
  <c r="BL472" i="6" s="1"/>
  <c r="AB473" i="6" s="1"/>
  <c r="BL473" i="6" s="1"/>
  <c r="J445" i="6"/>
  <c r="H445" i="6"/>
  <c r="G445" i="6"/>
  <c r="F445" i="6"/>
  <c r="AI445" i="6" s="1"/>
  <c r="E445" i="6"/>
  <c r="D445" i="6"/>
  <c r="C445" i="6"/>
  <c r="B445" i="6"/>
  <c r="A445" i="6"/>
  <c r="AT444" i="6"/>
  <c r="AO444" i="6"/>
  <c r="AI444" i="6"/>
  <c r="AF444" i="6"/>
  <c r="AE444" i="6"/>
  <c r="K444" i="6"/>
  <c r="H444" i="6"/>
  <c r="G444" i="6"/>
  <c r="F444" i="6"/>
  <c r="E444" i="6"/>
  <c r="D444" i="6"/>
  <c r="C444" i="6"/>
  <c r="B444" i="6"/>
  <c r="A444" i="6"/>
  <c r="AT443" i="6"/>
  <c r="H443" i="6"/>
  <c r="G443" i="6"/>
  <c r="F443" i="6"/>
  <c r="E443" i="6"/>
  <c r="D443" i="6"/>
  <c r="C443" i="6"/>
  <c r="B443" i="6"/>
  <c r="A443" i="6"/>
  <c r="AT442" i="6"/>
  <c r="AE442" i="6"/>
  <c r="Y442" i="6"/>
  <c r="BI442" i="6" s="1"/>
  <c r="Y443" i="6" s="1"/>
  <c r="BI443" i="6" s="1"/>
  <c r="Y444" i="6" s="1"/>
  <c r="BI444" i="6" s="1"/>
  <c r="Y445" i="6" s="1"/>
  <c r="BI445" i="6" s="1"/>
  <c r="Y446" i="6" s="1"/>
  <c r="BI446" i="6" s="1"/>
  <c r="Y447" i="6" s="1"/>
  <c r="BI447" i="6" s="1"/>
  <c r="Y448" i="6" s="1"/>
  <c r="J442" i="6"/>
  <c r="I442" i="6"/>
  <c r="H442" i="6"/>
  <c r="G442" i="6"/>
  <c r="F442" i="6"/>
  <c r="E442" i="6"/>
  <c r="D442" i="6"/>
  <c r="C442" i="6"/>
  <c r="B442" i="6"/>
  <c r="A442" i="6"/>
  <c r="AT441" i="6"/>
  <c r="AO441" i="6"/>
  <c r="AC441" i="6"/>
  <c r="BM441" i="6" s="1"/>
  <c r="AC442" i="6" s="1"/>
  <c r="BM442" i="6" s="1"/>
  <c r="AC443" i="6" s="1"/>
  <c r="BM443" i="6" s="1"/>
  <c r="AC444" i="6" s="1"/>
  <c r="BM444" i="6" s="1"/>
  <c r="AC445" i="6" s="1"/>
  <c r="BM445" i="6" s="1"/>
  <c r="AC446" i="6" s="1"/>
  <c r="BM446" i="6" s="1"/>
  <c r="AC447" i="6" s="1"/>
  <c r="BM447" i="6" s="1"/>
  <c r="AC448" i="6" s="1"/>
  <c r="BM448" i="6" s="1"/>
  <c r="AC449" i="6" s="1"/>
  <c r="BM449" i="6" s="1"/>
  <c r="AC450" i="6" s="1"/>
  <c r="BM450" i="6" s="1"/>
  <c r="AC451" i="6" s="1"/>
  <c r="BM451" i="6" s="1"/>
  <c r="AC452" i="6" s="1"/>
  <c r="BM452" i="6" s="1"/>
  <c r="AC453" i="6" s="1"/>
  <c r="BM453" i="6" s="1"/>
  <c r="AC454" i="6" s="1"/>
  <c r="BM454" i="6" s="1"/>
  <c r="AC455" i="6" s="1"/>
  <c r="BM455" i="6" s="1"/>
  <c r="AC456" i="6" s="1"/>
  <c r="BM456" i="6" s="1"/>
  <c r="AC457" i="6" s="1"/>
  <c r="BM457" i="6" s="1"/>
  <c r="AC458" i="6" s="1"/>
  <c r="BM458" i="6" s="1"/>
  <c r="AC459" i="6" s="1"/>
  <c r="BM459" i="6" s="1"/>
  <c r="AC460" i="6" s="1"/>
  <c r="BM460" i="6" s="1"/>
  <c r="AC461" i="6" s="1"/>
  <c r="BM461" i="6" s="1"/>
  <c r="AC462" i="6" s="1"/>
  <c r="BM462" i="6" s="1"/>
  <c r="AC463" i="6" s="1"/>
  <c r="BM463" i="6" s="1"/>
  <c r="AC464" i="6" s="1"/>
  <c r="BM464" i="6" s="1"/>
  <c r="AC465" i="6" s="1"/>
  <c r="BM465" i="6" s="1"/>
  <c r="AC466" i="6" s="1"/>
  <c r="BM466" i="6" s="1"/>
  <c r="AC467" i="6" s="1"/>
  <c r="BM467" i="6" s="1"/>
  <c r="AC468" i="6" s="1"/>
  <c r="BM468" i="6" s="1"/>
  <c r="AC469" i="6" s="1"/>
  <c r="BM469" i="6" s="1"/>
  <c r="AC470" i="6" s="1"/>
  <c r="BM470" i="6" s="1"/>
  <c r="AC471" i="6" s="1"/>
  <c r="BM471" i="6" s="1"/>
  <c r="AC472" i="6" s="1"/>
  <c r="BM472" i="6" s="1"/>
  <c r="AC473" i="6" s="1"/>
  <c r="BM473" i="6" s="1"/>
  <c r="J441" i="6"/>
  <c r="I441" i="6"/>
  <c r="H441" i="6"/>
  <c r="G441" i="6"/>
  <c r="F441" i="6"/>
  <c r="AE441" i="6" s="1"/>
  <c r="E441" i="6"/>
  <c r="D441" i="6"/>
  <c r="C441" i="6"/>
  <c r="B441" i="6"/>
  <c r="A441" i="6"/>
  <c r="BE440" i="6"/>
  <c r="AV440" i="6"/>
  <c r="L441" i="6" s="1"/>
  <c r="AV441" i="6" s="1"/>
  <c r="L442" i="6" s="1"/>
  <c r="AT440" i="6"/>
  <c r="AO440" i="6"/>
  <c r="AF440" i="6"/>
  <c r="AE440" i="6"/>
  <c r="X440" i="6"/>
  <c r="BH440" i="6" s="1"/>
  <c r="X441" i="6" s="1"/>
  <c r="BH441" i="6" s="1"/>
  <c r="X442" i="6" s="1"/>
  <c r="BH442" i="6" s="1"/>
  <c r="X443" i="6" s="1"/>
  <c r="BH443" i="6" s="1"/>
  <c r="X444" i="6" s="1"/>
  <c r="BH444" i="6" s="1"/>
  <c r="X445" i="6" s="1"/>
  <c r="BH445" i="6" s="1"/>
  <c r="X446" i="6" s="1"/>
  <c r="BH446" i="6" s="1"/>
  <c r="X447" i="6" s="1"/>
  <c r="BH447" i="6" s="1"/>
  <c r="X448" i="6" s="1"/>
  <c r="BH448" i="6" s="1"/>
  <c r="X449" i="6" s="1"/>
  <c r="BH449" i="6" s="1"/>
  <c r="X450" i="6" s="1"/>
  <c r="BH450" i="6" s="1"/>
  <c r="X451" i="6" s="1"/>
  <c r="BH451" i="6" s="1"/>
  <c r="X452" i="6" s="1"/>
  <c r="BH452" i="6" s="1"/>
  <c r="X453" i="6" s="1"/>
  <c r="BH453" i="6" s="1"/>
  <c r="X454" i="6" s="1"/>
  <c r="BH454" i="6" s="1"/>
  <c r="X455" i="6" s="1"/>
  <c r="BH455" i="6" s="1"/>
  <c r="X456" i="6" s="1"/>
  <c r="BH456" i="6" s="1"/>
  <c r="X457" i="6" s="1"/>
  <c r="BH457" i="6" s="1"/>
  <c r="X458" i="6" s="1"/>
  <c r="BH458" i="6" s="1"/>
  <c r="X459" i="6" s="1"/>
  <c r="BH459" i="6" s="1"/>
  <c r="X460" i="6" s="1"/>
  <c r="BH460" i="6" s="1"/>
  <c r="X461" i="6" s="1"/>
  <c r="BH461" i="6" s="1"/>
  <c r="X462" i="6" s="1"/>
  <c r="BH462" i="6" s="1"/>
  <c r="X463" i="6" s="1"/>
  <c r="BH463" i="6" s="1"/>
  <c r="X464" i="6" s="1"/>
  <c r="BH464" i="6" s="1"/>
  <c r="X465" i="6" s="1"/>
  <c r="BH465" i="6" s="1"/>
  <c r="X466" i="6" s="1"/>
  <c r="BH466" i="6" s="1"/>
  <c r="X467" i="6" s="1"/>
  <c r="BH467" i="6" s="1"/>
  <c r="X468" i="6" s="1"/>
  <c r="BH468" i="6" s="1"/>
  <c r="X469" i="6" s="1"/>
  <c r="BH469" i="6" s="1"/>
  <c r="X470" i="6" s="1"/>
  <c r="BH470" i="6" s="1"/>
  <c r="X471" i="6" s="1"/>
  <c r="BH471" i="6" s="1"/>
  <c r="X472" i="6" s="1"/>
  <c r="BH472" i="6" s="1"/>
  <c r="X473" i="6" s="1"/>
  <c r="BH473" i="6" s="1"/>
  <c r="U440" i="6"/>
  <c r="O440" i="6"/>
  <c r="AY440" i="6" s="1"/>
  <c r="O441" i="6" s="1"/>
  <c r="AY441" i="6" s="1"/>
  <c r="O442" i="6" s="1"/>
  <c r="AY442" i="6" s="1"/>
  <c r="O443" i="6" s="1"/>
  <c r="AY443" i="6" s="1"/>
  <c r="O444" i="6" s="1"/>
  <c r="AY444" i="6" s="1"/>
  <c r="O445" i="6" s="1"/>
  <c r="AY445" i="6" s="1"/>
  <c r="O446" i="6" s="1"/>
  <c r="AY446" i="6" s="1"/>
  <c r="O447" i="6" s="1"/>
  <c r="AY447" i="6" s="1"/>
  <c r="O448" i="6" s="1"/>
  <c r="AY448" i="6" s="1"/>
  <c r="O449" i="6" s="1"/>
  <c r="AY449" i="6" s="1"/>
  <c r="O450" i="6" s="1"/>
  <c r="AY450" i="6" s="1"/>
  <c r="O451" i="6" s="1"/>
  <c r="AY451" i="6" s="1"/>
  <c r="O452" i="6" s="1"/>
  <c r="AY452" i="6" s="1"/>
  <c r="O453" i="6" s="1"/>
  <c r="AY453" i="6" s="1"/>
  <c r="O454" i="6" s="1"/>
  <c r="AY454" i="6" s="1"/>
  <c r="O455" i="6" s="1"/>
  <c r="AY455" i="6" s="1"/>
  <c r="O456" i="6" s="1"/>
  <c r="AY456" i="6" s="1"/>
  <c r="O457" i="6" s="1"/>
  <c r="AY457" i="6" s="1"/>
  <c r="O458" i="6" s="1"/>
  <c r="AY458" i="6" s="1"/>
  <c r="O459" i="6" s="1"/>
  <c r="AY459" i="6" s="1"/>
  <c r="O460" i="6" s="1"/>
  <c r="AY460" i="6" s="1"/>
  <c r="O461" i="6" s="1"/>
  <c r="AY461" i="6" s="1"/>
  <c r="O462" i="6" s="1"/>
  <c r="AY462" i="6" s="1"/>
  <c r="O463" i="6" s="1"/>
  <c r="AY463" i="6" s="1"/>
  <c r="O464" i="6" s="1"/>
  <c r="AY464" i="6" s="1"/>
  <c r="O465" i="6" s="1"/>
  <c r="AY465" i="6" s="1"/>
  <c r="O466" i="6" s="1"/>
  <c r="AY466" i="6" s="1"/>
  <c r="O467" i="6" s="1"/>
  <c r="AY467" i="6" s="1"/>
  <c r="O468" i="6" s="1"/>
  <c r="AY468" i="6" s="1"/>
  <c r="O469" i="6" s="1"/>
  <c r="AY469" i="6" s="1"/>
  <c r="O470" i="6" s="1"/>
  <c r="AY470" i="6" s="1"/>
  <c r="O471" i="6" s="1"/>
  <c r="AY471" i="6" s="1"/>
  <c r="O472" i="6" s="1"/>
  <c r="AY472" i="6" s="1"/>
  <c r="O473" i="6" s="1"/>
  <c r="AY473" i="6" s="1"/>
  <c r="L440" i="6"/>
  <c r="K440" i="6"/>
  <c r="J440" i="6"/>
  <c r="I440" i="6"/>
  <c r="H440" i="6"/>
  <c r="G440" i="6"/>
  <c r="AI440" i="6" s="1"/>
  <c r="F440" i="6"/>
  <c r="E440" i="6"/>
  <c r="D440" i="6"/>
  <c r="C440" i="6"/>
  <c r="B440" i="6"/>
  <c r="A440" i="6"/>
  <c r="BL439" i="6"/>
  <c r="AB440" i="6" s="1"/>
  <c r="BL440" i="6" s="1"/>
  <c r="AB441" i="6" s="1"/>
  <c r="BL441" i="6" s="1"/>
  <c r="AB442" i="6" s="1"/>
  <c r="BL442" i="6" s="1"/>
  <c r="AB443" i="6" s="1"/>
  <c r="BL443" i="6" s="1"/>
  <c r="AB444" i="6" s="1"/>
  <c r="BL444" i="6" s="1"/>
  <c r="AT439" i="6"/>
  <c r="AO439" i="6"/>
  <c r="AF439" i="6"/>
  <c r="AE439" i="6"/>
  <c r="AB439" i="6"/>
  <c r="J439" i="6"/>
  <c r="H439" i="6"/>
  <c r="G439" i="6"/>
  <c r="AV439" i="6" s="1"/>
  <c r="F439" i="6"/>
  <c r="E439" i="6"/>
  <c r="D439" i="6"/>
  <c r="C439" i="6"/>
  <c r="B439" i="6"/>
  <c r="A439" i="6"/>
  <c r="BO438" i="6"/>
  <c r="BN439" i="6" s="1"/>
  <c r="BO439" i="6" s="1"/>
  <c r="BN440" i="6" s="1"/>
  <c r="BO440" i="6" s="1"/>
  <c r="BN441" i="6" s="1"/>
  <c r="BO441" i="6" s="1"/>
  <c r="BN442" i="6" s="1"/>
  <c r="BO442" i="6" s="1"/>
  <c r="BN443" i="6" s="1"/>
  <c r="BO443" i="6" s="1"/>
  <c r="BN444" i="6" s="1"/>
  <c r="BO444" i="6" s="1"/>
  <c r="BN445" i="6" s="1"/>
  <c r="BO445" i="6" s="1"/>
  <c r="BN446" i="6" s="1"/>
  <c r="BO446" i="6" s="1"/>
  <c r="BN447" i="6" s="1"/>
  <c r="BO447" i="6" s="1"/>
  <c r="BN448" i="6" s="1"/>
  <c r="BN438" i="6"/>
  <c r="BM438" i="6"/>
  <c r="AC439" i="6" s="1"/>
  <c r="BM439" i="6" s="1"/>
  <c r="AC440" i="6" s="1"/>
  <c r="BM440" i="6" s="1"/>
  <c r="BJ438" i="6"/>
  <c r="Z439" i="6" s="1"/>
  <c r="BJ439" i="6" s="1"/>
  <c r="Z440" i="6" s="1"/>
  <c r="BJ440" i="6" s="1"/>
  <c r="Z441" i="6" s="1"/>
  <c r="BJ441" i="6" s="1"/>
  <c r="Z442" i="6" s="1"/>
  <c r="BJ442" i="6" s="1"/>
  <c r="Z443" i="6" s="1"/>
  <c r="BJ443" i="6" s="1"/>
  <c r="Z444" i="6" s="1"/>
  <c r="BJ444" i="6" s="1"/>
  <c r="Z445" i="6" s="1"/>
  <c r="BJ445" i="6" s="1"/>
  <c r="Z446" i="6" s="1"/>
  <c r="BJ446" i="6" s="1"/>
  <c r="Z447" i="6" s="1"/>
  <c r="BJ447" i="6" s="1"/>
  <c r="Z448" i="6" s="1"/>
  <c r="BJ448" i="6" s="1"/>
  <c r="Z449" i="6" s="1"/>
  <c r="BJ449" i="6" s="1"/>
  <c r="Z450" i="6" s="1"/>
  <c r="BJ450" i="6" s="1"/>
  <c r="Z451" i="6" s="1"/>
  <c r="BJ451" i="6" s="1"/>
  <c r="Z452" i="6" s="1"/>
  <c r="BJ452" i="6" s="1"/>
  <c r="Z453" i="6" s="1"/>
  <c r="BJ453" i="6" s="1"/>
  <c r="Z454" i="6" s="1"/>
  <c r="BJ454" i="6" s="1"/>
  <c r="Z455" i="6" s="1"/>
  <c r="BJ455" i="6" s="1"/>
  <c r="Z456" i="6" s="1"/>
  <c r="BJ456" i="6" s="1"/>
  <c r="Z457" i="6" s="1"/>
  <c r="BJ457" i="6" s="1"/>
  <c r="Z458" i="6" s="1"/>
  <c r="BJ458" i="6" s="1"/>
  <c r="Z459" i="6" s="1"/>
  <c r="BJ459" i="6" s="1"/>
  <c r="Z460" i="6" s="1"/>
  <c r="BJ460" i="6" s="1"/>
  <c r="Z461" i="6" s="1"/>
  <c r="BJ461" i="6" s="1"/>
  <c r="Z462" i="6" s="1"/>
  <c r="BJ462" i="6" s="1"/>
  <c r="Z463" i="6" s="1"/>
  <c r="BJ463" i="6" s="1"/>
  <c r="Z464" i="6" s="1"/>
  <c r="BJ464" i="6" s="1"/>
  <c r="Z465" i="6" s="1"/>
  <c r="BJ465" i="6" s="1"/>
  <c r="Z466" i="6" s="1"/>
  <c r="BJ466" i="6" s="1"/>
  <c r="Z467" i="6" s="1"/>
  <c r="BJ467" i="6" s="1"/>
  <c r="Z468" i="6" s="1"/>
  <c r="BJ468" i="6" s="1"/>
  <c r="Z469" i="6" s="1"/>
  <c r="BJ469" i="6" s="1"/>
  <c r="Z470" i="6" s="1"/>
  <c r="BJ470" i="6" s="1"/>
  <c r="Z471" i="6" s="1"/>
  <c r="BJ471" i="6" s="1"/>
  <c r="Z472" i="6" s="1"/>
  <c r="BJ472" i="6" s="1"/>
  <c r="Z473" i="6" s="1"/>
  <c r="BJ473" i="6" s="1"/>
  <c r="BG438" i="6"/>
  <c r="W439" i="6" s="1"/>
  <c r="BG439" i="6" s="1"/>
  <c r="W440" i="6" s="1"/>
  <c r="BE438" i="6"/>
  <c r="BE439" i="6" s="1"/>
  <c r="BA438" i="6"/>
  <c r="Q439" i="6" s="1"/>
  <c r="BA439" i="6" s="1"/>
  <c r="Q440" i="6" s="1"/>
  <c r="BA440" i="6" s="1"/>
  <c r="Q441" i="6" s="1"/>
  <c r="BA441" i="6" s="1"/>
  <c r="Q442" i="6" s="1"/>
  <c r="AX438" i="6"/>
  <c r="N439" i="6" s="1"/>
  <c r="AX439" i="6" s="1"/>
  <c r="N440" i="6" s="1"/>
  <c r="AX440" i="6" s="1"/>
  <c r="N441" i="6" s="1"/>
  <c r="AX441" i="6" s="1"/>
  <c r="N442" i="6" s="1"/>
  <c r="AX442" i="6" s="1"/>
  <c r="N443" i="6" s="1"/>
  <c r="AX443" i="6" s="1"/>
  <c r="N444" i="6" s="1"/>
  <c r="AX444" i="6" s="1"/>
  <c r="AT438" i="6"/>
  <c r="AO438" i="6"/>
  <c r="AI438" i="6"/>
  <c r="AF438" i="6"/>
  <c r="AE438" i="6"/>
  <c r="AC438" i="6"/>
  <c r="AB438" i="6"/>
  <c r="BL438" i="6" s="1"/>
  <c r="AA438" i="6"/>
  <c r="BK438" i="6" s="1"/>
  <c r="AA439" i="6" s="1"/>
  <c r="BK439" i="6" s="1"/>
  <c r="AA440" i="6" s="1"/>
  <c r="BK440" i="6" s="1"/>
  <c r="AA441" i="6" s="1"/>
  <c r="BK441" i="6" s="1"/>
  <c r="AA442" i="6" s="1"/>
  <c r="BK442" i="6" s="1"/>
  <c r="AA443" i="6" s="1"/>
  <c r="BK443" i="6" s="1"/>
  <c r="AA444" i="6" s="1"/>
  <c r="BK444" i="6" s="1"/>
  <c r="AA445" i="6" s="1"/>
  <c r="BK445" i="6" s="1"/>
  <c r="AA446" i="6" s="1"/>
  <c r="BK446" i="6" s="1"/>
  <c r="AA447" i="6" s="1"/>
  <c r="BK447" i="6" s="1"/>
  <c r="AA448" i="6" s="1"/>
  <c r="BK448" i="6" s="1"/>
  <c r="AA449" i="6" s="1"/>
  <c r="BK449" i="6" s="1"/>
  <c r="AA450" i="6" s="1"/>
  <c r="BK450" i="6" s="1"/>
  <c r="AA451" i="6" s="1"/>
  <c r="BK451" i="6" s="1"/>
  <c r="AA452" i="6" s="1"/>
  <c r="BK452" i="6" s="1"/>
  <c r="AA453" i="6" s="1"/>
  <c r="BK453" i="6" s="1"/>
  <c r="AA454" i="6" s="1"/>
  <c r="BK454" i="6" s="1"/>
  <c r="AA455" i="6" s="1"/>
  <c r="BK455" i="6" s="1"/>
  <c r="AA456" i="6" s="1"/>
  <c r="BK456" i="6" s="1"/>
  <c r="AA457" i="6" s="1"/>
  <c r="BK457" i="6" s="1"/>
  <c r="AA458" i="6" s="1"/>
  <c r="BK458" i="6" s="1"/>
  <c r="AA459" i="6" s="1"/>
  <c r="BK459" i="6" s="1"/>
  <c r="AA460" i="6" s="1"/>
  <c r="BK460" i="6" s="1"/>
  <c r="AA461" i="6" s="1"/>
  <c r="BK461" i="6" s="1"/>
  <c r="AA462" i="6" s="1"/>
  <c r="BK462" i="6" s="1"/>
  <c r="AA463" i="6" s="1"/>
  <c r="BK463" i="6" s="1"/>
  <c r="AA464" i="6" s="1"/>
  <c r="BK464" i="6" s="1"/>
  <c r="AA465" i="6" s="1"/>
  <c r="BK465" i="6" s="1"/>
  <c r="AA466" i="6" s="1"/>
  <c r="BK466" i="6" s="1"/>
  <c r="AA467" i="6" s="1"/>
  <c r="BK467" i="6" s="1"/>
  <c r="AA468" i="6" s="1"/>
  <c r="BK468" i="6" s="1"/>
  <c r="AA469" i="6" s="1"/>
  <c r="BK469" i="6" s="1"/>
  <c r="AA470" i="6" s="1"/>
  <c r="BK470" i="6" s="1"/>
  <c r="AA471" i="6" s="1"/>
  <c r="BK471" i="6" s="1"/>
  <c r="AA472" i="6" s="1"/>
  <c r="BK472" i="6" s="1"/>
  <c r="AA473" i="6" s="1"/>
  <c r="BK473" i="6" s="1"/>
  <c r="Z438" i="6"/>
  <c r="Y438" i="6"/>
  <c r="BI438" i="6" s="1"/>
  <c r="Y439" i="6" s="1"/>
  <c r="BI439" i="6" s="1"/>
  <c r="Y440" i="6" s="1"/>
  <c r="BI440" i="6" s="1"/>
  <c r="Y441" i="6" s="1"/>
  <c r="BI441" i="6" s="1"/>
  <c r="X438" i="6"/>
  <c r="BH438" i="6" s="1"/>
  <c r="X439" i="6" s="1"/>
  <c r="BH439" i="6" s="1"/>
  <c r="W438" i="6"/>
  <c r="V438" i="6"/>
  <c r="BF438" i="6" s="1"/>
  <c r="V439" i="6" s="1"/>
  <c r="BF439" i="6" s="1"/>
  <c r="V440" i="6" s="1"/>
  <c r="BF440" i="6" s="1"/>
  <c r="V441" i="6" s="1"/>
  <c r="BF441" i="6" s="1"/>
  <c r="V442" i="6" s="1"/>
  <c r="BF442" i="6" s="1"/>
  <c r="V443" i="6" s="1"/>
  <c r="BF443" i="6" s="1"/>
  <c r="V444" i="6" s="1"/>
  <c r="BF444" i="6" s="1"/>
  <c r="V445" i="6" s="1"/>
  <c r="BF445" i="6" s="1"/>
  <c r="V446" i="6" s="1"/>
  <c r="BF446" i="6" s="1"/>
  <c r="V447" i="6" s="1"/>
  <c r="BF447" i="6" s="1"/>
  <c r="V448" i="6" s="1"/>
  <c r="BF448" i="6" s="1"/>
  <c r="V449" i="6" s="1"/>
  <c r="BF449" i="6" s="1"/>
  <c r="V450" i="6" s="1"/>
  <c r="BF450" i="6" s="1"/>
  <c r="V451" i="6" s="1"/>
  <c r="BF451" i="6" s="1"/>
  <c r="V452" i="6" s="1"/>
  <c r="BF452" i="6" s="1"/>
  <c r="V453" i="6" s="1"/>
  <c r="BF453" i="6" s="1"/>
  <c r="V454" i="6" s="1"/>
  <c r="BF454" i="6" s="1"/>
  <c r="V455" i="6" s="1"/>
  <c r="BF455" i="6" s="1"/>
  <c r="V456" i="6" s="1"/>
  <c r="BF456" i="6" s="1"/>
  <c r="V457" i="6" s="1"/>
  <c r="BF457" i="6" s="1"/>
  <c r="V458" i="6" s="1"/>
  <c r="BF458" i="6" s="1"/>
  <c r="V459" i="6" s="1"/>
  <c r="BF459" i="6" s="1"/>
  <c r="V460" i="6" s="1"/>
  <c r="BF460" i="6" s="1"/>
  <c r="V461" i="6" s="1"/>
  <c r="U438" i="6"/>
  <c r="T438" i="6"/>
  <c r="S438" i="6"/>
  <c r="BC438" i="6" s="1"/>
  <c r="S439" i="6" s="1"/>
  <c r="BC439" i="6" s="1"/>
  <c r="S440" i="6" s="1"/>
  <c r="BC440" i="6" s="1"/>
  <c r="S441" i="6" s="1"/>
  <c r="BC441" i="6" s="1"/>
  <c r="S442" i="6" s="1"/>
  <c r="BC442" i="6" s="1"/>
  <c r="S443" i="6" s="1"/>
  <c r="BC443" i="6" s="1"/>
  <c r="S444" i="6" s="1"/>
  <c r="BC444" i="6" s="1"/>
  <c r="S445" i="6" s="1"/>
  <c r="BC445" i="6" s="1"/>
  <c r="S446" i="6" s="1"/>
  <c r="BC446" i="6" s="1"/>
  <c r="S447" i="6" s="1"/>
  <c r="BC447" i="6" s="1"/>
  <c r="S448" i="6" s="1"/>
  <c r="BC448" i="6" s="1"/>
  <c r="S449" i="6" s="1"/>
  <c r="BC449" i="6" s="1"/>
  <c r="S450" i="6" s="1"/>
  <c r="BC450" i="6" s="1"/>
  <c r="S451" i="6" s="1"/>
  <c r="BC451" i="6" s="1"/>
  <c r="S452" i="6" s="1"/>
  <c r="BC452" i="6" s="1"/>
  <c r="S453" i="6" s="1"/>
  <c r="BC453" i="6" s="1"/>
  <c r="S454" i="6" s="1"/>
  <c r="BC454" i="6" s="1"/>
  <c r="S455" i="6" s="1"/>
  <c r="BC455" i="6" s="1"/>
  <c r="S456" i="6" s="1"/>
  <c r="BC456" i="6" s="1"/>
  <c r="S457" i="6" s="1"/>
  <c r="BC457" i="6" s="1"/>
  <c r="S458" i="6" s="1"/>
  <c r="BC458" i="6" s="1"/>
  <c r="S459" i="6" s="1"/>
  <c r="BC459" i="6" s="1"/>
  <c r="S460" i="6" s="1"/>
  <c r="BC460" i="6" s="1"/>
  <c r="S461" i="6" s="1"/>
  <c r="BC461" i="6" s="1"/>
  <c r="S462" i="6" s="1"/>
  <c r="BC462" i="6" s="1"/>
  <c r="S463" i="6" s="1"/>
  <c r="BC463" i="6" s="1"/>
  <c r="S464" i="6" s="1"/>
  <c r="BC464" i="6" s="1"/>
  <c r="S465" i="6" s="1"/>
  <c r="BC465" i="6" s="1"/>
  <c r="S466" i="6" s="1"/>
  <c r="BC466" i="6" s="1"/>
  <c r="S467" i="6" s="1"/>
  <c r="BC467" i="6" s="1"/>
  <c r="S468" i="6" s="1"/>
  <c r="BC468" i="6" s="1"/>
  <c r="S469" i="6" s="1"/>
  <c r="BC469" i="6" s="1"/>
  <c r="S470" i="6" s="1"/>
  <c r="BC470" i="6" s="1"/>
  <c r="S471" i="6" s="1"/>
  <c r="BC471" i="6" s="1"/>
  <c r="S472" i="6" s="1"/>
  <c r="BC472" i="6" s="1"/>
  <c r="S473" i="6" s="1"/>
  <c r="BC473" i="6" s="1"/>
  <c r="R438" i="6"/>
  <c r="BB438" i="6" s="1"/>
  <c r="R439" i="6" s="1"/>
  <c r="BB439" i="6" s="1"/>
  <c r="R440" i="6" s="1"/>
  <c r="BB440" i="6" s="1"/>
  <c r="R441" i="6" s="1"/>
  <c r="BB441" i="6" s="1"/>
  <c r="R442" i="6" s="1"/>
  <c r="BB442" i="6" s="1"/>
  <c r="R443" i="6" s="1"/>
  <c r="BB443" i="6" s="1"/>
  <c r="R444" i="6" s="1"/>
  <c r="BB444" i="6" s="1"/>
  <c r="R445" i="6" s="1"/>
  <c r="BB445" i="6" s="1"/>
  <c r="R446" i="6" s="1"/>
  <c r="BB446" i="6" s="1"/>
  <c r="R447" i="6" s="1"/>
  <c r="BB447" i="6" s="1"/>
  <c r="R448" i="6" s="1"/>
  <c r="BB448" i="6" s="1"/>
  <c r="R449" i="6" s="1"/>
  <c r="BB449" i="6" s="1"/>
  <c r="R450" i="6" s="1"/>
  <c r="BB450" i="6" s="1"/>
  <c r="R451" i="6" s="1"/>
  <c r="BB451" i="6" s="1"/>
  <c r="R452" i="6" s="1"/>
  <c r="BB452" i="6" s="1"/>
  <c r="R453" i="6" s="1"/>
  <c r="BB453" i="6" s="1"/>
  <c r="R454" i="6" s="1"/>
  <c r="BB454" i="6" s="1"/>
  <c r="R455" i="6" s="1"/>
  <c r="BB455" i="6" s="1"/>
  <c r="R456" i="6" s="1"/>
  <c r="BB456" i="6" s="1"/>
  <c r="R457" i="6" s="1"/>
  <c r="BB457" i="6" s="1"/>
  <c r="R458" i="6" s="1"/>
  <c r="BB458" i="6" s="1"/>
  <c r="R459" i="6" s="1"/>
  <c r="BB459" i="6" s="1"/>
  <c r="R460" i="6" s="1"/>
  <c r="BB460" i="6" s="1"/>
  <c r="R461" i="6" s="1"/>
  <c r="BB461" i="6" s="1"/>
  <c r="R462" i="6" s="1"/>
  <c r="BB462" i="6" s="1"/>
  <c r="R463" i="6" s="1"/>
  <c r="BB463" i="6" s="1"/>
  <c r="R464" i="6" s="1"/>
  <c r="BB464" i="6" s="1"/>
  <c r="R465" i="6" s="1"/>
  <c r="BB465" i="6" s="1"/>
  <c r="R466" i="6" s="1"/>
  <c r="BB466" i="6" s="1"/>
  <c r="R467" i="6" s="1"/>
  <c r="BB467" i="6" s="1"/>
  <c r="R468" i="6" s="1"/>
  <c r="BB468" i="6" s="1"/>
  <c r="R469" i="6" s="1"/>
  <c r="BB469" i="6" s="1"/>
  <c r="R470" i="6" s="1"/>
  <c r="BB470" i="6" s="1"/>
  <c r="R471" i="6" s="1"/>
  <c r="BB471" i="6" s="1"/>
  <c r="R472" i="6" s="1"/>
  <c r="BB472" i="6" s="1"/>
  <c r="R473" i="6" s="1"/>
  <c r="BB473" i="6" s="1"/>
  <c r="Q438" i="6"/>
  <c r="O438" i="6"/>
  <c r="AY438" i="6" s="1"/>
  <c r="O439" i="6" s="1"/>
  <c r="AY439" i="6" s="1"/>
  <c r="N438" i="6"/>
  <c r="M438" i="6"/>
  <c r="AW438" i="6" s="1"/>
  <c r="M439" i="6" s="1"/>
  <c r="AW439" i="6" s="1"/>
  <c r="M440" i="6" s="1"/>
  <c r="L438" i="6"/>
  <c r="K438" i="6"/>
  <c r="I438" i="6"/>
  <c r="H438" i="6"/>
  <c r="G438" i="6"/>
  <c r="AV438" i="6" s="1"/>
  <c r="L439" i="6" s="1"/>
  <c r="F438" i="6"/>
  <c r="E438" i="6"/>
  <c r="D438" i="6"/>
  <c r="C438" i="6"/>
  <c r="B438" i="6"/>
  <c r="A438" i="6"/>
  <c r="AO437" i="6"/>
  <c r="H437" i="6"/>
  <c r="G437" i="6"/>
  <c r="F437" i="6"/>
  <c r="E437" i="6"/>
  <c r="D437" i="6"/>
  <c r="C437" i="6"/>
  <c r="B437" i="6"/>
  <c r="A437" i="6"/>
  <c r="AO436" i="6"/>
  <c r="AE436" i="6"/>
  <c r="K436" i="6"/>
  <c r="I436" i="6"/>
  <c r="H436" i="6"/>
  <c r="G436" i="6"/>
  <c r="F436" i="6"/>
  <c r="E436" i="6"/>
  <c r="D436" i="6"/>
  <c r="C436" i="6"/>
  <c r="B436" i="6"/>
  <c r="A436" i="6"/>
  <c r="AO435" i="6"/>
  <c r="AI435" i="6"/>
  <c r="K435" i="6"/>
  <c r="H435" i="6"/>
  <c r="G435" i="6"/>
  <c r="F435" i="6"/>
  <c r="J435" i="6" s="1"/>
  <c r="E435" i="6"/>
  <c r="D435" i="6"/>
  <c r="C435" i="6"/>
  <c r="B435" i="6"/>
  <c r="A435" i="6"/>
  <c r="AO434" i="6"/>
  <c r="H434" i="6"/>
  <c r="G434" i="6"/>
  <c r="F434" i="6"/>
  <c r="E434" i="6"/>
  <c r="D434" i="6"/>
  <c r="C434" i="6"/>
  <c r="B434" i="6"/>
  <c r="A434" i="6"/>
  <c r="AO433" i="6"/>
  <c r="H433" i="6"/>
  <c r="G433" i="6"/>
  <c r="F433" i="6"/>
  <c r="E433" i="6"/>
  <c r="D433" i="6"/>
  <c r="C433" i="6"/>
  <c r="B433" i="6"/>
  <c r="A433" i="6"/>
  <c r="AO432" i="6"/>
  <c r="AI432" i="6"/>
  <c r="AE432" i="6"/>
  <c r="K432" i="6"/>
  <c r="H432" i="6"/>
  <c r="G432" i="6"/>
  <c r="F432" i="6"/>
  <c r="J432" i="6" s="1"/>
  <c r="E432" i="6"/>
  <c r="D432" i="6"/>
  <c r="C432" i="6"/>
  <c r="B432" i="6"/>
  <c r="A432" i="6"/>
  <c r="AO431" i="6"/>
  <c r="H431" i="6"/>
  <c r="G431" i="6"/>
  <c r="F431" i="6"/>
  <c r="E431" i="6"/>
  <c r="D431" i="6"/>
  <c r="C431" i="6"/>
  <c r="B431" i="6"/>
  <c r="A431" i="6"/>
  <c r="AO430" i="6"/>
  <c r="AE430" i="6"/>
  <c r="J430" i="6"/>
  <c r="I430" i="6"/>
  <c r="H430" i="6"/>
  <c r="G430" i="6"/>
  <c r="F430" i="6"/>
  <c r="E430" i="6"/>
  <c r="D430" i="6"/>
  <c r="C430" i="6"/>
  <c r="B430" i="6"/>
  <c r="A430" i="6"/>
  <c r="AO429" i="6"/>
  <c r="J429" i="6"/>
  <c r="I429" i="6"/>
  <c r="H429" i="6"/>
  <c r="G429" i="6"/>
  <c r="F429" i="6"/>
  <c r="AE429" i="6" s="1"/>
  <c r="E429" i="6"/>
  <c r="D429" i="6"/>
  <c r="C429" i="6"/>
  <c r="B429" i="6"/>
  <c r="A429" i="6"/>
  <c r="AO428" i="6"/>
  <c r="AE428" i="6"/>
  <c r="K428" i="6"/>
  <c r="J428" i="6"/>
  <c r="I428" i="6"/>
  <c r="H428" i="6"/>
  <c r="G428" i="6"/>
  <c r="AI428" i="6" s="1"/>
  <c r="F428" i="6"/>
  <c r="E428" i="6"/>
  <c r="D428" i="6"/>
  <c r="C428" i="6"/>
  <c r="B428" i="6"/>
  <c r="A428" i="6"/>
  <c r="AO427" i="6"/>
  <c r="H427" i="6"/>
  <c r="G427" i="6"/>
  <c r="F427" i="6"/>
  <c r="E427" i="6"/>
  <c r="D427" i="6"/>
  <c r="C427" i="6"/>
  <c r="B427" i="6"/>
  <c r="A427" i="6"/>
  <c r="AO426" i="6"/>
  <c r="AE426" i="6"/>
  <c r="K426" i="6"/>
  <c r="I426" i="6"/>
  <c r="H426" i="6"/>
  <c r="G426" i="6"/>
  <c r="F426" i="6"/>
  <c r="J426" i="6" s="1"/>
  <c r="E426" i="6"/>
  <c r="D426" i="6"/>
  <c r="C426" i="6"/>
  <c r="B426" i="6"/>
  <c r="A426" i="6"/>
  <c r="AO425" i="6"/>
  <c r="H425" i="6"/>
  <c r="G425" i="6"/>
  <c r="F425" i="6"/>
  <c r="E425" i="6"/>
  <c r="D425" i="6"/>
  <c r="C425" i="6"/>
  <c r="B425" i="6"/>
  <c r="A425" i="6"/>
  <c r="AT424" i="6"/>
  <c r="AI424" i="6"/>
  <c r="AE424" i="6"/>
  <c r="K424" i="6"/>
  <c r="I424" i="6"/>
  <c r="H424" i="6"/>
  <c r="G424" i="6"/>
  <c r="F424" i="6"/>
  <c r="E424" i="6"/>
  <c r="D424" i="6"/>
  <c r="C424" i="6"/>
  <c r="B424" i="6"/>
  <c r="A424" i="6"/>
  <c r="AT423" i="6"/>
  <c r="AO423" i="6"/>
  <c r="H423" i="6"/>
  <c r="G423" i="6"/>
  <c r="F423" i="6"/>
  <c r="E423" i="6"/>
  <c r="D423" i="6"/>
  <c r="C423" i="6"/>
  <c r="B423" i="6"/>
  <c r="A423" i="6"/>
  <c r="AT422" i="6"/>
  <c r="AO422" i="6"/>
  <c r="AI422" i="6"/>
  <c r="K422" i="6"/>
  <c r="I422" i="6"/>
  <c r="H422" i="6"/>
  <c r="G422" i="6"/>
  <c r="F422" i="6"/>
  <c r="E422" i="6"/>
  <c r="D422" i="6"/>
  <c r="C422" i="6"/>
  <c r="B422" i="6"/>
  <c r="A422" i="6"/>
  <c r="AT421" i="6"/>
  <c r="AO421" i="6"/>
  <c r="J421" i="6"/>
  <c r="H421" i="6"/>
  <c r="G421" i="6"/>
  <c r="F421" i="6"/>
  <c r="E421" i="6"/>
  <c r="D421" i="6"/>
  <c r="C421" i="6"/>
  <c r="B421" i="6"/>
  <c r="A421" i="6"/>
  <c r="AT420" i="6"/>
  <c r="AO420" i="6"/>
  <c r="AI420" i="6"/>
  <c r="AE420" i="6"/>
  <c r="K420" i="6"/>
  <c r="H420" i="6"/>
  <c r="G420" i="6"/>
  <c r="F420" i="6"/>
  <c r="E420" i="6"/>
  <c r="D420" i="6"/>
  <c r="C420" i="6"/>
  <c r="B420" i="6"/>
  <c r="A420" i="6"/>
  <c r="AT419" i="6"/>
  <c r="AO419" i="6"/>
  <c r="H419" i="6"/>
  <c r="AF419" i="6" s="1"/>
  <c r="G419" i="6"/>
  <c r="F419" i="6"/>
  <c r="E419" i="6"/>
  <c r="D419" i="6"/>
  <c r="C419" i="6"/>
  <c r="B419" i="6"/>
  <c r="A419" i="6"/>
  <c r="AT418" i="6"/>
  <c r="AE418" i="6"/>
  <c r="J418" i="6"/>
  <c r="I418" i="6"/>
  <c r="H418" i="6"/>
  <c r="G418" i="6"/>
  <c r="F418" i="6"/>
  <c r="E418" i="6"/>
  <c r="D418" i="6"/>
  <c r="C418" i="6"/>
  <c r="B418" i="6"/>
  <c r="A418" i="6"/>
  <c r="AT417" i="6"/>
  <c r="AO417" i="6"/>
  <c r="AF417" i="6"/>
  <c r="J417" i="6"/>
  <c r="I417" i="6"/>
  <c r="H417" i="6"/>
  <c r="G417" i="6"/>
  <c r="F417" i="6"/>
  <c r="AE417" i="6" s="1"/>
  <c r="E417" i="6"/>
  <c r="D417" i="6"/>
  <c r="C417" i="6"/>
  <c r="B417" i="6"/>
  <c r="A417" i="6"/>
  <c r="AT416" i="6"/>
  <c r="AO416" i="6"/>
  <c r="AF416" i="6"/>
  <c r="AE416" i="6"/>
  <c r="K416" i="6"/>
  <c r="J416" i="6"/>
  <c r="I416" i="6"/>
  <c r="H416" i="6"/>
  <c r="G416" i="6"/>
  <c r="AI416" i="6" s="1"/>
  <c r="F416" i="6"/>
  <c r="E416" i="6"/>
  <c r="D416" i="6"/>
  <c r="C416" i="6"/>
  <c r="B416" i="6"/>
  <c r="A416" i="6"/>
  <c r="AT415" i="6"/>
  <c r="AO415" i="6"/>
  <c r="AF415" i="6"/>
  <c r="H415" i="6"/>
  <c r="G415" i="6"/>
  <c r="F415" i="6"/>
  <c r="E415" i="6"/>
  <c r="D415" i="6"/>
  <c r="C415" i="6"/>
  <c r="B415" i="6"/>
  <c r="A415" i="6"/>
  <c r="AT414" i="6"/>
  <c r="AO414" i="6"/>
  <c r="H414" i="6"/>
  <c r="G414" i="6"/>
  <c r="F414" i="6"/>
  <c r="E414" i="6"/>
  <c r="D414" i="6"/>
  <c r="C414" i="6"/>
  <c r="B414" i="6"/>
  <c r="A414" i="6"/>
  <c r="AT413" i="6"/>
  <c r="AI413" i="6"/>
  <c r="AE413" i="6"/>
  <c r="K413" i="6"/>
  <c r="I413" i="6"/>
  <c r="H413" i="6"/>
  <c r="G413" i="6"/>
  <c r="F413" i="6"/>
  <c r="E413" i="6"/>
  <c r="D413" i="6"/>
  <c r="C413" i="6"/>
  <c r="B413" i="6"/>
  <c r="A413" i="6"/>
  <c r="AY412" i="6"/>
  <c r="O413" i="6" s="1"/>
  <c r="AY413" i="6" s="1"/>
  <c r="O414" i="6" s="1"/>
  <c r="AY414" i="6" s="1"/>
  <c r="O415" i="6" s="1"/>
  <c r="AY415" i="6" s="1"/>
  <c r="O416" i="6" s="1"/>
  <c r="AY416" i="6" s="1"/>
  <c r="O417" i="6" s="1"/>
  <c r="AY417" i="6" s="1"/>
  <c r="O418" i="6" s="1"/>
  <c r="AY418" i="6" s="1"/>
  <c r="O419" i="6" s="1"/>
  <c r="AY419" i="6" s="1"/>
  <c r="O420" i="6" s="1"/>
  <c r="AY420" i="6" s="1"/>
  <c r="O421" i="6" s="1"/>
  <c r="AY421" i="6" s="1"/>
  <c r="O422" i="6" s="1"/>
  <c r="AY422" i="6" s="1"/>
  <c r="O423" i="6" s="1"/>
  <c r="AY423" i="6" s="1"/>
  <c r="O424" i="6" s="1"/>
  <c r="AY424" i="6" s="1"/>
  <c r="O425" i="6" s="1"/>
  <c r="AY425" i="6" s="1"/>
  <c r="O426" i="6" s="1"/>
  <c r="AY426" i="6" s="1"/>
  <c r="O427" i="6" s="1"/>
  <c r="AY427" i="6" s="1"/>
  <c r="O428" i="6" s="1"/>
  <c r="AY428" i="6" s="1"/>
  <c r="O429" i="6" s="1"/>
  <c r="AY429" i="6" s="1"/>
  <c r="O430" i="6" s="1"/>
  <c r="AY430" i="6" s="1"/>
  <c r="O431" i="6" s="1"/>
  <c r="AY431" i="6" s="1"/>
  <c r="O432" i="6" s="1"/>
  <c r="AY432" i="6" s="1"/>
  <c r="O433" i="6" s="1"/>
  <c r="AY433" i="6" s="1"/>
  <c r="O434" i="6" s="1"/>
  <c r="AY434" i="6" s="1"/>
  <c r="O435" i="6" s="1"/>
  <c r="AY435" i="6" s="1"/>
  <c r="O436" i="6" s="1"/>
  <c r="AY436" i="6" s="1"/>
  <c r="O437" i="6" s="1"/>
  <c r="AY437" i="6" s="1"/>
  <c r="AT412" i="6"/>
  <c r="O412" i="6"/>
  <c r="J412" i="6"/>
  <c r="H412" i="6"/>
  <c r="G412" i="6"/>
  <c r="F412" i="6"/>
  <c r="AI412" i="6" s="1"/>
  <c r="E412" i="6"/>
  <c r="D412" i="6"/>
  <c r="C412" i="6"/>
  <c r="B412" i="6"/>
  <c r="A412" i="6"/>
  <c r="AT411" i="6"/>
  <c r="AO411" i="6"/>
  <c r="AI411" i="6"/>
  <c r="K411" i="6"/>
  <c r="J411" i="6"/>
  <c r="H411" i="6"/>
  <c r="AF411" i="6" s="1"/>
  <c r="G411" i="6"/>
  <c r="F411" i="6"/>
  <c r="AE411" i="6" s="1"/>
  <c r="E411" i="6"/>
  <c r="D411" i="6"/>
  <c r="C411" i="6"/>
  <c r="B411" i="6"/>
  <c r="A411" i="6"/>
  <c r="AT410" i="6"/>
  <c r="AO410" i="6"/>
  <c r="AC410" i="6"/>
  <c r="BM410" i="6" s="1"/>
  <c r="AC411" i="6" s="1"/>
  <c r="BM411" i="6" s="1"/>
  <c r="AC412" i="6" s="1"/>
  <c r="BM412" i="6" s="1"/>
  <c r="AC413" i="6" s="1"/>
  <c r="BM413" i="6" s="1"/>
  <c r="AC414" i="6" s="1"/>
  <c r="BM414" i="6" s="1"/>
  <c r="AC415" i="6" s="1"/>
  <c r="BM415" i="6" s="1"/>
  <c r="AC416" i="6" s="1"/>
  <c r="BM416" i="6" s="1"/>
  <c r="AC417" i="6" s="1"/>
  <c r="BM417" i="6" s="1"/>
  <c r="AC418" i="6" s="1"/>
  <c r="BM418" i="6" s="1"/>
  <c r="AC419" i="6" s="1"/>
  <c r="BM419" i="6" s="1"/>
  <c r="AC420" i="6" s="1"/>
  <c r="BM420" i="6" s="1"/>
  <c r="AC421" i="6" s="1"/>
  <c r="BM421" i="6" s="1"/>
  <c r="AC422" i="6" s="1"/>
  <c r="BM422" i="6" s="1"/>
  <c r="AC423" i="6" s="1"/>
  <c r="BM423" i="6" s="1"/>
  <c r="AC424" i="6" s="1"/>
  <c r="BM424" i="6" s="1"/>
  <c r="AC425" i="6" s="1"/>
  <c r="BM425" i="6" s="1"/>
  <c r="AC426" i="6" s="1"/>
  <c r="BM426" i="6" s="1"/>
  <c r="AC427" i="6" s="1"/>
  <c r="BM427" i="6" s="1"/>
  <c r="AC428" i="6" s="1"/>
  <c r="BM428" i="6" s="1"/>
  <c r="AC429" i="6" s="1"/>
  <c r="BM429" i="6" s="1"/>
  <c r="AC430" i="6" s="1"/>
  <c r="BM430" i="6" s="1"/>
  <c r="AC431" i="6" s="1"/>
  <c r="BM431" i="6" s="1"/>
  <c r="AC432" i="6" s="1"/>
  <c r="BM432" i="6" s="1"/>
  <c r="AC433" i="6" s="1"/>
  <c r="BM433" i="6" s="1"/>
  <c r="AC434" i="6" s="1"/>
  <c r="BM434" i="6" s="1"/>
  <c r="AC435" i="6" s="1"/>
  <c r="BM435" i="6" s="1"/>
  <c r="AC436" i="6" s="1"/>
  <c r="BM436" i="6" s="1"/>
  <c r="AC437" i="6" s="1"/>
  <c r="BM437" i="6" s="1"/>
  <c r="J410" i="6"/>
  <c r="H410" i="6"/>
  <c r="G410" i="6"/>
  <c r="F410" i="6"/>
  <c r="AI410" i="6" s="1"/>
  <c r="E410" i="6"/>
  <c r="D410" i="6"/>
  <c r="C410" i="6"/>
  <c r="B410" i="6"/>
  <c r="A410" i="6"/>
  <c r="AT409" i="6"/>
  <c r="AO409" i="6"/>
  <c r="AF409" i="6"/>
  <c r="AE409" i="6"/>
  <c r="K409" i="6"/>
  <c r="H409" i="6"/>
  <c r="G409" i="6"/>
  <c r="AI409" i="6" s="1"/>
  <c r="F409" i="6"/>
  <c r="E409" i="6"/>
  <c r="D409" i="6"/>
  <c r="C409" i="6"/>
  <c r="B409" i="6"/>
  <c r="A409" i="6"/>
  <c r="AT408" i="6"/>
  <c r="AO408" i="6"/>
  <c r="AE408" i="6"/>
  <c r="S408" i="6"/>
  <c r="BC408" i="6" s="1"/>
  <c r="S409" i="6" s="1"/>
  <c r="BC409" i="6" s="1"/>
  <c r="S410" i="6" s="1"/>
  <c r="BC410" i="6" s="1"/>
  <c r="S411" i="6" s="1"/>
  <c r="BC411" i="6" s="1"/>
  <c r="S412" i="6" s="1"/>
  <c r="BC412" i="6" s="1"/>
  <c r="S413" i="6" s="1"/>
  <c r="BC413" i="6" s="1"/>
  <c r="S414" i="6" s="1"/>
  <c r="BC414" i="6" s="1"/>
  <c r="S415" i="6" s="1"/>
  <c r="BC415" i="6" s="1"/>
  <c r="S416" i="6" s="1"/>
  <c r="BC416" i="6" s="1"/>
  <c r="S417" i="6" s="1"/>
  <c r="BC417" i="6" s="1"/>
  <c r="S418" i="6" s="1"/>
  <c r="BC418" i="6" s="1"/>
  <c r="S419" i="6" s="1"/>
  <c r="BC419" i="6" s="1"/>
  <c r="S420" i="6" s="1"/>
  <c r="BC420" i="6" s="1"/>
  <c r="S421" i="6" s="1"/>
  <c r="BC421" i="6" s="1"/>
  <c r="S422" i="6" s="1"/>
  <c r="BC422" i="6" s="1"/>
  <c r="S423" i="6" s="1"/>
  <c r="BC423" i="6" s="1"/>
  <c r="S424" i="6" s="1"/>
  <c r="BC424" i="6" s="1"/>
  <c r="S425" i="6" s="1"/>
  <c r="BC425" i="6" s="1"/>
  <c r="S426" i="6" s="1"/>
  <c r="BC426" i="6" s="1"/>
  <c r="S427" i="6" s="1"/>
  <c r="BC427" i="6" s="1"/>
  <c r="S428" i="6" s="1"/>
  <c r="BC428" i="6" s="1"/>
  <c r="S429" i="6" s="1"/>
  <c r="BC429" i="6" s="1"/>
  <c r="S430" i="6" s="1"/>
  <c r="BC430" i="6" s="1"/>
  <c r="S431" i="6" s="1"/>
  <c r="BC431" i="6" s="1"/>
  <c r="S432" i="6" s="1"/>
  <c r="BC432" i="6" s="1"/>
  <c r="S433" i="6" s="1"/>
  <c r="BC433" i="6" s="1"/>
  <c r="S434" i="6" s="1"/>
  <c r="BC434" i="6" s="1"/>
  <c r="S435" i="6" s="1"/>
  <c r="BC435" i="6" s="1"/>
  <c r="S436" i="6" s="1"/>
  <c r="BC436" i="6" s="1"/>
  <c r="S437" i="6" s="1"/>
  <c r="BC437" i="6" s="1"/>
  <c r="J408" i="6"/>
  <c r="H408" i="6"/>
  <c r="AF408" i="6" s="1"/>
  <c r="G408" i="6"/>
  <c r="F408" i="6"/>
  <c r="AI408" i="6" s="1"/>
  <c r="E408" i="6"/>
  <c r="D408" i="6"/>
  <c r="C408" i="6"/>
  <c r="B408" i="6"/>
  <c r="A408" i="6"/>
  <c r="AT407" i="6"/>
  <c r="AE407" i="6"/>
  <c r="N407" i="6"/>
  <c r="AX407" i="6" s="1"/>
  <c r="N408" i="6" s="1"/>
  <c r="AX408" i="6" s="1"/>
  <c r="J407" i="6"/>
  <c r="I407" i="6"/>
  <c r="H407" i="6"/>
  <c r="G407" i="6"/>
  <c r="F407" i="6"/>
  <c r="AI407" i="6" s="1"/>
  <c r="E407" i="6"/>
  <c r="D407" i="6"/>
  <c r="C407" i="6"/>
  <c r="B407" i="6"/>
  <c r="A407" i="6"/>
  <c r="AT406" i="6"/>
  <c r="AE406" i="6"/>
  <c r="J406" i="6"/>
  <c r="I406" i="6"/>
  <c r="H406" i="6"/>
  <c r="G406" i="6"/>
  <c r="F406" i="6"/>
  <c r="AP406" i="6" s="1"/>
  <c r="E406" i="6"/>
  <c r="D406" i="6"/>
  <c r="C406" i="6"/>
  <c r="B406" i="6"/>
  <c r="A406" i="6"/>
  <c r="AT405" i="6"/>
  <c r="AO405" i="6"/>
  <c r="AI405" i="6"/>
  <c r="AE405" i="6"/>
  <c r="AB405" i="6"/>
  <c r="BL405" i="6" s="1"/>
  <c r="AB406" i="6" s="1"/>
  <c r="BL406" i="6" s="1"/>
  <c r="AB407" i="6" s="1"/>
  <c r="BL407" i="6" s="1"/>
  <c r="AB408" i="6" s="1"/>
  <c r="BL408" i="6" s="1"/>
  <c r="AB409" i="6" s="1"/>
  <c r="BL409" i="6" s="1"/>
  <c r="AB410" i="6" s="1"/>
  <c r="BL410" i="6" s="1"/>
  <c r="AB411" i="6" s="1"/>
  <c r="BL411" i="6" s="1"/>
  <c r="AB412" i="6" s="1"/>
  <c r="BL412" i="6" s="1"/>
  <c r="AB413" i="6" s="1"/>
  <c r="BL413" i="6" s="1"/>
  <c r="AB414" i="6" s="1"/>
  <c r="BL414" i="6" s="1"/>
  <c r="AB415" i="6" s="1"/>
  <c r="BL415" i="6" s="1"/>
  <c r="AB416" i="6" s="1"/>
  <c r="BL416" i="6" s="1"/>
  <c r="AB417" i="6" s="1"/>
  <c r="BL417" i="6" s="1"/>
  <c r="AB418" i="6" s="1"/>
  <c r="BL418" i="6" s="1"/>
  <c r="AB419" i="6" s="1"/>
  <c r="BL419" i="6" s="1"/>
  <c r="AB420" i="6" s="1"/>
  <c r="BL420" i="6" s="1"/>
  <c r="AB421" i="6" s="1"/>
  <c r="BL421" i="6" s="1"/>
  <c r="AB422" i="6" s="1"/>
  <c r="BL422" i="6" s="1"/>
  <c r="AB423" i="6" s="1"/>
  <c r="BL423" i="6" s="1"/>
  <c r="AB424" i="6" s="1"/>
  <c r="BL424" i="6" s="1"/>
  <c r="AB425" i="6" s="1"/>
  <c r="BL425" i="6" s="1"/>
  <c r="AB426" i="6" s="1"/>
  <c r="BL426" i="6" s="1"/>
  <c r="AB427" i="6" s="1"/>
  <c r="BL427" i="6" s="1"/>
  <c r="AB428" i="6" s="1"/>
  <c r="BL428" i="6" s="1"/>
  <c r="AB429" i="6" s="1"/>
  <c r="BL429" i="6" s="1"/>
  <c r="AB430" i="6" s="1"/>
  <c r="BL430" i="6" s="1"/>
  <c r="AB431" i="6" s="1"/>
  <c r="BL431" i="6" s="1"/>
  <c r="AB432" i="6" s="1"/>
  <c r="BL432" i="6" s="1"/>
  <c r="AB433" i="6" s="1"/>
  <c r="BL433" i="6" s="1"/>
  <c r="AB434" i="6" s="1"/>
  <c r="BL434" i="6" s="1"/>
  <c r="AB435" i="6" s="1"/>
  <c r="BL435" i="6" s="1"/>
  <c r="AB436" i="6" s="1"/>
  <c r="BL436" i="6" s="1"/>
  <c r="AB437" i="6" s="1"/>
  <c r="BL437" i="6" s="1"/>
  <c r="K405" i="6"/>
  <c r="J405" i="6"/>
  <c r="I405" i="6"/>
  <c r="H405" i="6"/>
  <c r="G405" i="6"/>
  <c r="F405" i="6"/>
  <c r="E405" i="6"/>
  <c r="D405" i="6"/>
  <c r="C405" i="6"/>
  <c r="B405" i="6"/>
  <c r="A405" i="6"/>
  <c r="AT404" i="6"/>
  <c r="AO404" i="6"/>
  <c r="AI404" i="6"/>
  <c r="AF404" i="6"/>
  <c r="W404" i="6"/>
  <c r="BG404" i="6" s="1"/>
  <c r="W405" i="6" s="1"/>
  <c r="K404" i="6"/>
  <c r="H404" i="6"/>
  <c r="G404" i="6"/>
  <c r="F404" i="6"/>
  <c r="E404" i="6"/>
  <c r="D404" i="6"/>
  <c r="C404" i="6"/>
  <c r="B404" i="6"/>
  <c r="A404" i="6"/>
  <c r="BE403" i="6"/>
  <c r="BE404" i="6" s="1"/>
  <c r="AT403" i="6"/>
  <c r="AP403" i="6"/>
  <c r="AO403" i="6"/>
  <c r="AF403" i="6"/>
  <c r="U403" i="6"/>
  <c r="R403" i="6"/>
  <c r="BB403" i="6" s="1"/>
  <c r="R404" i="6" s="1"/>
  <c r="BB404" i="6" s="1"/>
  <c r="R405" i="6" s="1"/>
  <c r="BB405" i="6" s="1"/>
  <c r="R406" i="6" s="1"/>
  <c r="BB406" i="6" s="1"/>
  <c r="R407" i="6" s="1"/>
  <c r="BB407" i="6" s="1"/>
  <c r="R408" i="6" s="1"/>
  <c r="BB408" i="6" s="1"/>
  <c r="R409" i="6" s="1"/>
  <c r="BB409" i="6" s="1"/>
  <c r="R410" i="6" s="1"/>
  <c r="BB410" i="6" s="1"/>
  <c r="R411" i="6" s="1"/>
  <c r="BB411" i="6" s="1"/>
  <c r="R412" i="6" s="1"/>
  <c r="BB412" i="6" s="1"/>
  <c r="R413" i="6" s="1"/>
  <c r="BB413" i="6" s="1"/>
  <c r="R414" i="6" s="1"/>
  <c r="BB414" i="6" s="1"/>
  <c r="R415" i="6" s="1"/>
  <c r="BB415" i="6" s="1"/>
  <c r="R416" i="6" s="1"/>
  <c r="BB416" i="6" s="1"/>
  <c r="R417" i="6" s="1"/>
  <c r="BB417" i="6" s="1"/>
  <c r="R418" i="6" s="1"/>
  <c r="BB418" i="6" s="1"/>
  <c r="R419" i="6" s="1"/>
  <c r="BB419" i="6" s="1"/>
  <c r="R420" i="6" s="1"/>
  <c r="BB420" i="6" s="1"/>
  <c r="R421" i="6" s="1"/>
  <c r="BB421" i="6" s="1"/>
  <c r="R422" i="6" s="1"/>
  <c r="BB422" i="6" s="1"/>
  <c r="R423" i="6" s="1"/>
  <c r="BB423" i="6" s="1"/>
  <c r="R424" i="6" s="1"/>
  <c r="BB424" i="6" s="1"/>
  <c r="R425" i="6" s="1"/>
  <c r="BB425" i="6" s="1"/>
  <c r="R426" i="6" s="1"/>
  <c r="BB426" i="6" s="1"/>
  <c r="R427" i="6" s="1"/>
  <c r="BB427" i="6" s="1"/>
  <c r="R428" i="6" s="1"/>
  <c r="BB428" i="6" s="1"/>
  <c r="R429" i="6" s="1"/>
  <c r="BB429" i="6" s="1"/>
  <c r="R430" i="6" s="1"/>
  <c r="BB430" i="6" s="1"/>
  <c r="R431" i="6" s="1"/>
  <c r="BB431" i="6" s="1"/>
  <c r="R432" i="6" s="1"/>
  <c r="BB432" i="6" s="1"/>
  <c r="R433" i="6" s="1"/>
  <c r="BB433" i="6" s="1"/>
  <c r="R434" i="6" s="1"/>
  <c r="BB434" i="6" s="1"/>
  <c r="R435" i="6" s="1"/>
  <c r="BB435" i="6" s="1"/>
  <c r="R436" i="6" s="1"/>
  <c r="BB436" i="6" s="1"/>
  <c r="R437" i="6" s="1"/>
  <c r="BB437" i="6" s="1"/>
  <c r="H403" i="6"/>
  <c r="G403" i="6"/>
  <c r="F403" i="6"/>
  <c r="E403" i="6"/>
  <c r="D403" i="6"/>
  <c r="C403" i="6"/>
  <c r="B403" i="6"/>
  <c r="A403" i="6"/>
  <c r="BN402" i="6"/>
  <c r="BO402" i="6" s="1"/>
  <c r="BN403" i="6" s="1"/>
  <c r="BO403" i="6" s="1"/>
  <c r="BN404" i="6" s="1"/>
  <c r="BO404" i="6" s="1"/>
  <c r="BN405" i="6" s="1"/>
  <c r="BO405" i="6" s="1"/>
  <c r="BN406" i="6" s="1"/>
  <c r="BO406" i="6" s="1"/>
  <c r="BN407" i="6" s="1"/>
  <c r="BO407" i="6" s="1"/>
  <c r="BN408" i="6" s="1"/>
  <c r="BO408" i="6" s="1"/>
  <c r="BN409" i="6" s="1"/>
  <c r="BE402" i="6"/>
  <c r="AW402" i="6"/>
  <c r="M403" i="6" s="1"/>
  <c r="AW403" i="6" s="1"/>
  <c r="M404" i="6" s="1"/>
  <c r="AT402" i="6"/>
  <c r="AO402" i="6"/>
  <c r="AF402" i="6"/>
  <c r="AC402" i="6"/>
  <c r="BM402" i="6" s="1"/>
  <c r="AC403" i="6" s="1"/>
  <c r="BM403" i="6" s="1"/>
  <c r="AC404" i="6" s="1"/>
  <c r="BM404" i="6" s="1"/>
  <c r="AC405" i="6" s="1"/>
  <c r="BM405" i="6" s="1"/>
  <c r="AC406" i="6" s="1"/>
  <c r="BM406" i="6" s="1"/>
  <c r="AC407" i="6" s="1"/>
  <c r="BM407" i="6" s="1"/>
  <c r="AC408" i="6" s="1"/>
  <c r="BM408" i="6" s="1"/>
  <c r="AC409" i="6" s="1"/>
  <c r="BM409" i="6" s="1"/>
  <c r="AB402" i="6"/>
  <c r="BL402" i="6" s="1"/>
  <c r="AB403" i="6" s="1"/>
  <c r="BL403" i="6" s="1"/>
  <c r="AB404" i="6" s="1"/>
  <c r="BL404" i="6" s="1"/>
  <c r="AA402" i="6"/>
  <c r="BK402" i="6" s="1"/>
  <c r="AA403" i="6" s="1"/>
  <c r="BK403" i="6" s="1"/>
  <c r="AA404" i="6" s="1"/>
  <c r="BK404" i="6" s="1"/>
  <c r="AA405" i="6" s="1"/>
  <c r="BK405" i="6" s="1"/>
  <c r="AA406" i="6" s="1"/>
  <c r="BK406" i="6" s="1"/>
  <c r="AA407" i="6" s="1"/>
  <c r="BK407" i="6" s="1"/>
  <c r="AA408" i="6" s="1"/>
  <c r="BK408" i="6" s="1"/>
  <c r="AA409" i="6" s="1"/>
  <c r="BK409" i="6" s="1"/>
  <c r="AA410" i="6" s="1"/>
  <c r="BK410" i="6" s="1"/>
  <c r="AA411" i="6" s="1"/>
  <c r="BK411" i="6" s="1"/>
  <c r="AA412" i="6" s="1"/>
  <c r="BK412" i="6" s="1"/>
  <c r="AA413" i="6" s="1"/>
  <c r="BK413" i="6" s="1"/>
  <c r="AA414" i="6" s="1"/>
  <c r="BK414" i="6" s="1"/>
  <c r="AA415" i="6" s="1"/>
  <c r="BK415" i="6" s="1"/>
  <c r="AA416" i="6" s="1"/>
  <c r="BK416" i="6" s="1"/>
  <c r="AA417" i="6" s="1"/>
  <c r="BK417" i="6" s="1"/>
  <c r="AA418" i="6" s="1"/>
  <c r="BK418" i="6" s="1"/>
  <c r="AA419" i="6" s="1"/>
  <c r="BK419" i="6" s="1"/>
  <c r="AA420" i="6" s="1"/>
  <c r="BK420" i="6" s="1"/>
  <c r="AA421" i="6" s="1"/>
  <c r="BK421" i="6" s="1"/>
  <c r="AA422" i="6" s="1"/>
  <c r="BK422" i="6" s="1"/>
  <c r="AA423" i="6" s="1"/>
  <c r="BK423" i="6" s="1"/>
  <c r="AA424" i="6" s="1"/>
  <c r="BK424" i="6" s="1"/>
  <c r="AA425" i="6" s="1"/>
  <c r="BK425" i="6" s="1"/>
  <c r="AA426" i="6" s="1"/>
  <c r="BK426" i="6" s="1"/>
  <c r="AA427" i="6" s="1"/>
  <c r="BK427" i="6" s="1"/>
  <c r="AA428" i="6" s="1"/>
  <c r="BK428" i="6" s="1"/>
  <c r="AA429" i="6" s="1"/>
  <c r="BK429" i="6" s="1"/>
  <c r="AA430" i="6" s="1"/>
  <c r="BK430" i="6" s="1"/>
  <c r="AA431" i="6" s="1"/>
  <c r="BK431" i="6" s="1"/>
  <c r="AA432" i="6" s="1"/>
  <c r="BK432" i="6" s="1"/>
  <c r="AA433" i="6" s="1"/>
  <c r="BK433" i="6" s="1"/>
  <c r="AA434" i="6" s="1"/>
  <c r="BK434" i="6" s="1"/>
  <c r="AA435" i="6" s="1"/>
  <c r="BK435" i="6" s="1"/>
  <c r="AA436" i="6" s="1"/>
  <c r="BK436" i="6" s="1"/>
  <c r="AA437" i="6" s="1"/>
  <c r="BK437" i="6" s="1"/>
  <c r="Z402" i="6"/>
  <c r="BJ402" i="6" s="1"/>
  <c r="Z403" i="6" s="1"/>
  <c r="BJ403" i="6" s="1"/>
  <c r="Z404" i="6" s="1"/>
  <c r="BJ404" i="6" s="1"/>
  <c r="Z405" i="6" s="1"/>
  <c r="BJ405" i="6" s="1"/>
  <c r="Z406" i="6" s="1"/>
  <c r="BJ406" i="6" s="1"/>
  <c r="Z407" i="6" s="1"/>
  <c r="BJ407" i="6" s="1"/>
  <c r="Z408" i="6" s="1"/>
  <c r="BJ408" i="6" s="1"/>
  <c r="Z409" i="6" s="1"/>
  <c r="BJ409" i="6" s="1"/>
  <c r="Z410" i="6" s="1"/>
  <c r="BJ410" i="6" s="1"/>
  <c r="Z411" i="6" s="1"/>
  <c r="BJ411" i="6" s="1"/>
  <c r="Z412" i="6" s="1"/>
  <c r="BJ412" i="6" s="1"/>
  <c r="Z413" i="6" s="1"/>
  <c r="BJ413" i="6" s="1"/>
  <c r="Z414" i="6" s="1"/>
  <c r="BJ414" i="6" s="1"/>
  <c r="Z415" i="6" s="1"/>
  <c r="BJ415" i="6" s="1"/>
  <c r="Z416" i="6" s="1"/>
  <c r="BJ416" i="6" s="1"/>
  <c r="Z417" i="6" s="1"/>
  <c r="BJ417" i="6" s="1"/>
  <c r="Z418" i="6" s="1"/>
  <c r="BJ418" i="6" s="1"/>
  <c r="Z419" i="6" s="1"/>
  <c r="BJ419" i="6" s="1"/>
  <c r="Z420" i="6" s="1"/>
  <c r="BJ420" i="6" s="1"/>
  <c r="Z421" i="6" s="1"/>
  <c r="BJ421" i="6" s="1"/>
  <c r="Z422" i="6" s="1"/>
  <c r="BJ422" i="6" s="1"/>
  <c r="Z423" i="6" s="1"/>
  <c r="BJ423" i="6" s="1"/>
  <c r="Z424" i="6" s="1"/>
  <c r="BJ424" i="6" s="1"/>
  <c r="Z425" i="6" s="1"/>
  <c r="BJ425" i="6" s="1"/>
  <c r="Z426" i="6" s="1"/>
  <c r="BJ426" i="6" s="1"/>
  <c r="Z427" i="6" s="1"/>
  <c r="BJ427" i="6" s="1"/>
  <c r="Z428" i="6" s="1"/>
  <c r="BJ428" i="6" s="1"/>
  <c r="Z429" i="6" s="1"/>
  <c r="BJ429" i="6" s="1"/>
  <c r="Z430" i="6" s="1"/>
  <c r="BJ430" i="6" s="1"/>
  <c r="Z431" i="6" s="1"/>
  <c r="BJ431" i="6" s="1"/>
  <c r="Z432" i="6" s="1"/>
  <c r="BJ432" i="6" s="1"/>
  <c r="Z433" i="6" s="1"/>
  <c r="BJ433" i="6" s="1"/>
  <c r="Z434" i="6" s="1"/>
  <c r="BJ434" i="6" s="1"/>
  <c r="Z435" i="6" s="1"/>
  <c r="BJ435" i="6" s="1"/>
  <c r="Z436" i="6" s="1"/>
  <c r="BJ436" i="6" s="1"/>
  <c r="Z437" i="6" s="1"/>
  <c r="BJ437" i="6" s="1"/>
  <c r="Y402" i="6"/>
  <c r="BI402" i="6" s="1"/>
  <c r="Y403" i="6" s="1"/>
  <c r="BI403" i="6" s="1"/>
  <c r="Y404" i="6" s="1"/>
  <c r="BI404" i="6" s="1"/>
  <c r="Y405" i="6" s="1"/>
  <c r="BI405" i="6" s="1"/>
  <c r="Y406" i="6" s="1"/>
  <c r="BI406" i="6" s="1"/>
  <c r="Y407" i="6" s="1"/>
  <c r="BI407" i="6" s="1"/>
  <c r="Y408" i="6" s="1"/>
  <c r="BI408" i="6" s="1"/>
  <c r="Y409" i="6" s="1"/>
  <c r="BI409" i="6" s="1"/>
  <c r="Y410" i="6" s="1"/>
  <c r="BI410" i="6" s="1"/>
  <c r="Y411" i="6" s="1"/>
  <c r="BI411" i="6" s="1"/>
  <c r="Y412" i="6" s="1"/>
  <c r="BI412" i="6" s="1"/>
  <c r="Y413" i="6" s="1"/>
  <c r="BI413" i="6" s="1"/>
  <c r="Y414" i="6" s="1"/>
  <c r="BI414" i="6" s="1"/>
  <c r="Y415" i="6" s="1"/>
  <c r="BI415" i="6" s="1"/>
  <c r="Y416" i="6" s="1"/>
  <c r="BI416" i="6" s="1"/>
  <c r="Y417" i="6" s="1"/>
  <c r="BI417" i="6" s="1"/>
  <c r="Y418" i="6" s="1"/>
  <c r="BI418" i="6" s="1"/>
  <c r="Y419" i="6" s="1"/>
  <c r="BI419" i="6" s="1"/>
  <c r="Y420" i="6" s="1"/>
  <c r="BI420" i="6" s="1"/>
  <c r="Y421" i="6" s="1"/>
  <c r="BI421" i="6" s="1"/>
  <c r="Y422" i="6" s="1"/>
  <c r="BI422" i="6" s="1"/>
  <c r="Y423" i="6" s="1"/>
  <c r="BI423" i="6" s="1"/>
  <c r="Y424" i="6" s="1"/>
  <c r="BI424" i="6" s="1"/>
  <c r="Y425" i="6" s="1"/>
  <c r="BI425" i="6" s="1"/>
  <c r="Y426" i="6" s="1"/>
  <c r="BI426" i="6" s="1"/>
  <c r="Y427" i="6" s="1"/>
  <c r="BI427" i="6" s="1"/>
  <c r="Y428" i="6" s="1"/>
  <c r="BI428" i="6" s="1"/>
  <c r="Y429" i="6" s="1"/>
  <c r="BI429" i="6" s="1"/>
  <c r="Y430" i="6" s="1"/>
  <c r="BI430" i="6" s="1"/>
  <c r="Y431" i="6" s="1"/>
  <c r="BI431" i="6" s="1"/>
  <c r="Y432" i="6" s="1"/>
  <c r="BI432" i="6" s="1"/>
  <c r="Y433" i="6" s="1"/>
  <c r="BI433" i="6" s="1"/>
  <c r="Y434" i="6" s="1"/>
  <c r="BI434" i="6" s="1"/>
  <c r="Y435" i="6" s="1"/>
  <c r="BI435" i="6" s="1"/>
  <c r="Y436" i="6" s="1"/>
  <c r="BI436" i="6" s="1"/>
  <c r="Y437" i="6" s="1"/>
  <c r="BI437" i="6" s="1"/>
  <c r="X402" i="6"/>
  <c r="BH402" i="6" s="1"/>
  <c r="X403" i="6" s="1"/>
  <c r="BH403" i="6" s="1"/>
  <c r="X404" i="6" s="1"/>
  <c r="BH404" i="6" s="1"/>
  <c r="X405" i="6" s="1"/>
  <c r="BH405" i="6" s="1"/>
  <c r="X406" i="6" s="1"/>
  <c r="BH406" i="6" s="1"/>
  <c r="X407" i="6" s="1"/>
  <c r="BH407" i="6" s="1"/>
  <c r="X408" i="6" s="1"/>
  <c r="BH408" i="6" s="1"/>
  <c r="X409" i="6" s="1"/>
  <c r="BH409" i="6" s="1"/>
  <c r="X410" i="6" s="1"/>
  <c r="BH410" i="6" s="1"/>
  <c r="X411" i="6" s="1"/>
  <c r="BH411" i="6" s="1"/>
  <c r="X412" i="6" s="1"/>
  <c r="BH412" i="6" s="1"/>
  <c r="X413" i="6" s="1"/>
  <c r="BH413" i="6" s="1"/>
  <c r="X414" i="6" s="1"/>
  <c r="BH414" i="6" s="1"/>
  <c r="X415" i="6" s="1"/>
  <c r="BH415" i="6" s="1"/>
  <c r="X416" i="6" s="1"/>
  <c r="BH416" i="6" s="1"/>
  <c r="X417" i="6" s="1"/>
  <c r="BH417" i="6" s="1"/>
  <c r="X418" i="6" s="1"/>
  <c r="BH418" i="6" s="1"/>
  <c r="X419" i="6" s="1"/>
  <c r="BH419" i="6" s="1"/>
  <c r="X420" i="6" s="1"/>
  <c r="BH420" i="6" s="1"/>
  <c r="X421" i="6" s="1"/>
  <c r="BH421" i="6" s="1"/>
  <c r="X422" i="6" s="1"/>
  <c r="BH422" i="6" s="1"/>
  <c r="X423" i="6" s="1"/>
  <c r="BH423" i="6" s="1"/>
  <c r="X424" i="6" s="1"/>
  <c r="BH424" i="6" s="1"/>
  <c r="X425" i="6" s="1"/>
  <c r="BH425" i="6" s="1"/>
  <c r="X426" i="6" s="1"/>
  <c r="BH426" i="6" s="1"/>
  <c r="X427" i="6" s="1"/>
  <c r="BH427" i="6" s="1"/>
  <c r="X428" i="6" s="1"/>
  <c r="BH428" i="6" s="1"/>
  <c r="X429" i="6" s="1"/>
  <c r="BH429" i="6" s="1"/>
  <c r="X430" i="6" s="1"/>
  <c r="BH430" i="6" s="1"/>
  <c r="X431" i="6" s="1"/>
  <c r="BH431" i="6" s="1"/>
  <c r="X432" i="6" s="1"/>
  <c r="BH432" i="6" s="1"/>
  <c r="X433" i="6" s="1"/>
  <c r="BH433" i="6" s="1"/>
  <c r="X434" i="6" s="1"/>
  <c r="BH434" i="6" s="1"/>
  <c r="X435" i="6" s="1"/>
  <c r="BH435" i="6" s="1"/>
  <c r="X436" i="6" s="1"/>
  <c r="BH436" i="6" s="1"/>
  <c r="X437" i="6" s="1"/>
  <c r="BH437" i="6" s="1"/>
  <c r="W402" i="6"/>
  <c r="BG402" i="6" s="1"/>
  <c r="W403" i="6" s="1"/>
  <c r="BG403" i="6" s="1"/>
  <c r="V402" i="6"/>
  <c r="BF402" i="6" s="1"/>
  <c r="V403" i="6" s="1"/>
  <c r="BF403" i="6" s="1"/>
  <c r="V404" i="6" s="1"/>
  <c r="BF404" i="6" s="1"/>
  <c r="V405" i="6" s="1"/>
  <c r="BF405" i="6" s="1"/>
  <c r="V406" i="6" s="1"/>
  <c r="BF406" i="6" s="1"/>
  <c r="V407" i="6" s="1"/>
  <c r="BF407" i="6" s="1"/>
  <c r="V408" i="6" s="1"/>
  <c r="BF408" i="6" s="1"/>
  <c r="V409" i="6" s="1"/>
  <c r="BF409" i="6" s="1"/>
  <c r="V410" i="6" s="1"/>
  <c r="BF410" i="6" s="1"/>
  <c r="V411" i="6" s="1"/>
  <c r="BF411" i="6" s="1"/>
  <c r="V412" i="6" s="1"/>
  <c r="BF412" i="6" s="1"/>
  <c r="V413" i="6" s="1"/>
  <c r="BF413" i="6" s="1"/>
  <c r="V414" i="6" s="1"/>
  <c r="BF414" i="6" s="1"/>
  <c r="V415" i="6" s="1"/>
  <c r="BF415" i="6" s="1"/>
  <c r="V416" i="6" s="1"/>
  <c r="BF416" i="6" s="1"/>
  <c r="V417" i="6" s="1"/>
  <c r="BF417" i="6" s="1"/>
  <c r="V418" i="6" s="1"/>
  <c r="BF418" i="6" s="1"/>
  <c r="V419" i="6" s="1"/>
  <c r="BF419" i="6" s="1"/>
  <c r="V420" i="6" s="1"/>
  <c r="BF420" i="6" s="1"/>
  <c r="V421" i="6" s="1"/>
  <c r="BF421" i="6" s="1"/>
  <c r="V422" i="6" s="1"/>
  <c r="BF422" i="6" s="1"/>
  <c r="V423" i="6" s="1"/>
  <c r="BF423" i="6" s="1"/>
  <c r="V424" i="6" s="1"/>
  <c r="BF424" i="6" s="1"/>
  <c r="V425" i="6" s="1"/>
  <c r="U402" i="6"/>
  <c r="T402" i="6"/>
  <c r="BD402" i="6" s="1"/>
  <c r="T403" i="6" s="1"/>
  <c r="BD403" i="6" s="1"/>
  <c r="T404" i="6" s="1"/>
  <c r="BD404" i="6" s="1"/>
  <c r="T405" i="6" s="1"/>
  <c r="BD405" i="6" s="1"/>
  <c r="T406" i="6" s="1"/>
  <c r="S402" i="6"/>
  <c r="BC402" i="6" s="1"/>
  <c r="S403" i="6" s="1"/>
  <c r="BC403" i="6" s="1"/>
  <c r="S404" i="6" s="1"/>
  <c r="BC404" i="6" s="1"/>
  <c r="S405" i="6" s="1"/>
  <c r="BC405" i="6" s="1"/>
  <c r="S406" i="6" s="1"/>
  <c r="BC406" i="6" s="1"/>
  <c r="S407" i="6" s="1"/>
  <c r="BC407" i="6" s="1"/>
  <c r="R402" i="6"/>
  <c r="BB402" i="6" s="1"/>
  <c r="Q402" i="6"/>
  <c r="BA402" i="6" s="1"/>
  <c r="Q403" i="6" s="1"/>
  <c r="BA403" i="6" s="1"/>
  <c r="Q404" i="6" s="1"/>
  <c r="BA404" i="6" s="1"/>
  <c r="Q405" i="6" s="1"/>
  <c r="BA405" i="6" s="1"/>
  <c r="Q406" i="6" s="1"/>
  <c r="BA406" i="6" s="1"/>
  <c r="Q407" i="6" s="1"/>
  <c r="O402" i="6"/>
  <c r="AY402" i="6" s="1"/>
  <c r="O403" i="6" s="1"/>
  <c r="AY403" i="6" s="1"/>
  <c r="O404" i="6" s="1"/>
  <c r="AY404" i="6" s="1"/>
  <c r="O405" i="6" s="1"/>
  <c r="AY405" i="6" s="1"/>
  <c r="O406" i="6" s="1"/>
  <c r="AY406" i="6" s="1"/>
  <c r="O407" i="6" s="1"/>
  <c r="AY407" i="6" s="1"/>
  <c r="O408" i="6" s="1"/>
  <c r="AY408" i="6" s="1"/>
  <c r="O409" i="6" s="1"/>
  <c r="AY409" i="6" s="1"/>
  <c r="O410" i="6" s="1"/>
  <c r="AY410" i="6" s="1"/>
  <c r="O411" i="6" s="1"/>
  <c r="AY411" i="6" s="1"/>
  <c r="N402" i="6"/>
  <c r="AX402" i="6" s="1"/>
  <c r="N403" i="6" s="1"/>
  <c r="AX403" i="6" s="1"/>
  <c r="N404" i="6" s="1"/>
  <c r="AX404" i="6" s="1"/>
  <c r="N405" i="6" s="1"/>
  <c r="AX405" i="6" s="1"/>
  <c r="N406" i="6" s="1"/>
  <c r="AX406" i="6" s="1"/>
  <c r="M402" i="6"/>
  <c r="L402" i="6"/>
  <c r="AV402" i="6" s="1"/>
  <c r="L403" i="6" s="1"/>
  <c r="H402" i="6"/>
  <c r="G402" i="6"/>
  <c r="F402" i="6"/>
  <c r="AI402" i="6" s="1"/>
  <c r="E402" i="6"/>
  <c r="D402" i="6"/>
  <c r="C402" i="6"/>
  <c r="B402" i="6"/>
  <c r="A402" i="6"/>
  <c r="AO401" i="6"/>
  <c r="AI401" i="6"/>
  <c r="AE401" i="6"/>
  <c r="K401" i="6"/>
  <c r="I401" i="6"/>
  <c r="H401" i="6"/>
  <c r="G401" i="6"/>
  <c r="F401" i="6"/>
  <c r="E401" i="6"/>
  <c r="D401" i="6"/>
  <c r="C401" i="6"/>
  <c r="B401" i="6"/>
  <c r="A401" i="6"/>
  <c r="AO400" i="6"/>
  <c r="J400" i="6"/>
  <c r="H400" i="6"/>
  <c r="G400" i="6"/>
  <c r="F400" i="6"/>
  <c r="AI400" i="6" s="1"/>
  <c r="E400" i="6"/>
  <c r="D400" i="6"/>
  <c r="C400" i="6"/>
  <c r="B400" i="6"/>
  <c r="A400" i="6"/>
  <c r="AO399" i="6"/>
  <c r="AI399" i="6"/>
  <c r="K399" i="6"/>
  <c r="J399" i="6"/>
  <c r="H399" i="6"/>
  <c r="G399" i="6"/>
  <c r="F399" i="6"/>
  <c r="AE399" i="6" s="1"/>
  <c r="E399" i="6"/>
  <c r="D399" i="6"/>
  <c r="C399" i="6"/>
  <c r="B399" i="6"/>
  <c r="A399" i="6"/>
  <c r="AO398" i="6"/>
  <c r="J398" i="6"/>
  <c r="H398" i="6"/>
  <c r="G398" i="6"/>
  <c r="F398" i="6"/>
  <c r="AI398" i="6" s="1"/>
  <c r="E398" i="6"/>
  <c r="D398" i="6"/>
  <c r="C398" i="6"/>
  <c r="B398" i="6"/>
  <c r="A398" i="6"/>
  <c r="AO397" i="6"/>
  <c r="AE397" i="6"/>
  <c r="K397" i="6"/>
  <c r="H397" i="6"/>
  <c r="G397" i="6"/>
  <c r="AI397" i="6" s="1"/>
  <c r="F397" i="6"/>
  <c r="J397" i="6" s="1"/>
  <c r="E397" i="6"/>
  <c r="D397" i="6"/>
  <c r="C397" i="6"/>
  <c r="B397" i="6"/>
  <c r="A397" i="6"/>
  <c r="AO396" i="6"/>
  <c r="AE396" i="6"/>
  <c r="J396" i="6"/>
  <c r="H396" i="6"/>
  <c r="G396" i="6"/>
  <c r="F396" i="6"/>
  <c r="AI396" i="6" s="1"/>
  <c r="E396" i="6"/>
  <c r="D396" i="6"/>
  <c r="C396" i="6"/>
  <c r="B396" i="6"/>
  <c r="A396" i="6"/>
  <c r="AO395" i="6"/>
  <c r="AE395" i="6"/>
  <c r="J395" i="6"/>
  <c r="I395" i="6"/>
  <c r="H395" i="6"/>
  <c r="G395" i="6"/>
  <c r="F395" i="6"/>
  <c r="AI395" i="6" s="1"/>
  <c r="E395" i="6"/>
  <c r="D395" i="6"/>
  <c r="C395" i="6"/>
  <c r="B395" i="6"/>
  <c r="A395" i="6"/>
  <c r="AO394" i="6"/>
  <c r="AE394" i="6"/>
  <c r="J394" i="6"/>
  <c r="I394" i="6"/>
  <c r="H394" i="6"/>
  <c r="G394" i="6"/>
  <c r="F394" i="6"/>
  <c r="E394" i="6"/>
  <c r="D394" i="6"/>
  <c r="C394" i="6"/>
  <c r="B394" i="6"/>
  <c r="A394" i="6"/>
  <c r="AO393" i="6"/>
  <c r="AI393" i="6"/>
  <c r="AE393" i="6"/>
  <c r="K393" i="6"/>
  <c r="J393" i="6"/>
  <c r="I393" i="6"/>
  <c r="H393" i="6"/>
  <c r="G393" i="6"/>
  <c r="F393" i="6"/>
  <c r="E393" i="6"/>
  <c r="D393" i="6"/>
  <c r="C393" i="6"/>
  <c r="B393" i="6"/>
  <c r="A393" i="6"/>
  <c r="AO392" i="6"/>
  <c r="AI392" i="6"/>
  <c r="K392" i="6"/>
  <c r="H392" i="6"/>
  <c r="G392" i="6"/>
  <c r="F392" i="6"/>
  <c r="E392" i="6"/>
  <c r="D392" i="6"/>
  <c r="C392" i="6"/>
  <c r="B392" i="6"/>
  <c r="A392" i="6"/>
  <c r="AO391" i="6"/>
  <c r="H391" i="6"/>
  <c r="G391" i="6"/>
  <c r="F391" i="6"/>
  <c r="E391" i="6"/>
  <c r="D391" i="6"/>
  <c r="C391" i="6"/>
  <c r="B391" i="6"/>
  <c r="A391" i="6"/>
  <c r="AO390" i="6"/>
  <c r="H390" i="6"/>
  <c r="G390" i="6"/>
  <c r="F390" i="6"/>
  <c r="AI390" i="6" s="1"/>
  <c r="E390" i="6"/>
  <c r="D390" i="6"/>
  <c r="C390" i="6"/>
  <c r="B390" i="6"/>
  <c r="A390" i="6"/>
  <c r="AO389" i="6"/>
  <c r="AI389" i="6"/>
  <c r="AE389" i="6"/>
  <c r="K389" i="6"/>
  <c r="I389" i="6"/>
  <c r="H389" i="6"/>
  <c r="G389" i="6"/>
  <c r="F389" i="6"/>
  <c r="E389" i="6"/>
  <c r="D389" i="6"/>
  <c r="C389" i="6"/>
  <c r="B389" i="6"/>
  <c r="A389" i="6"/>
  <c r="AT388" i="6"/>
  <c r="J388" i="6"/>
  <c r="H388" i="6"/>
  <c r="G388" i="6"/>
  <c r="F388" i="6"/>
  <c r="AI388" i="6" s="1"/>
  <c r="E388" i="6"/>
  <c r="D388" i="6"/>
  <c r="C388" i="6"/>
  <c r="B388" i="6"/>
  <c r="A388" i="6"/>
  <c r="AT387" i="6"/>
  <c r="AO387" i="6"/>
  <c r="K387" i="6"/>
  <c r="J387" i="6"/>
  <c r="H387" i="6"/>
  <c r="G387" i="6"/>
  <c r="F387" i="6"/>
  <c r="AE387" i="6" s="1"/>
  <c r="E387" i="6"/>
  <c r="D387" i="6"/>
  <c r="C387" i="6"/>
  <c r="B387" i="6"/>
  <c r="A387" i="6"/>
  <c r="BM386" i="6"/>
  <c r="AC387" i="6" s="1"/>
  <c r="BM387" i="6" s="1"/>
  <c r="AC388" i="6" s="1"/>
  <c r="BM388" i="6" s="1"/>
  <c r="AC389" i="6" s="1"/>
  <c r="BM389" i="6" s="1"/>
  <c r="AC390" i="6" s="1"/>
  <c r="BM390" i="6" s="1"/>
  <c r="AC391" i="6" s="1"/>
  <c r="BM391" i="6" s="1"/>
  <c r="AC392" i="6" s="1"/>
  <c r="BM392" i="6" s="1"/>
  <c r="AC393" i="6" s="1"/>
  <c r="BM393" i="6" s="1"/>
  <c r="AC394" i="6" s="1"/>
  <c r="BM394" i="6" s="1"/>
  <c r="AC395" i="6" s="1"/>
  <c r="BM395" i="6" s="1"/>
  <c r="AC396" i="6" s="1"/>
  <c r="BM396" i="6" s="1"/>
  <c r="AC397" i="6" s="1"/>
  <c r="BM397" i="6" s="1"/>
  <c r="AC398" i="6" s="1"/>
  <c r="BM398" i="6" s="1"/>
  <c r="AC399" i="6" s="1"/>
  <c r="BM399" i="6" s="1"/>
  <c r="AC400" i="6" s="1"/>
  <c r="BM400" i="6" s="1"/>
  <c r="AC401" i="6" s="1"/>
  <c r="BM401" i="6" s="1"/>
  <c r="AT386" i="6"/>
  <c r="AO386" i="6"/>
  <c r="J386" i="6"/>
  <c r="H386" i="6"/>
  <c r="G386" i="6"/>
  <c r="F386" i="6"/>
  <c r="AI386" i="6" s="1"/>
  <c r="E386" i="6"/>
  <c r="D386" i="6"/>
  <c r="C386" i="6"/>
  <c r="B386" i="6"/>
  <c r="A386" i="6"/>
  <c r="AT385" i="6"/>
  <c r="AO385" i="6"/>
  <c r="K385" i="6"/>
  <c r="H385" i="6"/>
  <c r="G385" i="6"/>
  <c r="AI385" i="6" s="1"/>
  <c r="F385" i="6"/>
  <c r="E385" i="6"/>
  <c r="D385" i="6"/>
  <c r="C385" i="6"/>
  <c r="B385" i="6"/>
  <c r="A385" i="6"/>
  <c r="AT384" i="6"/>
  <c r="AO384" i="6"/>
  <c r="AE384" i="6"/>
  <c r="J384" i="6"/>
  <c r="H384" i="6"/>
  <c r="G384" i="6"/>
  <c r="F384" i="6"/>
  <c r="E384" i="6"/>
  <c r="D384" i="6"/>
  <c r="C384" i="6"/>
  <c r="B384" i="6"/>
  <c r="A384" i="6"/>
  <c r="AT383" i="6"/>
  <c r="AO383" i="6"/>
  <c r="AE383" i="6"/>
  <c r="J383" i="6"/>
  <c r="I383" i="6"/>
  <c r="H383" i="6"/>
  <c r="AF383" i="6" s="1"/>
  <c r="G383" i="6"/>
  <c r="F383" i="6"/>
  <c r="AI383" i="6" s="1"/>
  <c r="E383" i="6"/>
  <c r="D383" i="6"/>
  <c r="C383" i="6"/>
  <c r="B383" i="6"/>
  <c r="A383" i="6"/>
  <c r="AT382" i="6"/>
  <c r="AE382" i="6"/>
  <c r="J382" i="6"/>
  <c r="I382" i="6"/>
  <c r="H382" i="6"/>
  <c r="G382" i="6"/>
  <c r="F382" i="6"/>
  <c r="E382" i="6"/>
  <c r="D382" i="6"/>
  <c r="C382" i="6"/>
  <c r="B382" i="6"/>
  <c r="A382" i="6"/>
  <c r="AT381" i="6"/>
  <c r="AO381" i="6"/>
  <c r="AI381" i="6"/>
  <c r="AF381" i="6"/>
  <c r="AE381" i="6"/>
  <c r="K381" i="6"/>
  <c r="J381" i="6"/>
  <c r="I381" i="6"/>
  <c r="H381" i="6"/>
  <c r="G381" i="6"/>
  <c r="F381" i="6"/>
  <c r="E381" i="6"/>
  <c r="D381" i="6"/>
  <c r="C381" i="6"/>
  <c r="B381" i="6"/>
  <c r="A381" i="6"/>
  <c r="AT380" i="6"/>
  <c r="AO380" i="6"/>
  <c r="AI380" i="6"/>
  <c r="AF380" i="6"/>
  <c r="K380" i="6"/>
  <c r="H380" i="6"/>
  <c r="G380" i="6"/>
  <c r="F380" i="6"/>
  <c r="E380" i="6"/>
  <c r="D380" i="6"/>
  <c r="C380" i="6"/>
  <c r="B380" i="6"/>
  <c r="A380" i="6"/>
  <c r="AT379" i="6"/>
  <c r="AO379" i="6"/>
  <c r="AF379" i="6"/>
  <c r="H379" i="6"/>
  <c r="G379" i="6"/>
  <c r="F379" i="6"/>
  <c r="E379" i="6"/>
  <c r="D379" i="6"/>
  <c r="C379" i="6"/>
  <c r="B379" i="6"/>
  <c r="A379" i="6"/>
  <c r="AT378" i="6"/>
  <c r="AO378" i="6"/>
  <c r="H378" i="6"/>
  <c r="G378" i="6"/>
  <c r="F378" i="6"/>
  <c r="E378" i="6"/>
  <c r="D378" i="6"/>
  <c r="C378" i="6"/>
  <c r="B378" i="6"/>
  <c r="A378" i="6"/>
  <c r="AT377" i="6"/>
  <c r="AI377" i="6"/>
  <c r="AE377" i="6"/>
  <c r="K377" i="6"/>
  <c r="I377" i="6"/>
  <c r="H377" i="6"/>
  <c r="G377" i="6"/>
  <c r="F377" i="6"/>
  <c r="E377" i="6"/>
  <c r="D377" i="6"/>
  <c r="C377" i="6"/>
  <c r="B377" i="6"/>
  <c r="A377" i="6"/>
  <c r="AT376" i="6"/>
  <c r="J376" i="6"/>
  <c r="H376" i="6"/>
  <c r="G376" i="6"/>
  <c r="F376" i="6"/>
  <c r="AI376" i="6" s="1"/>
  <c r="E376" i="6"/>
  <c r="D376" i="6"/>
  <c r="C376" i="6"/>
  <c r="B376" i="6"/>
  <c r="A376" i="6"/>
  <c r="AT375" i="6"/>
  <c r="AO375" i="6"/>
  <c r="AI375" i="6"/>
  <c r="V375" i="6"/>
  <c r="BF375" i="6" s="1"/>
  <c r="V376" i="6" s="1"/>
  <c r="BF376" i="6" s="1"/>
  <c r="V377" i="6" s="1"/>
  <c r="BF377" i="6" s="1"/>
  <c r="V378" i="6" s="1"/>
  <c r="BF378" i="6" s="1"/>
  <c r="V379" i="6" s="1"/>
  <c r="BF379" i="6" s="1"/>
  <c r="V380" i="6" s="1"/>
  <c r="BF380" i="6" s="1"/>
  <c r="V381" i="6" s="1"/>
  <c r="BF381" i="6" s="1"/>
  <c r="V382" i="6" s="1"/>
  <c r="BF382" i="6" s="1"/>
  <c r="V383" i="6" s="1"/>
  <c r="BF383" i="6" s="1"/>
  <c r="V384" i="6" s="1"/>
  <c r="BF384" i="6" s="1"/>
  <c r="V385" i="6" s="1"/>
  <c r="BF385" i="6" s="1"/>
  <c r="V386" i="6" s="1"/>
  <c r="BF386" i="6" s="1"/>
  <c r="V387" i="6" s="1"/>
  <c r="BF387" i="6" s="1"/>
  <c r="V388" i="6" s="1"/>
  <c r="BF388" i="6" s="1"/>
  <c r="V389" i="6" s="1"/>
  <c r="K375" i="6"/>
  <c r="J375" i="6"/>
  <c r="H375" i="6"/>
  <c r="AF375" i="6" s="1"/>
  <c r="G375" i="6"/>
  <c r="F375" i="6"/>
  <c r="AE375" i="6" s="1"/>
  <c r="E375" i="6"/>
  <c r="D375" i="6"/>
  <c r="C375" i="6"/>
  <c r="B375" i="6"/>
  <c r="A375" i="6"/>
  <c r="AT374" i="6"/>
  <c r="AO374" i="6"/>
  <c r="AC374" i="6"/>
  <c r="BM374" i="6" s="1"/>
  <c r="AC375" i="6" s="1"/>
  <c r="BM375" i="6" s="1"/>
  <c r="AC376" i="6" s="1"/>
  <c r="BM376" i="6" s="1"/>
  <c r="AC377" i="6" s="1"/>
  <c r="BM377" i="6" s="1"/>
  <c r="AC378" i="6" s="1"/>
  <c r="BM378" i="6" s="1"/>
  <c r="AC379" i="6" s="1"/>
  <c r="BM379" i="6" s="1"/>
  <c r="AC380" i="6" s="1"/>
  <c r="BM380" i="6" s="1"/>
  <c r="AC381" i="6" s="1"/>
  <c r="BM381" i="6" s="1"/>
  <c r="AC382" i="6" s="1"/>
  <c r="BM382" i="6" s="1"/>
  <c r="AC383" i="6" s="1"/>
  <c r="BM383" i="6" s="1"/>
  <c r="AC384" i="6" s="1"/>
  <c r="BM384" i="6" s="1"/>
  <c r="AC385" i="6" s="1"/>
  <c r="BM385" i="6" s="1"/>
  <c r="AC386" i="6" s="1"/>
  <c r="J374" i="6"/>
  <c r="H374" i="6"/>
  <c r="G374" i="6"/>
  <c r="F374" i="6"/>
  <c r="AI374" i="6" s="1"/>
  <c r="E374" i="6"/>
  <c r="D374" i="6"/>
  <c r="C374" i="6"/>
  <c r="B374" i="6"/>
  <c r="A374" i="6"/>
  <c r="AT373" i="6"/>
  <c r="AO373" i="6"/>
  <c r="AF373" i="6"/>
  <c r="AE373" i="6"/>
  <c r="K373" i="6"/>
  <c r="J373" i="6"/>
  <c r="H373" i="6"/>
  <c r="G373" i="6"/>
  <c r="AI373" i="6" s="1"/>
  <c r="F373" i="6"/>
  <c r="E373" i="6"/>
  <c r="D373" i="6"/>
  <c r="C373" i="6"/>
  <c r="B373" i="6"/>
  <c r="A373" i="6"/>
  <c r="AT372" i="6"/>
  <c r="AO372" i="6"/>
  <c r="AE372" i="6"/>
  <c r="S372" i="6"/>
  <c r="BC372" i="6" s="1"/>
  <c r="S373" i="6" s="1"/>
  <c r="BC373" i="6" s="1"/>
  <c r="S374" i="6" s="1"/>
  <c r="BC374" i="6" s="1"/>
  <c r="S375" i="6" s="1"/>
  <c r="BC375" i="6" s="1"/>
  <c r="S376" i="6" s="1"/>
  <c r="BC376" i="6" s="1"/>
  <c r="S377" i="6" s="1"/>
  <c r="BC377" i="6" s="1"/>
  <c r="S378" i="6" s="1"/>
  <c r="BC378" i="6" s="1"/>
  <c r="S379" i="6" s="1"/>
  <c r="BC379" i="6" s="1"/>
  <c r="S380" i="6" s="1"/>
  <c r="BC380" i="6" s="1"/>
  <c r="S381" i="6" s="1"/>
  <c r="BC381" i="6" s="1"/>
  <c r="S382" i="6" s="1"/>
  <c r="BC382" i="6" s="1"/>
  <c r="S383" i="6" s="1"/>
  <c r="BC383" i="6" s="1"/>
  <c r="S384" i="6" s="1"/>
  <c r="BC384" i="6" s="1"/>
  <c r="S385" i="6" s="1"/>
  <c r="BC385" i="6" s="1"/>
  <c r="S386" i="6" s="1"/>
  <c r="BC386" i="6" s="1"/>
  <c r="S387" i="6" s="1"/>
  <c r="BC387" i="6" s="1"/>
  <c r="S388" i="6" s="1"/>
  <c r="BC388" i="6" s="1"/>
  <c r="S389" i="6" s="1"/>
  <c r="BC389" i="6" s="1"/>
  <c r="S390" i="6" s="1"/>
  <c r="BC390" i="6" s="1"/>
  <c r="S391" i="6" s="1"/>
  <c r="BC391" i="6" s="1"/>
  <c r="S392" i="6" s="1"/>
  <c r="BC392" i="6" s="1"/>
  <c r="S393" i="6" s="1"/>
  <c r="BC393" i="6" s="1"/>
  <c r="S394" i="6" s="1"/>
  <c r="BC394" i="6" s="1"/>
  <c r="S395" i="6" s="1"/>
  <c r="BC395" i="6" s="1"/>
  <c r="S396" i="6" s="1"/>
  <c r="BC396" i="6" s="1"/>
  <c r="S397" i="6" s="1"/>
  <c r="BC397" i="6" s="1"/>
  <c r="S398" i="6" s="1"/>
  <c r="BC398" i="6" s="1"/>
  <c r="S399" i="6" s="1"/>
  <c r="BC399" i="6" s="1"/>
  <c r="S400" i="6" s="1"/>
  <c r="BC400" i="6" s="1"/>
  <c r="S401" i="6" s="1"/>
  <c r="BC401" i="6" s="1"/>
  <c r="J372" i="6"/>
  <c r="H372" i="6"/>
  <c r="AF372" i="6" s="1"/>
  <c r="G372" i="6"/>
  <c r="F372" i="6"/>
  <c r="E372" i="6"/>
  <c r="D372" i="6"/>
  <c r="C372" i="6"/>
  <c r="B372" i="6"/>
  <c r="A372" i="6"/>
  <c r="AT371" i="6"/>
  <c r="AE371" i="6"/>
  <c r="Z371" i="6"/>
  <c r="BJ371" i="6" s="1"/>
  <c r="Z372" i="6" s="1"/>
  <c r="BJ372" i="6" s="1"/>
  <c r="Z373" i="6" s="1"/>
  <c r="BJ373" i="6" s="1"/>
  <c r="Z374" i="6" s="1"/>
  <c r="BJ374" i="6" s="1"/>
  <c r="Z375" i="6" s="1"/>
  <c r="BJ375" i="6" s="1"/>
  <c r="Z376" i="6" s="1"/>
  <c r="BJ376" i="6" s="1"/>
  <c r="Z377" i="6" s="1"/>
  <c r="BJ377" i="6" s="1"/>
  <c r="Z378" i="6" s="1"/>
  <c r="BJ378" i="6" s="1"/>
  <c r="Z379" i="6" s="1"/>
  <c r="BJ379" i="6" s="1"/>
  <c r="Z380" i="6" s="1"/>
  <c r="BJ380" i="6" s="1"/>
  <c r="Z381" i="6" s="1"/>
  <c r="BJ381" i="6" s="1"/>
  <c r="Z382" i="6" s="1"/>
  <c r="BJ382" i="6" s="1"/>
  <c r="Z383" i="6" s="1"/>
  <c r="BJ383" i="6" s="1"/>
  <c r="Z384" i="6" s="1"/>
  <c r="BJ384" i="6" s="1"/>
  <c r="Z385" i="6" s="1"/>
  <c r="BJ385" i="6" s="1"/>
  <c r="Z386" i="6" s="1"/>
  <c r="BJ386" i="6" s="1"/>
  <c r="Z387" i="6" s="1"/>
  <c r="BJ387" i="6" s="1"/>
  <c r="Z388" i="6" s="1"/>
  <c r="BJ388" i="6" s="1"/>
  <c r="Z389" i="6" s="1"/>
  <c r="BJ389" i="6" s="1"/>
  <c r="Z390" i="6" s="1"/>
  <c r="BJ390" i="6" s="1"/>
  <c r="Z391" i="6" s="1"/>
  <c r="BJ391" i="6" s="1"/>
  <c r="Z392" i="6" s="1"/>
  <c r="BJ392" i="6" s="1"/>
  <c r="Z393" i="6" s="1"/>
  <c r="BJ393" i="6" s="1"/>
  <c r="Z394" i="6" s="1"/>
  <c r="BJ394" i="6" s="1"/>
  <c r="Z395" i="6" s="1"/>
  <c r="BJ395" i="6" s="1"/>
  <c r="Z396" i="6" s="1"/>
  <c r="BJ396" i="6" s="1"/>
  <c r="Z397" i="6" s="1"/>
  <c r="BJ397" i="6" s="1"/>
  <c r="Z398" i="6" s="1"/>
  <c r="BJ398" i="6" s="1"/>
  <c r="Z399" i="6" s="1"/>
  <c r="BJ399" i="6" s="1"/>
  <c r="Z400" i="6" s="1"/>
  <c r="BJ400" i="6" s="1"/>
  <c r="Z401" i="6" s="1"/>
  <c r="BJ401" i="6" s="1"/>
  <c r="J371" i="6"/>
  <c r="I371" i="6"/>
  <c r="H371" i="6"/>
  <c r="G371" i="6"/>
  <c r="F371" i="6"/>
  <c r="AI371" i="6" s="1"/>
  <c r="E371" i="6"/>
  <c r="D371" i="6"/>
  <c r="C371" i="6"/>
  <c r="B371" i="6"/>
  <c r="A371" i="6"/>
  <c r="AT370" i="6"/>
  <c r="AE370" i="6"/>
  <c r="J370" i="6"/>
  <c r="I370" i="6"/>
  <c r="H370" i="6"/>
  <c r="G370" i="6"/>
  <c r="F370" i="6"/>
  <c r="AP370" i="6" s="1"/>
  <c r="E370" i="6"/>
  <c r="D370" i="6"/>
  <c r="C370" i="6"/>
  <c r="B370" i="6"/>
  <c r="A370" i="6"/>
  <c r="AT369" i="6"/>
  <c r="AO369" i="6"/>
  <c r="AI369" i="6"/>
  <c r="AE369" i="6"/>
  <c r="K369" i="6"/>
  <c r="J369" i="6"/>
  <c r="I369" i="6"/>
  <c r="H369" i="6"/>
  <c r="G369" i="6"/>
  <c r="F369" i="6"/>
  <c r="E369" i="6"/>
  <c r="D369" i="6"/>
  <c r="C369" i="6"/>
  <c r="B369" i="6"/>
  <c r="A369" i="6"/>
  <c r="BG368" i="6"/>
  <c r="W369" i="6" s="1"/>
  <c r="AT368" i="6"/>
  <c r="AO368" i="6"/>
  <c r="AI368" i="6"/>
  <c r="AF368" i="6"/>
  <c r="K368" i="6"/>
  <c r="H368" i="6"/>
  <c r="G368" i="6"/>
  <c r="F368" i="6"/>
  <c r="E368" i="6"/>
  <c r="D368" i="6"/>
  <c r="C368" i="6"/>
  <c r="B368" i="6"/>
  <c r="A368" i="6"/>
  <c r="BN367" i="6"/>
  <c r="BO367" i="6" s="1"/>
  <c r="BN368" i="6" s="1"/>
  <c r="BO368" i="6" s="1"/>
  <c r="BN369" i="6" s="1"/>
  <c r="BO369" i="6" s="1"/>
  <c r="BN370" i="6" s="1"/>
  <c r="BO370" i="6" s="1"/>
  <c r="BN371" i="6" s="1"/>
  <c r="BO371" i="6" s="1"/>
  <c r="BN372" i="6" s="1"/>
  <c r="BO372" i="6" s="1"/>
  <c r="BN373" i="6" s="1"/>
  <c r="BE367" i="6"/>
  <c r="BE368" i="6" s="1"/>
  <c r="AT367" i="6"/>
  <c r="AO367" i="6"/>
  <c r="AF367" i="6"/>
  <c r="U367" i="6"/>
  <c r="H367" i="6"/>
  <c r="G367" i="6"/>
  <c r="F367" i="6"/>
  <c r="AP367" i="6" s="1"/>
  <c r="E367" i="6"/>
  <c r="D367" i="6"/>
  <c r="C367" i="6"/>
  <c r="B367" i="6"/>
  <c r="A367" i="6"/>
  <c r="BN366" i="6"/>
  <c r="BO366" i="6" s="1"/>
  <c r="BE366" i="6"/>
  <c r="AT366" i="6"/>
  <c r="AO366" i="6"/>
  <c r="AF366" i="6"/>
  <c r="AC366" i="6"/>
  <c r="BM366" i="6" s="1"/>
  <c r="AC367" i="6" s="1"/>
  <c r="BM367" i="6" s="1"/>
  <c r="AC368" i="6" s="1"/>
  <c r="BM368" i="6" s="1"/>
  <c r="AC369" i="6" s="1"/>
  <c r="BM369" i="6" s="1"/>
  <c r="AC370" i="6" s="1"/>
  <c r="BM370" i="6" s="1"/>
  <c r="AC371" i="6" s="1"/>
  <c r="BM371" i="6" s="1"/>
  <c r="AC372" i="6" s="1"/>
  <c r="BM372" i="6" s="1"/>
  <c r="AC373" i="6" s="1"/>
  <c r="BM373" i="6" s="1"/>
  <c r="AB366" i="6"/>
  <c r="BL366" i="6" s="1"/>
  <c r="AB367" i="6" s="1"/>
  <c r="BL367" i="6" s="1"/>
  <c r="AB368" i="6" s="1"/>
  <c r="BL368" i="6" s="1"/>
  <c r="AB369" i="6" s="1"/>
  <c r="BL369" i="6" s="1"/>
  <c r="AB370" i="6" s="1"/>
  <c r="BL370" i="6" s="1"/>
  <c r="AB371" i="6" s="1"/>
  <c r="BL371" i="6" s="1"/>
  <c r="AB372" i="6" s="1"/>
  <c r="BL372" i="6" s="1"/>
  <c r="AB373" i="6" s="1"/>
  <c r="BL373" i="6" s="1"/>
  <c r="AB374" i="6" s="1"/>
  <c r="BL374" i="6" s="1"/>
  <c r="AB375" i="6" s="1"/>
  <c r="BL375" i="6" s="1"/>
  <c r="AB376" i="6" s="1"/>
  <c r="BL376" i="6" s="1"/>
  <c r="AB377" i="6" s="1"/>
  <c r="BL377" i="6" s="1"/>
  <c r="AB378" i="6" s="1"/>
  <c r="BL378" i="6" s="1"/>
  <c r="AB379" i="6" s="1"/>
  <c r="BL379" i="6" s="1"/>
  <c r="AB380" i="6" s="1"/>
  <c r="BL380" i="6" s="1"/>
  <c r="AB381" i="6" s="1"/>
  <c r="BL381" i="6" s="1"/>
  <c r="AB382" i="6" s="1"/>
  <c r="BL382" i="6" s="1"/>
  <c r="AB383" i="6" s="1"/>
  <c r="BL383" i="6" s="1"/>
  <c r="AB384" i="6" s="1"/>
  <c r="BL384" i="6" s="1"/>
  <c r="AB385" i="6" s="1"/>
  <c r="BL385" i="6" s="1"/>
  <c r="AB386" i="6" s="1"/>
  <c r="BL386" i="6" s="1"/>
  <c r="AB387" i="6" s="1"/>
  <c r="BL387" i="6" s="1"/>
  <c r="AB388" i="6" s="1"/>
  <c r="BL388" i="6" s="1"/>
  <c r="AB389" i="6" s="1"/>
  <c r="BL389" i="6" s="1"/>
  <c r="AB390" i="6" s="1"/>
  <c r="BL390" i="6" s="1"/>
  <c r="AB391" i="6" s="1"/>
  <c r="BL391" i="6" s="1"/>
  <c r="AB392" i="6" s="1"/>
  <c r="BL392" i="6" s="1"/>
  <c r="AB393" i="6" s="1"/>
  <c r="BL393" i="6" s="1"/>
  <c r="AB394" i="6" s="1"/>
  <c r="BL394" i="6" s="1"/>
  <c r="AB395" i="6" s="1"/>
  <c r="BL395" i="6" s="1"/>
  <c r="AB396" i="6" s="1"/>
  <c r="BL396" i="6" s="1"/>
  <c r="AB397" i="6" s="1"/>
  <c r="BL397" i="6" s="1"/>
  <c r="AB398" i="6" s="1"/>
  <c r="BL398" i="6" s="1"/>
  <c r="AB399" i="6" s="1"/>
  <c r="BL399" i="6" s="1"/>
  <c r="AB400" i="6" s="1"/>
  <c r="BL400" i="6" s="1"/>
  <c r="AB401" i="6" s="1"/>
  <c r="BL401" i="6" s="1"/>
  <c r="AA366" i="6"/>
  <c r="BK366" i="6" s="1"/>
  <c r="AA367" i="6" s="1"/>
  <c r="BK367" i="6" s="1"/>
  <c r="AA368" i="6" s="1"/>
  <c r="BK368" i="6" s="1"/>
  <c r="AA369" i="6" s="1"/>
  <c r="BK369" i="6" s="1"/>
  <c r="AA370" i="6" s="1"/>
  <c r="BK370" i="6" s="1"/>
  <c r="AA371" i="6" s="1"/>
  <c r="BK371" i="6" s="1"/>
  <c r="AA372" i="6" s="1"/>
  <c r="BK372" i="6" s="1"/>
  <c r="AA373" i="6" s="1"/>
  <c r="BK373" i="6" s="1"/>
  <c r="AA374" i="6" s="1"/>
  <c r="BK374" i="6" s="1"/>
  <c r="AA375" i="6" s="1"/>
  <c r="BK375" i="6" s="1"/>
  <c r="AA376" i="6" s="1"/>
  <c r="BK376" i="6" s="1"/>
  <c r="AA377" i="6" s="1"/>
  <c r="BK377" i="6" s="1"/>
  <c r="AA378" i="6" s="1"/>
  <c r="BK378" i="6" s="1"/>
  <c r="AA379" i="6" s="1"/>
  <c r="BK379" i="6" s="1"/>
  <c r="AA380" i="6" s="1"/>
  <c r="BK380" i="6" s="1"/>
  <c r="AA381" i="6" s="1"/>
  <c r="BK381" i="6" s="1"/>
  <c r="AA382" i="6" s="1"/>
  <c r="BK382" i="6" s="1"/>
  <c r="AA383" i="6" s="1"/>
  <c r="BK383" i="6" s="1"/>
  <c r="AA384" i="6" s="1"/>
  <c r="BK384" i="6" s="1"/>
  <c r="AA385" i="6" s="1"/>
  <c r="BK385" i="6" s="1"/>
  <c r="AA386" i="6" s="1"/>
  <c r="BK386" i="6" s="1"/>
  <c r="AA387" i="6" s="1"/>
  <c r="BK387" i="6" s="1"/>
  <c r="AA388" i="6" s="1"/>
  <c r="BK388" i="6" s="1"/>
  <c r="AA389" i="6" s="1"/>
  <c r="BK389" i="6" s="1"/>
  <c r="AA390" i="6" s="1"/>
  <c r="BK390" i="6" s="1"/>
  <c r="AA391" i="6" s="1"/>
  <c r="BK391" i="6" s="1"/>
  <c r="AA392" i="6" s="1"/>
  <c r="BK392" i="6" s="1"/>
  <c r="AA393" i="6" s="1"/>
  <c r="BK393" i="6" s="1"/>
  <c r="AA394" i="6" s="1"/>
  <c r="BK394" i="6" s="1"/>
  <c r="AA395" i="6" s="1"/>
  <c r="BK395" i="6" s="1"/>
  <c r="AA396" i="6" s="1"/>
  <c r="BK396" i="6" s="1"/>
  <c r="AA397" i="6" s="1"/>
  <c r="BK397" i="6" s="1"/>
  <c r="AA398" i="6" s="1"/>
  <c r="BK398" i="6" s="1"/>
  <c r="AA399" i="6" s="1"/>
  <c r="BK399" i="6" s="1"/>
  <c r="AA400" i="6" s="1"/>
  <c r="BK400" i="6" s="1"/>
  <c r="AA401" i="6" s="1"/>
  <c r="BK401" i="6" s="1"/>
  <c r="Z366" i="6"/>
  <c r="BJ366" i="6" s="1"/>
  <c r="Z367" i="6" s="1"/>
  <c r="BJ367" i="6" s="1"/>
  <c r="Z368" i="6" s="1"/>
  <c r="BJ368" i="6" s="1"/>
  <c r="Z369" i="6" s="1"/>
  <c r="BJ369" i="6" s="1"/>
  <c r="Z370" i="6" s="1"/>
  <c r="BJ370" i="6" s="1"/>
  <c r="Y366" i="6"/>
  <c r="BI366" i="6" s="1"/>
  <c r="Y367" i="6" s="1"/>
  <c r="BI367" i="6" s="1"/>
  <c r="Y368" i="6" s="1"/>
  <c r="BI368" i="6" s="1"/>
  <c r="Y369" i="6" s="1"/>
  <c r="BI369" i="6" s="1"/>
  <c r="Y370" i="6" s="1"/>
  <c r="BI370" i="6" s="1"/>
  <c r="Y371" i="6" s="1"/>
  <c r="BI371" i="6" s="1"/>
  <c r="Y372" i="6" s="1"/>
  <c r="BI372" i="6" s="1"/>
  <c r="Y373" i="6" s="1"/>
  <c r="BI373" i="6" s="1"/>
  <c r="Y374" i="6" s="1"/>
  <c r="BI374" i="6" s="1"/>
  <c r="Y375" i="6" s="1"/>
  <c r="BI375" i="6" s="1"/>
  <c r="Y376" i="6" s="1"/>
  <c r="BI376" i="6" s="1"/>
  <c r="Y377" i="6" s="1"/>
  <c r="BI377" i="6" s="1"/>
  <c r="Y378" i="6" s="1"/>
  <c r="BI378" i="6" s="1"/>
  <c r="Y379" i="6" s="1"/>
  <c r="BI379" i="6" s="1"/>
  <c r="Y380" i="6" s="1"/>
  <c r="BI380" i="6" s="1"/>
  <c r="Y381" i="6" s="1"/>
  <c r="BI381" i="6" s="1"/>
  <c r="Y382" i="6" s="1"/>
  <c r="BI382" i="6" s="1"/>
  <c r="Y383" i="6" s="1"/>
  <c r="BI383" i="6" s="1"/>
  <c r="Y384" i="6" s="1"/>
  <c r="BI384" i="6" s="1"/>
  <c r="Y385" i="6" s="1"/>
  <c r="BI385" i="6" s="1"/>
  <c r="Y386" i="6" s="1"/>
  <c r="BI386" i="6" s="1"/>
  <c r="Y387" i="6" s="1"/>
  <c r="BI387" i="6" s="1"/>
  <c r="Y388" i="6" s="1"/>
  <c r="BI388" i="6" s="1"/>
  <c r="Y389" i="6" s="1"/>
  <c r="BI389" i="6" s="1"/>
  <c r="Y390" i="6" s="1"/>
  <c r="BI390" i="6" s="1"/>
  <c r="Y391" i="6" s="1"/>
  <c r="BI391" i="6" s="1"/>
  <c r="Y392" i="6" s="1"/>
  <c r="BI392" i="6" s="1"/>
  <c r="Y393" i="6" s="1"/>
  <c r="BI393" i="6" s="1"/>
  <c r="Y394" i="6" s="1"/>
  <c r="BI394" i="6" s="1"/>
  <c r="Y395" i="6" s="1"/>
  <c r="BI395" i="6" s="1"/>
  <c r="Y396" i="6" s="1"/>
  <c r="BI396" i="6" s="1"/>
  <c r="Y397" i="6" s="1"/>
  <c r="BI397" i="6" s="1"/>
  <c r="Y398" i="6" s="1"/>
  <c r="BI398" i="6" s="1"/>
  <c r="Y399" i="6" s="1"/>
  <c r="BI399" i="6" s="1"/>
  <c r="Y400" i="6" s="1"/>
  <c r="BI400" i="6" s="1"/>
  <c r="Y401" i="6" s="1"/>
  <c r="BI401" i="6" s="1"/>
  <c r="X366" i="6"/>
  <c r="BH366" i="6" s="1"/>
  <c r="X367" i="6" s="1"/>
  <c r="BH367" i="6" s="1"/>
  <c r="X368" i="6" s="1"/>
  <c r="BH368" i="6" s="1"/>
  <c r="X369" i="6" s="1"/>
  <c r="BH369" i="6" s="1"/>
  <c r="X370" i="6" s="1"/>
  <c r="BH370" i="6" s="1"/>
  <c r="X371" i="6" s="1"/>
  <c r="BH371" i="6" s="1"/>
  <c r="X372" i="6" s="1"/>
  <c r="BH372" i="6" s="1"/>
  <c r="X373" i="6" s="1"/>
  <c r="BH373" i="6" s="1"/>
  <c r="X374" i="6" s="1"/>
  <c r="BH374" i="6" s="1"/>
  <c r="X375" i="6" s="1"/>
  <c r="BH375" i="6" s="1"/>
  <c r="X376" i="6" s="1"/>
  <c r="BH376" i="6" s="1"/>
  <c r="X377" i="6" s="1"/>
  <c r="BH377" i="6" s="1"/>
  <c r="X378" i="6" s="1"/>
  <c r="BH378" i="6" s="1"/>
  <c r="X379" i="6" s="1"/>
  <c r="BH379" i="6" s="1"/>
  <c r="X380" i="6" s="1"/>
  <c r="BH380" i="6" s="1"/>
  <c r="X381" i="6" s="1"/>
  <c r="BH381" i="6" s="1"/>
  <c r="X382" i="6" s="1"/>
  <c r="BH382" i="6" s="1"/>
  <c r="X383" i="6" s="1"/>
  <c r="BH383" i="6" s="1"/>
  <c r="X384" i="6" s="1"/>
  <c r="BH384" i="6" s="1"/>
  <c r="X385" i="6" s="1"/>
  <c r="BH385" i="6" s="1"/>
  <c r="X386" i="6" s="1"/>
  <c r="BH386" i="6" s="1"/>
  <c r="X387" i="6" s="1"/>
  <c r="BH387" i="6" s="1"/>
  <c r="X388" i="6" s="1"/>
  <c r="BH388" i="6" s="1"/>
  <c r="X389" i="6" s="1"/>
  <c r="BH389" i="6" s="1"/>
  <c r="X390" i="6" s="1"/>
  <c r="BH390" i="6" s="1"/>
  <c r="X391" i="6" s="1"/>
  <c r="BH391" i="6" s="1"/>
  <c r="X392" i="6" s="1"/>
  <c r="BH392" i="6" s="1"/>
  <c r="X393" i="6" s="1"/>
  <c r="BH393" i="6" s="1"/>
  <c r="X394" i="6" s="1"/>
  <c r="BH394" i="6" s="1"/>
  <c r="X395" i="6" s="1"/>
  <c r="BH395" i="6" s="1"/>
  <c r="X396" i="6" s="1"/>
  <c r="BH396" i="6" s="1"/>
  <c r="X397" i="6" s="1"/>
  <c r="BH397" i="6" s="1"/>
  <c r="X398" i="6" s="1"/>
  <c r="BH398" i="6" s="1"/>
  <c r="X399" i="6" s="1"/>
  <c r="BH399" i="6" s="1"/>
  <c r="X400" i="6" s="1"/>
  <c r="BH400" i="6" s="1"/>
  <c r="X401" i="6" s="1"/>
  <c r="BH401" i="6" s="1"/>
  <c r="W366" i="6"/>
  <c r="BG366" i="6" s="1"/>
  <c r="W367" i="6" s="1"/>
  <c r="BG367" i="6" s="1"/>
  <c r="W368" i="6" s="1"/>
  <c r="V366" i="6"/>
  <c r="BF366" i="6" s="1"/>
  <c r="V367" i="6" s="1"/>
  <c r="BF367" i="6" s="1"/>
  <c r="V368" i="6" s="1"/>
  <c r="BF368" i="6" s="1"/>
  <c r="V369" i="6" s="1"/>
  <c r="BF369" i="6" s="1"/>
  <c r="V370" i="6" s="1"/>
  <c r="BF370" i="6" s="1"/>
  <c r="V371" i="6" s="1"/>
  <c r="BF371" i="6" s="1"/>
  <c r="V372" i="6" s="1"/>
  <c r="BF372" i="6" s="1"/>
  <c r="V373" i="6" s="1"/>
  <c r="BF373" i="6" s="1"/>
  <c r="V374" i="6" s="1"/>
  <c r="BF374" i="6" s="1"/>
  <c r="U366" i="6"/>
  <c r="T366" i="6"/>
  <c r="BD366" i="6" s="1"/>
  <c r="T367" i="6" s="1"/>
  <c r="BD367" i="6" s="1"/>
  <c r="T368" i="6" s="1"/>
  <c r="BD368" i="6" s="1"/>
  <c r="T369" i="6" s="1"/>
  <c r="BD369" i="6" s="1"/>
  <c r="T370" i="6" s="1"/>
  <c r="S366" i="6"/>
  <c r="BC366" i="6" s="1"/>
  <c r="S367" i="6" s="1"/>
  <c r="BC367" i="6" s="1"/>
  <c r="S368" i="6" s="1"/>
  <c r="BC368" i="6" s="1"/>
  <c r="S369" i="6" s="1"/>
  <c r="BC369" i="6" s="1"/>
  <c r="S370" i="6" s="1"/>
  <c r="BC370" i="6" s="1"/>
  <c r="S371" i="6" s="1"/>
  <c r="BC371" i="6" s="1"/>
  <c r="R366" i="6"/>
  <c r="BB366" i="6" s="1"/>
  <c r="R367" i="6" s="1"/>
  <c r="BB367" i="6" s="1"/>
  <c r="R368" i="6" s="1"/>
  <c r="BB368" i="6" s="1"/>
  <c r="R369" i="6" s="1"/>
  <c r="BB369" i="6" s="1"/>
  <c r="R370" i="6" s="1"/>
  <c r="BB370" i="6" s="1"/>
  <c r="R371" i="6" s="1"/>
  <c r="BB371" i="6" s="1"/>
  <c r="R372" i="6" s="1"/>
  <c r="BB372" i="6" s="1"/>
  <c r="R373" i="6" s="1"/>
  <c r="BB373" i="6" s="1"/>
  <c r="R374" i="6" s="1"/>
  <c r="BB374" i="6" s="1"/>
  <c r="R375" i="6" s="1"/>
  <c r="BB375" i="6" s="1"/>
  <c r="R376" i="6" s="1"/>
  <c r="BB376" i="6" s="1"/>
  <c r="R377" i="6" s="1"/>
  <c r="BB377" i="6" s="1"/>
  <c r="R378" i="6" s="1"/>
  <c r="BB378" i="6" s="1"/>
  <c r="R379" i="6" s="1"/>
  <c r="BB379" i="6" s="1"/>
  <c r="R380" i="6" s="1"/>
  <c r="BB380" i="6" s="1"/>
  <c r="R381" i="6" s="1"/>
  <c r="BB381" i="6" s="1"/>
  <c r="R382" i="6" s="1"/>
  <c r="BB382" i="6" s="1"/>
  <c r="R383" i="6" s="1"/>
  <c r="BB383" i="6" s="1"/>
  <c r="R384" i="6" s="1"/>
  <c r="BB384" i="6" s="1"/>
  <c r="R385" i="6" s="1"/>
  <c r="BB385" i="6" s="1"/>
  <c r="R386" i="6" s="1"/>
  <c r="BB386" i="6" s="1"/>
  <c r="R387" i="6" s="1"/>
  <c r="BB387" i="6" s="1"/>
  <c r="R388" i="6" s="1"/>
  <c r="BB388" i="6" s="1"/>
  <c r="R389" i="6" s="1"/>
  <c r="BB389" i="6" s="1"/>
  <c r="R390" i="6" s="1"/>
  <c r="BB390" i="6" s="1"/>
  <c r="R391" i="6" s="1"/>
  <c r="BB391" i="6" s="1"/>
  <c r="R392" i="6" s="1"/>
  <c r="BB392" i="6" s="1"/>
  <c r="R393" i="6" s="1"/>
  <c r="BB393" i="6" s="1"/>
  <c r="R394" i="6" s="1"/>
  <c r="BB394" i="6" s="1"/>
  <c r="R395" i="6" s="1"/>
  <c r="BB395" i="6" s="1"/>
  <c r="R396" i="6" s="1"/>
  <c r="BB396" i="6" s="1"/>
  <c r="R397" i="6" s="1"/>
  <c r="BB397" i="6" s="1"/>
  <c r="R398" i="6" s="1"/>
  <c r="BB398" i="6" s="1"/>
  <c r="R399" i="6" s="1"/>
  <c r="BB399" i="6" s="1"/>
  <c r="R400" i="6" s="1"/>
  <c r="BB400" i="6" s="1"/>
  <c r="R401" i="6" s="1"/>
  <c r="BB401" i="6" s="1"/>
  <c r="Q366" i="6"/>
  <c r="BA366" i="6" s="1"/>
  <c r="Q367" i="6" s="1"/>
  <c r="BA367" i="6" s="1"/>
  <c r="Q368" i="6" s="1"/>
  <c r="BA368" i="6" s="1"/>
  <c r="Q369" i="6" s="1"/>
  <c r="BA369" i="6" s="1"/>
  <c r="Q370" i="6" s="1"/>
  <c r="BA370" i="6" s="1"/>
  <c r="Q371" i="6" s="1"/>
  <c r="O366" i="6"/>
  <c r="AY366" i="6" s="1"/>
  <c r="O367" i="6" s="1"/>
  <c r="AY367" i="6" s="1"/>
  <c r="O368" i="6" s="1"/>
  <c r="AY368" i="6" s="1"/>
  <c r="O369" i="6" s="1"/>
  <c r="AY369" i="6" s="1"/>
  <c r="O370" i="6" s="1"/>
  <c r="AY370" i="6" s="1"/>
  <c r="O371" i="6" s="1"/>
  <c r="AY371" i="6" s="1"/>
  <c r="O372" i="6" s="1"/>
  <c r="AY372" i="6" s="1"/>
  <c r="O373" i="6" s="1"/>
  <c r="AY373" i="6" s="1"/>
  <c r="O374" i="6" s="1"/>
  <c r="AY374" i="6" s="1"/>
  <c r="O375" i="6" s="1"/>
  <c r="AY375" i="6" s="1"/>
  <c r="O376" i="6" s="1"/>
  <c r="AY376" i="6" s="1"/>
  <c r="O377" i="6" s="1"/>
  <c r="AY377" i="6" s="1"/>
  <c r="O378" i="6" s="1"/>
  <c r="AY378" i="6" s="1"/>
  <c r="O379" i="6" s="1"/>
  <c r="AY379" i="6" s="1"/>
  <c r="O380" i="6" s="1"/>
  <c r="AY380" i="6" s="1"/>
  <c r="O381" i="6" s="1"/>
  <c r="AY381" i="6" s="1"/>
  <c r="O382" i="6" s="1"/>
  <c r="AY382" i="6" s="1"/>
  <c r="O383" i="6" s="1"/>
  <c r="AY383" i="6" s="1"/>
  <c r="O384" i="6" s="1"/>
  <c r="AY384" i="6" s="1"/>
  <c r="O385" i="6" s="1"/>
  <c r="N366" i="6"/>
  <c r="AX366" i="6" s="1"/>
  <c r="N367" i="6" s="1"/>
  <c r="AX367" i="6" s="1"/>
  <c r="N368" i="6" s="1"/>
  <c r="AX368" i="6" s="1"/>
  <c r="N369" i="6" s="1"/>
  <c r="AX369" i="6" s="1"/>
  <c r="N370" i="6" s="1"/>
  <c r="AX370" i="6" s="1"/>
  <c r="N371" i="6" s="1"/>
  <c r="AX371" i="6" s="1"/>
  <c r="N372" i="6" s="1"/>
  <c r="AX372" i="6" s="1"/>
  <c r="M366" i="6"/>
  <c r="AW366" i="6" s="1"/>
  <c r="M367" i="6" s="1"/>
  <c r="AW367" i="6" s="1"/>
  <c r="M368" i="6" s="1"/>
  <c r="L366" i="6"/>
  <c r="H366" i="6"/>
  <c r="G366" i="6"/>
  <c r="AV366" i="6" s="1"/>
  <c r="L367" i="6" s="1"/>
  <c r="F366" i="6"/>
  <c r="AI366" i="6" s="1"/>
  <c r="E366" i="6"/>
  <c r="D366" i="6"/>
  <c r="C366" i="6"/>
  <c r="B366" i="6"/>
  <c r="A366" i="6"/>
  <c r="AO365" i="6"/>
  <c r="AI365" i="6"/>
  <c r="K365" i="6"/>
  <c r="I365" i="6"/>
  <c r="H365" i="6"/>
  <c r="G365" i="6"/>
  <c r="F365" i="6"/>
  <c r="E365" i="6"/>
  <c r="D365" i="6"/>
  <c r="C365" i="6"/>
  <c r="B365" i="6"/>
  <c r="A365" i="6"/>
  <c r="AO364" i="6"/>
  <c r="J364" i="6"/>
  <c r="H364" i="6"/>
  <c r="G364" i="6"/>
  <c r="F364" i="6"/>
  <c r="AI364" i="6" s="1"/>
  <c r="E364" i="6"/>
  <c r="D364" i="6"/>
  <c r="C364" i="6"/>
  <c r="B364" i="6"/>
  <c r="A364" i="6"/>
  <c r="AO363" i="6"/>
  <c r="AI363" i="6"/>
  <c r="K363" i="6"/>
  <c r="J363" i="6"/>
  <c r="H363" i="6"/>
  <c r="G363" i="6"/>
  <c r="F363" i="6"/>
  <c r="AE363" i="6" s="1"/>
  <c r="E363" i="6"/>
  <c r="D363" i="6"/>
  <c r="C363" i="6"/>
  <c r="B363" i="6"/>
  <c r="A363" i="6"/>
  <c r="AO362" i="6"/>
  <c r="J362" i="6"/>
  <c r="H362" i="6"/>
  <c r="G362" i="6"/>
  <c r="F362" i="6"/>
  <c r="AI362" i="6" s="1"/>
  <c r="E362" i="6"/>
  <c r="D362" i="6"/>
  <c r="C362" i="6"/>
  <c r="B362" i="6"/>
  <c r="A362" i="6"/>
  <c r="AO361" i="6"/>
  <c r="AE361" i="6"/>
  <c r="J361" i="6"/>
  <c r="H361" i="6"/>
  <c r="G361" i="6"/>
  <c r="F361" i="6"/>
  <c r="E361" i="6"/>
  <c r="D361" i="6"/>
  <c r="C361" i="6"/>
  <c r="B361" i="6"/>
  <c r="A361" i="6"/>
  <c r="AO360" i="6"/>
  <c r="AE360" i="6"/>
  <c r="J360" i="6"/>
  <c r="H360" i="6"/>
  <c r="G360" i="6"/>
  <c r="F360" i="6"/>
  <c r="AI360" i="6" s="1"/>
  <c r="E360" i="6"/>
  <c r="D360" i="6"/>
  <c r="C360" i="6"/>
  <c r="B360" i="6"/>
  <c r="A360" i="6"/>
  <c r="AO359" i="6"/>
  <c r="AE359" i="6"/>
  <c r="J359" i="6"/>
  <c r="I359" i="6"/>
  <c r="H359" i="6"/>
  <c r="G359" i="6"/>
  <c r="F359" i="6"/>
  <c r="AI359" i="6" s="1"/>
  <c r="E359" i="6"/>
  <c r="D359" i="6"/>
  <c r="C359" i="6"/>
  <c r="B359" i="6"/>
  <c r="A359" i="6"/>
  <c r="AO358" i="6"/>
  <c r="AE358" i="6"/>
  <c r="J358" i="6"/>
  <c r="I358" i="6"/>
  <c r="H358" i="6"/>
  <c r="G358" i="6"/>
  <c r="F358" i="6"/>
  <c r="E358" i="6"/>
  <c r="D358" i="6"/>
  <c r="C358" i="6"/>
  <c r="B358" i="6"/>
  <c r="A358" i="6"/>
  <c r="AO357" i="6"/>
  <c r="AI357" i="6"/>
  <c r="AE357" i="6"/>
  <c r="K357" i="6"/>
  <c r="J357" i="6"/>
  <c r="I357" i="6"/>
  <c r="H357" i="6"/>
  <c r="G357" i="6"/>
  <c r="F357" i="6"/>
  <c r="E357" i="6"/>
  <c r="D357" i="6"/>
  <c r="C357" i="6"/>
  <c r="B357" i="6"/>
  <c r="A357" i="6"/>
  <c r="AO356" i="6"/>
  <c r="K356" i="6"/>
  <c r="H356" i="6"/>
  <c r="G356" i="6"/>
  <c r="F356" i="6"/>
  <c r="AI356" i="6" s="1"/>
  <c r="E356" i="6"/>
  <c r="D356" i="6"/>
  <c r="C356" i="6"/>
  <c r="B356" i="6"/>
  <c r="A356" i="6"/>
  <c r="AO355" i="6"/>
  <c r="K355" i="6"/>
  <c r="H355" i="6"/>
  <c r="G355" i="6"/>
  <c r="F355" i="6"/>
  <c r="AI355" i="6" s="1"/>
  <c r="E355" i="6"/>
  <c r="D355" i="6"/>
  <c r="C355" i="6"/>
  <c r="B355" i="6"/>
  <c r="A355" i="6"/>
  <c r="AO354" i="6"/>
  <c r="H354" i="6"/>
  <c r="G354" i="6"/>
  <c r="F354" i="6"/>
  <c r="E354" i="6"/>
  <c r="D354" i="6"/>
  <c r="C354" i="6"/>
  <c r="B354" i="6"/>
  <c r="A354" i="6"/>
  <c r="AO353" i="6"/>
  <c r="AI353" i="6"/>
  <c r="K353" i="6"/>
  <c r="I353" i="6"/>
  <c r="H353" i="6"/>
  <c r="G353" i="6"/>
  <c r="F353" i="6"/>
  <c r="E353" i="6"/>
  <c r="D353" i="6"/>
  <c r="C353" i="6"/>
  <c r="B353" i="6"/>
  <c r="A353" i="6"/>
  <c r="AT352" i="6"/>
  <c r="J352" i="6"/>
  <c r="H352" i="6"/>
  <c r="G352" i="6"/>
  <c r="F352" i="6"/>
  <c r="AI352" i="6" s="1"/>
  <c r="E352" i="6"/>
  <c r="D352" i="6"/>
  <c r="C352" i="6"/>
  <c r="B352" i="6"/>
  <c r="A352" i="6"/>
  <c r="AT351" i="6"/>
  <c r="AO351" i="6"/>
  <c r="K351" i="6"/>
  <c r="J351" i="6"/>
  <c r="H351" i="6"/>
  <c r="G351" i="6"/>
  <c r="F351" i="6"/>
  <c r="AE351" i="6" s="1"/>
  <c r="E351" i="6"/>
  <c r="D351" i="6"/>
  <c r="C351" i="6"/>
  <c r="B351" i="6"/>
  <c r="A351" i="6"/>
  <c r="AT350" i="6"/>
  <c r="AO350" i="6"/>
  <c r="J350" i="6"/>
  <c r="H350" i="6"/>
  <c r="G350" i="6"/>
  <c r="F350" i="6"/>
  <c r="AI350" i="6" s="1"/>
  <c r="E350" i="6"/>
  <c r="D350" i="6"/>
  <c r="C350" i="6"/>
  <c r="B350" i="6"/>
  <c r="A350" i="6"/>
  <c r="AT349" i="6"/>
  <c r="AO349" i="6"/>
  <c r="J349" i="6"/>
  <c r="H349" i="6"/>
  <c r="G349" i="6"/>
  <c r="F349" i="6"/>
  <c r="E349" i="6"/>
  <c r="D349" i="6"/>
  <c r="C349" i="6"/>
  <c r="B349" i="6"/>
  <c r="A349" i="6"/>
  <c r="AT348" i="6"/>
  <c r="AO348" i="6"/>
  <c r="AE348" i="6"/>
  <c r="K348" i="6"/>
  <c r="J348" i="6"/>
  <c r="H348" i="6"/>
  <c r="G348" i="6"/>
  <c r="AI348" i="6" s="1"/>
  <c r="F348" i="6"/>
  <c r="E348" i="6"/>
  <c r="D348" i="6"/>
  <c r="C348" i="6"/>
  <c r="B348" i="6"/>
  <c r="A348" i="6"/>
  <c r="AT347" i="6"/>
  <c r="AO347" i="6"/>
  <c r="AE347" i="6"/>
  <c r="J347" i="6"/>
  <c r="I347" i="6"/>
  <c r="H347" i="6"/>
  <c r="AF347" i="6" s="1"/>
  <c r="G347" i="6"/>
  <c r="F347" i="6"/>
  <c r="AI347" i="6" s="1"/>
  <c r="E347" i="6"/>
  <c r="D347" i="6"/>
  <c r="C347" i="6"/>
  <c r="B347" i="6"/>
  <c r="A347" i="6"/>
  <c r="AT346" i="6"/>
  <c r="AE346" i="6"/>
  <c r="J346" i="6"/>
  <c r="I346" i="6"/>
  <c r="H346" i="6"/>
  <c r="G346" i="6"/>
  <c r="F346" i="6"/>
  <c r="E346" i="6"/>
  <c r="D346" i="6"/>
  <c r="C346" i="6"/>
  <c r="B346" i="6"/>
  <c r="A346" i="6"/>
  <c r="AT345" i="6"/>
  <c r="AO345" i="6"/>
  <c r="AF345" i="6"/>
  <c r="AE345" i="6"/>
  <c r="K345" i="6"/>
  <c r="J345" i="6"/>
  <c r="I345" i="6"/>
  <c r="H345" i="6"/>
  <c r="G345" i="6"/>
  <c r="F345" i="6"/>
  <c r="E345" i="6"/>
  <c r="D345" i="6"/>
  <c r="C345" i="6"/>
  <c r="B345" i="6"/>
  <c r="A345" i="6"/>
  <c r="AT344" i="6"/>
  <c r="AO344" i="6"/>
  <c r="AF344" i="6"/>
  <c r="H344" i="6"/>
  <c r="G344" i="6"/>
  <c r="F344" i="6"/>
  <c r="E344" i="6"/>
  <c r="D344" i="6"/>
  <c r="C344" i="6"/>
  <c r="B344" i="6"/>
  <c r="A344" i="6"/>
  <c r="AT343" i="6"/>
  <c r="AO343" i="6"/>
  <c r="AF343" i="6"/>
  <c r="H343" i="6"/>
  <c r="G343" i="6"/>
  <c r="F343" i="6"/>
  <c r="E343" i="6"/>
  <c r="D343" i="6"/>
  <c r="C343" i="6"/>
  <c r="B343" i="6"/>
  <c r="A343" i="6"/>
  <c r="AT342" i="6"/>
  <c r="AO342" i="6"/>
  <c r="H342" i="6"/>
  <c r="G342" i="6"/>
  <c r="F342" i="6"/>
  <c r="E342" i="6"/>
  <c r="D342" i="6"/>
  <c r="C342" i="6"/>
  <c r="B342" i="6"/>
  <c r="A342" i="6"/>
  <c r="AT341" i="6"/>
  <c r="AI341" i="6"/>
  <c r="K341" i="6"/>
  <c r="I341" i="6"/>
  <c r="H341" i="6"/>
  <c r="G341" i="6"/>
  <c r="F341" i="6"/>
  <c r="E341" i="6"/>
  <c r="D341" i="6"/>
  <c r="C341" i="6"/>
  <c r="B341" i="6"/>
  <c r="A341" i="6"/>
  <c r="AT340" i="6"/>
  <c r="J340" i="6"/>
  <c r="H340" i="6"/>
  <c r="G340" i="6"/>
  <c r="F340" i="6"/>
  <c r="E340" i="6"/>
  <c r="D340" i="6"/>
  <c r="C340" i="6"/>
  <c r="B340" i="6"/>
  <c r="A340" i="6"/>
  <c r="AT339" i="6"/>
  <c r="AO339" i="6"/>
  <c r="AI339" i="6"/>
  <c r="K339" i="6"/>
  <c r="J339" i="6"/>
  <c r="H339" i="6"/>
  <c r="AF339" i="6" s="1"/>
  <c r="G339" i="6"/>
  <c r="F339" i="6"/>
  <c r="AE339" i="6" s="1"/>
  <c r="E339" i="6"/>
  <c r="D339" i="6"/>
  <c r="C339" i="6"/>
  <c r="B339" i="6"/>
  <c r="A339" i="6"/>
  <c r="AT338" i="6"/>
  <c r="AO338" i="6"/>
  <c r="J338" i="6"/>
  <c r="H338" i="6"/>
  <c r="G338" i="6"/>
  <c r="F338" i="6"/>
  <c r="E338" i="6"/>
  <c r="D338" i="6"/>
  <c r="C338" i="6"/>
  <c r="B338" i="6"/>
  <c r="A338" i="6"/>
  <c r="AY337" i="6"/>
  <c r="O338" i="6" s="1"/>
  <c r="AY338" i="6" s="1"/>
  <c r="O339" i="6" s="1"/>
  <c r="AY339" i="6" s="1"/>
  <c r="O340" i="6" s="1"/>
  <c r="AY340" i="6" s="1"/>
  <c r="O341" i="6" s="1"/>
  <c r="AY341" i="6" s="1"/>
  <c r="O342" i="6" s="1"/>
  <c r="AY342" i="6" s="1"/>
  <c r="O343" i="6" s="1"/>
  <c r="AY343" i="6" s="1"/>
  <c r="O344" i="6" s="1"/>
  <c r="AY344" i="6" s="1"/>
  <c r="O345" i="6" s="1"/>
  <c r="AY345" i="6" s="1"/>
  <c r="O346" i="6" s="1"/>
  <c r="AY346" i="6" s="1"/>
  <c r="O347" i="6" s="1"/>
  <c r="AY347" i="6" s="1"/>
  <c r="O348" i="6" s="1"/>
  <c r="AY348" i="6" s="1"/>
  <c r="O349" i="6" s="1"/>
  <c r="AT337" i="6"/>
  <c r="AO337" i="6"/>
  <c r="AF337" i="6"/>
  <c r="AE337" i="6"/>
  <c r="J337" i="6"/>
  <c r="H337" i="6"/>
  <c r="G337" i="6"/>
  <c r="F337" i="6"/>
  <c r="E337" i="6"/>
  <c r="D337" i="6"/>
  <c r="C337" i="6"/>
  <c r="B337" i="6"/>
  <c r="A337" i="6"/>
  <c r="AT336" i="6"/>
  <c r="AO336" i="6"/>
  <c r="AE336" i="6"/>
  <c r="V336" i="6"/>
  <c r="BF336" i="6" s="1"/>
  <c r="V337" i="6" s="1"/>
  <c r="BF337" i="6" s="1"/>
  <c r="V338" i="6" s="1"/>
  <c r="BF338" i="6" s="1"/>
  <c r="V339" i="6" s="1"/>
  <c r="BF339" i="6" s="1"/>
  <c r="V340" i="6" s="1"/>
  <c r="BF340" i="6" s="1"/>
  <c r="V341" i="6" s="1"/>
  <c r="BF341" i="6" s="1"/>
  <c r="V342" i="6" s="1"/>
  <c r="BF342" i="6" s="1"/>
  <c r="V343" i="6" s="1"/>
  <c r="BF343" i="6" s="1"/>
  <c r="V344" i="6" s="1"/>
  <c r="BF344" i="6" s="1"/>
  <c r="V345" i="6" s="1"/>
  <c r="BF345" i="6" s="1"/>
  <c r="V346" i="6" s="1"/>
  <c r="BF346" i="6" s="1"/>
  <c r="V347" i="6" s="1"/>
  <c r="BF347" i="6" s="1"/>
  <c r="V348" i="6" s="1"/>
  <c r="BF348" i="6" s="1"/>
  <c r="V349" i="6" s="1"/>
  <c r="BF349" i="6" s="1"/>
  <c r="V350" i="6" s="1"/>
  <c r="BF350" i="6" s="1"/>
  <c r="V351" i="6" s="1"/>
  <c r="BF351" i="6" s="1"/>
  <c r="V352" i="6" s="1"/>
  <c r="BF352" i="6" s="1"/>
  <c r="V353" i="6" s="1"/>
  <c r="K336" i="6"/>
  <c r="J336" i="6"/>
  <c r="H336" i="6"/>
  <c r="AF336" i="6" s="1"/>
  <c r="G336" i="6"/>
  <c r="AI336" i="6" s="1"/>
  <c r="F336" i="6"/>
  <c r="E336" i="6"/>
  <c r="D336" i="6"/>
  <c r="C336" i="6"/>
  <c r="B336" i="6"/>
  <c r="A336" i="6"/>
  <c r="AT335" i="6"/>
  <c r="AE335" i="6"/>
  <c r="AA335" i="6"/>
  <c r="BK335" i="6" s="1"/>
  <c r="AA336" i="6" s="1"/>
  <c r="BK336" i="6" s="1"/>
  <c r="AA337" i="6" s="1"/>
  <c r="BK337" i="6" s="1"/>
  <c r="AA338" i="6" s="1"/>
  <c r="BK338" i="6" s="1"/>
  <c r="AA339" i="6" s="1"/>
  <c r="BK339" i="6" s="1"/>
  <c r="AA340" i="6" s="1"/>
  <c r="BK340" i="6" s="1"/>
  <c r="AA341" i="6" s="1"/>
  <c r="BK341" i="6" s="1"/>
  <c r="AA342" i="6" s="1"/>
  <c r="BK342" i="6" s="1"/>
  <c r="AA343" i="6" s="1"/>
  <c r="BK343" i="6" s="1"/>
  <c r="AA344" i="6" s="1"/>
  <c r="BK344" i="6" s="1"/>
  <c r="AA345" i="6" s="1"/>
  <c r="BK345" i="6" s="1"/>
  <c r="AA346" i="6" s="1"/>
  <c r="BK346" i="6" s="1"/>
  <c r="AA347" i="6" s="1"/>
  <c r="BK347" i="6" s="1"/>
  <c r="AA348" i="6" s="1"/>
  <c r="BK348" i="6" s="1"/>
  <c r="AA349" i="6" s="1"/>
  <c r="BK349" i="6" s="1"/>
  <c r="AA350" i="6" s="1"/>
  <c r="BK350" i="6" s="1"/>
  <c r="AA351" i="6" s="1"/>
  <c r="BK351" i="6" s="1"/>
  <c r="AA352" i="6" s="1"/>
  <c r="BK352" i="6" s="1"/>
  <c r="AA353" i="6" s="1"/>
  <c r="BK353" i="6" s="1"/>
  <c r="AA354" i="6" s="1"/>
  <c r="BK354" i="6" s="1"/>
  <c r="AA355" i="6" s="1"/>
  <c r="BK355" i="6" s="1"/>
  <c r="AA356" i="6" s="1"/>
  <c r="BK356" i="6" s="1"/>
  <c r="AA357" i="6" s="1"/>
  <c r="BK357" i="6" s="1"/>
  <c r="AA358" i="6" s="1"/>
  <c r="BK358" i="6" s="1"/>
  <c r="AA359" i="6" s="1"/>
  <c r="BK359" i="6" s="1"/>
  <c r="AA360" i="6" s="1"/>
  <c r="BK360" i="6" s="1"/>
  <c r="AA361" i="6" s="1"/>
  <c r="BK361" i="6" s="1"/>
  <c r="AA362" i="6" s="1"/>
  <c r="BK362" i="6" s="1"/>
  <c r="AA363" i="6" s="1"/>
  <c r="BK363" i="6" s="1"/>
  <c r="AA364" i="6" s="1"/>
  <c r="BK364" i="6" s="1"/>
  <c r="AA365" i="6" s="1"/>
  <c r="BK365" i="6" s="1"/>
  <c r="J335" i="6"/>
  <c r="I335" i="6"/>
  <c r="H335" i="6"/>
  <c r="G335" i="6"/>
  <c r="F335" i="6"/>
  <c r="E335" i="6"/>
  <c r="D335" i="6"/>
  <c r="C335" i="6"/>
  <c r="B335" i="6"/>
  <c r="A335" i="6"/>
  <c r="AT334" i="6"/>
  <c r="AE334" i="6"/>
  <c r="X334" i="6"/>
  <c r="BH334" i="6" s="1"/>
  <c r="X335" i="6" s="1"/>
  <c r="BH335" i="6" s="1"/>
  <c r="X336" i="6" s="1"/>
  <c r="BH336" i="6" s="1"/>
  <c r="X337" i="6" s="1"/>
  <c r="BH337" i="6" s="1"/>
  <c r="X338" i="6" s="1"/>
  <c r="BH338" i="6" s="1"/>
  <c r="X339" i="6" s="1"/>
  <c r="BH339" i="6" s="1"/>
  <c r="X340" i="6" s="1"/>
  <c r="BH340" i="6" s="1"/>
  <c r="X341" i="6" s="1"/>
  <c r="BH341" i="6" s="1"/>
  <c r="X342" i="6" s="1"/>
  <c r="BH342" i="6" s="1"/>
  <c r="X343" i="6" s="1"/>
  <c r="BH343" i="6" s="1"/>
  <c r="X344" i="6" s="1"/>
  <c r="BH344" i="6" s="1"/>
  <c r="X345" i="6" s="1"/>
  <c r="BH345" i="6" s="1"/>
  <c r="X346" i="6" s="1"/>
  <c r="BH346" i="6" s="1"/>
  <c r="X347" i="6" s="1"/>
  <c r="BH347" i="6" s="1"/>
  <c r="X348" i="6" s="1"/>
  <c r="BH348" i="6" s="1"/>
  <c r="X349" i="6" s="1"/>
  <c r="BH349" i="6" s="1"/>
  <c r="X350" i="6" s="1"/>
  <c r="BH350" i="6" s="1"/>
  <c r="X351" i="6" s="1"/>
  <c r="BH351" i="6" s="1"/>
  <c r="X352" i="6" s="1"/>
  <c r="BH352" i="6" s="1"/>
  <c r="X353" i="6" s="1"/>
  <c r="BH353" i="6" s="1"/>
  <c r="X354" i="6" s="1"/>
  <c r="BH354" i="6" s="1"/>
  <c r="X355" i="6" s="1"/>
  <c r="BH355" i="6" s="1"/>
  <c r="X356" i="6" s="1"/>
  <c r="BH356" i="6" s="1"/>
  <c r="X357" i="6" s="1"/>
  <c r="BH357" i="6" s="1"/>
  <c r="X358" i="6" s="1"/>
  <c r="BH358" i="6" s="1"/>
  <c r="X359" i="6" s="1"/>
  <c r="BH359" i="6" s="1"/>
  <c r="X360" i="6" s="1"/>
  <c r="BH360" i="6" s="1"/>
  <c r="X361" i="6" s="1"/>
  <c r="BH361" i="6" s="1"/>
  <c r="X362" i="6" s="1"/>
  <c r="BH362" i="6" s="1"/>
  <c r="X363" i="6" s="1"/>
  <c r="BH363" i="6" s="1"/>
  <c r="X364" i="6" s="1"/>
  <c r="BH364" i="6" s="1"/>
  <c r="X365" i="6" s="1"/>
  <c r="BH365" i="6" s="1"/>
  <c r="J334" i="6"/>
  <c r="I334" i="6"/>
  <c r="H334" i="6"/>
  <c r="G334" i="6"/>
  <c r="F334" i="6"/>
  <c r="E334" i="6"/>
  <c r="D334" i="6"/>
  <c r="C334" i="6"/>
  <c r="B334" i="6"/>
  <c r="A334" i="6"/>
  <c r="BA333" i="6"/>
  <c r="Q334" i="6" s="1"/>
  <c r="AT333" i="6"/>
  <c r="AO333" i="6"/>
  <c r="AI333" i="6"/>
  <c r="AE333" i="6"/>
  <c r="Q333" i="6"/>
  <c r="K333" i="6"/>
  <c r="J333" i="6"/>
  <c r="I333" i="6"/>
  <c r="H333" i="6"/>
  <c r="G333" i="6"/>
  <c r="F333" i="6"/>
  <c r="E333" i="6"/>
  <c r="D333" i="6"/>
  <c r="C333" i="6"/>
  <c r="B333" i="6"/>
  <c r="A333" i="6"/>
  <c r="AT332" i="6"/>
  <c r="AO332" i="6"/>
  <c r="AF332" i="6"/>
  <c r="K332" i="6"/>
  <c r="H332" i="6"/>
  <c r="G332" i="6"/>
  <c r="AI332" i="6" s="1"/>
  <c r="F332" i="6"/>
  <c r="E332" i="6"/>
  <c r="D332" i="6"/>
  <c r="C332" i="6"/>
  <c r="B332" i="6"/>
  <c r="A332" i="6"/>
  <c r="BE331" i="6"/>
  <c r="AT331" i="6"/>
  <c r="AO331" i="6"/>
  <c r="AF331" i="6"/>
  <c r="AE331" i="6"/>
  <c r="U331" i="6"/>
  <c r="S331" i="6"/>
  <c r="BC331" i="6" s="1"/>
  <c r="S332" i="6" s="1"/>
  <c r="BC332" i="6" s="1"/>
  <c r="S333" i="6" s="1"/>
  <c r="BC333" i="6" s="1"/>
  <c r="S334" i="6" s="1"/>
  <c r="BC334" i="6" s="1"/>
  <c r="S335" i="6" s="1"/>
  <c r="BC335" i="6" s="1"/>
  <c r="S336" i="6" s="1"/>
  <c r="BC336" i="6" s="1"/>
  <c r="S337" i="6" s="1"/>
  <c r="BC337" i="6" s="1"/>
  <c r="S338" i="6" s="1"/>
  <c r="BC338" i="6" s="1"/>
  <c r="S339" i="6" s="1"/>
  <c r="BC339" i="6" s="1"/>
  <c r="S340" i="6" s="1"/>
  <c r="BC340" i="6" s="1"/>
  <c r="S341" i="6" s="1"/>
  <c r="BC341" i="6" s="1"/>
  <c r="S342" i="6" s="1"/>
  <c r="BC342" i="6" s="1"/>
  <c r="S343" i="6" s="1"/>
  <c r="BC343" i="6" s="1"/>
  <c r="S344" i="6" s="1"/>
  <c r="BC344" i="6" s="1"/>
  <c r="S345" i="6" s="1"/>
  <c r="BC345" i="6" s="1"/>
  <c r="S346" i="6" s="1"/>
  <c r="BC346" i="6" s="1"/>
  <c r="S347" i="6" s="1"/>
  <c r="BC347" i="6" s="1"/>
  <c r="S348" i="6" s="1"/>
  <c r="BC348" i="6" s="1"/>
  <c r="S349" i="6" s="1"/>
  <c r="BC349" i="6" s="1"/>
  <c r="S350" i="6" s="1"/>
  <c r="BC350" i="6" s="1"/>
  <c r="S351" i="6" s="1"/>
  <c r="BC351" i="6" s="1"/>
  <c r="S352" i="6" s="1"/>
  <c r="BC352" i="6" s="1"/>
  <c r="S353" i="6" s="1"/>
  <c r="BC353" i="6" s="1"/>
  <c r="S354" i="6" s="1"/>
  <c r="BC354" i="6" s="1"/>
  <c r="S355" i="6" s="1"/>
  <c r="BC355" i="6" s="1"/>
  <c r="S356" i="6" s="1"/>
  <c r="BC356" i="6" s="1"/>
  <c r="S357" i="6" s="1"/>
  <c r="BC357" i="6" s="1"/>
  <c r="S358" i="6" s="1"/>
  <c r="BC358" i="6" s="1"/>
  <c r="S359" i="6" s="1"/>
  <c r="BC359" i="6" s="1"/>
  <c r="S360" i="6" s="1"/>
  <c r="BC360" i="6" s="1"/>
  <c r="S361" i="6" s="1"/>
  <c r="BC361" i="6" s="1"/>
  <c r="S362" i="6" s="1"/>
  <c r="BC362" i="6" s="1"/>
  <c r="S363" i="6" s="1"/>
  <c r="BC363" i="6" s="1"/>
  <c r="S364" i="6" s="1"/>
  <c r="BC364" i="6" s="1"/>
  <c r="S365" i="6" s="1"/>
  <c r="BC365" i="6" s="1"/>
  <c r="K331" i="6"/>
  <c r="I331" i="6"/>
  <c r="H331" i="6"/>
  <c r="G331" i="6"/>
  <c r="F331" i="6"/>
  <c r="E331" i="6"/>
  <c r="D331" i="6"/>
  <c r="C331" i="6"/>
  <c r="B331" i="6"/>
  <c r="A331" i="6"/>
  <c r="BN330" i="6"/>
  <c r="BO330" i="6" s="1"/>
  <c r="BN331" i="6" s="1"/>
  <c r="BI330" i="6"/>
  <c r="Y331" i="6" s="1"/>
  <c r="BI331" i="6" s="1"/>
  <c r="Y332" i="6" s="1"/>
  <c r="BI332" i="6" s="1"/>
  <c r="Y333" i="6" s="1"/>
  <c r="BI333" i="6" s="1"/>
  <c r="Y334" i="6" s="1"/>
  <c r="BI334" i="6" s="1"/>
  <c r="Y335" i="6" s="1"/>
  <c r="BI335" i="6" s="1"/>
  <c r="Y336" i="6" s="1"/>
  <c r="BI336" i="6" s="1"/>
  <c r="Y337" i="6" s="1"/>
  <c r="BI337" i="6" s="1"/>
  <c r="Y338" i="6" s="1"/>
  <c r="BI338" i="6" s="1"/>
  <c r="Y339" i="6" s="1"/>
  <c r="BI339" i="6" s="1"/>
  <c r="Y340" i="6" s="1"/>
  <c r="BI340" i="6" s="1"/>
  <c r="Y341" i="6" s="1"/>
  <c r="BI341" i="6" s="1"/>
  <c r="Y342" i="6" s="1"/>
  <c r="BI342" i="6" s="1"/>
  <c r="Y343" i="6" s="1"/>
  <c r="BI343" i="6" s="1"/>
  <c r="Y344" i="6" s="1"/>
  <c r="BI344" i="6" s="1"/>
  <c r="Y345" i="6" s="1"/>
  <c r="BI345" i="6" s="1"/>
  <c r="Y346" i="6" s="1"/>
  <c r="BI346" i="6" s="1"/>
  <c r="Y347" i="6" s="1"/>
  <c r="BI347" i="6" s="1"/>
  <c r="Y348" i="6" s="1"/>
  <c r="BI348" i="6" s="1"/>
  <c r="Y349" i="6" s="1"/>
  <c r="BI349" i="6" s="1"/>
  <c r="Y350" i="6" s="1"/>
  <c r="BI350" i="6" s="1"/>
  <c r="Y351" i="6" s="1"/>
  <c r="BI351" i="6" s="1"/>
  <c r="Y352" i="6" s="1"/>
  <c r="BI352" i="6" s="1"/>
  <c r="Y353" i="6" s="1"/>
  <c r="BI353" i="6" s="1"/>
  <c r="Y354" i="6" s="1"/>
  <c r="BI354" i="6" s="1"/>
  <c r="Y355" i="6" s="1"/>
  <c r="BI355" i="6" s="1"/>
  <c r="Y356" i="6" s="1"/>
  <c r="BI356" i="6" s="1"/>
  <c r="Y357" i="6" s="1"/>
  <c r="BI357" i="6" s="1"/>
  <c r="Y358" i="6" s="1"/>
  <c r="BI358" i="6" s="1"/>
  <c r="Y359" i="6" s="1"/>
  <c r="BI359" i="6" s="1"/>
  <c r="Y360" i="6" s="1"/>
  <c r="BI360" i="6" s="1"/>
  <c r="Y361" i="6" s="1"/>
  <c r="BI361" i="6" s="1"/>
  <c r="Y362" i="6" s="1"/>
  <c r="BI362" i="6" s="1"/>
  <c r="Y363" i="6" s="1"/>
  <c r="BI363" i="6" s="1"/>
  <c r="Y364" i="6" s="1"/>
  <c r="BI364" i="6" s="1"/>
  <c r="Y365" i="6" s="1"/>
  <c r="BI365" i="6" s="1"/>
  <c r="BE330" i="6"/>
  <c r="BD330" i="6"/>
  <c r="T331" i="6" s="1"/>
  <c r="AW330" i="6"/>
  <c r="M331" i="6" s="1"/>
  <c r="AW331" i="6" s="1"/>
  <c r="M332" i="6" s="1"/>
  <c r="AT330" i="6"/>
  <c r="AP330" i="6"/>
  <c r="AO330" i="6"/>
  <c r="AF330" i="6"/>
  <c r="AC330" i="6"/>
  <c r="BM330" i="6" s="1"/>
  <c r="AC331" i="6" s="1"/>
  <c r="BM331" i="6" s="1"/>
  <c r="AC332" i="6" s="1"/>
  <c r="BM332" i="6" s="1"/>
  <c r="AC333" i="6" s="1"/>
  <c r="BM333" i="6" s="1"/>
  <c r="AC334" i="6" s="1"/>
  <c r="BM334" i="6" s="1"/>
  <c r="AC335" i="6" s="1"/>
  <c r="BM335" i="6" s="1"/>
  <c r="AC336" i="6" s="1"/>
  <c r="BM336" i="6" s="1"/>
  <c r="AC337" i="6" s="1"/>
  <c r="BM337" i="6" s="1"/>
  <c r="AC338" i="6" s="1"/>
  <c r="BM338" i="6" s="1"/>
  <c r="AC339" i="6" s="1"/>
  <c r="BM339" i="6" s="1"/>
  <c r="AC340" i="6" s="1"/>
  <c r="BM340" i="6" s="1"/>
  <c r="AC341" i="6" s="1"/>
  <c r="BM341" i="6" s="1"/>
  <c r="AC342" i="6" s="1"/>
  <c r="BM342" i="6" s="1"/>
  <c r="AC343" i="6" s="1"/>
  <c r="BM343" i="6" s="1"/>
  <c r="AC344" i="6" s="1"/>
  <c r="BM344" i="6" s="1"/>
  <c r="AC345" i="6" s="1"/>
  <c r="BM345" i="6" s="1"/>
  <c r="AC346" i="6" s="1"/>
  <c r="BM346" i="6" s="1"/>
  <c r="AC347" i="6" s="1"/>
  <c r="BM347" i="6" s="1"/>
  <c r="AC348" i="6" s="1"/>
  <c r="BM348" i="6" s="1"/>
  <c r="AC349" i="6" s="1"/>
  <c r="BM349" i="6" s="1"/>
  <c r="AC350" i="6" s="1"/>
  <c r="BM350" i="6" s="1"/>
  <c r="AC351" i="6" s="1"/>
  <c r="BM351" i="6" s="1"/>
  <c r="AC352" i="6" s="1"/>
  <c r="BM352" i="6" s="1"/>
  <c r="AC353" i="6" s="1"/>
  <c r="BM353" i="6" s="1"/>
  <c r="AC354" i="6" s="1"/>
  <c r="BM354" i="6" s="1"/>
  <c r="AC355" i="6" s="1"/>
  <c r="BM355" i="6" s="1"/>
  <c r="AC356" i="6" s="1"/>
  <c r="BM356" i="6" s="1"/>
  <c r="AC357" i="6" s="1"/>
  <c r="BM357" i="6" s="1"/>
  <c r="AC358" i="6" s="1"/>
  <c r="BM358" i="6" s="1"/>
  <c r="AC359" i="6" s="1"/>
  <c r="BM359" i="6" s="1"/>
  <c r="AC360" i="6" s="1"/>
  <c r="BM360" i="6" s="1"/>
  <c r="AC361" i="6" s="1"/>
  <c r="BM361" i="6" s="1"/>
  <c r="AC362" i="6" s="1"/>
  <c r="BM362" i="6" s="1"/>
  <c r="AC363" i="6" s="1"/>
  <c r="BM363" i="6" s="1"/>
  <c r="AC364" i="6" s="1"/>
  <c r="BM364" i="6" s="1"/>
  <c r="AC365" i="6" s="1"/>
  <c r="BM365" i="6" s="1"/>
  <c r="AB330" i="6"/>
  <c r="BL330" i="6" s="1"/>
  <c r="AB331" i="6" s="1"/>
  <c r="BL331" i="6" s="1"/>
  <c r="AB332" i="6" s="1"/>
  <c r="BL332" i="6" s="1"/>
  <c r="AB333" i="6" s="1"/>
  <c r="BL333" i="6" s="1"/>
  <c r="AB334" i="6" s="1"/>
  <c r="BL334" i="6" s="1"/>
  <c r="AB335" i="6" s="1"/>
  <c r="BL335" i="6" s="1"/>
  <c r="AB336" i="6" s="1"/>
  <c r="BL336" i="6" s="1"/>
  <c r="AB337" i="6" s="1"/>
  <c r="BL337" i="6" s="1"/>
  <c r="AB338" i="6" s="1"/>
  <c r="BL338" i="6" s="1"/>
  <c r="AB339" i="6" s="1"/>
  <c r="BL339" i="6" s="1"/>
  <c r="AB340" i="6" s="1"/>
  <c r="BL340" i="6" s="1"/>
  <c r="AB341" i="6" s="1"/>
  <c r="BL341" i="6" s="1"/>
  <c r="AB342" i="6" s="1"/>
  <c r="BL342" i="6" s="1"/>
  <c r="AB343" i="6" s="1"/>
  <c r="BL343" i="6" s="1"/>
  <c r="AB344" i="6" s="1"/>
  <c r="BL344" i="6" s="1"/>
  <c r="AB345" i="6" s="1"/>
  <c r="BL345" i="6" s="1"/>
  <c r="AB346" i="6" s="1"/>
  <c r="BL346" i="6" s="1"/>
  <c r="AB347" i="6" s="1"/>
  <c r="BL347" i="6" s="1"/>
  <c r="AB348" i="6" s="1"/>
  <c r="BL348" i="6" s="1"/>
  <c r="AB349" i="6" s="1"/>
  <c r="BL349" i="6" s="1"/>
  <c r="AB350" i="6" s="1"/>
  <c r="BL350" i="6" s="1"/>
  <c r="AB351" i="6" s="1"/>
  <c r="BL351" i="6" s="1"/>
  <c r="AB352" i="6" s="1"/>
  <c r="BL352" i="6" s="1"/>
  <c r="AB353" i="6" s="1"/>
  <c r="BL353" i="6" s="1"/>
  <c r="AB354" i="6" s="1"/>
  <c r="BL354" i="6" s="1"/>
  <c r="AB355" i="6" s="1"/>
  <c r="BL355" i="6" s="1"/>
  <c r="AB356" i="6" s="1"/>
  <c r="BL356" i="6" s="1"/>
  <c r="AB357" i="6" s="1"/>
  <c r="BL357" i="6" s="1"/>
  <c r="AB358" i="6" s="1"/>
  <c r="BL358" i="6" s="1"/>
  <c r="AB359" i="6" s="1"/>
  <c r="BL359" i="6" s="1"/>
  <c r="AB360" i="6" s="1"/>
  <c r="BL360" i="6" s="1"/>
  <c r="AB361" i="6" s="1"/>
  <c r="BL361" i="6" s="1"/>
  <c r="AB362" i="6" s="1"/>
  <c r="BL362" i="6" s="1"/>
  <c r="AB363" i="6" s="1"/>
  <c r="BL363" i="6" s="1"/>
  <c r="AB364" i="6" s="1"/>
  <c r="BL364" i="6" s="1"/>
  <c r="AB365" i="6" s="1"/>
  <c r="BL365" i="6" s="1"/>
  <c r="AA330" i="6"/>
  <c r="BK330" i="6" s="1"/>
  <c r="AA331" i="6" s="1"/>
  <c r="BK331" i="6" s="1"/>
  <c r="AA332" i="6" s="1"/>
  <c r="BK332" i="6" s="1"/>
  <c r="AA333" i="6" s="1"/>
  <c r="BK333" i="6" s="1"/>
  <c r="AA334" i="6" s="1"/>
  <c r="BK334" i="6" s="1"/>
  <c r="Z330" i="6"/>
  <c r="BJ330" i="6" s="1"/>
  <c r="Z331" i="6" s="1"/>
  <c r="BJ331" i="6" s="1"/>
  <c r="Z332" i="6" s="1"/>
  <c r="BJ332" i="6" s="1"/>
  <c r="Z333" i="6" s="1"/>
  <c r="BJ333" i="6" s="1"/>
  <c r="Z334" i="6" s="1"/>
  <c r="BJ334" i="6" s="1"/>
  <c r="Z335" i="6" s="1"/>
  <c r="BJ335" i="6" s="1"/>
  <c r="Z336" i="6" s="1"/>
  <c r="BJ336" i="6" s="1"/>
  <c r="Z337" i="6" s="1"/>
  <c r="BJ337" i="6" s="1"/>
  <c r="Z338" i="6" s="1"/>
  <c r="BJ338" i="6" s="1"/>
  <c r="Z339" i="6" s="1"/>
  <c r="BJ339" i="6" s="1"/>
  <c r="Z340" i="6" s="1"/>
  <c r="BJ340" i="6" s="1"/>
  <c r="Z341" i="6" s="1"/>
  <c r="BJ341" i="6" s="1"/>
  <c r="Z342" i="6" s="1"/>
  <c r="BJ342" i="6" s="1"/>
  <c r="Z343" i="6" s="1"/>
  <c r="BJ343" i="6" s="1"/>
  <c r="Z344" i="6" s="1"/>
  <c r="BJ344" i="6" s="1"/>
  <c r="Z345" i="6" s="1"/>
  <c r="BJ345" i="6" s="1"/>
  <c r="Z346" i="6" s="1"/>
  <c r="BJ346" i="6" s="1"/>
  <c r="Z347" i="6" s="1"/>
  <c r="BJ347" i="6" s="1"/>
  <c r="Z348" i="6" s="1"/>
  <c r="BJ348" i="6" s="1"/>
  <c r="Z349" i="6" s="1"/>
  <c r="BJ349" i="6" s="1"/>
  <c r="Z350" i="6" s="1"/>
  <c r="BJ350" i="6" s="1"/>
  <c r="Z351" i="6" s="1"/>
  <c r="BJ351" i="6" s="1"/>
  <c r="Z352" i="6" s="1"/>
  <c r="BJ352" i="6" s="1"/>
  <c r="Z353" i="6" s="1"/>
  <c r="BJ353" i="6" s="1"/>
  <c r="Z354" i="6" s="1"/>
  <c r="BJ354" i="6" s="1"/>
  <c r="Z355" i="6" s="1"/>
  <c r="BJ355" i="6" s="1"/>
  <c r="Z356" i="6" s="1"/>
  <c r="BJ356" i="6" s="1"/>
  <c r="Z357" i="6" s="1"/>
  <c r="BJ357" i="6" s="1"/>
  <c r="Z358" i="6" s="1"/>
  <c r="BJ358" i="6" s="1"/>
  <c r="Z359" i="6" s="1"/>
  <c r="BJ359" i="6" s="1"/>
  <c r="Z360" i="6" s="1"/>
  <c r="BJ360" i="6" s="1"/>
  <c r="Z361" i="6" s="1"/>
  <c r="BJ361" i="6" s="1"/>
  <c r="Z362" i="6" s="1"/>
  <c r="BJ362" i="6" s="1"/>
  <c r="Z363" i="6" s="1"/>
  <c r="BJ363" i="6" s="1"/>
  <c r="Z364" i="6" s="1"/>
  <c r="BJ364" i="6" s="1"/>
  <c r="Z365" i="6" s="1"/>
  <c r="BJ365" i="6" s="1"/>
  <c r="Y330" i="6"/>
  <c r="X330" i="6"/>
  <c r="BH330" i="6" s="1"/>
  <c r="X331" i="6" s="1"/>
  <c r="BH331" i="6" s="1"/>
  <c r="X332" i="6" s="1"/>
  <c r="BH332" i="6" s="1"/>
  <c r="X333" i="6" s="1"/>
  <c r="BH333" i="6" s="1"/>
  <c r="W330" i="6"/>
  <c r="BG330" i="6" s="1"/>
  <c r="W331" i="6" s="1"/>
  <c r="BG331" i="6" s="1"/>
  <c r="W332" i="6" s="1"/>
  <c r="BG332" i="6" s="1"/>
  <c r="W333" i="6" s="1"/>
  <c r="V330" i="6"/>
  <c r="BF330" i="6" s="1"/>
  <c r="V331" i="6" s="1"/>
  <c r="BF331" i="6" s="1"/>
  <c r="V332" i="6" s="1"/>
  <c r="BF332" i="6" s="1"/>
  <c r="V333" i="6" s="1"/>
  <c r="BF333" i="6" s="1"/>
  <c r="V334" i="6" s="1"/>
  <c r="BF334" i="6" s="1"/>
  <c r="V335" i="6" s="1"/>
  <c r="BF335" i="6" s="1"/>
  <c r="U330" i="6"/>
  <c r="T330" i="6"/>
  <c r="S330" i="6"/>
  <c r="BC330" i="6" s="1"/>
  <c r="R330" i="6"/>
  <c r="BB330" i="6" s="1"/>
  <c r="R331" i="6" s="1"/>
  <c r="BB331" i="6" s="1"/>
  <c r="R332" i="6" s="1"/>
  <c r="BB332" i="6" s="1"/>
  <c r="R333" i="6" s="1"/>
  <c r="BB333" i="6" s="1"/>
  <c r="R334" i="6" s="1"/>
  <c r="BB334" i="6" s="1"/>
  <c r="R335" i="6" s="1"/>
  <c r="BB335" i="6" s="1"/>
  <c r="R336" i="6" s="1"/>
  <c r="BB336" i="6" s="1"/>
  <c r="R337" i="6" s="1"/>
  <c r="BB337" i="6" s="1"/>
  <c r="R338" i="6" s="1"/>
  <c r="BB338" i="6" s="1"/>
  <c r="R339" i="6" s="1"/>
  <c r="BB339" i="6" s="1"/>
  <c r="R340" i="6" s="1"/>
  <c r="BB340" i="6" s="1"/>
  <c r="R341" i="6" s="1"/>
  <c r="BB341" i="6" s="1"/>
  <c r="R342" i="6" s="1"/>
  <c r="BB342" i="6" s="1"/>
  <c r="R343" i="6" s="1"/>
  <c r="BB343" i="6" s="1"/>
  <c r="R344" i="6" s="1"/>
  <c r="BB344" i="6" s="1"/>
  <c r="R345" i="6" s="1"/>
  <c r="BB345" i="6" s="1"/>
  <c r="R346" i="6" s="1"/>
  <c r="BB346" i="6" s="1"/>
  <c r="R347" i="6" s="1"/>
  <c r="BB347" i="6" s="1"/>
  <c r="R348" i="6" s="1"/>
  <c r="BB348" i="6" s="1"/>
  <c r="R349" i="6" s="1"/>
  <c r="BB349" i="6" s="1"/>
  <c r="R350" i="6" s="1"/>
  <c r="BB350" i="6" s="1"/>
  <c r="R351" i="6" s="1"/>
  <c r="BB351" i="6" s="1"/>
  <c r="R352" i="6" s="1"/>
  <c r="BB352" i="6" s="1"/>
  <c r="R353" i="6" s="1"/>
  <c r="BB353" i="6" s="1"/>
  <c r="R354" i="6" s="1"/>
  <c r="BB354" i="6" s="1"/>
  <c r="R355" i="6" s="1"/>
  <c r="BB355" i="6" s="1"/>
  <c r="R356" i="6" s="1"/>
  <c r="BB356" i="6" s="1"/>
  <c r="R357" i="6" s="1"/>
  <c r="BB357" i="6" s="1"/>
  <c r="R358" i="6" s="1"/>
  <c r="BB358" i="6" s="1"/>
  <c r="R359" i="6" s="1"/>
  <c r="BB359" i="6" s="1"/>
  <c r="R360" i="6" s="1"/>
  <c r="BB360" i="6" s="1"/>
  <c r="R361" i="6" s="1"/>
  <c r="BB361" i="6" s="1"/>
  <c r="R362" i="6" s="1"/>
  <c r="BB362" i="6" s="1"/>
  <c r="R363" i="6" s="1"/>
  <c r="BB363" i="6" s="1"/>
  <c r="R364" i="6" s="1"/>
  <c r="BB364" i="6" s="1"/>
  <c r="R365" i="6" s="1"/>
  <c r="BB365" i="6" s="1"/>
  <c r="Q330" i="6"/>
  <c r="BA330" i="6" s="1"/>
  <c r="Q331" i="6" s="1"/>
  <c r="BA331" i="6" s="1"/>
  <c r="Q332" i="6" s="1"/>
  <c r="BA332" i="6" s="1"/>
  <c r="O330" i="6"/>
  <c r="AY330" i="6" s="1"/>
  <c r="O331" i="6" s="1"/>
  <c r="AY331" i="6" s="1"/>
  <c r="O332" i="6" s="1"/>
  <c r="AY332" i="6" s="1"/>
  <c r="O333" i="6" s="1"/>
  <c r="AY333" i="6" s="1"/>
  <c r="O334" i="6" s="1"/>
  <c r="AY334" i="6" s="1"/>
  <c r="O335" i="6" s="1"/>
  <c r="AY335" i="6" s="1"/>
  <c r="O336" i="6" s="1"/>
  <c r="AY336" i="6" s="1"/>
  <c r="O337" i="6" s="1"/>
  <c r="N330" i="6"/>
  <c r="AX330" i="6" s="1"/>
  <c r="N331" i="6" s="1"/>
  <c r="AX331" i="6" s="1"/>
  <c r="N332" i="6" s="1"/>
  <c r="AX332" i="6" s="1"/>
  <c r="N333" i="6" s="1"/>
  <c r="AX333" i="6" s="1"/>
  <c r="N334" i="6" s="1"/>
  <c r="AX334" i="6" s="1"/>
  <c r="N335" i="6" s="1"/>
  <c r="AX335" i="6" s="1"/>
  <c r="N336" i="6" s="1"/>
  <c r="AX336" i="6" s="1"/>
  <c r="M330" i="6"/>
  <c r="L330" i="6"/>
  <c r="I330" i="6"/>
  <c r="H330" i="6"/>
  <c r="G330" i="6"/>
  <c r="AV330" i="6" s="1"/>
  <c r="L331" i="6" s="1"/>
  <c r="F330" i="6"/>
  <c r="E330" i="6"/>
  <c r="D330" i="6"/>
  <c r="C330" i="6"/>
  <c r="B330" i="6"/>
  <c r="A330" i="6"/>
  <c r="AO329" i="6"/>
  <c r="AI329" i="6"/>
  <c r="K329" i="6"/>
  <c r="I329" i="6"/>
  <c r="H329" i="6"/>
  <c r="G329" i="6"/>
  <c r="F329" i="6"/>
  <c r="E329" i="6"/>
  <c r="D329" i="6"/>
  <c r="C329" i="6"/>
  <c r="B329" i="6"/>
  <c r="A329" i="6"/>
  <c r="AO328" i="6"/>
  <c r="H328" i="6"/>
  <c r="G328" i="6"/>
  <c r="F328" i="6"/>
  <c r="E328" i="6"/>
  <c r="D328" i="6"/>
  <c r="C328" i="6"/>
  <c r="B328" i="6"/>
  <c r="A328" i="6"/>
  <c r="AO327" i="6"/>
  <c r="H327" i="6"/>
  <c r="G327" i="6"/>
  <c r="F327" i="6"/>
  <c r="E327" i="6"/>
  <c r="D327" i="6"/>
  <c r="C327" i="6"/>
  <c r="B327" i="6"/>
  <c r="A327" i="6"/>
  <c r="AO326" i="6"/>
  <c r="J326" i="6"/>
  <c r="H326" i="6"/>
  <c r="G326" i="6"/>
  <c r="F326" i="6"/>
  <c r="E326" i="6"/>
  <c r="D326" i="6"/>
  <c r="C326" i="6"/>
  <c r="B326" i="6"/>
  <c r="A326" i="6"/>
  <c r="AO325" i="6"/>
  <c r="AE325" i="6"/>
  <c r="J325" i="6"/>
  <c r="H325" i="6"/>
  <c r="G325" i="6"/>
  <c r="F325" i="6"/>
  <c r="E325" i="6"/>
  <c r="D325" i="6"/>
  <c r="C325" i="6"/>
  <c r="B325" i="6"/>
  <c r="A325" i="6"/>
  <c r="AO324" i="6"/>
  <c r="AE324" i="6"/>
  <c r="K324" i="6"/>
  <c r="J324" i="6"/>
  <c r="H324" i="6"/>
  <c r="G324" i="6"/>
  <c r="F324" i="6"/>
  <c r="E324" i="6"/>
  <c r="D324" i="6"/>
  <c r="C324" i="6"/>
  <c r="B324" i="6"/>
  <c r="A324" i="6"/>
  <c r="AO323" i="6"/>
  <c r="AE323" i="6"/>
  <c r="J323" i="6"/>
  <c r="I323" i="6"/>
  <c r="H323" i="6"/>
  <c r="G323" i="6"/>
  <c r="F323" i="6"/>
  <c r="E323" i="6"/>
  <c r="D323" i="6"/>
  <c r="C323" i="6"/>
  <c r="B323" i="6"/>
  <c r="A323" i="6"/>
  <c r="AO322" i="6"/>
  <c r="AE322" i="6"/>
  <c r="J322" i="6"/>
  <c r="I322" i="6"/>
  <c r="H322" i="6"/>
  <c r="G322" i="6"/>
  <c r="F322" i="6"/>
  <c r="E322" i="6"/>
  <c r="D322" i="6"/>
  <c r="C322" i="6"/>
  <c r="B322" i="6"/>
  <c r="A322" i="6"/>
  <c r="AO321" i="6"/>
  <c r="AE321" i="6"/>
  <c r="K321" i="6"/>
  <c r="J321" i="6"/>
  <c r="I321" i="6"/>
  <c r="H321" i="6"/>
  <c r="G321" i="6"/>
  <c r="F321" i="6"/>
  <c r="E321" i="6"/>
  <c r="D321" i="6"/>
  <c r="C321" i="6"/>
  <c r="B321" i="6"/>
  <c r="A321" i="6"/>
  <c r="AO320" i="6"/>
  <c r="AE320" i="6"/>
  <c r="K320" i="6"/>
  <c r="H320" i="6"/>
  <c r="G320" i="6"/>
  <c r="F320" i="6"/>
  <c r="J320" i="6" s="1"/>
  <c r="E320" i="6"/>
  <c r="D320" i="6"/>
  <c r="C320" i="6"/>
  <c r="B320" i="6"/>
  <c r="A320" i="6"/>
  <c r="BI319" i="6"/>
  <c r="Y320" i="6" s="1"/>
  <c r="BI320" i="6" s="1"/>
  <c r="Y321" i="6" s="1"/>
  <c r="BI321" i="6" s="1"/>
  <c r="Y322" i="6" s="1"/>
  <c r="BI322" i="6" s="1"/>
  <c r="Y323" i="6" s="1"/>
  <c r="BI323" i="6" s="1"/>
  <c r="Y324" i="6" s="1"/>
  <c r="BI324" i="6" s="1"/>
  <c r="Y325" i="6" s="1"/>
  <c r="BI325" i="6" s="1"/>
  <c r="Y326" i="6" s="1"/>
  <c r="BI326" i="6" s="1"/>
  <c r="Y327" i="6" s="1"/>
  <c r="BI327" i="6" s="1"/>
  <c r="Y328" i="6" s="1"/>
  <c r="BI328" i="6" s="1"/>
  <c r="Y329" i="6" s="1"/>
  <c r="BI329" i="6" s="1"/>
  <c r="AO319" i="6"/>
  <c r="I319" i="6"/>
  <c r="H319" i="6"/>
  <c r="G319" i="6"/>
  <c r="F319" i="6"/>
  <c r="J319" i="6" s="1"/>
  <c r="E319" i="6"/>
  <c r="D319" i="6"/>
  <c r="C319" i="6"/>
  <c r="B319" i="6"/>
  <c r="A319" i="6"/>
  <c r="AO318" i="6"/>
  <c r="H318" i="6"/>
  <c r="G318" i="6"/>
  <c r="F318" i="6"/>
  <c r="AI318" i="6" s="1"/>
  <c r="E318" i="6"/>
  <c r="D318" i="6"/>
  <c r="C318" i="6"/>
  <c r="B318" i="6"/>
  <c r="A318" i="6"/>
  <c r="AO317" i="6"/>
  <c r="H317" i="6"/>
  <c r="G317" i="6"/>
  <c r="F317" i="6"/>
  <c r="AI317" i="6" s="1"/>
  <c r="E317" i="6"/>
  <c r="D317" i="6"/>
  <c r="C317" i="6"/>
  <c r="B317" i="6"/>
  <c r="A317" i="6"/>
  <c r="AT316" i="6"/>
  <c r="K316" i="6"/>
  <c r="J316" i="6"/>
  <c r="H316" i="6"/>
  <c r="G316" i="6"/>
  <c r="F316" i="6"/>
  <c r="E316" i="6"/>
  <c r="D316" i="6"/>
  <c r="C316" i="6"/>
  <c r="B316" i="6"/>
  <c r="A316" i="6"/>
  <c r="AT315" i="6"/>
  <c r="AO315" i="6"/>
  <c r="H315" i="6"/>
  <c r="G315" i="6"/>
  <c r="F315" i="6"/>
  <c r="E315" i="6"/>
  <c r="D315" i="6"/>
  <c r="C315" i="6"/>
  <c r="B315" i="6"/>
  <c r="A315" i="6"/>
  <c r="AT314" i="6"/>
  <c r="AO314" i="6"/>
  <c r="J314" i="6"/>
  <c r="H314" i="6"/>
  <c r="G314" i="6"/>
  <c r="F314" i="6"/>
  <c r="E314" i="6"/>
  <c r="D314" i="6"/>
  <c r="C314" i="6"/>
  <c r="B314" i="6"/>
  <c r="A314" i="6"/>
  <c r="AT313" i="6"/>
  <c r="AO313" i="6"/>
  <c r="J313" i="6"/>
  <c r="H313" i="6"/>
  <c r="G313" i="6"/>
  <c r="F313" i="6"/>
  <c r="E313" i="6"/>
  <c r="D313" i="6"/>
  <c r="C313" i="6"/>
  <c r="B313" i="6"/>
  <c r="A313" i="6"/>
  <c r="AT312" i="6"/>
  <c r="AO312" i="6"/>
  <c r="AI312" i="6"/>
  <c r="AE312" i="6"/>
  <c r="K312" i="6"/>
  <c r="J312" i="6"/>
  <c r="H312" i="6"/>
  <c r="G312" i="6"/>
  <c r="F312" i="6"/>
  <c r="E312" i="6"/>
  <c r="D312" i="6"/>
  <c r="C312" i="6"/>
  <c r="B312" i="6"/>
  <c r="A312" i="6"/>
  <c r="AT311" i="6"/>
  <c r="AO311" i="6"/>
  <c r="J311" i="6"/>
  <c r="H311" i="6"/>
  <c r="AF311" i="6" s="1"/>
  <c r="G311" i="6"/>
  <c r="F311" i="6"/>
  <c r="E311" i="6"/>
  <c r="D311" i="6"/>
  <c r="C311" i="6"/>
  <c r="B311" i="6"/>
  <c r="A311" i="6"/>
  <c r="AT310" i="6"/>
  <c r="AE310" i="6"/>
  <c r="J310" i="6"/>
  <c r="I310" i="6"/>
  <c r="H310" i="6"/>
  <c r="G310" i="6"/>
  <c r="F310" i="6"/>
  <c r="E310" i="6"/>
  <c r="D310" i="6"/>
  <c r="C310" i="6"/>
  <c r="B310" i="6"/>
  <c r="A310" i="6"/>
  <c r="AT309" i="6"/>
  <c r="AO309" i="6"/>
  <c r="AF309" i="6"/>
  <c r="AE309" i="6"/>
  <c r="K309" i="6"/>
  <c r="J309" i="6"/>
  <c r="I309" i="6"/>
  <c r="H309" i="6"/>
  <c r="G309" i="6"/>
  <c r="AI309" i="6" s="1"/>
  <c r="F309" i="6"/>
  <c r="E309" i="6"/>
  <c r="D309" i="6"/>
  <c r="C309" i="6"/>
  <c r="B309" i="6"/>
  <c r="A309" i="6"/>
  <c r="AT308" i="6"/>
  <c r="AO308" i="6"/>
  <c r="AF308" i="6"/>
  <c r="AE308" i="6"/>
  <c r="K308" i="6"/>
  <c r="J308" i="6"/>
  <c r="I308" i="6"/>
  <c r="H308" i="6"/>
  <c r="G308" i="6"/>
  <c r="F308" i="6"/>
  <c r="AI308" i="6" s="1"/>
  <c r="E308" i="6"/>
  <c r="D308" i="6"/>
  <c r="C308" i="6"/>
  <c r="B308" i="6"/>
  <c r="A308" i="6"/>
  <c r="AT307" i="6"/>
  <c r="AO307" i="6"/>
  <c r="AI307" i="6"/>
  <c r="AF307" i="6"/>
  <c r="AE307" i="6"/>
  <c r="K307" i="6"/>
  <c r="J307" i="6"/>
  <c r="H307" i="6"/>
  <c r="G307" i="6"/>
  <c r="F307" i="6"/>
  <c r="E307" i="6"/>
  <c r="D307" i="6"/>
  <c r="C307" i="6"/>
  <c r="B307" i="6"/>
  <c r="A307" i="6"/>
  <c r="AT306" i="6"/>
  <c r="AO306" i="6"/>
  <c r="H306" i="6"/>
  <c r="G306" i="6"/>
  <c r="F306" i="6"/>
  <c r="E306" i="6"/>
  <c r="D306" i="6"/>
  <c r="C306" i="6"/>
  <c r="B306" i="6"/>
  <c r="A306" i="6"/>
  <c r="AT305" i="6"/>
  <c r="I305" i="6"/>
  <c r="H305" i="6"/>
  <c r="G305" i="6"/>
  <c r="F305" i="6"/>
  <c r="E305" i="6"/>
  <c r="D305" i="6"/>
  <c r="C305" i="6"/>
  <c r="B305" i="6"/>
  <c r="A305" i="6"/>
  <c r="AT304" i="6"/>
  <c r="H304" i="6"/>
  <c r="G304" i="6"/>
  <c r="F304" i="6"/>
  <c r="E304" i="6"/>
  <c r="D304" i="6"/>
  <c r="C304" i="6"/>
  <c r="B304" i="6"/>
  <c r="A304" i="6"/>
  <c r="AT303" i="6"/>
  <c r="AO303" i="6"/>
  <c r="J303" i="6"/>
  <c r="H303" i="6"/>
  <c r="AF303" i="6" s="1"/>
  <c r="G303" i="6"/>
  <c r="F303" i="6"/>
  <c r="AE303" i="6" s="1"/>
  <c r="E303" i="6"/>
  <c r="D303" i="6"/>
  <c r="C303" i="6"/>
  <c r="B303" i="6"/>
  <c r="A303" i="6"/>
  <c r="AT302" i="6"/>
  <c r="AO302" i="6"/>
  <c r="AI302" i="6"/>
  <c r="K302" i="6"/>
  <c r="J302" i="6"/>
  <c r="I302" i="6"/>
  <c r="H302" i="6"/>
  <c r="G302" i="6"/>
  <c r="F302" i="6"/>
  <c r="AE302" i="6" s="1"/>
  <c r="E302" i="6"/>
  <c r="D302" i="6"/>
  <c r="C302" i="6"/>
  <c r="B302" i="6"/>
  <c r="A302" i="6"/>
  <c r="AT301" i="6"/>
  <c r="AO301" i="6"/>
  <c r="AI301" i="6"/>
  <c r="AF301" i="6"/>
  <c r="K301" i="6"/>
  <c r="J301" i="6"/>
  <c r="H301" i="6"/>
  <c r="G301" i="6"/>
  <c r="F301" i="6"/>
  <c r="E301" i="6"/>
  <c r="D301" i="6"/>
  <c r="C301" i="6"/>
  <c r="B301" i="6"/>
  <c r="A301" i="6"/>
  <c r="AT300" i="6"/>
  <c r="AO300" i="6"/>
  <c r="AA300" i="6"/>
  <c r="BK300" i="6" s="1"/>
  <c r="AA301" i="6" s="1"/>
  <c r="BK301" i="6" s="1"/>
  <c r="AA302" i="6" s="1"/>
  <c r="BK302" i="6" s="1"/>
  <c r="AA303" i="6" s="1"/>
  <c r="BK303" i="6" s="1"/>
  <c r="AA304" i="6" s="1"/>
  <c r="BK304" i="6" s="1"/>
  <c r="AA305" i="6" s="1"/>
  <c r="BK305" i="6" s="1"/>
  <c r="AA306" i="6" s="1"/>
  <c r="BK306" i="6" s="1"/>
  <c r="AA307" i="6" s="1"/>
  <c r="BK307" i="6" s="1"/>
  <c r="AA308" i="6" s="1"/>
  <c r="BK308" i="6" s="1"/>
  <c r="AA309" i="6" s="1"/>
  <c r="BK309" i="6" s="1"/>
  <c r="AA310" i="6" s="1"/>
  <c r="BK310" i="6" s="1"/>
  <c r="AA311" i="6" s="1"/>
  <c r="BK311" i="6" s="1"/>
  <c r="AA312" i="6" s="1"/>
  <c r="BK312" i="6" s="1"/>
  <c r="AA313" i="6" s="1"/>
  <c r="BK313" i="6" s="1"/>
  <c r="AA314" i="6" s="1"/>
  <c r="BK314" i="6" s="1"/>
  <c r="AA315" i="6" s="1"/>
  <c r="BK315" i="6" s="1"/>
  <c r="AA316" i="6" s="1"/>
  <c r="BK316" i="6" s="1"/>
  <c r="AA317" i="6" s="1"/>
  <c r="BK317" i="6" s="1"/>
  <c r="AA318" i="6" s="1"/>
  <c r="BK318" i="6" s="1"/>
  <c r="AA319" i="6" s="1"/>
  <c r="BK319" i="6" s="1"/>
  <c r="AA320" i="6" s="1"/>
  <c r="BK320" i="6" s="1"/>
  <c r="AA321" i="6" s="1"/>
  <c r="BK321" i="6" s="1"/>
  <c r="AA322" i="6" s="1"/>
  <c r="BK322" i="6" s="1"/>
  <c r="AA323" i="6" s="1"/>
  <c r="BK323" i="6" s="1"/>
  <c r="AA324" i="6" s="1"/>
  <c r="BK324" i="6" s="1"/>
  <c r="AA325" i="6" s="1"/>
  <c r="BK325" i="6" s="1"/>
  <c r="AA326" i="6" s="1"/>
  <c r="BK326" i="6" s="1"/>
  <c r="AA327" i="6" s="1"/>
  <c r="BK327" i="6" s="1"/>
  <c r="AA328" i="6" s="1"/>
  <c r="BK328" i="6" s="1"/>
  <c r="AA329" i="6" s="1"/>
  <c r="BK329" i="6" s="1"/>
  <c r="J300" i="6"/>
  <c r="H300" i="6"/>
  <c r="AF300" i="6" s="1"/>
  <c r="G300" i="6"/>
  <c r="F300" i="6"/>
  <c r="AI300" i="6" s="1"/>
  <c r="E300" i="6"/>
  <c r="D300" i="6"/>
  <c r="C300" i="6"/>
  <c r="B300" i="6"/>
  <c r="A300" i="6"/>
  <c r="BM299" i="6"/>
  <c r="AC300" i="6" s="1"/>
  <c r="BM300" i="6" s="1"/>
  <c r="AC301" i="6" s="1"/>
  <c r="BM301" i="6" s="1"/>
  <c r="AC302" i="6" s="1"/>
  <c r="BM302" i="6" s="1"/>
  <c r="AC303" i="6" s="1"/>
  <c r="BM303" i="6" s="1"/>
  <c r="AC304" i="6" s="1"/>
  <c r="BM304" i="6" s="1"/>
  <c r="AC305" i="6" s="1"/>
  <c r="BM305" i="6" s="1"/>
  <c r="AC306" i="6" s="1"/>
  <c r="BM306" i="6" s="1"/>
  <c r="AC307" i="6" s="1"/>
  <c r="BM307" i="6" s="1"/>
  <c r="AC308" i="6" s="1"/>
  <c r="BM308" i="6" s="1"/>
  <c r="AC309" i="6" s="1"/>
  <c r="BM309" i="6" s="1"/>
  <c r="AC310" i="6" s="1"/>
  <c r="BM310" i="6" s="1"/>
  <c r="AC311" i="6" s="1"/>
  <c r="BM311" i="6" s="1"/>
  <c r="AC312" i="6" s="1"/>
  <c r="BM312" i="6" s="1"/>
  <c r="AC313" i="6" s="1"/>
  <c r="BM313" i="6" s="1"/>
  <c r="AC314" i="6" s="1"/>
  <c r="BM314" i="6" s="1"/>
  <c r="AC315" i="6" s="1"/>
  <c r="BM315" i="6" s="1"/>
  <c r="AC316" i="6" s="1"/>
  <c r="BM316" i="6" s="1"/>
  <c r="AC317" i="6" s="1"/>
  <c r="BM317" i="6" s="1"/>
  <c r="AC318" i="6" s="1"/>
  <c r="BM318" i="6" s="1"/>
  <c r="AC319" i="6" s="1"/>
  <c r="BM319" i="6" s="1"/>
  <c r="AC320" i="6" s="1"/>
  <c r="BM320" i="6" s="1"/>
  <c r="AC321" i="6" s="1"/>
  <c r="BM321" i="6" s="1"/>
  <c r="AC322" i="6" s="1"/>
  <c r="BM322" i="6" s="1"/>
  <c r="AC323" i="6" s="1"/>
  <c r="BM323" i="6" s="1"/>
  <c r="AC324" i="6" s="1"/>
  <c r="BM324" i="6" s="1"/>
  <c r="AC325" i="6" s="1"/>
  <c r="BM325" i="6" s="1"/>
  <c r="AC326" i="6" s="1"/>
  <c r="BM326" i="6" s="1"/>
  <c r="AC327" i="6" s="1"/>
  <c r="BM327" i="6" s="1"/>
  <c r="AC328" i="6" s="1"/>
  <c r="BM328" i="6" s="1"/>
  <c r="AC329" i="6" s="1"/>
  <c r="BM329" i="6" s="1"/>
  <c r="BF299" i="6"/>
  <c r="V300" i="6" s="1"/>
  <c r="BF300" i="6" s="1"/>
  <c r="V301" i="6" s="1"/>
  <c r="BF301" i="6" s="1"/>
  <c r="V302" i="6" s="1"/>
  <c r="BF302" i="6" s="1"/>
  <c r="V303" i="6" s="1"/>
  <c r="BF303" i="6" s="1"/>
  <c r="V304" i="6" s="1"/>
  <c r="BF304" i="6" s="1"/>
  <c r="V305" i="6" s="1"/>
  <c r="BF305" i="6" s="1"/>
  <c r="V306" i="6" s="1"/>
  <c r="BF306" i="6" s="1"/>
  <c r="V307" i="6" s="1"/>
  <c r="BF307" i="6" s="1"/>
  <c r="V308" i="6" s="1"/>
  <c r="BF308" i="6" s="1"/>
  <c r="V309" i="6" s="1"/>
  <c r="BF309" i="6" s="1"/>
  <c r="V310" i="6" s="1"/>
  <c r="BF310" i="6" s="1"/>
  <c r="V311" i="6" s="1"/>
  <c r="BF311" i="6" s="1"/>
  <c r="V312" i="6" s="1"/>
  <c r="BF312" i="6" s="1"/>
  <c r="V313" i="6" s="1"/>
  <c r="BF313" i="6" s="1"/>
  <c r="V314" i="6" s="1"/>
  <c r="BF314" i="6" s="1"/>
  <c r="V315" i="6" s="1"/>
  <c r="BF315" i="6" s="1"/>
  <c r="V316" i="6" s="1"/>
  <c r="BF316" i="6" s="1"/>
  <c r="V317" i="6" s="1"/>
  <c r="AT299" i="6"/>
  <c r="V299" i="6"/>
  <c r="J299" i="6"/>
  <c r="H299" i="6"/>
  <c r="G299" i="6"/>
  <c r="F299" i="6"/>
  <c r="E299" i="6"/>
  <c r="D299" i="6"/>
  <c r="C299" i="6"/>
  <c r="B299" i="6"/>
  <c r="A299" i="6"/>
  <c r="AT298" i="6"/>
  <c r="AE298" i="6"/>
  <c r="Q298" i="6"/>
  <c r="BA298" i="6" s="1"/>
  <c r="Q299" i="6" s="1"/>
  <c r="BA299" i="6" s="1"/>
  <c r="Q300" i="6" s="1"/>
  <c r="BA300" i="6" s="1"/>
  <c r="Q301" i="6" s="1"/>
  <c r="BA301" i="6" s="1"/>
  <c r="Q302" i="6" s="1"/>
  <c r="BA302" i="6" s="1"/>
  <c r="Q303" i="6" s="1"/>
  <c r="BA303" i="6" s="1"/>
  <c r="Q304" i="6" s="1"/>
  <c r="BA304" i="6" s="1"/>
  <c r="Q305" i="6" s="1"/>
  <c r="BA305" i="6" s="1"/>
  <c r="Q306" i="6" s="1"/>
  <c r="BA306" i="6" s="1"/>
  <c r="Q307" i="6" s="1"/>
  <c r="BA307" i="6" s="1"/>
  <c r="Q308" i="6" s="1"/>
  <c r="BA308" i="6" s="1"/>
  <c r="Q309" i="6" s="1"/>
  <c r="J298" i="6"/>
  <c r="H298" i="6"/>
  <c r="G298" i="6"/>
  <c r="F298" i="6"/>
  <c r="AI298" i="6" s="1"/>
  <c r="E298" i="6"/>
  <c r="D298" i="6"/>
  <c r="C298" i="6"/>
  <c r="B298" i="6"/>
  <c r="A298" i="6"/>
  <c r="AT297" i="6"/>
  <c r="AO297" i="6"/>
  <c r="AE297" i="6"/>
  <c r="X297" i="6"/>
  <c r="BH297" i="6" s="1"/>
  <c r="X298" i="6" s="1"/>
  <c r="BH298" i="6" s="1"/>
  <c r="X299" i="6" s="1"/>
  <c r="BH299" i="6" s="1"/>
  <c r="X300" i="6" s="1"/>
  <c r="BH300" i="6" s="1"/>
  <c r="X301" i="6" s="1"/>
  <c r="BH301" i="6" s="1"/>
  <c r="X302" i="6" s="1"/>
  <c r="BH302" i="6" s="1"/>
  <c r="X303" i="6" s="1"/>
  <c r="BH303" i="6" s="1"/>
  <c r="X304" i="6" s="1"/>
  <c r="BH304" i="6" s="1"/>
  <c r="X305" i="6" s="1"/>
  <c r="BH305" i="6" s="1"/>
  <c r="X306" i="6" s="1"/>
  <c r="BH306" i="6" s="1"/>
  <c r="X307" i="6" s="1"/>
  <c r="BH307" i="6" s="1"/>
  <c r="X308" i="6" s="1"/>
  <c r="BH308" i="6" s="1"/>
  <c r="X309" i="6" s="1"/>
  <c r="BH309" i="6" s="1"/>
  <c r="X310" i="6" s="1"/>
  <c r="BH310" i="6" s="1"/>
  <c r="X311" i="6" s="1"/>
  <c r="BH311" i="6" s="1"/>
  <c r="X312" i="6" s="1"/>
  <c r="BH312" i="6" s="1"/>
  <c r="X313" i="6" s="1"/>
  <c r="BH313" i="6" s="1"/>
  <c r="X314" i="6" s="1"/>
  <c r="BH314" i="6" s="1"/>
  <c r="X315" i="6" s="1"/>
  <c r="BH315" i="6" s="1"/>
  <c r="X316" i="6" s="1"/>
  <c r="BH316" i="6" s="1"/>
  <c r="X317" i="6" s="1"/>
  <c r="BH317" i="6" s="1"/>
  <c r="X318" i="6" s="1"/>
  <c r="BH318" i="6" s="1"/>
  <c r="X319" i="6" s="1"/>
  <c r="BH319" i="6" s="1"/>
  <c r="X320" i="6" s="1"/>
  <c r="BH320" i="6" s="1"/>
  <c r="X321" i="6" s="1"/>
  <c r="BH321" i="6" s="1"/>
  <c r="X322" i="6" s="1"/>
  <c r="BH322" i="6" s="1"/>
  <c r="X323" i="6" s="1"/>
  <c r="BH323" i="6" s="1"/>
  <c r="X324" i="6" s="1"/>
  <c r="BH324" i="6" s="1"/>
  <c r="X325" i="6" s="1"/>
  <c r="BH325" i="6" s="1"/>
  <c r="X326" i="6" s="1"/>
  <c r="BH326" i="6" s="1"/>
  <c r="X327" i="6" s="1"/>
  <c r="BH327" i="6" s="1"/>
  <c r="X328" i="6" s="1"/>
  <c r="BH328" i="6" s="1"/>
  <c r="X329" i="6" s="1"/>
  <c r="BH329" i="6" s="1"/>
  <c r="J297" i="6"/>
  <c r="I297" i="6"/>
  <c r="H297" i="6"/>
  <c r="G297" i="6"/>
  <c r="F297" i="6"/>
  <c r="AI297" i="6" s="1"/>
  <c r="E297" i="6"/>
  <c r="D297" i="6"/>
  <c r="C297" i="6"/>
  <c r="B297" i="6"/>
  <c r="A297" i="6"/>
  <c r="AT296" i="6"/>
  <c r="AO296" i="6"/>
  <c r="AF296" i="6"/>
  <c r="AE296" i="6"/>
  <c r="K296" i="6"/>
  <c r="J296" i="6"/>
  <c r="I296" i="6"/>
  <c r="H296" i="6"/>
  <c r="G296" i="6"/>
  <c r="F296" i="6"/>
  <c r="E296" i="6"/>
  <c r="D296" i="6"/>
  <c r="C296" i="6"/>
  <c r="B296" i="6"/>
  <c r="A296" i="6"/>
  <c r="AT295" i="6"/>
  <c r="AO295" i="6"/>
  <c r="AF295" i="6"/>
  <c r="AE295" i="6"/>
  <c r="U295" i="6"/>
  <c r="K295" i="6"/>
  <c r="J295" i="6"/>
  <c r="I295" i="6"/>
  <c r="H295" i="6"/>
  <c r="G295" i="6"/>
  <c r="F295" i="6"/>
  <c r="E295" i="6"/>
  <c r="D295" i="6"/>
  <c r="C295" i="6"/>
  <c r="B295" i="6"/>
  <c r="A295" i="6"/>
  <c r="BO294" i="6"/>
  <c r="BN295" i="6" s="1"/>
  <c r="BO295" i="6" s="1"/>
  <c r="BN296" i="6" s="1"/>
  <c r="BO296" i="6" s="1"/>
  <c r="BN297" i="6" s="1"/>
  <c r="BO297" i="6" s="1"/>
  <c r="BN298" i="6" s="1"/>
  <c r="BO298" i="6" s="1"/>
  <c r="BN299" i="6" s="1"/>
  <c r="BO299" i="6" s="1"/>
  <c r="BN300" i="6" s="1"/>
  <c r="BO300" i="6" s="1"/>
  <c r="BN301" i="6" s="1"/>
  <c r="BO301" i="6" s="1"/>
  <c r="BN302" i="6" s="1"/>
  <c r="BN294" i="6"/>
  <c r="BE294" i="6"/>
  <c r="BE295" i="6" s="1"/>
  <c r="AT294" i="6"/>
  <c r="AO294" i="6"/>
  <c r="AI294" i="6"/>
  <c r="AF294" i="6"/>
  <c r="AE294" i="6"/>
  <c r="AC294" i="6"/>
  <c r="BM294" i="6" s="1"/>
  <c r="AC295" i="6" s="1"/>
  <c r="BM295" i="6" s="1"/>
  <c r="AC296" i="6" s="1"/>
  <c r="BM296" i="6" s="1"/>
  <c r="AC297" i="6" s="1"/>
  <c r="BM297" i="6" s="1"/>
  <c r="AC298" i="6" s="1"/>
  <c r="BM298" i="6" s="1"/>
  <c r="AC299" i="6" s="1"/>
  <c r="AB294" i="6"/>
  <c r="BL294" i="6" s="1"/>
  <c r="AB295" i="6" s="1"/>
  <c r="BL295" i="6" s="1"/>
  <c r="AB296" i="6" s="1"/>
  <c r="BL296" i="6" s="1"/>
  <c r="AB297" i="6" s="1"/>
  <c r="BL297" i="6" s="1"/>
  <c r="AB298" i="6" s="1"/>
  <c r="BL298" i="6" s="1"/>
  <c r="AB299" i="6" s="1"/>
  <c r="BL299" i="6" s="1"/>
  <c r="AB300" i="6" s="1"/>
  <c r="BL300" i="6" s="1"/>
  <c r="AB301" i="6" s="1"/>
  <c r="BL301" i="6" s="1"/>
  <c r="AB302" i="6" s="1"/>
  <c r="BL302" i="6" s="1"/>
  <c r="AB303" i="6" s="1"/>
  <c r="BL303" i="6" s="1"/>
  <c r="AB304" i="6" s="1"/>
  <c r="BL304" i="6" s="1"/>
  <c r="AB305" i="6" s="1"/>
  <c r="BL305" i="6" s="1"/>
  <c r="AB306" i="6" s="1"/>
  <c r="BL306" i="6" s="1"/>
  <c r="AB307" i="6" s="1"/>
  <c r="BL307" i="6" s="1"/>
  <c r="AB308" i="6" s="1"/>
  <c r="BL308" i="6" s="1"/>
  <c r="AB309" i="6" s="1"/>
  <c r="BL309" i="6" s="1"/>
  <c r="AB310" i="6" s="1"/>
  <c r="BL310" i="6" s="1"/>
  <c r="AB311" i="6" s="1"/>
  <c r="BL311" i="6" s="1"/>
  <c r="AB312" i="6" s="1"/>
  <c r="BL312" i="6" s="1"/>
  <c r="AB313" i="6" s="1"/>
  <c r="BL313" i="6" s="1"/>
  <c r="AB314" i="6" s="1"/>
  <c r="BL314" i="6" s="1"/>
  <c r="AB315" i="6" s="1"/>
  <c r="BL315" i="6" s="1"/>
  <c r="AB316" i="6" s="1"/>
  <c r="BL316" i="6" s="1"/>
  <c r="AB317" i="6" s="1"/>
  <c r="BL317" i="6" s="1"/>
  <c r="AB318" i="6" s="1"/>
  <c r="BL318" i="6" s="1"/>
  <c r="AB319" i="6" s="1"/>
  <c r="BL319" i="6" s="1"/>
  <c r="AB320" i="6" s="1"/>
  <c r="BL320" i="6" s="1"/>
  <c r="AB321" i="6" s="1"/>
  <c r="BL321" i="6" s="1"/>
  <c r="AB322" i="6" s="1"/>
  <c r="BL322" i="6" s="1"/>
  <c r="AB323" i="6" s="1"/>
  <c r="BL323" i="6" s="1"/>
  <c r="AB324" i="6" s="1"/>
  <c r="BL324" i="6" s="1"/>
  <c r="AB325" i="6" s="1"/>
  <c r="BL325" i="6" s="1"/>
  <c r="AB326" i="6" s="1"/>
  <c r="BL326" i="6" s="1"/>
  <c r="AB327" i="6" s="1"/>
  <c r="BL327" i="6" s="1"/>
  <c r="AB328" i="6" s="1"/>
  <c r="BL328" i="6" s="1"/>
  <c r="AB329" i="6" s="1"/>
  <c r="BL329" i="6" s="1"/>
  <c r="AA294" i="6"/>
  <c r="BK294" i="6" s="1"/>
  <c r="AA295" i="6" s="1"/>
  <c r="BK295" i="6" s="1"/>
  <c r="AA296" i="6" s="1"/>
  <c r="BK296" i="6" s="1"/>
  <c r="AA297" i="6" s="1"/>
  <c r="BK297" i="6" s="1"/>
  <c r="AA298" i="6" s="1"/>
  <c r="BK298" i="6" s="1"/>
  <c r="AA299" i="6" s="1"/>
  <c r="BK299" i="6" s="1"/>
  <c r="Z294" i="6"/>
  <c r="BJ294" i="6" s="1"/>
  <c r="Z295" i="6" s="1"/>
  <c r="BJ295" i="6" s="1"/>
  <c r="Z296" i="6" s="1"/>
  <c r="BJ296" i="6" s="1"/>
  <c r="Z297" i="6" s="1"/>
  <c r="BJ297" i="6" s="1"/>
  <c r="Z298" i="6" s="1"/>
  <c r="BJ298" i="6" s="1"/>
  <c r="Z299" i="6" s="1"/>
  <c r="BJ299" i="6" s="1"/>
  <c r="Z300" i="6" s="1"/>
  <c r="BJ300" i="6" s="1"/>
  <c r="Z301" i="6" s="1"/>
  <c r="BJ301" i="6" s="1"/>
  <c r="Z302" i="6" s="1"/>
  <c r="BJ302" i="6" s="1"/>
  <c r="Z303" i="6" s="1"/>
  <c r="BJ303" i="6" s="1"/>
  <c r="Z304" i="6" s="1"/>
  <c r="BJ304" i="6" s="1"/>
  <c r="Z305" i="6" s="1"/>
  <c r="BJ305" i="6" s="1"/>
  <c r="Z306" i="6" s="1"/>
  <c r="BJ306" i="6" s="1"/>
  <c r="Z307" i="6" s="1"/>
  <c r="BJ307" i="6" s="1"/>
  <c r="Z308" i="6" s="1"/>
  <c r="BJ308" i="6" s="1"/>
  <c r="Z309" i="6" s="1"/>
  <c r="BJ309" i="6" s="1"/>
  <c r="Z310" i="6" s="1"/>
  <c r="BJ310" i="6" s="1"/>
  <c r="Z311" i="6" s="1"/>
  <c r="BJ311" i="6" s="1"/>
  <c r="Z312" i="6" s="1"/>
  <c r="BJ312" i="6" s="1"/>
  <c r="Z313" i="6" s="1"/>
  <c r="BJ313" i="6" s="1"/>
  <c r="Z314" i="6" s="1"/>
  <c r="BJ314" i="6" s="1"/>
  <c r="Z315" i="6" s="1"/>
  <c r="BJ315" i="6" s="1"/>
  <c r="Z316" i="6" s="1"/>
  <c r="BJ316" i="6" s="1"/>
  <c r="Z317" i="6" s="1"/>
  <c r="BJ317" i="6" s="1"/>
  <c r="Z318" i="6" s="1"/>
  <c r="BJ318" i="6" s="1"/>
  <c r="Z319" i="6" s="1"/>
  <c r="BJ319" i="6" s="1"/>
  <c r="Z320" i="6" s="1"/>
  <c r="BJ320" i="6" s="1"/>
  <c r="Z321" i="6" s="1"/>
  <c r="BJ321" i="6" s="1"/>
  <c r="Z322" i="6" s="1"/>
  <c r="BJ322" i="6" s="1"/>
  <c r="Z323" i="6" s="1"/>
  <c r="BJ323" i="6" s="1"/>
  <c r="Z324" i="6" s="1"/>
  <c r="BJ324" i="6" s="1"/>
  <c r="Z325" i="6" s="1"/>
  <c r="BJ325" i="6" s="1"/>
  <c r="Z326" i="6" s="1"/>
  <c r="BJ326" i="6" s="1"/>
  <c r="Z327" i="6" s="1"/>
  <c r="BJ327" i="6" s="1"/>
  <c r="Z328" i="6" s="1"/>
  <c r="BJ328" i="6" s="1"/>
  <c r="Z329" i="6" s="1"/>
  <c r="BJ329" i="6" s="1"/>
  <c r="Y294" i="6"/>
  <c r="BI294" i="6" s="1"/>
  <c r="Y295" i="6" s="1"/>
  <c r="BI295" i="6" s="1"/>
  <c r="Y296" i="6" s="1"/>
  <c r="BI296" i="6" s="1"/>
  <c r="Y297" i="6" s="1"/>
  <c r="BI297" i="6" s="1"/>
  <c r="Y298" i="6" s="1"/>
  <c r="BI298" i="6" s="1"/>
  <c r="Y299" i="6" s="1"/>
  <c r="BI299" i="6" s="1"/>
  <c r="Y300" i="6" s="1"/>
  <c r="BI300" i="6" s="1"/>
  <c r="Y301" i="6" s="1"/>
  <c r="BI301" i="6" s="1"/>
  <c r="Y302" i="6" s="1"/>
  <c r="BI302" i="6" s="1"/>
  <c r="Y303" i="6" s="1"/>
  <c r="BI303" i="6" s="1"/>
  <c r="Y304" i="6" s="1"/>
  <c r="BI304" i="6" s="1"/>
  <c r="Y305" i="6" s="1"/>
  <c r="BI305" i="6" s="1"/>
  <c r="Y306" i="6" s="1"/>
  <c r="BI306" i="6" s="1"/>
  <c r="Y307" i="6" s="1"/>
  <c r="BI307" i="6" s="1"/>
  <c r="Y308" i="6" s="1"/>
  <c r="BI308" i="6" s="1"/>
  <c r="Y309" i="6" s="1"/>
  <c r="BI309" i="6" s="1"/>
  <c r="Y310" i="6" s="1"/>
  <c r="BI310" i="6" s="1"/>
  <c r="Y311" i="6" s="1"/>
  <c r="BI311" i="6" s="1"/>
  <c r="Y312" i="6" s="1"/>
  <c r="BI312" i="6" s="1"/>
  <c r="Y313" i="6" s="1"/>
  <c r="BI313" i="6" s="1"/>
  <c r="Y314" i="6" s="1"/>
  <c r="BI314" i="6" s="1"/>
  <c r="Y315" i="6" s="1"/>
  <c r="BI315" i="6" s="1"/>
  <c r="Y316" i="6" s="1"/>
  <c r="BI316" i="6" s="1"/>
  <c r="Y317" i="6" s="1"/>
  <c r="BI317" i="6" s="1"/>
  <c r="Y318" i="6" s="1"/>
  <c r="BI318" i="6" s="1"/>
  <c r="Y319" i="6" s="1"/>
  <c r="X294" i="6"/>
  <c r="BH294" i="6" s="1"/>
  <c r="X295" i="6" s="1"/>
  <c r="BH295" i="6" s="1"/>
  <c r="X296" i="6" s="1"/>
  <c r="BH296" i="6" s="1"/>
  <c r="W294" i="6"/>
  <c r="BG294" i="6" s="1"/>
  <c r="W295" i="6" s="1"/>
  <c r="V294" i="6"/>
  <c r="BF294" i="6" s="1"/>
  <c r="V295" i="6" s="1"/>
  <c r="BF295" i="6" s="1"/>
  <c r="V296" i="6" s="1"/>
  <c r="BF296" i="6" s="1"/>
  <c r="V297" i="6" s="1"/>
  <c r="BF297" i="6" s="1"/>
  <c r="V298" i="6" s="1"/>
  <c r="BF298" i="6" s="1"/>
  <c r="U294" i="6"/>
  <c r="T294" i="6"/>
  <c r="BD294" i="6" s="1"/>
  <c r="T295" i="6" s="1"/>
  <c r="BD295" i="6" s="1"/>
  <c r="T296" i="6" s="1"/>
  <c r="BD296" i="6" s="1"/>
  <c r="T297" i="6" s="1"/>
  <c r="BD297" i="6" s="1"/>
  <c r="T298" i="6" s="1"/>
  <c r="S294" i="6"/>
  <c r="BC294" i="6" s="1"/>
  <c r="S295" i="6" s="1"/>
  <c r="BC295" i="6" s="1"/>
  <c r="S296" i="6" s="1"/>
  <c r="BC296" i="6" s="1"/>
  <c r="S297" i="6" s="1"/>
  <c r="BC297" i="6" s="1"/>
  <c r="S298" i="6" s="1"/>
  <c r="BC298" i="6" s="1"/>
  <c r="S299" i="6" s="1"/>
  <c r="BC299" i="6" s="1"/>
  <c r="S300" i="6" s="1"/>
  <c r="BC300" i="6" s="1"/>
  <c r="S301" i="6" s="1"/>
  <c r="BC301" i="6" s="1"/>
  <c r="S302" i="6" s="1"/>
  <c r="BC302" i="6" s="1"/>
  <c r="S303" i="6" s="1"/>
  <c r="BC303" i="6" s="1"/>
  <c r="S304" i="6" s="1"/>
  <c r="BC304" i="6" s="1"/>
  <c r="S305" i="6" s="1"/>
  <c r="BC305" i="6" s="1"/>
  <c r="S306" i="6" s="1"/>
  <c r="BC306" i="6" s="1"/>
  <c r="S307" i="6" s="1"/>
  <c r="BC307" i="6" s="1"/>
  <c r="S308" i="6" s="1"/>
  <c r="BC308" i="6" s="1"/>
  <c r="S309" i="6" s="1"/>
  <c r="BC309" i="6" s="1"/>
  <c r="S310" i="6" s="1"/>
  <c r="BC310" i="6" s="1"/>
  <c r="S311" i="6" s="1"/>
  <c r="BC311" i="6" s="1"/>
  <c r="S312" i="6" s="1"/>
  <c r="BC312" i="6" s="1"/>
  <c r="S313" i="6" s="1"/>
  <c r="BC313" i="6" s="1"/>
  <c r="S314" i="6" s="1"/>
  <c r="BC314" i="6" s="1"/>
  <c r="S315" i="6" s="1"/>
  <c r="BC315" i="6" s="1"/>
  <c r="S316" i="6" s="1"/>
  <c r="BC316" i="6" s="1"/>
  <c r="S317" i="6" s="1"/>
  <c r="BC317" i="6" s="1"/>
  <c r="S318" i="6" s="1"/>
  <c r="BC318" i="6" s="1"/>
  <c r="S319" i="6" s="1"/>
  <c r="BC319" i="6" s="1"/>
  <c r="S320" i="6" s="1"/>
  <c r="BC320" i="6" s="1"/>
  <c r="S321" i="6" s="1"/>
  <c r="BC321" i="6" s="1"/>
  <c r="S322" i="6" s="1"/>
  <c r="BC322" i="6" s="1"/>
  <c r="S323" i="6" s="1"/>
  <c r="BC323" i="6" s="1"/>
  <c r="S324" i="6" s="1"/>
  <c r="BC324" i="6" s="1"/>
  <c r="S325" i="6" s="1"/>
  <c r="BC325" i="6" s="1"/>
  <c r="S326" i="6" s="1"/>
  <c r="BC326" i="6" s="1"/>
  <c r="S327" i="6" s="1"/>
  <c r="BC327" i="6" s="1"/>
  <c r="S328" i="6" s="1"/>
  <c r="BC328" i="6" s="1"/>
  <c r="S329" i="6" s="1"/>
  <c r="BC329" i="6" s="1"/>
  <c r="R294" i="6"/>
  <c r="BB294" i="6" s="1"/>
  <c r="R295" i="6" s="1"/>
  <c r="BB295" i="6" s="1"/>
  <c r="R296" i="6" s="1"/>
  <c r="BB296" i="6" s="1"/>
  <c r="R297" i="6" s="1"/>
  <c r="BB297" i="6" s="1"/>
  <c r="R298" i="6" s="1"/>
  <c r="BB298" i="6" s="1"/>
  <c r="R299" i="6" s="1"/>
  <c r="BB299" i="6" s="1"/>
  <c r="R300" i="6" s="1"/>
  <c r="BB300" i="6" s="1"/>
  <c r="R301" i="6" s="1"/>
  <c r="BB301" i="6" s="1"/>
  <c r="R302" i="6" s="1"/>
  <c r="BB302" i="6" s="1"/>
  <c r="R303" i="6" s="1"/>
  <c r="BB303" i="6" s="1"/>
  <c r="R304" i="6" s="1"/>
  <c r="BB304" i="6" s="1"/>
  <c r="R305" i="6" s="1"/>
  <c r="BB305" i="6" s="1"/>
  <c r="R306" i="6" s="1"/>
  <c r="BB306" i="6" s="1"/>
  <c r="R307" i="6" s="1"/>
  <c r="BB307" i="6" s="1"/>
  <c r="R308" i="6" s="1"/>
  <c r="BB308" i="6" s="1"/>
  <c r="R309" i="6" s="1"/>
  <c r="BB309" i="6" s="1"/>
  <c r="R310" i="6" s="1"/>
  <c r="BB310" i="6" s="1"/>
  <c r="R311" i="6" s="1"/>
  <c r="BB311" i="6" s="1"/>
  <c r="R312" i="6" s="1"/>
  <c r="BB312" i="6" s="1"/>
  <c r="R313" i="6" s="1"/>
  <c r="BB313" i="6" s="1"/>
  <c r="R314" i="6" s="1"/>
  <c r="BB314" i="6" s="1"/>
  <c r="R315" i="6" s="1"/>
  <c r="BB315" i="6" s="1"/>
  <c r="R316" i="6" s="1"/>
  <c r="BB316" i="6" s="1"/>
  <c r="R317" i="6" s="1"/>
  <c r="BB317" i="6" s="1"/>
  <c r="R318" i="6" s="1"/>
  <c r="BB318" i="6" s="1"/>
  <c r="R319" i="6" s="1"/>
  <c r="BB319" i="6" s="1"/>
  <c r="R320" i="6" s="1"/>
  <c r="BB320" i="6" s="1"/>
  <c r="R321" i="6" s="1"/>
  <c r="BB321" i="6" s="1"/>
  <c r="R322" i="6" s="1"/>
  <c r="BB322" i="6" s="1"/>
  <c r="R323" i="6" s="1"/>
  <c r="BB323" i="6" s="1"/>
  <c r="R324" i="6" s="1"/>
  <c r="BB324" i="6" s="1"/>
  <c r="R325" i="6" s="1"/>
  <c r="BB325" i="6" s="1"/>
  <c r="R326" i="6" s="1"/>
  <c r="BB326" i="6" s="1"/>
  <c r="R327" i="6" s="1"/>
  <c r="BB327" i="6" s="1"/>
  <c r="R328" i="6" s="1"/>
  <c r="BB328" i="6" s="1"/>
  <c r="R329" i="6" s="1"/>
  <c r="BB329" i="6" s="1"/>
  <c r="Q294" i="6"/>
  <c r="BA294" i="6" s="1"/>
  <c r="Q295" i="6" s="1"/>
  <c r="BA295" i="6" s="1"/>
  <c r="Q296" i="6" s="1"/>
  <c r="BA296" i="6" s="1"/>
  <c r="Q297" i="6" s="1"/>
  <c r="BA297" i="6" s="1"/>
  <c r="O294" i="6"/>
  <c r="AY294" i="6" s="1"/>
  <c r="O295" i="6" s="1"/>
  <c r="AY295" i="6" s="1"/>
  <c r="O296" i="6" s="1"/>
  <c r="AY296" i="6" s="1"/>
  <c r="O297" i="6" s="1"/>
  <c r="AY297" i="6" s="1"/>
  <c r="O298" i="6" s="1"/>
  <c r="AY298" i="6" s="1"/>
  <c r="O299" i="6" s="1"/>
  <c r="AY299" i="6" s="1"/>
  <c r="O300" i="6" s="1"/>
  <c r="AY300" i="6" s="1"/>
  <c r="O301" i="6" s="1"/>
  <c r="AY301" i="6" s="1"/>
  <c r="O302" i="6" s="1"/>
  <c r="AY302" i="6" s="1"/>
  <c r="O303" i="6" s="1"/>
  <c r="AY303" i="6" s="1"/>
  <c r="O304" i="6" s="1"/>
  <c r="AY304" i="6" s="1"/>
  <c r="O305" i="6" s="1"/>
  <c r="AY305" i="6" s="1"/>
  <c r="O306" i="6" s="1"/>
  <c r="AY306" i="6" s="1"/>
  <c r="O307" i="6" s="1"/>
  <c r="AY307" i="6" s="1"/>
  <c r="O308" i="6" s="1"/>
  <c r="AY308" i="6" s="1"/>
  <c r="O309" i="6" s="1"/>
  <c r="AY309" i="6" s="1"/>
  <c r="O310" i="6" s="1"/>
  <c r="AY310" i="6" s="1"/>
  <c r="O311" i="6" s="1"/>
  <c r="AY311" i="6" s="1"/>
  <c r="O312" i="6" s="1"/>
  <c r="AY312" i="6" s="1"/>
  <c r="O313" i="6" s="1"/>
  <c r="N294" i="6"/>
  <c r="AX294" i="6" s="1"/>
  <c r="N295" i="6" s="1"/>
  <c r="AX295" i="6" s="1"/>
  <c r="N296" i="6" s="1"/>
  <c r="AX296" i="6" s="1"/>
  <c r="N297" i="6" s="1"/>
  <c r="AX297" i="6" s="1"/>
  <c r="N298" i="6" s="1"/>
  <c r="AX298" i="6" s="1"/>
  <c r="N299" i="6" s="1"/>
  <c r="AX299" i="6" s="1"/>
  <c r="N300" i="6" s="1"/>
  <c r="AX300" i="6" s="1"/>
  <c r="M294" i="6"/>
  <c r="AW294" i="6" s="1"/>
  <c r="M295" i="6" s="1"/>
  <c r="AW295" i="6" s="1"/>
  <c r="M296" i="6" s="1"/>
  <c r="L294" i="6"/>
  <c r="AV294" i="6" s="1"/>
  <c r="L295" i="6" s="1"/>
  <c r="K294" i="6"/>
  <c r="I294" i="6"/>
  <c r="H294" i="6"/>
  <c r="G294" i="6"/>
  <c r="F294" i="6"/>
  <c r="AP294" i="6" s="1"/>
  <c r="E294" i="6"/>
  <c r="D294" i="6"/>
  <c r="C294" i="6"/>
  <c r="B294" i="6"/>
  <c r="A294" i="6"/>
  <c r="AO293" i="6"/>
  <c r="AI293" i="6"/>
  <c r="AE293" i="6"/>
  <c r="K293" i="6"/>
  <c r="I293" i="6"/>
  <c r="H293" i="6"/>
  <c r="G293" i="6"/>
  <c r="F293" i="6"/>
  <c r="J293" i="6" s="1"/>
  <c r="E293" i="6"/>
  <c r="D293" i="6"/>
  <c r="C293" i="6"/>
  <c r="B293" i="6"/>
  <c r="A293" i="6"/>
  <c r="AO292" i="6"/>
  <c r="H292" i="6"/>
  <c r="G292" i="6"/>
  <c r="F292" i="6"/>
  <c r="E292" i="6"/>
  <c r="D292" i="6"/>
  <c r="C292" i="6"/>
  <c r="B292" i="6"/>
  <c r="A292" i="6"/>
  <c r="AO291" i="6"/>
  <c r="H291" i="6"/>
  <c r="G291" i="6"/>
  <c r="F291" i="6"/>
  <c r="E291" i="6"/>
  <c r="D291" i="6"/>
  <c r="C291" i="6"/>
  <c r="B291" i="6"/>
  <c r="A291" i="6"/>
  <c r="AO290" i="6"/>
  <c r="H290" i="6"/>
  <c r="G290" i="6"/>
  <c r="F290" i="6"/>
  <c r="AI290" i="6" s="1"/>
  <c r="E290" i="6"/>
  <c r="D290" i="6"/>
  <c r="C290" i="6"/>
  <c r="B290" i="6"/>
  <c r="A290" i="6"/>
  <c r="AO289" i="6"/>
  <c r="AI289" i="6"/>
  <c r="K289" i="6"/>
  <c r="J289" i="6"/>
  <c r="H289" i="6"/>
  <c r="G289" i="6"/>
  <c r="F289" i="6"/>
  <c r="AE289" i="6" s="1"/>
  <c r="E289" i="6"/>
  <c r="D289" i="6"/>
  <c r="C289" i="6"/>
  <c r="B289" i="6"/>
  <c r="A289" i="6"/>
  <c r="AO288" i="6"/>
  <c r="J288" i="6"/>
  <c r="H288" i="6"/>
  <c r="G288" i="6"/>
  <c r="F288" i="6"/>
  <c r="AI288" i="6" s="1"/>
  <c r="E288" i="6"/>
  <c r="D288" i="6"/>
  <c r="C288" i="6"/>
  <c r="B288" i="6"/>
  <c r="A288" i="6"/>
  <c r="AO287" i="6"/>
  <c r="J287" i="6"/>
  <c r="H287" i="6"/>
  <c r="G287" i="6"/>
  <c r="F287" i="6"/>
  <c r="E287" i="6"/>
  <c r="D287" i="6"/>
  <c r="C287" i="6"/>
  <c r="B287" i="6"/>
  <c r="A287" i="6"/>
  <c r="AO286" i="6"/>
  <c r="AE286" i="6"/>
  <c r="K286" i="6"/>
  <c r="J286" i="6"/>
  <c r="I286" i="6"/>
  <c r="H286" i="6"/>
  <c r="G286" i="6"/>
  <c r="AI286" i="6" s="1"/>
  <c r="F286" i="6"/>
  <c r="E286" i="6"/>
  <c r="D286" i="6"/>
  <c r="C286" i="6"/>
  <c r="B286" i="6"/>
  <c r="A286" i="6"/>
  <c r="AO285" i="6"/>
  <c r="AE285" i="6"/>
  <c r="J285" i="6"/>
  <c r="I285" i="6"/>
  <c r="H285" i="6"/>
  <c r="G285" i="6"/>
  <c r="F285" i="6"/>
  <c r="E285" i="6"/>
  <c r="D285" i="6"/>
  <c r="C285" i="6"/>
  <c r="B285" i="6"/>
  <c r="A285" i="6"/>
  <c r="AO284" i="6"/>
  <c r="AE284" i="6"/>
  <c r="K284" i="6"/>
  <c r="J284" i="6"/>
  <c r="I284" i="6"/>
  <c r="H284" i="6"/>
  <c r="G284" i="6"/>
  <c r="F284" i="6"/>
  <c r="E284" i="6"/>
  <c r="D284" i="6"/>
  <c r="C284" i="6"/>
  <c r="B284" i="6"/>
  <c r="A284" i="6"/>
  <c r="AO283" i="6"/>
  <c r="AE283" i="6"/>
  <c r="K283" i="6"/>
  <c r="J283" i="6"/>
  <c r="I283" i="6"/>
  <c r="H283" i="6"/>
  <c r="G283" i="6"/>
  <c r="F283" i="6"/>
  <c r="E283" i="6"/>
  <c r="D283" i="6"/>
  <c r="C283" i="6"/>
  <c r="B283" i="6"/>
  <c r="A283" i="6"/>
  <c r="AO282" i="6"/>
  <c r="AI282" i="6"/>
  <c r="AE282" i="6"/>
  <c r="K282" i="6"/>
  <c r="I282" i="6"/>
  <c r="H282" i="6"/>
  <c r="G282" i="6"/>
  <c r="F282" i="6"/>
  <c r="E282" i="6"/>
  <c r="D282" i="6"/>
  <c r="C282" i="6"/>
  <c r="B282" i="6"/>
  <c r="A282" i="6"/>
  <c r="AO281" i="6"/>
  <c r="AI281" i="6"/>
  <c r="AE281" i="6"/>
  <c r="K281" i="6"/>
  <c r="I281" i="6"/>
  <c r="H281" i="6"/>
  <c r="G281" i="6"/>
  <c r="F281" i="6"/>
  <c r="J281" i="6" s="1"/>
  <c r="E281" i="6"/>
  <c r="D281" i="6"/>
  <c r="C281" i="6"/>
  <c r="B281" i="6"/>
  <c r="A281" i="6"/>
  <c r="AT280" i="6"/>
  <c r="AI280" i="6"/>
  <c r="K280" i="6"/>
  <c r="H280" i="6"/>
  <c r="G280" i="6"/>
  <c r="F280" i="6"/>
  <c r="E280" i="6"/>
  <c r="D280" i="6"/>
  <c r="C280" i="6"/>
  <c r="B280" i="6"/>
  <c r="A280" i="6"/>
  <c r="AT279" i="6"/>
  <c r="AO279" i="6"/>
  <c r="R279" i="6"/>
  <c r="BB279" i="6" s="1"/>
  <c r="R280" i="6" s="1"/>
  <c r="BB280" i="6" s="1"/>
  <c r="R281" i="6" s="1"/>
  <c r="BB281" i="6" s="1"/>
  <c r="R282" i="6" s="1"/>
  <c r="BB282" i="6" s="1"/>
  <c r="R283" i="6" s="1"/>
  <c r="BB283" i="6" s="1"/>
  <c r="R284" i="6" s="1"/>
  <c r="BB284" i="6" s="1"/>
  <c r="R285" i="6" s="1"/>
  <c r="BB285" i="6" s="1"/>
  <c r="R286" i="6" s="1"/>
  <c r="BB286" i="6" s="1"/>
  <c r="R287" i="6" s="1"/>
  <c r="BB287" i="6" s="1"/>
  <c r="R288" i="6" s="1"/>
  <c r="BB288" i="6" s="1"/>
  <c r="R289" i="6" s="1"/>
  <c r="BB289" i="6" s="1"/>
  <c r="R290" i="6" s="1"/>
  <c r="BB290" i="6" s="1"/>
  <c r="R291" i="6" s="1"/>
  <c r="BB291" i="6" s="1"/>
  <c r="R292" i="6" s="1"/>
  <c r="BB292" i="6" s="1"/>
  <c r="R293" i="6" s="1"/>
  <c r="BB293" i="6" s="1"/>
  <c r="H279" i="6"/>
  <c r="G279" i="6"/>
  <c r="F279" i="6"/>
  <c r="E279" i="6"/>
  <c r="D279" i="6"/>
  <c r="C279" i="6"/>
  <c r="B279" i="6"/>
  <c r="A279" i="6"/>
  <c r="AT278" i="6"/>
  <c r="AO278" i="6"/>
  <c r="H278" i="6"/>
  <c r="G278" i="6"/>
  <c r="F278" i="6"/>
  <c r="AI278" i="6" s="1"/>
  <c r="E278" i="6"/>
  <c r="D278" i="6"/>
  <c r="C278" i="6"/>
  <c r="B278" i="6"/>
  <c r="A278" i="6"/>
  <c r="AT277" i="6"/>
  <c r="AO277" i="6"/>
  <c r="AI277" i="6"/>
  <c r="K277" i="6"/>
  <c r="J277" i="6"/>
  <c r="H277" i="6"/>
  <c r="G277" i="6"/>
  <c r="F277" i="6"/>
  <c r="E277" i="6"/>
  <c r="D277" i="6"/>
  <c r="C277" i="6"/>
  <c r="B277" i="6"/>
  <c r="A277" i="6"/>
  <c r="AT276" i="6"/>
  <c r="AO276" i="6"/>
  <c r="J276" i="6"/>
  <c r="H276" i="6"/>
  <c r="G276" i="6"/>
  <c r="F276" i="6"/>
  <c r="AI276" i="6" s="1"/>
  <c r="E276" i="6"/>
  <c r="D276" i="6"/>
  <c r="C276" i="6"/>
  <c r="B276" i="6"/>
  <c r="A276" i="6"/>
  <c r="AT275" i="6"/>
  <c r="AO275" i="6"/>
  <c r="J275" i="6"/>
  <c r="H275" i="6"/>
  <c r="AF275" i="6" s="1"/>
  <c r="G275" i="6"/>
  <c r="F275" i="6"/>
  <c r="E275" i="6"/>
  <c r="D275" i="6"/>
  <c r="C275" i="6"/>
  <c r="B275" i="6"/>
  <c r="A275" i="6"/>
  <c r="BH274" i="6"/>
  <c r="X275" i="6" s="1"/>
  <c r="BH275" i="6" s="1"/>
  <c r="X276" i="6" s="1"/>
  <c r="BH276" i="6" s="1"/>
  <c r="X277" i="6" s="1"/>
  <c r="BH277" i="6" s="1"/>
  <c r="X278" i="6" s="1"/>
  <c r="BH278" i="6" s="1"/>
  <c r="X279" i="6" s="1"/>
  <c r="BH279" i="6" s="1"/>
  <c r="X280" i="6" s="1"/>
  <c r="BH280" i="6" s="1"/>
  <c r="X281" i="6" s="1"/>
  <c r="BH281" i="6" s="1"/>
  <c r="X282" i="6" s="1"/>
  <c r="BH282" i="6" s="1"/>
  <c r="X283" i="6" s="1"/>
  <c r="BH283" i="6" s="1"/>
  <c r="X284" i="6" s="1"/>
  <c r="BH284" i="6" s="1"/>
  <c r="X285" i="6" s="1"/>
  <c r="BH285" i="6" s="1"/>
  <c r="X286" i="6" s="1"/>
  <c r="BH286" i="6" s="1"/>
  <c r="X287" i="6" s="1"/>
  <c r="BH287" i="6" s="1"/>
  <c r="X288" i="6" s="1"/>
  <c r="BH288" i="6" s="1"/>
  <c r="X289" i="6" s="1"/>
  <c r="BH289" i="6" s="1"/>
  <c r="X290" i="6" s="1"/>
  <c r="BH290" i="6" s="1"/>
  <c r="X291" i="6" s="1"/>
  <c r="BH291" i="6" s="1"/>
  <c r="X292" i="6" s="1"/>
  <c r="BH292" i="6" s="1"/>
  <c r="X293" i="6" s="1"/>
  <c r="BH293" i="6" s="1"/>
  <c r="AT274" i="6"/>
  <c r="AE274" i="6"/>
  <c r="K274" i="6"/>
  <c r="J274" i="6"/>
  <c r="I274" i="6"/>
  <c r="H274" i="6"/>
  <c r="G274" i="6"/>
  <c r="AI274" i="6" s="1"/>
  <c r="F274" i="6"/>
  <c r="E274" i="6"/>
  <c r="D274" i="6"/>
  <c r="C274" i="6"/>
  <c r="B274" i="6"/>
  <c r="A274" i="6"/>
  <c r="AT273" i="6"/>
  <c r="AO273" i="6"/>
  <c r="AF273" i="6"/>
  <c r="AE273" i="6"/>
  <c r="J273" i="6"/>
  <c r="H273" i="6"/>
  <c r="G273" i="6"/>
  <c r="F273" i="6"/>
  <c r="AI273" i="6" s="1"/>
  <c r="E273" i="6"/>
  <c r="D273" i="6"/>
  <c r="C273" i="6"/>
  <c r="B273" i="6"/>
  <c r="A273" i="6"/>
  <c r="AT272" i="6"/>
  <c r="AO272" i="6"/>
  <c r="AF272" i="6"/>
  <c r="AE272" i="6"/>
  <c r="K272" i="6"/>
  <c r="J272" i="6"/>
  <c r="I272" i="6"/>
  <c r="H272" i="6"/>
  <c r="G272" i="6"/>
  <c r="F272" i="6"/>
  <c r="E272" i="6"/>
  <c r="D272" i="6"/>
  <c r="C272" i="6"/>
  <c r="B272" i="6"/>
  <c r="A272" i="6"/>
  <c r="AT271" i="6"/>
  <c r="AO271" i="6"/>
  <c r="AF271" i="6"/>
  <c r="AE271" i="6"/>
  <c r="K271" i="6"/>
  <c r="J271" i="6"/>
  <c r="I271" i="6"/>
  <c r="H271" i="6"/>
  <c r="G271" i="6"/>
  <c r="F271" i="6"/>
  <c r="E271" i="6"/>
  <c r="D271" i="6"/>
  <c r="C271" i="6"/>
  <c r="B271" i="6"/>
  <c r="A271" i="6"/>
  <c r="AT270" i="6"/>
  <c r="AO270" i="6"/>
  <c r="AE270" i="6"/>
  <c r="K270" i="6"/>
  <c r="J270" i="6"/>
  <c r="I270" i="6"/>
  <c r="H270" i="6"/>
  <c r="G270" i="6"/>
  <c r="F270" i="6"/>
  <c r="E270" i="6"/>
  <c r="D270" i="6"/>
  <c r="C270" i="6"/>
  <c r="B270" i="6"/>
  <c r="A270" i="6"/>
  <c r="BL269" i="6"/>
  <c r="AB270" i="6" s="1"/>
  <c r="BL270" i="6" s="1"/>
  <c r="AB271" i="6" s="1"/>
  <c r="BL271" i="6" s="1"/>
  <c r="AB272" i="6" s="1"/>
  <c r="BL272" i="6" s="1"/>
  <c r="AB273" i="6" s="1"/>
  <c r="BL273" i="6" s="1"/>
  <c r="AB274" i="6" s="1"/>
  <c r="BL274" i="6" s="1"/>
  <c r="AB275" i="6" s="1"/>
  <c r="BL275" i="6" s="1"/>
  <c r="AB276" i="6" s="1"/>
  <c r="BL276" i="6" s="1"/>
  <c r="AB277" i="6" s="1"/>
  <c r="BL277" i="6" s="1"/>
  <c r="AB278" i="6" s="1"/>
  <c r="BL278" i="6" s="1"/>
  <c r="AB279" i="6" s="1"/>
  <c r="BL279" i="6" s="1"/>
  <c r="AB280" i="6" s="1"/>
  <c r="BL280" i="6" s="1"/>
  <c r="AB281" i="6" s="1"/>
  <c r="BL281" i="6" s="1"/>
  <c r="AB282" i="6" s="1"/>
  <c r="BL282" i="6" s="1"/>
  <c r="AB283" i="6" s="1"/>
  <c r="BL283" i="6" s="1"/>
  <c r="AB284" i="6" s="1"/>
  <c r="BL284" i="6" s="1"/>
  <c r="AB285" i="6" s="1"/>
  <c r="BL285" i="6" s="1"/>
  <c r="AB286" i="6" s="1"/>
  <c r="BL286" i="6" s="1"/>
  <c r="AB287" i="6" s="1"/>
  <c r="BL287" i="6" s="1"/>
  <c r="AB288" i="6" s="1"/>
  <c r="BL288" i="6" s="1"/>
  <c r="AB289" i="6" s="1"/>
  <c r="BL289" i="6" s="1"/>
  <c r="AB290" i="6" s="1"/>
  <c r="BL290" i="6" s="1"/>
  <c r="AB291" i="6" s="1"/>
  <c r="BL291" i="6" s="1"/>
  <c r="AB292" i="6" s="1"/>
  <c r="BL292" i="6" s="1"/>
  <c r="AB293" i="6" s="1"/>
  <c r="BL293" i="6" s="1"/>
  <c r="AT269" i="6"/>
  <c r="AI269" i="6"/>
  <c r="AE269" i="6"/>
  <c r="K269" i="6"/>
  <c r="I269" i="6"/>
  <c r="H269" i="6"/>
  <c r="G269" i="6"/>
  <c r="F269" i="6"/>
  <c r="E269" i="6"/>
  <c r="D269" i="6"/>
  <c r="C269" i="6"/>
  <c r="B269" i="6"/>
  <c r="A269" i="6"/>
  <c r="AT268" i="6"/>
  <c r="AI268" i="6"/>
  <c r="K268" i="6"/>
  <c r="H268" i="6"/>
  <c r="G268" i="6"/>
  <c r="F268" i="6"/>
  <c r="E268" i="6"/>
  <c r="D268" i="6"/>
  <c r="C268" i="6"/>
  <c r="B268" i="6"/>
  <c r="A268" i="6"/>
  <c r="AT267" i="6"/>
  <c r="AO267" i="6"/>
  <c r="R267" i="6"/>
  <c r="BB267" i="6" s="1"/>
  <c r="R268" i="6" s="1"/>
  <c r="BB268" i="6" s="1"/>
  <c r="R269" i="6" s="1"/>
  <c r="BB269" i="6" s="1"/>
  <c r="R270" i="6" s="1"/>
  <c r="BB270" i="6" s="1"/>
  <c r="R271" i="6" s="1"/>
  <c r="BB271" i="6" s="1"/>
  <c r="R272" i="6" s="1"/>
  <c r="BB272" i="6" s="1"/>
  <c r="R273" i="6" s="1"/>
  <c r="BB273" i="6" s="1"/>
  <c r="R274" i="6" s="1"/>
  <c r="BB274" i="6" s="1"/>
  <c r="R275" i="6" s="1"/>
  <c r="BB275" i="6" s="1"/>
  <c r="R276" i="6" s="1"/>
  <c r="BB276" i="6" s="1"/>
  <c r="R277" i="6" s="1"/>
  <c r="BB277" i="6" s="1"/>
  <c r="R278" i="6" s="1"/>
  <c r="BB278" i="6" s="1"/>
  <c r="H267" i="6"/>
  <c r="AF267" i="6" s="1"/>
  <c r="G267" i="6"/>
  <c r="F267" i="6"/>
  <c r="E267" i="6"/>
  <c r="D267" i="6"/>
  <c r="C267" i="6"/>
  <c r="B267" i="6"/>
  <c r="A267" i="6"/>
  <c r="BI266" i="6"/>
  <c r="Y267" i="6" s="1"/>
  <c r="BI267" i="6" s="1"/>
  <c r="Y268" i="6" s="1"/>
  <c r="BI268" i="6" s="1"/>
  <c r="Y269" i="6" s="1"/>
  <c r="BI269" i="6" s="1"/>
  <c r="Y270" i="6" s="1"/>
  <c r="BI270" i="6" s="1"/>
  <c r="Y271" i="6" s="1"/>
  <c r="BI271" i="6" s="1"/>
  <c r="Y272" i="6" s="1"/>
  <c r="BI272" i="6" s="1"/>
  <c r="Y273" i="6" s="1"/>
  <c r="BI273" i="6" s="1"/>
  <c r="Y274" i="6" s="1"/>
  <c r="BI274" i="6" s="1"/>
  <c r="Y275" i="6" s="1"/>
  <c r="BI275" i="6" s="1"/>
  <c r="Y276" i="6" s="1"/>
  <c r="BI276" i="6" s="1"/>
  <c r="Y277" i="6" s="1"/>
  <c r="BI277" i="6" s="1"/>
  <c r="Y278" i="6" s="1"/>
  <c r="BI278" i="6" s="1"/>
  <c r="Y279" i="6" s="1"/>
  <c r="BI279" i="6" s="1"/>
  <c r="Y280" i="6" s="1"/>
  <c r="BI280" i="6" s="1"/>
  <c r="Y281" i="6" s="1"/>
  <c r="BI281" i="6" s="1"/>
  <c r="Y282" i="6" s="1"/>
  <c r="BI282" i="6" s="1"/>
  <c r="Y283" i="6" s="1"/>
  <c r="BI283" i="6" s="1"/>
  <c r="Y284" i="6" s="1"/>
  <c r="BI284" i="6" s="1"/>
  <c r="Y285" i="6" s="1"/>
  <c r="BI285" i="6" s="1"/>
  <c r="Y286" i="6" s="1"/>
  <c r="BI286" i="6" s="1"/>
  <c r="Y287" i="6" s="1"/>
  <c r="BI287" i="6" s="1"/>
  <c r="Y288" i="6" s="1"/>
  <c r="BI288" i="6" s="1"/>
  <c r="Y289" i="6" s="1"/>
  <c r="BI289" i="6" s="1"/>
  <c r="Y290" i="6" s="1"/>
  <c r="BI290" i="6" s="1"/>
  <c r="Y291" i="6" s="1"/>
  <c r="BI291" i="6" s="1"/>
  <c r="Y292" i="6" s="1"/>
  <c r="BI292" i="6" s="1"/>
  <c r="Y293" i="6" s="1"/>
  <c r="BI293" i="6" s="1"/>
  <c r="AT266" i="6"/>
  <c r="AO266" i="6"/>
  <c r="H266" i="6"/>
  <c r="G266" i="6"/>
  <c r="F266" i="6"/>
  <c r="AI266" i="6" s="1"/>
  <c r="E266" i="6"/>
  <c r="D266" i="6"/>
  <c r="C266" i="6"/>
  <c r="B266" i="6"/>
  <c r="A266" i="6"/>
  <c r="AT265" i="6"/>
  <c r="AO265" i="6"/>
  <c r="AI265" i="6"/>
  <c r="AF265" i="6"/>
  <c r="K265" i="6"/>
  <c r="J265" i="6"/>
  <c r="I265" i="6"/>
  <c r="H265" i="6"/>
  <c r="G265" i="6"/>
  <c r="F265" i="6"/>
  <c r="AE265" i="6" s="1"/>
  <c r="E265" i="6"/>
  <c r="D265" i="6"/>
  <c r="C265" i="6"/>
  <c r="B265" i="6"/>
  <c r="A265" i="6"/>
  <c r="AT264" i="6"/>
  <c r="AO264" i="6"/>
  <c r="AA264" i="6"/>
  <c r="BK264" i="6" s="1"/>
  <c r="AA265" i="6" s="1"/>
  <c r="BK265" i="6" s="1"/>
  <c r="AA266" i="6" s="1"/>
  <c r="BK266" i="6" s="1"/>
  <c r="AA267" i="6" s="1"/>
  <c r="BK267" i="6" s="1"/>
  <c r="AA268" i="6" s="1"/>
  <c r="BK268" i="6" s="1"/>
  <c r="AA269" i="6" s="1"/>
  <c r="BK269" i="6" s="1"/>
  <c r="AA270" i="6" s="1"/>
  <c r="BK270" i="6" s="1"/>
  <c r="AA271" i="6" s="1"/>
  <c r="BK271" i="6" s="1"/>
  <c r="AA272" i="6" s="1"/>
  <c r="BK272" i="6" s="1"/>
  <c r="AA273" i="6" s="1"/>
  <c r="BK273" i="6" s="1"/>
  <c r="AA274" i="6" s="1"/>
  <c r="BK274" i="6" s="1"/>
  <c r="AA275" i="6" s="1"/>
  <c r="BK275" i="6" s="1"/>
  <c r="AA276" i="6" s="1"/>
  <c r="BK276" i="6" s="1"/>
  <c r="AA277" i="6" s="1"/>
  <c r="BK277" i="6" s="1"/>
  <c r="AA278" i="6" s="1"/>
  <c r="BK278" i="6" s="1"/>
  <c r="AA279" i="6" s="1"/>
  <c r="BK279" i="6" s="1"/>
  <c r="AA280" i="6" s="1"/>
  <c r="BK280" i="6" s="1"/>
  <c r="AA281" i="6" s="1"/>
  <c r="BK281" i="6" s="1"/>
  <c r="AA282" i="6" s="1"/>
  <c r="BK282" i="6" s="1"/>
  <c r="AA283" i="6" s="1"/>
  <c r="BK283" i="6" s="1"/>
  <c r="AA284" i="6" s="1"/>
  <c r="BK284" i="6" s="1"/>
  <c r="AA285" i="6" s="1"/>
  <c r="BK285" i="6" s="1"/>
  <c r="AA286" i="6" s="1"/>
  <c r="BK286" i="6" s="1"/>
  <c r="AA287" i="6" s="1"/>
  <c r="BK287" i="6" s="1"/>
  <c r="AA288" i="6" s="1"/>
  <c r="BK288" i="6" s="1"/>
  <c r="AA289" i="6" s="1"/>
  <c r="BK289" i="6" s="1"/>
  <c r="AA290" i="6" s="1"/>
  <c r="BK290" i="6" s="1"/>
  <c r="AA291" i="6" s="1"/>
  <c r="BK291" i="6" s="1"/>
  <c r="AA292" i="6" s="1"/>
  <c r="BK292" i="6" s="1"/>
  <c r="AA293" i="6" s="1"/>
  <c r="BK293" i="6" s="1"/>
  <c r="O264" i="6"/>
  <c r="AY264" i="6" s="1"/>
  <c r="O265" i="6" s="1"/>
  <c r="AY265" i="6" s="1"/>
  <c r="O266" i="6" s="1"/>
  <c r="AY266" i="6" s="1"/>
  <c r="O267" i="6" s="1"/>
  <c r="AY267" i="6" s="1"/>
  <c r="O268" i="6" s="1"/>
  <c r="AY268" i="6" s="1"/>
  <c r="O269" i="6" s="1"/>
  <c r="AY269" i="6" s="1"/>
  <c r="O270" i="6" s="1"/>
  <c r="AY270" i="6" s="1"/>
  <c r="O271" i="6" s="1"/>
  <c r="AY271" i="6" s="1"/>
  <c r="O272" i="6" s="1"/>
  <c r="AY272" i="6" s="1"/>
  <c r="O273" i="6" s="1"/>
  <c r="AY273" i="6" s="1"/>
  <c r="O274" i="6" s="1"/>
  <c r="AY274" i="6" s="1"/>
  <c r="O275" i="6" s="1"/>
  <c r="AY275" i="6" s="1"/>
  <c r="O276" i="6" s="1"/>
  <c r="AY276" i="6" s="1"/>
  <c r="O277" i="6" s="1"/>
  <c r="AY277" i="6" s="1"/>
  <c r="O278" i="6" s="1"/>
  <c r="AY278" i="6" s="1"/>
  <c r="O279" i="6" s="1"/>
  <c r="AY279" i="6" s="1"/>
  <c r="O280" i="6" s="1"/>
  <c r="AY280" i="6" s="1"/>
  <c r="O281" i="6" s="1"/>
  <c r="AY281" i="6" s="1"/>
  <c r="O282" i="6" s="1"/>
  <c r="AY282" i="6" s="1"/>
  <c r="O283" i="6" s="1"/>
  <c r="AY283" i="6" s="1"/>
  <c r="O284" i="6" s="1"/>
  <c r="AY284" i="6" s="1"/>
  <c r="O285" i="6" s="1"/>
  <c r="AY285" i="6" s="1"/>
  <c r="O286" i="6" s="1"/>
  <c r="AY286" i="6" s="1"/>
  <c r="O287" i="6" s="1"/>
  <c r="AY287" i="6" s="1"/>
  <c r="O288" i="6" s="1"/>
  <c r="AY288" i="6" s="1"/>
  <c r="O289" i="6" s="1"/>
  <c r="AY289" i="6" s="1"/>
  <c r="O290" i="6" s="1"/>
  <c r="AY290" i="6" s="1"/>
  <c r="O291" i="6" s="1"/>
  <c r="AY291" i="6" s="1"/>
  <c r="O292" i="6" s="1"/>
  <c r="AY292" i="6" s="1"/>
  <c r="O293" i="6" s="1"/>
  <c r="AY293" i="6" s="1"/>
  <c r="J264" i="6"/>
  <c r="H264" i="6"/>
  <c r="AF264" i="6" s="1"/>
  <c r="G264" i="6"/>
  <c r="F264" i="6"/>
  <c r="AI264" i="6" s="1"/>
  <c r="E264" i="6"/>
  <c r="D264" i="6"/>
  <c r="C264" i="6"/>
  <c r="B264" i="6"/>
  <c r="A264" i="6"/>
  <c r="AT263" i="6"/>
  <c r="AI263" i="6"/>
  <c r="K263" i="6"/>
  <c r="J263" i="6"/>
  <c r="H263" i="6"/>
  <c r="G263" i="6"/>
  <c r="F263" i="6"/>
  <c r="E263" i="6"/>
  <c r="D263" i="6"/>
  <c r="C263" i="6"/>
  <c r="B263" i="6"/>
  <c r="A263" i="6"/>
  <c r="AT262" i="6"/>
  <c r="AE262" i="6"/>
  <c r="AC262" i="6"/>
  <c r="BM262" i="6" s="1"/>
  <c r="AC263" i="6" s="1"/>
  <c r="BM263" i="6" s="1"/>
  <c r="AC264" i="6" s="1"/>
  <c r="BM264" i="6" s="1"/>
  <c r="AC265" i="6" s="1"/>
  <c r="BM265" i="6" s="1"/>
  <c r="AC266" i="6" s="1"/>
  <c r="BM266" i="6" s="1"/>
  <c r="AC267" i="6" s="1"/>
  <c r="BM267" i="6" s="1"/>
  <c r="AC268" i="6" s="1"/>
  <c r="BM268" i="6" s="1"/>
  <c r="AC269" i="6" s="1"/>
  <c r="BM269" i="6" s="1"/>
  <c r="AC270" i="6" s="1"/>
  <c r="BM270" i="6" s="1"/>
  <c r="AC271" i="6" s="1"/>
  <c r="BM271" i="6" s="1"/>
  <c r="AC272" i="6" s="1"/>
  <c r="BM272" i="6" s="1"/>
  <c r="AC273" i="6" s="1"/>
  <c r="BM273" i="6" s="1"/>
  <c r="AC274" i="6" s="1"/>
  <c r="BM274" i="6" s="1"/>
  <c r="AC275" i="6" s="1"/>
  <c r="BM275" i="6" s="1"/>
  <c r="AC276" i="6" s="1"/>
  <c r="BM276" i="6" s="1"/>
  <c r="AC277" i="6" s="1"/>
  <c r="BM277" i="6" s="1"/>
  <c r="AC278" i="6" s="1"/>
  <c r="BM278" i="6" s="1"/>
  <c r="AC279" i="6" s="1"/>
  <c r="BM279" i="6" s="1"/>
  <c r="AC280" i="6" s="1"/>
  <c r="BM280" i="6" s="1"/>
  <c r="AC281" i="6" s="1"/>
  <c r="BM281" i="6" s="1"/>
  <c r="AC282" i="6" s="1"/>
  <c r="BM282" i="6" s="1"/>
  <c r="AC283" i="6" s="1"/>
  <c r="BM283" i="6" s="1"/>
  <c r="AC284" i="6" s="1"/>
  <c r="BM284" i="6" s="1"/>
  <c r="AC285" i="6" s="1"/>
  <c r="BM285" i="6" s="1"/>
  <c r="AC286" i="6" s="1"/>
  <c r="BM286" i="6" s="1"/>
  <c r="AC287" i="6" s="1"/>
  <c r="BM287" i="6" s="1"/>
  <c r="AC288" i="6" s="1"/>
  <c r="BM288" i="6" s="1"/>
  <c r="AC289" i="6" s="1"/>
  <c r="BM289" i="6" s="1"/>
  <c r="AC290" i="6" s="1"/>
  <c r="BM290" i="6" s="1"/>
  <c r="AC291" i="6" s="1"/>
  <c r="BM291" i="6" s="1"/>
  <c r="AC292" i="6" s="1"/>
  <c r="BM292" i="6" s="1"/>
  <c r="AC293" i="6" s="1"/>
  <c r="BM293" i="6" s="1"/>
  <c r="J262" i="6"/>
  <c r="H262" i="6"/>
  <c r="G262" i="6"/>
  <c r="F262" i="6"/>
  <c r="AI262" i="6" s="1"/>
  <c r="E262" i="6"/>
  <c r="D262" i="6"/>
  <c r="C262" i="6"/>
  <c r="B262" i="6"/>
  <c r="A262" i="6"/>
  <c r="AT261" i="6"/>
  <c r="AO261" i="6"/>
  <c r="AE261" i="6"/>
  <c r="J261" i="6"/>
  <c r="I261" i="6"/>
  <c r="H261" i="6"/>
  <c r="G261" i="6"/>
  <c r="F261" i="6"/>
  <c r="E261" i="6"/>
  <c r="D261" i="6"/>
  <c r="C261" i="6"/>
  <c r="B261" i="6"/>
  <c r="A261" i="6"/>
  <c r="BJ260" i="6"/>
  <c r="Z261" i="6" s="1"/>
  <c r="BJ261" i="6" s="1"/>
  <c r="Z262" i="6" s="1"/>
  <c r="BJ262" i="6" s="1"/>
  <c r="Z263" i="6" s="1"/>
  <c r="BJ263" i="6" s="1"/>
  <c r="Z264" i="6" s="1"/>
  <c r="BJ264" i="6" s="1"/>
  <c r="Z265" i="6" s="1"/>
  <c r="BJ265" i="6" s="1"/>
  <c r="Z266" i="6" s="1"/>
  <c r="BJ266" i="6" s="1"/>
  <c r="Z267" i="6" s="1"/>
  <c r="BJ267" i="6" s="1"/>
  <c r="Z268" i="6" s="1"/>
  <c r="BJ268" i="6" s="1"/>
  <c r="Z269" i="6" s="1"/>
  <c r="BJ269" i="6" s="1"/>
  <c r="Z270" i="6" s="1"/>
  <c r="BJ270" i="6" s="1"/>
  <c r="Z271" i="6" s="1"/>
  <c r="BJ271" i="6" s="1"/>
  <c r="Z272" i="6" s="1"/>
  <c r="BJ272" i="6" s="1"/>
  <c r="Z273" i="6" s="1"/>
  <c r="BJ273" i="6" s="1"/>
  <c r="Z274" i="6" s="1"/>
  <c r="BJ274" i="6" s="1"/>
  <c r="Z275" i="6" s="1"/>
  <c r="BJ275" i="6" s="1"/>
  <c r="Z276" i="6" s="1"/>
  <c r="BJ276" i="6" s="1"/>
  <c r="Z277" i="6" s="1"/>
  <c r="BJ277" i="6" s="1"/>
  <c r="Z278" i="6" s="1"/>
  <c r="BJ278" i="6" s="1"/>
  <c r="Z279" i="6" s="1"/>
  <c r="BJ279" i="6" s="1"/>
  <c r="Z280" i="6" s="1"/>
  <c r="BJ280" i="6" s="1"/>
  <c r="Z281" i="6" s="1"/>
  <c r="BJ281" i="6" s="1"/>
  <c r="Z282" i="6" s="1"/>
  <c r="BJ282" i="6" s="1"/>
  <c r="Z283" i="6" s="1"/>
  <c r="BJ283" i="6" s="1"/>
  <c r="Z284" i="6" s="1"/>
  <c r="BJ284" i="6" s="1"/>
  <c r="Z285" i="6" s="1"/>
  <c r="BJ285" i="6" s="1"/>
  <c r="Z286" i="6" s="1"/>
  <c r="BJ286" i="6" s="1"/>
  <c r="Z287" i="6" s="1"/>
  <c r="BJ287" i="6" s="1"/>
  <c r="Z288" i="6" s="1"/>
  <c r="BJ288" i="6" s="1"/>
  <c r="Z289" i="6" s="1"/>
  <c r="BJ289" i="6" s="1"/>
  <c r="Z290" i="6" s="1"/>
  <c r="BJ290" i="6" s="1"/>
  <c r="Z291" i="6" s="1"/>
  <c r="BJ291" i="6" s="1"/>
  <c r="Z292" i="6" s="1"/>
  <c r="BJ292" i="6" s="1"/>
  <c r="Z293" i="6" s="1"/>
  <c r="BJ293" i="6" s="1"/>
  <c r="AT260" i="6"/>
  <c r="AO260" i="6"/>
  <c r="AF260" i="6"/>
  <c r="AE260" i="6"/>
  <c r="K260" i="6"/>
  <c r="J260" i="6"/>
  <c r="I260" i="6"/>
  <c r="H260" i="6"/>
  <c r="G260" i="6"/>
  <c r="F260" i="6"/>
  <c r="E260" i="6"/>
  <c r="D260" i="6"/>
  <c r="C260" i="6"/>
  <c r="B260" i="6"/>
  <c r="A260" i="6"/>
  <c r="BJ259" i="6"/>
  <c r="Z260" i="6" s="1"/>
  <c r="BE259" i="6"/>
  <c r="AT259" i="6"/>
  <c r="AO259" i="6"/>
  <c r="AF259" i="6"/>
  <c r="AE259" i="6"/>
  <c r="Z259" i="6"/>
  <c r="N259" i="6"/>
  <c r="AX259" i="6" s="1"/>
  <c r="N260" i="6" s="1"/>
  <c r="AX260" i="6" s="1"/>
  <c r="N261" i="6" s="1"/>
  <c r="AX261" i="6" s="1"/>
  <c r="N262" i="6" s="1"/>
  <c r="AX262" i="6" s="1"/>
  <c r="N263" i="6" s="1"/>
  <c r="AX263" i="6" s="1"/>
  <c r="N264" i="6" s="1"/>
  <c r="AX264" i="6" s="1"/>
  <c r="K259" i="6"/>
  <c r="J259" i="6"/>
  <c r="I259" i="6"/>
  <c r="H259" i="6"/>
  <c r="G259" i="6"/>
  <c r="F259" i="6"/>
  <c r="E259" i="6"/>
  <c r="D259" i="6"/>
  <c r="C259" i="6"/>
  <c r="B259" i="6"/>
  <c r="A259" i="6"/>
  <c r="BO258" i="6"/>
  <c r="BN259" i="6" s="1"/>
  <c r="BO259" i="6" s="1"/>
  <c r="BN260" i="6" s="1"/>
  <c r="BN258" i="6"/>
  <c r="BL258" i="6"/>
  <c r="AB259" i="6" s="1"/>
  <c r="BL259" i="6" s="1"/>
  <c r="AB260" i="6" s="1"/>
  <c r="BL260" i="6" s="1"/>
  <c r="AB261" i="6" s="1"/>
  <c r="BL261" i="6" s="1"/>
  <c r="AB262" i="6" s="1"/>
  <c r="BL262" i="6" s="1"/>
  <c r="AB263" i="6" s="1"/>
  <c r="BL263" i="6" s="1"/>
  <c r="AB264" i="6" s="1"/>
  <c r="BL264" i="6" s="1"/>
  <c r="AB265" i="6" s="1"/>
  <c r="BL265" i="6" s="1"/>
  <c r="AB266" i="6" s="1"/>
  <c r="BL266" i="6" s="1"/>
  <c r="AB267" i="6" s="1"/>
  <c r="BL267" i="6" s="1"/>
  <c r="AB268" i="6" s="1"/>
  <c r="BL268" i="6" s="1"/>
  <c r="AB269" i="6" s="1"/>
  <c r="BE258" i="6"/>
  <c r="U259" i="6" s="1"/>
  <c r="AX258" i="6"/>
  <c r="AT258" i="6"/>
  <c r="AO258" i="6"/>
  <c r="AI258" i="6"/>
  <c r="AF258" i="6"/>
  <c r="AE258" i="6"/>
  <c r="AC258" i="6"/>
  <c r="BM258" i="6" s="1"/>
  <c r="AC259" i="6" s="1"/>
  <c r="BM259" i="6" s="1"/>
  <c r="AC260" i="6" s="1"/>
  <c r="BM260" i="6" s="1"/>
  <c r="AC261" i="6" s="1"/>
  <c r="BM261" i="6" s="1"/>
  <c r="AB258" i="6"/>
  <c r="AA258" i="6"/>
  <c r="BK258" i="6" s="1"/>
  <c r="AA259" i="6" s="1"/>
  <c r="BK259" i="6" s="1"/>
  <c r="AA260" i="6" s="1"/>
  <c r="BK260" i="6" s="1"/>
  <c r="AA261" i="6" s="1"/>
  <c r="BK261" i="6" s="1"/>
  <c r="AA262" i="6" s="1"/>
  <c r="BK262" i="6" s="1"/>
  <c r="AA263" i="6" s="1"/>
  <c r="BK263" i="6" s="1"/>
  <c r="Z258" i="6"/>
  <c r="BJ258" i="6" s="1"/>
  <c r="Y258" i="6"/>
  <c r="BI258" i="6" s="1"/>
  <c r="Y259" i="6" s="1"/>
  <c r="BI259" i="6" s="1"/>
  <c r="Y260" i="6" s="1"/>
  <c r="BI260" i="6" s="1"/>
  <c r="Y261" i="6" s="1"/>
  <c r="BI261" i="6" s="1"/>
  <c r="Y262" i="6" s="1"/>
  <c r="BI262" i="6" s="1"/>
  <c r="Y263" i="6" s="1"/>
  <c r="BI263" i="6" s="1"/>
  <c r="Y264" i="6" s="1"/>
  <c r="BI264" i="6" s="1"/>
  <c r="Y265" i="6" s="1"/>
  <c r="BI265" i="6" s="1"/>
  <c r="Y266" i="6" s="1"/>
  <c r="X258" i="6"/>
  <c r="BH258" i="6" s="1"/>
  <c r="X259" i="6" s="1"/>
  <c r="BH259" i="6" s="1"/>
  <c r="X260" i="6" s="1"/>
  <c r="BH260" i="6" s="1"/>
  <c r="X261" i="6" s="1"/>
  <c r="BH261" i="6" s="1"/>
  <c r="X262" i="6" s="1"/>
  <c r="BH262" i="6" s="1"/>
  <c r="X263" i="6" s="1"/>
  <c r="BH263" i="6" s="1"/>
  <c r="X264" i="6" s="1"/>
  <c r="BH264" i="6" s="1"/>
  <c r="X265" i="6" s="1"/>
  <c r="BH265" i="6" s="1"/>
  <c r="X266" i="6" s="1"/>
  <c r="BH266" i="6" s="1"/>
  <c r="X267" i="6" s="1"/>
  <c r="BH267" i="6" s="1"/>
  <c r="X268" i="6" s="1"/>
  <c r="BH268" i="6" s="1"/>
  <c r="X269" i="6" s="1"/>
  <c r="BH269" i="6" s="1"/>
  <c r="X270" i="6" s="1"/>
  <c r="BH270" i="6" s="1"/>
  <c r="X271" i="6" s="1"/>
  <c r="BH271" i="6" s="1"/>
  <c r="X272" i="6" s="1"/>
  <c r="BH272" i="6" s="1"/>
  <c r="X273" i="6" s="1"/>
  <c r="BH273" i="6" s="1"/>
  <c r="X274" i="6" s="1"/>
  <c r="W258" i="6"/>
  <c r="BG258" i="6" s="1"/>
  <c r="W259" i="6" s="1"/>
  <c r="V258" i="6"/>
  <c r="BF258" i="6" s="1"/>
  <c r="V259" i="6" s="1"/>
  <c r="BF259" i="6" s="1"/>
  <c r="V260" i="6" s="1"/>
  <c r="BF260" i="6" s="1"/>
  <c r="V261" i="6" s="1"/>
  <c r="BF261" i="6" s="1"/>
  <c r="V262" i="6" s="1"/>
  <c r="BF262" i="6" s="1"/>
  <c r="V263" i="6" s="1"/>
  <c r="BF263" i="6" s="1"/>
  <c r="V264" i="6" s="1"/>
  <c r="BF264" i="6" s="1"/>
  <c r="V265" i="6" s="1"/>
  <c r="BF265" i="6" s="1"/>
  <c r="V266" i="6" s="1"/>
  <c r="BF266" i="6" s="1"/>
  <c r="V267" i="6" s="1"/>
  <c r="BF267" i="6" s="1"/>
  <c r="V268" i="6" s="1"/>
  <c r="BF268" i="6" s="1"/>
  <c r="V269" i="6" s="1"/>
  <c r="BF269" i="6" s="1"/>
  <c r="V270" i="6" s="1"/>
  <c r="BF270" i="6" s="1"/>
  <c r="V271" i="6" s="1"/>
  <c r="BF271" i="6" s="1"/>
  <c r="V272" i="6" s="1"/>
  <c r="BF272" i="6" s="1"/>
  <c r="V273" i="6" s="1"/>
  <c r="BF273" i="6" s="1"/>
  <c r="V274" i="6" s="1"/>
  <c r="BF274" i="6" s="1"/>
  <c r="V275" i="6" s="1"/>
  <c r="BF275" i="6" s="1"/>
  <c r="V276" i="6" s="1"/>
  <c r="BF276" i="6" s="1"/>
  <c r="V277" i="6" s="1"/>
  <c r="BF277" i="6" s="1"/>
  <c r="V278" i="6" s="1"/>
  <c r="BF278" i="6" s="1"/>
  <c r="V279" i="6" s="1"/>
  <c r="BF279" i="6" s="1"/>
  <c r="V280" i="6" s="1"/>
  <c r="BF280" i="6" s="1"/>
  <c r="V281" i="6" s="1"/>
  <c r="U258" i="6"/>
  <c r="T258" i="6"/>
  <c r="BD258" i="6" s="1"/>
  <c r="T259" i="6" s="1"/>
  <c r="BD259" i="6" s="1"/>
  <c r="T260" i="6" s="1"/>
  <c r="BD260" i="6" s="1"/>
  <c r="T261" i="6" s="1"/>
  <c r="BD261" i="6" s="1"/>
  <c r="T262" i="6" s="1"/>
  <c r="S258" i="6"/>
  <c r="BC258" i="6" s="1"/>
  <c r="S259" i="6" s="1"/>
  <c r="BC259" i="6" s="1"/>
  <c r="S260" i="6" s="1"/>
  <c r="BC260" i="6" s="1"/>
  <c r="S261" i="6" s="1"/>
  <c r="BC261" i="6" s="1"/>
  <c r="S262" i="6" s="1"/>
  <c r="BC262" i="6" s="1"/>
  <c r="S263" i="6" s="1"/>
  <c r="BC263" i="6" s="1"/>
  <c r="S264" i="6" s="1"/>
  <c r="BC264" i="6" s="1"/>
  <c r="S265" i="6" s="1"/>
  <c r="BC265" i="6" s="1"/>
  <c r="S266" i="6" s="1"/>
  <c r="BC266" i="6" s="1"/>
  <c r="S267" i="6" s="1"/>
  <c r="BC267" i="6" s="1"/>
  <c r="S268" i="6" s="1"/>
  <c r="BC268" i="6" s="1"/>
  <c r="S269" i="6" s="1"/>
  <c r="BC269" i="6" s="1"/>
  <c r="S270" i="6" s="1"/>
  <c r="BC270" i="6" s="1"/>
  <c r="S271" i="6" s="1"/>
  <c r="BC271" i="6" s="1"/>
  <c r="S272" i="6" s="1"/>
  <c r="BC272" i="6" s="1"/>
  <c r="S273" i="6" s="1"/>
  <c r="BC273" i="6" s="1"/>
  <c r="S274" i="6" s="1"/>
  <c r="BC274" i="6" s="1"/>
  <c r="S275" i="6" s="1"/>
  <c r="BC275" i="6" s="1"/>
  <c r="S276" i="6" s="1"/>
  <c r="BC276" i="6" s="1"/>
  <c r="S277" i="6" s="1"/>
  <c r="BC277" i="6" s="1"/>
  <c r="S278" i="6" s="1"/>
  <c r="BC278" i="6" s="1"/>
  <c r="S279" i="6" s="1"/>
  <c r="BC279" i="6" s="1"/>
  <c r="S280" i="6" s="1"/>
  <c r="BC280" i="6" s="1"/>
  <c r="S281" i="6" s="1"/>
  <c r="BC281" i="6" s="1"/>
  <c r="S282" i="6" s="1"/>
  <c r="BC282" i="6" s="1"/>
  <c r="S283" i="6" s="1"/>
  <c r="BC283" i="6" s="1"/>
  <c r="S284" i="6" s="1"/>
  <c r="BC284" i="6" s="1"/>
  <c r="S285" i="6" s="1"/>
  <c r="BC285" i="6" s="1"/>
  <c r="S286" i="6" s="1"/>
  <c r="BC286" i="6" s="1"/>
  <c r="S287" i="6" s="1"/>
  <c r="BC287" i="6" s="1"/>
  <c r="S288" i="6" s="1"/>
  <c r="BC288" i="6" s="1"/>
  <c r="S289" i="6" s="1"/>
  <c r="BC289" i="6" s="1"/>
  <c r="S290" i="6" s="1"/>
  <c r="BC290" i="6" s="1"/>
  <c r="S291" i="6" s="1"/>
  <c r="BC291" i="6" s="1"/>
  <c r="S292" i="6" s="1"/>
  <c r="BC292" i="6" s="1"/>
  <c r="S293" i="6" s="1"/>
  <c r="BC293" i="6" s="1"/>
  <c r="R258" i="6"/>
  <c r="BB258" i="6" s="1"/>
  <c r="R259" i="6" s="1"/>
  <c r="BB259" i="6" s="1"/>
  <c r="R260" i="6" s="1"/>
  <c r="BB260" i="6" s="1"/>
  <c r="R261" i="6" s="1"/>
  <c r="BB261" i="6" s="1"/>
  <c r="R262" i="6" s="1"/>
  <c r="BB262" i="6" s="1"/>
  <c r="R263" i="6" s="1"/>
  <c r="BB263" i="6" s="1"/>
  <c r="R264" i="6" s="1"/>
  <c r="BB264" i="6" s="1"/>
  <c r="R265" i="6" s="1"/>
  <c r="BB265" i="6" s="1"/>
  <c r="R266" i="6" s="1"/>
  <c r="BB266" i="6" s="1"/>
  <c r="Q258" i="6"/>
  <c r="BA258" i="6" s="1"/>
  <c r="Q259" i="6" s="1"/>
  <c r="BA259" i="6" s="1"/>
  <c r="Q260" i="6" s="1"/>
  <c r="BA260" i="6" s="1"/>
  <c r="Q261" i="6" s="1"/>
  <c r="BA261" i="6" s="1"/>
  <c r="Q262" i="6" s="1"/>
  <c r="BA262" i="6" s="1"/>
  <c r="Q263" i="6" s="1"/>
  <c r="BA263" i="6" s="1"/>
  <c r="Q264" i="6" s="1"/>
  <c r="BA264" i="6" s="1"/>
  <c r="Q265" i="6" s="1"/>
  <c r="O258" i="6"/>
  <c r="AY258" i="6" s="1"/>
  <c r="O259" i="6" s="1"/>
  <c r="AY259" i="6" s="1"/>
  <c r="O260" i="6" s="1"/>
  <c r="AY260" i="6" s="1"/>
  <c r="O261" i="6" s="1"/>
  <c r="AY261" i="6" s="1"/>
  <c r="O262" i="6" s="1"/>
  <c r="AY262" i="6" s="1"/>
  <c r="O263" i="6" s="1"/>
  <c r="AY263" i="6" s="1"/>
  <c r="N258" i="6"/>
  <c r="M258" i="6"/>
  <c r="AW258" i="6" s="1"/>
  <c r="M259" i="6" s="1"/>
  <c r="AW259" i="6" s="1"/>
  <c r="M260" i="6" s="1"/>
  <c r="L258" i="6"/>
  <c r="AV258" i="6" s="1"/>
  <c r="L259" i="6" s="1"/>
  <c r="K258" i="6"/>
  <c r="J258" i="6"/>
  <c r="I258" i="6"/>
  <c r="H258" i="6"/>
  <c r="G258" i="6"/>
  <c r="F258" i="6"/>
  <c r="AP258" i="6" s="1"/>
  <c r="E258" i="6"/>
  <c r="D258" i="6"/>
  <c r="C258" i="6"/>
  <c r="B258" i="6"/>
  <c r="A258" i="6"/>
  <c r="AO257" i="6"/>
  <c r="AI257" i="6"/>
  <c r="AE257" i="6"/>
  <c r="K257" i="6"/>
  <c r="I257" i="6"/>
  <c r="H257" i="6"/>
  <c r="G257" i="6"/>
  <c r="F257" i="6"/>
  <c r="J257" i="6" s="1"/>
  <c r="E257" i="6"/>
  <c r="D257" i="6"/>
  <c r="C257" i="6"/>
  <c r="B257" i="6"/>
  <c r="A257" i="6"/>
  <c r="AO256" i="6"/>
  <c r="K256" i="6"/>
  <c r="H256" i="6"/>
  <c r="G256" i="6"/>
  <c r="F256" i="6"/>
  <c r="AI256" i="6" s="1"/>
  <c r="E256" i="6"/>
  <c r="D256" i="6"/>
  <c r="C256" i="6"/>
  <c r="B256" i="6"/>
  <c r="A256" i="6"/>
  <c r="AO255" i="6"/>
  <c r="K255" i="6"/>
  <c r="H255" i="6"/>
  <c r="G255" i="6"/>
  <c r="F255" i="6"/>
  <c r="AI255" i="6" s="1"/>
  <c r="E255" i="6"/>
  <c r="D255" i="6"/>
  <c r="C255" i="6"/>
  <c r="B255" i="6"/>
  <c r="A255" i="6"/>
  <c r="AO254" i="6"/>
  <c r="H254" i="6"/>
  <c r="G254" i="6"/>
  <c r="F254" i="6"/>
  <c r="E254" i="6"/>
  <c r="D254" i="6"/>
  <c r="C254" i="6"/>
  <c r="B254" i="6"/>
  <c r="A254" i="6"/>
  <c r="AO253" i="6"/>
  <c r="AI253" i="6"/>
  <c r="K253" i="6"/>
  <c r="J253" i="6"/>
  <c r="I253" i="6"/>
  <c r="H253" i="6"/>
  <c r="G253" i="6"/>
  <c r="F253" i="6"/>
  <c r="AE253" i="6" s="1"/>
  <c r="E253" i="6"/>
  <c r="D253" i="6"/>
  <c r="C253" i="6"/>
  <c r="B253" i="6"/>
  <c r="A253" i="6"/>
  <c r="AO252" i="6"/>
  <c r="J252" i="6"/>
  <c r="H252" i="6"/>
  <c r="G252" i="6"/>
  <c r="F252" i="6"/>
  <c r="AI252" i="6" s="1"/>
  <c r="E252" i="6"/>
  <c r="D252" i="6"/>
  <c r="C252" i="6"/>
  <c r="B252" i="6"/>
  <c r="A252" i="6"/>
  <c r="AO251" i="6"/>
  <c r="AI251" i="6"/>
  <c r="K251" i="6"/>
  <c r="J251" i="6"/>
  <c r="H251" i="6"/>
  <c r="G251" i="6"/>
  <c r="F251" i="6"/>
  <c r="E251" i="6"/>
  <c r="D251" i="6"/>
  <c r="C251" i="6"/>
  <c r="B251" i="6"/>
  <c r="A251" i="6"/>
  <c r="AO250" i="6"/>
  <c r="AE250" i="6"/>
  <c r="J250" i="6"/>
  <c r="H250" i="6"/>
  <c r="G250" i="6"/>
  <c r="F250" i="6"/>
  <c r="AI250" i="6" s="1"/>
  <c r="E250" i="6"/>
  <c r="D250" i="6"/>
  <c r="C250" i="6"/>
  <c r="B250" i="6"/>
  <c r="A250" i="6"/>
  <c r="AO249" i="6"/>
  <c r="AE249" i="6"/>
  <c r="K249" i="6"/>
  <c r="J249" i="6"/>
  <c r="I249" i="6"/>
  <c r="H249" i="6"/>
  <c r="G249" i="6"/>
  <c r="F249" i="6"/>
  <c r="AI249" i="6" s="1"/>
  <c r="E249" i="6"/>
  <c r="D249" i="6"/>
  <c r="C249" i="6"/>
  <c r="B249" i="6"/>
  <c r="A249" i="6"/>
  <c r="AO248" i="6"/>
  <c r="AE248" i="6"/>
  <c r="J248" i="6"/>
  <c r="I248" i="6"/>
  <c r="H248" i="6"/>
  <c r="G248" i="6"/>
  <c r="F248" i="6"/>
  <c r="E248" i="6"/>
  <c r="D248" i="6"/>
  <c r="C248" i="6"/>
  <c r="B248" i="6"/>
  <c r="A248" i="6"/>
  <c r="AO247" i="6"/>
  <c r="AE247" i="6"/>
  <c r="K247" i="6"/>
  <c r="J247" i="6"/>
  <c r="I247" i="6"/>
  <c r="H247" i="6"/>
  <c r="G247" i="6"/>
  <c r="F247" i="6"/>
  <c r="E247" i="6"/>
  <c r="D247" i="6"/>
  <c r="C247" i="6"/>
  <c r="B247" i="6"/>
  <c r="A247" i="6"/>
  <c r="AO246" i="6"/>
  <c r="AI246" i="6"/>
  <c r="AE246" i="6"/>
  <c r="K246" i="6"/>
  <c r="J246" i="6"/>
  <c r="I246" i="6"/>
  <c r="H246" i="6"/>
  <c r="G246" i="6"/>
  <c r="F246" i="6"/>
  <c r="E246" i="6"/>
  <c r="D246" i="6"/>
  <c r="C246" i="6"/>
  <c r="B246" i="6"/>
  <c r="A246" i="6"/>
  <c r="AO245" i="6"/>
  <c r="AI245" i="6"/>
  <c r="AE245" i="6"/>
  <c r="K245" i="6"/>
  <c r="I245" i="6"/>
  <c r="H245" i="6"/>
  <c r="G245" i="6"/>
  <c r="F245" i="6"/>
  <c r="J245" i="6" s="1"/>
  <c r="E245" i="6"/>
  <c r="D245" i="6"/>
  <c r="C245" i="6"/>
  <c r="B245" i="6"/>
  <c r="A245" i="6"/>
  <c r="AT244" i="6"/>
  <c r="AI244" i="6"/>
  <c r="K244" i="6"/>
  <c r="H244" i="6"/>
  <c r="G244" i="6"/>
  <c r="F244" i="6"/>
  <c r="E244" i="6"/>
  <c r="D244" i="6"/>
  <c r="C244" i="6"/>
  <c r="B244" i="6"/>
  <c r="A244" i="6"/>
  <c r="AT243" i="6"/>
  <c r="AO243" i="6"/>
  <c r="H243" i="6"/>
  <c r="G243" i="6"/>
  <c r="F243" i="6"/>
  <c r="E243" i="6"/>
  <c r="D243" i="6"/>
  <c r="C243" i="6"/>
  <c r="B243" i="6"/>
  <c r="A243" i="6"/>
  <c r="AT242" i="6"/>
  <c r="AO242" i="6"/>
  <c r="R242" i="6"/>
  <c r="BB242" i="6" s="1"/>
  <c r="R243" i="6" s="1"/>
  <c r="BB243" i="6" s="1"/>
  <c r="R244" i="6" s="1"/>
  <c r="BB244" i="6" s="1"/>
  <c r="R245" i="6" s="1"/>
  <c r="BB245" i="6" s="1"/>
  <c r="R246" i="6" s="1"/>
  <c r="BB246" i="6" s="1"/>
  <c r="R247" i="6" s="1"/>
  <c r="BB247" i="6" s="1"/>
  <c r="R248" i="6" s="1"/>
  <c r="BB248" i="6" s="1"/>
  <c r="R249" i="6" s="1"/>
  <c r="BB249" i="6" s="1"/>
  <c r="R250" i="6" s="1"/>
  <c r="BB250" i="6" s="1"/>
  <c r="R251" i="6" s="1"/>
  <c r="BB251" i="6" s="1"/>
  <c r="R252" i="6" s="1"/>
  <c r="BB252" i="6" s="1"/>
  <c r="R253" i="6" s="1"/>
  <c r="BB253" i="6" s="1"/>
  <c r="R254" i="6" s="1"/>
  <c r="BB254" i="6" s="1"/>
  <c r="R255" i="6" s="1"/>
  <c r="BB255" i="6" s="1"/>
  <c r="R256" i="6" s="1"/>
  <c r="BB256" i="6" s="1"/>
  <c r="R257" i="6" s="1"/>
  <c r="BB257" i="6" s="1"/>
  <c r="H242" i="6"/>
  <c r="G242" i="6"/>
  <c r="F242" i="6"/>
  <c r="E242" i="6"/>
  <c r="D242" i="6"/>
  <c r="C242" i="6"/>
  <c r="B242" i="6"/>
  <c r="A242" i="6"/>
  <c r="AT241" i="6"/>
  <c r="AO241" i="6"/>
  <c r="AI241" i="6"/>
  <c r="K241" i="6"/>
  <c r="J241" i="6"/>
  <c r="I241" i="6"/>
  <c r="H241" i="6"/>
  <c r="G241" i="6"/>
  <c r="F241" i="6"/>
  <c r="E241" i="6"/>
  <c r="D241" i="6"/>
  <c r="C241" i="6"/>
  <c r="B241" i="6"/>
  <c r="A241" i="6"/>
  <c r="AT240" i="6"/>
  <c r="AO240" i="6"/>
  <c r="J240" i="6"/>
  <c r="H240" i="6"/>
  <c r="G240" i="6"/>
  <c r="F240" i="6"/>
  <c r="AI240" i="6" s="1"/>
  <c r="E240" i="6"/>
  <c r="D240" i="6"/>
  <c r="C240" i="6"/>
  <c r="B240" i="6"/>
  <c r="A240" i="6"/>
  <c r="AT239" i="6"/>
  <c r="AO239" i="6"/>
  <c r="AI239" i="6"/>
  <c r="K239" i="6"/>
  <c r="J239" i="6"/>
  <c r="H239" i="6"/>
  <c r="AF239" i="6" s="1"/>
  <c r="G239" i="6"/>
  <c r="F239" i="6"/>
  <c r="E239" i="6"/>
  <c r="D239" i="6"/>
  <c r="C239" i="6"/>
  <c r="B239" i="6"/>
  <c r="A239" i="6"/>
  <c r="AT238" i="6"/>
  <c r="AE238" i="6"/>
  <c r="AC238" i="6"/>
  <c r="BM238" i="6" s="1"/>
  <c r="AC239" i="6" s="1"/>
  <c r="BM239" i="6" s="1"/>
  <c r="AC240" i="6" s="1"/>
  <c r="BM240" i="6" s="1"/>
  <c r="AC241" i="6" s="1"/>
  <c r="BM241" i="6" s="1"/>
  <c r="AC242" i="6" s="1"/>
  <c r="BM242" i="6" s="1"/>
  <c r="AC243" i="6" s="1"/>
  <c r="BM243" i="6" s="1"/>
  <c r="AC244" i="6" s="1"/>
  <c r="BM244" i="6" s="1"/>
  <c r="AC245" i="6" s="1"/>
  <c r="BM245" i="6" s="1"/>
  <c r="AC246" i="6" s="1"/>
  <c r="BM246" i="6" s="1"/>
  <c r="AC247" i="6" s="1"/>
  <c r="BM247" i="6" s="1"/>
  <c r="AC248" i="6" s="1"/>
  <c r="BM248" i="6" s="1"/>
  <c r="AC249" i="6" s="1"/>
  <c r="BM249" i="6" s="1"/>
  <c r="AC250" i="6" s="1"/>
  <c r="BM250" i="6" s="1"/>
  <c r="AC251" i="6" s="1"/>
  <c r="BM251" i="6" s="1"/>
  <c r="AC252" i="6" s="1"/>
  <c r="BM252" i="6" s="1"/>
  <c r="AC253" i="6" s="1"/>
  <c r="BM253" i="6" s="1"/>
  <c r="AC254" i="6" s="1"/>
  <c r="BM254" i="6" s="1"/>
  <c r="AC255" i="6" s="1"/>
  <c r="BM255" i="6" s="1"/>
  <c r="AC256" i="6" s="1"/>
  <c r="BM256" i="6" s="1"/>
  <c r="AC257" i="6" s="1"/>
  <c r="BM257" i="6" s="1"/>
  <c r="J238" i="6"/>
  <c r="H238" i="6"/>
  <c r="G238" i="6"/>
  <c r="F238" i="6"/>
  <c r="AI238" i="6" s="1"/>
  <c r="E238" i="6"/>
  <c r="D238" i="6"/>
  <c r="C238" i="6"/>
  <c r="B238" i="6"/>
  <c r="A238" i="6"/>
  <c r="AT237" i="6"/>
  <c r="AO237" i="6"/>
  <c r="AF237" i="6"/>
  <c r="AE237" i="6"/>
  <c r="J237" i="6"/>
  <c r="I237" i="6"/>
  <c r="H237" i="6"/>
  <c r="G237" i="6"/>
  <c r="F237" i="6"/>
  <c r="AI237" i="6" s="1"/>
  <c r="E237" i="6"/>
  <c r="D237" i="6"/>
  <c r="C237" i="6"/>
  <c r="B237" i="6"/>
  <c r="A237" i="6"/>
  <c r="AT236" i="6"/>
  <c r="AO236" i="6"/>
  <c r="AF236" i="6"/>
  <c r="AE236" i="6"/>
  <c r="J236" i="6"/>
  <c r="I236" i="6"/>
  <c r="H236" i="6"/>
  <c r="G236" i="6"/>
  <c r="F236" i="6"/>
  <c r="E236" i="6"/>
  <c r="D236" i="6"/>
  <c r="C236" i="6"/>
  <c r="B236" i="6"/>
  <c r="A236" i="6"/>
  <c r="AT235" i="6"/>
  <c r="AO235" i="6"/>
  <c r="AF235" i="6"/>
  <c r="AE235" i="6"/>
  <c r="K235" i="6"/>
  <c r="J235" i="6"/>
  <c r="I235" i="6"/>
  <c r="H235" i="6"/>
  <c r="G235" i="6"/>
  <c r="F235" i="6"/>
  <c r="E235" i="6"/>
  <c r="D235" i="6"/>
  <c r="C235" i="6"/>
  <c r="B235" i="6"/>
  <c r="A235" i="6"/>
  <c r="AT234" i="6"/>
  <c r="AO234" i="6"/>
  <c r="AE234" i="6"/>
  <c r="K234" i="6"/>
  <c r="J234" i="6"/>
  <c r="I234" i="6"/>
  <c r="H234" i="6"/>
  <c r="G234" i="6"/>
  <c r="F234" i="6"/>
  <c r="E234" i="6"/>
  <c r="D234" i="6"/>
  <c r="C234" i="6"/>
  <c r="B234" i="6"/>
  <c r="A234" i="6"/>
  <c r="AT233" i="6"/>
  <c r="AI233" i="6"/>
  <c r="AE233" i="6"/>
  <c r="K233" i="6"/>
  <c r="I233" i="6"/>
  <c r="H233" i="6"/>
  <c r="G233" i="6"/>
  <c r="F233" i="6"/>
  <c r="E233" i="6"/>
  <c r="D233" i="6"/>
  <c r="C233" i="6"/>
  <c r="B233" i="6"/>
  <c r="A233" i="6"/>
  <c r="AT232" i="6"/>
  <c r="R232" i="6"/>
  <c r="BB232" i="6" s="1"/>
  <c r="R233" i="6" s="1"/>
  <c r="BB233" i="6" s="1"/>
  <c r="R234" i="6" s="1"/>
  <c r="BB234" i="6" s="1"/>
  <c r="R235" i="6" s="1"/>
  <c r="BB235" i="6" s="1"/>
  <c r="R236" i="6" s="1"/>
  <c r="BB236" i="6" s="1"/>
  <c r="R237" i="6" s="1"/>
  <c r="BB237" i="6" s="1"/>
  <c r="R238" i="6" s="1"/>
  <c r="BB238" i="6" s="1"/>
  <c r="R239" i="6" s="1"/>
  <c r="BB239" i="6" s="1"/>
  <c r="R240" i="6" s="1"/>
  <c r="BB240" i="6" s="1"/>
  <c r="R241" i="6" s="1"/>
  <c r="BB241" i="6" s="1"/>
  <c r="H232" i="6"/>
  <c r="G232" i="6"/>
  <c r="F232" i="6"/>
  <c r="E232" i="6"/>
  <c r="D232" i="6"/>
  <c r="C232" i="6"/>
  <c r="B232" i="6"/>
  <c r="A232" i="6"/>
  <c r="AT231" i="6"/>
  <c r="AO231" i="6"/>
  <c r="AI231" i="6"/>
  <c r="K231" i="6"/>
  <c r="H231" i="6"/>
  <c r="AF231" i="6" s="1"/>
  <c r="G231" i="6"/>
  <c r="F231" i="6"/>
  <c r="E231" i="6"/>
  <c r="D231" i="6"/>
  <c r="C231" i="6"/>
  <c r="B231" i="6"/>
  <c r="A231" i="6"/>
  <c r="AT230" i="6"/>
  <c r="AO230" i="6"/>
  <c r="H230" i="6"/>
  <c r="G230" i="6"/>
  <c r="F230" i="6"/>
  <c r="E230" i="6"/>
  <c r="D230" i="6"/>
  <c r="C230" i="6"/>
  <c r="B230" i="6"/>
  <c r="A230" i="6"/>
  <c r="AT229" i="6"/>
  <c r="AO229" i="6"/>
  <c r="AI229" i="6"/>
  <c r="AF229" i="6"/>
  <c r="AA229" i="6"/>
  <c r="BK229" i="6" s="1"/>
  <c r="AA230" i="6" s="1"/>
  <c r="BK230" i="6" s="1"/>
  <c r="AA231" i="6" s="1"/>
  <c r="BK231" i="6" s="1"/>
  <c r="AA232" i="6" s="1"/>
  <c r="BK232" i="6" s="1"/>
  <c r="AA233" i="6" s="1"/>
  <c r="BK233" i="6" s="1"/>
  <c r="AA234" i="6" s="1"/>
  <c r="BK234" i="6" s="1"/>
  <c r="AA235" i="6" s="1"/>
  <c r="BK235" i="6" s="1"/>
  <c r="AA236" i="6" s="1"/>
  <c r="BK236" i="6" s="1"/>
  <c r="AA237" i="6" s="1"/>
  <c r="BK237" i="6" s="1"/>
  <c r="AA238" i="6" s="1"/>
  <c r="BK238" i="6" s="1"/>
  <c r="AA239" i="6" s="1"/>
  <c r="BK239" i="6" s="1"/>
  <c r="AA240" i="6" s="1"/>
  <c r="BK240" i="6" s="1"/>
  <c r="AA241" i="6" s="1"/>
  <c r="BK241" i="6" s="1"/>
  <c r="AA242" i="6" s="1"/>
  <c r="BK242" i="6" s="1"/>
  <c r="AA243" i="6" s="1"/>
  <c r="BK243" i="6" s="1"/>
  <c r="AA244" i="6" s="1"/>
  <c r="BK244" i="6" s="1"/>
  <c r="AA245" i="6" s="1"/>
  <c r="BK245" i="6" s="1"/>
  <c r="AA246" i="6" s="1"/>
  <c r="BK246" i="6" s="1"/>
  <c r="AA247" i="6" s="1"/>
  <c r="BK247" i="6" s="1"/>
  <c r="AA248" i="6" s="1"/>
  <c r="BK248" i="6" s="1"/>
  <c r="AA249" i="6" s="1"/>
  <c r="BK249" i="6" s="1"/>
  <c r="AA250" i="6" s="1"/>
  <c r="BK250" i="6" s="1"/>
  <c r="AA251" i="6" s="1"/>
  <c r="BK251" i="6" s="1"/>
  <c r="AA252" i="6" s="1"/>
  <c r="BK252" i="6" s="1"/>
  <c r="AA253" i="6" s="1"/>
  <c r="BK253" i="6" s="1"/>
  <c r="AA254" i="6" s="1"/>
  <c r="BK254" i="6" s="1"/>
  <c r="AA255" i="6" s="1"/>
  <c r="BK255" i="6" s="1"/>
  <c r="AA256" i="6" s="1"/>
  <c r="BK256" i="6" s="1"/>
  <c r="AA257" i="6" s="1"/>
  <c r="BK257" i="6" s="1"/>
  <c r="K229" i="6"/>
  <c r="J229" i="6"/>
  <c r="I229" i="6"/>
  <c r="H229" i="6"/>
  <c r="G229" i="6"/>
  <c r="F229" i="6"/>
  <c r="AE229" i="6" s="1"/>
  <c r="E229" i="6"/>
  <c r="D229" i="6"/>
  <c r="C229" i="6"/>
  <c r="B229" i="6"/>
  <c r="A229" i="6"/>
  <c r="AT228" i="6"/>
  <c r="AO228" i="6"/>
  <c r="AF228" i="6"/>
  <c r="J228" i="6"/>
  <c r="H228" i="6"/>
  <c r="G228" i="6"/>
  <c r="F228" i="6"/>
  <c r="E228" i="6"/>
  <c r="D228" i="6"/>
  <c r="C228" i="6"/>
  <c r="B228" i="6"/>
  <c r="A228" i="6"/>
  <c r="AT227" i="6"/>
  <c r="AI227" i="6"/>
  <c r="AA227" i="6"/>
  <c r="BK227" i="6" s="1"/>
  <c r="AA228" i="6" s="1"/>
  <c r="BK228" i="6" s="1"/>
  <c r="Y227" i="6"/>
  <c r="BI227" i="6" s="1"/>
  <c r="Y228" i="6" s="1"/>
  <c r="BI228" i="6" s="1"/>
  <c r="Y229" i="6" s="1"/>
  <c r="BI229" i="6" s="1"/>
  <c r="Y230" i="6" s="1"/>
  <c r="BI230" i="6" s="1"/>
  <c r="Y231" i="6" s="1"/>
  <c r="BI231" i="6" s="1"/>
  <c r="Y232" i="6" s="1"/>
  <c r="BI232" i="6" s="1"/>
  <c r="Y233" i="6" s="1"/>
  <c r="BI233" i="6" s="1"/>
  <c r="Y234" i="6" s="1"/>
  <c r="BI234" i="6" s="1"/>
  <c r="Y235" i="6" s="1"/>
  <c r="BI235" i="6" s="1"/>
  <c r="Y236" i="6" s="1"/>
  <c r="BI236" i="6" s="1"/>
  <c r="Y237" i="6" s="1"/>
  <c r="BI237" i="6" s="1"/>
  <c r="Y238" i="6" s="1"/>
  <c r="BI238" i="6" s="1"/>
  <c r="Y239" i="6" s="1"/>
  <c r="BI239" i="6" s="1"/>
  <c r="Y240" i="6" s="1"/>
  <c r="BI240" i="6" s="1"/>
  <c r="Y241" i="6" s="1"/>
  <c r="BI241" i="6" s="1"/>
  <c r="Y242" i="6" s="1"/>
  <c r="BI242" i="6" s="1"/>
  <c r="Y243" i="6" s="1"/>
  <c r="BI243" i="6" s="1"/>
  <c r="Y244" i="6" s="1"/>
  <c r="BI244" i="6" s="1"/>
  <c r="Y245" i="6" s="1"/>
  <c r="BI245" i="6" s="1"/>
  <c r="Y246" i="6" s="1"/>
  <c r="BI246" i="6" s="1"/>
  <c r="Y247" i="6" s="1"/>
  <c r="BI247" i="6" s="1"/>
  <c r="Y248" i="6" s="1"/>
  <c r="BI248" i="6" s="1"/>
  <c r="Y249" i="6" s="1"/>
  <c r="BI249" i="6" s="1"/>
  <c r="Y250" i="6" s="1"/>
  <c r="BI250" i="6" s="1"/>
  <c r="Y251" i="6" s="1"/>
  <c r="BI251" i="6" s="1"/>
  <c r="Y252" i="6" s="1"/>
  <c r="BI252" i="6" s="1"/>
  <c r="Y253" i="6" s="1"/>
  <c r="BI253" i="6" s="1"/>
  <c r="Y254" i="6" s="1"/>
  <c r="BI254" i="6" s="1"/>
  <c r="Y255" i="6" s="1"/>
  <c r="BI255" i="6" s="1"/>
  <c r="Y256" i="6" s="1"/>
  <c r="BI256" i="6" s="1"/>
  <c r="Y257" i="6" s="1"/>
  <c r="BI257" i="6" s="1"/>
  <c r="K227" i="6"/>
  <c r="J227" i="6"/>
  <c r="H227" i="6"/>
  <c r="G227" i="6"/>
  <c r="F227" i="6"/>
  <c r="E227" i="6"/>
  <c r="D227" i="6"/>
  <c r="C227" i="6"/>
  <c r="B227" i="6"/>
  <c r="A227" i="6"/>
  <c r="AT226" i="6"/>
  <c r="AE226" i="6"/>
  <c r="J226" i="6"/>
  <c r="H226" i="6"/>
  <c r="G226" i="6"/>
  <c r="F226" i="6"/>
  <c r="AI226" i="6" s="1"/>
  <c r="E226" i="6"/>
  <c r="D226" i="6"/>
  <c r="C226" i="6"/>
  <c r="B226" i="6"/>
  <c r="A226" i="6"/>
  <c r="BK225" i="6"/>
  <c r="AA226" i="6" s="1"/>
  <c r="BK226" i="6" s="1"/>
  <c r="BA225" i="6"/>
  <c r="Q226" i="6" s="1"/>
  <c r="BA226" i="6" s="1"/>
  <c r="Q227" i="6" s="1"/>
  <c r="BA227" i="6" s="1"/>
  <c r="Q228" i="6" s="1"/>
  <c r="BA228" i="6" s="1"/>
  <c r="Q229" i="6" s="1"/>
  <c r="AT225" i="6"/>
  <c r="AO225" i="6"/>
  <c r="AE225" i="6"/>
  <c r="AA225" i="6"/>
  <c r="O225" i="6"/>
  <c r="AY225" i="6" s="1"/>
  <c r="O226" i="6" s="1"/>
  <c r="AY226" i="6" s="1"/>
  <c r="O227" i="6" s="1"/>
  <c r="AY227" i="6" s="1"/>
  <c r="O228" i="6" s="1"/>
  <c r="AY228" i="6" s="1"/>
  <c r="O229" i="6" s="1"/>
  <c r="AY229" i="6" s="1"/>
  <c r="O230" i="6" s="1"/>
  <c r="AY230" i="6" s="1"/>
  <c r="O231" i="6" s="1"/>
  <c r="AY231" i="6" s="1"/>
  <c r="O232" i="6" s="1"/>
  <c r="AY232" i="6" s="1"/>
  <c r="O233" i="6" s="1"/>
  <c r="AY233" i="6" s="1"/>
  <c r="O234" i="6" s="1"/>
  <c r="AY234" i="6" s="1"/>
  <c r="O235" i="6" s="1"/>
  <c r="AY235" i="6" s="1"/>
  <c r="O236" i="6" s="1"/>
  <c r="AY236" i="6" s="1"/>
  <c r="O237" i="6" s="1"/>
  <c r="AY237" i="6" s="1"/>
  <c r="O238" i="6" s="1"/>
  <c r="AY238" i="6" s="1"/>
  <c r="O239" i="6" s="1"/>
  <c r="AY239" i="6" s="1"/>
  <c r="O240" i="6" s="1"/>
  <c r="AY240" i="6" s="1"/>
  <c r="O241" i="6" s="1"/>
  <c r="AY241" i="6" s="1"/>
  <c r="O242" i="6" s="1"/>
  <c r="AY242" i="6" s="1"/>
  <c r="O243" i="6" s="1"/>
  <c r="AY243" i="6" s="1"/>
  <c r="O244" i="6" s="1"/>
  <c r="AY244" i="6" s="1"/>
  <c r="O245" i="6" s="1"/>
  <c r="AY245" i="6" s="1"/>
  <c r="O246" i="6" s="1"/>
  <c r="AY246" i="6" s="1"/>
  <c r="O247" i="6" s="1"/>
  <c r="AY247" i="6" s="1"/>
  <c r="O248" i="6" s="1"/>
  <c r="AY248" i="6" s="1"/>
  <c r="O249" i="6" s="1"/>
  <c r="AY249" i="6" s="1"/>
  <c r="O250" i="6" s="1"/>
  <c r="AY250" i="6" s="1"/>
  <c r="O251" i="6" s="1"/>
  <c r="AY251" i="6" s="1"/>
  <c r="O252" i="6" s="1"/>
  <c r="AY252" i="6" s="1"/>
  <c r="O253" i="6" s="1"/>
  <c r="AY253" i="6" s="1"/>
  <c r="O254" i="6" s="1"/>
  <c r="AY254" i="6" s="1"/>
  <c r="O255" i="6" s="1"/>
  <c r="AY255" i="6" s="1"/>
  <c r="O256" i="6" s="1"/>
  <c r="AY256" i="6" s="1"/>
  <c r="O257" i="6" s="1"/>
  <c r="AY257" i="6" s="1"/>
  <c r="K225" i="6"/>
  <c r="J225" i="6"/>
  <c r="I225" i="6"/>
  <c r="H225" i="6"/>
  <c r="G225" i="6"/>
  <c r="F225" i="6"/>
  <c r="AI225" i="6" s="1"/>
  <c r="E225" i="6"/>
  <c r="D225" i="6"/>
  <c r="C225" i="6"/>
  <c r="B225" i="6"/>
  <c r="A225" i="6"/>
  <c r="BH224" i="6"/>
  <c r="X225" i="6" s="1"/>
  <c r="BH225" i="6" s="1"/>
  <c r="X226" i="6" s="1"/>
  <c r="BH226" i="6" s="1"/>
  <c r="X227" i="6" s="1"/>
  <c r="BH227" i="6" s="1"/>
  <c r="X228" i="6" s="1"/>
  <c r="BH228" i="6" s="1"/>
  <c r="X229" i="6" s="1"/>
  <c r="BH229" i="6" s="1"/>
  <c r="X230" i="6" s="1"/>
  <c r="BH230" i="6" s="1"/>
  <c r="X231" i="6" s="1"/>
  <c r="BH231" i="6" s="1"/>
  <c r="X232" i="6" s="1"/>
  <c r="BH232" i="6" s="1"/>
  <c r="X233" i="6" s="1"/>
  <c r="BH233" i="6" s="1"/>
  <c r="X234" i="6" s="1"/>
  <c r="BH234" i="6" s="1"/>
  <c r="X235" i="6" s="1"/>
  <c r="BH235" i="6" s="1"/>
  <c r="X236" i="6" s="1"/>
  <c r="BH236" i="6" s="1"/>
  <c r="X237" i="6" s="1"/>
  <c r="BH237" i="6" s="1"/>
  <c r="X238" i="6" s="1"/>
  <c r="BH238" i="6" s="1"/>
  <c r="X239" i="6" s="1"/>
  <c r="BH239" i="6" s="1"/>
  <c r="X240" i="6" s="1"/>
  <c r="BH240" i="6" s="1"/>
  <c r="X241" i="6" s="1"/>
  <c r="BH241" i="6" s="1"/>
  <c r="X242" i="6" s="1"/>
  <c r="BH242" i="6" s="1"/>
  <c r="X243" i="6" s="1"/>
  <c r="BH243" i="6" s="1"/>
  <c r="X244" i="6" s="1"/>
  <c r="BH244" i="6" s="1"/>
  <c r="X245" i="6" s="1"/>
  <c r="BH245" i="6" s="1"/>
  <c r="X246" i="6" s="1"/>
  <c r="BH246" i="6" s="1"/>
  <c r="X247" i="6" s="1"/>
  <c r="BH247" i="6" s="1"/>
  <c r="X248" i="6" s="1"/>
  <c r="BH248" i="6" s="1"/>
  <c r="X249" i="6" s="1"/>
  <c r="BH249" i="6" s="1"/>
  <c r="X250" i="6" s="1"/>
  <c r="BH250" i="6" s="1"/>
  <c r="X251" i="6" s="1"/>
  <c r="BH251" i="6" s="1"/>
  <c r="X252" i="6" s="1"/>
  <c r="BH252" i="6" s="1"/>
  <c r="X253" i="6" s="1"/>
  <c r="BH253" i="6" s="1"/>
  <c r="X254" i="6" s="1"/>
  <c r="BH254" i="6" s="1"/>
  <c r="X255" i="6" s="1"/>
  <c r="BH255" i="6" s="1"/>
  <c r="X256" i="6" s="1"/>
  <c r="BH256" i="6" s="1"/>
  <c r="X257" i="6" s="1"/>
  <c r="BH257" i="6" s="1"/>
  <c r="AT224" i="6"/>
  <c r="AO224" i="6"/>
  <c r="AF224" i="6"/>
  <c r="AE224" i="6"/>
  <c r="J224" i="6"/>
  <c r="I224" i="6"/>
  <c r="H224" i="6"/>
  <c r="G224" i="6"/>
  <c r="F224" i="6"/>
  <c r="AP224" i="6" s="1"/>
  <c r="E224" i="6"/>
  <c r="D224" i="6"/>
  <c r="C224" i="6"/>
  <c r="B224" i="6"/>
  <c r="A224" i="6"/>
  <c r="BE223" i="6"/>
  <c r="AT223" i="6"/>
  <c r="AO223" i="6"/>
  <c r="AF223" i="6"/>
  <c r="AE223" i="6"/>
  <c r="AC223" i="6"/>
  <c r="BM223" i="6" s="1"/>
  <c r="AC224" i="6" s="1"/>
  <c r="BM224" i="6" s="1"/>
  <c r="AC225" i="6" s="1"/>
  <c r="BM225" i="6" s="1"/>
  <c r="AC226" i="6" s="1"/>
  <c r="BM226" i="6" s="1"/>
  <c r="AC227" i="6" s="1"/>
  <c r="BM227" i="6" s="1"/>
  <c r="AC228" i="6" s="1"/>
  <c r="BM228" i="6" s="1"/>
  <c r="AC229" i="6" s="1"/>
  <c r="BM229" i="6" s="1"/>
  <c r="AC230" i="6" s="1"/>
  <c r="BM230" i="6" s="1"/>
  <c r="AC231" i="6" s="1"/>
  <c r="BM231" i="6" s="1"/>
  <c r="AC232" i="6" s="1"/>
  <c r="BM232" i="6" s="1"/>
  <c r="AC233" i="6" s="1"/>
  <c r="BM233" i="6" s="1"/>
  <c r="AC234" i="6" s="1"/>
  <c r="BM234" i="6" s="1"/>
  <c r="AC235" i="6" s="1"/>
  <c r="BM235" i="6" s="1"/>
  <c r="AC236" i="6" s="1"/>
  <c r="BM236" i="6" s="1"/>
  <c r="AC237" i="6" s="1"/>
  <c r="BM237" i="6" s="1"/>
  <c r="U223" i="6"/>
  <c r="Q223" i="6"/>
  <c r="BA223" i="6" s="1"/>
  <c r="Q224" i="6" s="1"/>
  <c r="BA224" i="6" s="1"/>
  <c r="Q225" i="6" s="1"/>
  <c r="K223" i="6"/>
  <c r="J223" i="6"/>
  <c r="I223" i="6"/>
  <c r="H223" i="6"/>
  <c r="G223" i="6"/>
  <c r="F223" i="6"/>
  <c r="E223" i="6"/>
  <c r="D223" i="6"/>
  <c r="C223" i="6"/>
  <c r="B223" i="6"/>
  <c r="A223" i="6"/>
  <c r="BO222" i="6"/>
  <c r="BN223" i="6" s="1"/>
  <c r="BO223" i="6" s="1"/>
  <c r="BN224" i="6" s="1"/>
  <c r="BO224" i="6" s="1"/>
  <c r="BN225" i="6" s="1"/>
  <c r="BN222" i="6"/>
  <c r="BL222" i="6"/>
  <c r="AB223" i="6" s="1"/>
  <c r="BL223" i="6" s="1"/>
  <c r="AB224" i="6" s="1"/>
  <c r="BL224" i="6" s="1"/>
  <c r="AB225" i="6" s="1"/>
  <c r="BL225" i="6" s="1"/>
  <c r="AB226" i="6" s="1"/>
  <c r="BL226" i="6" s="1"/>
  <c r="AB227" i="6" s="1"/>
  <c r="BL227" i="6" s="1"/>
  <c r="AB228" i="6" s="1"/>
  <c r="BL228" i="6" s="1"/>
  <c r="AB229" i="6" s="1"/>
  <c r="BL229" i="6" s="1"/>
  <c r="AB230" i="6" s="1"/>
  <c r="BL230" i="6" s="1"/>
  <c r="AB231" i="6" s="1"/>
  <c r="BL231" i="6" s="1"/>
  <c r="AB232" i="6" s="1"/>
  <c r="BL232" i="6" s="1"/>
  <c r="AB233" i="6" s="1"/>
  <c r="BL233" i="6" s="1"/>
  <c r="AB234" i="6" s="1"/>
  <c r="BL234" i="6" s="1"/>
  <c r="AB235" i="6" s="1"/>
  <c r="BL235" i="6" s="1"/>
  <c r="AB236" i="6" s="1"/>
  <c r="BL236" i="6" s="1"/>
  <c r="AB237" i="6" s="1"/>
  <c r="BL237" i="6" s="1"/>
  <c r="AB238" i="6" s="1"/>
  <c r="BL238" i="6" s="1"/>
  <c r="AB239" i="6" s="1"/>
  <c r="BL239" i="6" s="1"/>
  <c r="AB240" i="6" s="1"/>
  <c r="BL240" i="6" s="1"/>
  <c r="AB241" i="6" s="1"/>
  <c r="BL241" i="6" s="1"/>
  <c r="AB242" i="6" s="1"/>
  <c r="BL242" i="6" s="1"/>
  <c r="AB243" i="6" s="1"/>
  <c r="BL243" i="6" s="1"/>
  <c r="AB244" i="6" s="1"/>
  <c r="BL244" i="6" s="1"/>
  <c r="AB245" i="6" s="1"/>
  <c r="BL245" i="6" s="1"/>
  <c r="AB246" i="6" s="1"/>
  <c r="BL246" i="6" s="1"/>
  <c r="AB247" i="6" s="1"/>
  <c r="BL247" i="6" s="1"/>
  <c r="AB248" i="6" s="1"/>
  <c r="BL248" i="6" s="1"/>
  <c r="AB249" i="6" s="1"/>
  <c r="BL249" i="6" s="1"/>
  <c r="AB250" i="6" s="1"/>
  <c r="BL250" i="6" s="1"/>
  <c r="AB251" i="6" s="1"/>
  <c r="BL251" i="6" s="1"/>
  <c r="AB252" i="6" s="1"/>
  <c r="BL252" i="6" s="1"/>
  <c r="AB253" i="6" s="1"/>
  <c r="BL253" i="6" s="1"/>
  <c r="AB254" i="6" s="1"/>
  <c r="BL254" i="6" s="1"/>
  <c r="AB255" i="6" s="1"/>
  <c r="BL255" i="6" s="1"/>
  <c r="AB256" i="6" s="1"/>
  <c r="BL256" i="6" s="1"/>
  <c r="AB257" i="6" s="1"/>
  <c r="BL257" i="6" s="1"/>
  <c r="BJ222" i="6"/>
  <c r="Z223" i="6" s="1"/>
  <c r="BJ223" i="6" s="1"/>
  <c r="Z224" i="6" s="1"/>
  <c r="BJ224" i="6" s="1"/>
  <c r="Z225" i="6" s="1"/>
  <c r="BJ225" i="6" s="1"/>
  <c r="Z226" i="6" s="1"/>
  <c r="BJ226" i="6" s="1"/>
  <c r="Z227" i="6" s="1"/>
  <c r="BJ227" i="6" s="1"/>
  <c r="Z228" i="6" s="1"/>
  <c r="BJ228" i="6" s="1"/>
  <c r="Z229" i="6" s="1"/>
  <c r="BJ229" i="6" s="1"/>
  <c r="Z230" i="6" s="1"/>
  <c r="BJ230" i="6" s="1"/>
  <c r="Z231" i="6" s="1"/>
  <c r="BJ231" i="6" s="1"/>
  <c r="Z232" i="6" s="1"/>
  <c r="BJ232" i="6" s="1"/>
  <c r="Z233" i="6" s="1"/>
  <c r="BJ233" i="6" s="1"/>
  <c r="Z234" i="6" s="1"/>
  <c r="BJ234" i="6" s="1"/>
  <c r="Z235" i="6" s="1"/>
  <c r="BJ235" i="6" s="1"/>
  <c r="Z236" i="6" s="1"/>
  <c r="BJ236" i="6" s="1"/>
  <c r="Z237" i="6" s="1"/>
  <c r="BJ237" i="6" s="1"/>
  <c r="Z238" i="6" s="1"/>
  <c r="BJ238" i="6" s="1"/>
  <c r="Z239" i="6" s="1"/>
  <c r="BJ239" i="6" s="1"/>
  <c r="Z240" i="6" s="1"/>
  <c r="BJ240" i="6" s="1"/>
  <c r="Z241" i="6" s="1"/>
  <c r="BJ241" i="6" s="1"/>
  <c r="Z242" i="6" s="1"/>
  <c r="BJ242" i="6" s="1"/>
  <c r="Z243" i="6" s="1"/>
  <c r="BJ243" i="6" s="1"/>
  <c r="Z244" i="6" s="1"/>
  <c r="BJ244" i="6" s="1"/>
  <c r="Z245" i="6" s="1"/>
  <c r="BJ245" i="6" s="1"/>
  <c r="Z246" i="6" s="1"/>
  <c r="BJ246" i="6" s="1"/>
  <c r="Z247" i="6" s="1"/>
  <c r="BJ247" i="6" s="1"/>
  <c r="Z248" i="6" s="1"/>
  <c r="BJ248" i="6" s="1"/>
  <c r="Z249" i="6" s="1"/>
  <c r="BJ249" i="6" s="1"/>
  <c r="Z250" i="6" s="1"/>
  <c r="BJ250" i="6" s="1"/>
  <c r="Z251" i="6" s="1"/>
  <c r="BJ251" i="6" s="1"/>
  <c r="Z252" i="6" s="1"/>
  <c r="BJ252" i="6" s="1"/>
  <c r="Z253" i="6" s="1"/>
  <c r="BJ253" i="6" s="1"/>
  <c r="Z254" i="6" s="1"/>
  <c r="BJ254" i="6" s="1"/>
  <c r="Z255" i="6" s="1"/>
  <c r="BJ255" i="6" s="1"/>
  <c r="Z256" i="6" s="1"/>
  <c r="BJ256" i="6" s="1"/>
  <c r="Z257" i="6" s="1"/>
  <c r="BJ257" i="6" s="1"/>
  <c r="BE222" i="6"/>
  <c r="AX222" i="6"/>
  <c r="N223" i="6" s="1"/>
  <c r="AX223" i="6" s="1"/>
  <c r="N224" i="6" s="1"/>
  <c r="AX224" i="6" s="1"/>
  <c r="N225" i="6" s="1"/>
  <c r="AX225" i="6" s="1"/>
  <c r="N226" i="6" s="1"/>
  <c r="AX226" i="6" s="1"/>
  <c r="N227" i="6" s="1"/>
  <c r="AX227" i="6" s="1"/>
  <c r="N228" i="6" s="1"/>
  <c r="AX228" i="6" s="1"/>
  <c r="AT222" i="6"/>
  <c r="AO222" i="6"/>
  <c r="AI222" i="6"/>
  <c r="AF222" i="6"/>
  <c r="AE222" i="6"/>
  <c r="AC222" i="6"/>
  <c r="BM222" i="6" s="1"/>
  <c r="AB222" i="6"/>
  <c r="AA222" i="6"/>
  <c r="BK222" i="6" s="1"/>
  <c r="AA223" i="6" s="1"/>
  <c r="BK223" i="6" s="1"/>
  <c r="AA224" i="6" s="1"/>
  <c r="BK224" i="6" s="1"/>
  <c r="Z222" i="6"/>
  <c r="Y222" i="6"/>
  <c r="BI222" i="6" s="1"/>
  <c r="Y223" i="6" s="1"/>
  <c r="BI223" i="6" s="1"/>
  <c r="Y224" i="6" s="1"/>
  <c r="BI224" i="6" s="1"/>
  <c r="Y225" i="6" s="1"/>
  <c r="BI225" i="6" s="1"/>
  <c r="Y226" i="6" s="1"/>
  <c r="BI226" i="6" s="1"/>
  <c r="X222" i="6"/>
  <c r="BH222" i="6" s="1"/>
  <c r="X223" i="6" s="1"/>
  <c r="BH223" i="6" s="1"/>
  <c r="X224" i="6" s="1"/>
  <c r="W222" i="6"/>
  <c r="V222" i="6"/>
  <c r="BF222" i="6" s="1"/>
  <c r="V223" i="6" s="1"/>
  <c r="BF223" i="6" s="1"/>
  <c r="V224" i="6" s="1"/>
  <c r="BF224" i="6" s="1"/>
  <c r="V225" i="6" s="1"/>
  <c r="BF225" i="6" s="1"/>
  <c r="V226" i="6" s="1"/>
  <c r="BF226" i="6" s="1"/>
  <c r="V227" i="6" s="1"/>
  <c r="BF227" i="6" s="1"/>
  <c r="V228" i="6" s="1"/>
  <c r="BF228" i="6" s="1"/>
  <c r="V229" i="6" s="1"/>
  <c r="BF229" i="6" s="1"/>
  <c r="V230" i="6" s="1"/>
  <c r="BF230" i="6" s="1"/>
  <c r="V231" i="6" s="1"/>
  <c r="BF231" i="6" s="1"/>
  <c r="V232" i="6" s="1"/>
  <c r="BF232" i="6" s="1"/>
  <c r="V233" i="6" s="1"/>
  <c r="BF233" i="6" s="1"/>
  <c r="V234" i="6" s="1"/>
  <c r="BF234" i="6" s="1"/>
  <c r="V235" i="6" s="1"/>
  <c r="BF235" i="6" s="1"/>
  <c r="V236" i="6" s="1"/>
  <c r="BF236" i="6" s="1"/>
  <c r="V237" i="6" s="1"/>
  <c r="BF237" i="6" s="1"/>
  <c r="V238" i="6" s="1"/>
  <c r="BF238" i="6" s="1"/>
  <c r="V239" i="6" s="1"/>
  <c r="BF239" i="6" s="1"/>
  <c r="V240" i="6" s="1"/>
  <c r="BF240" i="6" s="1"/>
  <c r="V241" i="6" s="1"/>
  <c r="BF241" i="6" s="1"/>
  <c r="V242" i="6" s="1"/>
  <c r="BF242" i="6" s="1"/>
  <c r="V243" i="6" s="1"/>
  <c r="BF243" i="6" s="1"/>
  <c r="V244" i="6" s="1"/>
  <c r="BF244" i="6" s="1"/>
  <c r="V245" i="6" s="1"/>
  <c r="U222" i="6"/>
  <c r="T222" i="6"/>
  <c r="BD222" i="6" s="1"/>
  <c r="T223" i="6" s="1"/>
  <c r="BD223" i="6" s="1"/>
  <c r="T224" i="6" s="1"/>
  <c r="BD224" i="6" s="1"/>
  <c r="T225" i="6" s="1"/>
  <c r="S222" i="6"/>
  <c r="BC222" i="6" s="1"/>
  <c r="S223" i="6" s="1"/>
  <c r="BC223" i="6" s="1"/>
  <c r="S224" i="6" s="1"/>
  <c r="BC224" i="6" s="1"/>
  <c r="S225" i="6" s="1"/>
  <c r="BC225" i="6" s="1"/>
  <c r="S226" i="6" s="1"/>
  <c r="BC226" i="6" s="1"/>
  <c r="S227" i="6" s="1"/>
  <c r="BC227" i="6" s="1"/>
  <c r="S228" i="6" s="1"/>
  <c r="BC228" i="6" s="1"/>
  <c r="S229" i="6" s="1"/>
  <c r="BC229" i="6" s="1"/>
  <c r="S230" i="6" s="1"/>
  <c r="BC230" i="6" s="1"/>
  <c r="S231" i="6" s="1"/>
  <c r="BC231" i="6" s="1"/>
  <c r="S232" i="6" s="1"/>
  <c r="BC232" i="6" s="1"/>
  <c r="S233" i="6" s="1"/>
  <c r="BC233" i="6" s="1"/>
  <c r="S234" i="6" s="1"/>
  <c r="BC234" i="6" s="1"/>
  <c r="S235" i="6" s="1"/>
  <c r="BC235" i="6" s="1"/>
  <c r="S236" i="6" s="1"/>
  <c r="BC236" i="6" s="1"/>
  <c r="S237" i="6" s="1"/>
  <c r="BC237" i="6" s="1"/>
  <c r="S238" i="6" s="1"/>
  <c r="BC238" i="6" s="1"/>
  <c r="S239" i="6" s="1"/>
  <c r="BC239" i="6" s="1"/>
  <c r="S240" i="6" s="1"/>
  <c r="BC240" i="6" s="1"/>
  <c r="S241" i="6" s="1"/>
  <c r="BC241" i="6" s="1"/>
  <c r="S242" i="6" s="1"/>
  <c r="BC242" i="6" s="1"/>
  <c r="S243" i="6" s="1"/>
  <c r="BC243" i="6" s="1"/>
  <c r="S244" i="6" s="1"/>
  <c r="BC244" i="6" s="1"/>
  <c r="S245" i="6" s="1"/>
  <c r="BC245" i="6" s="1"/>
  <c r="S246" i="6" s="1"/>
  <c r="BC246" i="6" s="1"/>
  <c r="S247" i="6" s="1"/>
  <c r="BC247" i="6" s="1"/>
  <c r="S248" i="6" s="1"/>
  <c r="BC248" i="6" s="1"/>
  <c r="S249" i="6" s="1"/>
  <c r="BC249" i="6" s="1"/>
  <c r="S250" i="6" s="1"/>
  <c r="BC250" i="6" s="1"/>
  <c r="S251" i="6" s="1"/>
  <c r="BC251" i="6" s="1"/>
  <c r="S252" i="6" s="1"/>
  <c r="BC252" i="6" s="1"/>
  <c r="S253" i="6" s="1"/>
  <c r="BC253" i="6" s="1"/>
  <c r="S254" i="6" s="1"/>
  <c r="BC254" i="6" s="1"/>
  <c r="S255" i="6" s="1"/>
  <c r="BC255" i="6" s="1"/>
  <c r="S256" i="6" s="1"/>
  <c r="BC256" i="6" s="1"/>
  <c r="S257" i="6" s="1"/>
  <c r="BC257" i="6" s="1"/>
  <c r="R222" i="6"/>
  <c r="BB222" i="6" s="1"/>
  <c r="R223" i="6" s="1"/>
  <c r="BB223" i="6" s="1"/>
  <c r="R224" i="6" s="1"/>
  <c r="BB224" i="6" s="1"/>
  <c r="R225" i="6" s="1"/>
  <c r="BB225" i="6" s="1"/>
  <c r="R226" i="6" s="1"/>
  <c r="BB226" i="6" s="1"/>
  <c r="R227" i="6" s="1"/>
  <c r="BB227" i="6" s="1"/>
  <c r="R228" i="6" s="1"/>
  <c r="BB228" i="6" s="1"/>
  <c r="R229" i="6" s="1"/>
  <c r="BB229" i="6" s="1"/>
  <c r="R230" i="6" s="1"/>
  <c r="BB230" i="6" s="1"/>
  <c r="R231" i="6" s="1"/>
  <c r="BB231" i="6" s="1"/>
  <c r="Q222" i="6"/>
  <c r="BA222" i="6" s="1"/>
  <c r="O222" i="6"/>
  <c r="AY222" i="6" s="1"/>
  <c r="O223" i="6" s="1"/>
  <c r="AY223" i="6" s="1"/>
  <c r="O224" i="6" s="1"/>
  <c r="AY224" i="6" s="1"/>
  <c r="N222" i="6"/>
  <c r="M222" i="6"/>
  <c r="AW222" i="6" s="1"/>
  <c r="M223" i="6" s="1"/>
  <c r="AW223" i="6" s="1"/>
  <c r="M224" i="6" s="1"/>
  <c r="L222" i="6"/>
  <c r="AV222" i="6" s="1"/>
  <c r="L223" i="6" s="1"/>
  <c r="K222" i="6"/>
  <c r="J222" i="6"/>
  <c r="I222" i="6"/>
  <c r="H222" i="6"/>
  <c r="G222" i="6"/>
  <c r="F222" i="6"/>
  <c r="AP222" i="6" s="1"/>
  <c r="E222" i="6"/>
  <c r="D222" i="6"/>
  <c r="C222" i="6"/>
  <c r="B222" i="6"/>
  <c r="A222" i="6"/>
  <c r="AO221" i="6"/>
  <c r="K221" i="6"/>
  <c r="I221" i="6"/>
  <c r="H221" i="6"/>
  <c r="G221" i="6"/>
  <c r="F221" i="6"/>
  <c r="J221" i="6" s="1"/>
  <c r="E221" i="6"/>
  <c r="D221" i="6"/>
  <c r="C221" i="6"/>
  <c r="B221" i="6"/>
  <c r="A221" i="6"/>
  <c r="AO220" i="6"/>
  <c r="AI220" i="6"/>
  <c r="H220" i="6"/>
  <c r="G220" i="6"/>
  <c r="F220" i="6"/>
  <c r="E220" i="6"/>
  <c r="D220" i="6"/>
  <c r="C220" i="6"/>
  <c r="B220" i="6"/>
  <c r="A220" i="6"/>
  <c r="AO219" i="6"/>
  <c r="I219" i="6"/>
  <c r="H219" i="6"/>
  <c r="G219" i="6"/>
  <c r="F219" i="6"/>
  <c r="E219" i="6"/>
  <c r="D219" i="6"/>
  <c r="C219" i="6"/>
  <c r="B219" i="6"/>
  <c r="A219" i="6"/>
  <c r="AO218" i="6"/>
  <c r="H218" i="6"/>
  <c r="G218" i="6"/>
  <c r="F218" i="6"/>
  <c r="E218" i="6"/>
  <c r="D218" i="6"/>
  <c r="C218" i="6"/>
  <c r="B218" i="6"/>
  <c r="A218" i="6"/>
  <c r="AO217" i="6"/>
  <c r="AI217" i="6"/>
  <c r="K217" i="6"/>
  <c r="J217" i="6"/>
  <c r="I217" i="6"/>
  <c r="H217" i="6"/>
  <c r="G217" i="6"/>
  <c r="F217" i="6"/>
  <c r="AE217" i="6" s="1"/>
  <c r="E217" i="6"/>
  <c r="D217" i="6"/>
  <c r="C217" i="6"/>
  <c r="B217" i="6"/>
  <c r="A217" i="6"/>
  <c r="AO216" i="6"/>
  <c r="H216" i="6"/>
  <c r="G216" i="6"/>
  <c r="F216" i="6"/>
  <c r="E216" i="6"/>
  <c r="D216" i="6"/>
  <c r="C216" i="6"/>
  <c r="B216" i="6"/>
  <c r="A216" i="6"/>
  <c r="AO215" i="6"/>
  <c r="AI215" i="6"/>
  <c r="AE215" i="6"/>
  <c r="K215" i="6"/>
  <c r="J215" i="6"/>
  <c r="H215" i="6"/>
  <c r="G215" i="6"/>
  <c r="F215" i="6"/>
  <c r="E215" i="6"/>
  <c r="D215" i="6"/>
  <c r="C215" i="6"/>
  <c r="B215" i="6"/>
  <c r="A215" i="6"/>
  <c r="AO214" i="6"/>
  <c r="AE214" i="6"/>
  <c r="J214" i="6"/>
  <c r="H214" i="6"/>
  <c r="G214" i="6"/>
  <c r="F214" i="6"/>
  <c r="AI214" i="6" s="1"/>
  <c r="E214" i="6"/>
  <c r="D214" i="6"/>
  <c r="C214" i="6"/>
  <c r="B214" i="6"/>
  <c r="A214" i="6"/>
  <c r="AO213" i="6"/>
  <c r="AE213" i="6"/>
  <c r="J213" i="6"/>
  <c r="I213" i="6"/>
  <c r="H213" i="6"/>
  <c r="G213" i="6"/>
  <c r="F213" i="6"/>
  <c r="E213" i="6"/>
  <c r="D213" i="6"/>
  <c r="C213" i="6"/>
  <c r="B213" i="6"/>
  <c r="A213" i="6"/>
  <c r="AO212" i="6"/>
  <c r="AE212" i="6"/>
  <c r="J212" i="6"/>
  <c r="I212" i="6"/>
  <c r="H212" i="6"/>
  <c r="G212" i="6"/>
  <c r="F212" i="6"/>
  <c r="E212" i="6"/>
  <c r="D212" i="6"/>
  <c r="C212" i="6"/>
  <c r="B212" i="6"/>
  <c r="A212" i="6"/>
  <c r="AO211" i="6"/>
  <c r="AE211" i="6"/>
  <c r="K211" i="6"/>
  <c r="I211" i="6"/>
  <c r="H211" i="6"/>
  <c r="G211" i="6"/>
  <c r="F211" i="6"/>
  <c r="J211" i="6" s="1"/>
  <c r="E211" i="6"/>
  <c r="D211" i="6"/>
  <c r="C211" i="6"/>
  <c r="B211" i="6"/>
  <c r="A211" i="6"/>
  <c r="AO210" i="6"/>
  <c r="AI210" i="6"/>
  <c r="K210" i="6"/>
  <c r="J210" i="6"/>
  <c r="I210" i="6"/>
  <c r="H210" i="6"/>
  <c r="G210" i="6"/>
  <c r="F210" i="6"/>
  <c r="AE210" i="6" s="1"/>
  <c r="E210" i="6"/>
  <c r="D210" i="6"/>
  <c r="C210" i="6"/>
  <c r="B210" i="6"/>
  <c r="A210" i="6"/>
  <c r="AO209" i="6"/>
  <c r="H209" i="6"/>
  <c r="G209" i="6"/>
  <c r="F209" i="6"/>
  <c r="E209" i="6"/>
  <c r="D209" i="6"/>
  <c r="C209" i="6"/>
  <c r="B209" i="6"/>
  <c r="A209" i="6"/>
  <c r="AT208" i="6"/>
  <c r="AI208" i="6"/>
  <c r="K208" i="6"/>
  <c r="H208" i="6"/>
  <c r="G208" i="6"/>
  <c r="F208" i="6"/>
  <c r="E208" i="6"/>
  <c r="D208" i="6"/>
  <c r="C208" i="6"/>
  <c r="B208" i="6"/>
  <c r="A208" i="6"/>
  <c r="AT207" i="6"/>
  <c r="AO207" i="6"/>
  <c r="AE207" i="6"/>
  <c r="K207" i="6"/>
  <c r="I207" i="6"/>
  <c r="H207" i="6"/>
  <c r="G207" i="6"/>
  <c r="F207" i="6"/>
  <c r="E207" i="6"/>
  <c r="D207" i="6"/>
  <c r="C207" i="6"/>
  <c r="B207" i="6"/>
  <c r="A207" i="6"/>
  <c r="AT206" i="6"/>
  <c r="AO206" i="6"/>
  <c r="H206" i="6"/>
  <c r="G206" i="6"/>
  <c r="F206" i="6"/>
  <c r="E206" i="6"/>
  <c r="D206" i="6"/>
  <c r="C206" i="6"/>
  <c r="B206" i="6"/>
  <c r="A206" i="6"/>
  <c r="AT205" i="6"/>
  <c r="AO205" i="6"/>
  <c r="AI205" i="6"/>
  <c r="K205" i="6"/>
  <c r="J205" i="6"/>
  <c r="I205" i="6"/>
  <c r="H205" i="6"/>
  <c r="G205" i="6"/>
  <c r="F205" i="6"/>
  <c r="E205" i="6"/>
  <c r="D205" i="6"/>
  <c r="C205" i="6"/>
  <c r="B205" i="6"/>
  <c r="A205" i="6"/>
  <c r="AT204" i="6"/>
  <c r="AO204" i="6"/>
  <c r="H204" i="6"/>
  <c r="G204" i="6"/>
  <c r="F204" i="6"/>
  <c r="E204" i="6"/>
  <c r="D204" i="6"/>
  <c r="C204" i="6"/>
  <c r="B204" i="6"/>
  <c r="A204" i="6"/>
  <c r="AT203" i="6"/>
  <c r="AO203" i="6"/>
  <c r="AI203" i="6"/>
  <c r="AE203" i="6"/>
  <c r="K203" i="6"/>
  <c r="J203" i="6"/>
  <c r="I203" i="6"/>
  <c r="H203" i="6"/>
  <c r="AF203" i="6" s="1"/>
  <c r="G203" i="6"/>
  <c r="F203" i="6"/>
  <c r="E203" i="6"/>
  <c r="D203" i="6"/>
  <c r="C203" i="6"/>
  <c r="B203" i="6"/>
  <c r="A203" i="6"/>
  <c r="AT202" i="6"/>
  <c r="H202" i="6"/>
  <c r="G202" i="6"/>
  <c r="F202" i="6"/>
  <c r="E202" i="6"/>
  <c r="D202" i="6"/>
  <c r="C202" i="6"/>
  <c r="B202" i="6"/>
  <c r="A202" i="6"/>
  <c r="AT201" i="6"/>
  <c r="AO201" i="6"/>
  <c r="AF201" i="6"/>
  <c r="AE201" i="6"/>
  <c r="K201" i="6"/>
  <c r="J201" i="6"/>
  <c r="I201" i="6"/>
  <c r="H201" i="6"/>
  <c r="G201" i="6"/>
  <c r="F201" i="6"/>
  <c r="AI201" i="6" s="1"/>
  <c r="E201" i="6"/>
  <c r="D201" i="6"/>
  <c r="C201" i="6"/>
  <c r="B201" i="6"/>
  <c r="A201" i="6"/>
  <c r="AT200" i="6"/>
  <c r="AO200" i="6"/>
  <c r="AF200" i="6"/>
  <c r="AE200" i="6"/>
  <c r="J200" i="6"/>
  <c r="I200" i="6"/>
  <c r="H200" i="6"/>
  <c r="G200" i="6"/>
  <c r="F200" i="6"/>
  <c r="E200" i="6"/>
  <c r="D200" i="6"/>
  <c r="C200" i="6"/>
  <c r="B200" i="6"/>
  <c r="A200" i="6"/>
  <c r="AT199" i="6"/>
  <c r="AO199" i="6"/>
  <c r="AF199" i="6"/>
  <c r="AE199" i="6"/>
  <c r="K199" i="6"/>
  <c r="I199" i="6"/>
  <c r="H199" i="6"/>
  <c r="G199" i="6"/>
  <c r="AI199" i="6" s="1"/>
  <c r="F199" i="6"/>
  <c r="E199" i="6"/>
  <c r="D199" i="6"/>
  <c r="C199" i="6"/>
  <c r="B199" i="6"/>
  <c r="A199" i="6"/>
  <c r="AT198" i="6"/>
  <c r="AO198" i="6"/>
  <c r="K198" i="6"/>
  <c r="J198" i="6"/>
  <c r="I198" i="6"/>
  <c r="H198" i="6"/>
  <c r="G198" i="6"/>
  <c r="F198" i="6"/>
  <c r="AE198" i="6" s="1"/>
  <c r="E198" i="6"/>
  <c r="D198" i="6"/>
  <c r="C198" i="6"/>
  <c r="B198" i="6"/>
  <c r="A198" i="6"/>
  <c r="BI197" i="6"/>
  <c r="Y198" i="6" s="1"/>
  <c r="BI198" i="6" s="1"/>
  <c r="Y199" i="6" s="1"/>
  <c r="BI199" i="6" s="1"/>
  <c r="Y200" i="6" s="1"/>
  <c r="BI200" i="6" s="1"/>
  <c r="Y201" i="6" s="1"/>
  <c r="BI201" i="6" s="1"/>
  <c r="Y202" i="6" s="1"/>
  <c r="BI202" i="6" s="1"/>
  <c r="Y203" i="6" s="1"/>
  <c r="BI203" i="6" s="1"/>
  <c r="Y204" i="6" s="1"/>
  <c r="BI204" i="6" s="1"/>
  <c r="Y205" i="6" s="1"/>
  <c r="BI205" i="6" s="1"/>
  <c r="Y206" i="6" s="1"/>
  <c r="BI206" i="6" s="1"/>
  <c r="Y207" i="6" s="1"/>
  <c r="BI207" i="6" s="1"/>
  <c r="Y208" i="6" s="1"/>
  <c r="BI208" i="6" s="1"/>
  <c r="Y209" i="6" s="1"/>
  <c r="BI209" i="6" s="1"/>
  <c r="Y210" i="6" s="1"/>
  <c r="BI210" i="6" s="1"/>
  <c r="Y211" i="6" s="1"/>
  <c r="BI211" i="6" s="1"/>
  <c r="Y212" i="6" s="1"/>
  <c r="BI212" i="6" s="1"/>
  <c r="Y213" i="6" s="1"/>
  <c r="BI213" i="6" s="1"/>
  <c r="Y214" i="6" s="1"/>
  <c r="BI214" i="6" s="1"/>
  <c r="Y215" i="6" s="1"/>
  <c r="BI215" i="6" s="1"/>
  <c r="Y216" i="6" s="1"/>
  <c r="BI216" i="6" s="1"/>
  <c r="Y217" i="6" s="1"/>
  <c r="BI217" i="6" s="1"/>
  <c r="Y218" i="6" s="1"/>
  <c r="BI218" i="6" s="1"/>
  <c r="Y219" i="6" s="1"/>
  <c r="BI219" i="6" s="1"/>
  <c r="Y220" i="6" s="1"/>
  <c r="BI220" i="6" s="1"/>
  <c r="Y221" i="6" s="1"/>
  <c r="BI221" i="6" s="1"/>
  <c r="AT197" i="6"/>
  <c r="I197" i="6"/>
  <c r="H197" i="6"/>
  <c r="G197" i="6"/>
  <c r="F197" i="6"/>
  <c r="AI197" i="6" s="1"/>
  <c r="E197" i="6"/>
  <c r="D197" i="6"/>
  <c r="C197" i="6"/>
  <c r="B197" i="6"/>
  <c r="A197" i="6"/>
  <c r="AT196" i="6"/>
  <c r="AI196" i="6"/>
  <c r="K196" i="6"/>
  <c r="J196" i="6"/>
  <c r="I196" i="6"/>
  <c r="H196" i="6"/>
  <c r="G196" i="6"/>
  <c r="F196" i="6"/>
  <c r="E196" i="6"/>
  <c r="D196" i="6"/>
  <c r="C196" i="6"/>
  <c r="B196" i="6"/>
  <c r="A196" i="6"/>
  <c r="BC195" i="6"/>
  <c r="S196" i="6" s="1"/>
  <c r="BC196" i="6" s="1"/>
  <c r="S197" i="6" s="1"/>
  <c r="BC197" i="6" s="1"/>
  <c r="S198" i="6" s="1"/>
  <c r="BC198" i="6" s="1"/>
  <c r="S199" i="6" s="1"/>
  <c r="BC199" i="6" s="1"/>
  <c r="S200" i="6" s="1"/>
  <c r="BC200" i="6" s="1"/>
  <c r="S201" i="6" s="1"/>
  <c r="BC201" i="6" s="1"/>
  <c r="S202" i="6" s="1"/>
  <c r="BC202" i="6" s="1"/>
  <c r="S203" i="6" s="1"/>
  <c r="BC203" i="6" s="1"/>
  <c r="S204" i="6" s="1"/>
  <c r="BC204" i="6" s="1"/>
  <c r="S205" i="6" s="1"/>
  <c r="BC205" i="6" s="1"/>
  <c r="S206" i="6" s="1"/>
  <c r="BC206" i="6" s="1"/>
  <c r="S207" i="6" s="1"/>
  <c r="BC207" i="6" s="1"/>
  <c r="S208" i="6" s="1"/>
  <c r="BC208" i="6" s="1"/>
  <c r="S209" i="6" s="1"/>
  <c r="BC209" i="6" s="1"/>
  <c r="S210" i="6" s="1"/>
  <c r="BC210" i="6" s="1"/>
  <c r="S211" i="6" s="1"/>
  <c r="BC211" i="6" s="1"/>
  <c r="S212" i="6" s="1"/>
  <c r="BC212" i="6" s="1"/>
  <c r="S213" i="6" s="1"/>
  <c r="BC213" i="6" s="1"/>
  <c r="S214" i="6" s="1"/>
  <c r="BC214" i="6" s="1"/>
  <c r="S215" i="6" s="1"/>
  <c r="BC215" i="6" s="1"/>
  <c r="S216" i="6" s="1"/>
  <c r="BC216" i="6" s="1"/>
  <c r="S217" i="6" s="1"/>
  <c r="BC217" i="6" s="1"/>
  <c r="S218" i="6" s="1"/>
  <c r="BC218" i="6" s="1"/>
  <c r="S219" i="6" s="1"/>
  <c r="BC219" i="6" s="1"/>
  <c r="S220" i="6" s="1"/>
  <c r="BC220" i="6" s="1"/>
  <c r="S221" i="6" s="1"/>
  <c r="BC221" i="6" s="1"/>
  <c r="AT195" i="6"/>
  <c r="AO195" i="6"/>
  <c r="R195" i="6"/>
  <c r="BB195" i="6" s="1"/>
  <c r="R196" i="6" s="1"/>
  <c r="BB196" i="6" s="1"/>
  <c r="R197" i="6" s="1"/>
  <c r="BB197" i="6" s="1"/>
  <c r="R198" i="6" s="1"/>
  <c r="BB198" i="6" s="1"/>
  <c r="R199" i="6" s="1"/>
  <c r="BB199" i="6" s="1"/>
  <c r="R200" i="6" s="1"/>
  <c r="BB200" i="6" s="1"/>
  <c r="R201" i="6" s="1"/>
  <c r="BB201" i="6" s="1"/>
  <c r="R202" i="6" s="1"/>
  <c r="BB202" i="6" s="1"/>
  <c r="R203" i="6" s="1"/>
  <c r="BB203" i="6" s="1"/>
  <c r="R204" i="6" s="1"/>
  <c r="BB204" i="6" s="1"/>
  <c r="R205" i="6" s="1"/>
  <c r="BB205" i="6" s="1"/>
  <c r="R206" i="6" s="1"/>
  <c r="BB206" i="6" s="1"/>
  <c r="R207" i="6" s="1"/>
  <c r="BB207" i="6" s="1"/>
  <c r="R208" i="6" s="1"/>
  <c r="BB208" i="6" s="1"/>
  <c r="R209" i="6" s="1"/>
  <c r="BB209" i="6" s="1"/>
  <c r="R210" i="6" s="1"/>
  <c r="BB210" i="6" s="1"/>
  <c r="R211" i="6" s="1"/>
  <c r="BB211" i="6" s="1"/>
  <c r="R212" i="6" s="1"/>
  <c r="BB212" i="6" s="1"/>
  <c r="R213" i="6" s="1"/>
  <c r="BB213" i="6" s="1"/>
  <c r="R214" i="6" s="1"/>
  <c r="BB214" i="6" s="1"/>
  <c r="R215" i="6" s="1"/>
  <c r="BB215" i="6" s="1"/>
  <c r="R216" i="6" s="1"/>
  <c r="BB216" i="6" s="1"/>
  <c r="R217" i="6" s="1"/>
  <c r="BB217" i="6" s="1"/>
  <c r="R218" i="6" s="1"/>
  <c r="BB218" i="6" s="1"/>
  <c r="R219" i="6" s="1"/>
  <c r="BB219" i="6" s="1"/>
  <c r="R220" i="6" s="1"/>
  <c r="BB220" i="6" s="1"/>
  <c r="R221" i="6" s="1"/>
  <c r="BB221" i="6" s="1"/>
  <c r="H195" i="6"/>
  <c r="AF195" i="6" s="1"/>
  <c r="G195" i="6"/>
  <c r="F195" i="6"/>
  <c r="E195" i="6"/>
  <c r="D195" i="6"/>
  <c r="C195" i="6"/>
  <c r="B195" i="6"/>
  <c r="A195" i="6"/>
  <c r="AT194" i="6"/>
  <c r="AO194" i="6"/>
  <c r="AI194" i="6"/>
  <c r="K194" i="6"/>
  <c r="I194" i="6"/>
  <c r="H194" i="6"/>
  <c r="G194" i="6"/>
  <c r="F194" i="6"/>
  <c r="AE194" i="6" s="1"/>
  <c r="E194" i="6"/>
  <c r="D194" i="6"/>
  <c r="C194" i="6"/>
  <c r="B194" i="6"/>
  <c r="A194" i="6"/>
  <c r="AT193" i="6"/>
  <c r="AO193" i="6"/>
  <c r="AF193" i="6"/>
  <c r="H193" i="6"/>
  <c r="G193" i="6"/>
  <c r="F193" i="6"/>
  <c r="AI193" i="6" s="1"/>
  <c r="E193" i="6"/>
  <c r="D193" i="6"/>
  <c r="C193" i="6"/>
  <c r="B193" i="6"/>
  <c r="A193" i="6"/>
  <c r="BF192" i="6"/>
  <c r="V193" i="6" s="1"/>
  <c r="BF193" i="6" s="1"/>
  <c r="V194" i="6" s="1"/>
  <c r="BF194" i="6" s="1"/>
  <c r="V195" i="6" s="1"/>
  <c r="BF195" i="6" s="1"/>
  <c r="V196" i="6" s="1"/>
  <c r="BF196" i="6" s="1"/>
  <c r="V197" i="6" s="1"/>
  <c r="BF197" i="6" s="1"/>
  <c r="V198" i="6" s="1"/>
  <c r="BF198" i="6" s="1"/>
  <c r="V199" i="6" s="1"/>
  <c r="BF199" i="6" s="1"/>
  <c r="V200" i="6" s="1"/>
  <c r="BF200" i="6" s="1"/>
  <c r="V201" i="6" s="1"/>
  <c r="BF201" i="6" s="1"/>
  <c r="V202" i="6" s="1"/>
  <c r="BF202" i="6" s="1"/>
  <c r="V203" i="6" s="1"/>
  <c r="BF203" i="6" s="1"/>
  <c r="V204" i="6" s="1"/>
  <c r="BF204" i="6" s="1"/>
  <c r="V205" i="6" s="1"/>
  <c r="BF205" i="6" s="1"/>
  <c r="V206" i="6" s="1"/>
  <c r="BF206" i="6" s="1"/>
  <c r="V207" i="6" s="1"/>
  <c r="BF207" i="6" s="1"/>
  <c r="V208" i="6" s="1"/>
  <c r="BF208" i="6" s="1"/>
  <c r="V209" i="6" s="1"/>
  <c r="AT192" i="6"/>
  <c r="AO192" i="6"/>
  <c r="AI192" i="6"/>
  <c r="AA192" i="6"/>
  <c r="BK192" i="6" s="1"/>
  <c r="AA193" i="6" s="1"/>
  <c r="BK193" i="6" s="1"/>
  <c r="AA194" i="6" s="1"/>
  <c r="BK194" i="6" s="1"/>
  <c r="AA195" i="6" s="1"/>
  <c r="BK195" i="6" s="1"/>
  <c r="AA196" i="6" s="1"/>
  <c r="BK196" i="6" s="1"/>
  <c r="AA197" i="6" s="1"/>
  <c r="BK197" i="6" s="1"/>
  <c r="AA198" i="6" s="1"/>
  <c r="BK198" i="6" s="1"/>
  <c r="AA199" i="6" s="1"/>
  <c r="BK199" i="6" s="1"/>
  <c r="AA200" i="6" s="1"/>
  <c r="BK200" i="6" s="1"/>
  <c r="AA201" i="6" s="1"/>
  <c r="BK201" i="6" s="1"/>
  <c r="AA202" i="6" s="1"/>
  <c r="BK202" i="6" s="1"/>
  <c r="AA203" i="6" s="1"/>
  <c r="BK203" i="6" s="1"/>
  <c r="AA204" i="6" s="1"/>
  <c r="BK204" i="6" s="1"/>
  <c r="AA205" i="6" s="1"/>
  <c r="BK205" i="6" s="1"/>
  <c r="AA206" i="6" s="1"/>
  <c r="BK206" i="6" s="1"/>
  <c r="AA207" i="6" s="1"/>
  <c r="BK207" i="6" s="1"/>
  <c r="AA208" i="6" s="1"/>
  <c r="BK208" i="6" s="1"/>
  <c r="AA209" i="6" s="1"/>
  <c r="BK209" i="6" s="1"/>
  <c r="AA210" i="6" s="1"/>
  <c r="BK210" i="6" s="1"/>
  <c r="AA211" i="6" s="1"/>
  <c r="BK211" i="6" s="1"/>
  <c r="AA212" i="6" s="1"/>
  <c r="BK212" i="6" s="1"/>
  <c r="AA213" i="6" s="1"/>
  <c r="BK213" i="6" s="1"/>
  <c r="AA214" i="6" s="1"/>
  <c r="BK214" i="6" s="1"/>
  <c r="AA215" i="6" s="1"/>
  <c r="BK215" i="6" s="1"/>
  <c r="AA216" i="6" s="1"/>
  <c r="BK216" i="6" s="1"/>
  <c r="AA217" i="6" s="1"/>
  <c r="BK217" i="6" s="1"/>
  <c r="AA218" i="6" s="1"/>
  <c r="BK218" i="6" s="1"/>
  <c r="AA219" i="6" s="1"/>
  <c r="BK219" i="6" s="1"/>
  <c r="AA220" i="6" s="1"/>
  <c r="BK220" i="6" s="1"/>
  <c r="AA221" i="6" s="1"/>
  <c r="BK221" i="6" s="1"/>
  <c r="K192" i="6"/>
  <c r="J192" i="6"/>
  <c r="H192" i="6"/>
  <c r="AF192" i="6" s="1"/>
  <c r="G192" i="6"/>
  <c r="F192" i="6"/>
  <c r="E192" i="6"/>
  <c r="D192" i="6"/>
  <c r="C192" i="6"/>
  <c r="B192" i="6"/>
  <c r="A192" i="6"/>
  <c r="AT191" i="6"/>
  <c r="J191" i="6"/>
  <c r="H191" i="6"/>
  <c r="G191" i="6"/>
  <c r="F191" i="6"/>
  <c r="AI191" i="6" s="1"/>
  <c r="E191" i="6"/>
  <c r="D191" i="6"/>
  <c r="C191" i="6"/>
  <c r="B191" i="6"/>
  <c r="A191" i="6"/>
  <c r="AT190" i="6"/>
  <c r="H190" i="6"/>
  <c r="G190" i="6"/>
  <c r="F190" i="6"/>
  <c r="AI190" i="6" s="1"/>
  <c r="E190" i="6"/>
  <c r="D190" i="6"/>
  <c r="C190" i="6"/>
  <c r="B190" i="6"/>
  <c r="A190" i="6"/>
  <c r="AV189" i="6"/>
  <c r="L190" i="6" s="1"/>
  <c r="AV190" i="6" s="1"/>
  <c r="L191" i="6" s="1"/>
  <c r="AT189" i="6"/>
  <c r="AO189" i="6"/>
  <c r="AE189" i="6"/>
  <c r="L189" i="6"/>
  <c r="K189" i="6"/>
  <c r="J189" i="6"/>
  <c r="I189" i="6"/>
  <c r="H189" i="6"/>
  <c r="G189" i="6"/>
  <c r="AI189" i="6" s="1"/>
  <c r="F189" i="6"/>
  <c r="AP189" i="6" s="1"/>
  <c r="E189" i="6"/>
  <c r="D189" i="6"/>
  <c r="C189" i="6"/>
  <c r="B189" i="6"/>
  <c r="A189" i="6"/>
  <c r="AT188" i="6"/>
  <c r="AO188" i="6"/>
  <c r="AF188" i="6"/>
  <c r="AE188" i="6"/>
  <c r="J188" i="6"/>
  <c r="H188" i="6"/>
  <c r="G188" i="6"/>
  <c r="AV188" i="6" s="1"/>
  <c r="F188" i="6"/>
  <c r="AI188" i="6" s="1"/>
  <c r="E188" i="6"/>
  <c r="D188" i="6"/>
  <c r="C188" i="6"/>
  <c r="B188" i="6"/>
  <c r="A188" i="6"/>
  <c r="BE187" i="6"/>
  <c r="AT187" i="6"/>
  <c r="AO187" i="6"/>
  <c r="AF187" i="6"/>
  <c r="AE187" i="6"/>
  <c r="Z187" i="6"/>
  <c r="BJ187" i="6" s="1"/>
  <c r="Z188" i="6" s="1"/>
  <c r="BJ188" i="6" s="1"/>
  <c r="Z189" i="6" s="1"/>
  <c r="BJ189" i="6" s="1"/>
  <c r="Z190" i="6" s="1"/>
  <c r="BJ190" i="6" s="1"/>
  <c r="Z191" i="6" s="1"/>
  <c r="BJ191" i="6" s="1"/>
  <c r="Z192" i="6" s="1"/>
  <c r="BJ192" i="6" s="1"/>
  <c r="Z193" i="6" s="1"/>
  <c r="BJ193" i="6" s="1"/>
  <c r="Z194" i="6" s="1"/>
  <c r="BJ194" i="6" s="1"/>
  <c r="Z195" i="6" s="1"/>
  <c r="BJ195" i="6" s="1"/>
  <c r="Z196" i="6" s="1"/>
  <c r="BJ196" i="6" s="1"/>
  <c r="Z197" i="6" s="1"/>
  <c r="BJ197" i="6" s="1"/>
  <c r="Z198" i="6" s="1"/>
  <c r="BJ198" i="6" s="1"/>
  <c r="Z199" i="6" s="1"/>
  <c r="BJ199" i="6" s="1"/>
  <c r="Z200" i="6" s="1"/>
  <c r="BJ200" i="6" s="1"/>
  <c r="Z201" i="6" s="1"/>
  <c r="BJ201" i="6" s="1"/>
  <c r="Z202" i="6" s="1"/>
  <c r="BJ202" i="6" s="1"/>
  <c r="Z203" i="6" s="1"/>
  <c r="BJ203" i="6" s="1"/>
  <c r="Z204" i="6" s="1"/>
  <c r="BJ204" i="6" s="1"/>
  <c r="Z205" i="6" s="1"/>
  <c r="BJ205" i="6" s="1"/>
  <c r="Z206" i="6" s="1"/>
  <c r="BJ206" i="6" s="1"/>
  <c r="Z207" i="6" s="1"/>
  <c r="BJ207" i="6" s="1"/>
  <c r="Z208" i="6" s="1"/>
  <c r="BJ208" i="6" s="1"/>
  <c r="Z209" i="6" s="1"/>
  <c r="BJ209" i="6" s="1"/>
  <c r="Z210" i="6" s="1"/>
  <c r="BJ210" i="6" s="1"/>
  <c r="Z211" i="6" s="1"/>
  <c r="BJ211" i="6" s="1"/>
  <c r="Z212" i="6" s="1"/>
  <c r="BJ212" i="6" s="1"/>
  <c r="Z213" i="6" s="1"/>
  <c r="BJ213" i="6" s="1"/>
  <c r="Z214" i="6" s="1"/>
  <c r="BJ214" i="6" s="1"/>
  <c r="Z215" i="6" s="1"/>
  <c r="BJ215" i="6" s="1"/>
  <c r="Z216" i="6" s="1"/>
  <c r="BJ216" i="6" s="1"/>
  <c r="Z217" i="6" s="1"/>
  <c r="BJ217" i="6" s="1"/>
  <c r="Z218" i="6" s="1"/>
  <c r="BJ218" i="6" s="1"/>
  <c r="Z219" i="6" s="1"/>
  <c r="BJ219" i="6" s="1"/>
  <c r="Z220" i="6" s="1"/>
  <c r="BJ220" i="6" s="1"/>
  <c r="Z221" i="6" s="1"/>
  <c r="BJ221" i="6" s="1"/>
  <c r="U187" i="6"/>
  <c r="K187" i="6"/>
  <c r="J187" i="6"/>
  <c r="I187" i="6"/>
  <c r="H187" i="6"/>
  <c r="G187" i="6"/>
  <c r="AI187" i="6" s="1"/>
  <c r="F187" i="6"/>
  <c r="AP187" i="6" s="1"/>
  <c r="E187" i="6"/>
  <c r="D187" i="6"/>
  <c r="C187" i="6"/>
  <c r="B187" i="6"/>
  <c r="A187" i="6"/>
  <c r="BO186" i="6"/>
  <c r="BN187" i="6" s="1"/>
  <c r="BN186" i="6"/>
  <c r="BE186" i="6"/>
  <c r="AT186" i="6"/>
  <c r="AO186" i="6"/>
  <c r="AF186" i="6"/>
  <c r="AE186" i="6"/>
  <c r="AC186" i="6"/>
  <c r="BM186" i="6" s="1"/>
  <c r="AC187" i="6" s="1"/>
  <c r="BM187" i="6" s="1"/>
  <c r="AC188" i="6" s="1"/>
  <c r="BM188" i="6" s="1"/>
  <c r="AC189" i="6" s="1"/>
  <c r="BM189" i="6" s="1"/>
  <c r="AC190" i="6" s="1"/>
  <c r="BM190" i="6" s="1"/>
  <c r="AC191" i="6" s="1"/>
  <c r="BM191" i="6" s="1"/>
  <c r="AC192" i="6" s="1"/>
  <c r="BM192" i="6" s="1"/>
  <c r="AC193" i="6" s="1"/>
  <c r="BM193" i="6" s="1"/>
  <c r="AC194" i="6" s="1"/>
  <c r="BM194" i="6" s="1"/>
  <c r="AC195" i="6" s="1"/>
  <c r="BM195" i="6" s="1"/>
  <c r="AC196" i="6" s="1"/>
  <c r="BM196" i="6" s="1"/>
  <c r="AC197" i="6" s="1"/>
  <c r="BM197" i="6" s="1"/>
  <c r="AC198" i="6" s="1"/>
  <c r="BM198" i="6" s="1"/>
  <c r="AC199" i="6" s="1"/>
  <c r="BM199" i="6" s="1"/>
  <c r="AC200" i="6" s="1"/>
  <c r="BM200" i="6" s="1"/>
  <c r="AC201" i="6" s="1"/>
  <c r="BM201" i="6" s="1"/>
  <c r="AC202" i="6" s="1"/>
  <c r="BM202" i="6" s="1"/>
  <c r="AC203" i="6" s="1"/>
  <c r="BM203" i="6" s="1"/>
  <c r="AC204" i="6" s="1"/>
  <c r="BM204" i="6" s="1"/>
  <c r="AC205" i="6" s="1"/>
  <c r="BM205" i="6" s="1"/>
  <c r="AC206" i="6" s="1"/>
  <c r="BM206" i="6" s="1"/>
  <c r="AC207" i="6" s="1"/>
  <c r="BM207" i="6" s="1"/>
  <c r="AC208" i="6" s="1"/>
  <c r="BM208" i="6" s="1"/>
  <c r="AC209" i="6" s="1"/>
  <c r="BM209" i="6" s="1"/>
  <c r="AC210" i="6" s="1"/>
  <c r="BM210" i="6" s="1"/>
  <c r="AC211" i="6" s="1"/>
  <c r="BM211" i="6" s="1"/>
  <c r="AC212" i="6" s="1"/>
  <c r="BM212" i="6" s="1"/>
  <c r="AC213" i="6" s="1"/>
  <c r="BM213" i="6" s="1"/>
  <c r="AC214" i="6" s="1"/>
  <c r="BM214" i="6" s="1"/>
  <c r="AC215" i="6" s="1"/>
  <c r="BM215" i="6" s="1"/>
  <c r="AC216" i="6" s="1"/>
  <c r="BM216" i="6" s="1"/>
  <c r="AC217" i="6" s="1"/>
  <c r="BM217" i="6" s="1"/>
  <c r="AC218" i="6" s="1"/>
  <c r="BM218" i="6" s="1"/>
  <c r="AC219" i="6" s="1"/>
  <c r="BM219" i="6" s="1"/>
  <c r="AC220" i="6" s="1"/>
  <c r="BM220" i="6" s="1"/>
  <c r="AC221" i="6" s="1"/>
  <c r="BM221" i="6" s="1"/>
  <c r="AB186" i="6"/>
  <c r="BL186" i="6" s="1"/>
  <c r="AB187" i="6" s="1"/>
  <c r="BL187" i="6" s="1"/>
  <c r="AB188" i="6" s="1"/>
  <c r="BL188" i="6" s="1"/>
  <c r="AB189" i="6" s="1"/>
  <c r="BL189" i="6" s="1"/>
  <c r="AB190" i="6" s="1"/>
  <c r="BL190" i="6" s="1"/>
  <c r="AB191" i="6" s="1"/>
  <c r="BL191" i="6" s="1"/>
  <c r="AB192" i="6" s="1"/>
  <c r="BL192" i="6" s="1"/>
  <c r="AB193" i="6" s="1"/>
  <c r="BL193" i="6" s="1"/>
  <c r="AB194" i="6" s="1"/>
  <c r="BL194" i="6" s="1"/>
  <c r="AB195" i="6" s="1"/>
  <c r="BL195" i="6" s="1"/>
  <c r="AB196" i="6" s="1"/>
  <c r="BL196" i="6" s="1"/>
  <c r="AB197" i="6" s="1"/>
  <c r="BL197" i="6" s="1"/>
  <c r="AB198" i="6" s="1"/>
  <c r="BL198" i="6" s="1"/>
  <c r="AB199" i="6" s="1"/>
  <c r="BL199" i="6" s="1"/>
  <c r="AB200" i="6" s="1"/>
  <c r="BL200" i="6" s="1"/>
  <c r="AB201" i="6" s="1"/>
  <c r="BL201" i="6" s="1"/>
  <c r="AB202" i="6" s="1"/>
  <c r="BL202" i="6" s="1"/>
  <c r="AB203" i="6" s="1"/>
  <c r="BL203" i="6" s="1"/>
  <c r="AB204" i="6" s="1"/>
  <c r="BL204" i="6" s="1"/>
  <c r="AB205" i="6" s="1"/>
  <c r="BL205" i="6" s="1"/>
  <c r="AB206" i="6" s="1"/>
  <c r="BL206" i="6" s="1"/>
  <c r="AB207" i="6" s="1"/>
  <c r="BL207" i="6" s="1"/>
  <c r="AB208" i="6" s="1"/>
  <c r="BL208" i="6" s="1"/>
  <c r="AB209" i="6" s="1"/>
  <c r="BL209" i="6" s="1"/>
  <c r="AB210" i="6" s="1"/>
  <c r="BL210" i="6" s="1"/>
  <c r="AB211" i="6" s="1"/>
  <c r="BL211" i="6" s="1"/>
  <c r="AB212" i="6" s="1"/>
  <c r="BL212" i="6" s="1"/>
  <c r="AB213" i="6" s="1"/>
  <c r="BL213" i="6" s="1"/>
  <c r="AB214" i="6" s="1"/>
  <c r="BL214" i="6" s="1"/>
  <c r="AB215" i="6" s="1"/>
  <c r="BL215" i="6" s="1"/>
  <c r="AB216" i="6" s="1"/>
  <c r="BL216" i="6" s="1"/>
  <c r="AB217" i="6" s="1"/>
  <c r="BL217" i="6" s="1"/>
  <c r="AB218" i="6" s="1"/>
  <c r="BL218" i="6" s="1"/>
  <c r="AB219" i="6" s="1"/>
  <c r="BL219" i="6" s="1"/>
  <c r="AB220" i="6" s="1"/>
  <c r="BL220" i="6" s="1"/>
  <c r="AB221" i="6" s="1"/>
  <c r="BL221" i="6" s="1"/>
  <c r="AA186" i="6"/>
  <c r="BK186" i="6" s="1"/>
  <c r="AA187" i="6" s="1"/>
  <c r="BK187" i="6" s="1"/>
  <c r="AA188" i="6" s="1"/>
  <c r="BK188" i="6" s="1"/>
  <c r="AA189" i="6" s="1"/>
  <c r="BK189" i="6" s="1"/>
  <c r="AA190" i="6" s="1"/>
  <c r="BK190" i="6" s="1"/>
  <c r="AA191" i="6" s="1"/>
  <c r="BK191" i="6" s="1"/>
  <c r="Z186" i="6"/>
  <c r="BJ186" i="6" s="1"/>
  <c r="Y186" i="6"/>
  <c r="BI186" i="6" s="1"/>
  <c r="Y187" i="6" s="1"/>
  <c r="BI187" i="6" s="1"/>
  <c r="Y188" i="6" s="1"/>
  <c r="BI188" i="6" s="1"/>
  <c r="Y189" i="6" s="1"/>
  <c r="BI189" i="6" s="1"/>
  <c r="Y190" i="6" s="1"/>
  <c r="BI190" i="6" s="1"/>
  <c r="Y191" i="6" s="1"/>
  <c r="BI191" i="6" s="1"/>
  <c r="Y192" i="6" s="1"/>
  <c r="BI192" i="6" s="1"/>
  <c r="Y193" i="6" s="1"/>
  <c r="BI193" i="6" s="1"/>
  <c r="Y194" i="6" s="1"/>
  <c r="BI194" i="6" s="1"/>
  <c r="Y195" i="6" s="1"/>
  <c r="BI195" i="6" s="1"/>
  <c r="Y196" i="6" s="1"/>
  <c r="BI196" i="6" s="1"/>
  <c r="Y197" i="6" s="1"/>
  <c r="X186" i="6"/>
  <c r="BH186" i="6" s="1"/>
  <c r="X187" i="6" s="1"/>
  <c r="BH187" i="6" s="1"/>
  <c r="X188" i="6" s="1"/>
  <c r="BH188" i="6" s="1"/>
  <c r="X189" i="6" s="1"/>
  <c r="BH189" i="6" s="1"/>
  <c r="X190" i="6" s="1"/>
  <c r="BH190" i="6" s="1"/>
  <c r="X191" i="6" s="1"/>
  <c r="BH191" i="6" s="1"/>
  <c r="X192" i="6" s="1"/>
  <c r="BH192" i="6" s="1"/>
  <c r="X193" i="6" s="1"/>
  <c r="BH193" i="6" s="1"/>
  <c r="X194" i="6" s="1"/>
  <c r="BH194" i="6" s="1"/>
  <c r="X195" i="6" s="1"/>
  <c r="BH195" i="6" s="1"/>
  <c r="X196" i="6" s="1"/>
  <c r="BH196" i="6" s="1"/>
  <c r="X197" i="6" s="1"/>
  <c r="BH197" i="6" s="1"/>
  <c r="X198" i="6" s="1"/>
  <c r="W186" i="6"/>
  <c r="BG186" i="6" s="1"/>
  <c r="W187" i="6" s="1"/>
  <c r="V186" i="6"/>
  <c r="BF186" i="6" s="1"/>
  <c r="V187" i="6" s="1"/>
  <c r="BF187" i="6" s="1"/>
  <c r="V188" i="6" s="1"/>
  <c r="BF188" i="6" s="1"/>
  <c r="V189" i="6" s="1"/>
  <c r="BF189" i="6" s="1"/>
  <c r="V190" i="6" s="1"/>
  <c r="BF190" i="6" s="1"/>
  <c r="V191" i="6" s="1"/>
  <c r="BF191" i="6" s="1"/>
  <c r="V192" i="6" s="1"/>
  <c r="U186" i="6"/>
  <c r="T186" i="6"/>
  <c r="BD186" i="6" s="1"/>
  <c r="T187" i="6" s="1"/>
  <c r="BD187" i="6" s="1"/>
  <c r="T188" i="6" s="1"/>
  <c r="BD188" i="6" s="1"/>
  <c r="T189" i="6" s="1"/>
  <c r="BD189" i="6" s="1"/>
  <c r="T190" i="6" s="1"/>
  <c r="S186" i="6"/>
  <c r="BC186" i="6" s="1"/>
  <c r="S187" i="6" s="1"/>
  <c r="BC187" i="6" s="1"/>
  <c r="S188" i="6" s="1"/>
  <c r="BC188" i="6" s="1"/>
  <c r="S189" i="6" s="1"/>
  <c r="BC189" i="6" s="1"/>
  <c r="S190" i="6" s="1"/>
  <c r="BC190" i="6" s="1"/>
  <c r="S191" i="6" s="1"/>
  <c r="BC191" i="6" s="1"/>
  <c r="S192" i="6" s="1"/>
  <c r="BC192" i="6" s="1"/>
  <c r="S193" i="6" s="1"/>
  <c r="BC193" i="6" s="1"/>
  <c r="S194" i="6" s="1"/>
  <c r="BC194" i="6" s="1"/>
  <c r="S195" i="6" s="1"/>
  <c r="R186" i="6"/>
  <c r="BB186" i="6" s="1"/>
  <c r="R187" i="6" s="1"/>
  <c r="BB187" i="6" s="1"/>
  <c r="R188" i="6" s="1"/>
  <c r="BB188" i="6" s="1"/>
  <c r="R189" i="6" s="1"/>
  <c r="BB189" i="6" s="1"/>
  <c r="R190" i="6" s="1"/>
  <c r="BB190" i="6" s="1"/>
  <c r="R191" i="6" s="1"/>
  <c r="BB191" i="6" s="1"/>
  <c r="R192" i="6" s="1"/>
  <c r="BB192" i="6" s="1"/>
  <c r="R193" i="6" s="1"/>
  <c r="BB193" i="6" s="1"/>
  <c r="R194" i="6" s="1"/>
  <c r="BB194" i="6" s="1"/>
  <c r="Q186" i="6"/>
  <c r="BA186" i="6" s="1"/>
  <c r="Q187" i="6" s="1"/>
  <c r="BA187" i="6" s="1"/>
  <c r="Q188" i="6" s="1"/>
  <c r="BA188" i="6" s="1"/>
  <c r="Q189" i="6" s="1"/>
  <c r="BA189" i="6" s="1"/>
  <c r="Q190" i="6" s="1"/>
  <c r="BA190" i="6" s="1"/>
  <c r="Q191" i="6" s="1"/>
  <c r="BA191" i="6" s="1"/>
  <c r="Q192" i="6" s="1"/>
  <c r="BA192" i="6" s="1"/>
  <c r="Q193" i="6" s="1"/>
  <c r="BA193" i="6" s="1"/>
  <c r="Q194" i="6" s="1"/>
  <c r="BA194" i="6" s="1"/>
  <c r="Q195" i="6" s="1"/>
  <c r="BA195" i="6" s="1"/>
  <c r="Q196" i="6" s="1"/>
  <c r="O186" i="6"/>
  <c r="AY186" i="6" s="1"/>
  <c r="O187" i="6" s="1"/>
  <c r="AY187" i="6" s="1"/>
  <c r="O188" i="6" s="1"/>
  <c r="AY188" i="6" s="1"/>
  <c r="O189" i="6" s="1"/>
  <c r="AY189" i="6" s="1"/>
  <c r="O190" i="6" s="1"/>
  <c r="AY190" i="6" s="1"/>
  <c r="O191" i="6" s="1"/>
  <c r="AY191" i="6" s="1"/>
  <c r="O192" i="6" s="1"/>
  <c r="AY192" i="6" s="1"/>
  <c r="O193" i="6" s="1"/>
  <c r="AY193" i="6" s="1"/>
  <c r="O194" i="6" s="1"/>
  <c r="AY194" i="6" s="1"/>
  <c r="O195" i="6" s="1"/>
  <c r="AY195" i="6" s="1"/>
  <c r="O196" i="6" s="1"/>
  <c r="AY196" i="6" s="1"/>
  <c r="O197" i="6" s="1"/>
  <c r="AY197" i="6" s="1"/>
  <c r="O198" i="6" s="1"/>
  <c r="AY198" i="6" s="1"/>
  <c r="O199" i="6" s="1"/>
  <c r="AY199" i="6" s="1"/>
  <c r="O200" i="6" s="1"/>
  <c r="AY200" i="6" s="1"/>
  <c r="O201" i="6" s="1"/>
  <c r="AY201" i="6" s="1"/>
  <c r="O202" i="6" s="1"/>
  <c r="AY202" i="6" s="1"/>
  <c r="O203" i="6" s="1"/>
  <c r="AY203" i="6" s="1"/>
  <c r="O204" i="6" s="1"/>
  <c r="AY204" i="6" s="1"/>
  <c r="O205" i="6" s="1"/>
  <c r="AY205" i="6" s="1"/>
  <c r="O206" i="6" s="1"/>
  <c r="AY206" i="6" s="1"/>
  <c r="O207" i="6" s="1"/>
  <c r="AY207" i="6" s="1"/>
  <c r="O208" i="6" s="1"/>
  <c r="AY208" i="6" s="1"/>
  <c r="O209" i="6" s="1"/>
  <c r="AY209" i="6" s="1"/>
  <c r="O210" i="6" s="1"/>
  <c r="AY210" i="6" s="1"/>
  <c r="O211" i="6" s="1"/>
  <c r="AY211" i="6" s="1"/>
  <c r="O212" i="6" s="1"/>
  <c r="AY212" i="6" s="1"/>
  <c r="O213" i="6" s="1"/>
  <c r="AY213" i="6" s="1"/>
  <c r="O214" i="6" s="1"/>
  <c r="AY214" i="6" s="1"/>
  <c r="O215" i="6" s="1"/>
  <c r="AY215" i="6" s="1"/>
  <c r="O216" i="6" s="1"/>
  <c r="AY216" i="6" s="1"/>
  <c r="O217" i="6" s="1"/>
  <c r="AY217" i="6" s="1"/>
  <c r="O218" i="6" s="1"/>
  <c r="AY218" i="6" s="1"/>
  <c r="O219" i="6" s="1"/>
  <c r="AY219" i="6" s="1"/>
  <c r="O220" i="6" s="1"/>
  <c r="AY220" i="6" s="1"/>
  <c r="O221" i="6" s="1"/>
  <c r="AY221" i="6" s="1"/>
  <c r="N186" i="6"/>
  <c r="AX186" i="6" s="1"/>
  <c r="N187" i="6" s="1"/>
  <c r="AX187" i="6" s="1"/>
  <c r="N188" i="6" s="1"/>
  <c r="AX188" i="6" s="1"/>
  <c r="N189" i="6" s="1"/>
  <c r="AX189" i="6" s="1"/>
  <c r="N190" i="6" s="1"/>
  <c r="AX190" i="6" s="1"/>
  <c r="N191" i="6" s="1"/>
  <c r="AX191" i="6" s="1"/>
  <c r="N192" i="6" s="1"/>
  <c r="AX192" i="6" s="1"/>
  <c r="M186" i="6"/>
  <c r="AW186" i="6" s="1"/>
  <c r="M187" i="6" s="1"/>
  <c r="AW187" i="6" s="1"/>
  <c r="M188" i="6" s="1"/>
  <c r="L186" i="6"/>
  <c r="J186" i="6"/>
  <c r="I186" i="6"/>
  <c r="H186" i="6"/>
  <c r="G186" i="6"/>
  <c r="AV186" i="6" s="1"/>
  <c r="L187" i="6" s="1"/>
  <c r="AV187" i="6" s="1"/>
  <c r="L188" i="6" s="1"/>
  <c r="F186" i="6"/>
  <c r="AI186" i="6" s="1"/>
  <c r="E186" i="6"/>
  <c r="D186" i="6"/>
  <c r="C186" i="6"/>
  <c r="B186" i="6"/>
  <c r="A186" i="6"/>
  <c r="AO185" i="6"/>
  <c r="AI185" i="6"/>
  <c r="AE185" i="6"/>
  <c r="K185" i="6"/>
  <c r="I185" i="6"/>
  <c r="H185" i="6"/>
  <c r="G185" i="6"/>
  <c r="F185" i="6"/>
  <c r="J185" i="6" s="1"/>
  <c r="E185" i="6"/>
  <c r="D185" i="6"/>
  <c r="C185" i="6"/>
  <c r="B185" i="6"/>
  <c r="A185" i="6"/>
  <c r="AO184" i="6"/>
  <c r="AI184" i="6"/>
  <c r="H184" i="6"/>
  <c r="G184" i="6"/>
  <c r="F184" i="6"/>
  <c r="E184" i="6"/>
  <c r="D184" i="6"/>
  <c r="C184" i="6"/>
  <c r="B184" i="6"/>
  <c r="A184" i="6"/>
  <c r="AO183" i="6"/>
  <c r="H183" i="6"/>
  <c r="G183" i="6"/>
  <c r="F183" i="6"/>
  <c r="E183" i="6"/>
  <c r="D183" i="6"/>
  <c r="C183" i="6"/>
  <c r="B183" i="6"/>
  <c r="A183" i="6"/>
  <c r="AO182" i="6"/>
  <c r="AI182" i="6"/>
  <c r="K182" i="6"/>
  <c r="I182" i="6"/>
  <c r="H182" i="6"/>
  <c r="G182" i="6"/>
  <c r="F182" i="6"/>
  <c r="AE182" i="6" s="1"/>
  <c r="E182" i="6"/>
  <c r="D182" i="6"/>
  <c r="C182" i="6"/>
  <c r="B182" i="6"/>
  <c r="A182" i="6"/>
  <c r="AO181" i="6"/>
  <c r="H181" i="6"/>
  <c r="G181" i="6"/>
  <c r="F181" i="6"/>
  <c r="AI181" i="6" s="1"/>
  <c r="E181" i="6"/>
  <c r="D181" i="6"/>
  <c r="C181" i="6"/>
  <c r="B181" i="6"/>
  <c r="A181" i="6"/>
  <c r="AO180" i="6"/>
  <c r="AI180" i="6"/>
  <c r="K180" i="6"/>
  <c r="J180" i="6"/>
  <c r="H180" i="6"/>
  <c r="G180" i="6"/>
  <c r="F180" i="6"/>
  <c r="E180" i="6"/>
  <c r="D180" i="6"/>
  <c r="C180" i="6"/>
  <c r="B180" i="6"/>
  <c r="A180" i="6"/>
  <c r="AO179" i="6"/>
  <c r="J179" i="6"/>
  <c r="H179" i="6"/>
  <c r="G179" i="6"/>
  <c r="F179" i="6"/>
  <c r="AI179" i="6" s="1"/>
  <c r="E179" i="6"/>
  <c r="D179" i="6"/>
  <c r="C179" i="6"/>
  <c r="B179" i="6"/>
  <c r="A179" i="6"/>
  <c r="AO178" i="6"/>
  <c r="J178" i="6"/>
  <c r="H178" i="6"/>
  <c r="G178" i="6"/>
  <c r="F178" i="6"/>
  <c r="AI178" i="6" s="1"/>
  <c r="E178" i="6"/>
  <c r="D178" i="6"/>
  <c r="C178" i="6"/>
  <c r="B178" i="6"/>
  <c r="A178" i="6"/>
  <c r="AO177" i="6"/>
  <c r="AE177" i="6"/>
  <c r="K177" i="6"/>
  <c r="J177" i="6"/>
  <c r="I177" i="6"/>
  <c r="H177" i="6"/>
  <c r="G177" i="6"/>
  <c r="AI177" i="6" s="1"/>
  <c r="F177" i="6"/>
  <c r="E177" i="6"/>
  <c r="D177" i="6"/>
  <c r="C177" i="6"/>
  <c r="B177" i="6"/>
  <c r="A177" i="6"/>
  <c r="AO176" i="6"/>
  <c r="AE176" i="6"/>
  <c r="J176" i="6"/>
  <c r="H176" i="6"/>
  <c r="G176" i="6"/>
  <c r="F176" i="6"/>
  <c r="E176" i="6"/>
  <c r="D176" i="6"/>
  <c r="C176" i="6"/>
  <c r="B176" i="6"/>
  <c r="A176" i="6"/>
  <c r="AO175" i="6"/>
  <c r="AE175" i="6"/>
  <c r="Z175" i="6"/>
  <c r="BJ175" i="6" s="1"/>
  <c r="Z176" i="6" s="1"/>
  <c r="BJ176" i="6" s="1"/>
  <c r="Z177" i="6" s="1"/>
  <c r="BJ177" i="6" s="1"/>
  <c r="Z178" i="6" s="1"/>
  <c r="BJ178" i="6" s="1"/>
  <c r="Z179" i="6" s="1"/>
  <c r="BJ179" i="6" s="1"/>
  <c r="Z180" i="6" s="1"/>
  <c r="BJ180" i="6" s="1"/>
  <c r="Z181" i="6" s="1"/>
  <c r="BJ181" i="6" s="1"/>
  <c r="Z182" i="6" s="1"/>
  <c r="BJ182" i="6" s="1"/>
  <c r="Z183" i="6" s="1"/>
  <c r="BJ183" i="6" s="1"/>
  <c r="Z184" i="6" s="1"/>
  <c r="BJ184" i="6" s="1"/>
  <c r="Z185" i="6" s="1"/>
  <c r="BJ185" i="6" s="1"/>
  <c r="K175" i="6"/>
  <c r="J175" i="6"/>
  <c r="I175" i="6"/>
  <c r="H175" i="6"/>
  <c r="G175" i="6"/>
  <c r="AI175" i="6" s="1"/>
  <c r="F175" i="6"/>
  <c r="E175" i="6"/>
  <c r="D175" i="6"/>
  <c r="C175" i="6"/>
  <c r="B175" i="6"/>
  <c r="A175" i="6"/>
  <c r="AO174" i="6"/>
  <c r="AE174" i="6"/>
  <c r="J174" i="6"/>
  <c r="I174" i="6"/>
  <c r="H174" i="6"/>
  <c r="G174" i="6"/>
  <c r="F174" i="6"/>
  <c r="AI174" i="6" s="1"/>
  <c r="E174" i="6"/>
  <c r="D174" i="6"/>
  <c r="C174" i="6"/>
  <c r="B174" i="6"/>
  <c r="A174" i="6"/>
  <c r="AO173" i="6"/>
  <c r="AI173" i="6"/>
  <c r="AE173" i="6"/>
  <c r="K173" i="6"/>
  <c r="I173" i="6"/>
  <c r="H173" i="6"/>
  <c r="G173" i="6"/>
  <c r="F173" i="6"/>
  <c r="J173" i="6" s="1"/>
  <c r="E173" i="6"/>
  <c r="D173" i="6"/>
  <c r="C173" i="6"/>
  <c r="B173" i="6"/>
  <c r="A173" i="6"/>
  <c r="AT172" i="6"/>
  <c r="AI172" i="6"/>
  <c r="K172" i="6"/>
  <c r="H172" i="6"/>
  <c r="G172" i="6"/>
  <c r="F172" i="6"/>
  <c r="E172" i="6"/>
  <c r="D172" i="6"/>
  <c r="C172" i="6"/>
  <c r="B172" i="6"/>
  <c r="A172" i="6"/>
  <c r="AT171" i="6"/>
  <c r="AO171" i="6"/>
  <c r="H171" i="6"/>
  <c r="G171" i="6"/>
  <c r="F171" i="6"/>
  <c r="E171" i="6"/>
  <c r="D171" i="6"/>
  <c r="C171" i="6"/>
  <c r="B171" i="6"/>
  <c r="A171" i="6"/>
  <c r="AT170" i="6"/>
  <c r="AO170" i="6"/>
  <c r="AI170" i="6"/>
  <c r="K170" i="6"/>
  <c r="I170" i="6"/>
  <c r="H170" i="6"/>
  <c r="G170" i="6"/>
  <c r="F170" i="6"/>
  <c r="AE170" i="6" s="1"/>
  <c r="E170" i="6"/>
  <c r="D170" i="6"/>
  <c r="C170" i="6"/>
  <c r="B170" i="6"/>
  <c r="A170" i="6"/>
  <c r="AT169" i="6"/>
  <c r="AO169" i="6"/>
  <c r="H169" i="6"/>
  <c r="G169" i="6"/>
  <c r="F169" i="6"/>
  <c r="AI169" i="6" s="1"/>
  <c r="E169" i="6"/>
  <c r="D169" i="6"/>
  <c r="C169" i="6"/>
  <c r="B169" i="6"/>
  <c r="A169" i="6"/>
  <c r="AT168" i="6"/>
  <c r="AO168" i="6"/>
  <c r="AI168" i="6"/>
  <c r="K168" i="6"/>
  <c r="J168" i="6"/>
  <c r="H168" i="6"/>
  <c r="G168" i="6"/>
  <c r="F168" i="6"/>
  <c r="E168" i="6"/>
  <c r="D168" i="6"/>
  <c r="C168" i="6"/>
  <c r="B168" i="6"/>
  <c r="A168" i="6"/>
  <c r="AT167" i="6"/>
  <c r="AO167" i="6"/>
  <c r="J167" i="6"/>
  <c r="H167" i="6"/>
  <c r="AF167" i="6" s="1"/>
  <c r="G167" i="6"/>
  <c r="F167" i="6"/>
  <c r="AI167" i="6" s="1"/>
  <c r="E167" i="6"/>
  <c r="D167" i="6"/>
  <c r="C167" i="6"/>
  <c r="B167" i="6"/>
  <c r="A167" i="6"/>
  <c r="AT166" i="6"/>
  <c r="J166" i="6"/>
  <c r="H166" i="6"/>
  <c r="G166" i="6"/>
  <c r="F166" i="6"/>
  <c r="AI166" i="6" s="1"/>
  <c r="E166" i="6"/>
  <c r="D166" i="6"/>
  <c r="C166" i="6"/>
  <c r="B166" i="6"/>
  <c r="A166" i="6"/>
  <c r="AT165" i="6"/>
  <c r="AO165" i="6"/>
  <c r="AF165" i="6"/>
  <c r="AE165" i="6"/>
  <c r="K165" i="6"/>
  <c r="J165" i="6"/>
  <c r="I165" i="6"/>
  <c r="H165" i="6"/>
  <c r="G165" i="6"/>
  <c r="AI165" i="6" s="1"/>
  <c r="F165" i="6"/>
  <c r="E165" i="6"/>
  <c r="D165" i="6"/>
  <c r="C165" i="6"/>
  <c r="B165" i="6"/>
  <c r="A165" i="6"/>
  <c r="AT164" i="6"/>
  <c r="AO164" i="6"/>
  <c r="AF164" i="6"/>
  <c r="AE164" i="6"/>
  <c r="J164" i="6"/>
  <c r="H164" i="6"/>
  <c r="G164" i="6"/>
  <c r="F164" i="6"/>
  <c r="AI164" i="6" s="1"/>
  <c r="E164" i="6"/>
  <c r="D164" i="6"/>
  <c r="C164" i="6"/>
  <c r="B164" i="6"/>
  <c r="A164" i="6"/>
  <c r="AT163" i="6"/>
  <c r="AO163" i="6"/>
  <c r="AF163" i="6"/>
  <c r="AE163" i="6"/>
  <c r="K163" i="6"/>
  <c r="J163" i="6"/>
  <c r="I163" i="6"/>
  <c r="H163" i="6"/>
  <c r="G163" i="6"/>
  <c r="AI163" i="6" s="1"/>
  <c r="F163" i="6"/>
  <c r="E163" i="6"/>
  <c r="D163" i="6"/>
  <c r="C163" i="6"/>
  <c r="B163" i="6"/>
  <c r="A163" i="6"/>
  <c r="AT162" i="6"/>
  <c r="AO162" i="6"/>
  <c r="AE162" i="6"/>
  <c r="I162" i="6"/>
  <c r="H162" i="6"/>
  <c r="G162" i="6"/>
  <c r="F162" i="6"/>
  <c r="E162" i="6"/>
  <c r="D162" i="6"/>
  <c r="C162" i="6"/>
  <c r="B162" i="6"/>
  <c r="A162" i="6"/>
  <c r="AT161" i="6"/>
  <c r="AI161" i="6"/>
  <c r="AE161" i="6"/>
  <c r="K161" i="6"/>
  <c r="I161" i="6"/>
  <c r="H161" i="6"/>
  <c r="G161" i="6"/>
  <c r="F161" i="6"/>
  <c r="E161" i="6"/>
  <c r="D161" i="6"/>
  <c r="C161" i="6"/>
  <c r="B161" i="6"/>
  <c r="A161" i="6"/>
  <c r="AT160" i="6"/>
  <c r="AI160" i="6"/>
  <c r="H160" i="6"/>
  <c r="G160" i="6"/>
  <c r="F160" i="6"/>
  <c r="E160" i="6"/>
  <c r="D160" i="6"/>
  <c r="C160" i="6"/>
  <c r="B160" i="6"/>
  <c r="A160" i="6"/>
  <c r="AT159" i="6"/>
  <c r="AO159" i="6"/>
  <c r="R159" i="6"/>
  <c r="BB159" i="6" s="1"/>
  <c r="R160" i="6" s="1"/>
  <c r="BB160" i="6" s="1"/>
  <c r="R161" i="6" s="1"/>
  <c r="BB161" i="6" s="1"/>
  <c r="R162" i="6" s="1"/>
  <c r="BB162" i="6" s="1"/>
  <c r="R163" i="6" s="1"/>
  <c r="BB163" i="6" s="1"/>
  <c r="R164" i="6" s="1"/>
  <c r="BB164" i="6" s="1"/>
  <c r="R165" i="6" s="1"/>
  <c r="BB165" i="6" s="1"/>
  <c r="R166" i="6" s="1"/>
  <c r="BB166" i="6" s="1"/>
  <c r="R167" i="6" s="1"/>
  <c r="BB167" i="6" s="1"/>
  <c r="R168" i="6" s="1"/>
  <c r="BB168" i="6" s="1"/>
  <c r="R169" i="6" s="1"/>
  <c r="BB169" i="6" s="1"/>
  <c r="R170" i="6" s="1"/>
  <c r="BB170" i="6" s="1"/>
  <c r="R171" i="6" s="1"/>
  <c r="BB171" i="6" s="1"/>
  <c r="R172" i="6" s="1"/>
  <c r="BB172" i="6" s="1"/>
  <c r="R173" i="6" s="1"/>
  <c r="BB173" i="6" s="1"/>
  <c r="R174" i="6" s="1"/>
  <c r="BB174" i="6" s="1"/>
  <c r="R175" i="6" s="1"/>
  <c r="BB175" i="6" s="1"/>
  <c r="R176" i="6" s="1"/>
  <c r="BB176" i="6" s="1"/>
  <c r="R177" i="6" s="1"/>
  <c r="BB177" i="6" s="1"/>
  <c r="R178" i="6" s="1"/>
  <c r="BB178" i="6" s="1"/>
  <c r="R179" i="6" s="1"/>
  <c r="BB179" i="6" s="1"/>
  <c r="R180" i="6" s="1"/>
  <c r="BB180" i="6" s="1"/>
  <c r="R181" i="6" s="1"/>
  <c r="BB181" i="6" s="1"/>
  <c r="R182" i="6" s="1"/>
  <c r="BB182" i="6" s="1"/>
  <c r="R183" i="6" s="1"/>
  <c r="BB183" i="6" s="1"/>
  <c r="R184" i="6" s="1"/>
  <c r="BB184" i="6" s="1"/>
  <c r="R185" i="6" s="1"/>
  <c r="BB185" i="6" s="1"/>
  <c r="H159" i="6"/>
  <c r="AF159" i="6" s="1"/>
  <c r="G159" i="6"/>
  <c r="F159" i="6"/>
  <c r="E159" i="6"/>
  <c r="D159" i="6"/>
  <c r="C159" i="6"/>
  <c r="B159" i="6"/>
  <c r="A159" i="6"/>
  <c r="AT158" i="6"/>
  <c r="AO158" i="6"/>
  <c r="AI158" i="6"/>
  <c r="K158" i="6"/>
  <c r="I158" i="6"/>
  <c r="H158" i="6"/>
  <c r="G158" i="6"/>
  <c r="F158" i="6"/>
  <c r="AE158" i="6" s="1"/>
  <c r="E158" i="6"/>
  <c r="D158" i="6"/>
  <c r="C158" i="6"/>
  <c r="B158" i="6"/>
  <c r="A158" i="6"/>
  <c r="AT157" i="6"/>
  <c r="AO157" i="6"/>
  <c r="AF157" i="6"/>
  <c r="H157" i="6"/>
  <c r="G157" i="6"/>
  <c r="F157" i="6"/>
  <c r="AI157" i="6" s="1"/>
  <c r="E157" i="6"/>
  <c r="D157" i="6"/>
  <c r="C157" i="6"/>
  <c r="B157" i="6"/>
  <c r="A157" i="6"/>
  <c r="AT156" i="6"/>
  <c r="AO156" i="6"/>
  <c r="AI156" i="6"/>
  <c r="V156" i="6"/>
  <c r="BF156" i="6" s="1"/>
  <c r="V157" i="6" s="1"/>
  <c r="BF157" i="6" s="1"/>
  <c r="V158" i="6" s="1"/>
  <c r="BF158" i="6" s="1"/>
  <c r="V159" i="6" s="1"/>
  <c r="BF159" i="6" s="1"/>
  <c r="V160" i="6" s="1"/>
  <c r="BF160" i="6" s="1"/>
  <c r="V161" i="6" s="1"/>
  <c r="BF161" i="6" s="1"/>
  <c r="V162" i="6" s="1"/>
  <c r="BF162" i="6" s="1"/>
  <c r="V163" i="6" s="1"/>
  <c r="BF163" i="6" s="1"/>
  <c r="V164" i="6" s="1"/>
  <c r="BF164" i="6" s="1"/>
  <c r="V165" i="6" s="1"/>
  <c r="BF165" i="6" s="1"/>
  <c r="V166" i="6" s="1"/>
  <c r="BF166" i="6" s="1"/>
  <c r="V167" i="6" s="1"/>
  <c r="BF167" i="6" s="1"/>
  <c r="V168" i="6" s="1"/>
  <c r="BF168" i="6" s="1"/>
  <c r="V169" i="6" s="1"/>
  <c r="BF169" i="6" s="1"/>
  <c r="V170" i="6" s="1"/>
  <c r="BF170" i="6" s="1"/>
  <c r="V171" i="6" s="1"/>
  <c r="BF171" i="6" s="1"/>
  <c r="V172" i="6" s="1"/>
  <c r="BF172" i="6" s="1"/>
  <c r="V173" i="6" s="1"/>
  <c r="K156" i="6"/>
  <c r="J156" i="6"/>
  <c r="H156" i="6"/>
  <c r="AF156" i="6" s="1"/>
  <c r="G156" i="6"/>
  <c r="F156" i="6"/>
  <c r="E156" i="6"/>
  <c r="D156" i="6"/>
  <c r="C156" i="6"/>
  <c r="B156" i="6"/>
  <c r="A156" i="6"/>
  <c r="BN155" i="6"/>
  <c r="BO155" i="6" s="1"/>
  <c r="BN156" i="6" s="1"/>
  <c r="BO156" i="6" s="1"/>
  <c r="BN157" i="6" s="1"/>
  <c r="BO157" i="6" s="1"/>
  <c r="BN158" i="6" s="1"/>
  <c r="AT155" i="6"/>
  <c r="R155" i="6"/>
  <c r="BB155" i="6" s="1"/>
  <c r="R156" i="6" s="1"/>
  <c r="BB156" i="6" s="1"/>
  <c r="R157" i="6" s="1"/>
  <c r="BB157" i="6" s="1"/>
  <c r="R158" i="6" s="1"/>
  <c r="BB158" i="6" s="1"/>
  <c r="J155" i="6"/>
  <c r="H155" i="6"/>
  <c r="G155" i="6"/>
  <c r="F155" i="6"/>
  <c r="E155" i="6"/>
  <c r="D155" i="6"/>
  <c r="C155" i="6"/>
  <c r="B155" i="6"/>
  <c r="A155" i="6"/>
  <c r="BI154" i="6"/>
  <c r="Y155" i="6" s="1"/>
  <c r="BI155" i="6" s="1"/>
  <c r="Y156" i="6" s="1"/>
  <c r="BI156" i="6" s="1"/>
  <c r="Y157" i="6" s="1"/>
  <c r="BI157" i="6" s="1"/>
  <c r="Y158" i="6" s="1"/>
  <c r="BI158" i="6" s="1"/>
  <c r="Y159" i="6" s="1"/>
  <c r="BI159" i="6" s="1"/>
  <c r="Y160" i="6" s="1"/>
  <c r="BI160" i="6" s="1"/>
  <c r="Y161" i="6" s="1"/>
  <c r="BI161" i="6" s="1"/>
  <c r="Y162" i="6" s="1"/>
  <c r="BI162" i="6" s="1"/>
  <c r="Y163" i="6" s="1"/>
  <c r="BI163" i="6" s="1"/>
  <c r="Y164" i="6" s="1"/>
  <c r="BI164" i="6" s="1"/>
  <c r="Y165" i="6" s="1"/>
  <c r="BI165" i="6" s="1"/>
  <c r="Y166" i="6" s="1"/>
  <c r="BI166" i="6" s="1"/>
  <c r="Y167" i="6" s="1"/>
  <c r="BI167" i="6" s="1"/>
  <c r="Y168" i="6" s="1"/>
  <c r="BI168" i="6" s="1"/>
  <c r="Y169" i="6" s="1"/>
  <c r="BI169" i="6" s="1"/>
  <c r="Y170" i="6" s="1"/>
  <c r="BI170" i="6" s="1"/>
  <c r="Y171" i="6" s="1"/>
  <c r="BI171" i="6" s="1"/>
  <c r="Y172" i="6" s="1"/>
  <c r="BI172" i="6" s="1"/>
  <c r="Y173" i="6" s="1"/>
  <c r="BI173" i="6" s="1"/>
  <c r="Y174" i="6" s="1"/>
  <c r="BI174" i="6" s="1"/>
  <c r="Y175" i="6" s="1"/>
  <c r="BI175" i="6" s="1"/>
  <c r="Y176" i="6" s="1"/>
  <c r="BI176" i="6" s="1"/>
  <c r="Y177" i="6" s="1"/>
  <c r="BI177" i="6" s="1"/>
  <c r="Y178" i="6" s="1"/>
  <c r="BI178" i="6" s="1"/>
  <c r="Y179" i="6" s="1"/>
  <c r="BI179" i="6" s="1"/>
  <c r="Y180" i="6" s="1"/>
  <c r="BI180" i="6" s="1"/>
  <c r="Y181" i="6" s="1"/>
  <c r="BI181" i="6" s="1"/>
  <c r="Y182" i="6" s="1"/>
  <c r="BI182" i="6" s="1"/>
  <c r="Y183" i="6" s="1"/>
  <c r="BI183" i="6" s="1"/>
  <c r="Y184" i="6" s="1"/>
  <c r="BI184" i="6" s="1"/>
  <c r="Y185" i="6" s="1"/>
  <c r="BI185" i="6" s="1"/>
  <c r="AT154" i="6"/>
  <c r="Y154" i="6"/>
  <c r="Q154" i="6"/>
  <c r="BA154" i="6" s="1"/>
  <c r="Q155" i="6" s="1"/>
  <c r="BA155" i="6" s="1"/>
  <c r="Q156" i="6" s="1"/>
  <c r="BA156" i="6" s="1"/>
  <c r="Q157" i="6" s="1"/>
  <c r="BA157" i="6" s="1"/>
  <c r="Q158" i="6" s="1"/>
  <c r="BA158" i="6" s="1"/>
  <c r="Q159" i="6" s="1"/>
  <c r="BA159" i="6" s="1"/>
  <c r="Q160" i="6" s="1"/>
  <c r="BA160" i="6" s="1"/>
  <c r="Q161" i="6" s="1"/>
  <c r="J154" i="6"/>
  <c r="H154" i="6"/>
  <c r="G154" i="6"/>
  <c r="F154" i="6"/>
  <c r="AI154" i="6" s="1"/>
  <c r="E154" i="6"/>
  <c r="D154" i="6"/>
  <c r="C154" i="6"/>
  <c r="B154" i="6"/>
  <c r="A154" i="6"/>
  <c r="BO153" i="6"/>
  <c r="BN154" i="6" s="1"/>
  <c r="BO154" i="6" s="1"/>
  <c r="AT153" i="6"/>
  <c r="AO153" i="6"/>
  <c r="AE153" i="6"/>
  <c r="X153" i="6"/>
  <c r="BH153" i="6" s="1"/>
  <c r="X154" i="6" s="1"/>
  <c r="BH154" i="6" s="1"/>
  <c r="X155" i="6" s="1"/>
  <c r="BH155" i="6" s="1"/>
  <c r="X156" i="6" s="1"/>
  <c r="BH156" i="6" s="1"/>
  <c r="X157" i="6" s="1"/>
  <c r="BH157" i="6" s="1"/>
  <c r="X158" i="6" s="1"/>
  <c r="BH158" i="6" s="1"/>
  <c r="X159" i="6" s="1"/>
  <c r="BH159" i="6" s="1"/>
  <c r="X160" i="6" s="1"/>
  <c r="BH160" i="6" s="1"/>
  <c r="X161" i="6" s="1"/>
  <c r="BH161" i="6" s="1"/>
  <c r="X162" i="6" s="1"/>
  <c r="BH162" i="6" s="1"/>
  <c r="X163" i="6" s="1"/>
  <c r="BH163" i="6" s="1"/>
  <c r="X164" i="6" s="1"/>
  <c r="BH164" i="6" s="1"/>
  <c r="X165" i="6" s="1"/>
  <c r="BH165" i="6" s="1"/>
  <c r="X166" i="6" s="1"/>
  <c r="BH166" i="6" s="1"/>
  <c r="X167" i="6" s="1"/>
  <c r="BH167" i="6" s="1"/>
  <c r="X168" i="6" s="1"/>
  <c r="BH168" i="6" s="1"/>
  <c r="X169" i="6" s="1"/>
  <c r="BH169" i="6" s="1"/>
  <c r="X170" i="6" s="1"/>
  <c r="BH170" i="6" s="1"/>
  <c r="X171" i="6" s="1"/>
  <c r="BH171" i="6" s="1"/>
  <c r="X172" i="6" s="1"/>
  <c r="BH172" i="6" s="1"/>
  <c r="X173" i="6" s="1"/>
  <c r="BH173" i="6" s="1"/>
  <c r="X174" i="6" s="1"/>
  <c r="BH174" i="6" s="1"/>
  <c r="X175" i="6" s="1"/>
  <c r="BH175" i="6" s="1"/>
  <c r="X176" i="6" s="1"/>
  <c r="BH176" i="6" s="1"/>
  <c r="X177" i="6" s="1"/>
  <c r="BH177" i="6" s="1"/>
  <c r="X178" i="6" s="1"/>
  <c r="BH178" i="6" s="1"/>
  <c r="X179" i="6" s="1"/>
  <c r="BH179" i="6" s="1"/>
  <c r="X180" i="6" s="1"/>
  <c r="BH180" i="6" s="1"/>
  <c r="X181" i="6" s="1"/>
  <c r="BH181" i="6" s="1"/>
  <c r="X182" i="6" s="1"/>
  <c r="BH182" i="6" s="1"/>
  <c r="X183" i="6" s="1"/>
  <c r="BH183" i="6" s="1"/>
  <c r="X184" i="6" s="1"/>
  <c r="BH184" i="6" s="1"/>
  <c r="X185" i="6" s="1"/>
  <c r="BH185" i="6" s="1"/>
  <c r="T153" i="6"/>
  <c r="BD153" i="6" s="1"/>
  <c r="T154" i="6" s="1"/>
  <c r="K153" i="6"/>
  <c r="J153" i="6"/>
  <c r="I153" i="6"/>
  <c r="H153" i="6"/>
  <c r="G153" i="6"/>
  <c r="AI153" i="6" s="1"/>
  <c r="F153" i="6"/>
  <c r="E153" i="6"/>
  <c r="D153" i="6"/>
  <c r="C153" i="6"/>
  <c r="B153" i="6"/>
  <c r="A153" i="6"/>
  <c r="AT152" i="6"/>
  <c r="AO152" i="6"/>
  <c r="AF152" i="6"/>
  <c r="AE152" i="6"/>
  <c r="AA152" i="6"/>
  <c r="BK152" i="6" s="1"/>
  <c r="AA153" i="6" s="1"/>
  <c r="BK153" i="6" s="1"/>
  <c r="AA154" i="6" s="1"/>
  <c r="BK154" i="6" s="1"/>
  <c r="AA155" i="6" s="1"/>
  <c r="BK155" i="6" s="1"/>
  <c r="AA156" i="6" s="1"/>
  <c r="BK156" i="6" s="1"/>
  <c r="AA157" i="6" s="1"/>
  <c r="BK157" i="6" s="1"/>
  <c r="AA158" i="6" s="1"/>
  <c r="BK158" i="6" s="1"/>
  <c r="AA159" i="6" s="1"/>
  <c r="BK159" i="6" s="1"/>
  <c r="AA160" i="6" s="1"/>
  <c r="BK160" i="6" s="1"/>
  <c r="AA161" i="6" s="1"/>
  <c r="BK161" i="6" s="1"/>
  <c r="AA162" i="6" s="1"/>
  <c r="BK162" i="6" s="1"/>
  <c r="AA163" i="6" s="1"/>
  <c r="BK163" i="6" s="1"/>
  <c r="AA164" i="6" s="1"/>
  <c r="BK164" i="6" s="1"/>
  <c r="AA165" i="6" s="1"/>
  <c r="BK165" i="6" s="1"/>
  <c r="AA166" i="6" s="1"/>
  <c r="BK166" i="6" s="1"/>
  <c r="AA167" i="6" s="1"/>
  <c r="BK167" i="6" s="1"/>
  <c r="AA168" i="6" s="1"/>
  <c r="BK168" i="6" s="1"/>
  <c r="AA169" i="6" s="1"/>
  <c r="BK169" i="6" s="1"/>
  <c r="AA170" i="6" s="1"/>
  <c r="BK170" i="6" s="1"/>
  <c r="AA171" i="6" s="1"/>
  <c r="BK171" i="6" s="1"/>
  <c r="AA172" i="6" s="1"/>
  <c r="BK172" i="6" s="1"/>
  <c r="AA173" i="6" s="1"/>
  <c r="BK173" i="6" s="1"/>
  <c r="AA174" i="6" s="1"/>
  <c r="BK174" i="6" s="1"/>
  <c r="AA175" i="6" s="1"/>
  <c r="BK175" i="6" s="1"/>
  <c r="AA176" i="6" s="1"/>
  <c r="BK176" i="6" s="1"/>
  <c r="AA177" i="6" s="1"/>
  <c r="BK177" i="6" s="1"/>
  <c r="AA178" i="6" s="1"/>
  <c r="BK178" i="6" s="1"/>
  <c r="AA179" i="6" s="1"/>
  <c r="BK179" i="6" s="1"/>
  <c r="AA180" i="6" s="1"/>
  <c r="BK180" i="6" s="1"/>
  <c r="AA181" i="6" s="1"/>
  <c r="BK181" i="6" s="1"/>
  <c r="AA182" i="6" s="1"/>
  <c r="BK182" i="6" s="1"/>
  <c r="AA183" i="6" s="1"/>
  <c r="BK183" i="6" s="1"/>
  <c r="AA184" i="6" s="1"/>
  <c r="BK184" i="6" s="1"/>
  <c r="AA185" i="6" s="1"/>
  <c r="BK185" i="6" s="1"/>
  <c r="S152" i="6"/>
  <c r="BC152" i="6" s="1"/>
  <c r="S153" i="6" s="1"/>
  <c r="BC153" i="6" s="1"/>
  <c r="S154" i="6" s="1"/>
  <c r="BC154" i="6" s="1"/>
  <c r="S155" i="6" s="1"/>
  <c r="BC155" i="6" s="1"/>
  <c r="S156" i="6" s="1"/>
  <c r="BC156" i="6" s="1"/>
  <c r="S157" i="6" s="1"/>
  <c r="BC157" i="6" s="1"/>
  <c r="S158" i="6" s="1"/>
  <c r="BC158" i="6" s="1"/>
  <c r="S159" i="6" s="1"/>
  <c r="BC159" i="6" s="1"/>
  <c r="S160" i="6" s="1"/>
  <c r="BC160" i="6" s="1"/>
  <c r="S161" i="6" s="1"/>
  <c r="BC161" i="6" s="1"/>
  <c r="S162" i="6" s="1"/>
  <c r="BC162" i="6" s="1"/>
  <c r="S163" i="6" s="1"/>
  <c r="BC163" i="6" s="1"/>
  <c r="S164" i="6" s="1"/>
  <c r="BC164" i="6" s="1"/>
  <c r="S165" i="6" s="1"/>
  <c r="BC165" i="6" s="1"/>
  <c r="S166" i="6" s="1"/>
  <c r="BC166" i="6" s="1"/>
  <c r="S167" i="6" s="1"/>
  <c r="BC167" i="6" s="1"/>
  <c r="S168" i="6" s="1"/>
  <c r="BC168" i="6" s="1"/>
  <c r="S169" i="6" s="1"/>
  <c r="BC169" i="6" s="1"/>
  <c r="S170" i="6" s="1"/>
  <c r="BC170" i="6" s="1"/>
  <c r="S171" i="6" s="1"/>
  <c r="BC171" i="6" s="1"/>
  <c r="S172" i="6" s="1"/>
  <c r="BC172" i="6" s="1"/>
  <c r="S173" i="6" s="1"/>
  <c r="BC173" i="6" s="1"/>
  <c r="S174" i="6" s="1"/>
  <c r="BC174" i="6" s="1"/>
  <c r="S175" i="6" s="1"/>
  <c r="BC175" i="6" s="1"/>
  <c r="S176" i="6" s="1"/>
  <c r="BC176" i="6" s="1"/>
  <c r="S177" i="6" s="1"/>
  <c r="BC177" i="6" s="1"/>
  <c r="S178" i="6" s="1"/>
  <c r="BC178" i="6" s="1"/>
  <c r="S179" i="6" s="1"/>
  <c r="BC179" i="6" s="1"/>
  <c r="S180" i="6" s="1"/>
  <c r="BC180" i="6" s="1"/>
  <c r="S181" i="6" s="1"/>
  <c r="BC181" i="6" s="1"/>
  <c r="S182" i="6" s="1"/>
  <c r="BC182" i="6" s="1"/>
  <c r="S183" i="6" s="1"/>
  <c r="BC183" i="6" s="1"/>
  <c r="S184" i="6" s="1"/>
  <c r="BC184" i="6" s="1"/>
  <c r="S185" i="6" s="1"/>
  <c r="BC185" i="6" s="1"/>
  <c r="J152" i="6"/>
  <c r="H152" i="6"/>
  <c r="G152" i="6"/>
  <c r="F152" i="6"/>
  <c r="AI152" i="6" s="1"/>
  <c r="E152" i="6"/>
  <c r="D152" i="6"/>
  <c r="C152" i="6"/>
  <c r="B152" i="6"/>
  <c r="A152" i="6"/>
  <c r="AT151" i="6"/>
  <c r="AO151" i="6"/>
  <c r="AF151" i="6"/>
  <c r="AE151" i="6"/>
  <c r="V151" i="6"/>
  <c r="BF151" i="6" s="1"/>
  <c r="V152" i="6" s="1"/>
  <c r="BF152" i="6" s="1"/>
  <c r="V153" i="6" s="1"/>
  <c r="BF153" i="6" s="1"/>
  <c r="V154" i="6" s="1"/>
  <c r="BF154" i="6" s="1"/>
  <c r="V155" i="6" s="1"/>
  <c r="BF155" i="6" s="1"/>
  <c r="K151" i="6"/>
  <c r="J151" i="6"/>
  <c r="I151" i="6"/>
  <c r="H151" i="6"/>
  <c r="G151" i="6"/>
  <c r="AI151" i="6" s="1"/>
  <c r="F151" i="6"/>
  <c r="E151" i="6"/>
  <c r="D151" i="6"/>
  <c r="C151" i="6"/>
  <c r="B151" i="6"/>
  <c r="A151" i="6"/>
  <c r="BO150" i="6"/>
  <c r="BN151" i="6" s="1"/>
  <c r="BO151" i="6" s="1"/>
  <c r="BN152" i="6" s="1"/>
  <c r="BO152" i="6" s="1"/>
  <c r="BN153" i="6" s="1"/>
  <c r="BN150" i="6"/>
  <c r="BL150" i="6"/>
  <c r="AB151" i="6" s="1"/>
  <c r="BL151" i="6" s="1"/>
  <c r="AB152" i="6" s="1"/>
  <c r="BL152" i="6" s="1"/>
  <c r="AB153" i="6" s="1"/>
  <c r="BL153" i="6" s="1"/>
  <c r="AB154" i="6" s="1"/>
  <c r="BL154" i="6" s="1"/>
  <c r="AB155" i="6" s="1"/>
  <c r="BL155" i="6" s="1"/>
  <c r="AB156" i="6" s="1"/>
  <c r="BL156" i="6" s="1"/>
  <c r="AB157" i="6" s="1"/>
  <c r="BL157" i="6" s="1"/>
  <c r="AB158" i="6" s="1"/>
  <c r="BL158" i="6" s="1"/>
  <c r="AB159" i="6" s="1"/>
  <c r="BL159" i="6" s="1"/>
  <c r="AB160" i="6" s="1"/>
  <c r="BL160" i="6" s="1"/>
  <c r="AB161" i="6" s="1"/>
  <c r="BL161" i="6" s="1"/>
  <c r="AB162" i="6" s="1"/>
  <c r="BL162" i="6" s="1"/>
  <c r="AB163" i="6" s="1"/>
  <c r="BL163" i="6" s="1"/>
  <c r="AB164" i="6" s="1"/>
  <c r="BL164" i="6" s="1"/>
  <c r="AB165" i="6" s="1"/>
  <c r="BL165" i="6" s="1"/>
  <c r="AB166" i="6" s="1"/>
  <c r="BL166" i="6" s="1"/>
  <c r="AB167" i="6" s="1"/>
  <c r="BL167" i="6" s="1"/>
  <c r="AB168" i="6" s="1"/>
  <c r="BL168" i="6" s="1"/>
  <c r="AB169" i="6" s="1"/>
  <c r="BL169" i="6" s="1"/>
  <c r="AB170" i="6" s="1"/>
  <c r="BL170" i="6" s="1"/>
  <c r="AB171" i="6" s="1"/>
  <c r="BL171" i="6" s="1"/>
  <c r="AB172" i="6" s="1"/>
  <c r="BL172" i="6" s="1"/>
  <c r="AB173" i="6" s="1"/>
  <c r="BL173" i="6" s="1"/>
  <c r="AB174" i="6" s="1"/>
  <c r="BL174" i="6" s="1"/>
  <c r="AB175" i="6" s="1"/>
  <c r="BL175" i="6" s="1"/>
  <c r="AB176" i="6" s="1"/>
  <c r="BL176" i="6" s="1"/>
  <c r="AB177" i="6" s="1"/>
  <c r="BL177" i="6" s="1"/>
  <c r="AB178" i="6" s="1"/>
  <c r="BL178" i="6" s="1"/>
  <c r="AB179" i="6" s="1"/>
  <c r="BL179" i="6" s="1"/>
  <c r="AB180" i="6" s="1"/>
  <c r="BL180" i="6" s="1"/>
  <c r="AB181" i="6" s="1"/>
  <c r="BL181" i="6" s="1"/>
  <c r="AB182" i="6" s="1"/>
  <c r="BL182" i="6" s="1"/>
  <c r="AB183" i="6" s="1"/>
  <c r="BL183" i="6" s="1"/>
  <c r="AB184" i="6" s="1"/>
  <c r="BL184" i="6" s="1"/>
  <c r="AB185" i="6" s="1"/>
  <c r="BL185" i="6" s="1"/>
  <c r="BE150" i="6"/>
  <c r="BE151" i="6" s="1"/>
  <c r="BA150" i="6"/>
  <c r="Q151" i="6" s="1"/>
  <c r="BA151" i="6" s="1"/>
  <c r="Q152" i="6" s="1"/>
  <c r="BA152" i="6" s="1"/>
  <c r="Q153" i="6" s="1"/>
  <c r="BA153" i="6" s="1"/>
  <c r="AT150" i="6"/>
  <c r="AO150" i="6"/>
  <c r="AF150" i="6"/>
  <c r="AE150" i="6"/>
  <c r="AC150" i="6"/>
  <c r="BM150" i="6" s="1"/>
  <c r="AC151" i="6" s="1"/>
  <c r="BM151" i="6" s="1"/>
  <c r="AC152" i="6" s="1"/>
  <c r="BM152" i="6" s="1"/>
  <c r="AC153" i="6" s="1"/>
  <c r="BM153" i="6" s="1"/>
  <c r="AC154" i="6" s="1"/>
  <c r="BM154" i="6" s="1"/>
  <c r="AC155" i="6" s="1"/>
  <c r="BM155" i="6" s="1"/>
  <c r="AC156" i="6" s="1"/>
  <c r="BM156" i="6" s="1"/>
  <c r="AC157" i="6" s="1"/>
  <c r="BM157" i="6" s="1"/>
  <c r="AC158" i="6" s="1"/>
  <c r="BM158" i="6" s="1"/>
  <c r="AC159" i="6" s="1"/>
  <c r="BM159" i="6" s="1"/>
  <c r="AC160" i="6" s="1"/>
  <c r="BM160" i="6" s="1"/>
  <c r="AC161" i="6" s="1"/>
  <c r="BM161" i="6" s="1"/>
  <c r="AC162" i="6" s="1"/>
  <c r="BM162" i="6" s="1"/>
  <c r="AC163" i="6" s="1"/>
  <c r="BM163" i="6" s="1"/>
  <c r="AC164" i="6" s="1"/>
  <c r="BM164" i="6" s="1"/>
  <c r="AC165" i="6" s="1"/>
  <c r="BM165" i="6" s="1"/>
  <c r="AC166" i="6" s="1"/>
  <c r="BM166" i="6" s="1"/>
  <c r="AC167" i="6" s="1"/>
  <c r="BM167" i="6" s="1"/>
  <c r="AC168" i="6" s="1"/>
  <c r="BM168" i="6" s="1"/>
  <c r="AC169" i="6" s="1"/>
  <c r="BM169" i="6" s="1"/>
  <c r="AC170" i="6" s="1"/>
  <c r="BM170" i="6" s="1"/>
  <c r="AC171" i="6" s="1"/>
  <c r="BM171" i="6" s="1"/>
  <c r="AC172" i="6" s="1"/>
  <c r="BM172" i="6" s="1"/>
  <c r="AC173" i="6" s="1"/>
  <c r="BM173" i="6" s="1"/>
  <c r="AC174" i="6" s="1"/>
  <c r="BM174" i="6" s="1"/>
  <c r="AC175" i="6" s="1"/>
  <c r="BM175" i="6" s="1"/>
  <c r="AC176" i="6" s="1"/>
  <c r="BM176" i="6" s="1"/>
  <c r="AC177" i="6" s="1"/>
  <c r="BM177" i="6" s="1"/>
  <c r="AC178" i="6" s="1"/>
  <c r="BM178" i="6" s="1"/>
  <c r="AC179" i="6" s="1"/>
  <c r="BM179" i="6" s="1"/>
  <c r="AC180" i="6" s="1"/>
  <c r="BM180" i="6" s="1"/>
  <c r="AC181" i="6" s="1"/>
  <c r="BM181" i="6" s="1"/>
  <c r="AC182" i="6" s="1"/>
  <c r="BM182" i="6" s="1"/>
  <c r="AC183" i="6" s="1"/>
  <c r="BM183" i="6" s="1"/>
  <c r="AC184" i="6" s="1"/>
  <c r="BM184" i="6" s="1"/>
  <c r="AC185" i="6" s="1"/>
  <c r="BM185" i="6" s="1"/>
  <c r="AB150" i="6"/>
  <c r="AA150" i="6"/>
  <c r="BK150" i="6" s="1"/>
  <c r="AA151" i="6" s="1"/>
  <c r="BK151" i="6" s="1"/>
  <c r="Z150" i="6"/>
  <c r="BJ150" i="6" s="1"/>
  <c r="Z151" i="6" s="1"/>
  <c r="BJ151" i="6" s="1"/>
  <c r="Z152" i="6" s="1"/>
  <c r="BJ152" i="6" s="1"/>
  <c r="Z153" i="6" s="1"/>
  <c r="BJ153" i="6" s="1"/>
  <c r="Z154" i="6" s="1"/>
  <c r="BJ154" i="6" s="1"/>
  <c r="Z155" i="6" s="1"/>
  <c r="BJ155" i="6" s="1"/>
  <c r="Z156" i="6" s="1"/>
  <c r="BJ156" i="6" s="1"/>
  <c r="Z157" i="6" s="1"/>
  <c r="BJ157" i="6" s="1"/>
  <c r="Z158" i="6" s="1"/>
  <c r="BJ158" i="6" s="1"/>
  <c r="Z159" i="6" s="1"/>
  <c r="BJ159" i="6" s="1"/>
  <c r="Z160" i="6" s="1"/>
  <c r="BJ160" i="6" s="1"/>
  <c r="Z161" i="6" s="1"/>
  <c r="BJ161" i="6" s="1"/>
  <c r="Z162" i="6" s="1"/>
  <c r="BJ162" i="6" s="1"/>
  <c r="Z163" i="6" s="1"/>
  <c r="BJ163" i="6" s="1"/>
  <c r="Z164" i="6" s="1"/>
  <c r="BJ164" i="6" s="1"/>
  <c r="Z165" i="6" s="1"/>
  <c r="BJ165" i="6" s="1"/>
  <c r="Z166" i="6" s="1"/>
  <c r="BJ166" i="6" s="1"/>
  <c r="Z167" i="6" s="1"/>
  <c r="BJ167" i="6" s="1"/>
  <c r="Z168" i="6" s="1"/>
  <c r="BJ168" i="6" s="1"/>
  <c r="Z169" i="6" s="1"/>
  <c r="BJ169" i="6" s="1"/>
  <c r="Z170" i="6" s="1"/>
  <c r="BJ170" i="6" s="1"/>
  <c r="Z171" i="6" s="1"/>
  <c r="BJ171" i="6" s="1"/>
  <c r="Z172" i="6" s="1"/>
  <c r="BJ172" i="6" s="1"/>
  <c r="Z173" i="6" s="1"/>
  <c r="BJ173" i="6" s="1"/>
  <c r="Z174" i="6" s="1"/>
  <c r="BJ174" i="6" s="1"/>
  <c r="Y150" i="6"/>
  <c r="BI150" i="6" s="1"/>
  <c r="Y151" i="6" s="1"/>
  <c r="BI151" i="6" s="1"/>
  <c r="Y152" i="6" s="1"/>
  <c r="BI152" i="6" s="1"/>
  <c r="Y153" i="6" s="1"/>
  <c r="BI153" i="6" s="1"/>
  <c r="X150" i="6"/>
  <c r="BH150" i="6" s="1"/>
  <c r="X151" i="6" s="1"/>
  <c r="BH151" i="6" s="1"/>
  <c r="X152" i="6" s="1"/>
  <c r="BH152" i="6" s="1"/>
  <c r="W150" i="6"/>
  <c r="BG150" i="6" s="1"/>
  <c r="W151" i="6" s="1"/>
  <c r="BG151" i="6" s="1"/>
  <c r="W152" i="6" s="1"/>
  <c r="V150" i="6"/>
  <c r="BF150" i="6" s="1"/>
  <c r="U150" i="6"/>
  <c r="T150" i="6"/>
  <c r="BD150" i="6" s="1"/>
  <c r="T151" i="6" s="1"/>
  <c r="BD151" i="6" s="1"/>
  <c r="T152" i="6" s="1"/>
  <c r="BD152" i="6" s="1"/>
  <c r="S150" i="6"/>
  <c r="BC150" i="6" s="1"/>
  <c r="S151" i="6" s="1"/>
  <c r="BC151" i="6" s="1"/>
  <c r="R150" i="6"/>
  <c r="BB150" i="6" s="1"/>
  <c r="R151" i="6" s="1"/>
  <c r="BB151" i="6" s="1"/>
  <c r="R152" i="6" s="1"/>
  <c r="BB152" i="6" s="1"/>
  <c r="R153" i="6" s="1"/>
  <c r="BB153" i="6" s="1"/>
  <c r="R154" i="6" s="1"/>
  <c r="BB154" i="6" s="1"/>
  <c r="Q150" i="6"/>
  <c r="O150" i="6"/>
  <c r="AY150" i="6" s="1"/>
  <c r="O151" i="6" s="1"/>
  <c r="AY151" i="6" s="1"/>
  <c r="O152" i="6" s="1"/>
  <c r="AY152" i="6" s="1"/>
  <c r="O153" i="6" s="1"/>
  <c r="AY153" i="6" s="1"/>
  <c r="O154" i="6" s="1"/>
  <c r="AY154" i="6" s="1"/>
  <c r="O155" i="6" s="1"/>
  <c r="AY155" i="6" s="1"/>
  <c r="O156" i="6" s="1"/>
  <c r="AY156" i="6" s="1"/>
  <c r="O157" i="6" s="1"/>
  <c r="AY157" i="6" s="1"/>
  <c r="O158" i="6" s="1"/>
  <c r="AY158" i="6" s="1"/>
  <c r="O159" i="6" s="1"/>
  <c r="AY159" i="6" s="1"/>
  <c r="O160" i="6" s="1"/>
  <c r="AY160" i="6" s="1"/>
  <c r="O161" i="6" s="1"/>
  <c r="AY161" i="6" s="1"/>
  <c r="O162" i="6" s="1"/>
  <c r="AY162" i="6" s="1"/>
  <c r="O163" i="6" s="1"/>
  <c r="AY163" i="6" s="1"/>
  <c r="O164" i="6" s="1"/>
  <c r="AY164" i="6" s="1"/>
  <c r="O165" i="6" s="1"/>
  <c r="AY165" i="6" s="1"/>
  <c r="O166" i="6" s="1"/>
  <c r="AY166" i="6" s="1"/>
  <c r="O167" i="6" s="1"/>
  <c r="AY167" i="6" s="1"/>
  <c r="O168" i="6" s="1"/>
  <c r="AY168" i="6" s="1"/>
  <c r="O169" i="6" s="1"/>
  <c r="AY169" i="6" s="1"/>
  <c r="O170" i="6" s="1"/>
  <c r="AY170" i="6" s="1"/>
  <c r="O171" i="6" s="1"/>
  <c r="AY171" i="6" s="1"/>
  <c r="O172" i="6" s="1"/>
  <c r="AY172" i="6" s="1"/>
  <c r="O173" i="6" s="1"/>
  <c r="AY173" i="6" s="1"/>
  <c r="O174" i="6" s="1"/>
  <c r="AY174" i="6" s="1"/>
  <c r="O175" i="6" s="1"/>
  <c r="AY175" i="6" s="1"/>
  <c r="O176" i="6" s="1"/>
  <c r="AY176" i="6" s="1"/>
  <c r="O177" i="6" s="1"/>
  <c r="AY177" i="6" s="1"/>
  <c r="O178" i="6" s="1"/>
  <c r="AY178" i="6" s="1"/>
  <c r="O179" i="6" s="1"/>
  <c r="AY179" i="6" s="1"/>
  <c r="O180" i="6" s="1"/>
  <c r="AY180" i="6" s="1"/>
  <c r="O181" i="6" s="1"/>
  <c r="AY181" i="6" s="1"/>
  <c r="O182" i="6" s="1"/>
  <c r="AY182" i="6" s="1"/>
  <c r="O183" i="6" s="1"/>
  <c r="AY183" i="6" s="1"/>
  <c r="O184" i="6" s="1"/>
  <c r="AY184" i="6" s="1"/>
  <c r="O185" i="6" s="1"/>
  <c r="AY185" i="6" s="1"/>
  <c r="N150" i="6"/>
  <c r="AX150" i="6" s="1"/>
  <c r="N151" i="6" s="1"/>
  <c r="AX151" i="6" s="1"/>
  <c r="N152" i="6" s="1"/>
  <c r="AX152" i="6" s="1"/>
  <c r="N153" i="6" s="1"/>
  <c r="AX153" i="6" s="1"/>
  <c r="N154" i="6" s="1"/>
  <c r="AX154" i="6" s="1"/>
  <c r="N155" i="6" s="1"/>
  <c r="AX155" i="6" s="1"/>
  <c r="N156" i="6" s="1"/>
  <c r="AX156" i="6" s="1"/>
  <c r="M150" i="6"/>
  <c r="AW150" i="6" s="1"/>
  <c r="M151" i="6" s="1"/>
  <c r="AW151" i="6" s="1"/>
  <c r="M152" i="6" s="1"/>
  <c r="L150" i="6"/>
  <c r="I150" i="6"/>
  <c r="H150" i="6"/>
  <c r="G150" i="6"/>
  <c r="AV150" i="6" s="1"/>
  <c r="L151" i="6" s="1"/>
  <c r="AV151" i="6" s="1"/>
  <c r="L152" i="6" s="1"/>
  <c r="F150" i="6"/>
  <c r="AI150" i="6" s="1"/>
  <c r="E150" i="6"/>
  <c r="D150" i="6"/>
  <c r="C150" i="6"/>
  <c r="B150" i="6"/>
  <c r="A150" i="6"/>
  <c r="AO149" i="6"/>
  <c r="AI149" i="6"/>
  <c r="AE149" i="6"/>
  <c r="K149" i="6"/>
  <c r="I149" i="6"/>
  <c r="H149" i="6"/>
  <c r="G149" i="6"/>
  <c r="F149" i="6"/>
  <c r="J149" i="6" s="1"/>
  <c r="E149" i="6"/>
  <c r="D149" i="6"/>
  <c r="C149" i="6"/>
  <c r="B149" i="6"/>
  <c r="A149" i="6"/>
  <c r="AO148" i="6"/>
  <c r="AI148" i="6"/>
  <c r="AE148" i="6"/>
  <c r="K148" i="6"/>
  <c r="H148" i="6"/>
  <c r="G148" i="6"/>
  <c r="F148" i="6"/>
  <c r="E148" i="6"/>
  <c r="D148" i="6"/>
  <c r="C148" i="6"/>
  <c r="B148" i="6"/>
  <c r="A148" i="6"/>
  <c r="AO147" i="6"/>
  <c r="H147" i="6"/>
  <c r="G147" i="6"/>
  <c r="F147" i="6"/>
  <c r="E147" i="6"/>
  <c r="D147" i="6"/>
  <c r="C147" i="6"/>
  <c r="B147" i="6"/>
  <c r="A147" i="6"/>
  <c r="AO146" i="6"/>
  <c r="AI146" i="6"/>
  <c r="K146" i="6"/>
  <c r="I146" i="6"/>
  <c r="H146" i="6"/>
  <c r="G146" i="6"/>
  <c r="F146" i="6"/>
  <c r="AE146" i="6" s="1"/>
  <c r="E146" i="6"/>
  <c r="D146" i="6"/>
  <c r="C146" i="6"/>
  <c r="B146" i="6"/>
  <c r="A146" i="6"/>
  <c r="AO145" i="6"/>
  <c r="H145" i="6"/>
  <c r="G145" i="6"/>
  <c r="F145" i="6"/>
  <c r="E145" i="6"/>
  <c r="D145" i="6"/>
  <c r="C145" i="6"/>
  <c r="B145" i="6"/>
  <c r="A145" i="6"/>
  <c r="AO144" i="6"/>
  <c r="AI144" i="6"/>
  <c r="K144" i="6"/>
  <c r="J144" i="6"/>
  <c r="H144" i="6"/>
  <c r="G144" i="6"/>
  <c r="F144" i="6"/>
  <c r="E144" i="6"/>
  <c r="D144" i="6"/>
  <c r="C144" i="6"/>
  <c r="B144" i="6"/>
  <c r="A144" i="6"/>
  <c r="AO143" i="6"/>
  <c r="H143" i="6"/>
  <c r="G143" i="6"/>
  <c r="F143" i="6"/>
  <c r="E143" i="6"/>
  <c r="D143" i="6"/>
  <c r="C143" i="6"/>
  <c r="B143" i="6"/>
  <c r="A143" i="6"/>
  <c r="AO142" i="6"/>
  <c r="J142" i="6"/>
  <c r="H142" i="6"/>
  <c r="G142" i="6"/>
  <c r="F142" i="6"/>
  <c r="AI142" i="6" s="1"/>
  <c r="E142" i="6"/>
  <c r="D142" i="6"/>
  <c r="C142" i="6"/>
  <c r="B142" i="6"/>
  <c r="A142" i="6"/>
  <c r="AO141" i="6"/>
  <c r="AE141" i="6"/>
  <c r="K141" i="6"/>
  <c r="J141" i="6"/>
  <c r="I141" i="6"/>
  <c r="H141" i="6"/>
  <c r="G141" i="6"/>
  <c r="AI141" i="6" s="1"/>
  <c r="F141" i="6"/>
  <c r="E141" i="6"/>
  <c r="D141" i="6"/>
  <c r="C141" i="6"/>
  <c r="B141" i="6"/>
  <c r="A141" i="6"/>
  <c r="AO140" i="6"/>
  <c r="AE140" i="6"/>
  <c r="J140" i="6"/>
  <c r="H140" i="6"/>
  <c r="G140" i="6"/>
  <c r="F140" i="6"/>
  <c r="AI140" i="6" s="1"/>
  <c r="E140" i="6"/>
  <c r="D140" i="6"/>
  <c r="C140" i="6"/>
  <c r="B140" i="6"/>
  <c r="A140" i="6"/>
  <c r="AO139" i="6"/>
  <c r="AE139" i="6"/>
  <c r="K139" i="6"/>
  <c r="J139" i="6"/>
  <c r="I139" i="6"/>
  <c r="H139" i="6"/>
  <c r="G139" i="6"/>
  <c r="AI139" i="6" s="1"/>
  <c r="F139" i="6"/>
  <c r="E139" i="6"/>
  <c r="D139" i="6"/>
  <c r="C139" i="6"/>
  <c r="B139" i="6"/>
  <c r="A139" i="6"/>
  <c r="AO138" i="6"/>
  <c r="AE138" i="6"/>
  <c r="I138" i="6"/>
  <c r="H138" i="6"/>
  <c r="G138" i="6"/>
  <c r="F138" i="6"/>
  <c r="E138" i="6"/>
  <c r="D138" i="6"/>
  <c r="C138" i="6"/>
  <c r="B138" i="6"/>
  <c r="A138" i="6"/>
  <c r="AO137" i="6"/>
  <c r="AI137" i="6"/>
  <c r="AE137" i="6"/>
  <c r="K137" i="6"/>
  <c r="I137" i="6"/>
  <c r="H137" i="6"/>
  <c r="G137" i="6"/>
  <c r="F137" i="6"/>
  <c r="J137" i="6" s="1"/>
  <c r="E137" i="6"/>
  <c r="D137" i="6"/>
  <c r="C137" i="6"/>
  <c r="B137" i="6"/>
  <c r="A137" i="6"/>
  <c r="AT136" i="6"/>
  <c r="AE136" i="6"/>
  <c r="K136" i="6"/>
  <c r="I136" i="6"/>
  <c r="H136" i="6"/>
  <c r="G136" i="6"/>
  <c r="F136" i="6"/>
  <c r="E136" i="6"/>
  <c r="D136" i="6"/>
  <c r="C136" i="6"/>
  <c r="B136" i="6"/>
  <c r="A136" i="6"/>
  <c r="AT135" i="6"/>
  <c r="AO135" i="6"/>
  <c r="H135" i="6"/>
  <c r="G135" i="6"/>
  <c r="F135" i="6"/>
  <c r="E135" i="6"/>
  <c r="D135" i="6"/>
  <c r="C135" i="6"/>
  <c r="B135" i="6"/>
  <c r="A135" i="6"/>
  <c r="AT134" i="6"/>
  <c r="AO134" i="6"/>
  <c r="AI134" i="6"/>
  <c r="K134" i="6"/>
  <c r="I134" i="6"/>
  <c r="H134" i="6"/>
  <c r="G134" i="6"/>
  <c r="F134" i="6"/>
  <c r="AE134" i="6" s="1"/>
  <c r="E134" i="6"/>
  <c r="D134" i="6"/>
  <c r="C134" i="6"/>
  <c r="B134" i="6"/>
  <c r="A134" i="6"/>
  <c r="AT133" i="6"/>
  <c r="AO133" i="6"/>
  <c r="K133" i="6"/>
  <c r="H133" i="6"/>
  <c r="G133" i="6"/>
  <c r="F133" i="6"/>
  <c r="E133" i="6"/>
  <c r="D133" i="6"/>
  <c r="C133" i="6"/>
  <c r="B133" i="6"/>
  <c r="A133" i="6"/>
  <c r="AT132" i="6"/>
  <c r="AO132" i="6"/>
  <c r="K132" i="6"/>
  <c r="H132" i="6"/>
  <c r="G132" i="6"/>
  <c r="F132" i="6"/>
  <c r="E132" i="6"/>
  <c r="D132" i="6"/>
  <c r="C132" i="6"/>
  <c r="B132" i="6"/>
  <c r="A132" i="6"/>
  <c r="AT131" i="6"/>
  <c r="AO131" i="6"/>
  <c r="AF131" i="6"/>
  <c r="H131" i="6"/>
  <c r="G131" i="6"/>
  <c r="F131" i="6"/>
  <c r="J131" i="6" s="1"/>
  <c r="E131" i="6"/>
  <c r="D131" i="6"/>
  <c r="C131" i="6"/>
  <c r="B131" i="6"/>
  <c r="A131" i="6"/>
  <c r="AT130" i="6"/>
  <c r="J130" i="6"/>
  <c r="H130" i="6"/>
  <c r="G130" i="6"/>
  <c r="F130" i="6"/>
  <c r="AI130" i="6" s="1"/>
  <c r="E130" i="6"/>
  <c r="D130" i="6"/>
  <c r="C130" i="6"/>
  <c r="B130" i="6"/>
  <c r="A130" i="6"/>
  <c r="AT129" i="6"/>
  <c r="AO129" i="6"/>
  <c r="AF129" i="6"/>
  <c r="AE129" i="6"/>
  <c r="K129" i="6"/>
  <c r="J129" i="6"/>
  <c r="I129" i="6"/>
  <c r="H129" i="6"/>
  <c r="G129" i="6"/>
  <c r="F129" i="6"/>
  <c r="E129" i="6"/>
  <c r="D129" i="6"/>
  <c r="C129" i="6"/>
  <c r="B129" i="6"/>
  <c r="A129" i="6"/>
  <c r="AT128" i="6"/>
  <c r="AO128" i="6"/>
  <c r="AF128" i="6"/>
  <c r="AE128" i="6"/>
  <c r="J128" i="6"/>
  <c r="H128" i="6"/>
  <c r="G128" i="6"/>
  <c r="F128" i="6"/>
  <c r="E128" i="6"/>
  <c r="D128" i="6"/>
  <c r="C128" i="6"/>
  <c r="B128" i="6"/>
  <c r="A128" i="6"/>
  <c r="AT127" i="6"/>
  <c r="AO127" i="6"/>
  <c r="AF127" i="6"/>
  <c r="AE127" i="6"/>
  <c r="K127" i="6"/>
  <c r="J127" i="6"/>
  <c r="I127" i="6"/>
  <c r="H127" i="6"/>
  <c r="G127" i="6"/>
  <c r="AI127" i="6" s="1"/>
  <c r="F127" i="6"/>
  <c r="E127" i="6"/>
  <c r="D127" i="6"/>
  <c r="C127" i="6"/>
  <c r="B127" i="6"/>
  <c r="A127" i="6"/>
  <c r="AT126" i="6"/>
  <c r="AO126" i="6"/>
  <c r="AE126" i="6"/>
  <c r="I126" i="6"/>
  <c r="H126" i="6"/>
  <c r="G126" i="6"/>
  <c r="F126" i="6"/>
  <c r="E126" i="6"/>
  <c r="D126" i="6"/>
  <c r="C126" i="6"/>
  <c r="B126" i="6"/>
  <c r="A126" i="6"/>
  <c r="AT125" i="6"/>
  <c r="AE125" i="6"/>
  <c r="K125" i="6"/>
  <c r="I125" i="6"/>
  <c r="H125" i="6"/>
  <c r="G125" i="6"/>
  <c r="AI125" i="6" s="1"/>
  <c r="F125" i="6"/>
  <c r="E125" i="6"/>
  <c r="D125" i="6"/>
  <c r="C125" i="6"/>
  <c r="B125" i="6"/>
  <c r="A125" i="6"/>
  <c r="AT124" i="6"/>
  <c r="AI124" i="6"/>
  <c r="R124" i="6"/>
  <c r="BB124" i="6" s="1"/>
  <c r="R125" i="6" s="1"/>
  <c r="BB125" i="6" s="1"/>
  <c r="R126" i="6" s="1"/>
  <c r="BB126" i="6" s="1"/>
  <c r="R127" i="6" s="1"/>
  <c r="BB127" i="6" s="1"/>
  <c r="R128" i="6" s="1"/>
  <c r="BB128" i="6" s="1"/>
  <c r="R129" i="6" s="1"/>
  <c r="BB129" i="6" s="1"/>
  <c r="R130" i="6" s="1"/>
  <c r="BB130" i="6" s="1"/>
  <c r="R131" i="6" s="1"/>
  <c r="BB131" i="6" s="1"/>
  <c r="R132" i="6" s="1"/>
  <c r="BB132" i="6" s="1"/>
  <c r="R133" i="6" s="1"/>
  <c r="BB133" i="6" s="1"/>
  <c r="R134" i="6" s="1"/>
  <c r="BB134" i="6" s="1"/>
  <c r="R135" i="6" s="1"/>
  <c r="BB135" i="6" s="1"/>
  <c r="R136" i="6" s="1"/>
  <c r="BB136" i="6" s="1"/>
  <c r="R137" i="6" s="1"/>
  <c r="BB137" i="6" s="1"/>
  <c r="R138" i="6" s="1"/>
  <c r="BB138" i="6" s="1"/>
  <c r="R139" i="6" s="1"/>
  <c r="BB139" i="6" s="1"/>
  <c r="R140" i="6" s="1"/>
  <c r="BB140" i="6" s="1"/>
  <c r="R141" i="6" s="1"/>
  <c r="BB141" i="6" s="1"/>
  <c r="R142" i="6" s="1"/>
  <c r="BB142" i="6" s="1"/>
  <c r="R143" i="6" s="1"/>
  <c r="BB143" i="6" s="1"/>
  <c r="R144" i="6" s="1"/>
  <c r="BB144" i="6" s="1"/>
  <c r="R145" i="6" s="1"/>
  <c r="BB145" i="6" s="1"/>
  <c r="R146" i="6" s="1"/>
  <c r="BB146" i="6" s="1"/>
  <c r="R147" i="6" s="1"/>
  <c r="BB147" i="6" s="1"/>
  <c r="R148" i="6" s="1"/>
  <c r="BB148" i="6" s="1"/>
  <c r="R149" i="6" s="1"/>
  <c r="BB149" i="6" s="1"/>
  <c r="K124" i="6"/>
  <c r="H124" i="6"/>
  <c r="G124" i="6"/>
  <c r="F124" i="6"/>
  <c r="E124" i="6"/>
  <c r="D124" i="6"/>
  <c r="C124" i="6"/>
  <c r="B124" i="6"/>
  <c r="A124" i="6"/>
  <c r="AT123" i="6"/>
  <c r="AO123" i="6"/>
  <c r="I123" i="6"/>
  <c r="H123" i="6"/>
  <c r="AF123" i="6" s="1"/>
  <c r="G123" i="6"/>
  <c r="F123" i="6"/>
  <c r="E123" i="6"/>
  <c r="D123" i="6"/>
  <c r="C123" i="6"/>
  <c r="B123" i="6"/>
  <c r="A123" i="6"/>
  <c r="BI122" i="6"/>
  <c r="Y123" i="6" s="1"/>
  <c r="BI123" i="6" s="1"/>
  <c r="Y124" i="6" s="1"/>
  <c r="BI124" i="6" s="1"/>
  <c r="Y125" i="6" s="1"/>
  <c r="BI125" i="6" s="1"/>
  <c r="Y126" i="6" s="1"/>
  <c r="BI126" i="6" s="1"/>
  <c r="Y127" i="6" s="1"/>
  <c r="BI127" i="6" s="1"/>
  <c r="Y128" i="6" s="1"/>
  <c r="BI128" i="6" s="1"/>
  <c r="Y129" i="6" s="1"/>
  <c r="BI129" i="6" s="1"/>
  <c r="Y130" i="6" s="1"/>
  <c r="BI130" i="6" s="1"/>
  <c r="Y131" i="6" s="1"/>
  <c r="BI131" i="6" s="1"/>
  <c r="Y132" i="6" s="1"/>
  <c r="BI132" i="6" s="1"/>
  <c r="Y133" i="6" s="1"/>
  <c r="BI133" i="6" s="1"/>
  <c r="Y134" i="6" s="1"/>
  <c r="BI134" i="6" s="1"/>
  <c r="Y135" i="6" s="1"/>
  <c r="BI135" i="6" s="1"/>
  <c r="Y136" i="6" s="1"/>
  <c r="BI136" i="6" s="1"/>
  <c r="Y137" i="6" s="1"/>
  <c r="BI137" i="6" s="1"/>
  <c r="Y138" i="6" s="1"/>
  <c r="BI138" i="6" s="1"/>
  <c r="Y139" i="6" s="1"/>
  <c r="BI139" i="6" s="1"/>
  <c r="Y140" i="6" s="1"/>
  <c r="BI140" i="6" s="1"/>
  <c r="Y141" i="6" s="1"/>
  <c r="BI141" i="6" s="1"/>
  <c r="Y142" i="6" s="1"/>
  <c r="BI142" i="6" s="1"/>
  <c r="Y143" i="6" s="1"/>
  <c r="BI143" i="6" s="1"/>
  <c r="Y144" i="6" s="1"/>
  <c r="BI144" i="6" s="1"/>
  <c r="Y145" i="6" s="1"/>
  <c r="BI145" i="6" s="1"/>
  <c r="Y146" i="6" s="1"/>
  <c r="BI146" i="6" s="1"/>
  <c r="Y147" i="6" s="1"/>
  <c r="BI147" i="6" s="1"/>
  <c r="Y148" i="6" s="1"/>
  <c r="BI148" i="6" s="1"/>
  <c r="Y149" i="6" s="1"/>
  <c r="BI149" i="6" s="1"/>
  <c r="AT122" i="6"/>
  <c r="AO122" i="6"/>
  <c r="AI122" i="6"/>
  <c r="K122" i="6"/>
  <c r="I122" i="6"/>
  <c r="H122" i="6"/>
  <c r="G122" i="6"/>
  <c r="F122" i="6"/>
  <c r="AE122" i="6" s="1"/>
  <c r="E122" i="6"/>
  <c r="D122" i="6"/>
  <c r="C122" i="6"/>
  <c r="B122" i="6"/>
  <c r="A122" i="6"/>
  <c r="AT121" i="6"/>
  <c r="AO121" i="6"/>
  <c r="AI121" i="6"/>
  <c r="AF121" i="6"/>
  <c r="K121" i="6"/>
  <c r="H121" i="6"/>
  <c r="G121" i="6"/>
  <c r="F121" i="6"/>
  <c r="E121" i="6"/>
  <c r="D121" i="6"/>
  <c r="C121" i="6"/>
  <c r="B121" i="6"/>
  <c r="A121" i="6"/>
  <c r="AT120" i="6"/>
  <c r="AO120" i="6"/>
  <c r="AI120" i="6"/>
  <c r="K120" i="6"/>
  <c r="J120" i="6"/>
  <c r="H120" i="6"/>
  <c r="AF120" i="6" s="1"/>
  <c r="G120" i="6"/>
  <c r="F120" i="6"/>
  <c r="E120" i="6"/>
  <c r="D120" i="6"/>
  <c r="C120" i="6"/>
  <c r="B120" i="6"/>
  <c r="A120" i="6"/>
  <c r="AT119" i="6"/>
  <c r="H119" i="6"/>
  <c r="G119" i="6"/>
  <c r="F119" i="6"/>
  <c r="E119" i="6"/>
  <c r="D119" i="6"/>
  <c r="C119" i="6"/>
  <c r="B119" i="6"/>
  <c r="A119" i="6"/>
  <c r="BM118" i="6"/>
  <c r="AC119" i="6" s="1"/>
  <c r="BM119" i="6" s="1"/>
  <c r="AC120" i="6" s="1"/>
  <c r="BM120" i="6" s="1"/>
  <c r="AC121" i="6" s="1"/>
  <c r="BM121" i="6" s="1"/>
  <c r="AC122" i="6" s="1"/>
  <c r="BM122" i="6" s="1"/>
  <c r="AC123" i="6" s="1"/>
  <c r="BM123" i="6" s="1"/>
  <c r="AC124" i="6" s="1"/>
  <c r="BM124" i="6" s="1"/>
  <c r="AC125" i="6" s="1"/>
  <c r="BM125" i="6" s="1"/>
  <c r="AC126" i="6" s="1"/>
  <c r="BM126" i="6" s="1"/>
  <c r="AC127" i="6" s="1"/>
  <c r="BM127" i="6" s="1"/>
  <c r="AC128" i="6" s="1"/>
  <c r="BM128" i="6" s="1"/>
  <c r="AC129" i="6" s="1"/>
  <c r="BM129" i="6" s="1"/>
  <c r="AC130" i="6" s="1"/>
  <c r="BM130" i="6" s="1"/>
  <c r="AC131" i="6" s="1"/>
  <c r="BM131" i="6" s="1"/>
  <c r="AC132" i="6" s="1"/>
  <c r="BM132" i="6" s="1"/>
  <c r="AC133" i="6" s="1"/>
  <c r="BM133" i="6" s="1"/>
  <c r="AC134" i="6" s="1"/>
  <c r="BM134" i="6" s="1"/>
  <c r="AC135" i="6" s="1"/>
  <c r="BM135" i="6" s="1"/>
  <c r="AC136" i="6" s="1"/>
  <c r="BM136" i="6" s="1"/>
  <c r="AC137" i="6" s="1"/>
  <c r="BM137" i="6" s="1"/>
  <c r="AC138" i="6" s="1"/>
  <c r="BM138" i="6" s="1"/>
  <c r="AC139" i="6" s="1"/>
  <c r="BM139" i="6" s="1"/>
  <c r="AC140" i="6" s="1"/>
  <c r="BM140" i="6" s="1"/>
  <c r="AC141" i="6" s="1"/>
  <c r="BM141" i="6" s="1"/>
  <c r="AC142" i="6" s="1"/>
  <c r="BM142" i="6" s="1"/>
  <c r="AC143" i="6" s="1"/>
  <c r="BM143" i="6" s="1"/>
  <c r="AC144" i="6" s="1"/>
  <c r="BM144" i="6" s="1"/>
  <c r="AC145" i="6" s="1"/>
  <c r="BM145" i="6" s="1"/>
  <c r="AC146" i="6" s="1"/>
  <c r="BM146" i="6" s="1"/>
  <c r="AC147" i="6" s="1"/>
  <c r="BM147" i="6" s="1"/>
  <c r="AC148" i="6" s="1"/>
  <c r="BM148" i="6" s="1"/>
  <c r="AC149" i="6" s="1"/>
  <c r="BM149" i="6" s="1"/>
  <c r="AT118" i="6"/>
  <c r="X118" i="6"/>
  <c r="BH118" i="6" s="1"/>
  <c r="X119" i="6" s="1"/>
  <c r="BH119" i="6" s="1"/>
  <c r="X120" i="6" s="1"/>
  <c r="BH120" i="6" s="1"/>
  <c r="X121" i="6" s="1"/>
  <c r="BH121" i="6" s="1"/>
  <c r="X122" i="6" s="1"/>
  <c r="BH122" i="6" s="1"/>
  <c r="X123" i="6" s="1"/>
  <c r="BH123" i="6" s="1"/>
  <c r="X124" i="6" s="1"/>
  <c r="BH124" i="6" s="1"/>
  <c r="X125" i="6" s="1"/>
  <c r="BH125" i="6" s="1"/>
  <c r="X126" i="6" s="1"/>
  <c r="BH126" i="6" s="1"/>
  <c r="X127" i="6" s="1"/>
  <c r="BH127" i="6" s="1"/>
  <c r="X128" i="6" s="1"/>
  <c r="BH128" i="6" s="1"/>
  <c r="X129" i="6" s="1"/>
  <c r="BH129" i="6" s="1"/>
  <c r="X130" i="6" s="1"/>
  <c r="BH130" i="6" s="1"/>
  <c r="X131" i="6" s="1"/>
  <c r="BH131" i="6" s="1"/>
  <c r="X132" i="6" s="1"/>
  <c r="BH132" i="6" s="1"/>
  <c r="X133" i="6" s="1"/>
  <c r="BH133" i="6" s="1"/>
  <c r="X134" i="6" s="1"/>
  <c r="BH134" i="6" s="1"/>
  <c r="X135" i="6" s="1"/>
  <c r="BH135" i="6" s="1"/>
  <c r="X136" i="6" s="1"/>
  <c r="BH136" i="6" s="1"/>
  <c r="X137" i="6" s="1"/>
  <c r="BH137" i="6" s="1"/>
  <c r="X138" i="6" s="1"/>
  <c r="BH138" i="6" s="1"/>
  <c r="X139" i="6" s="1"/>
  <c r="BH139" i="6" s="1"/>
  <c r="X140" i="6" s="1"/>
  <c r="BH140" i="6" s="1"/>
  <c r="X141" i="6" s="1"/>
  <c r="BH141" i="6" s="1"/>
  <c r="X142" i="6" s="1"/>
  <c r="BH142" i="6" s="1"/>
  <c r="X143" i="6" s="1"/>
  <c r="BH143" i="6" s="1"/>
  <c r="X144" i="6" s="1"/>
  <c r="BH144" i="6" s="1"/>
  <c r="X145" i="6" s="1"/>
  <c r="BH145" i="6" s="1"/>
  <c r="X146" i="6" s="1"/>
  <c r="BH146" i="6" s="1"/>
  <c r="X147" i="6" s="1"/>
  <c r="BH147" i="6" s="1"/>
  <c r="X148" i="6" s="1"/>
  <c r="BH148" i="6" s="1"/>
  <c r="X149" i="6" s="1"/>
  <c r="BH149" i="6" s="1"/>
  <c r="J118" i="6"/>
  <c r="H118" i="6"/>
  <c r="G118" i="6"/>
  <c r="F118" i="6"/>
  <c r="AI118" i="6" s="1"/>
  <c r="E118" i="6"/>
  <c r="D118" i="6"/>
  <c r="C118" i="6"/>
  <c r="B118" i="6"/>
  <c r="A118" i="6"/>
  <c r="AT117" i="6"/>
  <c r="AO117" i="6"/>
  <c r="AE117" i="6"/>
  <c r="T117" i="6"/>
  <c r="BD117" i="6" s="1"/>
  <c r="T118" i="6" s="1"/>
  <c r="K117" i="6"/>
  <c r="J117" i="6"/>
  <c r="I117" i="6"/>
  <c r="H117" i="6"/>
  <c r="G117" i="6"/>
  <c r="AI117" i="6" s="1"/>
  <c r="F117" i="6"/>
  <c r="E117" i="6"/>
  <c r="D117" i="6"/>
  <c r="C117" i="6"/>
  <c r="B117" i="6"/>
  <c r="A117" i="6"/>
  <c r="AT116" i="6"/>
  <c r="AO116" i="6"/>
  <c r="AF116" i="6"/>
  <c r="AE116" i="6"/>
  <c r="AB116" i="6"/>
  <c r="BL116" i="6" s="1"/>
  <c r="AB117" i="6" s="1"/>
  <c r="BL117" i="6" s="1"/>
  <c r="AB118" i="6" s="1"/>
  <c r="BL118" i="6" s="1"/>
  <c r="AB119" i="6" s="1"/>
  <c r="BL119" i="6" s="1"/>
  <c r="AB120" i="6" s="1"/>
  <c r="BL120" i="6" s="1"/>
  <c r="AB121" i="6" s="1"/>
  <c r="BL121" i="6" s="1"/>
  <c r="AB122" i="6" s="1"/>
  <c r="BL122" i="6" s="1"/>
  <c r="AB123" i="6" s="1"/>
  <c r="BL123" i="6" s="1"/>
  <c r="AB124" i="6" s="1"/>
  <c r="BL124" i="6" s="1"/>
  <c r="AB125" i="6" s="1"/>
  <c r="BL125" i="6" s="1"/>
  <c r="AB126" i="6" s="1"/>
  <c r="BL126" i="6" s="1"/>
  <c r="AB127" i="6" s="1"/>
  <c r="BL127" i="6" s="1"/>
  <c r="AB128" i="6" s="1"/>
  <c r="BL128" i="6" s="1"/>
  <c r="AB129" i="6" s="1"/>
  <c r="BL129" i="6" s="1"/>
  <c r="AB130" i="6" s="1"/>
  <c r="BL130" i="6" s="1"/>
  <c r="AB131" i="6" s="1"/>
  <c r="BL131" i="6" s="1"/>
  <c r="AB132" i="6" s="1"/>
  <c r="BL132" i="6" s="1"/>
  <c r="AB133" i="6" s="1"/>
  <c r="BL133" i="6" s="1"/>
  <c r="AB134" i="6" s="1"/>
  <c r="BL134" i="6" s="1"/>
  <c r="AB135" i="6" s="1"/>
  <c r="BL135" i="6" s="1"/>
  <c r="AB136" i="6" s="1"/>
  <c r="BL136" i="6" s="1"/>
  <c r="AB137" i="6" s="1"/>
  <c r="BL137" i="6" s="1"/>
  <c r="AB138" i="6" s="1"/>
  <c r="BL138" i="6" s="1"/>
  <c r="AB139" i="6" s="1"/>
  <c r="BL139" i="6" s="1"/>
  <c r="AB140" i="6" s="1"/>
  <c r="BL140" i="6" s="1"/>
  <c r="AB141" i="6" s="1"/>
  <c r="BL141" i="6" s="1"/>
  <c r="AB142" i="6" s="1"/>
  <c r="BL142" i="6" s="1"/>
  <c r="AB143" i="6" s="1"/>
  <c r="BL143" i="6" s="1"/>
  <c r="AB144" i="6" s="1"/>
  <c r="BL144" i="6" s="1"/>
  <c r="AB145" i="6" s="1"/>
  <c r="BL145" i="6" s="1"/>
  <c r="AB146" i="6" s="1"/>
  <c r="BL146" i="6" s="1"/>
  <c r="AB147" i="6" s="1"/>
  <c r="BL147" i="6" s="1"/>
  <c r="AB148" i="6" s="1"/>
  <c r="BL148" i="6" s="1"/>
  <c r="AB149" i="6" s="1"/>
  <c r="BL149" i="6" s="1"/>
  <c r="J116" i="6"/>
  <c r="H116" i="6"/>
  <c r="G116" i="6"/>
  <c r="F116" i="6"/>
  <c r="E116" i="6"/>
  <c r="D116" i="6"/>
  <c r="C116" i="6"/>
  <c r="B116" i="6"/>
  <c r="A116" i="6"/>
  <c r="BE115" i="6"/>
  <c r="AT115" i="6"/>
  <c r="AO115" i="6"/>
  <c r="AI115" i="6"/>
  <c r="AF115" i="6"/>
  <c r="AE115" i="6"/>
  <c r="U115" i="6"/>
  <c r="S115" i="6"/>
  <c r="BC115" i="6" s="1"/>
  <c r="S116" i="6" s="1"/>
  <c r="BC116" i="6" s="1"/>
  <c r="S117" i="6" s="1"/>
  <c r="BC117" i="6" s="1"/>
  <c r="S118" i="6" s="1"/>
  <c r="BC118" i="6" s="1"/>
  <c r="S119" i="6" s="1"/>
  <c r="BC119" i="6" s="1"/>
  <c r="S120" i="6" s="1"/>
  <c r="BC120" i="6" s="1"/>
  <c r="S121" i="6" s="1"/>
  <c r="BC121" i="6" s="1"/>
  <c r="S122" i="6" s="1"/>
  <c r="BC122" i="6" s="1"/>
  <c r="S123" i="6" s="1"/>
  <c r="BC123" i="6" s="1"/>
  <c r="S124" i="6" s="1"/>
  <c r="BC124" i="6" s="1"/>
  <c r="S125" i="6" s="1"/>
  <c r="BC125" i="6" s="1"/>
  <c r="S126" i="6" s="1"/>
  <c r="BC126" i="6" s="1"/>
  <c r="S127" i="6" s="1"/>
  <c r="BC127" i="6" s="1"/>
  <c r="S128" i="6" s="1"/>
  <c r="BC128" i="6" s="1"/>
  <c r="S129" i="6" s="1"/>
  <c r="BC129" i="6" s="1"/>
  <c r="S130" i="6" s="1"/>
  <c r="BC130" i="6" s="1"/>
  <c r="S131" i="6" s="1"/>
  <c r="BC131" i="6" s="1"/>
  <c r="S132" i="6" s="1"/>
  <c r="BC132" i="6" s="1"/>
  <c r="S133" i="6" s="1"/>
  <c r="BC133" i="6" s="1"/>
  <c r="S134" i="6" s="1"/>
  <c r="BC134" i="6" s="1"/>
  <c r="S135" i="6" s="1"/>
  <c r="BC135" i="6" s="1"/>
  <c r="S136" i="6" s="1"/>
  <c r="BC136" i="6" s="1"/>
  <c r="S137" i="6" s="1"/>
  <c r="BC137" i="6" s="1"/>
  <c r="S138" i="6" s="1"/>
  <c r="BC138" i="6" s="1"/>
  <c r="S139" i="6" s="1"/>
  <c r="BC139" i="6" s="1"/>
  <c r="S140" i="6" s="1"/>
  <c r="BC140" i="6" s="1"/>
  <c r="S141" i="6" s="1"/>
  <c r="BC141" i="6" s="1"/>
  <c r="S142" i="6" s="1"/>
  <c r="BC142" i="6" s="1"/>
  <c r="S143" i="6" s="1"/>
  <c r="BC143" i="6" s="1"/>
  <c r="S144" i="6" s="1"/>
  <c r="BC144" i="6" s="1"/>
  <c r="S145" i="6" s="1"/>
  <c r="BC145" i="6" s="1"/>
  <c r="S146" i="6" s="1"/>
  <c r="BC146" i="6" s="1"/>
  <c r="S147" i="6" s="1"/>
  <c r="BC147" i="6" s="1"/>
  <c r="S148" i="6" s="1"/>
  <c r="BC148" i="6" s="1"/>
  <c r="S149" i="6" s="1"/>
  <c r="BC149" i="6" s="1"/>
  <c r="K115" i="6"/>
  <c r="J115" i="6"/>
  <c r="I115" i="6"/>
  <c r="H115" i="6"/>
  <c r="G115" i="6"/>
  <c r="F115" i="6"/>
  <c r="E115" i="6"/>
  <c r="D115" i="6"/>
  <c r="C115" i="6"/>
  <c r="B115" i="6"/>
  <c r="A115" i="6"/>
  <c r="BO114" i="6"/>
  <c r="BN115" i="6" s="1"/>
  <c r="BO115" i="6" s="1"/>
  <c r="BN116" i="6" s="1"/>
  <c r="BO116" i="6" s="1"/>
  <c r="BN117" i="6" s="1"/>
  <c r="BO117" i="6" s="1"/>
  <c r="BN118" i="6" s="1"/>
  <c r="BO118" i="6" s="1"/>
  <c r="BN119" i="6" s="1"/>
  <c r="BO119" i="6" s="1"/>
  <c r="BN120" i="6" s="1"/>
  <c r="BN114" i="6"/>
  <c r="BL114" i="6"/>
  <c r="AB115" i="6" s="1"/>
  <c r="BL115" i="6" s="1"/>
  <c r="BE114" i="6"/>
  <c r="BC114" i="6"/>
  <c r="BB114" i="6"/>
  <c r="R115" i="6" s="1"/>
  <c r="BB115" i="6" s="1"/>
  <c r="R116" i="6" s="1"/>
  <c r="BB116" i="6" s="1"/>
  <c r="R117" i="6" s="1"/>
  <c r="BB117" i="6" s="1"/>
  <c r="R118" i="6" s="1"/>
  <c r="BB118" i="6" s="1"/>
  <c r="R119" i="6" s="1"/>
  <c r="BB119" i="6" s="1"/>
  <c r="R120" i="6" s="1"/>
  <c r="BB120" i="6" s="1"/>
  <c r="R121" i="6" s="1"/>
  <c r="BB121" i="6" s="1"/>
  <c r="R122" i="6" s="1"/>
  <c r="BB122" i="6" s="1"/>
  <c r="R123" i="6" s="1"/>
  <c r="BB123" i="6" s="1"/>
  <c r="BA114" i="6"/>
  <c r="Q115" i="6" s="1"/>
  <c r="AV114" i="6"/>
  <c r="L115" i="6" s="1"/>
  <c r="AT114" i="6"/>
  <c r="AP114" i="6"/>
  <c r="AO114" i="6"/>
  <c r="AF114" i="6"/>
  <c r="AC114" i="6"/>
  <c r="BM114" i="6" s="1"/>
  <c r="AC115" i="6" s="1"/>
  <c r="BM115" i="6" s="1"/>
  <c r="AC116" i="6" s="1"/>
  <c r="BM116" i="6" s="1"/>
  <c r="AC117" i="6" s="1"/>
  <c r="BM117" i="6" s="1"/>
  <c r="AC118" i="6" s="1"/>
  <c r="AB114" i="6"/>
  <c r="AA114" i="6"/>
  <c r="BK114" i="6" s="1"/>
  <c r="AA115" i="6" s="1"/>
  <c r="BK115" i="6" s="1"/>
  <c r="AA116" i="6" s="1"/>
  <c r="BK116" i="6" s="1"/>
  <c r="AA117" i="6" s="1"/>
  <c r="BK117" i="6" s="1"/>
  <c r="AA118" i="6" s="1"/>
  <c r="BK118" i="6" s="1"/>
  <c r="AA119" i="6" s="1"/>
  <c r="BK119" i="6" s="1"/>
  <c r="AA120" i="6" s="1"/>
  <c r="BK120" i="6" s="1"/>
  <c r="AA121" i="6" s="1"/>
  <c r="BK121" i="6" s="1"/>
  <c r="AA122" i="6" s="1"/>
  <c r="BK122" i="6" s="1"/>
  <c r="AA123" i="6" s="1"/>
  <c r="BK123" i="6" s="1"/>
  <c r="AA124" i="6" s="1"/>
  <c r="BK124" i="6" s="1"/>
  <c r="AA125" i="6" s="1"/>
  <c r="BK125" i="6" s="1"/>
  <c r="AA126" i="6" s="1"/>
  <c r="BK126" i="6" s="1"/>
  <c r="AA127" i="6" s="1"/>
  <c r="BK127" i="6" s="1"/>
  <c r="AA128" i="6" s="1"/>
  <c r="BK128" i="6" s="1"/>
  <c r="AA129" i="6" s="1"/>
  <c r="BK129" i="6" s="1"/>
  <c r="AA130" i="6" s="1"/>
  <c r="BK130" i="6" s="1"/>
  <c r="AA131" i="6" s="1"/>
  <c r="BK131" i="6" s="1"/>
  <c r="AA132" i="6" s="1"/>
  <c r="BK132" i="6" s="1"/>
  <c r="AA133" i="6" s="1"/>
  <c r="BK133" i="6" s="1"/>
  <c r="AA134" i="6" s="1"/>
  <c r="BK134" i="6" s="1"/>
  <c r="AA135" i="6" s="1"/>
  <c r="BK135" i="6" s="1"/>
  <c r="AA136" i="6" s="1"/>
  <c r="BK136" i="6" s="1"/>
  <c r="AA137" i="6" s="1"/>
  <c r="BK137" i="6" s="1"/>
  <c r="AA138" i="6" s="1"/>
  <c r="BK138" i="6" s="1"/>
  <c r="AA139" i="6" s="1"/>
  <c r="BK139" i="6" s="1"/>
  <c r="AA140" i="6" s="1"/>
  <c r="BK140" i="6" s="1"/>
  <c r="AA141" i="6" s="1"/>
  <c r="BK141" i="6" s="1"/>
  <c r="AA142" i="6" s="1"/>
  <c r="BK142" i="6" s="1"/>
  <c r="AA143" i="6" s="1"/>
  <c r="BK143" i="6" s="1"/>
  <c r="AA144" i="6" s="1"/>
  <c r="BK144" i="6" s="1"/>
  <c r="AA145" i="6" s="1"/>
  <c r="BK145" i="6" s="1"/>
  <c r="AA146" i="6" s="1"/>
  <c r="BK146" i="6" s="1"/>
  <c r="AA147" i="6" s="1"/>
  <c r="BK147" i="6" s="1"/>
  <c r="AA148" i="6" s="1"/>
  <c r="BK148" i="6" s="1"/>
  <c r="AA149" i="6" s="1"/>
  <c r="BK149" i="6" s="1"/>
  <c r="Z114" i="6"/>
  <c r="BJ114" i="6" s="1"/>
  <c r="Z115" i="6" s="1"/>
  <c r="BJ115" i="6" s="1"/>
  <c r="Z116" i="6" s="1"/>
  <c r="BJ116" i="6" s="1"/>
  <c r="Z117" i="6" s="1"/>
  <c r="BJ117" i="6" s="1"/>
  <c r="Z118" i="6" s="1"/>
  <c r="BJ118" i="6" s="1"/>
  <c r="Z119" i="6" s="1"/>
  <c r="BJ119" i="6" s="1"/>
  <c r="Z120" i="6" s="1"/>
  <c r="BJ120" i="6" s="1"/>
  <c r="Z121" i="6" s="1"/>
  <c r="BJ121" i="6" s="1"/>
  <c r="Z122" i="6" s="1"/>
  <c r="BJ122" i="6" s="1"/>
  <c r="Z123" i="6" s="1"/>
  <c r="BJ123" i="6" s="1"/>
  <c r="Z124" i="6" s="1"/>
  <c r="BJ124" i="6" s="1"/>
  <c r="Z125" i="6" s="1"/>
  <c r="BJ125" i="6" s="1"/>
  <c r="Z126" i="6" s="1"/>
  <c r="BJ126" i="6" s="1"/>
  <c r="Z127" i="6" s="1"/>
  <c r="BJ127" i="6" s="1"/>
  <c r="Z128" i="6" s="1"/>
  <c r="BJ128" i="6" s="1"/>
  <c r="Z129" i="6" s="1"/>
  <c r="BJ129" i="6" s="1"/>
  <c r="Z130" i="6" s="1"/>
  <c r="BJ130" i="6" s="1"/>
  <c r="Z131" i="6" s="1"/>
  <c r="BJ131" i="6" s="1"/>
  <c r="Z132" i="6" s="1"/>
  <c r="BJ132" i="6" s="1"/>
  <c r="Z133" i="6" s="1"/>
  <c r="BJ133" i="6" s="1"/>
  <c r="Z134" i="6" s="1"/>
  <c r="BJ134" i="6" s="1"/>
  <c r="Z135" i="6" s="1"/>
  <c r="BJ135" i="6" s="1"/>
  <c r="Z136" i="6" s="1"/>
  <c r="BJ136" i="6" s="1"/>
  <c r="Z137" i="6" s="1"/>
  <c r="BJ137" i="6" s="1"/>
  <c r="Z138" i="6" s="1"/>
  <c r="BJ138" i="6" s="1"/>
  <c r="Z139" i="6" s="1"/>
  <c r="BJ139" i="6" s="1"/>
  <c r="Z140" i="6" s="1"/>
  <c r="BJ140" i="6" s="1"/>
  <c r="Z141" i="6" s="1"/>
  <c r="BJ141" i="6" s="1"/>
  <c r="Z142" i="6" s="1"/>
  <c r="BJ142" i="6" s="1"/>
  <c r="Z143" i="6" s="1"/>
  <c r="BJ143" i="6" s="1"/>
  <c r="Z144" i="6" s="1"/>
  <c r="BJ144" i="6" s="1"/>
  <c r="Z145" i="6" s="1"/>
  <c r="BJ145" i="6" s="1"/>
  <c r="Z146" i="6" s="1"/>
  <c r="BJ146" i="6" s="1"/>
  <c r="Z147" i="6" s="1"/>
  <c r="BJ147" i="6" s="1"/>
  <c r="Z148" i="6" s="1"/>
  <c r="BJ148" i="6" s="1"/>
  <c r="Z149" i="6" s="1"/>
  <c r="BJ149" i="6" s="1"/>
  <c r="Y114" i="6"/>
  <c r="BI114" i="6" s="1"/>
  <c r="Y115" i="6" s="1"/>
  <c r="BI115" i="6" s="1"/>
  <c r="Y116" i="6" s="1"/>
  <c r="BI116" i="6" s="1"/>
  <c r="Y117" i="6" s="1"/>
  <c r="BI117" i="6" s="1"/>
  <c r="Y118" i="6" s="1"/>
  <c r="BI118" i="6" s="1"/>
  <c r="Y119" i="6" s="1"/>
  <c r="BI119" i="6" s="1"/>
  <c r="Y120" i="6" s="1"/>
  <c r="BI120" i="6" s="1"/>
  <c r="Y121" i="6" s="1"/>
  <c r="BI121" i="6" s="1"/>
  <c r="Y122" i="6" s="1"/>
  <c r="X114" i="6"/>
  <c r="BH114" i="6" s="1"/>
  <c r="X115" i="6" s="1"/>
  <c r="BH115" i="6" s="1"/>
  <c r="X116" i="6" s="1"/>
  <c r="BH116" i="6" s="1"/>
  <c r="X117" i="6" s="1"/>
  <c r="BH117" i="6" s="1"/>
  <c r="W114" i="6"/>
  <c r="BG114" i="6" s="1"/>
  <c r="W115" i="6" s="1"/>
  <c r="V114" i="6"/>
  <c r="BF114" i="6" s="1"/>
  <c r="V115" i="6" s="1"/>
  <c r="BF115" i="6" s="1"/>
  <c r="V116" i="6" s="1"/>
  <c r="BF116" i="6" s="1"/>
  <c r="V117" i="6" s="1"/>
  <c r="BF117" i="6" s="1"/>
  <c r="V118" i="6" s="1"/>
  <c r="BF118" i="6" s="1"/>
  <c r="V119" i="6" s="1"/>
  <c r="BF119" i="6" s="1"/>
  <c r="V120" i="6" s="1"/>
  <c r="BF120" i="6" s="1"/>
  <c r="V121" i="6" s="1"/>
  <c r="BF121" i="6" s="1"/>
  <c r="V122" i="6" s="1"/>
  <c r="BF122" i="6" s="1"/>
  <c r="V123" i="6" s="1"/>
  <c r="BF123" i="6" s="1"/>
  <c r="V124" i="6" s="1"/>
  <c r="BF124" i="6" s="1"/>
  <c r="V125" i="6" s="1"/>
  <c r="BF125" i="6" s="1"/>
  <c r="V126" i="6" s="1"/>
  <c r="BF126" i="6" s="1"/>
  <c r="V127" i="6" s="1"/>
  <c r="BF127" i="6" s="1"/>
  <c r="V128" i="6" s="1"/>
  <c r="BF128" i="6" s="1"/>
  <c r="V129" i="6" s="1"/>
  <c r="BF129" i="6" s="1"/>
  <c r="V130" i="6" s="1"/>
  <c r="BF130" i="6" s="1"/>
  <c r="V131" i="6" s="1"/>
  <c r="BF131" i="6" s="1"/>
  <c r="V132" i="6" s="1"/>
  <c r="BF132" i="6" s="1"/>
  <c r="V133" i="6" s="1"/>
  <c r="BF133" i="6" s="1"/>
  <c r="V134" i="6" s="1"/>
  <c r="BF134" i="6" s="1"/>
  <c r="V135" i="6" s="1"/>
  <c r="BF135" i="6" s="1"/>
  <c r="V136" i="6" s="1"/>
  <c r="BF136" i="6" s="1"/>
  <c r="V137" i="6" s="1"/>
  <c r="U114" i="6"/>
  <c r="T114" i="6"/>
  <c r="BD114" i="6" s="1"/>
  <c r="T115" i="6" s="1"/>
  <c r="BD115" i="6" s="1"/>
  <c r="T116" i="6" s="1"/>
  <c r="BD116" i="6" s="1"/>
  <c r="S114" i="6"/>
  <c r="R114" i="6"/>
  <c r="Q114" i="6"/>
  <c r="O114" i="6"/>
  <c r="AY114" i="6" s="1"/>
  <c r="O115" i="6" s="1"/>
  <c r="AY115" i="6" s="1"/>
  <c r="O116" i="6" s="1"/>
  <c r="AY116" i="6" s="1"/>
  <c r="O117" i="6" s="1"/>
  <c r="AY117" i="6" s="1"/>
  <c r="O118" i="6" s="1"/>
  <c r="AY118" i="6" s="1"/>
  <c r="O119" i="6" s="1"/>
  <c r="AY119" i="6" s="1"/>
  <c r="O120" i="6" s="1"/>
  <c r="AY120" i="6" s="1"/>
  <c r="O121" i="6" s="1"/>
  <c r="AY121" i="6" s="1"/>
  <c r="O122" i="6" s="1"/>
  <c r="AY122" i="6" s="1"/>
  <c r="O123" i="6" s="1"/>
  <c r="AY123" i="6" s="1"/>
  <c r="O124" i="6" s="1"/>
  <c r="AY124" i="6" s="1"/>
  <c r="O125" i="6" s="1"/>
  <c r="AY125" i="6" s="1"/>
  <c r="O126" i="6" s="1"/>
  <c r="AY126" i="6" s="1"/>
  <c r="O127" i="6" s="1"/>
  <c r="AY127" i="6" s="1"/>
  <c r="O128" i="6" s="1"/>
  <c r="AY128" i="6" s="1"/>
  <c r="O129" i="6" s="1"/>
  <c r="AY129" i="6" s="1"/>
  <c r="O130" i="6" s="1"/>
  <c r="AY130" i="6" s="1"/>
  <c r="O131" i="6" s="1"/>
  <c r="AY131" i="6" s="1"/>
  <c r="O132" i="6" s="1"/>
  <c r="AY132" i="6" s="1"/>
  <c r="O133" i="6" s="1"/>
  <c r="AY133" i="6" s="1"/>
  <c r="O134" i="6" s="1"/>
  <c r="AY134" i="6" s="1"/>
  <c r="O135" i="6" s="1"/>
  <c r="AY135" i="6" s="1"/>
  <c r="O136" i="6" s="1"/>
  <c r="AY136" i="6" s="1"/>
  <c r="O137" i="6" s="1"/>
  <c r="AY137" i="6" s="1"/>
  <c r="O138" i="6" s="1"/>
  <c r="AY138" i="6" s="1"/>
  <c r="O139" i="6" s="1"/>
  <c r="AY139" i="6" s="1"/>
  <c r="O140" i="6" s="1"/>
  <c r="AY140" i="6" s="1"/>
  <c r="O141" i="6" s="1"/>
  <c r="AY141" i="6" s="1"/>
  <c r="O142" i="6" s="1"/>
  <c r="AY142" i="6" s="1"/>
  <c r="O143" i="6" s="1"/>
  <c r="AY143" i="6" s="1"/>
  <c r="O144" i="6" s="1"/>
  <c r="AY144" i="6" s="1"/>
  <c r="O145" i="6" s="1"/>
  <c r="AY145" i="6" s="1"/>
  <c r="O146" i="6" s="1"/>
  <c r="AY146" i="6" s="1"/>
  <c r="O147" i="6" s="1"/>
  <c r="AY147" i="6" s="1"/>
  <c r="O148" i="6" s="1"/>
  <c r="AY148" i="6" s="1"/>
  <c r="O149" i="6" s="1"/>
  <c r="AY149" i="6" s="1"/>
  <c r="N114" i="6"/>
  <c r="AX114" i="6" s="1"/>
  <c r="N115" i="6" s="1"/>
  <c r="AX115" i="6" s="1"/>
  <c r="N116" i="6" s="1"/>
  <c r="AX116" i="6" s="1"/>
  <c r="N117" i="6" s="1"/>
  <c r="AX117" i="6" s="1"/>
  <c r="N118" i="6" s="1"/>
  <c r="AX118" i="6" s="1"/>
  <c r="N119" i="6" s="1"/>
  <c r="AX119" i="6" s="1"/>
  <c r="N120" i="6" s="1"/>
  <c r="AX120" i="6" s="1"/>
  <c r="M114" i="6"/>
  <c r="AW114" i="6" s="1"/>
  <c r="M115" i="6" s="1"/>
  <c r="AW115" i="6" s="1"/>
  <c r="M116" i="6" s="1"/>
  <c r="L114" i="6"/>
  <c r="H114" i="6"/>
  <c r="G114" i="6"/>
  <c r="F114" i="6"/>
  <c r="AE114" i="6" s="1"/>
  <c r="E114" i="6"/>
  <c r="D114" i="6"/>
  <c r="C114" i="6"/>
  <c r="B114" i="6"/>
  <c r="A114" i="6"/>
  <c r="AO113" i="6"/>
  <c r="AI113" i="6"/>
  <c r="AE113" i="6"/>
  <c r="K113" i="6"/>
  <c r="I113" i="6"/>
  <c r="H113" i="6"/>
  <c r="G113" i="6"/>
  <c r="F113" i="6"/>
  <c r="J113" i="6" s="1"/>
  <c r="E113" i="6"/>
  <c r="D113" i="6"/>
  <c r="C113" i="6"/>
  <c r="B113" i="6"/>
  <c r="A113" i="6"/>
  <c r="AO112" i="6"/>
  <c r="AE112" i="6"/>
  <c r="K112" i="6"/>
  <c r="I112" i="6"/>
  <c r="H112" i="6"/>
  <c r="G112" i="6"/>
  <c r="F112" i="6"/>
  <c r="J112" i="6" s="1"/>
  <c r="E112" i="6"/>
  <c r="D112" i="6"/>
  <c r="C112" i="6"/>
  <c r="B112" i="6"/>
  <c r="A112" i="6"/>
  <c r="BL111" i="6"/>
  <c r="AB112" i="6" s="1"/>
  <c r="BL112" i="6" s="1"/>
  <c r="AB113" i="6" s="1"/>
  <c r="BL113" i="6" s="1"/>
  <c r="AO111" i="6"/>
  <c r="AI111" i="6"/>
  <c r="H111" i="6"/>
  <c r="G111" i="6"/>
  <c r="F111" i="6"/>
  <c r="E111" i="6"/>
  <c r="D111" i="6"/>
  <c r="C111" i="6"/>
  <c r="B111" i="6"/>
  <c r="A111" i="6"/>
  <c r="AO110" i="6"/>
  <c r="AI110" i="6"/>
  <c r="J110" i="6"/>
  <c r="H110" i="6"/>
  <c r="G110" i="6"/>
  <c r="F110" i="6"/>
  <c r="AE110" i="6" s="1"/>
  <c r="E110" i="6"/>
  <c r="D110" i="6"/>
  <c r="C110" i="6"/>
  <c r="B110" i="6"/>
  <c r="A110" i="6"/>
  <c r="AO109" i="6"/>
  <c r="H109" i="6"/>
  <c r="G109" i="6"/>
  <c r="F109" i="6"/>
  <c r="AI109" i="6" s="1"/>
  <c r="E109" i="6"/>
  <c r="D109" i="6"/>
  <c r="C109" i="6"/>
  <c r="B109" i="6"/>
  <c r="A109" i="6"/>
  <c r="AO108" i="6"/>
  <c r="H108" i="6"/>
  <c r="G108" i="6"/>
  <c r="F108" i="6"/>
  <c r="AI108" i="6" s="1"/>
  <c r="E108" i="6"/>
  <c r="D108" i="6"/>
  <c r="C108" i="6"/>
  <c r="B108" i="6"/>
  <c r="A108" i="6"/>
  <c r="AO107" i="6"/>
  <c r="H107" i="6"/>
  <c r="G107" i="6"/>
  <c r="F107" i="6"/>
  <c r="E107" i="6"/>
  <c r="D107" i="6"/>
  <c r="C107" i="6"/>
  <c r="B107" i="6"/>
  <c r="A107" i="6"/>
  <c r="AO106" i="6"/>
  <c r="J106" i="6"/>
  <c r="H106" i="6"/>
  <c r="G106" i="6"/>
  <c r="F106" i="6"/>
  <c r="AI106" i="6" s="1"/>
  <c r="E106" i="6"/>
  <c r="D106" i="6"/>
  <c r="C106" i="6"/>
  <c r="B106" i="6"/>
  <c r="A106" i="6"/>
  <c r="AO105" i="6"/>
  <c r="AI105" i="6"/>
  <c r="AE105" i="6"/>
  <c r="K105" i="6"/>
  <c r="J105" i="6"/>
  <c r="I105" i="6"/>
  <c r="H105" i="6"/>
  <c r="G105" i="6"/>
  <c r="F105" i="6"/>
  <c r="E105" i="6"/>
  <c r="D105" i="6"/>
  <c r="C105" i="6"/>
  <c r="B105" i="6"/>
  <c r="A105" i="6"/>
  <c r="AO104" i="6"/>
  <c r="J104" i="6"/>
  <c r="H104" i="6"/>
  <c r="G104" i="6"/>
  <c r="F104" i="6"/>
  <c r="E104" i="6"/>
  <c r="D104" i="6"/>
  <c r="C104" i="6"/>
  <c r="B104" i="6"/>
  <c r="A104" i="6"/>
  <c r="AO103" i="6"/>
  <c r="AI103" i="6"/>
  <c r="AE103" i="6"/>
  <c r="K103" i="6"/>
  <c r="J103" i="6"/>
  <c r="I103" i="6"/>
  <c r="H103" i="6"/>
  <c r="G103" i="6"/>
  <c r="F103" i="6"/>
  <c r="E103" i="6"/>
  <c r="D103" i="6"/>
  <c r="C103" i="6"/>
  <c r="B103" i="6"/>
  <c r="A103" i="6"/>
  <c r="AO102" i="6"/>
  <c r="I102" i="6"/>
  <c r="H102" i="6"/>
  <c r="G102" i="6"/>
  <c r="F102" i="6"/>
  <c r="E102" i="6"/>
  <c r="D102" i="6"/>
  <c r="C102" i="6"/>
  <c r="B102" i="6"/>
  <c r="A102" i="6"/>
  <c r="AO101" i="6"/>
  <c r="AE101" i="6"/>
  <c r="K101" i="6"/>
  <c r="I101" i="6"/>
  <c r="H101" i="6"/>
  <c r="G101" i="6"/>
  <c r="AI101" i="6" s="1"/>
  <c r="F101" i="6"/>
  <c r="J101" i="6" s="1"/>
  <c r="E101" i="6"/>
  <c r="D101" i="6"/>
  <c r="C101" i="6"/>
  <c r="B101" i="6"/>
  <c r="A101" i="6"/>
  <c r="AT100" i="6"/>
  <c r="AI100" i="6"/>
  <c r="AE100" i="6"/>
  <c r="K100" i="6"/>
  <c r="J100" i="6"/>
  <c r="I100" i="6"/>
  <c r="H100" i="6"/>
  <c r="G100" i="6"/>
  <c r="F100" i="6"/>
  <c r="E100" i="6"/>
  <c r="D100" i="6"/>
  <c r="C100" i="6"/>
  <c r="B100" i="6"/>
  <c r="A100" i="6"/>
  <c r="AT99" i="6"/>
  <c r="AO99" i="6"/>
  <c r="K99" i="6"/>
  <c r="I99" i="6"/>
  <c r="H99" i="6"/>
  <c r="G99" i="6"/>
  <c r="F99" i="6"/>
  <c r="E99" i="6"/>
  <c r="D99" i="6"/>
  <c r="C99" i="6"/>
  <c r="B99" i="6"/>
  <c r="A99" i="6"/>
  <c r="AT98" i="6"/>
  <c r="AO98" i="6"/>
  <c r="AI98" i="6"/>
  <c r="K98" i="6"/>
  <c r="J98" i="6"/>
  <c r="I98" i="6"/>
  <c r="H98" i="6"/>
  <c r="G98" i="6"/>
  <c r="F98" i="6"/>
  <c r="AE98" i="6" s="1"/>
  <c r="E98" i="6"/>
  <c r="D98" i="6"/>
  <c r="C98" i="6"/>
  <c r="B98" i="6"/>
  <c r="A98" i="6"/>
  <c r="AT97" i="6"/>
  <c r="AO97" i="6"/>
  <c r="AI97" i="6"/>
  <c r="K97" i="6"/>
  <c r="H97" i="6"/>
  <c r="G97" i="6"/>
  <c r="F97" i="6"/>
  <c r="E97" i="6"/>
  <c r="D97" i="6"/>
  <c r="C97" i="6"/>
  <c r="B97" i="6"/>
  <c r="A97" i="6"/>
  <c r="AT96" i="6"/>
  <c r="AO96" i="6"/>
  <c r="K96" i="6"/>
  <c r="J96" i="6"/>
  <c r="H96" i="6"/>
  <c r="G96" i="6"/>
  <c r="F96" i="6"/>
  <c r="E96" i="6"/>
  <c r="D96" i="6"/>
  <c r="C96" i="6"/>
  <c r="B96" i="6"/>
  <c r="A96" i="6"/>
  <c r="AT95" i="6"/>
  <c r="AO95" i="6"/>
  <c r="AF95" i="6"/>
  <c r="AE95" i="6"/>
  <c r="J95" i="6"/>
  <c r="I95" i="6"/>
  <c r="H95" i="6"/>
  <c r="G95" i="6"/>
  <c r="F95" i="6"/>
  <c r="E95" i="6"/>
  <c r="D95" i="6"/>
  <c r="C95" i="6"/>
  <c r="B95" i="6"/>
  <c r="A95" i="6"/>
  <c r="AT94" i="6"/>
  <c r="J94" i="6"/>
  <c r="H94" i="6"/>
  <c r="G94" i="6"/>
  <c r="F94" i="6"/>
  <c r="AI94" i="6" s="1"/>
  <c r="E94" i="6"/>
  <c r="D94" i="6"/>
  <c r="C94" i="6"/>
  <c r="B94" i="6"/>
  <c r="A94" i="6"/>
  <c r="AT93" i="6"/>
  <c r="AO93" i="6"/>
  <c r="AF93" i="6"/>
  <c r="AE93" i="6"/>
  <c r="K93" i="6"/>
  <c r="J93" i="6"/>
  <c r="I93" i="6"/>
  <c r="H93" i="6"/>
  <c r="G93" i="6"/>
  <c r="F93" i="6"/>
  <c r="E93" i="6"/>
  <c r="D93" i="6"/>
  <c r="C93" i="6"/>
  <c r="B93" i="6"/>
  <c r="A93" i="6"/>
  <c r="AT92" i="6"/>
  <c r="AO92" i="6"/>
  <c r="AF92" i="6"/>
  <c r="J92" i="6"/>
  <c r="H92" i="6"/>
  <c r="G92" i="6"/>
  <c r="F92" i="6"/>
  <c r="E92" i="6"/>
  <c r="D92" i="6"/>
  <c r="C92" i="6"/>
  <c r="B92" i="6"/>
  <c r="A92" i="6"/>
  <c r="AT91" i="6"/>
  <c r="AO91" i="6"/>
  <c r="AI91" i="6"/>
  <c r="AF91" i="6"/>
  <c r="AE91" i="6"/>
  <c r="K91" i="6"/>
  <c r="J91" i="6"/>
  <c r="I91" i="6"/>
  <c r="H91" i="6"/>
  <c r="G91" i="6"/>
  <c r="F91" i="6"/>
  <c r="E91" i="6"/>
  <c r="D91" i="6"/>
  <c r="C91" i="6"/>
  <c r="B91" i="6"/>
  <c r="A91" i="6"/>
  <c r="AT90" i="6"/>
  <c r="AO90" i="6"/>
  <c r="AE90" i="6"/>
  <c r="I90" i="6"/>
  <c r="H90" i="6"/>
  <c r="G90" i="6"/>
  <c r="F90" i="6"/>
  <c r="E90" i="6"/>
  <c r="D90" i="6"/>
  <c r="C90" i="6"/>
  <c r="B90" i="6"/>
  <c r="A90" i="6"/>
  <c r="AT89" i="6"/>
  <c r="AE89" i="6"/>
  <c r="K89" i="6"/>
  <c r="I89" i="6"/>
  <c r="H89" i="6"/>
  <c r="G89" i="6"/>
  <c r="AI89" i="6" s="1"/>
  <c r="F89" i="6"/>
  <c r="E89" i="6"/>
  <c r="D89" i="6"/>
  <c r="C89" i="6"/>
  <c r="B89" i="6"/>
  <c r="A89" i="6"/>
  <c r="AT88" i="6"/>
  <c r="AI88" i="6"/>
  <c r="AE88" i="6"/>
  <c r="K88" i="6"/>
  <c r="J88" i="6"/>
  <c r="I88" i="6"/>
  <c r="H88" i="6"/>
  <c r="G88" i="6"/>
  <c r="F88" i="6"/>
  <c r="E88" i="6"/>
  <c r="D88" i="6"/>
  <c r="C88" i="6"/>
  <c r="B88" i="6"/>
  <c r="A88" i="6"/>
  <c r="AT87" i="6"/>
  <c r="AO87" i="6"/>
  <c r="AE87" i="6"/>
  <c r="K87" i="6"/>
  <c r="I87" i="6"/>
  <c r="H87" i="6"/>
  <c r="AF87" i="6" s="1"/>
  <c r="G87" i="6"/>
  <c r="F87" i="6"/>
  <c r="E87" i="6"/>
  <c r="D87" i="6"/>
  <c r="C87" i="6"/>
  <c r="B87" i="6"/>
  <c r="A87" i="6"/>
  <c r="AT86" i="6"/>
  <c r="AO86" i="6"/>
  <c r="AI86" i="6"/>
  <c r="H86" i="6"/>
  <c r="G86" i="6"/>
  <c r="F86" i="6"/>
  <c r="AE86" i="6" s="1"/>
  <c r="E86" i="6"/>
  <c r="D86" i="6"/>
  <c r="C86" i="6"/>
  <c r="B86" i="6"/>
  <c r="A86" i="6"/>
  <c r="AT85" i="6"/>
  <c r="AO85" i="6"/>
  <c r="AF85" i="6"/>
  <c r="H85" i="6"/>
  <c r="G85" i="6"/>
  <c r="F85" i="6"/>
  <c r="E85" i="6"/>
  <c r="D85" i="6"/>
  <c r="C85" i="6"/>
  <c r="B85" i="6"/>
  <c r="A85" i="6"/>
  <c r="AT84" i="6"/>
  <c r="AO84" i="6"/>
  <c r="I84" i="6"/>
  <c r="H84" i="6"/>
  <c r="AF84" i="6" s="1"/>
  <c r="G84" i="6"/>
  <c r="F84" i="6"/>
  <c r="AI84" i="6" s="1"/>
  <c r="E84" i="6"/>
  <c r="D84" i="6"/>
  <c r="C84" i="6"/>
  <c r="B84" i="6"/>
  <c r="A84" i="6"/>
  <c r="AT83" i="6"/>
  <c r="AE83" i="6"/>
  <c r="I83" i="6"/>
  <c r="H83" i="6"/>
  <c r="G83" i="6"/>
  <c r="F83" i="6"/>
  <c r="E83" i="6"/>
  <c r="D83" i="6"/>
  <c r="C83" i="6"/>
  <c r="B83" i="6"/>
  <c r="A83" i="6"/>
  <c r="BK82" i="6"/>
  <c r="AA83" i="6" s="1"/>
  <c r="BK83" i="6" s="1"/>
  <c r="AA84" i="6" s="1"/>
  <c r="BK84" i="6" s="1"/>
  <c r="AA85" i="6" s="1"/>
  <c r="BK85" i="6" s="1"/>
  <c r="AA86" i="6" s="1"/>
  <c r="BK86" i="6" s="1"/>
  <c r="AA87" i="6" s="1"/>
  <c r="BK87" i="6" s="1"/>
  <c r="AA88" i="6" s="1"/>
  <c r="BK88" i="6" s="1"/>
  <c r="AA89" i="6" s="1"/>
  <c r="BK89" i="6" s="1"/>
  <c r="AA90" i="6" s="1"/>
  <c r="BK90" i="6" s="1"/>
  <c r="AA91" i="6" s="1"/>
  <c r="BK91" i="6" s="1"/>
  <c r="AA92" i="6" s="1"/>
  <c r="BK92" i="6" s="1"/>
  <c r="AA93" i="6" s="1"/>
  <c r="BK93" i="6" s="1"/>
  <c r="AA94" i="6" s="1"/>
  <c r="BK94" i="6" s="1"/>
  <c r="AA95" i="6" s="1"/>
  <c r="BK95" i="6" s="1"/>
  <c r="AA96" i="6" s="1"/>
  <c r="BK96" i="6" s="1"/>
  <c r="AA97" i="6" s="1"/>
  <c r="BK97" i="6" s="1"/>
  <c r="AA98" i="6" s="1"/>
  <c r="BK98" i="6" s="1"/>
  <c r="AA99" i="6" s="1"/>
  <c r="BK99" i="6" s="1"/>
  <c r="AA100" i="6" s="1"/>
  <c r="BK100" i="6" s="1"/>
  <c r="AA101" i="6" s="1"/>
  <c r="BK101" i="6" s="1"/>
  <c r="AA102" i="6" s="1"/>
  <c r="BK102" i="6" s="1"/>
  <c r="AA103" i="6" s="1"/>
  <c r="BK103" i="6" s="1"/>
  <c r="AA104" i="6" s="1"/>
  <c r="BK104" i="6" s="1"/>
  <c r="AA105" i="6" s="1"/>
  <c r="BK105" i="6" s="1"/>
  <c r="AA106" i="6" s="1"/>
  <c r="BK106" i="6" s="1"/>
  <c r="AA107" i="6" s="1"/>
  <c r="BK107" i="6" s="1"/>
  <c r="AA108" i="6" s="1"/>
  <c r="BK108" i="6" s="1"/>
  <c r="AA109" i="6" s="1"/>
  <c r="BK109" i="6" s="1"/>
  <c r="AA110" i="6" s="1"/>
  <c r="BK110" i="6" s="1"/>
  <c r="AA111" i="6" s="1"/>
  <c r="BK111" i="6" s="1"/>
  <c r="AA112" i="6" s="1"/>
  <c r="BK112" i="6" s="1"/>
  <c r="AA113" i="6" s="1"/>
  <c r="BK113" i="6" s="1"/>
  <c r="AT82" i="6"/>
  <c r="AI82" i="6"/>
  <c r="AE82" i="6"/>
  <c r="AA82" i="6"/>
  <c r="K82" i="6"/>
  <c r="J82" i="6"/>
  <c r="I82" i="6"/>
  <c r="H82" i="6"/>
  <c r="G82" i="6"/>
  <c r="F82" i="6"/>
  <c r="E82" i="6"/>
  <c r="D82" i="6"/>
  <c r="C82" i="6"/>
  <c r="B82" i="6"/>
  <c r="A82" i="6"/>
  <c r="AT81" i="6"/>
  <c r="AO81" i="6"/>
  <c r="J81" i="6"/>
  <c r="H81" i="6"/>
  <c r="G81" i="6"/>
  <c r="F81" i="6"/>
  <c r="AE81" i="6" s="1"/>
  <c r="E81" i="6"/>
  <c r="D81" i="6"/>
  <c r="C81" i="6"/>
  <c r="B81" i="6"/>
  <c r="A81" i="6"/>
  <c r="BM80" i="6"/>
  <c r="AC81" i="6" s="1"/>
  <c r="BM81" i="6" s="1"/>
  <c r="AC82" i="6" s="1"/>
  <c r="BM82" i="6" s="1"/>
  <c r="AC83" i="6" s="1"/>
  <c r="BM83" i="6" s="1"/>
  <c r="AC84" i="6" s="1"/>
  <c r="BM84" i="6" s="1"/>
  <c r="AC85" i="6" s="1"/>
  <c r="BM85" i="6" s="1"/>
  <c r="AC86" i="6" s="1"/>
  <c r="BM86" i="6" s="1"/>
  <c r="AC87" i="6" s="1"/>
  <c r="BM87" i="6" s="1"/>
  <c r="AC88" i="6" s="1"/>
  <c r="BM88" i="6" s="1"/>
  <c r="AC89" i="6" s="1"/>
  <c r="BM89" i="6" s="1"/>
  <c r="AC90" i="6" s="1"/>
  <c r="BM90" i="6" s="1"/>
  <c r="AC91" i="6" s="1"/>
  <c r="BM91" i="6" s="1"/>
  <c r="AC92" i="6" s="1"/>
  <c r="BM92" i="6" s="1"/>
  <c r="AC93" i="6" s="1"/>
  <c r="BM93" i="6" s="1"/>
  <c r="AC94" i="6" s="1"/>
  <c r="BM94" i="6" s="1"/>
  <c r="AC95" i="6" s="1"/>
  <c r="BM95" i="6" s="1"/>
  <c r="AC96" i="6" s="1"/>
  <c r="BM96" i="6" s="1"/>
  <c r="AC97" i="6" s="1"/>
  <c r="BM97" i="6" s="1"/>
  <c r="AC98" i="6" s="1"/>
  <c r="BM98" i="6" s="1"/>
  <c r="AC99" i="6" s="1"/>
  <c r="BM99" i="6" s="1"/>
  <c r="AC100" i="6" s="1"/>
  <c r="BM100" i="6" s="1"/>
  <c r="AC101" i="6" s="1"/>
  <c r="BM101" i="6" s="1"/>
  <c r="AC102" i="6" s="1"/>
  <c r="BM102" i="6" s="1"/>
  <c r="AC103" i="6" s="1"/>
  <c r="BM103" i="6" s="1"/>
  <c r="AC104" i="6" s="1"/>
  <c r="BM104" i="6" s="1"/>
  <c r="AC105" i="6" s="1"/>
  <c r="BM105" i="6" s="1"/>
  <c r="AC106" i="6" s="1"/>
  <c r="BM106" i="6" s="1"/>
  <c r="AC107" i="6" s="1"/>
  <c r="BM107" i="6" s="1"/>
  <c r="AC108" i="6" s="1"/>
  <c r="BM108" i="6" s="1"/>
  <c r="AC109" i="6" s="1"/>
  <c r="BM109" i="6" s="1"/>
  <c r="AC110" i="6" s="1"/>
  <c r="BM110" i="6" s="1"/>
  <c r="AC111" i="6" s="1"/>
  <c r="BM111" i="6" s="1"/>
  <c r="AC112" i="6" s="1"/>
  <c r="BM112" i="6" s="1"/>
  <c r="AC113" i="6" s="1"/>
  <c r="BM113" i="6" s="1"/>
  <c r="AT80" i="6"/>
  <c r="AO80" i="6"/>
  <c r="AF80" i="6"/>
  <c r="AC80" i="6"/>
  <c r="Q80" i="6"/>
  <c r="BA80" i="6" s="1"/>
  <c r="Q81" i="6" s="1"/>
  <c r="BA81" i="6" s="1"/>
  <c r="Q82" i="6" s="1"/>
  <c r="J80" i="6"/>
  <c r="I80" i="6"/>
  <c r="H80" i="6"/>
  <c r="G80" i="6"/>
  <c r="F80" i="6"/>
  <c r="AI80" i="6" s="1"/>
  <c r="E80" i="6"/>
  <c r="D80" i="6"/>
  <c r="C80" i="6"/>
  <c r="B80" i="6"/>
  <c r="A80" i="6"/>
  <c r="AT79" i="6"/>
  <c r="AO79" i="6"/>
  <c r="AI79" i="6"/>
  <c r="AF79" i="6"/>
  <c r="AE79" i="6"/>
  <c r="X79" i="6"/>
  <c r="BH79" i="6" s="1"/>
  <c r="X80" i="6" s="1"/>
  <c r="BH80" i="6" s="1"/>
  <c r="X81" i="6" s="1"/>
  <c r="BH81" i="6" s="1"/>
  <c r="X82" i="6" s="1"/>
  <c r="BH82" i="6" s="1"/>
  <c r="X83" i="6" s="1"/>
  <c r="BH83" i="6" s="1"/>
  <c r="X84" i="6" s="1"/>
  <c r="BH84" i="6" s="1"/>
  <c r="X85" i="6" s="1"/>
  <c r="BH85" i="6" s="1"/>
  <c r="X86" i="6" s="1"/>
  <c r="BH86" i="6" s="1"/>
  <c r="X87" i="6" s="1"/>
  <c r="BH87" i="6" s="1"/>
  <c r="X88" i="6" s="1"/>
  <c r="BH88" i="6" s="1"/>
  <c r="X89" i="6" s="1"/>
  <c r="BH89" i="6" s="1"/>
  <c r="X90" i="6" s="1"/>
  <c r="BH90" i="6" s="1"/>
  <c r="X91" i="6" s="1"/>
  <c r="BH91" i="6" s="1"/>
  <c r="X92" i="6" s="1"/>
  <c r="BH92" i="6" s="1"/>
  <c r="X93" i="6" s="1"/>
  <c r="BH93" i="6" s="1"/>
  <c r="X94" i="6" s="1"/>
  <c r="BH94" i="6" s="1"/>
  <c r="X95" i="6" s="1"/>
  <c r="BH95" i="6" s="1"/>
  <c r="X96" i="6" s="1"/>
  <c r="BH96" i="6" s="1"/>
  <c r="X97" i="6" s="1"/>
  <c r="BH97" i="6" s="1"/>
  <c r="X98" i="6" s="1"/>
  <c r="BH98" i="6" s="1"/>
  <c r="X99" i="6" s="1"/>
  <c r="BH99" i="6" s="1"/>
  <c r="X100" i="6" s="1"/>
  <c r="BH100" i="6" s="1"/>
  <c r="X101" i="6" s="1"/>
  <c r="BH101" i="6" s="1"/>
  <c r="X102" i="6" s="1"/>
  <c r="BH102" i="6" s="1"/>
  <c r="X103" i="6" s="1"/>
  <c r="BH103" i="6" s="1"/>
  <c r="X104" i="6" s="1"/>
  <c r="BH104" i="6" s="1"/>
  <c r="X105" i="6" s="1"/>
  <c r="BH105" i="6" s="1"/>
  <c r="X106" i="6" s="1"/>
  <c r="BH106" i="6" s="1"/>
  <c r="X107" i="6" s="1"/>
  <c r="BH107" i="6" s="1"/>
  <c r="X108" i="6" s="1"/>
  <c r="BH108" i="6" s="1"/>
  <c r="X109" i="6" s="1"/>
  <c r="BH109" i="6" s="1"/>
  <c r="X110" i="6" s="1"/>
  <c r="BH110" i="6" s="1"/>
  <c r="X111" i="6" s="1"/>
  <c r="BH111" i="6" s="1"/>
  <c r="X112" i="6" s="1"/>
  <c r="BH112" i="6" s="1"/>
  <c r="X113" i="6" s="1"/>
  <c r="BH113" i="6" s="1"/>
  <c r="K79" i="6"/>
  <c r="H79" i="6"/>
  <c r="G79" i="6"/>
  <c r="F79" i="6"/>
  <c r="E79" i="6"/>
  <c r="D79" i="6"/>
  <c r="C79" i="6"/>
  <c r="B79" i="6"/>
  <c r="A79" i="6"/>
  <c r="BO78" i="6"/>
  <c r="BN79" i="6" s="1"/>
  <c r="BO79" i="6" s="1"/>
  <c r="BN80" i="6" s="1"/>
  <c r="BO80" i="6" s="1"/>
  <c r="BN81" i="6" s="1"/>
  <c r="BO81" i="6" s="1"/>
  <c r="BN82" i="6" s="1"/>
  <c r="BO82" i="6" s="1"/>
  <c r="BN83" i="6" s="1"/>
  <c r="BO83" i="6" s="1"/>
  <c r="BN84" i="6" s="1"/>
  <c r="BO84" i="6" s="1"/>
  <c r="BN85" i="6" s="1"/>
  <c r="BO85" i="6" s="1"/>
  <c r="BN86" i="6" s="1"/>
  <c r="BO86" i="6" s="1"/>
  <c r="BN87" i="6" s="1"/>
  <c r="BO87" i="6" s="1"/>
  <c r="BN88" i="6" s="1"/>
  <c r="BO88" i="6" s="1"/>
  <c r="BN89" i="6" s="1"/>
  <c r="BO89" i="6" s="1"/>
  <c r="BN90" i="6" s="1"/>
  <c r="BO90" i="6" s="1"/>
  <c r="BN91" i="6" s="1"/>
  <c r="BO91" i="6" s="1"/>
  <c r="BN92" i="6" s="1"/>
  <c r="BO92" i="6" s="1"/>
  <c r="BN93" i="6" s="1"/>
  <c r="BO93" i="6" s="1"/>
  <c r="BN94" i="6" s="1"/>
  <c r="BO94" i="6" s="1"/>
  <c r="BN95" i="6" s="1"/>
  <c r="BO95" i="6" s="1"/>
  <c r="BN96" i="6" s="1"/>
  <c r="BO96" i="6" s="1"/>
  <c r="BN97" i="6" s="1"/>
  <c r="BO97" i="6" s="1"/>
  <c r="BN98" i="6" s="1"/>
  <c r="BO98" i="6" s="1"/>
  <c r="BN99" i="6" s="1"/>
  <c r="BO99" i="6" s="1"/>
  <c r="BN100" i="6" s="1"/>
  <c r="BO100" i="6" s="1"/>
  <c r="BN101" i="6" s="1"/>
  <c r="BO101" i="6" s="1"/>
  <c r="BN102" i="6" s="1"/>
  <c r="BO102" i="6" s="1"/>
  <c r="BN103" i="6" s="1"/>
  <c r="BO103" i="6" s="1"/>
  <c r="BN104" i="6" s="1"/>
  <c r="BO104" i="6" s="1"/>
  <c r="BN105" i="6" s="1"/>
  <c r="BO105" i="6" s="1"/>
  <c r="BN106" i="6" s="1"/>
  <c r="BO106" i="6" s="1"/>
  <c r="BN107" i="6" s="1"/>
  <c r="BO107" i="6" s="1"/>
  <c r="BN108" i="6" s="1"/>
  <c r="BO108" i="6" s="1"/>
  <c r="BN109" i="6" s="1"/>
  <c r="BO109" i="6" s="1"/>
  <c r="BN110" i="6" s="1"/>
  <c r="BO110" i="6" s="1"/>
  <c r="BN111" i="6" s="1"/>
  <c r="BO111" i="6" s="1"/>
  <c r="BN112" i="6" s="1"/>
  <c r="BO112" i="6" s="1"/>
  <c r="BN113" i="6" s="1"/>
  <c r="BN78" i="6"/>
  <c r="BE78" i="6"/>
  <c r="BE79" i="6" s="1"/>
  <c r="BC78" i="6"/>
  <c r="S79" i="6" s="1"/>
  <c r="BC79" i="6" s="1"/>
  <c r="S80" i="6" s="1"/>
  <c r="BC80" i="6" s="1"/>
  <c r="S81" i="6" s="1"/>
  <c r="BC81" i="6" s="1"/>
  <c r="S82" i="6" s="1"/>
  <c r="BC82" i="6" s="1"/>
  <c r="S83" i="6" s="1"/>
  <c r="BC83" i="6" s="1"/>
  <c r="S84" i="6" s="1"/>
  <c r="BC84" i="6" s="1"/>
  <c r="S85" i="6" s="1"/>
  <c r="BC85" i="6" s="1"/>
  <c r="S86" i="6" s="1"/>
  <c r="BC86" i="6" s="1"/>
  <c r="S87" i="6" s="1"/>
  <c r="BC87" i="6" s="1"/>
  <c r="S88" i="6" s="1"/>
  <c r="BC88" i="6" s="1"/>
  <c r="S89" i="6" s="1"/>
  <c r="BC89" i="6" s="1"/>
  <c r="S90" i="6" s="1"/>
  <c r="BC90" i="6" s="1"/>
  <c r="S91" i="6" s="1"/>
  <c r="BC91" i="6" s="1"/>
  <c r="S92" i="6" s="1"/>
  <c r="BC92" i="6" s="1"/>
  <c r="S93" i="6" s="1"/>
  <c r="BC93" i="6" s="1"/>
  <c r="S94" i="6" s="1"/>
  <c r="BC94" i="6" s="1"/>
  <c r="S95" i="6" s="1"/>
  <c r="BC95" i="6" s="1"/>
  <c r="S96" i="6" s="1"/>
  <c r="BC96" i="6" s="1"/>
  <c r="S97" i="6" s="1"/>
  <c r="BC97" i="6" s="1"/>
  <c r="S98" i="6" s="1"/>
  <c r="BC98" i="6" s="1"/>
  <c r="S99" i="6" s="1"/>
  <c r="BC99" i="6" s="1"/>
  <c r="S100" i="6" s="1"/>
  <c r="BC100" i="6" s="1"/>
  <c r="S101" i="6" s="1"/>
  <c r="BC101" i="6" s="1"/>
  <c r="S102" i="6" s="1"/>
  <c r="BC102" i="6" s="1"/>
  <c r="S103" i="6" s="1"/>
  <c r="BC103" i="6" s="1"/>
  <c r="S104" i="6" s="1"/>
  <c r="BC104" i="6" s="1"/>
  <c r="S105" i="6" s="1"/>
  <c r="BC105" i="6" s="1"/>
  <c r="S106" i="6" s="1"/>
  <c r="BC106" i="6" s="1"/>
  <c r="S107" i="6" s="1"/>
  <c r="BC107" i="6" s="1"/>
  <c r="S108" i="6" s="1"/>
  <c r="BC108" i="6" s="1"/>
  <c r="S109" i="6" s="1"/>
  <c r="BC109" i="6" s="1"/>
  <c r="S110" i="6" s="1"/>
  <c r="BC110" i="6" s="1"/>
  <c r="S111" i="6" s="1"/>
  <c r="BC111" i="6" s="1"/>
  <c r="S112" i="6" s="1"/>
  <c r="BC112" i="6" s="1"/>
  <c r="S113" i="6" s="1"/>
  <c r="BC113" i="6" s="1"/>
  <c r="AT78" i="6"/>
  <c r="AO78" i="6"/>
  <c r="AF78" i="6"/>
  <c r="AE78" i="6"/>
  <c r="AC78" i="6"/>
  <c r="BM78" i="6" s="1"/>
  <c r="AC79" i="6" s="1"/>
  <c r="BM79" i="6" s="1"/>
  <c r="AB78" i="6"/>
  <c r="BL78" i="6" s="1"/>
  <c r="AB79" i="6" s="1"/>
  <c r="BL79" i="6" s="1"/>
  <c r="AB80" i="6" s="1"/>
  <c r="BL80" i="6" s="1"/>
  <c r="AB81" i="6" s="1"/>
  <c r="BL81" i="6" s="1"/>
  <c r="AB82" i="6" s="1"/>
  <c r="BL82" i="6" s="1"/>
  <c r="AB83" i="6" s="1"/>
  <c r="BL83" i="6" s="1"/>
  <c r="AB84" i="6" s="1"/>
  <c r="BL84" i="6" s="1"/>
  <c r="AB85" i="6" s="1"/>
  <c r="BL85" i="6" s="1"/>
  <c r="AB86" i="6" s="1"/>
  <c r="BL86" i="6" s="1"/>
  <c r="AB87" i="6" s="1"/>
  <c r="BL87" i="6" s="1"/>
  <c r="AB88" i="6" s="1"/>
  <c r="BL88" i="6" s="1"/>
  <c r="AB89" i="6" s="1"/>
  <c r="BL89" i="6" s="1"/>
  <c r="AB90" i="6" s="1"/>
  <c r="BL90" i="6" s="1"/>
  <c r="AB91" i="6" s="1"/>
  <c r="BL91" i="6" s="1"/>
  <c r="AB92" i="6" s="1"/>
  <c r="BL92" i="6" s="1"/>
  <c r="AB93" i="6" s="1"/>
  <c r="BL93" i="6" s="1"/>
  <c r="AB94" i="6" s="1"/>
  <c r="BL94" i="6" s="1"/>
  <c r="AB95" i="6" s="1"/>
  <c r="BL95" i="6" s="1"/>
  <c r="AB96" i="6" s="1"/>
  <c r="BL96" i="6" s="1"/>
  <c r="AB97" i="6" s="1"/>
  <c r="BL97" i="6" s="1"/>
  <c r="AB98" i="6" s="1"/>
  <c r="BL98" i="6" s="1"/>
  <c r="AB99" i="6" s="1"/>
  <c r="BL99" i="6" s="1"/>
  <c r="AB100" i="6" s="1"/>
  <c r="BL100" i="6" s="1"/>
  <c r="AB101" i="6" s="1"/>
  <c r="BL101" i="6" s="1"/>
  <c r="AB102" i="6" s="1"/>
  <c r="BL102" i="6" s="1"/>
  <c r="AB103" i="6" s="1"/>
  <c r="BL103" i="6" s="1"/>
  <c r="AB104" i="6" s="1"/>
  <c r="BL104" i="6" s="1"/>
  <c r="AB105" i="6" s="1"/>
  <c r="BL105" i="6" s="1"/>
  <c r="AB106" i="6" s="1"/>
  <c r="BL106" i="6" s="1"/>
  <c r="AB107" i="6" s="1"/>
  <c r="BL107" i="6" s="1"/>
  <c r="AB108" i="6" s="1"/>
  <c r="BL108" i="6" s="1"/>
  <c r="AB109" i="6" s="1"/>
  <c r="BL109" i="6" s="1"/>
  <c r="AB110" i="6" s="1"/>
  <c r="BL110" i="6" s="1"/>
  <c r="AB111" i="6" s="1"/>
  <c r="AA78" i="6"/>
  <c r="BK78" i="6" s="1"/>
  <c r="AA79" i="6" s="1"/>
  <c r="BK79" i="6" s="1"/>
  <c r="AA80" i="6" s="1"/>
  <c r="BK80" i="6" s="1"/>
  <c r="AA81" i="6" s="1"/>
  <c r="BK81" i="6" s="1"/>
  <c r="Z78" i="6"/>
  <c r="BJ78" i="6" s="1"/>
  <c r="Z79" i="6" s="1"/>
  <c r="BJ79" i="6" s="1"/>
  <c r="Z80" i="6" s="1"/>
  <c r="BJ80" i="6" s="1"/>
  <c r="Z81" i="6" s="1"/>
  <c r="BJ81" i="6" s="1"/>
  <c r="Z82" i="6" s="1"/>
  <c r="BJ82" i="6" s="1"/>
  <c r="Z83" i="6" s="1"/>
  <c r="BJ83" i="6" s="1"/>
  <c r="Z84" i="6" s="1"/>
  <c r="BJ84" i="6" s="1"/>
  <c r="Z85" i="6" s="1"/>
  <c r="BJ85" i="6" s="1"/>
  <c r="Z86" i="6" s="1"/>
  <c r="BJ86" i="6" s="1"/>
  <c r="Z87" i="6" s="1"/>
  <c r="BJ87" i="6" s="1"/>
  <c r="Z88" i="6" s="1"/>
  <c r="BJ88" i="6" s="1"/>
  <c r="Z89" i="6" s="1"/>
  <c r="BJ89" i="6" s="1"/>
  <c r="Z90" i="6" s="1"/>
  <c r="BJ90" i="6" s="1"/>
  <c r="Z91" i="6" s="1"/>
  <c r="BJ91" i="6" s="1"/>
  <c r="Z92" i="6" s="1"/>
  <c r="BJ92" i="6" s="1"/>
  <c r="Z93" i="6" s="1"/>
  <c r="BJ93" i="6" s="1"/>
  <c r="Z94" i="6" s="1"/>
  <c r="BJ94" i="6" s="1"/>
  <c r="Z95" i="6" s="1"/>
  <c r="BJ95" i="6" s="1"/>
  <c r="Z96" i="6" s="1"/>
  <c r="BJ96" i="6" s="1"/>
  <c r="Z97" i="6" s="1"/>
  <c r="BJ97" i="6" s="1"/>
  <c r="Z98" i="6" s="1"/>
  <c r="BJ98" i="6" s="1"/>
  <c r="Z99" i="6" s="1"/>
  <c r="BJ99" i="6" s="1"/>
  <c r="Z100" i="6" s="1"/>
  <c r="BJ100" i="6" s="1"/>
  <c r="Z101" i="6" s="1"/>
  <c r="BJ101" i="6" s="1"/>
  <c r="Z102" i="6" s="1"/>
  <c r="BJ102" i="6" s="1"/>
  <c r="Z103" i="6" s="1"/>
  <c r="BJ103" i="6" s="1"/>
  <c r="Z104" i="6" s="1"/>
  <c r="BJ104" i="6" s="1"/>
  <c r="Z105" i="6" s="1"/>
  <c r="BJ105" i="6" s="1"/>
  <c r="Z106" i="6" s="1"/>
  <c r="BJ106" i="6" s="1"/>
  <c r="Z107" i="6" s="1"/>
  <c r="BJ107" i="6" s="1"/>
  <c r="Z108" i="6" s="1"/>
  <c r="BJ108" i="6" s="1"/>
  <c r="Z109" i="6" s="1"/>
  <c r="BJ109" i="6" s="1"/>
  <c r="Z110" i="6" s="1"/>
  <c r="BJ110" i="6" s="1"/>
  <c r="Z111" i="6" s="1"/>
  <c r="BJ111" i="6" s="1"/>
  <c r="Z112" i="6" s="1"/>
  <c r="BJ112" i="6" s="1"/>
  <c r="Z113" i="6" s="1"/>
  <c r="BJ113" i="6" s="1"/>
  <c r="Y78" i="6"/>
  <c r="BI78" i="6" s="1"/>
  <c r="Y79" i="6" s="1"/>
  <c r="BI79" i="6" s="1"/>
  <c r="Y80" i="6" s="1"/>
  <c r="BI80" i="6" s="1"/>
  <c r="Y81" i="6" s="1"/>
  <c r="BI81" i="6" s="1"/>
  <c r="Y82" i="6" s="1"/>
  <c r="BI82" i="6" s="1"/>
  <c r="Y83" i="6" s="1"/>
  <c r="BI83" i="6" s="1"/>
  <c r="Y84" i="6" s="1"/>
  <c r="BI84" i="6" s="1"/>
  <c r="Y85" i="6" s="1"/>
  <c r="BI85" i="6" s="1"/>
  <c r="Y86" i="6" s="1"/>
  <c r="BI86" i="6" s="1"/>
  <c r="Y87" i="6" s="1"/>
  <c r="BI87" i="6" s="1"/>
  <c r="Y88" i="6" s="1"/>
  <c r="BI88" i="6" s="1"/>
  <c r="Y89" i="6" s="1"/>
  <c r="BI89" i="6" s="1"/>
  <c r="Y90" i="6" s="1"/>
  <c r="BI90" i="6" s="1"/>
  <c r="Y91" i="6" s="1"/>
  <c r="BI91" i="6" s="1"/>
  <c r="Y92" i="6" s="1"/>
  <c r="BI92" i="6" s="1"/>
  <c r="Y93" i="6" s="1"/>
  <c r="BI93" i="6" s="1"/>
  <c r="Y94" i="6" s="1"/>
  <c r="BI94" i="6" s="1"/>
  <c r="Y95" i="6" s="1"/>
  <c r="BI95" i="6" s="1"/>
  <c r="Y96" i="6" s="1"/>
  <c r="BI96" i="6" s="1"/>
  <c r="Y97" i="6" s="1"/>
  <c r="BI97" i="6" s="1"/>
  <c r="Y98" i="6" s="1"/>
  <c r="BI98" i="6" s="1"/>
  <c r="Y99" i="6" s="1"/>
  <c r="BI99" i="6" s="1"/>
  <c r="Y100" i="6" s="1"/>
  <c r="BI100" i="6" s="1"/>
  <c r="Y101" i="6" s="1"/>
  <c r="BI101" i="6" s="1"/>
  <c r="Y102" i="6" s="1"/>
  <c r="BI102" i="6" s="1"/>
  <c r="Y103" i="6" s="1"/>
  <c r="BI103" i="6" s="1"/>
  <c r="Y104" i="6" s="1"/>
  <c r="BI104" i="6" s="1"/>
  <c r="Y105" i="6" s="1"/>
  <c r="BI105" i="6" s="1"/>
  <c r="Y106" i="6" s="1"/>
  <c r="BI106" i="6" s="1"/>
  <c r="Y107" i="6" s="1"/>
  <c r="BI107" i="6" s="1"/>
  <c r="Y108" i="6" s="1"/>
  <c r="BI108" i="6" s="1"/>
  <c r="Y109" i="6" s="1"/>
  <c r="BI109" i="6" s="1"/>
  <c r="Y110" i="6" s="1"/>
  <c r="BI110" i="6" s="1"/>
  <c r="Y111" i="6" s="1"/>
  <c r="BI111" i="6" s="1"/>
  <c r="Y112" i="6" s="1"/>
  <c r="BI112" i="6" s="1"/>
  <c r="Y113" i="6" s="1"/>
  <c r="BI113" i="6" s="1"/>
  <c r="X78" i="6"/>
  <c r="BH78" i="6" s="1"/>
  <c r="W78" i="6"/>
  <c r="BG78" i="6" s="1"/>
  <c r="W79" i="6" s="1"/>
  <c r="BG79" i="6" s="1"/>
  <c r="W80" i="6" s="1"/>
  <c r="V78" i="6"/>
  <c r="BF78" i="6" s="1"/>
  <c r="V79" i="6" s="1"/>
  <c r="BF79" i="6" s="1"/>
  <c r="V80" i="6" s="1"/>
  <c r="BF80" i="6" s="1"/>
  <c r="V81" i="6" s="1"/>
  <c r="BF81" i="6" s="1"/>
  <c r="V82" i="6" s="1"/>
  <c r="BF82" i="6" s="1"/>
  <c r="V83" i="6" s="1"/>
  <c r="BF83" i="6" s="1"/>
  <c r="V84" i="6" s="1"/>
  <c r="BF84" i="6" s="1"/>
  <c r="V85" i="6" s="1"/>
  <c r="BF85" i="6" s="1"/>
  <c r="V86" i="6" s="1"/>
  <c r="BF86" i="6" s="1"/>
  <c r="V87" i="6" s="1"/>
  <c r="BF87" i="6" s="1"/>
  <c r="V88" i="6" s="1"/>
  <c r="BF88" i="6" s="1"/>
  <c r="V89" i="6" s="1"/>
  <c r="BF89" i="6" s="1"/>
  <c r="V90" i="6" s="1"/>
  <c r="BF90" i="6" s="1"/>
  <c r="V91" i="6" s="1"/>
  <c r="BF91" i="6" s="1"/>
  <c r="V92" i="6" s="1"/>
  <c r="BF92" i="6" s="1"/>
  <c r="V93" i="6" s="1"/>
  <c r="BF93" i="6" s="1"/>
  <c r="V94" i="6" s="1"/>
  <c r="BF94" i="6" s="1"/>
  <c r="V95" i="6" s="1"/>
  <c r="BF95" i="6" s="1"/>
  <c r="V96" i="6" s="1"/>
  <c r="BF96" i="6" s="1"/>
  <c r="V97" i="6" s="1"/>
  <c r="BF97" i="6" s="1"/>
  <c r="V98" i="6" s="1"/>
  <c r="BF98" i="6" s="1"/>
  <c r="V99" i="6" s="1"/>
  <c r="BF99" i="6" s="1"/>
  <c r="V100" i="6" s="1"/>
  <c r="BF100" i="6" s="1"/>
  <c r="V101" i="6" s="1"/>
  <c r="U78" i="6"/>
  <c r="T78" i="6"/>
  <c r="BD78" i="6" s="1"/>
  <c r="T79" i="6" s="1"/>
  <c r="BD79" i="6" s="1"/>
  <c r="T80" i="6" s="1"/>
  <c r="S78" i="6"/>
  <c r="R78" i="6"/>
  <c r="BB78" i="6" s="1"/>
  <c r="R79" i="6" s="1"/>
  <c r="BB79" i="6" s="1"/>
  <c r="R80" i="6" s="1"/>
  <c r="BB80" i="6" s="1"/>
  <c r="R81" i="6" s="1"/>
  <c r="BB81" i="6" s="1"/>
  <c r="R82" i="6" s="1"/>
  <c r="BB82" i="6" s="1"/>
  <c r="R83" i="6" s="1"/>
  <c r="BB83" i="6" s="1"/>
  <c r="R84" i="6" s="1"/>
  <c r="BB84" i="6" s="1"/>
  <c r="R85" i="6" s="1"/>
  <c r="BB85" i="6" s="1"/>
  <c r="R86" i="6" s="1"/>
  <c r="BB86" i="6" s="1"/>
  <c r="R87" i="6" s="1"/>
  <c r="BB87" i="6" s="1"/>
  <c r="R88" i="6" s="1"/>
  <c r="BB88" i="6" s="1"/>
  <c r="R89" i="6" s="1"/>
  <c r="BB89" i="6" s="1"/>
  <c r="R90" i="6" s="1"/>
  <c r="BB90" i="6" s="1"/>
  <c r="R91" i="6" s="1"/>
  <c r="BB91" i="6" s="1"/>
  <c r="R92" i="6" s="1"/>
  <c r="BB92" i="6" s="1"/>
  <c r="R93" i="6" s="1"/>
  <c r="BB93" i="6" s="1"/>
  <c r="R94" i="6" s="1"/>
  <c r="BB94" i="6" s="1"/>
  <c r="R95" i="6" s="1"/>
  <c r="BB95" i="6" s="1"/>
  <c r="R96" i="6" s="1"/>
  <c r="BB96" i="6" s="1"/>
  <c r="R97" i="6" s="1"/>
  <c r="BB97" i="6" s="1"/>
  <c r="R98" i="6" s="1"/>
  <c r="BB98" i="6" s="1"/>
  <c r="R99" i="6" s="1"/>
  <c r="BB99" i="6" s="1"/>
  <c r="R100" i="6" s="1"/>
  <c r="BB100" i="6" s="1"/>
  <c r="R101" i="6" s="1"/>
  <c r="BB101" i="6" s="1"/>
  <c r="R102" i="6" s="1"/>
  <c r="BB102" i="6" s="1"/>
  <c r="R103" i="6" s="1"/>
  <c r="BB103" i="6" s="1"/>
  <c r="R104" i="6" s="1"/>
  <c r="BB104" i="6" s="1"/>
  <c r="R105" i="6" s="1"/>
  <c r="BB105" i="6" s="1"/>
  <c r="R106" i="6" s="1"/>
  <c r="BB106" i="6" s="1"/>
  <c r="R107" i="6" s="1"/>
  <c r="BB107" i="6" s="1"/>
  <c r="R108" i="6" s="1"/>
  <c r="BB108" i="6" s="1"/>
  <c r="R109" i="6" s="1"/>
  <c r="BB109" i="6" s="1"/>
  <c r="R110" i="6" s="1"/>
  <c r="BB110" i="6" s="1"/>
  <c r="R111" i="6" s="1"/>
  <c r="BB111" i="6" s="1"/>
  <c r="R112" i="6" s="1"/>
  <c r="BB112" i="6" s="1"/>
  <c r="R113" i="6" s="1"/>
  <c r="BB113" i="6" s="1"/>
  <c r="Q78" i="6"/>
  <c r="BA78" i="6" s="1"/>
  <c r="Q79" i="6" s="1"/>
  <c r="BA79" i="6" s="1"/>
  <c r="O78" i="6"/>
  <c r="AY78" i="6" s="1"/>
  <c r="O79" i="6" s="1"/>
  <c r="AY79" i="6" s="1"/>
  <c r="O80" i="6" s="1"/>
  <c r="AY80" i="6" s="1"/>
  <c r="O81" i="6" s="1"/>
  <c r="AY81" i="6" s="1"/>
  <c r="O82" i="6" s="1"/>
  <c r="AY82" i="6" s="1"/>
  <c r="O83" i="6" s="1"/>
  <c r="AY83" i="6" s="1"/>
  <c r="O84" i="6" s="1"/>
  <c r="AY84" i="6" s="1"/>
  <c r="O85" i="6" s="1"/>
  <c r="AY85" i="6" s="1"/>
  <c r="O86" i="6" s="1"/>
  <c r="AY86" i="6" s="1"/>
  <c r="O87" i="6" s="1"/>
  <c r="AY87" i="6" s="1"/>
  <c r="O88" i="6" s="1"/>
  <c r="AY88" i="6" s="1"/>
  <c r="O89" i="6" s="1"/>
  <c r="AY89" i="6" s="1"/>
  <c r="O90" i="6" s="1"/>
  <c r="AY90" i="6" s="1"/>
  <c r="O91" i="6" s="1"/>
  <c r="AY91" i="6" s="1"/>
  <c r="O92" i="6" s="1"/>
  <c r="AY92" i="6" s="1"/>
  <c r="O93" i="6" s="1"/>
  <c r="AY93" i="6" s="1"/>
  <c r="O94" i="6" s="1"/>
  <c r="AY94" i="6" s="1"/>
  <c r="O95" i="6" s="1"/>
  <c r="AY95" i="6" s="1"/>
  <c r="O96" i="6" s="1"/>
  <c r="AY96" i="6" s="1"/>
  <c r="O97" i="6" s="1"/>
  <c r="N78" i="6"/>
  <c r="AX78" i="6" s="1"/>
  <c r="N79" i="6" s="1"/>
  <c r="AX79" i="6" s="1"/>
  <c r="N80" i="6" s="1"/>
  <c r="AX80" i="6" s="1"/>
  <c r="N81" i="6" s="1"/>
  <c r="AX81" i="6" s="1"/>
  <c r="N82" i="6" s="1"/>
  <c r="AX82" i="6" s="1"/>
  <c r="N83" i="6" s="1"/>
  <c r="AX83" i="6" s="1"/>
  <c r="N84" i="6" s="1"/>
  <c r="AX84" i="6" s="1"/>
  <c r="M78" i="6"/>
  <c r="AW78" i="6" s="1"/>
  <c r="M79" i="6" s="1"/>
  <c r="AW79" i="6" s="1"/>
  <c r="M80" i="6" s="1"/>
  <c r="L78" i="6"/>
  <c r="H78" i="6"/>
  <c r="G78" i="6"/>
  <c r="AV78" i="6" s="1"/>
  <c r="L79" i="6" s="1"/>
  <c r="AV79" i="6" s="1"/>
  <c r="L80" i="6" s="1"/>
  <c r="AV80" i="6" s="1"/>
  <c r="L81" i="6" s="1"/>
  <c r="F78" i="6"/>
  <c r="E78" i="6"/>
  <c r="D78" i="6"/>
  <c r="C78" i="6"/>
  <c r="B78" i="6"/>
  <c r="A78" i="6"/>
  <c r="AO77" i="6"/>
  <c r="AE77" i="6"/>
  <c r="J77" i="6"/>
  <c r="H77" i="6"/>
  <c r="G77" i="6"/>
  <c r="F77" i="6"/>
  <c r="AI77" i="6" s="1"/>
  <c r="E77" i="6"/>
  <c r="D77" i="6"/>
  <c r="C77" i="6"/>
  <c r="B77" i="6"/>
  <c r="A77" i="6"/>
  <c r="AO76" i="6"/>
  <c r="AE76" i="6"/>
  <c r="K76" i="6"/>
  <c r="J76" i="6"/>
  <c r="I76" i="6"/>
  <c r="H76" i="6"/>
  <c r="G76" i="6"/>
  <c r="F76" i="6"/>
  <c r="E76" i="6"/>
  <c r="D76" i="6"/>
  <c r="C76" i="6"/>
  <c r="B76" i="6"/>
  <c r="A76" i="6"/>
  <c r="AO75" i="6"/>
  <c r="AI75" i="6"/>
  <c r="K75" i="6"/>
  <c r="J75" i="6"/>
  <c r="I75" i="6"/>
  <c r="H75" i="6"/>
  <c r="G75" i="6"/>
  <c r="F75" i="6"/>
  <c r="AE75" i="6" s="1"/>
  <c r="E75" i="6"/>
  <c r="D75" i="6"/>
  <c r="C75" i="6"/>
  <c r="B75" i="6"/>
  <c r="A75" i="6"/>
  <c r="AO74" i="6"/>
  <c r="AI74" i="6"/>
  <c r="AE74" i="6"/>
  <c r="K74" i="6"/>
  <c r="J74" i="6"/>
  <c r="H74" i="6"/>
  <c r="G74" i="6"/>
  <c r="F74" i="6"/>
  <c r="E74" i="6"/>
  <c r="D74" i="6"/>
  <c r="C74" i="6"/>
  <c r="B74" i="6"/>
  <c r="A74" i="6"/>
  <c r="AO73" i="6"/>
  <c r="H73" i="6"/>
  <c r="G73" i="6"/>
  <c r="F73" i="6"/>
  <c r="E73" i="6"/>
  <c r="D73" i="6"/>
  <c r="C73" i="6"/>
  <c r="B73" i="6"/>
  <c r="A73" i="6"/>
  <c r="AO72" i="6"/>
  <c r="I72" i="6"/>
  <c r="H72" i="6"/>
  <c r="G72" i="6"/>
  <c r="F72" i="6"/>
  <c r="AI72" i="6" s="1"/>
  <c r="E72" i="6"/>
  <c r="D72" i="6"/>
  <c r="C72" i="6"/>
  <c r="B72" i="6"/>
  <c r="A72" i="6"/>
  <c r="AO71" i="6"/>
  <c r="AE71" i="6"/>
  <c r="I71" i="6"/>
  <c r="H71" i="6"/>
  <c r="G71" i="6"/>
  <c r="F71" i="6"/>
  <c r="E71" i="6"/>
  <c r="D71" i="6"/>
  <c r="C71" i="6"/>
  <c r="B71" i="6"/>
  <c r="A71" i="6"/>
  <c r="AO70" i="6"/>
  <c r="AI70" i="6"/>
  <c r="AE70" i="6"/>
  <c r="K70" i="6"/>
  <c r="J70" i="6"/>
  <c r="I70" i="6"/>
  <c r="H70" i="6"/>
  <c r="G70" i="6"/>
  <c r="F70" i="6"/>
  <c r="E70" i="6"/>
  <c r="D70" i="6"/>
  <c r="C70" i="6"/>
  <c r="B70" i="6"/>
  <c r="A70" i="6"/>
  <c r="AO69" i="6"/>
  <c r="J69" i="6"/>
  <c r="H69" i="6"/>
  <c r="G69" i="6"/>
  <c r="F69" i="6"/>
  <c r="AE69" i="6" s="1"/>
  <c r="E69" i="6"/>
  <c r="D69" i="6"/>
  <c r="C69" i="6"/>
  <c r="B69" i="6"/>
  <c r="A69" i="6"/>
  <c r="AO68" i="6"/>
  <c r="J68" i="6"/>
  <c r="I68" i="6"/>
  <c r="H68" i="6"/>
  <c r="G68" i="6"/>
  <c r="F68" i="6"/>
  <c r="AI68" i="6" s="1"/>
  <c r="E68" i="6"/>
  <c r="D68" i="6"/>
  <c r="C68" i="6"/>
  <c r="B68" i="6"/>
  <c r="A68" i="6"/>
  <c r="AO67" i="6"/>
  <c r="AI67" i="6"/>
  <c r="AE67" i="6"/>
  <c r="K67" i="6"/>
  <c r="H67" i="6"/>
  <c r="G67" i="6"/>
  <c r="F67" i="6"/>
  <c r="J67" i="6" s="1"/>
  <c r="E67" i="6"/>
  <c r="D67" i="6"/>
  <c r="C67" i="6"/>
  <c r="B67" i="6"/>
  <c r="A67" i="6"/>
  <c r="AO66" i="6"/>
  <c r="AE66" i="6"/>
  <c r="H66" i="6"/>
  <c r="G66" i="6"/>
  <c r="F66" i="6"/>
  <c r="E66" i="6"/>
  <c r="D66" i="6"/>
  <c r="C66" i="6"/>
  <c r="B66" i="6"/>
  <c r="A66" i="6"/>
  <c r="AO65" i="6"/>
  <c r="AE65" i="6"/>
  <c r="J65" i="6"/>
  <c r="H65" i="6"/>
  <c r="G65" i="6"/>
  <c r="F65" i="6"/>
  <c r="AI65" i="6" s="1"/>
  <c r="E65" i="6"/>
  <c r="D65" i="6"/>
  <c r="C65" i="6"/>
  <c r="B65" i="6"/>
  <c r="A65" i="6"/>
  <c r="AT64" i="6"/>
  <c r="AE64" i="6"/>
  <c r="K64" i="6"/>
  <c r="J64" i="6"/>
  <c r="I64" i="6"/>
  <c r="H64" i="6"/>
  <c r="G64" i="6"/>
  <c r="F64" i="6"/>
  <c r="E64" i="6"/>
  <c r="D64" i="6"/>
  <c r="C64" i="6"/>
  <c r="B64" i="6"/>
  <c r="A64" i="6"/>
  <c r="AT63" i="6"/>
  <c r="AO63" i="6"/>
  <c r="K63" i="6"/>
  <c r="J63" i="6"/>
  <c r="I63" i="6"/>
  <c r="H63" i="6"/>
  <c r="G63" i="6"/>
  <c r="F63" i="6"/>
  <c r="AE63" i="6" s="1"/>
  <c r="E63" i="6"/>
  <c r="D63" i="6"/>
  <c r="C63" i="6"/>
  <c r="B63" i="6"/>
  <c r="A63" i="6"/>
  <c r="AT62" i="6"/>
  <c r="AO62" i="6"/>
  <c r="AI62" i="6"/>
  <c r="AE62" i="6"/>
  <c r="K62" i="6"/>
  <c r="J62" i="6"/>
  <c r="H62" i="6"/>
  <c r="G62" i="6"/>
  <c r="F62" i="6"/>
  <c r="E62" i="6"/>
  <c r="D62" i="6"/>
  <c r="C62" i="6"/>
  <c r="B62" i="6"/>
  <c r="A62" i="6"/>
  <c r="AT61" i="6"/>
  <c r="AO61" i="6"/>
  <c r="H61" i="6"/>
  <c r="G61" i="6"/>
  <c r="F61" i="6"/>
  <c r="E61" i="6"/>
  <c r="D61" i="6"/>
  <c r="C61" i="6"/>
  <c r="B61" i="6"/>
  <c r="A61" i="6"/>
  <c r="AT60" i="6"/>
  <c r="AO60" i="6"/>
  <c r="I60" i="6"/>
  <c r="H60" i="6"/>
  <c r="G60" i="6"/>
  <c r="F60" i="6"/>
  <c r="AI60" i="6" s="1"/>
  <c r="E60" i="6"/>
  <c r="D60" i="6"/>
  <c r="C60" i="6"/>
  <c r="B60" i="6"/>
  <c r="A60" i="6"/>
  <c r="AT59" i="6"/>
  <c r="AO59" i="6"/>
  <c r="AF59" i="6"/>
  <c r="AE59" i="6"/>
  <c r="H59" i="6"/>
  <c r="G59" i="6"/>
  <c r="F59" i="6"/>
  <c r="E59" i="6"/>
  <c r="D59" i="6"/>
  <c r="C59" i="6"/>
  <c r="B59" i="6"/>
  <c r="A59" i="6"/>
  <c r="AT58" i="6"/>
  <c r="AI58" i="6"/>
  <c r="AE58" i="6"/>
  <c r="K58" i="6"/>
  <c r="J58" i="6"/>
  <c r="I58" i="6"/>
  <c r="H58" i="6"/>
  <c r="G58" i="6"/>
  <c r="F58" i="6"/>
  <c r="E58" i="6"/>
  <c r="D58" i="6"/>
  <c r="C58" i="6"/>
  <c r="B58" i="6"/>
  <c r="A58" i="6"/>
  <c r="AT57" i="6"/>
  <c r="AO57" i="6"/>
  <c r="AF57" i="6"/>
  <c r="J57" i="6"/>
  <c r="H57" i="6"/>
  <c r="G57" i="6"/>
  <c r="F57" i="6"/>
  <c r="AE57" i="6" s="1"/>
  <c r="E57" i="6"/>
  <c r="D57" i="6"/>
  <c r="C57" i="6"/>
  <c r="B57" i="6"/>
  <c r="A57" i="6"/>
  <c r="AT56" i="6"/>
  <c r="AO56" i="6"/>
  <c r="AF56" i="6"/>
  <c r="J56" i="6"/>
  <c r="I56" i="6"/>
  <c r="H56" i="6"/>
  <c r="G56" i="6"/>
  <c r="F56" i="6"/>
  <c r="AI56" i="6" s="1"/>
  <c r="E56" i="6"/>
  <c r="D56" i="6"/>
  <c r="C56" i="6"/>
  <c r="B56" i="6"/>
  <c r="A56" i="6"/>
  <c r="AT55" i="6"/>
  <c r="AO55" i="6"/>
  <c r="AI55" i="6"/>
  <c r="AF55" i="6"/>
  <c r="AE55" i="6"/>
  <c r="X55" i="6"/>
  <c r="BH55" i="6" s="1"/>
  <c r="X56" i="6" s="1"/>
  <c r="BH56" i="6" s="1"/>
  <c r="X57" i="6" s="1"/>
  <c r="BH57" i="6" s="1"/>
  <c r="X58" i="6" s="1"/>
  <c r="BH58" i="6" s="1"/>
  <c r="X59" i="6" s="1"/>
  <c r="BH59" i="6" s="1"/>
  <c r="X60" i="6" s="1"/>
  <c r="BH60" i="6" s="1"/>
  <c r="X61" i="6" s="1"/>
  <c r="BH61" i="6" s="1"/>
  <c r="X62" i="6" s="1"/>
  <c r="BH62" i="6" s="1"/>
  <c r="X63" i="6" s="1"/>
  <c r="BH63" i="6" s="1"/>
  <c r="X64" i="6" s="1"/>
  <c r="BH64" i="6" s="1"/>
  <c r="X65" i="6" s="1"/>
  <c r="BH65" i="6" s="1"/>
  <c r="X66" i="6" s="1"/>
  <c r="BH66" i="6" s="1"/>
  <c r="X67" i="6" s="1"/>
  <c r="BH67" i="6" s="1"/>
  <c r="X68" i="6" s="1"/>
  <c r="BH68" i="6" s="1"/>
  <c r="X69" i="6" s="1"/>
  <c r="BH69" i="6" s="1"/>
  <c r="X70" i="6" s="1"/>
  <c r="BH70" i="6" s="1"/>
  <c r="X71" i="6" s="1"/>
  <c r="BH71" i="6" s="1"/>
  <c r="X72" i="6" s="1"/>
  <c r="BH72" i="6" s="1"/>
  <c r="X73" i="6" s="1"/>
  <c r="BH73" i="6" s="1"/>
  <c r="X74" i="6" s="1"/>
  <c r="BH74" i="6" s="1"/>
  <c r="X75" i="6" s="1"/>
  <c r="BH75" i="6" s="1"/>
  <c r="X76" i="6" s="1"/>
  <c r="BH76" i="6" s="1"/>
  <c r="X77" i="6" s="1"/>
  <c r="BH77" i="6" s="1"/>
  <c r="K55" i="6"/>
  <c r="J55" i="6"/>
  <c r="H55" i="6"/>
  <c r="G55" i="6"/>
  <c r="F55" i="6"/>
  <c r="E55" i="6"/>
  <c r="D55" i="6"/>
  <c r="C55" i="6"/>
  <c r="B55" i="6"/>
  <c r="A55" i="6"/>
  <c r="AT54" i="6"/>
  <c r="AO54" i="6"/>
  <c r="AE54" i="6"/>
  <c r="H54" i="6"/>
  <c r="G54" i="6"/>
  <c r="F54" i="6"/>
  <c r="E54" i="6"/>
  <c r="D54" i="6"/>
  <c r="C54" i="6"/>
  <c r="B54" i="6"/>
  <c r="A54" i="6"/>
  <c r="AT53" i="6"/>
  <c r="AE53" i="6"/>
  <c r="J53" i="6"/>
  <c r="H53" i="6"/>
  <c r="G53" i="6"/>
  <c r="F53" i="6"/>
  <c r="AI53" i="6" s="1"/>
  <c r="E53" i="6"/>
  <c r="D53" i="6"/>
  <c r="C53" i="6"/>
  <c r="B53" i="6"/>
  <c r="A53" i="6"/>
  <c r="AT52" i="6"/>
  <c r="AE52" i="6"/>
  <c r="K52" i="6"/>
  <c r="J52" i="6"/>
  <c r="I52" i="6"/>
  <c r="H52" i="6"/>
  <c r="G52" i="6"/>
  <c r="F52" i="6"/>
  <c r="E52" i="6"/>
  <c r="D52" i="6"/>
  <c r="C52" i="6"/>
  <c r="B52" i="6"/>
  <c r="A52" i="6"/>
  <c r="AT51" i="6"/>
  <c r="AO51" i="6"/>
  <c r="AI51" i="6"/>
  <c r="K51" i="6"/>
  <c r="J51" i="6"/>
  <c r="I51" i="6"/>
  <c r="H51" i="6"/>
  <c r="AF51" i="6" s="1"/>
  <c r="G51" i="6"/>
  <c r="F51" i="6"/>
  <c r="AE51" i="6" s="1"/>
  <c r="E51" i="6"/>
  <c r="D51" i="6"/>
  <c r="C51" i="6"/>
  <c r="B51" i="6"/>
  <c r="A51" i="6"/>
  <c r="AT50" i="6"/>
  <c r="AO50" i="6"/>
  <c r="AE50" i="6"/>
  <c r="K50" i="6"/>
  <c r="J50" i="6"/>
  <c r="H50" i="6"/>
  <c r="G50" i="6"/>
  <c r="AI50" i="6" s="1"/>
  <c r="F50" i="6"/>
  <c r="E50" i="6"/>
  <c r="D50" i="6"/>
  <c r="C50" i="6"/>
  <c r="B50" i="6"/>
  <c r="A50" i="6"/>
  <c r="AT49" i="6"/>
  <c r="AO49" i="6"/>
  <c r="AF49" i="6"/>
  <c r="H49" i="6"/>
  <c r="G49" i="6"/>
  <c r="F49" i="6"/>
  <c r="E49" i="6"/>
  <c r="D49" i="6"/>
  <c r="C49" i="6"/>
  <c r="B49" i="6"/>
  <c r="A49" i="6"/>
  <c r="AT48" i="6"/>
  <c r="AO48" i="6"/>
  <c r="I48" i="6"/>
  <c r="H48" i="6"/>
  <c r="AF48" i="6" s="1"/>
  <c r="G48" i="6"/>
  <c r="F48" i="6"/>
  <c r="AI48" i="6" s="1"/>
  <c r="E48" i="6"/>
  <c r="D48" i="6"/>
  <c r="C48" i="6"/>
  <c r="B48" i="6"/>
  <c r="A48" i="6"/>
  <c r="AT47" i="6"/>
  <c r="AE47" i="6"/>
  <c r="H47" i="6"/>
  <c r="G47" i="6"/>
  <c r="F47" i="6"/>
  <c r="E47" i="6"/>
  <c r="D47" i="6"/>
  <c r="C47" i="6"/>
  <c r="B47" i="6"/>
  <c r="A47" i="6"/>
  <c r="AT46" i="6"/>
  <c r="AI46" i="6"/>
  <c r="AE46" i="6"/>
  <c r="K46" i="6"/>
  <c r="J46" i="6"/>
  <c r="I46" i="6"/>
  <c r="H46" i="6"/>
  <c r="G46" i="6"/>
  <c r="F46" i="6"/>
  <c r="E46" i="6"/>
  <c r="D46" i="6"/>
  <c r="C46" i="6"/>
  <c r="B46" i="6"/>
  <c r="A46" i="6"/>
  <c r="AT45" i="6"/>
  <c r="AO45" i="6"/>
  <c r="J45" i="6"/>
  <c r="H45" i="6"/>
  <c r="G45" i="6"/>
  <c r="F45" i="6"/>
  <c r="E45" i="6"/>
  <c r="D45" i="6"/>
  <c r="C45" i="6"/>
  <c r="B45" i="6"/>
  <c r="A45" i="6"/>
  <c r="AT44" i="6"/>
  <c r="AO44" i="6"/>
  <c r="AF44" i="6"/>
  <c r="Y44" i="6"/>
  <c r="BI44" i="6" s="1"/>
  <c r="Y45" i="6" s="1"/>
  <c r="BI45" i="6" s="1"/>
  <c r="Y46" i="6" s="1"/>
  <c r="BI46" i="6" s="1"/>
  <c r="Y47" i="6" s="1"/>
  <c r="BI47" i="6" s="1"/>
  <c r="Y48" i="6" s="1"/>
  <c r="BI48" i="6" s="1"/>
  <c r="Y49" i="6" s="1"/>
  <c r="BI49" i="6" s="1"/>
  <c r="Y50" i="6" s="1"/>
  <c r="BI50" i="6" s="1"/>
  <c r="Y51" i="6" s="1"/>
  <c r="BI51" i="6" s="1"/>
  <c r="Y52" i="6" s="1"/>
  <c r="BI52" i="6" s="1"/>
  <c r="Y53" i="6" s="1"/>
  <c r="BI53" i="6" s="1"/>
  <c r="Y54" i="6" s="1"/>
  <c r="BI54" i="6" s="1"/>
  <c r="Y55" i="6" s="1"/>
  <c r="BI55" i="6" s="1"/>
  <c r="Y56" i="6" s="1"/>
  <c r="BI56" i="6" s="1"/>
  <c r="Y57" i="6" s="1"/>
  <c r="BI57" i="6" s="1"/>
  <c r="Y58" i="6" s="1"/>
  <c r="BI58" i="6" s="1"/>
  <c r="Y59" i="6" s="1"/>
  <c r="BI59" i="6" s="1"/>
  <c r="Y60" i="6" s="1"/>
  <c r="BI60" i="6" s="1"/>
  <c r="Y61" i="6" s="1"/>
  <c r="BI61" i="6" s="1"/>
  <c r="Y62" i="6" s="1"/>
  <c r="BI62" i="6" s="1"/>
  <c r="Y63" i="6" s="1"/>
  <c r="BI63" i="6" s="1"/>
  <c r="Y64" i="6" s="1"/>
  <c r="BI64" i="6" s="1"/>
  <c r="Y65" i="6" s="1"/>
  <c r="BI65" i="6" s="1"/>
  <c r="Y66" i="6" s="1"/>
  <c r="BI66" i="6" s="1"/>
  <c r="Y67" i="6" s="1"/>
  <c r="BI67" i="6" s="1"/>
  <c r="Y68" i="6" s="1"/>
  <c r="BI68" i="6" s="1"/>
  <c r="Y69" i="6" s="1"/>
  <c r="BI69" i="6" s="1"/>
  <c r="Y70" i="6" s="1"/>
  <c r="BI70" i="6" s="1"/>
  <c r="Y71" i="6" s="1"/>
  <c r="BI71" i="6" s="1"/>
  <c r="Y72" i="6" s="1"/>
  <c r="BI72" i="6" s="1"/>
  <c r="Y73" i="6" s="1"/>
  <c r="BI73" i="6" s="1"/>
  <c r="Y74" i="6" s="1"/>
  <c r="BI74" i="6" s="1"/>
  <c r="Y75" i="6" s="1"/>
  <c r="BI75" i="6" s="1"/>
  <c r="Y76" i="6" s="1"/>
  <c r="BI76" i="6" s="1"/>
  <c r="Y77" i="6" s="1"/>
  <c r="BI77" i="6" s="1"/>
  <c r="M44" i="6"/>
  <c r="J44" i="6"/>
  <c r="I44" i="6"/>
  <c r="H44" i="6"/>
  <c r="G44" i="6"/>
  <c r="F44" i="6"/>
  <c r="AI44" i="6" s="1"/>
  <c r="E44" i="6"/>
  <c r="D44" i="6"/>
  <c r="C44" i="6"/>
  <c r="B44" i="6"/>
  <c r="A44" i="6"/>
  <c r="BH43" i="6"/>
  <c r="X44" i="6" s="1"/>
  <c r="BH44" i="6" s="1"/>
  <c r="X45" i="6" s="1"/>
  <c r="BH45" i="6" s="1"/>
  <c r="X46" i="6" s="1"/>
  <c r="BH46" i="6" s="1"/>
  <c r="X47" i="6" s="1"/>
  <c r="BH47" i="6" s="1"/>
  <c r="X48" i="6" s="1"/>
  <c r="BH48" i="6" s="1"/>
  <c r="X49" i="6" s="1"/>
  <c r="BH49" i="6" s="1"/>
  <c r="X50" i="6" s="1"/>
  <c r="BH50" i="6" s="1"/>
  <c r="X51" i="6" s="1"/>
  <c r="BH51" i="6" s="1"/>
  <c r="X52" i="6" s="1"/>
  <c r="BH52" i="6" s="1"/>
  <c r="X53" i="6" s="1"/>
  <c r="BH53" i="6" s="1"/>
  <c r="X54" i="6" s="1"/>
  <c r="BH54" i="6" s="1"/>
  <c r="AT43" i="6"/>
  <c r="AO43" i="6"/>
  <c r="AI43" i="6"/>
  <c r="AF43" i="6"/>
  <c r="AE43" i="6"/>
  <c r="X43" i="6"/>
  <c r="K43" i="6"/>
  <c r="J43" i="6"/>
  <c r="H43" i="6"/>
  <c r="G43" i="6"/>
  <c r="F43" i="6"/>
  <c r="E43" i="6"/>
  <c r="D43" i="6"/>
  <c r="C43" i="6"/>
  <c r="B43" i="6"/>
  <c r="A43" i="6"/>
  <c r="BO42" i="6"/>
  <c r="BN43" i="6" s="1"/>
  <c r="BO43" i="6" s="1"/>
  <c r="BN44" i="6" s="1"/>
  <c r="BO44" i="6" s="1"/>
  <c r="BN45" i="6" s="1"/>
  <c r="BO45" i="6" s="1"/>
  <c r="BN46" i="6" s="1"/>
  <c r="BO46" i="6" s="1"/>
  <c r="BN47" i="6" s="1"/>
  <c r="BO47" i="6" s="1"/>
  <c r="BN48" i="6" s="1"/>
  <c r="BO48" i="6" s="1"/>
  <c r="BN49" i="6" s="1"/>
  <c r="BO49" i="6" s="1"/>
  <c r="BN50" i="6" s="1"/>
  <c r="BO50" i="6" s="1"/>
  <c r="BN51" i="6" s="1"/>
  <c r="BO51" i="6" s="1"/>
  <c r="BN52" i="6" s="1"/>
  <c r="BN42" i="6"/>
  <c r="BE42" i="6"/>
  <c r="BE43" i="6" s="1"/>
  <c r="AT42" i="6"/>
  <c r="AO42" i="6"/>
  <c r="AF42" i="6"/>
  <c r="AE42" i="6"/>
  <c r="AC42" i="6"/>
  <c r="BM42" i="6" s="1"/>
  <c r="AC43" i="6" s="1"/>
  <c r="BM43" i="6" s="1"/>
  <c r="AC44" i="6" s="1"/>
  <c r="BM44" i="6" s="1"/>
  <c r="AC45" i="6" s="1"/>
  <c r="BM45" i="6" s="1"/>
  <c r="AC46" i="6" s="1"/>
  <c r="BM46" i="6" s="1"/>
  <c r="AC47" i="6" s="1"/>
  <c r="BM47" i="6" s="1"/>
  <c r="AC48" i="6" s="1"/>
  <c r="BM48" i="6" s="1"/>
  <c r="AC49" i="6" s="1"/>
  <c r="BM49" i="6" s="1"/>
  <c r="AC50" i="6" s="1"/>
  <c r="BM50" i="6" s="1"/>
  <c r="AC51" i="6" s="1"/>
  <c r="BM51" i="6" s="1"/>
  <c r="AC52" i="6" s="1"/>
  <c r="BM52" i="6" s="1"/>
  <c r="AC53" i="6" s="1"/>
  <c r="BM53" i="6" s="1"/>
  <c r="AC54" i="6" s="1"/>
  <c r="BM54" i="6" s="1"/>
  <c r="AC55" i="6" s="1"/>
  <c r="BM55" i="6" s="1"/>
  <c r="AC56" i="6" s="1"/>
  <c r="BM56" i="6" s="1"/>
  <c r="AC57" i="6" s="1"/>
  <c r="BM57" i="6" s="1"/>
  <c r="AC58" i="6" s="1"/>
  <c r="BM58" i="6" s="1"/>
  <c r="AC59" i="6" s="1"/>
  <c r="BM59" i="6" s="1"/>
  <c r="AC60" i="6" s="1"/>
  <c r="BM60" i="6" s="1"/>
  <c r="AC61" i="6" s="1"/>
  <c r="BM61" i="6" s="1"/>
  <c r="AC62" i="6" s="1"/>
  <c r="BM62" i="6" s="1"/>
  <c r="AC63" i="6" s="1"/>
  <c r="BM63" i="6" s="1"/>
  <c r="AC64" i="6" s="1"/>
  <c r="BM64" i="6" s="1"/>
  <c r="AC65" i="6" s="1"/>
  <c r="BM65" i="6" s="1"/>
  <c r="AC66" i="6" s="1"/>
  <c r="BM66" i="6" s="1"/>
  <c r="AC67" i="6" s="1"/>
  <c r="BM67" i="6" s="1"/>
  <c r="AC68" i="6" s="1"/>
  <c r="BM68" i="6" s="1"/>
  <c r="AC69" i="6" s="1"/>
  <c r="BM69" i="6" s="1"/>
  <c r="AC70" i="6" s="1"/>
  <c r="BM70" i="6" s="1"/>
  <c r="AC71" i="6" s="1"/>
  <c r="BM71" i="6" s="1"/>
  <c r="AC72" i="6" s="1"/>
  <c r="BM72" i="6" s="1"/>
  <c r="AC73" i="6" s="1"/>
  <c r="BM73" i="6" s="1"/>
  <c r="AC74" i="6" s="1"/>
  <c r="BM74" i="6" s="1"/>
  <c r="AC75" i="6" s="1"/>
  <c r="BM75" i="6" s="1"/>
  <c r="AC76" i="6" s="1"/>
  <c r="BM76" i="6" s="1"/>
  <c r="AC77" i="6" s="1"/>
  <c r="BM77" i="6" s="1"/>
  <c r="AB42" i="6"/>
  <c r="BL42" i="6" s="1"/>
  <c r="AB43" i="6" s="1"/>
  <c r="BL43" i="6" s="1"/>
  <c r="AB44" i="6" s="1"/>
  <c r="BL44" i="6" s="1"/>
  <c r="AB45" i="6" s="1"/>
  <c r="BL45" i="6" s="1"/>
  <c r="AB46" i="6" s="1"/>
  <c r="BL46" i="6" s="1"/>
  <c r="AB47" i="6" s="1"/>
  <c r="BL47" i="6" s="1"/>
  <c r="AB48" i="6" s="1"/>
  <c r="BL48" i="6" s="1"/>
  <c r="AB49" i="6" s="1"/>
  <c r="BL49" i="6" s="1"/>
  <c r="AB50" i="6" s="1"/>
  <c r="BL50" i="6" s="1"/>
  <c r="AB51" i="6" s="1"/>
  <c r="BL51" i="6" s="1"/>
  <c r="AB52" i="6" s="1"/>
  <c r="BL52" i="6" s="1"/>
  <c r="AB53" i="6" s="1"/>
  <c r="BL53" i="6" s="1"/>
  <c r="AB54" i="6" s="1"/>
  <c r="BL54" i="6" s="1"/>
  <c r="AB55" i="6" s="1"/>
  <c r="BL55" i="6" s="1"/>
  <c r="AB56" i="6" s="1"/>
  <c r="BL56" i="6" s="1"/>
  <c r="AB57" i="6" s="1"/>
  <c r="BL57" i="6" s="1"/>
  <c r="AB58" i="6" s="1"/>
  <c r="BL58" i="6" s="1"/>
  <c r="AB59" i="6" s="1"/>
  <c r="BL59" i="6" s="1"/>
  <c r="AB60" i="6" s="1"/>
  <c r="BL60" i="6" s="1"/>
  <c r="AB61" i="6" s="1"/>
  <c r="BL61" i="6" s="1"/>
  <c r="AB62" i="6" s="1"/>
  <c r="BL62" i="6" s="1"/>
  <c r="AB63" i="6" s="1"/>
  <c r="BL63" i="6" s="1"/>
  <c r="AB64" i="6" s="1"/>
  <c r="BL64" i="6" s="1"/>
  <c r="AB65" i="6" s="1"/>
  <c r="BL65" i="6" s="1"/>
  <c r="AB66" i="6" s="1"/>
  <c r="BL66" i="6" s="1"/>
  <c r="AB67" i="6" s="1"/>
  <c r="BL67" i="6" s="1"/>
  <c r="AB68" i="6" s="1"/>
  <c r="BL68" i="6" s="1"/>
  <c r="AB69" i="6" s="1"/>
  <c r="BL69" i="6" s="1"/>
  <c r="AB70" i="6" s="1"/>
  <c r="BL70" i="6" s="1"/>
  <c r="AB71" i="6" s="1"/>
  <c r="BL71" i="6" s="1"/>
  <c r="AB72" i="6" s="1"/>
  <c r="BL72" i="6" s="1"/>
  <c r="AB73" i="6" s="1"/>
  <c r="BL73" i="6" s="1"/>
  <c r="AB74" i="6" s="1"/>
  <c r="BL74" i="6" s="1"/>
  <c r="AB75" i="6" s="1"/>
  <c r="BL75" i="6" s="1"/>
  <c r="AB76" i="6" s="1"/>
  <c r="BL76" i="6" s="1"/>
  <c r="AB77" i="6" s="1"/>
  <c r="BL77" i="6" s="1"/>
  <c r="AA42" i="6"/>
  <c r="BK42" i="6" s="1"/>
  <c r="AA43" i="6" s="1"/>
  <c r="BK43" i="6" s="1"/>
  <c r="AA44" i="6" s="1"/>
  <c r="BK44" i="6" s="1"/>
  <c r="AA45" i="6" s="1"/>
  <c r="BK45" i="6" s="1"/>
  <c r="AA46" i="6" s="1"/>
  <c r="BK46" i="6" s="1"/>
  <c r="AA47" i="6" s="1"/>
  <c r="BK47" i="6" s="1"/>
  <c r="AA48" i="6" s="1"/>
  <c r="BK48" i="6" s="1"/>
  <c r="AA49" i="6" s="1"/>
  <c r="BK49" i="6" s="1"/>
  <c r="AA50" i="6" s="1"/>
  <c r="BK50" i="6" s="1"/>
  <c r="AA51" i="6" s="1"/>
  <c r="BK51" i="6" s="1"/>
  <c r="AA52" i="6" s="1"/>
  <c r="BK52" i="6" s="1"/>
  <c r="AA53" i="6" s="1"/>
  <c r="BK53" i="6" s="1"/>
  <c r="AA54" i="6" s="1"/>
  <c r="BK54" i="6" s="1"/>
  <c r="AA55" i="6" s="1"/>
  <c r="BK55" i="6" s="1"/>
  <c r="AA56" i="6" s="1"/>
  <c r="BK56" i="6" s="1"/>
  <c r="AA57" i="6" s="1"/>
  <c r="BK57" i="6" s="1"/>
  <c r="AA58" i="6" s="1"/>
  <c r="BK58" i="6" s="1"/>
  <c r="AA59" i="6" s="1"/>
  <c r="BK59" i="6" s="1"/>
  <c r="AA60" i="6" s="1"/>
  <c r="BK60" i="6" s="1"/>
  <c r="AA61" i="6" s="1"/>
  <c r="BK61" i="6" s="1"/>
  <c r="AA62" i="6" s="1"/>
  <c r="BK62" i="6" s="1"/>
  <c r="AA63" i="6" s="1"/>
  <c r="BK63" i="6" s="1"/>
  <c r="AA64" i="6" s="1"/>
  <c r="BK64" i="6" s="1"/>
  <c r="AA65" i="6" s="1"/>
  <c r="BK65" i="6" s="1"/>
  <c r="AA66" i="6" s="1"/>
  <c r="BK66" i="6" s="1"/>
  <c r="AA67" i="6" s="1"/>
  <c r="BK67" i="6" s="1"/>
  <c r="AA68" i="6" s="1"/>
  <c r="BK68" i="6" s="1"/>
  <c r="AA69" i="6" s="1"/>
  <c r="BK69" i="6" s="1"/>
  <c r="AA70" i="6" s="1"/>
  <c r="BK70" i="6" s="1"/>
  <c r="AA71" i="6" s="1"/>
  <c r="BK71" i="6" s="1"/>
  <c r="AA72" i="6" s="1"/>
  <c r="BK72" i="6" s="1"/>
  <c r="AA73" i="6" s="1"/>
  <c r="BK73" i="6" s="1"/>
  <c r="AA74" i="6" s="1"/>
  <c r="BK74" i="6" s="1"/>
  <c r="AA75" i="6" s="1"/>
  <c r="BK75" i="6" s="1"/>
  <c r="AA76" i="6" s="1"/>
  <c r="BK76" i="6" s="1"/>
  <c r="AA77" i="6" s="1"/>
  <c r="BK77" i="6" s="1"/>
  <c r="Z42" i="6"/>
  <c r="BJ42" i="6" s="1"/>
  <c r="Z43" i="6" s="1"/>
  <c r="BJ43" i="6" s="1"/>
  <c r="Z44" i="6" s="1"/>
  <c r="BJ44" i="6" s="1"/>
  <c r="Z45" i="6" s="1"/>
  <c r="BJ45" i="6" s="1"/>
  <c r="Z46" i="6" s="1"/>
  <c r="BJ46" i="6" s="1"/>
  <c r="Z47" i="6" s="1"/>
  <c r="BJ47" i="6" s="1"/>
  <c r="Z48" i="6" s="1"/>
  <c r="BJ48" i="6" s="1"/>
  <c r="Z49" i="6" s="1"/>
  <c r="BJ49" i="6" s="1"/>
  <c r="Z50" i="6" s="1"/>
  <c r="BJ50" i="6" s="1"/>
  <c r="Z51" i="6" s="1"/>
  <c r="BJ51" i="6" s="1"/>
  <c r="Z52" i="6" s="1"/>
  <c r="BJ52" i="6" s="1"/>
  <c r="Z53" i="6" s="1"/>
  <c r="BJ53" i="6" s="1"/>
  <c r="Z54" i="6" s="1"/>
  <c r="BJ54" i="6" s="1"/>
  <c r="Z55" i="6" s="1"/>
  <c r="BJ55" i="6" s="1"/>
  <c r="Z56" i="6" s="1"/>
  <c r="BJ56" i="6" s="1"/>
  <c r="Z57" i="6" s="1"/>
  <c r="BJ57" i="6" s="1"/>
  <c r="Z58" i="6" s="1"/>
  <c r="BJ58" i="6" s="1"/>
  <c r="Z59" i="6" s="1"/>
  <c r="BJ59" i="6" s="1"/>
  <c r="Z60" i="6" s="1"/>
  <c r="BJ60" i="6" s="1"/>
  <c r="Z61" i="6" s="1"/>
  <c r="BJ61" i="6" s="1"/>
  <c r="Z62" i="6" s="1"/>
  <c r="BJ62" i="6" s="1"/>
  <c r="Z63" i="6" s="1"/>
  <c r="BJ63" i="6" s="1"/>
  <c r="Z64" i="6" s="1"/>
  <c r="BJ64" i="6" s="1"/>
  <c r="Z65" i="6" s="1"/>
  <c r="BJ65" i="6" s="1"/>
  <c r="Z66" i="6" s="1"/>
  <c r="BJ66" i="6" s="1"/>
  <c r="Z67" i="6" s="1"/>
  <c r="BJ67" i="6" s="1"/>
  <c r="Z68" i="6" s="1"/>
  <c r="BJ68" i="6" s="1"/>
  <c r="Z69" i="6" s="1"/>
  <c r="BJ69" i="6" s="1"/>
  <c r="Z70" i="6" s="1"/>
  <c r="BJ70" i="6" s="1"/>
  <c r="Z71" i="6" s="1"/>
  <c r="BJ71" i="6" s="1"/>
  <c r="Z72" i="6" s="1"/>
  <c r="BJ72" i="6" s="1"/>
  <c r="Z73" i="6" s="1"/>
  <c r="BJ73" i="6" s="1"/>
  <c r="Z74" i="6" s="1"/>
  <c r="BJ74" i="6" s="1"/>
  <c r="Z75" i="6" s="1"/>
  <c r="BJ75" i="6" s="1"/>
  <c r="Z76" i="6" s="1"/>
  <c r="BJ76" i="6" s="1"/>
  <c r="Z77" i="6" s="1"/>
  <c r="BJ77" i="6" s="1"/>
  <c r="Y42" i="6"/>
  <c r="BI42" i="6" s="1"/>
  <c r="Y43" i="6" s="1"/>
  <c r="BI43" i="6" s="1"/>
  <c r="X42" i="6"/>
  <c r="BH42" i="6" s="1"/>
  <c r="W42" i="6"/>
  <c r="BG42" i="6" s="1"/>
  <c r="W43" i="6" s="1"/>
  <c r="V42" i="6"/>
  <c r="BF42" i="6" s="1"/>
  <c r="V43" i="6" s="1"/>
  <c r="BF43" i="6" s="1"/>
  <c r="V44" i="6" s="1"/>
  <c r="BF44" i="6" s="1"/>
  <c r="V45" i="6" s="1"/>
  <c r="BF45" i="6" s="1"/>
  <c r="V46" i="6" s="1"/>
  <c r="BF46" i="6" s="1"/>
  <c r="V47" i="6" s="1"/>
  <c r="BF47" i="6" s="1"/>
  <c r="V48" i="6" s="1"/>
  <c r="BF48" i="6" s="1"/>
  <c r="V49" i="6" s="1"/>
  <c r="BF49" i="6" s="1"/>
  <c r="V50" i="6" s="1"/>
  <c r="BF50" i="6" s="1"/>
  <c r="V51" i="6" s="1"/>
  <c r="BF51" i="6" s="1"/>
  <c r="V52" i="6" s="1"/>
  <c r="BF52" i="6" s="1"/>
  <c r="V53" i="6" s="1"/>
  <c r="BF53" i="6" s="1"/>
  <c r="V54" i="6" s="1"/>
  <c r="BF54" i="6" s="1"/>
  <c r="V55" i="6" s="1"/>
  <c r="BF55" i="6" s="1"/>
  <c r="V56" i="6" s="1"/>
  <c r="BF56" i="6" s="1"/>
  <c r="V57" i="6" s="1"/>
  <c r="BF57" i="6" s="1"/>
  <c r="V58" i="6" s="1"/>
  <c r="BF58" i="6" s="1"/>
  <c r="V59" i="6" s="1"/>
  <c r="BF59" i="6" s="1"/>
  <c r="V60" i="6" s="1"/>
  <c r="BF60" i="6" s="1"/>
  <c r="V61" i="6" s="1"/>
  <c r="BF61" i="6" s="1"/>
  <c r="V62" i="6" s="1"/>
  <c r="BF62" i="6" s="1"/>
  <c r="V63" i="6" s="1"/>
  <c r="BF63" i="6" s="1"/>
  <c r="V64" i="6" s="1"/>
  <c r="BF64" i="6" s="1"/>
  <c r="V65" i="6" s="1"/>
  <c r="U42" i="6"/>
  <c r="T42" i="6"/>
  <c r="BD42" i="6" s="1"/>
  <c r="T43" i="6" s="1"/>
  <c r="BD43" i="6" s="1"/>
  <c r="T44" i="6" s="1"/>
  <c r="BD44" i="6" s="1"/>
  <c r="T45" i="6" s="1"/>
  <c r="BD45" i="6" s="1"/>
  <c r="T46" i="6" s="1"/>
  <c r="S42" i="6"/>
  <c r="BC42" i="6" s="1"/>
  <c r="S43" i="6" s="1"/>
  <c r="BC43" i="6" s="1"/>
  <c r="S44" i="6" s="1"/>
  <c r="BC44" i="6" s="1"/>
  <c r="S45" i="6" s="1"/>
  <c r="BC45" i="6" s="1"/>
  <c r="S46" i="6" s="1"/>
  <c r="BC46" i="6" s="1"/>
  <c r="S47" i="6" s="1"/>
  <c r="BC47" i="6" s="1"/>
  <c r="S48" i="6" s="1"/>
  <c r="BC48" i="6" s="1"/>
  <c r="S49" i="6" s="1"/>
  <c r="BC49" i="6" s="1"/>
  <c r="S50" i="6" s="1"/>
  <c r="BC50" i="6" s="1"/>
  <c r="S51" i="6" s="1"/>
  <c r="BC51" i="6" s="1"/>
  <c r="S52" i="6" s="1"/>
  <c r="BC52" i="6" s="1"/>
  <c r="S53" i="6" s="1"/>
  <c r="BC53" i="6" s="1"/>
  <c r="S54" i="6" s="1"/>
  <c r="BC54" i="6" s="1"/>
  <c r="S55" i="6" s="1"/>
  <c r="BC55" i="6" s="1"/>
  <c r="S56" i="6" s="1"/>
  <c r="BC56" i="6" s="1"/>
  <c r="S57" i="6" s="1"/>
  <c r="BC57" i="6" s="1"/>
  <c r="S58" i="6" s="1"/>
  <c r="BC58" i="6" s="1"/>
  <c r="S59" i="6" s="1"/>
  <c r="BC59" i="6" s="1"/>
  <c r="S60" i="6" s="1"/>
  <c r="BC60" i="6" s="1"/>
  <c r="S61" i="6" s="1"/>
  <c r="BC61" i="6" s="1"/>
  <c r="S62" i="6" s="1"/>
  <c r="BC62" i="6" s="1"/>
  <c r="S63" i="6" s="1"/>
  <c r="BC63" i="6" s="1"/>
  <c r="S64" i="6" s="1"/>
  <c r="BC64" i="6" s="1"/>
  <c r="S65" i="6" s="1"/>
  <c r="BC65" i="6" s="1"/>
  <c r="S66" i="6" s="1"/>
  <c r="BC66" i="6" s="1"/>
  <c r="S67" i="6" s="1"/>
  <c r="BC67" i="6" s="1"/>
  <c r="S68" i="6" s="1"/>
  <c r="BC68" i="6" s="1"/>
  <c r="S69" i="6" s="1"/>
  <c r="BC69" i="6" s="1"/>
  <c r="S70" i="6" s="1"/>
  <c r="BC70" i="6" s="1"/>
  <c r="S71" i="6" s="1"/>
  <c r="BC71" i="6" s="1"/>
  <c r="S72" i="6" s="1"/>
  <c r="BC72" i="6" s="1"/>
  <c r="S73" i="6" s="1"/>
  <c r="BC73" i="6" s="1"/>
  <c r="S74" i="6" s="1"/>
  <c r="BC74" i="6" s="1"/>
  <c r="S75" i="6" s="1"/>
  <c r="BC75" i="6" s="1"/>
  <c r="S76" i="6" s="1"/>
  <c r="BC76" i="6" s="1"/>
  <c r="S77" i="6" s="1"/>
  <c r="BC77" i="6" s="1"/>
  <c r="R42" i="6"/>
  <c r="BB42" i="6" s="1"/>
  <c r="R43" i="6" s="1"/>
  <c r="BB43" i="6" s="1"/>
  <c r="R44" i="6" s="1"/>
  <c r="BB44" i="6" s="1"/>
  <c r="R45" i="6" s="1"/>
  <c r="BB45" i="6" s="1"/>
  <c r="R46" i="6" s="1"/>
  <c r="BB46" i="6" s="1"/>
  <c r="R47" i="6" s="1"/>
  <c r="BB47" i="6" s="1"/>
  <c r="R48" i="6" s="1"/>
  <c r="BB48" i="6" s="1"/>
  <c r="R49" i="6" s="1"/>
  <c r="BB49" i="6" s="1"/>
  <c r="R50" i="6" s="1"/>
  <c r="BB50" i="6" s="1"/>
  <c r="R51" i="6" s="1"/>
  <c r="BB51" i="6" s="1"/>
  <c r="R52" i="6" s="1"/>
  <c r="BB52" i="6" s="1"/>
  <c r="R53" i="6" s="1"/>
  <c r="BB53" i="6" s="1"/>
  <c r="R54" i="6" s="1"/>
  <c r="BB54" i="6" s="1"/>
  <c r="R55" i="6" s="1"/>
  <c r="BB55" i="6" s="1"/>
  <c r="R56" i="6" s="1"/>
  <c r="BB56" i="6" s="1"/>
  <c r="R57" i="6" s="1"/>
  <c r="BB57" i="6" s="1"/>
  <c r="R58" i="6" s="1"/>
  <c r="BB58" i="6" s="1"/>
  <c r="R59" i="6" s="1"/>
  <c r="BB59" i="6" s="1"/>
  <c r="R60" i="6" s="1"/>
  <c r="BB60" i="6" s="1"/>
  <c r="R61" i="6" s="1"/>
  <c r="BB61" i="6" s="1"/>
  <c r="R62" i="6" s="1"/>
  <c r="BB62" i="6" s="1"/>
  <c r="R63" i="6" s="1"/>
  <c r="BB63" i="6" s="1"/>
  <c r="R64" i="6" s="1"/>
  <c r="BB64" i="6" s="1"/>
  <c r="R65" i="6" s="1"/>
  <c r="BB65" i="6" s="1"/>
  <c r="R66" i="6" s="1"/>
  <c r="BB66" i="6" s="1"/>
  <c r="R67" i="6" s="1"/>
  <c r="BB67" i="6" s="1"/>
  <c r="R68" i="6" s="1"/>
  <c r="BB68" i="6" s="1"/>
  <c r="R69" i="6" s="1"/>
  <c r="BB69" i="6" s="1"/>
  <c r="R70" i="6" s="1"/>
  <c r="BB70" i="6" s="1"/>
  <c r="R71" i="6" s="1"/>
  <c r="BB71" i="6" s="1"/>
  <c r="R72" i="6" s="1"/>
  <c r="BB72" i="6" s="1"/>
  <c r="R73" i="6" s="1"/>
  <c r="BB73" i="6" s="1"/>
  <c r="R74" i="6" s="1"/>
  <c r="BB74" i="6" s="1"/>
  <c r="R75" i="6" s="1"/>
  <c r="BB75" i="6" s="1"/>
  <c r="R76" i="6" s="1"/>
  <c r="BB76" i="6" s="1"/>
  <c r="R77" i="6" s="1"/>
  <c r="BB77" i="6" s="1"/>
  <c r="Q42" i="6"/>
  <c r="BA42" i="6" s="1"/>
  <c r="Q43" i="6" s="1"/>
  <c r="BA43" i="6" s="1"/>
  <c r="Q44" i="6" s="1"/>
  <c r="BA44" i="6" s="1"/>
  <c r="Q45" i="6" s="1"/>
  <c r="BA45" i="6" s="1"/>
  <c r="Q46" i="6" s="1"/>
  <c r="O42" i="6"/>
  <c r="AY42" i="6" s="1"/>
  <c r="O43" i="6" s="1"/>
  <c r="AY43" i="6" s="1"/>
  <c r="O44" i="6" s="1"/>
  <c r="AY44" i="6" s="1"/>
  <c r="O45" i="6" s="1"/>
  <c r="AY45" i="6" s="1"/>
  <c r="O46" i="6" s="1"/>
  <c r="AY46" i="6" s="1"/>
  <c r="O47" i="6" s="1"/>
  <c r="AY47" i="6" s="1"/>
  <c r="O48" i="6" s="1"/>
  <c r="AY48" i="6" s="1"/>
  <c r="O49" i="6" s="1"/>
  <c r="AY49" i="6" s="1"/>
  <c r="O50" i="6" s="1"/>
  <c r="AY50" i="6" s="1"/>
  <c r="O51" i="6" s="1"/>
  <c r="AY51" i="6" s="1"/>
  <c r="O52" i="6" s="1"/>
  <c r="AY52" i="6" s="1"/>
  <c r="O53" i="6" s="1"/>
  <c r="AY53" i="6" s="1"/>
  <c r="O54" i="6" s="1"/>
  <c r="AY54" i="6" s="1"/>
  <c r="O55" i="6" s="1"/>
  <c r="AY55" i="6" s="1"/>
  <c r="O56" i="6" s="1"/>
  <c r="AY56" i="6" s="1"/>
  <c r="O57" i="6" s="1"/>
  <c r="AY57" i="6" s="1"/>
  <c r="O58" i="6" s="1"/>
  <c r="AY58" i="6" s="1"/>
  <c r="O59" i="6" s="1"/>
  <c r="AY59" i="6" s="1"/>
  <c r="O60" i="6" s="1"/>
  <c r="AY60" i="6" s="1"/>
  <c r="O61" i="6" s="1"/>
  <c r="AY61" i="6" s="1"/>
  <c r="O62" i="6" s="1"/>
  <c r="AY62" i="6" s="1"/>
  <c r="O63" i="6" s="1"/>
  <c r="AY63" i="6" s="1"/>
  <c r="O64" i="6" s="1"/>
  <c r="AY64" i="6" s="1"/>
  <c r="O65" i="6" s="1"/>
  <c r="AY65" i="6" s="1"/>
  <c r="O66" i="6" s="1"/>
  <c r="AY66" i="6" s="1"/>
  <c r="O67" i="6" s="1"/>
  <c r="AY67" i="6" s="1"/>
  <c r="O68" i="6" s="1"/>
  <c r="AY68" i="6" s="1"/>
  <c r="O69" i="6" s="1"/>
  <c r="AY69" i="6" s="1"/>
  <c r="O70" i="6" s="1"/>
  <c r="AY70" i="6" s="1"/>
  <c r="O71" i="6" s="1"/>
  <c r="AY71" i="6" s="1"/>
  <c r="O72" i="6" s="1"/>
  <c r="AY72" i="6" s="1"/>
  <c r="O73" i="6" s="1"/>
  <c r="AY73" i="6" s="1"/>
  <c r="O74" i="6" s="1"/>
  <c r="AY74" i="6" s="1"/>
  <c r="O75" i="6" s="1"/>
  <c r="AY75" i="6" s="1"/>
  <c r="O76" i="6" s="1"/>
  <c r="AY76" i="6" s="1"/>
  <c r="O77" i="6" s="1"/>
  <c r="AY77" i="6" s="1"/>
  <c r="N42" i="6"/>
  <c r="AX42" i="6" s="1"/>
  <c r="N43" i="6" s="1"/>
  <c r="AX43" i="6" s="1"/>
  <c r="N44" i="6" s="1"/>
  <c r="AX44" i="6" s="1"/>
  <c r="N45" i="6" s="1"/>
  <c r="AX45" i="6" s="1"/>
  <c r="N46" i="6" s="1"/>
  <c r="AX46" i="6" s="1"/>
  <c r="N47" i="6" s="1"/>
  <c r="AX47" i="6" s="1"/>
  <c r="N48" i="6" s="1"/>
  <c r="AX48" i="6" s="1"/>
  <c r="M42" i="6"/>
  <c r="AW42" i="6" s="1"/>
  <c r="M43" i="6" s="1"/>
  <c r="AW43" i="6" s="1"/>
  <c r="L42" i="6"/>
  <c r="H42" i="6"/>
  <c r="G42" i="6"/>
  <c r="AV42" i="6" s="1"/>
  <c r="L43" i="6" s="1"/>
  <c r="AV43" i="6" s="1"/>
  <c r="L44" i="6" s="1"/>
  <c r="AV44" i="6" s="1"/>
  <c r="L45" i="6" s="1"/>
  <c r="F42" i="6"/>
  <c r="E42" i="6"/>
  <c r="D42" i="6"/>
  <c r="C42" i="6"/>
  <c r="B42" i="6"/>
  <c r="A42" i="6"/>
  <c r="AO41" i="6"/>
  <c r="AE41" i="6"/>
  <c r="J41" i="6"/>
  <c r="H41" i="6"/>
  <c r="G41" i="6"/>
  <c r="F41" i="6"/>
  <c r="AI41" i="6" s="1"/>
  <c r="E41" i="6"/>
  <c r="D41" i="6"/>
  <c r="C41" i="6"/>
  <c r="B41" i="6"/>
  <c r="A41" i="6"/>
  <c r="AO40" i="6"/>
  <c r="AE40" i="6"/>
  <c r="J40" i="6"/>
  <c r="I40" i="6"/>
  <c r="H40" i="6"/>
  <c r="G40" i="6"/>
  <c r="F40" i="6"/>
  <c r="E40" i="6"/>
  <c r="D40" i="6"/>
  <c r="C40" i="6"/>
  <c r="B40" i="6"/>
  <c r="A40" i="6"/>
  <c r="AO39" i="6"/>
  <c r="AI39" i="6"/>
  <c r="K39" i="6"/>
  <c r="J39" i="6"/>
  <c r="I39" i="6"/>
  <c r="H39" i="6"/>
  <c r="G39" i="6"/>
  <c r="F39" i="6"/>
  <c r="AE39" i="6" s="1"/>
  <c r="E39" i="6"/>
  <c r="D39" i="6"/>
  <c r="C39" i="6"/>
  <c r="B39" i="6"/>
  <c r="A39" i="6"/>
  <c r="AO38" i="6"/>
  <c r="AI38" i="6"/>
  <c r="AE38" i="6"/>
  <c r="K38" i="6"/>
  <c r="J38" i="6"/>
  <c r="H38" i="6"/>
  <c r="G38" i="6"/>
  <c r="F38" i="6"/>
  <c r="E38" i="6"/>
  <c r="D38" i="6"/>
  <c r="C38" i="6"/>
  <c r="B38" i="6"/>
  <c r="A38" i="6"/>
  <c r="AO37" i="6"/>
  <c r="H37" i="6"/>
  <c r="G37" i="6"/>
  <c r="F37" i="6"/>
  <c r="E37" i="6"/>
  <c r="D37" i="6"/>
  <c r="C37" i="6"/>
  <c r="B37" i="6"/>
  <c r="A37" i="6"/>
  <c r="AO36" i="6"/>
  <c r="I36" i="6"/>
  <c r="H36" i="6"/>
  <c r="G36" i="6"/>
  <c r="F36" i="6"/>
  <c r="AI36" i="6" s="1"/>
  <c r="E36" i="6"/>
  <c r="D36" i="6"/>
  <c r="C36" i="6"/>
  <c r="B36" i="6"/>
  <c r="A36" i="6"/>
  <c r="AO35" i="6"/>
  <c r="AE35" i="6"/>
  <c r="H35" i="6"/>
  <c r="G35" i="6"/>
  <c r="F35" i="6"/>
  <c r="E35" i="6"/>
  <c r="D35" i="6"/>
  <c r="C35" i="6"/>
  <c r="B35" i="6"/>
  <c r="A35" i="6"/>
  <c r="AO34" i="6"/>
  <c r="AI34" i="6"/>
  <c r="AE34" i="6"/>
  <c r="K34" i="6"/>
  <c r="J34" i="6"/>
  <c r="I34" i="6"/>
  <c r="H34" i="6"/>
  <c r="G34" i="6"/>
  <c r="F34" i="6"/>
  <c r="E34" i="6"/>
  <c r="D34" i="6"/>
  <c r="C34" i="6"/>
  <c r="B34" i="6"/>
  <c r="A34" i="6"/>
  <c r="AO33" i="6"/>
  <c r="J33" i="6"/>
  <c r="H33" i="6"/>
  <c r="G33" i="6"/>
  <c r="F33" i="6"/>
  <c r="E33" i="6"/>
  <c r="D33" i="6"/>
  <c r="C33" i="6"/>
  <c r="B33" i="6"/>
  <c r="A33" i="6"/>
  <c r="AO32" i="6"/>
  <c r="J32" i="6"/>
  <c r="I32" i="6"/>
  <c r="H32" i="6"/>
  <c r="G32" i="6"/>
  <c r="F32" i="6"/>
  <c r="AI32" i="6" s="1"/>
  <c r="E32" i="6"/>
  <c r="D32" i="6"/>
  <c r="C32" i="6"/>
  <c r="B32" i="6"/>
  <c r="A32" i="6"/>
  <c r="AO31" i="6"/>
  <c r="AI31" i="6"/>
  <c r="AE31" i="6"/>
  <c r="K31" i="6"/>
  <c r="J31" i="6"/>
  <c r="H31" i="6"/>
  <c r="G31" i="6"/>
  <c r="F31" i="6"/>
  <c r="E31" i="6"/>
  <c r="D31" i="6"/>
  <c r="C31" i="6"/>
  <c r="B31" i="6"/>
  <c r="A31" i="6"/>
  <c r="AO30" i="6"/>
  <c r="AE30" i="6"/>
  <c r="H30" i="6"/>
  <c r="G30" i="6"/>
  <c r="F30" i="6"/>
  <c r="AI30" i="6" s="1"/>
  <c r="E30" i="6"/>
  <c r="D30" i="6"/>
  <c r="C30" i="6"/>
  <c r="B30" i="6"/>
  <c r="A30" i="6"/>
  <c r="AO29" i="6"/>
  <c r="AE29" i="6"/>
  <c r="J29" i="6"/>
  <c r="H29" i="6"/>
  <c r="G29" i="6"/>
  <c r="F29" i="6"/>
  <c r="AI29" i="6" s="1"/>
  <c r="E29" i="6"/>
  <c r="D29" i="6"/>
  <c r="C29" i="6"/>
  <c r="B29" i="6"/>
  <c r="A29" i="6"/>
  <c r="AT28" i="6"/>
  <c r="AE28" i="6"/>
  <c r="J28" i="6"/>
  <c r="I28" i="6"/>
  <c r="H28" i="6"/>
  <c r="G28" i="6"/>
  <c r="F28" i="6"/>
  <c r="E28" i="6"/>
  <c r="D28" i="6"/>
  <c r="C28" i="6"/>
  <c r="B28" i="6"/>
  <c r="A28" i="6"/>
  <c r="AT27" i="6"/>
  <c r="AO27" i="6"/>
  <c r="K27" i="6"/>
  <c r="J27" i="6"/>
  <c r="I27" i="6"/>
  <c r="H27" i="6"/>
  <c r="G27" i="6"/>
  <c r="F27" i="6"/>
  <c r="AE27" i="6" s="1"/>
  <c r="E27" i="6"/>
  <c r="D27" i="6"/>
  <c r="C27" i="6"/>
  <c r="B27" i="6"/>
  <c r="A27" i="6"/>
  <c r="AT26" i="6"/>
  <c r="AO26" i="6"/>
  <c r="AE26" i="6"/>
  <c r="K26" i="6"/>
  <c r="J26" i="6"/>
  <c r="H26" i="6"/>
  <c r="G26" i="6"/>
  <c r="F26" i="6"/>
  <c r="E26" i="6"/>
  <c r="D26" i="6"/>
  <c r="C26" i="6"/>
  <c r="B26" i="6"/>
  <c r="A26" i="6"/>
  <c r="AT25" i="6"/>
  <c r="AO25" i="6"/>
  <c r="H25" i="6"/>
  <c r="G25" i="6"/>
  <c r="F25" i="6"/>
  <c r="E25" i="6"/>
  <c r="D25" i="6"/>
  <c r="C25" i="6"/>
  <c r="B25" i="6"/>
  <c r="A25" i="6"/>
  <c r="AT24" i="6"/>
  <c r="AO24" i="6"/>
  <c r="I24" i="6"/>
  <c r="H24" i="6"/>
  <c r="G24" i="6"/>
  <c r="F24" i="6"/>
  <c r="AI24" i="6" s="1"/>
  <c r="E24" i="6"/>
  <c r="D24" i="6"/>
  <c r="C24" i="6"/>
  <c r="B24" i="6"/>
  <c r="A24" i="6"/>
  <c r="AT23" i="6"/>
  <c r="AO23" i="6"/>
  <c r="AF23" i="6"/>
  <c r="AE23" i="6"/>
  <c r="H23" i="6"/>
  <c r="G23" i="6"/>
  <c r="F23" i="6"/>
  <c r="E23" i="6"/>
  <c r="D23" i="6"/>
  <c r="C23" i="6"/>
  <c r="B23" i="6"/>
  <c r="A23" i="6"/>
  <c r="AT22" i="6"/>
  <c r="AI22" i="6"/>
  <c r="AE22" i="6"/>
  <c r="K22" i="6"/>
  <c r="J22" i="6"/>
  <c r="I22" i="6"/>
  <c r="H22" i="6"/>
  <c r="G22" i="6"/>
  <c r="F22" i="6"/>
  <c r="E22" i="6"/>
  <c r="D22" i="6"/>
  <c r="C22" i="6"/>
  <c r="B22" i="6"/>
  <c r="A22" i="6"/>
  <c r="AT21" i="6"/>
  <c r="AO21" i="6"/>
  <c r="AF21" i="6"/>
  <c r="J21" i="6"/>
  <c r="H21" i="6"/>
  <c r="G21" i="6"/>
  <c r="F21" i="6"/>
  <c r="E21" i="6"/>
  <c r="D21" i="6"/>
  <c r="C21" i="6"/>
  <c r="B21" i="6"/>
  <c r="A21" i="6"/>
  <c r="AT20" i="6"/>
  <c r="AO20" i="6"/>
  <c r="AF20" i="6"/>
  <c r="J20" i="6"/>
  <c r="I20" i="6"/>
  <c r="H20" i="6"/>
  <c r="G20" i="6"/>
  <c r="F20" i="6"/>
  <c r="AI20" i="6" s="1"/>
  <c r="E20" i="6"/>
  <c r="D20" i="6"/>
  <c r="C20" i="6"/>
  <c r="B20" i="6"/>
  <c r="A20" i="6"/>
  <c r="AT19" i="6"/>
  <c r="AO19" i="6"/>
  <c r="AI19" i="6"/>
  <c r="AF19" i="6"/>
  <c r="AE19" i="6"/>
  <c r="K19" i="6"/>
  <c r="J19" i="6"/>
  <c r="H19" i="6"/>
  <c r="G19" i="6"/>
  <c r="F19" i="6"/>
  <c r="E19" i="6"/>
  <c r="D19" i="6"/>
  <c r="C19" i="6"/>
  <c r="B19" i="6"/>
  <c r="A19" i="6"/>
  <c r="AT18" i="6"/>
  <c r="AO18" i="6"/>
  <c r="AE18" i="6"/>
  <c r="H18" i="6"/>
  <c r="G18" i="6"/>
  <c r="F18" i="6"/>
  <c r="E18" i="6"/>
  <c r="D18" i="6"/>
  <c r="C18" i="6"/>
  <c r="B18" i="6"/>
  <c r="A18" i="6"/>
  <c r="AT17" i="6"/>
  <c r="AE17" i="6"/>
  <c r="J17" i="6"/>
  <c r="H17" i="6"/>
  <c r="G17" i="6"/>
  <c r="F17" i="6"/>
  <c r="E17" i="6"/>
  <c r="D17" i="6"/>
  <c r="C17" i="6"/>
  <c r="B17" i="6"/>
  <c r="A17" i="6"/>
  <c r="AT16" i="6"/>
  <c r="AE16" i="6"/>
  <c r="J16" i="6"/>
  <c r="I16" i="6"/>
  <c r="H16" i="6"/>
  <c r="G16" i="6"/>
  <c r="F16" i="6"/>
  <c r="E16" i="6"/>
  <c r="D16" i="6"/>
  <c r="C16" i="6"/>
  <c r="B16" i="6"/>
  <c r="A16" i="6"/>
  <c r="AT15" i="6"/>
  <c r="AO15" i="6"/>
  <c r="AI15" i="6"/>
  <c r="K15" i="6"/>
  <c r="J15" i="6"/>
  <c r="I15" i="6"/>
  <c r="H15" i="6"/>
  <c r="AF15" i="6" s="1"/>
  <c r="G15" i="6"/>
  <c r="F15" i="6"/>
  <c r="AE15" i="6" s="1"/>
  <c r="E15" i="6"/>
  <c r="D15" i="6"/>
  <c r="C15" i="6"/>
  <c r="B15" i="6"/>
  <c r="A15" i="6"/>
  <c r="AT14" i="6"/>
  <c r="AO14" i="6"/>
  <c r="AI14" i="6"/>
  <c r="AE14" i="6"/>
  <c r="K14" i="6"/>
  <c r="J14" i="6"/>
  <c r="H14" i="6"/>
  <c r="G14" i="6"/>
  <c r="F14" i="6"/>
  <c r="E14" i="6"/>
  <c r="D14" i="6"/>
  <c r="C14" i="6"/>
  <c r="B14" i="6"/>
  <c r="A14" i="6"/>
  <c r="AT13" i="6"/>
  <c r="AO13" i="6"/>
  <c r="AF13" i="6"/>
  <c r="K13" i="6"/>
  <c r="H13" i="6"/>
  <c r="G13" i="6"/>
  <c r="F13" i="6"/>
  <c r="E13" i="6"/>
  <c r="D13" i="6"/>
  <c r="C13" i="6"/>
  <c r="B13" i="6"/>
  <c r="A13" i="6"/>
  <c r="AT12" i="6"/>
  <c r="AO12" i="6"/>
  <c r="I12" i="6"/>
  <c r="H12" i="6"/>
  <c r="AF12" i="6" s="1"/>
  <c r="G12" i="6"/>
  <c r="F12" i="6"/>
  <c r="E12" i="6"/>
  <c r="D12" i="6"/>
  <c r="C12" i="6"/>
  <c r="B12" i="6"/>
  <c r="A12" i="6"/>
  <c r="AT11" i="6"/>
  <c r="AE11" i="6"/>
  <c r="Y11" i="6"/>
  <c r="BI11" i="6" s="1"/>
  <c r="Y12" i="6" s="1"/>
  <c r="BI12" i="6" s="1"/>
  <c r="Y13" i="6" s="1"/>
  <c r="BI13" i="6" s="1"/>
  <c r="Y14" i="6" s="1"/>
  <c r="BI14" i="6" s="1"/>
  <c r="Y15" i="6" s="1"/>
  <c r="BI15" i="6" s="1"/>
  <c r="Y16" i="6" s="1"/>
  <c r="BI16" i="6" s="1"/>
  <c r="Y17" i="6" s="1"/>
  <c r="BI17" i="6" s="1"/>
  <c r="Y18" i="6" s="1"/>
  <c r="BI18" i="6" s="1"/>
  <c r="Y19" i="6" s="1"/>
  <c r="BI19" i="6" s="1"/>
  <c r="Y20" i="6" s="1"/>
  <c r="BI20" i="6" s="1"/>
  <c r="Y21" i="6" s="1"/>
  <c r="BI21" i="6" s="1"/>
  <c r="Y22" i="6" s="1"/>
  <c r="BI22" i="6" s="1"/>
  <c r="Y23" i="6" s="1"/>
  <c r="BI23" i="6" s="1"/>
  <c r="Y24" i="6" s="1"/>
  <c r="BI24" i="6" s="1"/>
  <c r="Y25" i="6" s="1"/>
  <c r="BI25" i="6" s="1"/>
  <c r="Y26" i="6" s="1"/>
  <c r="BI26" i="6" s="1"/>
  <c r="Y27" i="6" s="1"/>
  <c r="BI27" i="6" s="1"/>
  <c r="Y28" i="6" s="1"/>
  <c r="BI28" i="6" s="1"/>
  <c r="Y29" i="6" s="1"/>
  <c r="BI29" i="6" s="1"/>
  <c r="Y30" i="6" s="1"/>
  <c r="BI30" i="6" s="1"/>
  <c r="Y31" i="6" s="1"/>
  <c r="BI31" i="6" s="1"/>
  <c r="Y32" i="6" s="1"/>
  <c r="BI32" i="6" s="1"/>
  <c r="Y33" i="6" s="1"/>
  <c r="BI33" i="6" s="1"/>
  <c r="Y34" i="6" s="1"/>
  <c r="BI34" i="6" s="1"/>
  <c r="Y35" i="6" s="1"/>
  <c r="BI35" i="6" s="1"/>
  <c r="Y36" i="6" s="1"/>
  <c r="BI36" i="6" s="1"/>
  <c r="Y37" i="6" s="1"/>
  <c r="BI37" i="6" s="1"/>
  <c r="Y38" i="6" s="1"/>
  <c r="BI38" i="6" s="1"/>
  <c r="Y39" i="6" s="1"/>
  <c r="BI39" i="6" s="1"/>
  <c r="Y40" i="6" s="1"/>
  <c r="BI40" i="6" s="1"/>
  <c r="Y41" i="6" s="1"/>
  <c r="BI41" i="6" s="1"/>
  <c r="H11" i="6"/>
  <c r="G11" i="6"/>
  <c r="F11" i="6"/>
  <c r="E11" i="6"/>
  <c r="D11" i="6"/>
  <c r="C11" i="6"/>
  <c r="B11" i="6"/>
  <c r="A11" i="6"/>
  <c r="AT10" i="6"/>
  <c r="AI10" i="6"/>
  <c r="AE10" i="6"/>
  <c r="K10" i="6"/>
  <c r="J10" i="6"/>
  <c r="I10" i="6"/>
  <c r="H10" i="6"/>
  <c r="G10" i="6"/>
  <c r="F10" i="6"/>
  <c r="E10" i="6"/>
  <c r="D10" i="6"/>
  <c r="C10" i="6"/>
  <c r="B10" i="6"/>
  <c r="A10" i="6"/>
  <c r="AT9" i="6"/>
  <c r="AO9" i="6"/>
  <c r="J9" i="6"/>
  <c r="I9" i="6"/>
  <c r="H9" i="6"/>
  <c r="G9" i="6"/>
  <c r="F9" i="6"/>
  <c r="E9" i="6"/>
  <c r="D9" i="6"/>
  <c r="C9" i="6"/>
  <c r="B9" i="6"/>
  <c r="A9" i="6"/>
  <c r="BI8" i="6"/>
  <c r="Y9" i="6" s="1"/>
  <c r="BI9" i="6" s="1"/>
  <c r="Y10" i="6" s="1"/>
  <c r="BI10" i="6" s="1"/>
  <c r="AT8" i="6"/>
  <c r="AO8" i="6"/>
  <c r="AF8" i="6"/>
  <c r="AB8" i="6"/>
  <c r="BL8" i="6" s="1"/>
  <c r="AB9" i="6" s="1"/>
  <c r="BL9" i="6" s="1"/>
  <c r="AB10" i="6" s="1"/>
  <c r="BL10" i="6" s="1"/>
  <c r="AB11" i="6" s="1"/>
  <c r="BL11" i="6" s="1"/>
  <c r="AB12" i="6" s="1"/>
  <c r="BL12" i="6" s="1"/>
  <c r="AB13" i="6" s="1"/>
  <c r="BL13" i="6" s="1"/>
  <c r="AB14" i="6" s="1"/>
  <c r="BL14" i="6" s="1"/>
  <c r="AB15" i="6" s="1"/>
  <c r="BL15" i="6" s="1"/>
  <c r="AB16" i="6" s="1"/>
  <c r="BL16" i="6" s="1"/>
  <c r="AB17" i="6" s="1"/>
  <c r="BL17" i="6" s="1"/>
  <c r="AB18" i="6" s="1"/>
  <c r="BL18" i="6" s="1"/>
  <c r="AB19" i="6" s="1"/>
  <c r="BL19" i="6" s="1"/>
  <c r="AB20" i="6" s="1"/>
  <c r="BL20" i="6" s="1"/>
  <c r="AB21" i="6" s="1"/>
  <c r="BL21" i="6" s="1"/>
  <c r="AB22" i="6" s="1"/>
  <c r="BL22" i="6" s="1"/>
  <c r="AB23" i="6" s="1"/>
  <c r="BL23" i="6" s="1"/>
  <c r="AB24" i="6" s="1"/>
  <c r="BL24" i="6" s="1"/>
  <c r="AB25" i="6" s="1"/>
  <c r="BL25" i="6" s="1"/>
  <c r="AB26" i="6" s="1"/>
  <c r="BL26" i="6" s="1"/>
  <c r="AB27" i="6" s="1"/>
  <c r="BL27" i="6" s="1"/>
  <c r="AB28" i="6" s="1"/>
  <c r="BL28" i="6" s="1"/>
  <c r="AB29" i="6" s="1"/>
  <c r="BL29" i="6" s="1"/>
  <c r="AB30" i="6" s="1"/>
  <c r="BL30" i="6" s="1"/>
  <c r="AB31" i="6" s="1"/>
  <c r="BL31" i="6" s="1"/>
  <c r="AB32" i="6" s="1"/>
  <c r="BL32" i="6" s="1"/>
  <c r="AB33" i="6" s="1"/>
  <c r="BL33" i="6" s="1"/>
  <c r="AB34" i="6" s="1"/>
  <c r="BL34" i="6" s="1"/>
  <c r="AB35" i="6" s="1"/>
  <c r="BL35" i="6" s="1"/>
  <c r="AB36" i="6" s="1"/>
  <c r="BL36" i="6" s="1"/>
  <c r="AB37" i="6" s="1"/>
  <c r="BL37" i="6" s="1"/>
  <c r="AB38" i="6" s="1"/>
  <c r="BL38" i="6" s="1"/>
  <c r="AB39" i="6" s="1"/>
  <c r="BL39" i="6" s="1"/>
  <c r="AB40" i="6" s="1"/>
  <c r="BL40" i="6" s="1"/>
  <c r="AB41" i="6" s="1"/>
  <c r="BL41" i="6" s="1"/>
  <c r="Y8" i="6"/>
  <c r="J8" i="6"/>
  <c r="I8" i="6"/>
  <c r="H8" i="6"/>
  <c r="G8" i="6"/>
  <c r="F8" i="6"/>
  <c r="AI8" i="6" s="1"/>
  <c r="E8" i="6"/>
  <c r="D8" i="6"/>
  <c r="C8" i="6"/>
  <c r="B8" i="6"/>
  <c r="A8" i="6"/>
  <c r="AT7" i="6"/>
  <c r="AO7" i="6"/>
  <c r="AI7" i="6"/>
  <c r="AF7" i="6"/>
  <c r="AE7" i="6"/>
  <c r="AB7" i="6"/>
  <c r="BL7" i="6" s="1"/>
  <c r="Q7" i="6"/>
  <c r="BA7" i="6" s="1"/>
  <c r="Q8" i="6" s="1"/>
  <c r="BA8" i="6" s="1"/>
  <c r="Q9" i="6" s="1"/>
  <c r="BA9" i="6" s="1"/>
  <c r="Q10" i="6" s="1"/>
  <c r="K7" i="6"/>
  <c r="J7" i="6"/>
  <c r="H7" i="6"/>
  <c r="G7" i="6"/>
  <c r="F7" i="6"/>
  <c r="E7" i="6"/>
  <c r="D7" i="6"/>
  <c r="C7" i="6"/>
  <c r="B7" i="6"/>
  <c r="A7" i="6"/>
  <c r="BO6" i="6"/>
  <c r="BN7" i="6" s="1"/>
  <c r="BO7" i="6" s="1"/>
  <c r="BN8" i="6" s="1"/>
  <c r="BO8" i="6" s="1"/>
  <c r="BN9" i="6" s="1"/>
  <c r="BO9" i="6" s="1"/>
  <c r="BN10" i="6" s="1"/>
  <c r="BO10" i="6" s="1"/>
  <c r="BN11" i="6" s="1"/>
  <c r="BO11" i="6" s="1"/>
  <c r="BN12" i="6" s="1"/>
  <c r="BO12" i="6" s="1"/>
  <c r="BN13" i="6" s="1"/>
  <c r="BO13" i="6" s="1"/>
  <c r="BN14" i="6" s="1"/>
  <c r="BO14" i="6" s="1"/>
  <c r="BN15" i="6" s="1"/>
  <c r="BO15" i="6" s="1"/>
  <c r="BN16" i="6" s="1"/>
  <c r="BO16" i="6" s="1"/>
  <c r="BN17" i="6" s="1"/>
  <c r="BO17" i="6" s="1"/>
  <c r="BN18" i="6" s="1"/>
  <c r="BO18" i="6" s="1"/>
  <c r="BN19" i="6" s="1"/>
  <c r="BO19" i="6" s="1"/>
  <c r="BN20" i="6" s="1"/>
  <c r="BO20" i="6" s="1"/>
  <c r="BN21" i="6" s="1"/>
  <c r="BO21" i="6" s="1"/>
  <c r="BN22" i="6" s="1"/>
  <c r="BO22" i="6" s="1"/>
  <c r="BN23" i="6" s="1"/>
  <c r="BO23" i="6" s="1"/>
  <c r="BN24" i="6" s="1"/>
  <c r="BO24" i="6" s="1"/>
  <c r="BN25" i="6" s="1"/>
  <c r="BO25" i="6" s="1"/>
  <c r="BN26" i="6" s="1"/>
  <c r="BO26" i="6" s="1"/>
  <c r="BN27" i="6" s="1"/>
  <c r="BO27" i="6" s="1"/>
  <c r="BN28" i="6" s="1"/>
  <c r="BO28" i="6" s="1"/>
  <c r="BN29" i="6" s="1"/>
  <c r="BO29" i="6" s="1"/>
  <c r="BN30" i="6" s="1"/>
  <c r="BO30" i="6" s="1"/>
  <c r="BN31" i="6" s="1"/>
  <c r="BO31" i="6" s="1"/>
  <c r="BN32" i="6" s="1"/>
  <c r="BO32" i="6" s="1"/>
  <c r="BN33" i="6" s="1"/>
  <c r="BO33" i="6" s="1"/>
  <c r="BN34" i="6" s="1"/>
  <c r="BO34" i="6" s="1"/>
  <c r="BN35" i="6" s="1"/>
  <c r="BO35" i="6" s="1"/>
  <c r="BN36" i="6" s="1"/>
  <c r="BO36" i="6" s="1"/>
  <c r="BN37" i="6" s="1"/>
  <c r="BO37" i="6" s="1"/>
  <c r="BN38" i="6" s="1"/>
  <c r="BO38" i="6" s="1"/>
  <c r="BN39" i="6" s="1"/>
  <c r="BO39" i="6" s="1"/>
  <c r="BN40" i="6" s="1"/>
  <c r="BO40" i="6" s="1"/>
  <c r="BN41" i="6" s="1"/>
  <c r="BO41" i="6" s="1"/>
  <c r="BN6" i="6"/>
  <c r="BG6" i="6"/>
  <c r="W7" i="6" s="1"/>
  <c r="BE6" i="6"/>
  <c r="BE7" i="6" s="1"/>
  <c r="BC6" i="6"/>
  <c r="S7" i="6" s="1"/>
  <c r="BC7" i="6" s="1"/>
  <c r="S8" i="6" s="1"/>
  <c r="BC8" i="6" s="1"/>
  <c r="S9" i="6" s="1"/>
  <c r="BC9" i="6" s="1"/>
  <c r="S10" i="6" s="1"/>
  <c r="BC10" i="6" s="1"/>
  <c r="S11" i="6" s="1"/>
  <c r="BC11" i="6" s="1"/>
  <c r="S12" i="6" s="1"/>
  <c r="BC12" i="6" s="1"/>
  <c r="S13" i="6" s="1"/>
  <c r="BC13" i="6" s="1"/>
  <c r="S14" i="6" s="1"/>
  <c r="BC14" i="6" s="1"/>
  <c r="S15" i="6" s="1"/>
  <c r="BC15" i="6" s="1"/>
  <c r="S16" i="6" s="1"/>
  <c r="BC16" i="6" s="1"/>
  <c r="S17" i="6" s="1"/>
  <c r="BC17" i="6" s="1"/>
  <c r="S18" i="6" s="1"/>
  <c r="BC18" i="6" s="1"/>
  <c r="S19" i="6" s="1"/>
  <c r="BC19" i="6" s="1"/>
  <c r="S20" i="6" s="1"/>
  <c r="BC20" i="6" s="1"/>
  <c r="S21" i="6" s="1"/>
  <c r="BC21" i="6" s="1"/>
  <c r="S22" i="6" s="1"/>
  <c r="BC22" i="6" s="1"/>
  <c r="S23" i="6" s="1"/>
  <c r="BC23" i="6" s="1"/>
  <c r="S24" i="6" s="1"/>
  <c r="BC24" i="6" s="1"/>
  <c r="S25" i="6" s="1"/>
  <c r="BC25" i="6" s="1"/>
  <c r="S26" i="6" s="1"/>
  <c r="BC26" i="6" s="1"/>
  <c r="S27" i="6" s="1"/>
  <c r="BC27" i="6" s="1"/>
  <c r="S28" i="6" s="1"/>
  <c r="BC28" i="6" s="1"/>
  <c r="S29" i="6" s="1"/>
  <c r="BC29" i="6" s="1"/>
  <c r="S30" i="6" s="1"/>
  <c r="BC30" i="6" s="1"/>
  <c r="S31" i="6" s="1"/>
  <c r="BC31" i="6" s="1"/>
  <c r="S32" i="6" s="1"/>
  <c r="BC32" i="6" s="1"/>
  <c r="S33" i="6" s="1"/>
  <c r="BC33" i="6" s="1"/>
  <c r="S34" i="6" s="1"/>
  <c r="BC34" i="6" s="1"/>
  <c r="S35" i="6" s="1"/>
  <c r="BC35" i="6" s="1"/>
  <c r="S36" i="6" s="1"/>
  <c r="BC36" i="6" s="1"/>
  <c r="S37" i="6" s="1"/>
  <c r="BC37" i="6" s="1"/>
  <c r="S38" i="6" s="1"/>
  <c r="BC38" i="6" s="1"/>
  <c r="S39" i="6" s="1"/>
  <c r="BC39" i="6" s="1"/>
  <c r="S40" i="6" s="1"/>
  <c r="BC40" i="6" s="1"/>
  <c r="S41" i="6" s="1"/>
  <c r="BC41" i="6" s="1"/>
  <c r="AY6" i="6"/>
  <c r="O7" i="6" s="1"/>
  <c r="AY7" i="6" s="1"/>
  <c r="O8" i="6" s="1"/>
  <c r="AY8" i="6" s="1"/>
  <c r="O9" i="6" s="1"/>
  <c r="AY9" i="6" s="1"/>
  <c r="O10" i="6" s="1"/>
  <c r="AY10" i="6" s="1"/>
  <c r="O11" i="6" s="1"/>
  <c r="AY11" i="6" s="1"/>
  <c r="O12" i="6" s="1"/>
  <c r="AY12" i="6" s="1"/>
  <c r="O13" i="6" s="1"/>
  <c r="AY13" i="6" s="1"/>
  <c r="O14" i="6" s="1"/>
  <c r="AY14" i="6" s="1"/>
  <c r="O15" i="6" s="1"/>
  <c r="AY15" i="6" s="1"/>
  <c r="O16" i="6" s="1"/>
  <c r="AY16" i="6" s="1"/>
  <c r="O17" i="6" s="1"/>
  <c r="AY17" i="6" s="1"/>
  <c r="O18" i="6" s="1"/>
  <c r="AY18" i="6" s="1"/>
  <c r="O19" i="6" s="1"/>
  <c r="AY19" i="6" s="1"/>
  <c r="O20" i="6" s="1"/>
  <c r="AY20" i="6" s="1"/>
  <c r="O21" i="6" s="1"/>
  <c r="AY21" i="6" s="1"/>
  <c r="O22" i="6" s="1"/>
  <c r="AY22" i="6" s="1"/>
  <c r="O23" i="6" s="1"/>
  <c r="AY23" i="6" s="1"/>
  <c r="O24" i="6" s="1"/>
  <c r="AY24" i="6" s="1"/>
  <c r="O25" i="6" s="1"/>
  <c r="AY25" i="6" s="1"/>
  <c r="O26" i="6" s="1"/>
  <c r="AY26" i="6" s="1"/>
  <c r="O27" i="6" s="1"/>
  <c r="AY27" i="6" s="1"/>
  <c r="O28" i="6" s="1"/>
  <c r="AY28" i="6" s="1"/>
  <c r="O29" i="6" s="1"/>
  <c r="AY29" i="6" s="1"/>
  <c r="O30" i="6" s="1"/>
  <c r="AY30" i="6" s="1"/>
  <c r="O31" i="6" s="1"/>
  <c r="AY31" i="6" s="1"/>
  <c r="O32" i="6" s="1"/>
  <c r="AY32" i="6" s="1"/>
  <c r="O33" i="6" s="1"/>
  <c r="AY33" i="6" s="1"/>
  <c r="O34" i="6" s="1"/>
  <c r="AY34" i="6" s="1"/>
  <c r="O35" i="6" s="1"/>
  <c r="AY35" i="6" s="1"/>
  <c r="O36" i="6" s="1"/>
  <c r="AY36" i="6" s="1"/>
  <c r="O37" i="6" s="1"/>
  <c r="AY37" i="6" s="1"/>
  <c r="O38" i="6" s="1"/>
  <c r="AY38" i="6" s="1"/>
  <c r="O39" i="6" s="1"/>
  <c r="AY39" i="6" s="1"/>
  <c r="O40" i="6" s="1"/>
  <c r="AY40" i="6" s="1"/>
  <c r="O41" i="6" s="1"/>
  <c r="AY41" i="6" s="1"/>
  <c r="AT6" i="6"/>
  <c r="AO6" i="6"/>
  <c r="AF6" i="6"/>
  <c r="AC6" i="6"/>
  <c r="BM6" i="6" s="1"/>
  <c r="AC7" i="6" s="1"/>
  <c r="BM7" i="6" s="1"/>
  <c r="AC8" i="6" s="1"/>
  <c r="BM8" i="6" s="1"/>
  <c r="AC9" i="6" s="1"/>
  <c r="BM9" i="6" s="1"/>
  <c r="AC10" i="6" s="1"/>
  <c r="BM10" i="6" s="1"/>
  <c r="AC11" i="6" s="1"/>
  <c r="BM11" i="6" s="1"/>
  <c r="AC12" i="6" s="1"/>
  <c r="BM12" i="6" s="1"/>
  <c r="AC13" i="6" s="1"/>
  <c r="BM13" i="6" s="1"/>
  <c r="AC14" i="6" s="1"/>
  <c r="BM14" i="6" s="1"/>
  <c r="AC15" i="6" s="1"/>
  <c r="BM15" i="6" s="1"/>
  <c r="AC16" i="6" s="1"/>
  <c r="BM16" i="6" s="1"/>
  <c r="AC17" i="6" s="1"/>
  <c r="BM17" i="6" s="1"/>
  <c r="AC18" i="6" s="1"/>
  <c r="BM18" i="6" s="1"/>
  <c r="AC19" i="6" s="1"/>
  <c r="BM19" i="6" s="1"/>
  <c r="AC20" i="6" s="1"/>
  <c r="BM20" i="6" s="1"/>
  <c r="AC21" i="6" s="1"/>
  <c r="BM21" i="6" s="1"/>
  <c r="AC22" i="6" s="1"/>
  <c r="BM22" i="6" s="1"/>
  <c r="AC23" i="6" s="1"/>
  <c r="BM23" i="6" s="1"/>
  <c r="AC24" i="6" s="1"/>
  <c r="BM24" i="6" s="1"/>
  <c r="AC25" i="6" s="1"/>
  <c r="BM25" i="6" s="1"/>
  <c r="AC26" i="6" s="1"/>
  <c r="BM26" i="6" s="1"/>
  <c r="AC27" i="6" s="1"/>
  <c r="BM27" i="6" s="1"/>
  <c r="AC28" i="6" s="1"/>
  <c r="BM28" i="6" s="1"/>
  <c r="AC29" i="6" s="1"/>
  <c r="BM29" i="6" s="1"/>
  <c r="AC30" i="6" s="1"/>
  <c r="BM30" i="6" s="1"/>
  <c r="AC31" i="6" s="1"/>
  <c r="BM31" i="6" s="1"/>
  <c r="AC32" i="6" s="1"/>
  <c r="BM32" i="6" s="1"/>
  <c r="AC33" i="6" s="1"/>
  <c r="BM33" i="6" s="1"/>
  <c r="AC34" i="6" s="1"/>
  <c r="BM34" i="6" s="1"/>
  <c r="AC35" i="6" s="1"/>
  <c r="BM35" i="6" s="1"/>
  <c r="AC36" i="6" s="1"/>
  <c r="BM36" i="6" s="1"/>
  <c r="AC37" i="6" s="1"/>
  <c r="BM37" i="6" s="1"/>
  <c r="AC38" i="6" s="1"/>
  <c r="BM38" i="6" s="1"/>
  <c r="AC39" i="6" s="1"/>
  <c r="BM39" i="6" s="1"/>
  <c r="AC40" i="6" s="1"/>
  <c r="BM40" i="6" s="1"/>
  <c r="AC41" i="6" s="1"/>
  <c r="BM41" i="6" s="1"/>
  <c r="AB6" i="6"/>
  <c r="BL6" i="6" s="1"/>
  <c r="AA6" i="6"/>
  <c r="BK6" i="6" s="1"/>
  <c r="AA7" i="6" s="1"/>
  <c r="BK7" i="6" s="1"/>
  <c r="AA8" i="6" s="1"/>
  <c r="BK8" i="6" s="1"/>
  <c r="AA9" i="6" s="1"/>
  <c r="BK9" i="6" s="1"/>
  <c r="AA10" i="6" s="1"/>
  <c r="BK10" i="6" s="1"/>
  <c r="AA11" i="6" s="1"/>
  <c r="BK11" i="6" s="1"/>
  <c r="AA12" i="6" s="1"/>
  <c r="BK12" i="6" s="1"/>
  <c r="AA13" i="6" s="1"/>
  <c r="BK13" i="6" s="1"/>
  <c r="AA14" i="6" s="1"/>
  <c r="BK14" i="6" s="1"/>
  <c r="AA15" i="6" s="1"/>
  <c r="BK15" i="6" s="1"/>
  <c r="AA16" i="6" s="1"/>
  <c r="BK16" i="6" s="1"/>
  <c r="AA17" i="6" s="1"/>
  <c r="BK17" i="6" s="1"/>
  <c r="AA18" i="6" s="1"/>
  <c r="BK18" i="6" s="1"/>
  <c r="AA19" i="6" s="1"/>
  <c r="BK19" i="6" s="1"/>
  <c r="AA20" i="6" s="1"/>
  <c r="BK20" i="6" s="1"/>
  <c r="AA21" i="6" s="1"/>
  <c r="BK21" i="6" s="1"/>
  <c r="AA22" i="6" s="1"/>
  <c r="BK22" i="6" s="1"/>
  <c r="AA23" i="6" s="1"/>
  <c r="BK23" i="6" s="1"/>
  <c r="AA24" i="6" s="1"/>
  <c r="BK24" i="6" s="1"/>
  <c r="AA25" i="6" s="1"/>
  <c r="BK25" i="6" s="1"/>
  <c r="AA26" i="6" s="1"/>
  <c r="BK26" i="6" s="1"/>
  <c r="AA27" i="6" s="1"/>
  <c r="BK27" i="6" s="1"/>
  <c r="AA28" i="6" s="1"/>
  <c r="BK28" i="6" s="1"/>
  <c r="AA29" i="6" s="1"/>
  <c r="BK29" i="6" s="1"/>
  <c r="AA30" i="6" s="1"/>
  <c r="BK30" i="6" s="1"/>
  <c r="AA31" i="6" s="1"/>
  <c r="BK31" i="6" s="1"/>
  <c r="AA32" i="6" s="1"/>
  <c r="BK32" i="6" s="1"/>
  <c r="AA33" i="6" s="1"/>
  <c r="BK33" i="6" s="1"/>
  <c r="AA34" i="6" s="1"/>
  <c r="BK34" i="6" s="1"/>
  <c r="AA35" i="6" s="1"/>
  <c r="BK35" i="6" s="1"/>
  <c r="AA36" i="6" s="1"/>
  <c r="BK36" i="6" s="1"/>
  <c r="AA37" i="6" s="1"/>
  <c r="BK37" i="6" s="1"/>
  <c r="AA38" i="6" s="1"/>
  <c r="BK38" i="6" s="1"/>
  <c r="AA39" i="6" s="1"/>
  <c r="BK39" i="6" s="1"/>
  <c r="AA40" i="6" s="1"/>
  <c r="BK40" i="6" s="1"/>
  <c r="AA41" i="6" s="1"/>
  <c r="BK41" i="6" s="1"/>
  <c r="Z6" i="6"/>
  <c r="BJ6" i="6" s="1"/>
  <c r="Z7" i="6" s="1"/>
  <c r="BJ7" i="6" s="1"/>
  <c r="Z8" i="6" s="1"/>
  <c r="BJ8" i="6" s="1"/>
  <c r="Z9" i="6" s="1"/>
  <c r="BJ9" i="6" s="1"/>
  <c r="Z10" i="6" s="1"/>
  <c r="BJ10" i="6" s="1"/>
  <c r="Z11" i="6" s="1"/>
  <c r="BJ11" i="6" s="1"/>
  <c r="Z12" i="6" s="1"/>
  <c r="BJ12" i="6" s="1"/>
  <c r="Z13" i="6" s="1"/>
  <c r="BJ13" i="6" s="1"/>
  <c r="Z14" i="6" s="1"/>
  <c r="BJ14" i="6" s="1"/>
  <c r="Z15" i="6" s="1"/>
  <c r="BJ15" i="6" s="1"/>
  <c r="Z16" i="6" s="1"/>
  <c r="BJ16" i="6" s="1"/>
  <c r="Z17" i="6" s="1"/>
  <c r="BJ17" i="6" s="1"/>
  <c r="Z18" i="6" s="1"/>
  <c r="BJ18" i="6" s="1"/>
  <c r="Z19" i="6" s="1"/>
  <c r="BJ19" i="6" s="1"/>
  <c r="Z20" i="6" s="1"/>
  <c r="BJ20" i="6" s="1"/>
  <c r="Z21" i="6" s="1"/>
  <c r="BJ21" i="6" s="1"/>
  <c r="Z22" i="6" s="1"/>
  <c r="BJ22" i="6" s="1"/>
  <c r="Z23" i="6" s="1"/>
  <c r="BJ23" i="6" s="1"/>
  <c r="Z24" i="6" s="1"/>
  <c r="BJ24" i="6" s="1"/>
  <c r="Z25" i="6" s="1"/>
  <c r="BJ25" i="6" s="1"/>
  <c r="Z26" i="6" s="1"/>
  <c r="BJ26" i="6" s="1"/>
  <c r="Z27" i="6" s="1"/>
  <c r="BJ27" i="6" s="1"/>
  <c r="Z28" i="6" s="1"/>
  <c r="BJ28" i="6" s="1"/>
  <c r="Z29" i="6" s="1"/>
  <c r="BJ29" i="6" s="1"/>
  <c r="Z30" i="6" s="1"/>
  <c r="BJ30" i="6" s="1"/>
  <c r="Z31" i="6" s="1"/>
  <c r="BJ31" i="6" s="1"/>
  <c r="Z32" i="6" s="1"/>
  <c r="BJ32" i="6" s="1"/>
  <c r="Z33" i="6" s="1"/>
  <c r="BJ33" i="6" s="1"/>
  <c r="Z34" i="6" s="1"/>
  <c r="BJ34" i="6" s="1"/>
  <c r="Z35" i="6" s="1"/>
  <c r="BJ35" i="6" s="1"/>
  <c r="Z36" i="6" s="1"/>
  <c r="BJ36" i="6" s="1"/>
  <c r="Z37" i="6" s="1"/>
  <c r="BJ37" i="6" s="1"/>
  <c r="Z38" i="6" s="1"/>
  <c r="BJ38" i="6" s="1"/>
  <c r="Z39" i="6" s="1"/>
  <c r="BJ39" i="6" s="1"/>
  <c r="Z40" i="6" s="1"/>
  <c r="BJ40" i="6" s="1"/>
  <c r="Z41" i="6" s="1"/>
  <c r="BJ41" i="6" s="1"/>
  <c r="Y6" i="6"/>
  <c r="BI6" i="6" s="1"/>
  <c r="Y7" i="6" s="1"/>
  <c r="BI7" i="6" s="1"/>
  <c r="X6" i="6"/>
  <c r="BH6" i="6" s="1"/>
  <c r="X7" i="6" s="1"/>
  <c r="BH7" i="6" s="1"/>
  <c r="X8" i="6" s="1"/>
  <c r="BH8" i="6" s="1"/>
  <c r="X9" i="6" s="1"/>
  <c r="BH9" i="6" s="1"/>
  <c r="X10" i="6" s="1"/>
  <c r="BH10" i="6" s="1"/>
  <c r="X11" i="6" s="1"/>
  <c r="BH11" i="6" s="1"/>
  <c r="X12" i="6" s="1"/>
  <c r="BH12" i="6" s="1"/>
  <c r="X13" i="6" s="1"/>
  <c r="BH13" i="6" s="1"/>
  <c r="X14" i="6" s="1"/>
  <c r="BH14" i="6" s="1"/>
  <c r="X15" i="6" s="1"/>
  <c r="BH15" i="6" s="1"/>
  <c r="X16" i="6" s="1"/>
  <c r="BH16" i="6" s="1"/>
  <c r="X17" i="6" s="1"/>
  <c r="BH17" i="6" s="1"/>
  <c r="X18" i="6" s="1"/>
  <c r="BH18" i="6" s="1"/>
  <c r="X19" i="6" s="1"/>
  <c r="BH19" i="6" s="1"/>
  <c r="X20" i="6" s="1"/>
  <c r="BH20" i="6" s="1"/>
  <c r="X21" i="6" s="1"/>
  <c r="BH21" i="6" s="1"/>
  <c r="X22" i="6" s="1"/>
  <c r="BH22" i="6" s="1"/>
  <c r="X23" i="6" s="1"/>
  <c r="BH23" i="6" s="1"/>
  <c r="X24" i="6" s="1"/>
  <c r="BH24" i="6" s="1"/>
  <c r="X25" i="6" s="1"/>
  <c r="BH25" i="6" s="1"/>
  <c r="X26" i="6" s="1"/>
  <c r="BH26" i="6" s="1"/>
  <c r="X27" i="6" s="1"/>
  <c r="BH27" i="6" s="1"/>
  <c r="X28" i="6" s="1"/>
  <c r="BH28" i="6" s="1"/>
  <c r="X29" i="6" s="1"/>
  <c r="BH29" i="6" s="1"/>
  <c r="X30" i="6" s="1"/>
  <c r="BH30" i="6" s="1"/>
  <c r="X31" i="6" s="1"/>
  <c r="BH31" i="6" s="1"/>
  <c r="X32" i="6" s="1"/>
  <c r="BH32" i="6" s="1"/>
  <c r="X33" i="6" s="1"/>
  <c r="BH33" i="6" s="1"/>
  <c r="X34" i="6" s="1"/>
  <c r="BH34" i="6" s="1"/>
  <c r="X35" i="6" s="1"/>
  <c r="BH35" i="6" s="1"/>
  <c r="X36" i="6" s="1"/>
  <c r="BH36" i="6" s="1"/>
  <c r="X37" i="6" s="1"/>
  <c r="BH37" i="6" s="1"/>
  <c r="X38" i="6" s="1"/>
  <c r="BH38" i="6" s="1"/>
  <c r="X39" i="6" s="1"/>
  <c r="BH39" i="6" s="1"/>
  <c r="X40" i="6" s="1"/>
  <c r="BH40" i="6" s="1"/>
  <c r="X41" i="6" s="1"/>
  <c r="BH41" i="6" s="1"/>
  <c r="W6" i="6"/>
  <c r="V6" i="6"/>
  <c r="BF6" i="6" s="1"/>
  <c r="V7" i="6" s="1"/>
  <c r="BF7" i="6" s="1"/>
  <c r="V8" i="6" s="1"/>
  <c r="BF8" i="6" s="1"/>
  <c r="V9" i="6" s="1"/>
  <c r="BF9" i="6" s="1"/>
  <c r="V10" i="6" s="1"/>
  <c r="BF10" i="6" s="1"/>
  <c r="V11" i="6" s="1"/>
  <c r="BF11" i="6" s="1"/>
  <c r="V12" i="6" s="1"/>
  <c r="BF12" i="6" s="1"/>
  <c r="V13" i="6" s="1"/>
  <c r="BF13" i="6" s="1"/>
  <c r="V14" i="6" s="1"/>
  <c r="BF14" i="6" s="1"/>
  <c r="V15" i="6" s="1"/>
  <c r="BF15" i="6" s="1"/>
  <c r="V16" i="6" s="1"/>
  <c r="BF16" i="6" s="1"/>
  <c r="V17" i="6" s="1"/>
  <c r="BF17" i="6" s="1"/>
  <c r="V18" i="6" s="1"/>
  <c r="BF18" i="6" s="1"/>
  <c r="V19" i="6" s="1"/>
  <c r="BF19" i="6" s="1"/>
  <c r="V20" i="6" s="1"/>
  <c r="BF20" i="6" s="1"/>
  <c r="V21" i="6" s="1"/>
  <c r="BF21" i="6" s="1"/>
  <c r="V22" i="6" s="1"/>
  <c r="BF22" i="6" s="1"/>
  <c r="V23" i="6" s="1"/>
  <c r="BF23" i="6" s="1"/>
  <c r="V24" i="6" s="1"/>
  <c r="BF24" i="6" s="1"/>
  <c r="V25" i="6" s="1"/>
  <c r="BF25" i="6" s="1"/>
  <c r="V26" i="6" s="1"/>
  <c r="BF26" i="6" s="1"/>
  <c r="V27" i="6" s="1"/>
  <c r="BF27" i="6" s="1"/>
  <c r="V28" i="6" s="1"/>
  <c r="BF28" i="6" s="1"/>
  <c r="V29" i="6" s="1"/>
  <c r="U6" i="6"/>
  <c r="T6" i="6"/>
  <c r="BD6" i="6" s="1"/>
  <c r="T7" i="6" s="1"/>
  <c r="BD7" i="6" s="1"/>
  <c r="T8" i="6" s="1"/>
  <c r="BD8" i="6" s="1"/>
  <c r="T9" i="6" s="1"/>
  <c r="S6" i="6"/>
  <c r="R6" i="6"/>
  <c r="BB6" i="6" s="1"/>
  <c r="R7" i="6" s="1"/>
  <c r="BB7" i="6" s="1"/>
  <c r="R8" i="6" s="1"/>
  <c r="BB8" i="6" s="1"/>
  <c r="R9" i="6" s="1"/>
  <c r="BB9" i="6" s="1"/>
  <c r="R10" i="6" s="1"/>
  <c r="BB10" i="6" s="1"/>
  <c r="R11" i="6" s="1"/>
  <c r="BB11" i="6" s="1"/>
  <c r="R12" i="6" s="1"/>
  <c r="BB12" i="6" s="1"/>
  <c r="R13" i="6" s="1"/>
  <c r="BB13" i="6" s="1"/>
  <c r="R14" i="6" s="1"/>
  <c r="BB14" i="6" s="1"/>
  <c r="R15" i="6" s="1"/>
  <c r="BB15" i="6" s="1"/>
  <c r="R16" i="6" s="1"/>
  <c r="BB16" i="6" s="1"/>
  <c r="R17" i="6" s="1"/>
  <c r="BB17" i="6" s="1"/>
  <c r="R18" i="6" s="1"/>
  <c r="BB18" i="6" s="1"/>
  <c r="R19" i="6" s="1"/>
  <c r="BB19" i="6" s="1"/>
  <c r="R20" i="6" s="1"/>
  <c r="BB20" i="6" s="1"/>
  <c r="R21" i="6" s="1"/>
  <c r="BB21" i="6" s="1"/>
  <c r="R22" i="6" s="1"/>
  <c r="BB22" i="6" s="1"/>
  <c r="R23" i="6" s="1"/>
  <c r="BB23" i="6" s="1"/>
  <c r="R24" i="6" s="1"/>
  <c r="BB24" i="6" s="1"/>
  <c r="R25" i="6" s="1"/>
  <c r="BB25" i="6" s="1"/>
  <c r="R26" i="6" s="1"/>
  <c r="BB26" i="6" s="1"/>
  <c r="R27" i="6" s="1"/>
  <c r="BB27" i="6" s="1"/>
  <c r="R28" i="6" s="1"/>
  <c r="BB28" i="6" s="1"/>
  <c r="R29" i="6" s="1"/>
  <c r="BB29" i="6" s="1"/>
  <c r="R30" i="6" s="1"/>
  <c r="BB30" i="6" s="1"/>
  <c r="R31" i="6" s="1"/>
  <c r="BB31" i="6" s="1"/>
  <c r="R32" i="6" s="1"/>
  <c r="BB32" i="6" s="1"/>
  <c r="R33" i="6" s="1"/>
  <c r="BB33" i="6" s="1"/>
  <c r="R34" i="6" s="1"/>
  <c r="BB34" i="6" s="1"/>
  <c r="R35" i="6" s="1"/>
  <c r="BB35" i="6" s="1"/>
  <c r="R36" i="6" s="1"/>
  <c r="BB36" i="6" s="1"/>
  <c r="R37" i="6" s="1"/>
  <c r="BB37" i="6" s="1"/>
  <c r="R38" i="6" s="1"/>
  <c r="BB38" i="6" s="1"/>
  <c r="R39" i="6" s="1"/>
  <c r="BB39" i="6" s="1"/>
  <c r="R40" i="6" s="1"/>
  <c r="BB40" i="6" s="1"/>
  <c r="R41" i="6" s="1"/>
  <c r="BB41" i="6" s="1"/>
  <c r="Q6" i="6"/>
  <c r="BA6" i="6" s="1"/>
  <c r="O6" i="6"/>
  <c r="N6" i="6"/>
  <c r="AX6" i="6" s="1"/>
  <c r="N7" i="6" s="1"/>
  <c r="AX7" i="6" s="1"/>
  <c r="N8" i="6" s="1"/>
  <c r="AX8" i="6" s="1"/>
  <c r="N9" i="6" s="1"/>
  <c r="AX9" i="6" s="1"/>
  <c r="N10" i="6" s="1"/>
  <c r="AX10" i="6" s="1"/>
  <c r="N11" i="6" s="1"/>
  <c r="AX11" i="6" s="1"/>
  <c r="N12" i="6" s="1"/>
  <c r="AX12" i="6" s="1"/>
  <c r="M6" i="6"/>
  <c r="AW6" i="6" s="1"/>
  <c r="M7" i="6" s="1"/>
  <c r="AW7" i="6" s="1"/>
  <c r="M8" i="6" s="1"/>
  <c r="L6" i="6"/>
  <c r="K6" i="6"/>
  <c r="H6" i="6"/>
  <c r="G6" i="6"/>
  <c r="AV6" i="6" s="1"/>
  <c r="L7" i="6" s="1"/>
  <c r="AV7" i="6" s="1"/>
  <c r="L8" i="6" s="1"/>
  <c r="AV8" i="6" s="1"/>
  <c r="L9" i="6" s="1"/>
  <c r="F6" i="6"/>
  <c r="AE6" i="6" s="1"/>
  <c r="E6" i="6"/>
  <c r="D6" i="6"/>
  <c r="C6" i="6"/>
  <c r="B6" i="6"/>
  <c r="A6" i="6"/>
  <c r="CG48" i="5"/>
  <c r="BY48" i="5"/>
  <c r="BV48" i="5"/>
  <c r="BU48" i="5"/>
  <c r="AS48" i="5"/>
  <c r="AR48" i="5"/>
  <c r="BZ48" i="5" s="1"/>
  <c r="AL48" i="5"/>
  <c r="AK48" i="5"/>
  <c r="AF48" i="5"/>
  <c r="AC48" i="5"/>
  <c r="Z48" i="5"/>
  <c r="J48" i="5"/>
  <c r="AA48" i="5" s="1"/>
  <c r="I48" i="5"/>
  <c r="Y48" i="5" s="1"/>
  <c r="CA48" i="5" s="1"/>
  <c r="H48" i="5"/>
  <c r="CH48" i="5" s="1"/>
  <c r="G48" i="5"/>
  <c r="CD48" i="5" s="1"/>
  <c r="F48" i="5"/>
  <c r="AU48" i="5" s="1"/>
  <c r="E48" i="5"/>
  <c r="AO48" i="5" s="1"/>
  <c r="D48" i="5"/>
  <c r="AE48" i="5" s="1"/>
  <c r="C48" i="5"/>
  <c r="BN48" i="5" s="1"/>
  <c r="B48" i="5"/>
  <c r="A48" i="5"/>
  <c r="CE47" i="5"/>
  <c r="BX47" i="5"/>
  <c r="BS47" i="5"/>
  <c r="AF1594" i="6" s="1"/>
  <c r="AU47" i="5"/>
  <c r="AT47" i="5"/>
  <c r="AQ47" i="5"/>
  <c r="AP47" i="5"/>
  <c r="AN47" i="5"/>
  <c r="AM47" i="5"/>
  <c r="AI47" i="5"/>
  <c r="AH47" i="5"/>
  <c r="AG47" i="5"/>
  <c r="AE47" i="5"/>
  <c r="AA47" i="5"/>
  <c r="K47" i="5"/>
  <c r="J47" i="5"/>
  <c r="Z47" i="5" s="1"/>
  <c r="I47" i="5"/>
  <c r="Y47" i="5" s="1"/>
  <c r="CA47" i="5" s="1"/>
  <c r="H47" i="5"/>
  <c r="CH47" i="5" s="1"/>
  <c r="G47" i="5"/>
  <c r="CD47" i="5" s="1"/>
  <c r="F47" i="5"/>
  <c r="AS47" i="5" s="1"/>
  <c r="E47" i="5"/>
  <c r="AO47" i="5" s="1"/>
  <c r="D47" i="5"/>
  <c r="AB47" i="5" s="1"/>
  <c r="C47" i="5"/>
  <c r="BR47" i="5" s="1"/>
  <c r="B47" i="5"/>
  <c r="A47" i="5"/>
  <c r="CG46" i="5"/>
  <c r="CF46" i="5"/>
  <c r="CE46" i="5"/>
  <c r="BY46" i="5"/>
  <c r="BU46" i="5"/>
  <c r="BT46" i="5"/>
  <c r="AF1564" i="6" s="1"/>
  <c r="BS46" i="5"/>
  <c r="AF1558" i="6" s="1"/>
  <c r="AP46" i="5"/>
  <c r="AO46" i="5"/>
  <c r="AK46" i="5"/>
  <c r="AG46" i="5"/>
  <c r="AF46" i="5"/>
  <c r="AD46" i="5"/>
  <c r="AC46" i="5"/>
  <c r="K46" i="5"/>
  <c r="J46" i="5"/>
  <c r="AA46" i="5" s="1"/>
  <c r="I46" i="5"/>
  <c r="W46" i="5" s="1"/>
  <c r="H46" i="5"/>
  <c r="CH46" i="5" s="1"/>
  <c r="G46" i="5"/>
  <c r="CD46" i="5" s="1"/>
  <c r="F46" i="5"/>
  <c r="AS46" i="5" s="1"/>
  <c r="E46" i="5"/>
  <c r="AJ46" i="5" s="1"/>
  <c r="D46" i="5"/>
  <c r="AE46" i="5" s="1"/>
  <c r="C46" i="5"/>
  <c r="BR46" i="5" s="1"/>
  <c r="B46" i="5"/>
  <c r="A46" i="5"/>
  <c r="CG45" i="5"/>
  <c r="CE45" i="5"/>
  <c r="BW45" i="5"/>
  <c r="BV45" i="5"/>
  <c r="BU45" i="5"/>
  <c r="BS45" i="5"/>
  <c r="AF1522" i="6" s="1"/>
  <c r="AU45" i="5"/>
  <c r="AT45" i="5"/>
  <c r="AR45" i="5"/>
  <c r="BZ45" i="5" s="1"/>
  <c r="AQ45" i="5"/>
  <c r="AM45" i="5"/>
  <c r="AL45" i="5"/>
  <c r="AK45" i="5"/>
  <c r="AI45" i="5"/>
  <c r="AH45" i="5"/>
  <c r="AF45" i="5"/>
  <c r="AE45" i="5"/>
  <c r="AA45" i="5"/>
  <c r="Z45" i="5"/>
  <c r="K45" i="5"/>
  <c r="J45" i="5"/>
  <c r="I45" i="5"/>
  <c r="X45" i="5" s="1"/>
  <c r="H45" i="5"/>
  <c r="U45" i="5" s="1"/>
  <c r="G45" i="5"/>
  <c r="F45" i="5"/>
  <c r="AS45" i="5" s="1"/>
  <c r="E45" i="5"/>
  <c r="CF45" i="5" s="1"/>
  <c r="D45" i="5"/>
  <c r="BT45" i="5" s="1"/>
  <c r="AF1528" i="6" s="1"/>
  <c r="C45" i="5"/>
  <c r="BK45" i="5" s="1"/>
  <c r="B45" i="5"/>
  <c r="A45" i="5"/>
  <c r="BX44" i="5"/>
  <c r="BW44" i="5"/>
  <c r="AT44" i="5"/>
  <c r="AS44" i="5"/>
  <c r="AO44" i="5"/>
  <c r="AN44" i="5"/>
  <c r="AM44" i="5"/>
  <c r="AH44" i="5"/>
  <c r="AG44" i="5"/>
  <c r="AB44" i="5"/>
  <c r="V44" i="5"/>
  <c r="J44" i="5"/>
  <c r="I44" i="5"/>
  <c r="H44" i="5"/>
  <c r="CH44" i="5" s="1"/>
  <c r="G44" i="5"/>
  <c r="CD44" i="5" s="1"/>
  <c r="F44" i="5"/>
  <c r="AU44" i="5" s="1"/>
  <c r="E44" i="5"/>
  <c r="CG44" i="5" s="1"/>
  <c r="D44" i="5"/>
  <c r="BY44" i="5" s="1"/>
  <c r="C44" i="5"/>
  <c r="BM44" i="5" s="1"/>
  <c r="B44" i="5"/>
  <c r="A44" i="5"/>
  <c r="CE43" i="5"/>
  <c r="BY43" i="5"/>
  <c r="BW43" i="5"/>
  <c r="BV43" i="5"/>
  <c r="BT43" i="5"/>
  <c r="AF1456" i="6" s="1"/>
  <c r="BS43" i="5"/>
  <c r="AF1450" i="6" s="1"/>
  <c r="AU43" i="5"/>
  <c r="AE43" i="5"/>
  <c r="AD43" i="5"/>
  <c r="AC43" i="5"/>
  <c r="X43" i="5"/>
  <c r="W43" i="5"/>
  <c r="J43" i="5"/>
  <c r="Z43" i="5" s="1"/>
  <c r="I43" i="5"/>
  <c r="Y43" i="5" s="1"/>
  <c r="CA43" i="5" s="1"/>
  <c r="H43" i="5"/>
  <c r="U43" i="5" s="1"/>
  <c r="G43" i="5"/>
  <c r="F43" i="5"/>
  <c r="E43" i="5"/>
  <c r="AM43" i="5" s="1"/>
  <c r="D43" i="5"/>
  <c r="BX43" i="5" s="1"/>
  <c r="C43" i="5"/>
  <c r="BB43" i="5" s="1"/>
  <c r="B43" i="5"/>
  <c r="A43" i="5"/>
  <c r="CA42" i="5"/>
  <c r="BV42" i="5"/>
  <c r="AS42" i="5"/>
  <c r="AR42" i="5"/>
  <c r="BZ42" i="5" s="1"/>
  <c r="AO42" i="5"/>
  <c r="AF42" i="5"/>
  <c r="AB42" i="5"/>
  <c r="Y42" i="5"/>
  <c r="J42" i="5"/>
  <c r="AA42" i="5" s="1"/>
  <c r="I42" i="5"/>
  <c r="H42" i="5"/>
  <c r="CH42" i="5" s="1"/>
  <c r="G42" i="5"/>
  <c r="F42" i="5"/>
  <c r="AU42" i="5" s="1"/>
  <c r="E42" i="5"/>
  <c r="AN42" i="5" s="1"/>
  <c r="D42" i="5"/>
  <c r="BY42" i="5" s="1"/>
  <c r="C42" i="5"/>
  <c r="BN42" i="5" s="1"/>
  <c r="B42" i="5"/>
  <c r="A42" i="5"/>
  <c r="BZ41" i="5"/>
  <c r="AU41" i="5"/>
  <c r="AQ41" i="5"/>
  <c r="AP41" i="5"/>
  <c r="AN41" i="5"/>
  <c r="AM41" i="5"/>
  <c r="AI41" i="5"/>
  <c r="AH41" i="5"/>
  <c r="AG41" i="5"/>
  <c r="AH1374" i="6" s="1"/>
  <c r="J41" i="5"/>
  <c r="Z41" i="5" s="1"/>
  <c r="I41" i="5"/>
  <c r="W41" i="5" s="1"/>
  <c r="H41" i="5"/>
  <c r="CH41" i="5" s="1"/>
  <c r="G41" i="5"/>
  <c r="V41" i="5" s="1"/>
  <c r="F41" i="5"/>
  <c r="AR41" i="5" s="1"/>
  <c r="E41" i="5"/>
  <c r="AO41" i="5" s="1"/>
  <c r="D41" i="5"/>
  <c r="C41" i="5"/>
  <c r="BF41" i="5" s="1"/>
  <c r="B41" i="5"/>
  <c r="A41" i="5"/>
  <c r="CG40" i="5"/>
  <c r="CE40" i="5"/>
  <c r="BY40" i="5"/>
  <c r="BU40" i="5"/>
  <c r="BT40" i="5"/>
  <c r="AF1348" i="6" s="1"/>
  <c r="BS40" i="5"/>
  <c r="AF1342" i="6" s="1"/>
  <c r="AU40" i="5"/>
  <c r="AS40" i="5"/>
  <c r="AO40" i="5"/>
  <c r="AF40" i="5"/>
  <c r="AD40" i="5"/>
  <c r="AC40" i="5"/>
  <c r="Y40" i="5"/>
  <c r="CA40" i="5" s="1"/>
  <c r="X40" i="5"/>
  <c r="W40" i="5"/>
  <c r="J40" i="5"/>
  <c r="AA40" i="5" s="1"/>
  <c r="I40" i="5"/>
  <c r="H40" i="5"/>
  <c r="CH40" i="5" s="1"/>
  <c r="G40" i="5"/>
  <c r="CD40" i="5" s="1"/>
  <c r="F40" i="5"/>
  <c r="AT40" i="5" s="1"/>
  <c r="E40" i="5"/>
  <c r="AK40" i="5" s="1"/>
  <c r="D40" i="5"/>
  <c r="AE40" i="5" s="1"/>
  <c r="C40" i="5"/>
  <c r="BR40" i="5" s="1"/>
  <c r="B40" i="5"/>
  <c r="A40" i="5"/>
  <c r="CG39" i="5"/>
  <c r="CE39" i="5"/>
  <c r="BW39" i="5"/>
  <c r="BV39" i="5"/>
  <c r="BU39" i="5"/>
  <c r="BS39" i="5"/>
  <c r="AF1306" i="6" s="1"/>
  <c r="AU39" i="5"/>
  <c r="AT39" i="5"/>
  <c r="AR39" i="5"/>
  <c r="BZ39" i="5" s="1"/>
  <c r="AQ39" i="5"/>
  <c r="AN39" i="5"/>
  <c r="AM39" i="5"/>
  <c r="AL39" i="5"/>
  <c r="AK39" i="5"/>
  <c r="AI39" i="5"/>
  <c r="AH39" i="5"/>
  <c r="AF39" i="5"/>
  <c r="AE39" i="5"/>
  <c r="AA39" i="5"/>
  <c r="Y39" i="5"/>
  <c r="CA39" i="5" s="1"/>
  <c r="CC39" i="5" s="1"/>
  <c r="W39" i="5"/>
  <c r="J39" i="5"/>
  <c r="Z39" i="5" s="1"/>
  <c r="I39" i="5"/>
  <c r="X39" i="5" s="1"/>
  <c r="H39" i="5"/>
  <c r="U39" i="5" s="1"/>
  <c r="G39" i="5"/>
  <c r="CD39" i="5" s="1"/>
  <c r="F39" i="5"/>
  <c r="AS39" i="5" s="1"/>
  <c r="E39" i="5"/>
  <c r="CF39" i="5" s="1"/>
  <c r="D39" i="5"/>
  <c r="BT39" i="5" s="1"/>
  <c r="AF1312" i="6" s="1"/>
  <c r="C39" i="5"/>
  <c r="BD39" i="5" s="1"/>
  <c r="B39" i="5"/>
  <c r="A39" i="5"/>
  <c r="CG38" i="5"/>
  <c r="CF38" i="5"/>
  <c r="BX38" i="5"/>
  <c r="AT38" i="5"/>
  <c r="AS38" i="5"/>
  <c r="AP38" i="5"/>
  <c r="AO38" i="5"/>
  <c r="AN38" i="5"/>
  <c r="AM38" i="5"/>
  <c r="AK38" i="5"/>
  <c r="AH38" i="5"/>
  <c r="AG38" i="5"/>
  <c r="U38" i="5"/>
  <c r="J38" i="5"/>
  <c r="K38" i="5" s="1"/>
  <c r="I38" i="5"/>
  <c r="W38" i="5" s="1"/>
  <c r="H38" i="5"/>
  <c r="CH38" i="5" s="1"/>
  <c r="G38" i="5"/>
  <c r="V38" i="5" s="1"/>
  <c r="F38" i="5"/>
  <c r="E38" i="5"/>
  <c r="D38" i="5"/>
  <c r="C38" i="5"/>
  <c r="BQ38" i="5" s="1"/>
  <c r="B38" i="5"/>
  <c r="A38" i="5"/>
  <c r="CH37" i="5"/>
  <c r="CF37" i="5"/>
  <c r="BW37" i="5"/>
  <c r="BV37" i="5"/>
  <c r="BS37" i="5"/>
  <c r="AF1234" i="6" s="1"/>
  <c r="AU37" i="5"/>
  <c r="AP37" i="5"/>
  <c r="AO37" i="5"/>
  <c r="AM37" i="5"/>
  <c r="AL37" i="5"/>
  <c r="AJ37" i="5"/>
  <c r="AD37" i="5"/>
  <c r="J37" i="5"/>
  <c r="Z37" i="5" s="1"/>
  <c r="I37" i="5"/>
  <c r="Y37" i="5" s="1"/>
  <c r="CA37" i="5" s="1"/>
  <c r="CC37" i="5" s="1"/>
  <c r="H37" i="5"/>
  <c r="U37" i="5" s="1"/>
  <c r="G37" i="5"/>
  <c r="F37" i="5"/>
  <c r="AR37" i="5" s="1"/>
  <c r="BZ37" i="5" s="1"/>
  <c r="E37" i="5"/>
  <c r="AQ37" i="5" s="1"/>
  <c r="D37" i="5"/>
  <c r="BU37" i="5" s="1"/>
  <c r="C37" i="5"/>
  <c r="BH37" i="5" s="1"/>
  <c r="B37" i="5"/>
  <c r="A37" i="5"/>
  <c r="CG36" i="5"/>
  <c r="CF36" i="5"/>
  <c r="AT36" i="5"/>
  <c r="AS36" i="5"/>
  <c r="AR36" i="5"/>
  <c r="BZ36" i="5" s="1"/>
  <c r="AQ36" i="5"/>
  <c r="AP36" i="5"/>
  <c r="AN36" i="5"/>
  <c r="AM36" i="5"/>
  <c r="AK36" i="5"/>
  <c r="AJ36" i="5"/>
  <c r="P1194" i="6" s="1"/>
  <c r="AZ1194" i="6" s="1"/>
  <c r="AI36" i="5"/>
  <c r="AH36" i="5"/>
  <c r="AG36" i="5"/>
  <c r="AH1194" i="6" s="1"/>
  <c r="V36" i="5"/>
  <c r="U36" i="5"/>
  <c r="J36" i="5"/>
  <c r="K36" i="5" s="1"/>
  <c r="I36" i="5"/>
  <c r="X36" i="5" s="1"/>
  <c r="H36" i="5"/>
  <c r="CH36" i="5" s="1"/>
  <c r="G36" i="5"/>
  <c r="CD36" i="5" s="1"/>
  <c r="F36" i="5"/>
  <c r="AU36" i="5" s="1"/>
  <c r="E36" i="5"/>
  <c r="AO36" i="5" s="1"/>
  <c r="D36" i="5"/>
  <c r="BT36" i="5" s="1"/>
  <c r="AF1204" i="6" s="1"/>
  <c r="C36" i="5"/>
  <c r="BG36" i="5" s="1"/>
  <c r="B36" i="5"/>
  <c r="A36" i="5"/>
  <c r="CH35" i="5"/>
  <c r="CF35" i="5"/>
  <c r="CE35" i="5"/>
  <c r="BY35" i="5"/>
  <c r="BW35" i="5"/>
  <c r="BV35" i="5"/>
  <c r="BU35" i="5"/>
  <c r="BT35" i="5"/>
  <c r="AF1168" i="6" s="1"/>
  <c r="BS35" i="5"/>
  <c r="AF1162" i="6" s="1"/>
  <c r="AP35" i="5"/>
  <c r="AM35" i="5"/>
  <c r="AL35" i="5"/>
  <c r="AJ35" i="5"/>
  <c r="AI35" i="5"/>
  <c r="AH35" i="5"/>
  <c r="AF35" i="5"/>
  <c r="AE35" i="5"/>
  <c r="AD35" i="5"/>
  <c r="AC35" i="5"/>
  <c r="X35" i="5"/>
  <c r="W35" i="5"/>
  <c r="V35" i="5"/>
  <c r="J35" i="5"/>
  <c r="AA35" i="5" s="1"/>
  <c r="I35" i="5"/>
  <c r="Y35" i="5" s="1"/>
  <c r="CA35" i="5" s="1"/>
  <c r="CC35" i="5" s="1"/>
  <c r="CB35" i="5" s="1"/>
  <c r="H35" i="5"/>
  <c r="U35" i="5" s="1"/>
  <c r="G35" i="5"/>
  <c r="CD35" i="5" s="1"/>
  <c r="F35" i="5"/>
  <c r="AU35" i="5" s="1"/>
  <c r="E35" i="5"/>
  <c r="CG35" i="5" s="1"/>
  <c r="D35" i="5"/>
  <c r="BX35" i="5" s="1"/>
  <c r="C35" i="5"/>
  <c r="BJ35" i="5" s="1"/>
  <c r="B35" i="5"/>
  <c r="A35" i="5"/>
  <c r="CD34" i="5"/>
  <c r="BY34" i="5"/>
  <c r="BU34" i="5"/>
  <c r="AU34" i="5"/>
  <c r="AT34" i="5"/>
  <c r="AS34" i="5"/>
  <c r="AR34" i="5"/>
  <c r="BZ34" i="5" s="1"/>
  <c r="AF34" i="5"/>
  <c r="AC34" i="5"/>
  <c r="Z34" i="5"/>
  <c r="J34" i="5"/>
  <c r="AA34" i="5" s="1"/>
  <c r="I34" i="5"/>
  <c r="Y34" i="5" s="1"/>
  <c r="CA34" i="5" s="1"/>
  <c r="H34" i="5"/>
  <c r="CH34" i="5" s="1"/>
  <c r="G34" i="5"/>
  <c r="V34" i="5" s="1"/>
  <c r="F34" i="5"/>
  <c r="E34" i="5"/>
  <c r="AN34" i="5" s="1"/>
  <c r="D34" i="5"/>
  <c r="BX34" i="5" s="1"/>
  <c r="C34" i="5"/>
  <c r="BK34" i="5" s="1"/>
  <c r="B34" i="5"/>
  <c r="A34" i="5"/>
  <c r="CG33" i="5"/>
  <c r="CF33" i="5"/>
  <c r="CD33" i="5"/>
  <c r="BW33" i="5"/>
  <c r="AT33" i="5"/>
  <c r="AQ33" i="5"/>
  <c r="AP33" i="5"/>
  <c r="AN33" i="5"/>
  <c r="AM33" i="5"/>
  <c r="AL33" i="5"/>
  <c r="AK33" i="5"/>
  <c r="AJ33" i="5"/>
  <c r="AH33" i="5"/>
  <c r="AG33" i="5"/>
  <c r="AE33" i="5"/>
  <c r="V33" i="5"/>
  <c r="J33" i="5"/>
  <c r="AA33" i="5" s="1"/>
  <c r="I33" i="5"/>
  <c r="Y33" i="5" s="1"/>
  <c r="CA33" i="5" s="1"/>
  <c r="CC33" i="5" s="1"/>
  <c r="H33" i="5"/>
  <c r="U33" i="5" s="1"/>
  <c r="G33" i="5"/>
  <c r="F33" i="5"/>
  <c r="AU33" i="5" s="1"/>
  <c r="E33" i="5"/>
  <c r="AO33" i="5" s="1"/>
  <c r="D33" i="5"/>
  <c r="AD33" i="5" s="1"/>
  <c r="C33" i="5"/>
  <c r="BN33" i="5" s="1"/>
  <c r="B33" i="5"/>
  <c r="A33" i="5"/>
  <c r="CF32" i="5"/>
  <c r="BY32" i="5"/>
  <c r="BT32" i="5"/>
  <c r="AF1060" i="6" s="1"/>
  <c r="AS32" i="5"/>
  <c r="AJ32" i="5"/>
  <c r="AG32" i="5"/>
  <c r="AH1050" i="6" s="1"/>
  <c r="AF32" i="5"/>
  <c r="AD32" i="5"/>
  <c r="AC32" i="5"/>
  <c r="X32" i="5"/>
  <c r="J32" i="5"/>
  <c r="AA32" i="5" s="1"/>
  <c r="I32" i="5"/>
  <c r="Y32" i="5" s="1"/>
  <c r="CA32" i="5" s="1"/>
  <c r="H32" i="5"/>
  <c r="CH32" i="5" s="1"/>
  <c r="G32" i="5"/>
  <c r="CD32" i="5" s="1"/>
  <c r="F32" i="5"/>
  <c r="AR32" i="5" s="1"/>
  <c r="BZ32" i="5" s="1"/>
  <c r="E32" i="5"/>
  <c r="AQ32" i="5" s="1"/>
  <c r="D32" i="5"/>
  <c r="AE32" i="5" s="1"/>
  <c r="C32" i="5"/>
  <c r="BO32" i="5" s="1"/>
  <c r="B32" i="5"/>
  <c r="A32" i="5"/>
  <c r="CG31" i="5"/>
  <c r="CE31" i="5"/>
  <c r="BV31" i="5"/>
  <c r="BS31" i="5"/>
  <c r="AF1018" i="6" s="1"/>
  <c r="AU31" i="5"/>
  <c r="AR31" i="5"/>
  <c r="BZ31" i="5" s="1"/>
  <c r="AQ31" i="5"/>
  <c r="AP31" i="5"/>
  <c r="AN31" i="5"/>
  <c r="AL31" i="5"/>
  <c r="AK31" i="5"/>
  <c r="AI31" i="5"/>
  <c r="AH31" i="5"/>
  <c r="AF31" i="5"/>
  <c r="AE31" i="5"/>
  <c r="AD31" i="5"/>
  <c r="Z31" i="5"/>
  <c r="Y31" i="5"/>
  <c r="CA31" i="5" s="1"/>
  <c r="K31" i="5"/>
  <c r="J31" i="5"/>
  <c r="AA31" i="5" s="1"/>
  <c r="I31" i="5"/>
  <c r="X31" i="5" s="1"/>
  <c r="H31" i="5"/>
  <c r="U31" i="5" s="1"/>
  <c r="G31" i="5"/>
  <c r="CD31" i="5" s="1"/>
  <c r="F31" i="5"/>
  <c r="AT31" i="5" s="1"/>
  <c r="AF1032" i="6" s="1"/>
  <c r="E31" i="5"/>
  <c r="AG31" i="5" s="1"/>
  <c r="AH1014" i="6" s="1"/>
  <c r="D31" i="5"/>
  <c r="BY31" i="5" s="1"/>
  <c r="C31" i="5"/>
  <c r="BK31" i="5" s="1"/>
  <c r="B31" i="5"/>
  <c r="A31" i="5"/>
  <c r="CG30" i="5"/>
  <c r="CF30" i="5"/>
  <c r="CD30" i="5"/>
  <c r="AT30" i="5"/>
  <c r="AS30" i="5"/>
  <c r="AR30" i="5"/>
  <c r="BZ30" i="5" s="1"/>
  <c r="AQ30" i="5"/>
  <c r="AP30" i="5"/>
  <c r="AN30" i="5"/>
  <c r="AM30" i="5"/>
  <c r="AK30" i="5"/>
  <c r="AJ30" i="5"/>
  <c r="P978" i="6" s="1"/>
  <c r="AZ978" i="6" s="1"/>
  <c r="AI30" i="5"/>
  <c r="AH30" i="5"/>
  <c r="AG30" i="5"/>
  <c r="AH978" i="6" s="1"/>
  <c r="V30" i="5"/>
  <c r="J30" i="5"/>
  <c r="K30" i="5" s="1"/>
  <c r="I30" i="5"/>
  <c r="X30" i="5" s="1"/>
  <c r="H30" i="5"/>
  <c r="CH30" i="5" s="1"/>
  <c r="G30" i="5"/>
  <c r="F30" i="5"/>
  <c r="AU30" i="5" s="1"/>
  <c r="E30" i="5"/>
  <c r="AO30" i="5" s="1"/>
  <c r="D30" i="5"/>
  <c r="BT30" i="5" s="1"/>
  <c r="AF988" i="6" s="1"/>
  <c r="C30" i="5"/>
  <c r="BG30" i="5" s="1"/>
  <c r="B30" i="5"/>
  <c r="A30" i="5"/>
  <c r="CF29" i="5"/>
  <c r="CE29" i="5"/>
  <c r="CD29" i="5"/>
  <c r="BY29" i="5"/>
  <c r="BW29" i="5"/>
  <c r="BV29" i="5"/>
  <c r="BU29" i="5"/>
  <c r="BT29" i="5"/>
  <c r="AF952" i="6" s="1"/>
  <c r="BS29" i="5"/>
  <c r="AF946" i="6" s="1"/>
  <c r="AP29" i="5"/>
  <c r="AM29" i="5"/>
  <c r="AL29" i="5"/>
  <c r="AJ29" i="5"/>
  <c r="AI29" i="5"/>
  <c r="AH29" i="5"/>
  <c r="AF29" i="5"/>
  <c r="AE29" i="5"/>
  <c r="AD29" i="5"/>
  <c r="AC29" i="5"/>
  <c r="X29" i="5"/>
  <c r="W29" i="5"/>
  <c r="V29" i="5"/>
  <c r="J29" i="5"/>
  <c r="Z29" i="5" s="1"/>
  <c r="I29" i="5"/>
  <c r="Y29" i="5" s="1"/>
  <c r="CA29" i="5" s="1"/>
  <c r="CC29" i="5" s="1"/>
  <c r="CB29" i="5" s="1"/>
  <c r="H29" i="5"/>
  <c r="U29" i="5" s="1"/>
  <c r="G29" i="5"/>
  <c r="F29" i="5"/>
  <c r="AU29" i="5" s="1"/>
  <c r="E29" i="5"/>
  <c r="CG29" i="5" s="1"/>
  <c r="D29" i="5"/>
  <c r="BX29" i="5" s="1"/>
  <c r="C29" i="5"/>
  <c r="BJ29" i="5" s="1"/>
  <c r="B29" i="5"/>
  <c r="A29" i="5"/>
  <c r="CG28" i="5"/>
  <c r="BY28" i="5"/>
  <c r="BU28" i="5"/>
  <c r="AU28" i="5"/>
  <c r="AT28" i="5"/>
  <c r="AS28" i="5"/>
  <c r="AR28" i="5"/>
  <c r="BZ28" i="5" s="1"/>
  <c r="AK28" i="5"/>
  <c r="AF28" i="5"/>
  <c r="AC28" i="5"/>
  <c r="J28" i="5"/>
  <c r="AA28" i="5" s="1"/>
  <c r="I28" i="5"/>
  <c r="Y28" i="5" s="1"/>
  <c r="CA28" i="5" s="1"/>
  <c r="H28" i="5"/>
  <c r="CH28" i="5" s="1"/>
  <c r="G28" i="5"/>
  <c r="V28" i="5" s="1"/>
  <c r="F28" i="5"/>
  <c r="E28" i="5"/>
  <c r="AN28" i="5" s="1"/>
  <c r="D28" i="5"/>
  <c r="BX28" i="5" s="1"/>
  <c r="C28" i="5"/>
  <c r="BK28" i="5" s="1"/>
  <c r="B28" i="5"/>
  <c r="A28" i="5"/>
  <c r="CG27" i="5"/>
  <c r="CF27" i="5"/>
  <c r="BW27" i="5"/>
  <c r="AT27" i="5"/>
  <c r="AQ27" i="5"/>
  <c r="AP27" i="5"/>
  <c r="AN27" i="5"/>
  <c r="AM27" i="5"/>
  <c r="AL27" i="5"/>
  <c r="AK27" i="5"/>
  <c r="AJ27" i="5"/>
  <c r="AH27" i="5"/>
  <c r="AG27" i="5"/>
  <c r="AE27" i="5"/>
  <c r="X27" i="5"/>
  <c r="J27" i="5"/>
  <c r="AA27" i="5" s="1"/>
  <c r="I27" i="5"/>
  <c r="Y27" i="5" s="1"/>
  <c r="CA27" i="5" s="1"/>
  <c r="CC27" i="5" s="1"/>
  <c r="H27" i="5"/>
  <c r="U27" i="5" s="1"/>
  <c r="G27" i="5"/>
  <c r="CD27" i="5" s="1"/>
  <c r="F27" i="5"/>
  <c r="AU27" i="5" s="1"/>
  <c r="E27" i="5"/>
  <c r="AO27" i="5" s="1"/>
  <c r="D27" i="5"/>
  <c r="AD27" i="5" s="1"/>
  <c r="C27" i="5"/>
  <c r="BN27" i="5" s="1"/>
  <c r="B27" i="5"/>
  <c r="A27" i="5"/>
  <c r="CF26" i="5"/>
  <c r="BY26" i="5"/>
  <c r="BT26" i="5"/>
  <c r="AF844" i="6" s="1"/>
  <c r="AS26" i="5"/>
  <c r="AJ26" i="5"/>
  <c r="AC26" i="5"/>
  <c r="J26" i="5"/>
  <c r="AA26" i="5" s="1"/>
  <c r="I26" i="5"/>
  <c r="Y26" i="5" s="1"/>
  <c r="CA26" i="5" s="1"/>
  <c r="H26" i="5"/>
  <c r="CH26" i="5" s="1"/>
  <c r="G26" i="5"/>
  <c r="CD26" i="5" s="1"/>
  <c r="F26" i="5"/>
  <c r="AR26" i="5" s="1"/>
  <c r="BZ26" i="5" s="1"/>
  <c r="E26" i="5"/>
  <c r="AQ26" i="5" s="1"/>
  <c r="D26" i="5"/>
  <c r="AF26" i="5" s="1"/>
  <c r="C26" i="5"/>
  <c r="BO26" i="5" s="1"/>
  <c r="B26" i="5"/>
  <c r="A26" i="5"/>
  <c r="CH25" i="5"/>
  <c r="CG25" i="5"/>
  <c r="CE25" i="5"/>
  <c r="BV25" i="5"/>
  <c r="BS25" i="5"/>
  <c r="AF802" i="6" s="1"/>
  <c r="AU25" i="5"/>
  <c r="AQ25" i="5"/>
  <c r="AP25" i="5"/>
  <c r="AN25" i="5"/>
  <c r="AL25" i="5"/>
  <c r="AK25" i="5"/>
  <c r="AI25" i="5"/>
  <c r="AH25" i="5"/>
  <c r="AE25" i="5"/>
  <c r="Z25" i="5"/>
  <c r="J25" i="5"/>
  <c r="AA25" i="5" s="1"/>
  <c r="I25" i="5"/>
  <c r="X25" i="5" s="1"/>
  <c r="H25" i="5"/>
  <c r="U25" i="5" s="1"/>
  <c r="G25" i="5"/>
  <c r="CD25" i="5" s="1"/>
  <c r="F25" i="5"/>
  <c r="AT25" i="5" s="1"/>
  <c r="E25" i="5"/>
  <c r="AG25" i="5" s="1"/>
  <c r="D25" i="5"/>
  <c r="AF25" i="5" s="1"/>
  <c r="C25" i="5"/>
  <c r="BK25" i="5" s="1"/>
  <c r="B25" i="5"/>
  <c r="A25" i="5"/>
  <c r="CG24" i="5"/>
  <c r="CF24" i="5"/>
  <c r="AZ24" i="5"/>
  <c r="AS24" i="5"/>
  <c r="AQ24" i="5"/>
  <c r="AP24" i="5"/>
  <c r="AN24" i="5"/>
  <c r="AM24" i="5"/>
  <c r="AK24" i="5"/>
  <c r="AJ24" i="5"/>
  <c r="P762" i="6" s="1"/>
  <c r="AZ762" i="6" s="1"/>
  <c r="AI24" i="5"/>
  <c r="AH24" i="5"/>
  <c r="AG24" i="5"/>
  <c r="J24" i="5"/>
  <c r="K24" i="5" s="1"/>
  <c r="I24" i="5"/>
  <c r="X24" i="5" s="1"/>
  <c r="H24" i="5"/>
  <c r="CH24" i="5" s="1"/>
  <c r="G24" i="5"/>
  <c r="CD24" i="5" s="1"/>
  <c r="F24" i="5"/>
  <c r="AU24" i="5" s="1"/>
  <c r="E24" i="5"/>
  <c r="AO24" i="5" s="1"/>
  <c r="D24" i="5"/>
  <c r="BT24" i="5" s="1"/>
  <c r="AF772" i="6" s="1"/>
  <c r="C24" i="5"/>
  <c r="BG24" i="5" s="1"/>
  <c r="B24" i="5"/>
  <c r="A24" i="5"/>
  <c r="CF23" i="5"/>
  <c r="CE23" i="5"/>
  <c r="BY23" i="5"/>
  <c r="BW23" i="5"/>
  <c r="BV23" i="5"/>
  <c r="BU23" i="5"/>
  <c r="BT23" i="5"/>
  <c r="AF736" i="6" s="1"/>
  <c r="BS23" i="5"/>
  <c r="AF730" i="6" s="1"/>
  <c r="AP23" i="5"/>
  <c r="AM23" i="5"/>
  <c r="AL23" i="5"/>
  <c r="AJ23" i="5"/>
  <c r="AI23" i="5"/>
  <c r="AH23" i="5"/>
  <c r="AF23" i="5"/>
  <c r="AE23" i="5"/>
  <c r="AD23" i="5"/>
  <c r="AC23" i="5"/>
  <c r="J23" i="5"/>
  <c r="Z23" i="5" s="1"/>
  <c r="I23" i="5"/>
  <c r="Y23" i="5" s="1"/>
  <c r="CA23" i="5" s="1"/>
  <c r="CC23" i="5" s="1"/>
  <c r="CB23" i="5" s="1"/>
  <c r="H23" i="5"/>
  <c r="CH23" i="5" s="1"/>
  <c r="G23" i="5"/>
  <c r="CD23" i="5" s="1"/>
  <c r="F23" i="5"/>
  <c r="AU23" i="5" s="1"/>
  <c r="E23" i="5"/>
  <c r="CG23" i="5" s="1"/>
  <c r="D23" i="5"/>
  <c r="BX23" i="5" s="1"/>
  <c r="C23" i="5"/>
  <c r="BJ23" i="5" s="1"/>
  <c r="B23" i="5"/>
  <c r="A23" i="5"/>
  <c r="CG22" i="5"/>
  <c r="BY22" i="5"/>
  <c r="BU22" i="5"/>
  <c r="AU22" i="5"/>
  <c r="AT22" i="5"/>
  <c r="AS22" i="5"/>
  <c r="AR22" i="5"/>
  <c r="BZ22" i="5" s="1"/>
  <c r="AK22" i="5"/>
  <c r="AF22" i="5"/>
  <c r="AC22" i="5"/>
  <c r="X22" i="5"/>
  <c r="J22" i="5"/>
  <c r="AA22" i="5" s="1"/>
  <c r="I22" i="5"/>
  <c r="Y22" i="5" s="1"/>
  <c r="CA22" i="5" s="1"/>
  <c r="H22" i="5"/>
  <c r="CH22" i="5" s="1"/>
  <c r="G22" i="5"/>
  <c r="CD22" i="5" s="1"/>
  <c r="F22" i="5"/>
  <c r="E22" i="5"/>
  <c r="AN22" i="5" s="1"/>
  <c r="D22" i="5"/>
  <c r="BX22" i="5" s="1"/>
  <c r="C22" i="5"/>
  <c r="BK22" i="5" s="1"/>
  <c r="B22" i="5"/>
  <c r="A22" i="5"/>
  <c r="CG21" i="5"/>
  <c r="CF21" i="5"/>
  <c r="BW21" i="5"/>
  <c r="BV21" i="5"/>
  <c r="BT21" i="5"/>
  <c r="AF664" i="6" s="1"/>
  <c r="AT21" i="5"/>
  <c r="AQ21" i="5"/>
  <c r="AP21" i="5"/>
  <c r="AN21" i="5"/>
  <c r="AM21" i="5"/>
  <c r="AL21" i="5"/>
  <c r="AK21" i="5"/>
  <c r="AJ21" i="5"/>
  <c r="AH21" i="5"/>
  <c r="AG21" i="5"/>
  <c r="AE21" i="5"/>
  <c r="AD21" i="5"/>
  <c r="X21" i="5"/>
  <c r="J21" i="5"/>
  <c r="AA21" i="5" s="1"/>
  <c r="I21" i="5"/>
  <c r="Y21" i="5" s="1"/>
  <c r="CA21" i="5" s="1"/>
  <c r="CC21" i="5" s="1"/>
  <c r="H21" i="5"/>
  <c r="CH21" i="5" s="1"/>
  <c r="G21" i="5"/>
  <c r="CD21" i="5" s="1"/>
  <c r="F21" i="5"/>
  <c r="AU21" i="5" s="1"/>
  <c r="E21" i="5"/>
  <c r="AO21" i="5" s="1"/>
  <c r="D21" i="5"/>
  <c r="BY21" i="5" s="1"/>
  <c r="C21" i="5"/>
  <c r="BN21" i="5" s="1"/>
  <c r="B21" i="5"/>
  <c r="A21" i="5"/>
  <c r="CF20" i="5"/>
  <c r="BY20" i="5"/>
  <c r="BV20" i="5"/>
  <c r="BT20" i="5"/>
  <c r="AF628" i="6" s="1"/>
  <c r="AS20" i="5"/>
  <c r="AR20" i="5"/>
  <c r="BZ20" i="5" s="1"/>
  <c r="AJ20" i="5"/>
  <c r="AC20" i="5"/>
  <c r="J20" i="5"/>
  <c r="Z20" i="5" s="1"/>
  <c r="I20" i="5"/>
  <c r="Y20" i="5" s="1"/>
  <c r="CA20" i="5" s="1"/>
  <c r="H20" i="5"/>
  <c r="CH20" i="5" s="1"/>
  <c r="G20" i="5"/>
  <c r="CD20" i="5" s="1"/>
  <c r="F20" i="5"/>
  <c r="AU20" i="5" s="1"/>
  <c r="E20" i="5"/>
  <c r="AQ20" i="5" s="1"/>
  <c r="D20" i="5"/>
  <c r="AF20" i="5" s="1"/>
  <c r="C20" i="5"/>
  <c r="BO20" i="5" s="1"/>
  <c r="B20" i="5"/>
  <c r="A20" i="5"/>
  <c r="CG19" i="5"/>
  <c r="BV19" i="5"/>
  <c r="AU19" i="5"/>
  <c r="AQ19" i="5"/>
  <c r="AP19" i="5"/>
  <c r="AN19" i="5"/>
  <c r="AL19" i="5"/>
  <c r="AK19" i="5"/>
  <c r="AI19" i="5"/>
  <c r="AH19" i="5"/>
  <c r="AE19" i="5"/>
  <c r="Y19" i="5"/>
  <c r="CA19" i="5" s="1"/>
  <c r="J19" i="5"/>
  <c r="AA19" i="5" s="1"/>
  <c r="I19" i="5"/>
  <c r="X19" i="5" s="1"/>
  <c r="H19" i="5"/>
  <c r="U19" i="5" s="1"/>
  <c r="G19" i="5"/>
  <c r="CD19" i="5" s="1"/>
  <c r="F19" i="5"/>
  <c r="AT19" i="5" s="1"/>
  <c r="E19" i="5"/>
  <c r="AG19" i="5" s="1"/>
  <c r="D19" i="5"/>
  <c r="AF19" i="5" s="1"/>
  <c r="C19" i="5"/>
  <c r="BK19" i="5" s="1"/>
  <c r="B19" i="5"/>
  <c r="A19" i="5"/>
  <c r="CG18" i="5"/>
  <c r="CF18" i="5"/>
  <c r="AS18" i="5"/>
  <c r="AQ18" i="5"/>
  <c r="AP18" i="5"/>
  <c r="AN18" i="5"/>
  <c r="AM18" i="5"/>
  <c r="AK18" i="5"/>
  <c r="AJ18" i="5"/>
  <c r="P546" i="6" s="1"/>
  <c r="AZ546" i="6" s="1"/>
  <c r="AI18" i="5"/>
  <c r="AH18" i="5"/>
  <c r="AG18" i="5"/>
  <c r="AH546" i="6" s="1"/>
  <c r="V18" i="5"/>
  <c r="J18" i="5"/>
  <c r="K18" i="5" s="1"/>
  <c r="I18" i="5"/>
  <c r="X18" i="5" s="1"/>
  <c r="H18" i="5"/>
  <c r="CH18" i="5" s="1"/>
  <c r="G18" i="5"/>
  <c r="CD18" i="5" s="1"/>
  <c r="F18" i="5"/>
  <c r="AU18" i="5" s="1"/>
  <c r="E18" i="5"/>
  <c r="AO18" i="5" s="1"/>
  <c r="D18" i="5"/>
  <c r="BT18" i="5" s="1"/>
  <c r="AF556" i="6" s="1"/>
  <c r="C18" i="5"/>
  <c r="BG18" i="5" s="1"/>
  <c r="B18" i="5"/>
  <c r="A18" i="5"/>
  <c r="CF17" i="5"/>
  <c r="CE17" i="5"/>
  <c r="BY17" i="5"/>
  <c r="BW17" i="5"/>
  <c r="BV17" i="5"/>
  <c r="BU17" i="5"/>
  <c r="BT17" i="5"/>
  <c r="AF520" i="6" s="1"/>
  <c r="BS17" i="5"/>
  <c r="AF514" i="6" s="1"/>
  <c r="AP17" i="5"/>
  <c r="AM17" i="5"/>
  <c r="AL17" i="5"/>
  <c r="AJ17" i="5"/>
  <c r="AI17" i="5"/>
  <c r="AH17" i="5"/>
  <c r="AF17" i="5"/>
  <c r="AE17" i="5"/>
  <c r="AD17" i="5"/>
  <c r="AC17" i="5"/>
  <c r="AA17" i="5"/>
  <c r="K17" i="5"/>
  <c r="J17" i="5"/>
  <c r="Z17" i="5" s="1"/>
  <c r="I17" i="5"/>
  <c r="Y17" i="5" s="1"/>
  <c r="CA17" i="5" s="1"/>
  <c r="CC17" i="5" s="1"/>
  <c r="CB17" i="5" s="1"/>
  <c r="H17" i="5"/>
  <c r="CH17" i="5" s="1"/>
  <c r="G17" i="5"/>
  <c r="CD17" i="5" s="1"/>
  <c r="F17" i="5"/>
  <c r="AU17" i="5" s="1"/>
  <c r="E17" i="5"/>
  <c r="CG17" i="5" s="1"/>
  <c r="D17" i="5"/>
  <c r="BX17" i="5" s="1"/>
  <c r="C17" i="5"/>
  <c r="BJ17" i="5" s="1"/>
  <c r="B17" i="5"/>
  <c r="A17" i="5"/>
  <c r="CG16" i="5"/>
  <c r="CD16" i="5"/>
  <c r="BY16" i="5"/>
  <c r="BU16" i="5"/>
  <c r="AU16" i="5"/>
  <c r="AT16" i="5"/>
  <c r="AS16" i="5"/>
  <c r="AR16" i="5"/>
  <c r="BZ16" i="5" s="1"/>
  <c r="AK16" i="5"/>
  <c r="AF16" i="5"/>
  <c r="AC16" i="5"/>
  <c r="W16" i="5"/>
  <c r="J16" i="5"/>
  <c r="AA16" i="5" s="1"/>
  <c r="I16" i="5"/>
  <c r="Y16" i="5" s="1"/>
  <c r="CA16" i="5" s="1"/>
  <c r="H16" i="5"/>
  <c r="CH16" i="5" s="1"/>
  <c r="G16" i="5"/>
  <c r="V16" i="5" s="1"/>
  <c r="F16" i="5"/>
  <c r="E16" i="5"/>
  <c r="AN16" i="5" s="1"/>
  <c r="D16" i="5"/>
  <c r="BX16" i="5" s="1"/>
  <c r="C16" i="5"/>
  <c r="BK16" i="5" s="1"/>
  <c r="B16" i="5"/>
  <c r="A16" i="5"/>
  <c r="CG15" i="5"/>
  <c r="CF15" i="5"/>
  <c r="BW15" i="5"/>
  <c r="BV15" i="5"/>
  <c r="BT15" i="5"/>
  <c r="AF448" i="6" s="1"/>
  <c r="AT15" i="5"/>
  <c r="AQ15" i="5"/>
  <c r="AP15" i="5"/>
  <c r="AN15" i="5"/>
  <c r="AM15" i="5"/>
  <c r="AL15" i="5"/>
  <c r="AK15" i="5"/>
  <c r="AJ15" i="5"/>
  <c r="AH15" i="5"/>
  <c r="AG15" i="5"/>
  <c r="AH439" i="6" s="1"/>
  <c r="AE15" i="5"/>
  <c r="AD15" i="5"/>
  <c r="J15" i="5"/>
  <c r="AA15" i="5" s="1"/>
  <c r="I15" i="5"/>
  <c r="Y15" i="5" s="1"/>
  <c r="CA15" i="5" s="1"/>
  <c r="CC15" i="5" s="1"/>
  <c r="H15" i="5"/>
  <c r="CH15" i="5" s="1"/>
  <c r="G15" i="5"/>
  <c r="CD15" i="5" s="1"/>
  <c r="F15" i="5"/>
  <c r="AU15" i="5" s="1"/>
  <c r="E15" i="5"/>
  <c r="AO15" i="5" s="1"/>
  <c r="D15" i="5"/>
  <c r="BY15" i="5" s="1"/>
  <c r="C15" i="5"/>
  <c r="BN15" i="5" s="1"/>
  <c r="B15" i="5"/>
  <c r="A15" i="5"/>
  <c r="CF14" i="5"/>
  <c r="BY14" i="5"/>
  <c r="BV14" i="5"/>
  <c r="BT14" i="5"/>
  <c r="AF412" i="6" s="1"/>
  <c r="AS14" i="5"/>
  <c r="AR14" i="5"/>
  <c r="BZ14" i="5" s="1"/>
  <c r="AJ14" i="5"/>
  <c r="AC14" i="5"/>
  <c r="U14" i="5"/>
  <c r="K14" i="5"/>
  <c r="J14" i="5"/>
  <c r="AA14" i="5" s="1"/>
  <c r="I14" i="5"/>
  <c r="Y14" i="5" s="1"/>
  <c r="CA14" i="5" s="1"/>
  <c r="H14" i="5"/>
  <c r="CH14" i="5" s="1"/>
  <c r="G14" i="5"/>
  <c r="CD14" i="5" s="1"/>
  <c r="F14" i="5"/>
  <c r="AU14" i="5" s="1"/>
  <c r="E14" i="5"/>
  <c r="AQ14" i="5" s="1"/>
  <c r="D14" i="5"/>
  <c r="AF14" i="5" s="1"/>
  <c r="C14" i="5"/>
  <c r="BO14" i="5" s="1"/>
  <c r="B14" i="5"/>
  <c r="A14" i="5"/>
  <c r="CG13" i="5"/>
  <c r="BV13" i="5"/>
  <c r="AQ13" i="5"/>
  <c r="AP13" i="5"/>
  <c r="AN13" i="5"/>
  <c r="AL13" i="5"/>
  <c r="AK13" i="5"/>
  <c r="AI13" i="5"/>
  <c r="AH13" i="5"/>
  <c r="AE13" i="5"/>
  <c r="Y13" i="5"/>
  <c r="CA13" i="5" s="1"/>
  <c r="J13" i="5"/>
  <c r="AA13" i="5" s="1"/>
  <c r="I13" i="5"/>
  <c r="X13" i="5" s="1"/>
  <c r="H13" i="5"/>
  <c r="U13" i="5" s="1"/>
  <c r="G13" i="5"/>
  <c r="CD13" i="5" s="1"/>
  <c r="F13" i="5"/>
  <c r="AT13" i="5" s="1"/>
  <c r="E13" i="5"/>
  <c r="AG13" i="5" s="1"/>
  <c r="D13" i="5"/>
  <c r="AF13" i="5" s="1"/>
  <c r="C13" i="5"/>
  <c r="BK13" i="5" s="1"/>
  <c r="B13" i="5"/>
  <c r="A13" i="5"/>
  <c r="CG12" i="5"/>
  <c r="CF12" i="5"/>
  <c r="CD12" i="5"/>
  <c r="AS12" i="5"/>
  <c r="AQ12" i="5"/>
  <c r="AP12" i="5"/>
  <c r="AN12" i="5"/>
  <c r="AM12" i="5"/>
  <c r="AK12" i="5"/>
  <c r="AJ12" i="5"/>
  <c r="P330" i="6" s="1"/>
  <c r="AZ330" i="6" s="1"/>
  <c r="AI12" i="5"/>
  <c r="AH12" i="5"/>
  <c r="AG12" i="5"/>
  <c r="V12" i="5"/>
  <c r="J12" i="5"/>
  <c r="K12" i="5" s="1"/>
  <c r="I12" i="5"/>
  <c r="X12" i="5" s="1"/>
  <c r="H12" i="5"/>
  <c r="CH12" i="5" s="1"/>
  <c r="G12" i="5"/>
  <c r="F12" i="5"/>
  <c r="AU12" i="5" s="1"/>
  <c r="E12" i="5"/>
  <c r="AO12" i="5" s="1"/>
  <c r="D12" i="5"/>
  <c r="BT12" i="5" s="1"/>
  <c r="AF340" i="6" s="1"/>
  <c r="C12" i="5"/>
  <c r="BG12" i="5" s="1"/>
  <c r="B12" i="5"/>
  <c r="A12" i="5"/>
  <c r="CE11" i="5"/>
  <c r="CD11" i="5"/>
  <c r="BY11" i="5"/>
  <c r="BW11" i="5"/>
  <c r="BV11" i="5"/>
  <c r="BU11" i="5"/>
  <c r="BT11" i="5"/>
  <c r="AF304" i="6" s="1"/>
  <c r="BS11" i="5"/>
  <c r="AF298" i="6" s="1"/>
  <c r="AP11" i="5"/>
  <c r="AM11" i="5"/>
  <c r="AL11" i="5"/>
  <c r="AI11" i="5"/>
  <c r="AH11" i="5"/>
  <c r="AF11" i="5"/>
  <c r="AE11" i="5"/>
  <c r="AD11" i="5"/>
  <c r="AC11" i="5"/>
  <c r="W11" i="5"/>
  <c r="V11" i="5"/>
  <c r="K11" i="5"/>
  <c r="J11" i="5"/>
  <c r="Z11" i="5" s="1"/>
  <c r="I11" i="5"/>
  <c r="Y11" i="5" s="1"/>
  <c r="CA11" i="5" s="1"/>
  <c r="CC11" i="5" s="1"/>
  <c r="CB11" i="5" s="1"/>
  <c r="H11" i="5"/>
  <c r="CH11" i="5" s="1"/>
  <c r="G11" i="5"/>
  <c r="F11" i="5"/>
  <c r="AU11" i="5" s="1"/>
  <c r="E11" i="5"/>
  <c r="CG11" i="5" s="1"/>
  <c r="D11" i="5"/>
  <c r="BX11" i="5" s="1"/>
  <c r="C11" i="5"/>
  <c r="BJ11" i="5" s="1"/>
  <c r="B11" i="5"/>
  <c r="A11" i="5"/>
  <c r="CG10" i="5"/>
  <c r="CF10" i="5"/>
  <c r="BU10" i="5"/>
  <c r="BT10" i="5"/>
  <c r="AF268" i="6" s="1"/>
  <c r="BR10" i="5"/>
  <c r="BP10" i="5"/>
  <c r="BO10" i="5"/>
  <c r="BM10" i="5"/>
  <c r="BL10" i="5"/>
  <c r="BJ10" i="5"/>
  <c r="BI10" i="5"/>
  <c r="BH10" i="5"/>
  <c r="BG10" i="5"/>
  <c r="BF10" i="5"/>
  <c r="BD10" i="5"/>
  <c r="BC10" i="5"/>
  <c r="BA10" i="5"/>
  <c r="AZ10" i="5"/>
  <c r="AX10" i="5"/>
  <c r="AW10" i="5"/>
  <c r="AV10" i="5"/>
  <c r="AU10" i="5"/>
  <c r="AT10" i="5"/>
  <c r="AS10" i="5"/>
  <c r="AR10" i="5"/>
  <c r="BZ10" i="5" s="1"/>
  <c r="AN10" i="5"/>
  <c r="AK10" i="5"/>
  <c r="AJ10" i="5"/>
  <c r="AH10" i="5"/>
  <c r="AF10" i="5"/>
  <c r="J10" i="5"/>
  <c r="AA10" i="5" s="1"/>
  <c r="I10" i="5"/>
  <c r="Y10" i="5" s="1"/>
  <c r="CA10" i="5" s="1"/>
  <c r="H10" i="5"/>
  <c r="CH10" i="5" s="1"/>
  <c r="G10" i="5"/>
  <c r="V10" i="5" s="1"/>
  <c r="F10" i="5"/>
  <c r="E10" i="5"/>
  <c r="AM10" i="5" s="1"/>
  <c r="D10" i="5"/>
  <c r="BX10" i="5" s="1"/>
  <c r="C10" i="5"/>
  <c r="BK10" i="5" s="1"/>
  <c r="B10" i="5"/>
  <c r="A10" i="5"/>
  <c r="CG9" i="5"/>
  <c r="CF9" i="5"/>
  <c r="BW9" i="5"/>
  <c r="BV9" i="5"/>
  <c r="BT9" i="5"/>
  <c r="AF232" i="6" s="1"/>
  <c r="BR9" i="5"/>
  <c r="BF9" i="5"/>
  <c r="AT9" i="5"/>
  <c r="AQ9" i="5"/>
  <c r="AP9" i="5"/>
  <c r="AN9" i="5"/>
  <c r="AM9" i="5"/>
  <c r="AL9" i="5"/>
  <c r="AK9" i="5"/>
  <c r="AJ9" i="5"/>
  <c r="AH9" i="5"/>
  <c r="AG9" i="5"/>
  <c r="AE9" i="5"/>
  <c r="AD9" i="5"/>
  <c r="J9" i="5"/>
  <c r="AA9" i="5" s="1"/>
  <c r="I9" i="5"/>
  <c r="Y9" i="5" s="1"/>
  <c r="CA9" i="5" s="1"/>
  <c r="CC9" i="5" s="1"/>
  <c r="H9" i="5"/>
  <c r="CH9" i="5" s="1"/>
  <c r="G9" i="5"/>
  <c r="CD9" i="5" s="1"/>
  <c r="F9" i="5"/>
  <c r="AU9" i="5" s="1"/>
  <c r="E9" i="5"/>
  <c r="AO9" i="5" s="1"/>
  <c r="D9" i="5"/>
  <c r="BY9" i="5" s="1"/>
  <c r="C9" i="5"/>
  <c r="BN9" i="5" s="1"/>
  <c r="B9" i="5"/>
  <c r="A9" i="5"/>
  <c r="CF8" i="5"/>
  <c r="BY8" i="5"/>
  <c r="BT8" i="5"/>
  <c r="AF196" i="6" s="1"/>
  <c r="BQ8" i="5"/>
  <c r="BP8" i="5"/>
  <c r="BN8" i="5"/>
  <c r="BM8" i="5"/>
  <c r="BL8" i="5"/>
  <c r="BJ8" i="5"/>
  <c r="BH8" i="5"/>
  <c r="BG8" i="5"/>
  <c r="BE8" i="5"/>
  <c r="BD8" i="5"/>
  <c r="BB8" i="5"/>
  <c r="BA8" i="5"/>
  <c r="AZ8" i="5"/>
  <c r="AX8" i="5"/>
  <c r="AV8" i="5"/>
  <c r="AU8" i="5"/>
  <c r="AS8" i="5"/>
  <c r="AR8" i="5"/>
  <c r="BZ8" i="5" s="1"/>
  <c r="AJ8" i="5"/>
  <c r="AC8" i="5"/>
  <c r="J8" i="5"/>
  <c r="AA8" i="5" s="1"/>
  <c r="I8" i="5"/>
  <c r="Y8" i="5" s="1"/>
  <c r="CA8" i="5" s="1"/>
  <c r="H8" i="5"/>
  <c r="U8" i="5" s="1"/>
  <c r="G8" i="5"/>
  <c r="CD8" i="5" s="1"/>
  <c r="F8" i="5"/>
  <c r="AT8" i="5" s="1"/>
  <c r="AF204" i="6" s="1"/>
  <c r="E8" i="5"/>
  <c r="AQ8" i="5" s="1"/>
  <c r="D8" i="5"/>
  <c r="AF8" i="5" s="1"/>
  <c r="C8" i="5"/>
  <c r="BO8" i="5" s="1"/>
  <c r="B8" i="5"/>
  <c r="A8" i="5"/>
  <c r="CG7" i="5"/>
  <c r="BV7" i="5"/>
  <c r="BR7" i="5"/>
  <c r="BQ7" i="5"/>
  <c r="BP7" i="5"/>
  <c r="BO7" i="5"/>
  <c r="BN7" i="5"/>
  <c r="BM7" i="5"/>
  <c r="BL7" i="5"/>
  <c r="BJ7" i="5"/>
  <c r="BI7" i="5"/>
  <c r="BG7" i="5"/>
  <c r="BF7" i="5"/>
  <c r="BE7" i="5"/>
  <c r="BD7" i="5"/>
  <c r="BC7" i="5"/>
  <c r="BB7" i="5"/>
  <c r="BA7" i="5"/>
  <c r="AZ7" i="5"/>
  <c r="AX7" i="5"/>
  <c r="AW7" i="5"/>
  <c r="AQ7" i="5"/>
  <c r="AP7" i="5"/>
  <c r="AN7" i="5"/>
  <c r="AL7" i="5"/>
  <c r="AK7" i="5"/>
  <c r="AI7" i="5"/>
  <c r="AH7" i="5"/>
  <c r="AE7" i="5"/>
  <c r="AD7" i="5"/>
  <c r="J7" i="5"/>
  <c r="AA7" i="5" s="1"/>
  <c r="I7" i="5"/>
  <c r="X7" i="5" s="1"/>
  <c r="H7" i="5"/>
  <c r="U7" i="5" s="1"/>
  <c r="G7" i="5"/>
  <c r="CD7" i="5" s="1"/>
  <c r="F7" i="5"/>
  <c r="AT7" i="5" s="1"/>
  <c r="E7" i="5"/>
  <c r="AG7" i="5" s="1"/>
  <c r="AH151" i="6" s="1"/>
  <c r="D7" i="5"/>
  <c r="AF7" i="5" s="1"/>
  <c r="C7" i="5"/>
  <c r="BK7" i="5" s="1"/>
  <c r="B7" i="5"/>
  <c r="A7" i="5"/>
  <c r="CG6" i="5"/>
  <c r="CF6" i="5"/>
  <c r="BQ6" i="5"/>
  <c r="BP6" i="5"/>
  <c r="BN6" i="5"/>
  <c r="BL6" i="5"/>
  <c r="BI6" i="5"/>
  <c r="BH6" i="5"/>
  <c r="BE6" i="5"/>
  <c r="BD6" i="5"/>
  <c r="BB6" i="5"/>
  <c r="AZ6" i="5"/>
  <c r="AW6" i="5"/>
  <c r="AV6" i="5"/>
  <c r="AS6" i="5"/>
  <c r="AR6" i="5"/>
  <c r="BZ6" i="5" s="1"/>
  <c r="AQ6" i="5"/>
  <c r="AP6" i="5"/>
  <c r="AN6" i="5"/>
  <c r="AM6" i="5"/>
  <c r="AK6" i="5"/>
  <c r="AJ6" i="5"/>
  <c r="P114" i="6" s="1"/>
  <c r="AZ114" i="6" s="1"/>
  <c r="P115" i="6" s="1"/>
  <c r="AZ115" i="6" s="1"/>
  <c r="P116" i="6" s="1"/>
  <c r="AZ116" i="6" s="1"/>
  <c r="P117" i="6" s="1"/>
  <c r="AZ117" i="6" s="1"/>
  <c r="P118" i="6" s="1"/>
  <c r="AZ118" i="6" s="1"/>
  <c r="P119" i="6" s="1"/>
  <c r="AZ119" i="6" s="1"/>
  <c r="P120" i="6" s="1"/>
  <c r="AZ120" i="6" s="1"/>
  <c r="P121" i="6" s="1"/>
  <c r="AZ121" i="6" s="1"/>
  <c r="P122" i="6" s="1"/>
  <c r="AZ122" i="6" s="1"/>
  <c r="P123" i="6" s="1"/>
  <c r="AZ123" i="6" s="1"/>
  <c r="P124" i="6" s="1"/>
  <c r="AZ124" i="6" s="1"/>
  <c r="P125" i="6" s="1"/>
  <c r="AZ125" i="6" s="1"/>
  <c r="P126" i="6" s="1"/>
  <c r="AZ126" i="6" s="1"/>
  <c r="P127" i="6" s="1"/>
  <c r="AZ127" i="6" s="1"/>
  <c r="P128" i="6" s="1"/>
  <c r="AZ128" i="6" s="1"/>
  <c r="P129" i="6" s="1"/>
  <c r="AZ129" i="6" s="1"/>
  <c r="P130" i="6" s="1"/>
  <c r="AZ130" i="6" s="1"/>
  <c r="P131" i="6" s="1"/>
  <c r="AZ131" i="6" s="1"/>
  <c r="P132" i="6" s="1"/>
  <c r="AZ132" i="6" s="1"/>
  <c r="P133" i="6" s="1"/>
  <c r="AZ133" i="6" s="1"/>
  <c r="P134" i="6" s="1"/>
  <c r="AZ134" i="6" s="1"/>
  <c r="P135" i="6" s="1"/>
  <c r="AZ135" i="6" s="1"/>
  <c r="P136" i="6" s="1"/>
  <c r="AZ136" i="6" s="1"/>
  <c r="P137" i="6" s="1"/>
  <c r="AZ137" i="6" s="1"/>
  <c r="P138" i="6" s="1"/>
  <c r="AZ138" i="6" s="1"/>
  <c r="P139" i="6" s="1"/>
  <c r="AZ139" i="6" s="1"/>
  <c r="P140" i="6" s="1"/>
  <c r="AZ140" i="6" s="1"/>
  <c r="P141" i="6" s="1"/>
  <c r="AZ141" i="6" s="1"/>
  <c r="P142" i="6" s="1"/>
  <c r="AZ142" i="6" s="1"/>
  <c r="P143" i="6" s="1"/>
  <c r="AZ143" i="6" s="1"/>
  <c r="P144" i="6" s="1"/>
  <c r="AZ144" i="6" s="1"/>
  <c r="P145" i="6" s="1"/>
  <c r="AZ145" i="6" s="1"/>
  <c r="P146" i="6" s="1"/>
  <c r="AZ146" i="6" s="1"/>
  <c r="P147" i="6" s="1"/>
  <c r="AZ147" i="6" s="1"/>
  <c r="P148" i="6" s="1"/>
  <c r="AZ148" i="6" s="1"/>
  <c r="P149" i="6" s="1"/>
  <c r="AZ149" i="6" s="1"/>
  <c r="AI6" i="5"/>
  <c r="AH6" i="5"/>
  <c r="AG6" i="5"/>
  <c r="AB6" i="5"/>
  <c r="AJ130" i="6" s="1"/>
  <c r="J6" i="5"/>
  <c r="K6" i="5" s="1"/>
  <c r="I6" i="5"/>
  <c r="W6" i="5" s="1"/>
  <c r="H6" i="5"/>
  <c r="CH6" i="5" s="1"/>
  <c r="G6" i="5"/>
  <c r="CD6" i="5" s="1"/>
  <c r="F6" i="5"/>
  <c r="AU6" i="5" s="1"/>
  <c r="E6" i="5"/>
  <c r="AO6" i="5" s="1"/>
  <c r="D6" i="5"/>
  <c r="BT6" i="5" s="1"/>
  <c r="AF124" i="6" s="1"/>
  <c r="C6" i="5"/>
  <c r="BG6" i="5" s="1"/>
  <c r="AF133" i="6" s="1"/>
  <c r="B6" i="5"/>
  <c r="A6" i="5"/>
  <c r="CE5" i="5"/>
  <c r="BY5" i="5"/>
  <c r="BW5" i="5"/>
  <c r="BV5" i="5"/>
  <c r="AF83" i="6" s="1"/>
  <c r="BU5" i="5"/>
  <c r="BT5" i="5"/>
  <c r="AF88" i="6" s="1"/>
  <c r="BS5" i="5"/>
  <c r="AF82" i="6" s="1"/>
  <c r="BR5" i="5"/>
  <c r="BP5" i="5"/>
  <c r="BN5" i="5"/>
  <c r="BJ5" i="5"/>
  <c r="BG5" i="5"/>
  <c r="BF5" i="5"/>
  <c r="BD5" i="5"/>
  <c r="BB5" i="5"/>
  <c r="AX5" i="5"/>
  <c r="AP5" i="5"/>
  <c r="AM5" i="5"/>
  <c r="AL5" i="5"/>
  <c r="AI5" i="5"/>
  <c r="AH5" i="5"/>
  <c r="AF5" i="5"/>
  <c r="AE5" i="5"/>
  <c r="AD5" i="5"/>
  <c r="AC5" i="5"/>
  <c r="X5" i="5"/>
  <c r="J5" i="5"/>
  <c r="K5" i="5" s="1"/>
  <c r="I5" i="5"/>
  <c r="Y5" i="5" s="1"/>
  <c r="CA5" i="5" s="1"/>
  <c r="CC5" i="5" s="1"/>
  <c r="CB5" i="5" s="1"/>
  <c r="H5" i="5"/>
  <c r="U5" i="5" s="1"/>
  <c r="G5" i="5"/>
  <c r="CD5" i="5" s="1"/>
  <c r="F5" i="5"/>
  <c r="AT5" i="5" s="1"/>
  <c r="E5" i="5"/>
  <c r="CG5" i="5" s="1"/>
  <c r="D5" i="5"/>
  <c r="BX5" i="5" s="1"/>
  <c r="C5" i="5"/>
  <c r="BI5" i="5" s="1"/>
  <c r="B5" i="5"/>
  <c r="A5" i="5"/>
  <c r="J4" i="5"/>
  <c r="AA4" i="5" s="1"/>
  <c r="I4" i="5"/>
  <c r="Y4" i="5" s="1"/>
  <c r="CA4" i="5" s="1"/>
  <c r="H4" i="5"/>
  <c r="CH4" i="5" s="1"/>
  <c r="G4" i="5"/>
  <c r="CD4" i="5" s="1"/>
  <c r="F4" i="5"/>
  <c r="AU4" i="5" s="1"/>
  <c r="E4" i="5"/>
  <c r="AM4" i="5" s="1"/>
  <c r="D4" i="5"/>
  <c r="BW4" i="5" s="1"/>
  <c r="C4" i="5"/>
  <c r="BK4" i="5" s="1"/>
  <c r="B4" i="5"/>
  <c r="A4" i="5"/>
  <c r="CG3" i="5"/>
  <c r="CF3" i="5"/>
  <c r="BW3" i="5"/>
  <c r="AO28" i="6" s="1"/>
  <c r="BV3" i="5"/>
  <c r="AF11" i="6" s="1"/>
  <c r="BT3" i="5"/>
  <c r="AF16" i="6" s="1"/>
  <c r="AX3" i="5"/>
  <c r="AT3" i="5"/>
  <c r="AQ3" i="5"/>
  <c r="AP3" i="5"/>
  <c r="AN3" i="5"/>
  <c r="AM3" i="5"/>
  <c r="AL3" i="5"/>
  <c r="AK3" i="5"/>
  <c r="AJ3" i="5"/>
  <c r="AH3" i="5"/>
  <c r="AG3" i="5"/>
  <c r="AE3" i="5"/>
  <c r="AD3" i="5"/>
  <c r="X3" i="5"/>
  <c r="U3" i="5"/>
  <c r="J3" i="5"/>
  <c r="AA3" i="5" s="1"/>
  <c r="I3" i="5"/>
  <c r="Y3" i="5" s="1"/>
  <c r="CA3" i="5" s="1"/>
  <c r="CC3" i="5" s="1"/>
  <c r="H3" i="5"/>
  <c r="CH3" i="5" s="1"/>
  <c r="G3" i="5"/>
  <c r="CD3" i="5" s="1"/>
  <c r="F3" i="5"/>
  <c r="AU3" i="5" s="1"/>
  <c r="E3" i="5"/>
  <c r="AO3" i="5" s="1"/>
  <c r="D3" i="5"/>
  <c r="BY3" i="5" s="1"/>
  <c r="C3" i="5"/>
  <c r="BM3" i="5" s="1"/>
  <c r="B3" i="5"/>
  <c r="A3" i="5"/>
  <c r="D45" i="2"/>
  <c r="D40" i="2"/>
  <c r="D35" i="2"/>
  <c r="D30" i="2"/>
  <c r="D24" i="2"/>
  <c r="D18" i="2"/>
  <c r="D12" i="2"/>
  <c r="D6" i="2"/>
  <c r="Z19" i="5" l="1"/>
  <c r="AA20" i="5"/>
  <c r="K25" i="5"/>
  <c r="AA43" i="5"/>
  <c r="AA6" i="5"/>
  <c r="Z28" i="5"/>
  <c r="AA29" i="5"/>
  <c r="AA12" i="5"/>
  <c r="K13" i="5"/>
  <c r="L13" i="5" s="1"/>
  <c r="Z14" i="5"/>
  <c r="AA23" i="5"/>
  <c r="K43" i="5"/>
  <c r="K19" i="5"/>
  <c r="K20" i="5"/>
  <c r="K39" i="5"/>
  <c r="AA38" i="5"/>
  <c r="U20" i="5"/>
  <c r="U48" i="5"/>
  <c r="CH33" i="5"/>
  <c r="U41" i="5"/>
  <c r="CH8" i="5"/>
  <c r="U15" i="5"/>
  <c r="U26" i="5"/>
  <c r="U30" i="5"/>
  <c r="CH43" i="5"/>
  <c r="U21" i="5"/>
  <c r="U46" i="5"/>
  <c r="BM26" i="5"/>
  <c r="BH32" i="5"/>
  <c r="AS4" i="5"/>
  <c r="Z7" i="5"/>
  <c r="K26" i="5"/>
  <c r="L26" i="5" s="1"/>
  <c r="K35" i="5"/>
  <c r="L35" i="5" s="1"/>
  <c r="Z13" i="5"/>
  <c r="K32" i="5"/>
  <c r="L32" i="5" s="1"/>
  <c r="K37" i="5"/>
  <c r="Z26" i="5"/>
  <c r="AA37" i="5"/>
  <c r="Z32" i="5"/>
  <c r="Z35" i="5"/>
  <c r="K8" i="5"/>
  <c r="L8" i="5" s="1"/>
  <c r="K23" i="5"/>
  <c r="L23" i="5" s="1"/>
  <c r="Z8" i="5"/>
  <c r="K29" i="5"/>
  <c r="L29" i="5" s="1"/>
  <c r="Z42" i="5"/>
  <c r="K40" i="5"/>
  <c r="W37" i="5"/>
  <c r="W10" i="5"/>
  <c r="X23" i="5"/>
  <c r="X37" i="5"/>
  <c r="X10" i="5"/>
  <c r="X15" i="5"/>
  <c r="Y45" i="5"/>
  <c r="CA45" i="5" s="1"/>
  <c r="CC45" i="5" s="1"/>
  <c r="W13" i="5"/>
  <c r="X9" i="5"/>
  <c r="W5" i="5"/>
  <c r="W19" i="5"/>
  <c r="AG583" i="6" s="1"/>
  <c r="X26" i="5"/>
  <c r="Y36" i="5"/>
  <c r="CA36" i="5" s="1"/>
  <c r="CH7" i="5"/>
  <c r="U9" i="5"/>
  <c r="AH245" i="6" s="1"/>
  <c r="CH13" i="5"/>
  <c r="CH19" i="5"/>
  <c r="CH27" i="5"/>
  <c r="AK880" i="6" s="1"/>
  <c r="U44" i="5"/>
  <c r="U6" i="5"/>
  <c r="AH137" i="6" s="1"/>
  <c r="CH5" i="5"/>
  <c r="CH31" i="5"/>
  <c r="U32" i="5"/>
  <c r="L46" i="5"/>
  <c r="U12" i="5"/>
  <c r="AH353" i="6" s="1"/>
  <c r="U18" i="5"/>
  <c r="U24" i="5"/>
  <c r="AH785" i="6" s="1"/>
  <c r="CH29" i="5"/>
  <c r="U47" i="5"/>
  <c r="V22" i="5"/>
  <c r="CD41" i="5"/>
  <c r="V9" i="5"/>
  <c r="V21" i="5"/>
  <c r="V24" i="5"/>
  <c r="V6" i="5"/>
  <c r="CD38" i="5"/>
  <c r="V3" i="5"/>
  <c r="AH29" i="6" s="1"/>
  <c r="V47" i="5"/>
  <c r="AR4" i="5"/>
  <c r="BZ4" i="5" s="1"/>
  <c r="AT4" i="5"/>
  <c r="AF60" i="6" s="1"/>
  <c r="AF4" i="5"/>
  <c r="AJ4" i="5"/>
  <c r="CG4" i="5"/>
  <c r="CF4" i="5"/>
  <c r="AH4" i="5"/>
  <c r="AK4" i="5"/>
  <c r="AN4" i="5"/>
  <c r="AW24" i="5"/>
  <c r="BL26" i="5"/>
  <c r="AF857" i="6" s="1"/>
  <c r="BP11" i="5"/>
  <c r="AV43" i="5"/>
  <c r="BM32" i="5"/>
  <c r="AF1080" i="6" s="1"/>
  <c r="BD46" i="5"/>
  <c r="BB24" i="5"/>
  <c r="BN32" i="5"/>
  <c r="AF1085" i="6" s="1"/>
  <c r="BI42" i="5"/>
  <c r="BI22" i="5"/>
  <c r="BJ42" i="5"/>
  <c r="AY43" i="5"/>
  <c r="BO42" i="5"/>
  <c r="AF1445" i="6" s="1"/>
  <c r="BR41" i="5"/>
  <c r="AZ38" i="5"/>
  <c r="BD13" i="5"/>
  <c r="AW368" i="6" s="1"/>
  <c r="M369" i="6" s="1"/>
  <c r="BL38" i="5"/>
  <c r="AF1293" i="6" s="1"/>
  <c r="BJ13" i="5"/>
  <c r="BE30" i="5"/>
  <c r="BD30" i="5"/>
  <c r="AW980" i="6" s="1"/>
  <c r="M981" i="6" s="1"/>
  <c r="BN40" i="5"/>
  <c r="BD42" i="5"/>
  <c r="BG13" i="5"/>
  <c r="BH30" i="5"/>
  <c r="AF997" i="6" s="1"/>
  <c r="BL32" i="5"/>
  <c r="AF1074" i="6" s="1"/>
  <c r="BK43" i="5"/>
  <c r="AE1465" i="6" s="1"/>
  <c r="BN46" i="5"/>
  <c r="BI13" i="5"/>
  <c r="BM43" i="5"/>
  <c r="AF1472" i="6" s="1"/>
  <c r="BN13" i="5"/>
  <c r="BF27" i="5"/>
  <c r="AV28" i="5"/>
  <c r="BQ32" i="5"/>
  <c r="BB18" i="5"/>
  <c r="BR27" i="5"/>
  <c r="BD28" i="5"/>
  <c r="BF30" i="5"/>
  <c r="BH18" i="5"/>
  <c r="AF565" i="6" s="1"/>
  <c r="BJ28" i="5"/>
  <c r="AX31" i="5"/>
  <c r="BI18" i="5"/>
  <c r="BB31" i="5"/>
  <c r="BR16" i="5"/>
  <c r="BQ31" i="5"/>
  <c r="BB36" i="5"/>
  <c r="AX42" i="5"/>
  <c r="AV30" i="5"/>
  <c r="BH36" i="5"/>
  <c r="AF1213" i="6" s="1"/>
  <c r="BM40" i="5"/>
  <c r="BC42" i="5"/>
  <c r="BM14" i="5"/>
  <c r="BE18" i="5"/>
  <c r="BF19" i="5"/>
  <c r="BJ22" i="5"/>
  <c r="BL14" i="5"/>
  <c r="AF430" i="6" s="1"/>
  <c r="BE19" i="5"/>
  <c r="BN14" i="5"/>
  <c r="AF437" i="6" s="1"/>
  <c r="BG19" i="5"/>
  <c r="BF21" i="5"/>
  <c r="BL22" i="5"/>
  <c r="AF714" i="6" s="1"/>
  <c r="AZ31" i="5"/>
  <c r="BB11" i="5"/>
  <c r="BB12" i="5"/>
  <c r="BO13" i="5"/>
  <c r="BQ14" i="5"/>
  <c r="BL18" i="5"/>
  <c r="BJ19" i="5"/>
  <c r="BP22" i="5"/>
  <c r="BE24" i="5"/>
  <c r="BG28" i="5"/>
  <c r="BI30" i="5"/>
  <c r="BC31" i="5"/>
  <c r="AV32" i="5"/>
  <c r="BQ42" i="5"/>
  <c r="BC43" i="5"/>
  <c r="BM22" i="5"/>
  <c r="AF720" i="6" s="1"/>
  <c r="BD11" i="5"/>
  <c r="AW296" i="6" s="1"/>
  <c r="M297" i="6" s="1"/>
  <c r="BQ13" i="5"/>
  <c r="AV14" i="5"/>
  <c r="BP18" i="5"/>
  <c r="BM19" i="5"/>
  <c r="AF612" i="6" s="1"/>
  <c r="AV22" i="5"/>
  <c r="BH24" i="5"/>
  <c r="AF781" i="6" s="1"/>
  <c r="BL30" i="5"/>
  <c r="AF1006" i="6" s="1"/>
  <c r="BE31" i="5"/>
  <c r="AZ32" i="5"/>
  <c r="BC33" i="5"/>
  <c r="BH43" i="5"/>
  <c r="BP45" i="5"/>
  <c r="AW48" i="5"/>
  <c r="BF11" i="5"/>
  <c r="AZ13" i="5"/>
  <c r="BR13" i="5"/>
  <c r="AX14" i="5"/>
  <c r="BQ18" i="5"/>
  <c r="BP19" i="5"/>
  <c r="BJ20" i="5"/>
  <c r="AW22" i="5"/>
  <c r="BN24" i="5"/>
  <c r="BL28" i="5"/>
  <c r="AF929" i="6" s="1"/>
  <c r="BN30" i="5"/>
  <c r="BF31" i="5"/>
  <c r="BA32" i="5"/>
  <c r="BD48" i="5"/>
  <c r="AW1628" i="6" s="1"/>
  <c r="M1629" i="6" s="1"/>
  <c r="BI19" i="5"/>
  <c r="BA13" i="5"/>
  <c r="AZ14" i="5"/>
  <c r="BR18" i="5"/>
  <c r="BQ19" i="5"/>
  <c r="BL20" i="5"/>
  <c r="AF650" i="6" s="1"/>
  <c r="AX22" i="5"/>
  <c r="BP24" i="5"/>
  <c r="BP30" i="5"/>
  <c r="BG31" i="5"/>
  <c r="BD32" i="5"/>
  <c r="AW1052" i="6" s="1"/>
  <c r="M1053" i="6" s="1"/>
  <c r="BE48" i="5"/>
  <c r="BR11" i="5"/>
  <c r="BC13" i="5"/>
  <c r="BA14" i="5"/>
  <c r="AZ22" i="5"/>
  <c r="BR24" i="5"/>
  <c r="BD25" i="5"/>
  <c r="AW800" i="6" s="1"/>
  <c r="M801" i="6" s="1"/>
  <c r="AW801" i="6" s="1"/>
  <c r="M802" i="6" s="1"/>
  <c r="AW802" i="6" s="1"/>
  <c r="M803" i="6" s="1"/>
  <c r="AW803" i="6" s="1"/>
  <c r="M804" i="6" s="1"/>
  <c r="AW804" i="6" s="1"/>
  <c r="BQ30" i="5"/>
  <c r="BI31" i="5"/>
  <c r="BE32" i="5"/>
  <c r="BF36" i="5"/>
  <c r="BK39" i="5"/>
  <c r="AE1321" i="6" s="1"/>
  <c r="BN43" i="5"/>
  <c r="AF1481" i="6" s="1"/>
  <c r="AW46" i="5"/>
  <c r="L14" i="5"/>
  <c r="BB14" i="5"/>
  <c r="AV18" i="5"/>
  <c r="AX19" i="5"/>
  <c r="BD22" i="5"/>
  <c r="AW692" i="6" s="1"/>
  <c r="M693" i="6" s="1"/>
  <c r="BE25" i="5"/>
  <c r="BJ31" i="5"/>
  <c r="BB37" i="5"/>
  <c r="BO43" i="5"/>
  <c r="BA46" i="5"/>
  <c r="BR3" i="5"/>
  <c r="BE13" i="5"/>
  <c r="BG14" i="5"/>
  <c r="AW18" i="5"/>
  <c r="BB19" i="5"/>
  <c r="BF22" i="5"/>
  <c r="BR25" i="5"/>
  <c r="AZ30" i="5"/>
  <c r="BM31" i="5"/>
  <c r="AF1040" i="6" s="1"/>
  <c r="BJ32" i="5"/>
  <c r="BP14" i="5"/>
  <c r="BR21" i="5"/>
  <c r="BF13" i="5"/>
  <c r="BH14" i="5"/>
  <c r="BA16" i="5"/>
  <c r="AZ18" i="5"/>
  <c r="BC19" i="5"/>
  <c r="BH22" i="5"/>
  <c r="BB30" i="5"/>
  <c r="BP31" i="5"/>
  <c r="BI46" i="5"/>
  <c r="AW4" i="5"/>
  <c r="BU4" i="5"/>
  <c r="AO52" i="6" s="1"/>
  <c r="BT4" i="5"/>
  <c r="AF52" i="6" s="1"/>
  <c r="BF4" i="5"/>
  <c r="BM4" i="5"/>
  <c r="AF72" i="6" s="1"/>
  <c r="V4" i="5"/>
  <c r="W4" i="5"/>
  <c r="X4" i="5"/>
  <c r="W45" i="5"/>
  <c r="W22" i="5"/>
  <c r="W23" i="5"/>
  <c r="W31" i="5"/>
  <c r="W34" i="5"/>
  <c r="X11" i="5"/>
  <c r="X16" i="5"/>
  <c r="X20" i="5"/>
  <c r="X34" i="5"/>
  <c r="W28" i="5"/>
  <c r="W17" i="5"/>
  <c r="AG510" i="6" s="1"/>
  <c r="W25" i="5"/>
  <c r="AG802" i="6" s="1"/>
  <c r="X28" i="5"/>
  <c r="X17" i="5"/>
  <c r="Y25" i="5"/>
  <c r="CA25" i="5" s="1"/>
  <c r="X8" i="5"/>
  <c r="W47" i="5"/>
  <c r="W7" i="5"/>
  <c r="Y7" i="5"/>
  <c r="CA7" i="5" s="1"/>
  <c r="X14" i="5"/>
  <c r="Y30" i="5"/>
  <c r="CA30" i="5" s="1"/>
  <c r="X33" i="5"/>
  <c r="AK1091" i="6" s="1"/>
  <c r="Y46" i="5"/>
  <c r="CA46" i="5" s="1"/>
  <c r="V17" i="5"/>
  <c r="V15" i="5"/>
  <c r="AH461" i="6" s="1"/>
  <c r="V23" i="5"/>
  <c r="V5" i="5"/>
  <c r="V27" i="5"/>
  <c r="AH893" i="6" s="1"/>
  <c r="CD10" i="5"/>
  <c r="CD28" i="5"/>
  <c r="BR4" i="5"/>
  <c r="BA4" i="5"/>
  <c r="BC4" i="5"/>
  <c r="BD4" i="5"/>
  <c r="AW44" i="6" s="1"/>
  <c r="M45" i="6" s="1"/>
  <c r="BG4" i="5"/>
  <c r="BH4" i="5"/>
  <c r="BI4" i="5"/>
  <c r="BJ4" i="5"/>
  <c r="AV4" i="5"/>
  <c r="BL4" i="5"/>
  <c r="AF69" i="6" s="1"/>
  <c r="AX4" i="5"/>
  <c r="BO4" i="5"/>
  <c r="AZ4" i="5"/>
  <c r="BP4" i="5"/>
  <c r="BE12" i="5"/>
  <c r="BB13" i="5"/>
  <c r="BP13" i="5"/>
  <c r="BJ14" i="5"/>
  <c r="BF15" i="5"/>
  <c r="BD16" i="5"/>
  <c r="AW476" i="6" s="1"/>
  <c r="M477" i="6" s="1"/>
  <c r="BN18" i="5"/>
  <c r="BD19" i="5"/>
  <c r="AW584" i="6" s="1"/>
  <c r="M585" i="6" s="1"/>
  <c r="BR19" i="5"/>
  <c r="BM20" i="5"/>
  <c r="AF648" i="6" s="1"/>
  <c r="BG22" i="5"/>
  <c r="AV24" i="5"/>
  <c r="BQ24" i="5"/>
  <c r="BF25" i="5"/>
  <c r="AV26" i="5"/>
  <c r="BN26" i="5"/>
  <c r="AW28" i="5"/>
  <c r="BM28" i="5"/>
  <c r="AF932" i="6" s="1"/>
  <c r="AW30" i="5"/>
  <c r="BR30" i="5"/>
  <c r="BD31" i="5"/>
  <c r="AW1016" i="6" s="1"/>
  <c r="M1017" i="6" s="1"/>
  <c r="BR31" i="5"/>
  <c r="BG32" i="5"/>
  <c r="AF1069" i="6" s="1"/>
  <c r="BF33" i="5"/>
  <c r="BF34" i="5"/>
  <c r="BI36" i="5"/>
  <c r="BD37" i="5"/>
  <c r="AW1232" i="6" s="1"/>
  <c r="M1233" i="6" s="1"/>
  <c r="BE38" i="5"/>
  <c r="BP40" i="5"/>
  <c r="BE42" i="5"/>
  <c r="BJ43" i="5"/>
  <c r="BB46" i="5"/>
  <c r="BI48" i="5"/>
  <c r="BC34" i="5"/>
  <c r="BH12" i="5"/>
  <c r="AF349" i="6" s="1"/>
  <c r="BR15" i="5"/>
  <c r="BF16" i="5"/>
  <c r="AV20" i="5"/>
  <c r="BN20" i="5"/>
  <c r="AF653" i="6" s="1"/>
  <c r="BG25" i="5"/>
  <c r="AX26" i="5"/>
  <c r="BP26" i="5"/>
  <c r="AX28" i="5"/>
  <c r="BO28" i="5"/>
  <c r="BO33" i="5"/>
  <c r="AF1121" i="6" s="1"/>
  <c r="BG34" i="5"/>
  <c r="BL36" i="5"/>
  <c r="AF1217" i="6" s="1"/>
  <c r="BG37" i="5"/>
  <c r="AF1249" i="6" s="1"/>
  <c r="AV40" i="5"/>
  <c r="BQ40" i="5"/>
  <c r="BJ48" i="5"/>
  <c r="BN29" i="5"/>
  <c r="BI12" i="5"/>
  <c r="BG16" i="5"/>
  <c r="AX20" i="5"/>
  <c r="BP20" i="5"/>
  <c r="BB23" i="5"/>
  <c r="BI25" i="5"/>
  <c r="AZ26" i="5"/>
  <c r="BQ26" i="5"/>
  <c r="AZ28" i="5"/>
  <c r="BP28" i="5"/>
  <c r="BR33" i="5"/>
  <c r="BH34" i="5"/>
  <c r="BN36" i="5"/>
  <c r="BJ37" i="5"/>
  <c r="AW40" i="5"/>
  <c r="BE46" i="5"/>
  <c r="BL48" i="5"/>
  <c r="AF1657" i="6" s="1"/>
  <c r="BC37" i="5"/>
  <c r="BL12" i="5"/>
  <c r="AF361" i="6" s="1"/>
  <c r="BH16" i="5"/>
  <c r="AZ20" i="5"/>
  <c r="BQ20" i="5"/>
  <c r="BG23" i="5"/>
  <c r="BJ25" i="5"/>
  <c r="BA26" i="5"/>
  <c r="BA28" i="5"/>
  <c r="BR28" i="5"/>
  <c r="BI34" i="5"/>
  <c r="BB35" i="5"/>
  <c r="BP36" i="5"/>
  <c r="BK37" i="5"/>
  <c r="AE1249" i="6" s="1"/>
  <c r="BA40" i="5"/>
  <c r="AY41" i="5"/>
  <c r="BL42" i="5"/>
  <c r="AF1442" i="6" s="1"/>
  <c r="AX45" i="5"/>
  <c r="BG46" i="5"/>
  <c r="BM48" i="5"/>
  <c r="AF1656" i="6" s="1"/>
  <c r="BN12" i="5"/>
  <c r="AF365" i="6" s="1"/>
  <c r="BI16" i="5"/>
  <c r="BB17" i="5"/>
  <c r="L20" i="5"/>
  <c r="BA20" i="5"/>
  <c r="BN23" i="5"/>
  <c r="BD24" i="5"/>
  <c r="AW764" i="6" s="1"/>
  <c r="M765" i="6" s="1"/>
  <c r="AW25" i="5"/>
  <c r="BL25" i="5"/>
  <c r="AF830" i="6" s="1"/>
  <c r="BB26" i="5"/>
  <c r="BC28" i="5"/>
  <c r="BJ34" i="5"/>
  <c r="BN35" i="5"/>
  <c r="AV36" i="5"/>
  <c r="BQ36" i="5"/>
  <c r="BM37" i="5"/>
  <c r="AF1256" i="6" s="1"/>
  <c r="BB40" i="5"/>
  <c r="AZ41" i="5"/>
  <c r="BM42" i="5"/>
  <c r="AF1440" i="6" s="1"/>
  <c r="BD45" i="5"/>
  <c r="BH46" i="5"/>
  <c r="BO48" i="5"/>
  <c r="AF1661" i="6" s="1"/>
  <c r="BG17" i="5"/>
  <c r="BB20" i="5"/>
  <c r="AX25" i="5"/>
  <c r="BM25" i="5"/>
  <c r="AF824" i="6" s="1"/>
  <c r="BD26" i="5"/>
  <c r="AW836" i="6" s="1"/>
  <c r="M837" i="6" s="1"/>
  <c r="AV34" i="5"/>
  <c r="BL34" i="5"/>
  <c r="AF1154" i="6" s="1"/>
  <c r="AW36" i="5"/>
  <c r="BR36" i="5"/>
  <c r="BN37" i="5"/>
  <c r="BD40" i="5"/>
  <c r="BC41" i="5"/>
  <c r="BP48" i="5"/>
  <c r="BG29" i="5"/>
  <c r="BD12" i="5"/>
  <c r="AW332" i="6" s="1"/>
  <c r="M333" i="6" s="1"/>
  <c r="BC16" i="5"/>
  <c r="BD34" i="5"/>
  <c r="AW1124" i="6" s="1"/>
  <c r="M1125" i="6" s="1"/>
  <c r="BP12" i="5"/>
  <c r="BJ16" i="5"/>
  <c r="BQ12" i="5"/>
  <c r="AV16" i="5"/>
  <c r="BL16" i="5"/>
  <c r="AF498" i="6" s="1"/>
  <c r="BN17" i="5"/>
  <c r="BD18" i="5"/>
  <c r="AW19" i="5"/>
  <c r="BL19" i="5"/>
  <c r="AF609" i="6" s="1"/>
  <c r="BD20" i="5"/>
  <c r="AW620" i="6" s="1"/>
  <c r="M621" i="6" s="1"/>
  <c r="BO22" i="5"/>
  <c r="BF24" i="5"/>
  <c r="AZ25" i="5"/>
  <c r="BN25" i="5"/>
  <c r="BE26" i="5"/>
  <c r="BF28" i="5"/>
  <c r="AW31" i="5"/>
  <c r="BL31" i="5"/>
  <c r="AF1045" i="6" s="1"/>
  <c r="AX32" i="5"/>
  <c r="BP32" i="5"/>
  <c r="AW34" i="5"/>
  <c r="BM34" i="5"/>
  <c r="AF1152" i="6" s="1"/>
  <c r="AZ36" i="5"/>
  <c r="AX37" i="5"/>
  <c r="BO37" i="5"/>
  <c r="BE40" i="5"/>
  <c r="BE41" i="5"/>
  <c r="AW42" i="5"/>
  <c r="BP42" i="5"/>
  <c r="AX43" i="5"/>
  <c r="BM46" i="5"/>
  <c r="AY47" i="5"/>
  <c r="AX48" i="5"/>
  <c r="BQ48" i="5"/>
  <c r="BA25" i="5"/>
  <c r="BP37" i="5"/>
  <c r="BG40" i="5"/>
  <c r="BK41" i="5"/>
  <c r="AE1393" i="6" s="1"/>
  <c r="BF47" i="5"/>
  <c r="AZ48" i="5"/>
  <c r="AV12" i="5"/>
  <c r="AW16" i="5"/>
  <c r="BE20" i="5"/>
  <c r="BG26" i="5"/>
  <c r="AX34" i="5"/>
  <c r="BF3" i="5"/>
  <c r="BG11" i="5"/>
  <c r="AW12" i="5"/>
  <c r="AW13" i="5"/>
  <c r="BL13" i="5"/>
  <c r="AF390" i="6" s="1"/>
  <c r="BD14" i="5"/>
  <c r="AW404" i="6" s="1"/>
  <c r="M405" i="6" s="1"/>
  <c r="AX16" i="5"/>
  <c r="BO16" i="5"/>
  <c r="BF18" i="5"/>
  <c r="AZ19" i="5"/>
  <c r="BN19" i="5"/>
  <c r="BG20" i="5"/>
  <c r="BA22" i="5"/>
  <c r="BR22" i="5"/>
  <c r="BI24" i="5"/>
  <c r="BB25" i="5"/>
  <c r="BP25" i="5"/>
  <c r="BH26" i="5"/>
  <c r="BH28" i="5"/>
  <c r="BN31" i="5"/>
  <c r="AZ34" i="5"/>
  <c r="BP34" i="5"/>
  <c r="BD36" i="5"/>
  <c r="AW1196" i="6" s="1"/>
  <c r="M1197" i="6" s="1"/>
  <c r="AZ37" i="5"/>
  <c r="AY39" i="5"/>
  <c r="BH40" i="5"/>
  <c r="BN41" i="5"/>
  <c r="AZ42" i="5"/>
  <c r="BA43" i="5"/>
  <c r="AZ44" i="5"/>
  <c r="BP46" i="5"/>
  <c r="BA48" i="5"/>
  <c r="BM16" i="5"/>
  <c r="AF500" i="6" s="1"/>
  <c r="BO25" i="5"/>
  <c r="BO34" i="5"/>
  <c r="AY37" i="5"/>
  <c r="BJ3" i="5"/>
  <c r="BN11" i="5"/>
  <c r="AZ12" i="5"/>
  <c r="AX13" i="5"/>
  <c r="BM13" i="5"/>
  <c r="AF392" i="6" s="1"/>
  <c r="BE14" i="5"/>
  <c r="AZ16" i="5"/>
  <c r="BP16" i="5"/>
  <c r="BA19" i="5"/>
  <c r="BO19" i="5"/>
  <c r="BH20" i="5"/>
  <c r="BC22" i="5"/>
  <c r="BL24" i="5"/>
  <c r="AF789" i="6" s="1"/>
  <c r="BC25" i="5"/>
  <c r="BQ25" i="5"/>
  <c r="BJ26" i="5"/>
  <c r="BI28" i="5"/>
  <c r="BB29" i="5"/>
  <c r="BA31" i="5"/>
  <c r="BO31" i="5"/>
  <c r="BB32" i="5"/>
  <c r="BA34" i="5"/>
  <c r="BR34" i="5"/>
  <c r="BE36" i="5"/>
  <c r="BA37" i="5"/>
  <c r="BG39" i="5"/>
  <c r="BI40" i="5"/>
  <c r="BQ41" i="5"/>
  <c r="BA42" i="5"/>
  <c r="BF44" i="5"/>
  <c r="AV46" i="5"/>
  <c r="BQ46" i="5"/>
  <c r="BC48" i="5"/>
  <c r="L24" i="5"/>
  <c r="BF65" i="6"/>
  <c r="V66" i="6" s="1"/>
  <c r="AO47" i="6"/>
  <c r="AO64" i="6"/>
  <c r="AO53" i="6"/>
  <c r="AO58" i="6"/>
  <c r="L5" i="5"/>
  <c r="L36" i="5"/>
  <c r="L18" i="5"/>
  <c r="BO52" i="6"/>
  <c r="BN53" i="6" s="1"/>
  <c r="BO53" i="6" s="1"/>
  <c r="BN54" i="6" s="1"/>
  <c r="BO54" i="6" s="1"/>
  <c r="BN55" i="6" s="1"/>
  <c r="BO55" i="6" s="1"/>
  <c r="BN56" i="6" s="1"/>
  <c r="BO56" i="6" s="1"/>
  <c r="BN57" i="6" s="1"/>
  <c r="BO57" i="6" s="1"/>
  <c r="BN58" i="6" s="1"/>
  <c r="BO58" i="6" s="1"/>
  <c r="BN59" i="6" s="1"/>
  <c r="BO59" i="6" s="1"/>
  <c r="BN60" i="6" s="1"/>
  <c r="BO60" i="6" s="1"/>
  <c r="BN61" i="6" s="1"/>
  <c r="BO61" i="6" s="1"/>
  <c r="BN62" i="6" s="1"/>
  <c r="BO62" i="6" s="1"/>
  <c r="BN63" i="6" s="1"/>
  <c r="BO63" i="6" s="1"/>
  <c r="BN64" i="6" s="1"/>
  <c r="AF1512" i="6"/>
  <c r="AF1508" i="6"/>
  <c r="BF101" i="6"/>
  <c r="V102" i="6" s="1"/>
  <c r="AH101" i="6"/>
  <c r="AV81" i="6"/>
  <c r="L82" i="6" s="1"/>
  <c r="BO120" i="6"/>
  <c r="BN121" i="6" s="1"/>
  <c r="BO121" i="6" s="1"/>
  <c r="BN122" i="6" s="1"/>
  <c r="AG114" i="6"/>
  <c r="L6" i="5"/>
  <c r="AF168" i="6"/>
  <c r="BD9" i="6"/>
  <c r="T10" i="6" s="1"/>
  <c r="AP10" i="6" s="1"/>
  <c r="AP9" i="6"/>
  <c r="L12" i="5"/>
  <c r="BF29" i="6"/>
  <c r="V30" i="6" s="1"/>
  <c r="BA46" i="6"/>
  <c r="Q47" i="6" s="1"/>
  <c r="BA47" i="6" s="1"/>
  <c r="Q48" i="6" s="1"/>
  <c r="L30" i="5"/>
  <c r="BA82" i="6"/>
  <c r="Q83" i="6" s="1"/>
  <c r="BF137" i="6"/>
  <c r="V138" i="6" s="1"/>
  <c r="AF36" i="6"/>
  <c r="AF32" i="6"/>
  <c r="AJ1621" i="6"/>
  <c r="AJ1606" i="6"/>
  <c r="AJ1613" i="6"/>
  <c r="AJ1618" i="6"/>
  <c r="AJ1602" i="6"/>
  <c r="AJ1594" i="6"/>
  <c r="AH7" i="6"/>
  <c r="BG7" i="6"/>
  <c r="W8" i="6" s="1"/>
  <c r="AY97" i="6"/>
  <c r="O98" i="6" s="1"/>
  <c r="AY98" i="6" s="1"/>
  <c r="O99" i="6" s="1"/>
  <c r="AY99" i="6" s="1"/>
  <c r="O100" i="6" s="1"/>
  <c r="AY100" i="6" s="1"/>
  <c r="O101" i="6" s="1"/>
  <c r="AY101" i="6" s="1"/>
  <c r="O102" i="6" s="1"/>
  <c r="AY102" i="6" s="1"/>
  <c r="O103" i="6" s="1"/>
  <c r="AY103" i="6" s="1"/>
  <c r="O104" i="6" s="1"/>
  <c r="AY104" i="6" s="1"/>
  <c r="O105" i="6" s="1"/>
  <c r="AY105" i="6" s="1"/>
  <c r="O106" i="6" s="1"/>
  <c r="AY106" i="6" s="1"/>
  <c r="O107" i="6" s="1"/>
  <c r="AY107" i="6" s="1"/>
  <c r="O108" i="6" s="1"/>
  <c r="AY108" i="6" s="1"/>
  <c r="O109" i="6" s="1"/>
  <c r="AY109" i="6" s="1"/>
  <c r="O110" i="6" s="1"/>
  <c r="AY110" i="6" s="1"/>
  <c r="O111" i="6" s="1"/>
  <c r="AY111" i="6" s="1"/>
  <c r="O112" i="6" s="1"/>
  <c r="AY112" i="6" s="1"/>
  <c r="O113" i="6" s="1"/>
  <c r="AY113" i="6" s="1"/>
  <c r="BA10" i="6"/>
  <c r="Q11" i="6" s="1"/>
  <c r="BA11" i="6" s="1"/>
  <c r="Q12" i="6" s="1"/>
  <c r="BA12" i="6" s="1"/>
  <c r="Q13" i="6" s="1"/>
  <c r="BA13" i="6" s="1"/>
  <c r="Q14" i="6" s="1"/>
  <c r="BA14" i="6" s="1"/>
  <c r="Q15" i="6" s="1"/>
  <c r="AF362" i="6"/>
  <c r="AF358" i="6"/>
  <c r="AY3" i="5"/>
  <c r="AO46" i="6"/>
  <c r="BD46" i="6" s="1"/>
  <c r="T47" i="6" s="1"/>
  <c r="AF103" i="6"/>
  <c r="AF111" i="6"/>
  <c r="AF107" i="6"/>
  <c r="AF112" i="6"/>
  <c r="AO8" i="5"/>
  <c r="BB3" i="5"/>
  <c r="BN3" i="5"/>
  <c r="AB4" i="5"/>
  <c r="AJ65" i="6" s="1"/>
  <c r="BX4" i="5"/>
  <c r="BO3" i="5"/>
  <c r="AC4" i="5"/>
  <c r="AO4" i="5"/>
  <c r="AY5" i="5"/>
  <c r="BK5" i="5"/>
  <c r="AE97" i="6" s="1"/>
  <c r="K7" i="5"/>
  <c r="AF169" i="6"/>
  <c r="CE7" i="5"/>
  <c r="AG8" i="5"/>
  <c r="AH186" i="6" s="1"/>
  <c r="BO9" i="5"/>
  <c r="AF257" i="6" s="1"/>
  <c r="AC10" i="5"/>
  <c r="AO10" i="5"/>
  <c r="BY10" i="5"/>
  <c r="AY11" i="5"/>
  <c r="BK11" i="5"/>
  <c r="AE313" i="6" s="1"/>
  <c r="AG14" i="5"/>
  <c r="BC15" i="5"/>
  <c r="AO16" i="5"/>
  <c r="AO515" i="6"/>
  <c r="AO521" i="6"/>
  <c r="AO532" i="6"/>
  <c r="AO526" i="6"/>
  <c r="Y18" i="5"/>
  <c r="CA18" i="5" s="1"/>
  <c r="CE19" i="5"/>
  <c r="AO22" i="5"/>
  <c r="AO737" i="6"/>
  <c r="AO742" i="6"/>
  <c r="AO748" i="6"/>
  <c r="AO731" i="6"/>
  <c r="Y24" i="5"/>
  <c r="CA24" i="5" s="1"/>
  <c r="AF823" i="6"/>
  <c r="AF827" i="6"/>
  <c r="AF831" i="6"/>
  <c r="AF832" i="6"/>
  <c r="BO27" i="5"/>
  <c r="AF905" i="6" s="1"/>
  <c r="AO964" i="6"/>
  <c r="AO953" i="6"/>
  <c r="AO947" i="6"/>
  <c r="AO958" i="6"/>
  <c r="AF1043" i="6"/>
  <c r="AF1047" i="6"/>
  <c r="AF1048" i="6"/>
  <c r="AF1039" i="6"/>
  <c r="AY35" i="5"/>
  <c r="BK35" i="5"/>
  <c r="AE1177" i="6" s="1"/>
  <c r="BU36" i="5"/>
  <c r="AJ43" i="5"/>
  <c r="AI12" i="6"/>
  <c r="K12" i="6"/>
  <c r="J12" i="6"/>
  <c r="AE12" i="6"/>
  <c r="AE45" i="6"/>
  <c r="AI45" i="6"/>
  <c r="K45" i="6"/>
  <c r="I45" i="6"/>
  <c r="BG80" i="6"/>
  <c r="W81" i="6" s="1"/>
  <c r="AJ81" i="6"/>
  <c r="AV82" i="6"/>
  <c r="L83" i="6" s="1"/>
  <c r="AD98" i="6"/>
  <c r="AH115" i="6"/>
  <c r="AJ129" i="6"/>
  <c r="AJ131" i="6"/>
  <c r="AJ139" i="6"/>
  <c r="BA196" i="6"/>
  <c r="Q197" i="6" s="1"/>
  <c r="BK3" i="5"/>
  <c r="AE25" i="6" s="1"/>
  <c r="AU5" i="5"/>
  <c r="Z5" i="5"/>
  <c r="AF89" i="6"/>
  <c r="AF94" i="6"/>
  <c r="AF100" i="6"/>
  <c r="X6" i="5"/>
  <c r="AK120" i="6" s="1"/>
  <c r="BC3" i="5"/>
  <c r="BY4" i="5"/>
  <c r="AA5" i="5"/>
  <c r="AO100" i="6"/>
  <c r="AO89" i="6"/>
  <c r="AO83" i="6"/>
  <c r="AO94" i="6"/>
  <c r="Y6" i="5"/>
  <c r="CA6" i="5" s="1"/>
  <c r="BU6" i="5"/>
  <c r="AU7" i="5"/>
  <c r="BS7" i="5"/>
  <c r="AF154" i="6" s="1"/>
  <c r="BC9" i="5"/>
  <c r="AF288" i="6"/>
  <c r="AF284" i="6"/>
  <c r="AA11" i="5"/>
  <c r="AO305" i="6"/>
  <c r="AO316" i="6"/>
  <c r="AO310" i="6"/>
  <c r="AO299" i="6"/>
  <c r="Y12" i="5"/>
  <c r="CA12" i="5" s="1"/>
  <c r="CC12" i="5" s="1"/>
  <c r="CB12" i="5" s="1"/>
  <c r="AD331" i="6" s="1"/>
  <c r="BU12" i="5"/>
  <c r="AU13" i="5"/>
  <c r="BS13" i="5"/>
  <c r="AF370" i="6" s="1"/>
  <c r="CE13" i="5"/>
  <c r="BO15" i="5"/>
  <c r="AF473" i="6" s="1"/>
  <c r="AY17" i="5"/>
  <c r="BK17" i="5"/>
  <c r="AE529" i="6" s="1"/>
  <c r="BU18" i="5"/>
  <c r="BS19" i="5"/>
  <c r="AF586" i="6" s="1"/>
  <c r="AG20" i="5"/>
  <c r="AH622" i="6" s="1"/>
  <c r="BC21" i="5"/>
  <c r="BO21" i="5"/>
  <c r="AF689" i="6" s="1"/>
  <c r="AY23" i="5"/>
  <c r="BK23" i="5"/>
  <c r="AE745" i="6" s="1"/>
  <c r="BU24" i="5"/>
  <c r="AG26" i="5"/>
  <c r="BC27" i="5"/>
  <c r="AO28" i="5"/>
  <c r="AY29" i="5"/>
  <c r="BK29" i="5"/>
  <c r="AE961" i="6" s="1"/>
  <c r="BU30" i="5"/>
  <c r="AO34" i="5"/>
  <c r="AO1163" i="6"/>
  <c r="AO1180" i="6"/>
  <c r="AO1169" i="6"/>
  <c r="AO1174" i="6"/>
  <c r="AO1241" i="6"/>
  <c r="AO1246" i="6"/>
  <c r="AO1252" i="6"/>
  <c r="AO1235" i="6"/>
  <c r="BV38" i="5"/>
  <c r="CE38" i="5"/>
  <c r="BS38" i="5"/>
  <c r="AF1270" i="6" s="1"/>
  <c r="AF38" i="5"/>
  <c r="AE38" i="5"/>
  <c r="BT38" i="5"/>
  <c r="AF1276" i="6" s="1"/>
  <c r="AJ1445" i="6"/>
  <c r="AJ1442" i="6"/>
  <c r="AJ1430" i="6"/>
  <c r="AJ1425" i="6"/>
  <c r="AJ1437" i="6"/>
  <c r="AJ1433" i="6"/>
  <c r="AJ1510" i="6"/>
  <c r="AJ1504" i="6"/>
  <c r="AJ1492" i="6"/>
  <c r="AJ1490" i="6"/>
  <c r="AJ1491" i="6"/>
  <c r="AJ1482" i="6"/>
  <c r="AJ1503" i="6"/>
  <c r="AO1540" i="6"/>
  <c r="AO1529" i="6"/>
  <c r="AO1534" i="6"/>
  <c r="AO1523" i="6"/>
  <c r="AO1564" i="6"/>
  <c r="AO1558" i="6"/>
  <c r="AF3" i="5"/>
  <c r="AR3" i="5"/>
  <c r="BZ3" i="5" s="1"/>
  <c r="AF24" i="6" s="1"/>
  <c r="BD3" i="5"/>
  <c r="AW8" i="6" s="1"/>
  <c r="M9" i="6" s="1"/>
  <c r="BP3" i="5"/>
  <c r="AD4" i="5"/>
  <c r="AP4" i="5"/>
  <c r="BB4" i="5"/>
  <c r="BN4" i="5"/>
  <c r="AB5" i="5"/>
  <c r="AN5" i="5"/>
  <c r="AZ5" i="5"/>
  <c r="BL5" i="5"/>
  <c r="Z6" i="5"/>
  <c r="AL6" i="5"/>
  <c r="AX6" i="5"/>
  <c r="BJ6" i="5"/>
  <c r="BV6" i="5"/>
  <c r="AJ7" i="5"/>
  <c r="P150" i="6" s="1"/>
  <c r="AZ150" i="6" s="1"/>
  <c r="P151" i="6" s="1"/>
  <c r="AZ151" i="6" s="1"/>
  <c r="P152" i="6" s="1"/>
  <c r="AZ152" i="6" s="1"/>
  <c r="P153" i="6" s="1"/>
  <c r="AZ153" i="6" s="1"/>
  <c r="P154" i="6" s="1"/>
  <c r="AZ154" i="6" s="1"/>
  <c r="P155" i="6" s="1"/>
  <c r="AZ155" i="6" s="1"/>
  <c r="P156" i="6" s="1"/>
  <c r="AZ156" i="6" s="1"/>
  <c r="P157" i="6" s="1"/>
  <c r="AZ157" i="6" s="1"/>
  <c r="P158" i="6" s="1"/>
  <c r="AZ158" i="6" s="1"/>
  <c r="P159" i="6" s="1"/>
  <c r="AZ159" i="6" s="1"/>
  <c r="P160" i="6" s="1"/>
  <c r="AZ160" i="6" s="1"/>
  <c r="P161" i="6" s="1"/>
  <c r="AZ161" i="6" s="1"/>
  <c r="P162" i="6" s="1"/>
  <c r="AZ162" i="6" s="1"/>
  <c r="P163" i="6" s="1"/>
  <c r="AZ163" i="6" s="1"/>
  <c r="P164" i="6" s="1"/>
  <c r="AZ164" i="6" s="1"/>
  <c r="P165" i="6" s="1"/>
  <c r="AZ165" i="6" s="1"/>
  <c r="P166" i="6" s="1"/>
  <c r="AZ166" i="6" s="1"/>
  <c r="P167" i="6" s="1"/>
  <c r="AZ167" i="6" s="1"/>
  <c r="P168" i="6" s="1"/>
  <c r="AZ168" i="6" s="1"/>
  <c r="P169" i="6" s="1"/>
  <c r="AZ169" i="6" s="1"/>
  <c r="P170" i="6" s="1"/>
  <c r="AZ170" i="6" s="1"/>
  <c r="P171" i="6" s="1"/>
  <c r="AZ171" i="6" s="1"/>
  <c r="P172" i="6" s="1"/>
  <c r="AZ172" i="6" s="1"/>
  <c r="P173" i="6" s="1"/>
  <c r="AZ173" i="6" s="1"/>
  <c r="P174" i="6" s="1"/>
  <c r="AZ174" i="6" s="1"/>
  <c r="P175" i="6" s="1"/>
  <c r="AZ175" i="6" s="1"/>
  <c r="P176" i="6" s="1"/>
  <c r="AZ176" i="6" s="1"/>
  <c r="P177" i="6" s="1"/>
  <c r="AZ177" i="6" s="1"/>
  <c r="P178" i="6" s="1"/>
  <c r="AZ178" i="6" s="1"/>
  <c r="P179" i="6" s="1"/>
  <c r="AZ179" i="6" s="1"/>
  <c r="P180" i="6" s="1"/>
  <c r="AZ180" i="6" s="1"/>
  <c r="P181" i="6" s="1"/>
  <c r="AZ181" i="6" s="1"/>
  <c r="P182" i="6" s="1"/>
  <c r="AZ182" i="6" s="1"/>
  <c r="P183" i="6" s="1"/>
  <c r="AZ183" i="6" s="1"/>
  <c r="P184" i="6" s="1"/>
  <c r="AZ184" i="6" s="1"/>
  <c r="P185" i="6" s="1"/>
  <c r="AZ185" i="6" s="1"/>
  <c r="AV7" i="5"/>
  <c r="BH7" i="5"/>
  <c r="BT7" i="5"/>
  <c r="AF160" i="6" s="1"/>
  <c r="CF7" i="5"/>
  <c r="V8" i="5"/>
  <c r="AH8" i="5"/>
  <c r="BF8" i="5"/>
  <c r="BR8" i="5"/>
  <c r="AF9" i="5"/>
  <c r="AR9" i="5"/>
  <c r="BZ9" i="5" s="1"/>
  <c r="AF240" i="6" s="1"/>
  <c r="BD9" i="5"/>
  <c r="BP9" i="5"/>
  <c r="AD10" i="5"/>
  <c r="AP10" i="5"/>
  <c r="BB10" i="5"/>
  <c r="BN10" i="5"/>
  <c r="AF293" i="6" s="1"/>
  <c r="AB11" i="5"/>
  <c r="AN11" i="5"/>
  <c r="AZ11" i="5"/>
  <c r="BL11" i="5"/>
  <c r="Z12" i="5"/>
  <c r="AL12" i="5"/>
  <c r="AX12" i="5"/>
  <c r="BJ12" i="5"/>
  <c r="BV12" i="5"/>
  <c r="AJ13" i="5"/>
  <c r="P366" i="6" s="1"/>
  <c r="AZ366" i="6" s="1"/>
  <c r="P367" i="6" s="1"/>
  <c r="AZ367" i="6" s="1"/>
  <c r="P368" i="6" s="1"/>
  <c r="AZ368" i="6" s="1"/>
  <c r="P369" i="6" s="1"/>
  <c r="AZ369" i="6" s="1"/>
  <c r="P370" i="6" s="1"/>
  <c r="AZ370" i="6" s="1"/>
  <c r="P371" i="6" s="1"/>
  <c r="AZ371" i="6" s="1"/>
  <c r="P372" i="6" s="1"/>
  <c r="AZ372" i="6" s="1"/>
  <c r="P373" i="6" s="1"/>
  <c r="AZ373" i="6" s="1"/>
  <c r="P374" i="6" s="1"/>
  <c r="AZ374" i="6" s="1"/>
  <c r="P375" i="6" s="1"/>
  <c r="AZ375" i="6" s="1"/>
  <c r="P376" i="6" s="1"/>
  <c r="AZ376" i="6" s="1"/>
  <c r="P377" i="6" s="1"/>
  <c r="AZ377" i="6" s="1"/>
  <c r="P378" i="6" s="1"/>
  <c r="AZ378" i="6" s="1"/>
  <c r="P379" i="6" s="1"/>
  <c r="AZ379" i="6" s="1"/>
  <c r="P380" i="6" s="1"/>
  <c r="AZ380" i="6" s="1"/>
  <c r="P381" i="6" s="1"/>
  <c r="AZ381" i="6" s="1"/>
  <c r="P382" i="6" s="1"/>
  <c r="AZ382" i="6" s="1"/>
  <c r="P383" i="6" s="1"/>
  <c r="AZ383" i="6" s="1"/>
  <c r="P384" i="6" s="1"/>
  <c r="AZ384" i="6" s="1"/>
  <c r="P385" i="6" s="1"/>
  <c r="AZ385" i="6" s="1"/>
  <c r="P386" i="6" s="1"/>
  <c r="AZ386" i="6" s="1"/>
  <c r="P387" i="6" s="1"/>
  <c r="AV13" i="5"/>
  <c r="BH13" i="5"/>
  <c r="AF385" i="6" s="1"/>
  <c r="BT13" i="5"/>
  <c r="AF376" i="6" s="1"/>
  <c r="CF13" i="5"/>
  <c r="V14" i="5"/>
  <c r="AH14" i="5"/>
  <c r="AT14" i="5"/>
  <c r="AF420" i="6" s="1"/>
  <c r="BF14" i="5"/>
  <c r="BR14" i="5"/>
  <c r="AF15" i="5"/>
  <c r="AR15" i="5"/>
  <c r="BZ15" i="5" s="1"/>
  <c r="BD15" i="5"/>
  <c r="AW440" i="6" s="1"/>
  <c r="M441" i="6" s="1"/>
  <c r="AW441" i="6" s="1"/>
  <c r="M442" i="6" s="1"/>
  <c r="AW442" i="6" s="1"/>
  <c r="M443" i="6" s="1"/>
  <c r="AW443" i="6" s="1"/>
  <c r="M444" i="6" s="1"/>
  <c r="AW444" i="6" s="1"/>
  <c r="BP15" i="5"/>
  <c r="AD16" i="5"/>
  <c r="AP16" i="5"/>
  <c r="BB16" i="5"/>
  <c r="BN16" i="5"/>
  <c r="AB17" i="5"/>
  <c r="AN17" i="5"/>
  <c r="AZ17" i="5"/>
  <c r="BL17" i="5"/>
  <c r="Z18" i="5"/>
  <c r="AL18" i="5"/>
  <c r="AX18" i="5"/>
  <c r="BJ18" i="5"/>
  <c r="BV18" i="5"/>
  <c r="L19" i="5"/>
  <c r="AJ19" i="5"/>
  <c r="P582" i="6" s="1"/>
  <c r="AZ582" i="6" s="1"/>
  <c r="P583" i="6" s="1"/>
  <c r="AZ583" i="6" s="1"/>
  <c r="P584" i="6" s="1"/>
  <c r="AZ584" i="6" s="1"/>
  <c r="P585" i="6" s="1"/>
  <c r="AZ585" i="6" s="1"/>
  <c r="P586" i="6" s="1"/>
  <c r="AZ586" i="6" s="1"/>
  <c r="P587" i="6" s="1"/>
  <c r="AZ587" i="6" s="1"/>
  <c r="P588" i="6" s="1"/>
  <c r="AZ588" i="6" s="1"/>
  <c r="P589" i="6" s="1"/>
  <c r="AZ589" i="6" s="1"/>
  <c r="P590" i="6" s="1"/>
  <c r="AZ590" i="6" s="1"/>
  <c r="P591" i="6" s="1"/>
  <c r="AZ591" i="6" s="1"/>
  <c r="P592" i="6" s="1"/>
  <c r="AZ592" i="6" s="1"/>
  <c r="P593" i="6" s="1"/>
  <c r="AZ593" i="6" s="1"/>
  <c r="P594" i="6" s="1"/>
  <c r="AZ594" i="6" s="1"/>
  <c r="P595" i="6" s="1"/>
  <c r="AZ595" i="6" s="1"/>
  <c r="P596" i="6" s="1"/>
  <c r="AZ596" i="6" s="1"/>
  <c r="P597" i="6" s="1"/>
  <c r="AZ597" i="6" s="1"/>
  <c r="P598" i="6" s="1"/>
  <c r="AZ598" i="6" s="1"/>
  <c r="P599" i="6" s="1"/>
  <c r="AZ599" i="6" s="1"/>
  <c r="P600" i="6" s="1"/>
  <c r="AZ600" i="6" s="1"/>
  <c r="P601" i="6" s="1"/>
  <c r="AZ601" i="6" s="1"/>
  <c r="P602" i="6" s="1"/>
  <c r="AZ602" i="6" s="1"/>
  <c r="P603" i="6" s="1"/>
  <c r="AZ603" i="6" s="1"/>
  <c r="P604" i="6" s="1"/>
  <c r="AZ604" i="6" s="1"/>
  <c r="P605" i="6" s="1"/>
  <c r="AZ605" i="6" s="1"/>
  <c r="P606" i="6" s="1"/>
  <c r="AZ606" i="6" s="1"/>
  <c r="P607" i="6" s="1"/>
  <c r="AZ607" i="6" s="1"/>
  <c r="P608" i="6" s="1"/>
  <c r="AZ608" i="6" s="1"/>
  <c r="P609" i="6" s="1"/>
  <c r="AZ609" i="6" s="1"/>
  <c r="P610" i="6" s="1"/>
  <c r="AZ610" i="6" s="1"/>
  <c r="P611" i="6" s="1"/>
  <c r="AZ611" i="6" s="1"/>
  <c r="P612" i="6" s="1"/>
  <c r="AZ612" i="6" s="1"/>
  <c r="P613" i="6" s="1"/>
  <c r="AZ613" i="6" s="1"/>
  <c r="P614" i="6" s="1"/>
  <c r="AZ614" i="6" s="1"/>
  <c r="P615" i="6" s="1"/>
  <c r="AZ615" i="6" s="1"/>
  <c r="P616" i="6" s="1"/>
  <c r="AZ616" i="6" s="1"/>
  <c r="P617" i="6" s="1"/>
  <c r="AZ617" i="6" s="1"/>
  <c r="AV19" i="5"/>
  <c r="BH19" i="5"/>
  <c r="BT19" i="5"/>
  <c r="AF592" i="6" s="1"/>
  <c r="CF19" i="5"/>
  <c r="V20" i="5"/>
  <c r="AH20" i="5"/>
  <c r="AT20" i="5"/>
  <c r="AF636" i="6" s="1"/>
  <c r="BF20" i="5"/>
  <c r="BR20" i="5"/>
  <c r="AF21" i="5"/>
  <c r="AR21" i="5"/>
  <c r="BZ21" i="5" s="1"/>
  <c r="AF672" i="6" s="1"/>
  <c r="BD21" i="5"/>
  <c r="AW656" i="6" s="1"/>
  <c r="M657" i="6" s="1"/>
  <c r="BP21" i="5"/>
  <c r="AD22" i="5"/>
  <c r="AP22" i="5"/>
  <c r="BB22" i="5"/>
  <c r="BN22" i="5"/>
  <c r="AF725" i="6" s="1"/>
  <c r="AB23" i="5"/>
  <c r="AN23" i="5"/>
  <c r="AZ23" i="5"/>
  <c r="BL23" i="5"/>
  <c r="Z24" i="5"/>
  <c r="AL24" i="5"/>
  <c r="AX24" i="5"/>
  <c r="BJ24" i="5"/>
  <c r="BV24" i="5"/>
  <c r="L25" i="5"/>
  <c r="AJ25" i="5"/>
  <c r="P798" i="6" s="1"/>
  <c r="AZ798" i="6" s="1"/>
  <c r="P799" i="6" s="1"/>
  <c r="AZ799" i="6" s="1"/>
  <c r="P800" i="6" s="1"/>
  <c r="AZ800" i="6" s="1"/>
  <c r="P801" i="6" s="1"/>
  <c r="AZ801" i="6" s="1"/>
  <c r="P802" i="6" s="1"/>
  <c r="AZ802" i="6" s="1"/>
  <c r="P803" i="6" s="1"/>
  <c r="AZ803" i="6" s="1"/>
  <c r="P804" i="6" s="1"/>
  <c r="AZ804" i="6" s="1"/>
  <c r="P805" i="6" s="1"/>
  <c r="AZ805" i="6" s="1"/>
  <c r="P806" i="6" s="1"/>
  <c r="AZ806" i="6" s="1"/>
  <c r="P807" i="6" s="1"/>
  <c r="AZ807" i="6" s="1"/>
  <c r="P808" i="6" s="1"/>
  <c r="AZ808" i="6" s="1"/>
  <c r="P809" i="6" s="1"/>
  <c r="AZ809" i="6" s="1"/>
  <c r="P810" i="6" s="1"/>
  <c r="AZ810" i="6" s="1"/>
  <c r="P811" i="6" s="1"/>
  <c r="AZ811" i="6" s="1"/>
  <c r="P812" i="6" s="1"/>
  <c r="AZ812" i="6" s="1"/>
  <c r="P813" i="6" s="1"/>
  <c r="AZ813" i="6" s="1"/>
  <c r="P814" i="6" s="1"/>
  <c r="AZ814" i="6" s="1"/>
  <c r="P815" i="6" s="1"/>
  <c r="AZ815" i="6" s="1"/>
  <c r="P816" i="6" s="1"/>
  <c r="AZ816" i="6" s="1"/>
  <c r="P817" i="6" s="1"/>
  <c r="AZ817" i="6" s="1"/>
  <c r="P818" i="6" s="1"/>
  <c r="AZ818" i="6" s="1"/>
  <c r="P819" i="6" s="1"/>
  <c r="AZ819" i="6" s="1"/>
  <c r="P820" i="6" s="1"/>
  <c r="AZ820" i="6" s="1"/>
  <c r="P821" i="6" s="1"/>
  <c r="AZ821" i="6" s="1"/>
  <c r="P822" i="6" s="1"/>
  <c r="AZ822" i="6" s="1"/>
  <c r="P823" i="6" s="1"/>
  <c r="AZ823" i="6" s="1"/>
  <c r="P824" i="6" s="1"/>
  <c r="AZ824" i="6" s="1"/>
  <c r="P825" i="6" s="1"/>
  <c r="AZ825" i="6" s="1"/>
  <c r="P826" i="6" s="1"/>
  <c r="AZ826" i="6" s="1"/>
  <c r="P827" i="6" s="1"/>
  <c r="AZ827" i="6" s="1"/>
  <c r="P828" i="6" s="1"/>
  <c r="AZ828" i="6" s="1"/>
  <c r="P829" i="6" s="1"/>
  <c r="AZ829" i="6" s="1"/>
  <c r="P830" i="6" s="1"/>
  <c r="AZ830" i="6" s="1"/>
  <c r="P831" i="6" s="1"/>
  <c r="AZ831" i="6" s="1"/>
  <c r="P832" i="6" s="1"/>
  <c r="AZ832" i="6" s="1"/>
  <c r="P833" i="6" s="1"/>
  <c r="AZ833" i="6" s="1"/>
  <c r="AV25" i="5"/>
  <c r="BH25" i="5"/>
  <c r="BT25" i="5"/>
  <c r="AF808" i="6" s="1"/>
  <c r="CF25" i="5"/>
  <c r="V26" i="5"/>
  <c r="AH26" i="5"/>
  <c r="AT26" i="5"/>
  <c r="BF26" i="5"/>
  <c r="BR26" i="5"/>
  <c r="AF27" i="5"/>
  <c r="AR27" i="5"/>
  <c r="BZ27" i="5" s="1"/>
  <c r="BD27" i="5"/>
  <c r="AW872" i="6" s="1"/>
  <c r="M873" i="6" s="1"/>
  <c r="BP27" i="5"/>
  <c r="AD28" i="5"/>
  <c r="AP28" i="5"/>
  <c r="BB28" i="5"/>
  <c r="BN28" i="5"/>
  <c r="AB29" i="5"/>
  <c r="AN29" i="5"/>
  <c r="AZ29" i="5"/>
  <c r="BL29" i="5"/>
  <c r="Z30" i="5"/>
  <c r="AL30" i="5"/>
  <c r="AX30" i="5"/>
  <c r="BJ30" i="5"/>
  <c r="BV30" i="5"/>
  <c r="L31" i="5"/>
  <c r="AJ31" i="5"/>
  <c r="P1014" i="6" s="1"/>
  <c r="AZ1014" i="6" s="1"/>
  <c r="P1015" i="6" s="1"/>
  <c r="AZ1015" i="6" s="1"/>
  <c r="P1016" i="6" s="1"/>
  <c r="AZ1016" i="6" s="1"/>
  <c r="P1017" i="6" s="1"/>
  <c r="AZ1017" i="6" s="1"/>
  <c r="P1018" i="6" s="1"/>
  <c r="AZ1018" i="6" s="1"/>
  <c r="P1019" i="6" s="1"/>
  <c r="AZ1019" i="6" s="1"/>
  <c r="P1020" i="6" s="1"/>
  <c r="AZ1020" i="6" s="1"/>
  <c r="P1021" i="6" s="1"/>
  <c r="AZ1021" i="6" s="1"/>
  <c r="P1022" i="6" s="1"/>
  <c r="AZ1022" i="6" s="1"/>
  <c r="P1023" i="6" s="1"/>
  <c r="AZ1023" i="6" s="1"/>
  <c r="P1024" i="6" s="1"/>
  <c r="AZ1024" i="6" s="1"/>
  <c r="P1025" i="6" s="1"/>
  <c r="AZ1025" i="6" s="1"/>
  <c r="P1026" i="6" s="1"/>
  <c r="AZ1026" i="6" s="1"/>
  <c r="P1027" i="6" s="1"/>
  <c r="AZ1027" i="6" s="1"/>
  <c r="P1028" i="6" s="1"/>
  <c r="AZ1028" i="6" s="1"/>
  <c r="P1029" i="6" s="1"/>
  <c r="AZ1029" i="6" s="1"/>
  <c r="P1030" i="6" s="1"/>
  <c r="AZ1030" i="6" s="1"/>
  <c r="P1031" i="6" s="1"/>
  <c r="AZ1031" i="6" s="1"/>
  <c r="P1032" i="6" s="1"/>
  <c r="AZ1032" i="6" s="1"/>
  <c r="P1033" i="6" s="1"/>
  <c r="AZ1033" i="6" s="1"/>
  <c r="P1034" i="6" s="1"/>
  <c r="AZ1034" i="6" s="1"/>
  <c r="P1035" i="6" s="1"/>
  <c r="AZ1035" i="6" s="1"/>
  <c r="P1036" i="6" s="1"/>
  <c r="AZ1036" i="6" s="1"/>
  <c r="P1037" i="6" s="1"/>
  <c r="AZ1037" i="6" s="1"/>
  <c r="P1038" i="6" s="1"/>
  <c r="AZ1038" i="6" s="1"/>
  <c r="P1039" i="6" s="1"/>
  <c r="AZ1039" i="6" s="1"/>
  <c r="P1040" i="6" s="1"/>
  <c r="AZ1040" i="6" s="1"/>
  <c r="P1041" i="6" s="1"/>
  <c r="AZ1041" i="6" s="1"/>
  <c r="P1042" i="6" s="1"/>
  <c r="AZ1042" i="6" s="1"/>
  <c r="P1043" i="6" s="1"/>
  <c r="AZ1043" i="6" s="1"/>
  <c r="P1044" i="6" s="1"/>
  <c r="AZ1044" i="6" s="1"/>
  <c r="P1045" i="6" s="1"/>
  <c r="AZ1045" i="6" s="1"/>
  <c r="P1046" i="6" s="1"/>
  <c r="AZ1046" i="6" s="1"/>
  <c r="P1047" i="6" s="1"/>
  <c r="AZ1047" i="6" s="1"/>
  <c r="P1048" i="6" s="1"/>
  <c r="AZ1048" i="6" s="1"/>
  <c r="P1049" i="6" s="1"/>
  <c r="AZ1049" i="6" s="1"/>
  <c r="AV31" i="5"/>
  <c r="BH31" i="5"/>
  <c r="AF1033" i="6" s="1"/>
  <c r="BT31" i="5"/>
  <c r="AF1024" i="6" s="1"/>
  <c r="CF31" i="5"/>
  <c r="V32" i="5"/>
  <c r="AH32" i="5"/>
  <c r="AT32" i="5"/>
  <c r="BF32" i="5"/>
  <c r="BR32" i="5"/>
  <c r="AF33" i="5"/>
  <c r="AR33" i="5"/>
  <c r="BZ33" i="5" s="1"/>
  <c r="BD33" i="5"/>
  <c r="AW1088" i="6" s="1"/>
  <c r="M1089" i="6" s="1"/>
  <c r="BP33" i="5"/>
  <c r="AD34" i="5"/>
  <c r="AP34" i="5"/>
  <c r="BB34" i="5"/>
  <c r="BN34" i="5"/>
  <c r="AB35" i="5"/>
  <c r="AN35" i="5"/>
  <c r="AZ35" i="5"/>
  <c r="BL35" i="5"/>
  <c r="Z36" i="5"/>
  <c r="AL36" i="5"/>
  <c r="CC36" i="5" s="1"/>
  <c r="CB36" i="5" s="1"/>
  <c r="AX36" i="5"/>
  <c r="BJ36" i="5"/>
  <c r="BV36" i="5"/>
  <c r="L37" i="5"/>
  <c r="AB37" i="5"/>
  <c r="BX37" i="5"/>
  <c r="AL38" i="5"/>
  <c r="AI38" i="5"/>
  <c r="AQ38" i="5"/>
  <c r="AJ38" i="5"/>
  <c r="P1266" i="6" s="1"/>
  <c r="AZ1266" i="6" s="1"/>
  <c r="P1267" i="6" s="1"/>
  <c r="AZ1267" i="6" s="1"/>
  <c r="P1268" i="6" s="1"/>
  <c r="AZ1268" i="6" s="1"/>
  <c r="P1269" i="6" s="1"/>
  <c r="AZ1269" i="6" s="1"/>
  <c r="P1270" i="6" s="1"/>
  <c r="AZ1270" i="6" s="1"/>
  <c r="P1271" i="6" s="1"/>
  <c r="AZ1271" i="6" s="1"/>
  <c r="P1272" i="6" s="1"/>
  <c r="AZ1272" i="6" s="1"/>
  <c r="P1273" i="6" s="1"/>
  <c r="AZ1273" i="6" s="1"/>
  <c r="P1274" i="6" s="1"/>
  <c r="AZ1274" i="6" s="1"/>
  <c r="P1275" i="6" s="1"/>
  <c r="AZ1275" i="6" s="1"/>
  <c r="P1276" i="6" s="1"/>
  <c r="AZ1276" i="6" s="1"/>
  <c r="P1277" i="6" s="1"/>
  <c r="AZ1277" i="6" s="1"/>
  <c r="P1278" i="6" s="1"/>
  <c r="AZ1278" i="6" s="1"/>
  <c r="P1279" i="6" s="1"/>
  <c r="AZ1279" i="6" s="1"/>
  <c r="P1280" i="6" s="1"/>
  <c r="AZ1280" i="6" s="1"/>
  <c r="P1281" i="6" s="1"/>
  <c r="AZ1281" i="6" s="1"/>
  <c r="P1282" i="6" s="1"/>
  <c r="AZ1282" i="6" s="1"/>
  <c r="P1283" i="6" s="1"/>
  <c r="AZ1283" i="6" s="1"/>
  <c r="P1284" i="6" s="1"/>
  <c r="AZ1284" i="6" s="1"/>
  <c r="P1285" i="6" s="1"/>
  <c r="AZ1285" i="6" s="1"/>
  <c r="P1286" i="6" s="1"/>
  <c r="AZ1286" i="6" s="1"/>
  <c r="P1287" i="6" s="1"/>
  <c r="BA38" i="5"/>
  <c r="BU38" i="5"/>
  <c r="V39" i="5"/>
  <c r="AH1325" i="6" s="1"/>
  <c r="BI39" i="5"/>
  <c r="X42" i="5"/>
  <c r="W42" i="5"/>
  <c r="AC42" i="5"/>
  <c r="BL43" i="5"/>
  <c r="AZ43" i="5"/>
  <c r="BI43" i="5"/>
  <c r="AW43" i="5"/>
  <c r="BR43" i="5"/>
  <c r="BF43" i="5"/>
  <c r="BQ43" i="5"/>
  <c r="BE43" i="5"/>
  <c r="BP43" i="5"/>
  <c r="BD43" i="5"/>
  <c r="AW1448" i="6" s="1"/>
  <c r="M1449" i="6" s="1"/>
  <c r="AL43" i="5"/>
  <c r="CC43" i="5" s="1"/>
  <c r="CB43" i="5" s="1"/>
  <c r="BG43" i="5"/>
  <c r="AC44" i="5"/>
  <c r="BA44" i="5"/>
  <c r="AY45" i="5"/>
  <c r="AZ47" i="5"/>
  <c r="AE33" i="6"/>
  <c r="AI33" i="6"/>
  <c r="K33" i="6"/>
  <c r="I33" i="6"/>
  <c r="AV45" i="6"/>
  <c r="L46" i="6" s="1"/>
  <c r="AI66" i="6"/>
  <c r="BE80" i="6"/>
  <c r="U80" i="6"/>
  <c r="K85" i="6"/>
  <c r="J85" i="6"/>
  <c r="AJ85" i="6" s="1"/>
  <c r="AI85" i="6"/>
  <c r="I85" i="6"/>
  <c r="AD85" i="6" s="1"/>
  <c r="AE85" i="6"/>
  <c r="AJ98" i="6"/>
  <c r="BA115" i="6"/>
  <c r="Q116" i="6" s="1"/>
  <c r="BA116" i="6" s="1"/>
  <c r="Q117" i="6" s="1"/>
  <c r="BA117" i="6" s="1"/>
  <c r="Q118" i="6" s="1"/>
  <c r="BA118" i="6" s="1"/>
  <c r="Q119" i="6" s="1"/>
  <c r="BA119" i="6" s="1"/>
  <c r="Q120" i="6" s="1"/>
  <c r="BA120" i="6" s="1"/>
  <c r="Q121" i="6" s="1"/>
  <c r="BA121" i="6" s="1"/>
  <c r="Q122" i="6" s="1"/>
  <c r="BA122" i="6" s="1"/>
  <c r="Q123" i="6" s="1"/>
  <c r="AG115" i="6"/>
  <c r="AS3" i="5"/>
  <c r="BE3" i="5"/>
  <c r="BQ3" i="5"/>
  <c r="AE4" i="5"/>
  <c r="AQ4" i="5"/>
  <c r="AO5" i="5"/>
  <c r="BA5" i="5"/>
  <c r="BM5" i="5"/>
  <c r="AY6" i="5"/>
  <c r="BK6" i="5"/>
  <c r="BW6" i="5"/>
  <c r="BU7" i="5"/>
  <c r="W8" i="5"/>
  <c r="AI8" i="5"/>
  <c r="P186" i="6" s="1"/>
  <c r="AZ186" i="6" s="1"/>
  <c r="P187" i="6" s="1"/>
  <c r="AF205" i="6"/>
  <c r="BS8" i="5"/>
  <c r="AF190" i="6" s="1"/>
  <c r="CE8" i="5"/>
  <c r="AS9" i="5"/>
  <c r="BE9" i="5"/>
  <c r="BQ9" i="5"/>
  <c r="AE10" i="5"/>
  <c r="AQ10" i="5"/>
  <c r="AO11" i="5"/>
  <c r="BA11" i="5"/>
  <c r="BM11" i="5"/>
  <c r="AY12" i="5"/>
  <c r="BK12" i="5"/>
  <c r="AE349" i="6" s="1"/>
  <c r="BW12" i="5"/>
  <c r="BU13" i="5"/>
  <c r="W14" i="5"/>
  <c r="AI14" i="5"/>
  <c r="BS14" i="5"/>
  <c r="AF406" i="6" s="1"/>
  <c r="CE14" i="5"/>
  <c r="AS15" i="5"/>
  <c r="BE15" i="5"/>
  <c r="BQ15" i="5"/>
  <c r="AE16" i="5"/>
  <c r="AQ16" i="5"/>
  <c r="AO17" i="5"/>
  <c r="BA17" i="5"/>
  <c r="BM17" i="5"/>
  <c r="AA18" i="5"/>
  <c r="AY18" i="5"/>
  <c r="BK18" i="5"/>
  <c r="AE565" i="6" s="1"/>
  <c r="BW18" i="5"/>
  <c r="BU19" i="5"/>
  <c r="W20" i="5"/>
  <c r="AG622" i="6" s="1"/>
  <c r="AI20" i="5"/>
  <c r="BS20" i="5"/>
  <c r="AF622" i="6" s="1"/>
  <c r="CE20" i="5"/>
  <c r="AS21" i="5"/>
  <c r="BE21" i="5"/>
  <c r="BQ21" i="5"/>
  <c r="AE22" i="5"/>
  <c r="AQ22" i="5"/>
  <c r="AO23" i="5"/>
  <c r="BA23" i="5"/>
  <c r="BM23" i="5"/>
  <c r="AA24" i="5"/>
  <c r="AY24" i="5"/>
  <c r="BK24" i="5"/>
  <c r="AE781" i="6" s="1"/>
  <c r="BW24" i="5"/>
  <c r="BU25" i="5"/>
  <c r="W26" i="5"/>
  <c r="AI26" i="5"/>
  <c r="P834" i="6" s="1"/>
  <c r="AU26" i="5"/>
  <c r="BS26" i="5"/>
  <c r="AF838" i="6" s="1"/>
  <c r="CE26" i="5"/>
  <c r="AS27" i="5"/>
  <c r="BE27" i="5"/>
  <c r="BQ27" i="5"/>
  <c r="AE28" i="5"/>
  <c r="AQ28" i="5"/>
  <c r="AO29" i="5"/>
  <c r="BA29" i="5"/>
  <c r="BM29" i="5"/>
  <c r="AA30" i="5"/>
  <c r="AK983" i="6" s="1"/>
  <c r="AY30" i="5"/>
  <c r="BK30" i="5"/>
  <c r="AE997" i="6" s="1"/>
  <c r="BW30" i="5"/>
  <c r="BU31" i="5"/>
  <c r="W32" i="5"/>
  <c r="AI32" i="5"/>
  <c r="AU32" i="5"/>
  <c r="BS32" i="5"/>
  <c r="AF1054" i="6" s="1"/>
  <c r="CE32" i="5"/>
  <c r="AS33" i="5"/>
  <c r="BE33" i="5"/>
  <c r="BQ33" i="5"/>
  <c r="AE34" i="5"/>
  <c r="AQ34" i="5"/>
  <c r="AO35" i="5"/>
  <c r="BA35" i="5"/>
  <c r="BM35" i="5"/>
  <c r="AA36" i="5"/>
  <c r="AY36" i="5"/>
  <c r="BK36" i="5"/>
  <c r="AE1213" i="6" s="1"/>
  <c r="BW36" i="5"/>
  <c r="AC37" i="5"/>
  <c r="CB37" i="5" s="1"/>
  <c r="BY37" i="5"/>
  <c r="AU38" i="5"/>
  <c r="AR38" i="5"/>
  <c r="BZ38" i="5" s="1"/>
  <c r="BB38" i="5"/>
  <c r="BW38" i="5"/>
  <c r="BJ39" i="5"/>
  <c r="AF1335" i="6"/>
  <c r="AF1331" i="6"/>
  <c r="AF1336" i="6"/>
  <c r="AF1327" i="6"/>
  <c r="BP41" i="5"/>
  <c r="BD41" i="5"/>
  <c r="AW1376" i="6" s="1"/>
  <c r="M1377" i="6" s="1"/>
  <c r="BM41" i="5"/>
  <c r="BA41" i="5"/>
  <c r="BJ41" i="5"/>
  <c r="AX41" i="5"/>
  <c r="BI41" i="5"/>
  <c r="AW41" i="5"/>
  <c r="BH41" i="5"/>
  <c r="AV41" i="5"/>
  <c r="BG41" i="5"/>
  <c r="AE42" i="5"/>
  <c r="BU42" i="5"/>
  <c r="X44" i="5"/>
  <c r="W44" i="5"/>
  <c r="BE44" i="5"/>
  <c r="BC45" i="5"/>
  <c r="BC47" i="5"/>
  <c r="AF1623" i="6"/>
  <c r="AF1624" i="6"/>
  <c r="AF1615" i="6"/>
  <c r="AF1619" i="6"/>
  <c r="AI42" i="6"/>
  <c r="AI61" i="6"/>
  <c r="K61" i="6"/>
  <c r="J61" i="6"/>
  <c r="AJ61" i="6" s="1"/>
  <c r="I61" i="6"/>
  <c r="AE61" i="6"/>
  <c r="AI73" i="6"/>
  <c r="K73" i="6"/>
  <c r="J73" i="6"/>
  <c r="I73" i="6"/>
  <c r="AE73" i="6"/>
  <c r="AD82" i="6"/>
  <c r="AV115" i="6"/>
  <c r="L116" i="6" s="1"/>
  <c r="AV116" i="6" s="1"/>
  <c r="L117" i="6" s="1"/>
  <c r="AF117" i="6" s="1"/>
  <c r="AI143" i="6"/>
  <c r="K143" i="6"/>
  <c r="I143" i="6"/>
  <c r="AE143" i="6"/>
  <c r="J143" i="6"/>
  <c r="AJ143" i="6" s="1"/>
  <c r="BE152" i="6"/>
  <c r="U152" i="6"/>
  <c r="AF137" i="6"/>
  <c r="AF142" i="6"/>
  <c r="AF138" i="6"/>
  <c r="AF146" i="6"/>
  <c r="AF145" i="6"/>
  <c r="AF141" i="6"/>
  <c r="BX6" i="5"/>
  <c r="AF371" i="6"/>
  <c r="AF388" i="6"/>
  <c r="AF382" i="6"/>
  <c r="AF377" i="6"/>
  <c r="AF456" i="6"/>
  <c r="BX18" i="5"/>
  <c r="AF593" i="6"/>
  <c r="AF598" i="6"/>
  <c r="AF587" i="6"/>
  <c r="AF604" i="6"/>
  <c r="AF630" i="6"/>
  <c r="BX24" i="5"/>
  <c r="AF809" i="6"/>
  <c r="AF814" i="6"/>
  <c r="AF820" i="6"/>
  <c r="AF803" i="6"/>
  <c r="AB30" i="5"/>
  <c r="AF1030" i="6"/>
  <c r="AF1036" i="6"/>
  <c r="AF1025" i="6"/>
  <c r="AF1019" i="6"/>
  <c r="P1050" i="6"/>
  <c r="AZ1050" i="6" s="1"/>
  <c r="AF1104" i="6"/>
  <c r="AB36" i="5"/>
  <c r="AF1225" i="6"/>
  <c r="AF1218" i="6"/>
  <c r="AF41" i="5"/>
  <c r="BY41" i="5"/>
  <c r="AC41" i="5"/>
  <c r="BV41" i="5"/>
  <c r="BU41" i="5"/>
  <c r="BT41" i="5"/>
  <c r="AF1384" i="6" s="1"/>
  <c r="AF1432" i="6"/>
  <c r="AF1421" i="6"/>
  <c r="AF1426" i="6"/>
  <c r="AF1415" i="6"/>
  <c r="AI25" i="6"/>
  <c r="K25" i="6"/>
  <c r="J25" i="6"/>
  <c r="I25" i="6"/>
  <c r="BO113" i="6"/>
  <c r="AJ82" i="6"/>
  <c r="AB24" i="5"/>
  <c r="AF888" i="6"/>
  <c r="AF1005" i="6"/>
  <c r="AF1010" i="6"/>
  <c r="BX30" i="5"/>
  <c r="BX36" i="5"/>
  <c r="AN43" i="5"/>
  <c r="CG43" i="5"/>
  <c r="AK43" i="5"/>
  <c r="AH43" i="5"/>
  <c r="AG43" i="5"/>
  <c r="AH1446" i="6" s="1"/>
  <c r="AO43" i="5"/>
  <c r="AF1475" i="6"/>
  <c r="AF1480" i="6"/>
  <c r="AF1471" i="6"/>
  <c r="AF1479" i="6"/>
  <c r="Z44" i="5"/>
  <c r="K44" i="5"/>
  <c r="L45" i="5"/>
  <c r="AF1551" i="6"/>
  <c r="AF1547" i="6"/>
  <c r="AF1543" i="6"/>
  <c r="AF1552" i="6"/>
  <c r="AK26" i="6"/>
  <c r="BG43" i="6"/>
  <c r="W44" i="6" s="1"/>
  <c r="AW80" i="6"/>
  <c r="M81" i="6" s="1"/>
  <c r="K3" i="5"/>
  <c r="W3" i="5"/>
  <c r="AG8" i="6" s="1"/>
  <c r="AI3" i="5"/>
  <c r="BG3" i="5"/>
  <c r="BS3" i="5"/>
  <c r="AF10" i="6" s="1"/>
  <c r="CE3" i="5"/>
  <c r="U4" i="5"/>
  <c r="AG4" i="5"/>
  <c r="AH43" i="6" s="1"/>
  <c r="BE4" i="5"/>
  <c r="BQ4" i="5"/>
  <c r="AQ5" i="5"/>
  <c r="BC5" i="5"/>
  <c r="BO5" i="5"/>
  <c r="AF113" i="6" s="1"/>
  <c r="AC6" i="5"/>
  <c r="BA6" i="5"/>
  <c r="BM6" i="5"/>
  <c r="BY6" i="5"/>
  <c r="AM7" i="5"/>
  <c r="CC7" i="5" s="1"/>
  <c r="CB7" i="5" s="1"/>
  <c r="AY7" i="5"/>
  <c r="BW7" i="5"/>
  <c r="AK8" i="5"/>
  <c r="AW8" i="5"/>
  <c r="BI8" i="5"/>
  <c r="BU8" i="5"/>
  <c r="CG8" i="5"/>
  <c r="K9" i="5"/>
  <c r="W9" i="5"/>
  <c r="AI9" i="5"/>
  <c r="BG9" i="5"/>
  <c r="BS9" i="5"/>
  <c r="AF226" i="6" s="1"/>
  <c r="CE9" i="5"/>
  <c r="U10" i="5"/>
  <c r="AG10" i="5"/>
  <c r="BE10" i="5"/>
  <c r="BQ10" i="5"/>
  <c r="AQ11" i="5"/>
  <c r="BC11" i="5"/>
  <c r="BO11" i="5"/>
  <c r="AF329" i="6" s="1"/>
  <c r="AC12" i="5"/>
  <c r="BA12" i="5"/>
  <c r="BM12" i="5"/>
  <c r="BY12" i="5"/>
  <c r="AM13" i="5"/>
  <c r="CC13" i="5" s="1"/>
  <c r="CB13" i="5" s="1"/>
  <c r="AY13" i="5"/>
  <c r="BW13" i="5"/>
  <c r="AK14" i="5"/>
  <c r="AW14" i="5"/>
  <c r="BI14" i="5"/>
  <c r="BU14" i="5"/>
  <c r="CG14" i="5"/>
  <c r="K15" i="5"/>
  <c r="W15" i="5"/>
  <c r="AG440" i="6" s="1"/>
  <c r="AI15" i="5"/>
  <c r="BG15" i="5"/>
  <c r="BS15" i="5"/>
  <c r="AF442" i="6" s="1"/>
  <c r="CE15" i="5"/>
  <c r="U16" i="5"/>
  <c r="AG16" i="5"/>
  <c r="AH476" i="6" s="1"/>
  <c r="BE16" i="5"/>
  <c r="BQ16" i="5"/>
  <c r="AQ17" i="5"/>
  <c r="BC17" i="5"/>
  <c r="BO17" i="5"/>
  <c r="AC18" i="5"/>
  <c r="BA18" i="5"/>
  <c r="BM18" i="5"/>
  <c r="BY18" i="5"/>
  <c r="AM19" i="5"/>
  <c r="CC19" i="5" s="1"/>
  <c r="CB19" i="5" s="1"/>
  <c r="AY19" i="5"/>
  <c r="BW19" i="5"/>
  <c r="AK20" i="5"/>
  <c r="AW20" i="5"/>
  <c r="BI20" i="5"/>
  <c r="BU20" i="5"/>
  <c r="CG20" i="5"/>
  <c r="K21" i="5"/>
  <c r="W21" i="5"/>
  <c r="AI21" i="5"/>
  <c r="P654" i="6" s="1"/>
  <c r="BG21" i="5"/>
  <c r="BS21" i="5"/>
  <c r="AF658" i="6" s="1"/>
  <c r="CE21" i="5"/>
  <c r="U22" i="5"/>
  <c r="AG22" i="5"/>
  <c r="BE22" i="5"/>
  <c r="BQ22" i="5"/>
  <c r="AQ23" i="5"/>
  <c r="BC23" i="5"/>
  <c r="BO23" i="5"/>
  <c r="AC24" i="5"/>
  <c r="BA24" i="5"/>
  <c r="BM24" i="5"/>
  <c r="BY24" i="5"/>
  <c r="AM25" i="5"/>
  <c r="CC25" i="5" s="1"/>
  <c r="CB25" i="5" s="1"/>
  <c r="AY25" i="5"/>
  <c r="BW25" i="5"/>
  <c r="AK26" i="5"/>
  <c r="AW26" i="5"/>
  <c r="BI26" i="5"/>
  <c r="BU26" i="5"/>
  <c r="CG26" i="5"/>
  <c r="K27" i="5"/>
  <c r="W27" i="5"/>
  <c r="AG870" i="6" s="1"/>
  <c r="AI27" i="5"/>
  <c r="BG27" i="5"/>
  <c r="BS27" i="5"/>
  <c r="AF874" i="6" s="1"/>
  <c r="CE27" i="5"/>
  <c r="U28" i="5"/>
  <c r="AG28" i="5"/>
  <c r="BE28" i="5"/>
  <c r="BQ28" i="5"/>
  <c r="AQ29" i="5"/>
  <c r="BC29" i="5"/>
  <c r="BO29" i="5"/>
  <c r="AC30" i="5"/>
  <c r="BA30" i="5"/>
  <c r="BM30" i="5"/>
  <c r="BY30" i="5"/>
  <c r="AM31" i="5"/>
  <c r="CC31" i="5" s="1"/>
  <c r="CB31" i="5" s="1"/>
  <c r="AY31" i="5"/>
  <c r="AG1017" i="6" s="1"/>
  <c r="BW31" i="5"/>
  <c r="AK32" i="5"/>
  <c r="AW32" i="5"/>
  <c r="BI32" i="5"/>
  <c r="BU32" i="5"/>
  <c r="CG32" i="5"/>
  <c r="K33" i="5"/>
  <c r="W33" i="5"/>
  <c r="AG1087" i="6" s="1"/>
  <c r="AI33" i="5"/>
  <c r="BG33" i="5"/>
  <c r="BS33" i="5"/>
  <c r="AF1090" i="6" s="1"/>
  <c r="CE33" i="5"/>
  <c r="U34" i="5"/>
  <c r="AG34" i="5"/>
  <c r="AH1122" i="6" s="1"/>
  <c r="BE34" i="5"/>
  <c r="BQ34" i="5"/>
  <c r="AQ35" i="5"/>
  <c r="BC35" i="5"/>
  <c r="BO35" i="5"/>
  <c r="AC36" i="5"/>
  <c r="BA36" i="5"/>
  <c r="BM36" i="5"/>
  <c r="BY36" i="5"/>
  <c r="BI37" i="5"/>
  <c r="AW37" i="5"/>
  <c r="BR37" i="5"/>
  <c r="BF37" i="5"/>
  <c r="BQ37" i="5"/>
  <c r="BE37" i="5"/>
  <c r="AE37" i="5"/>
  <c r="AV37" i="5"/>
  <c r="BL37" i="5"/>
  <c r="X38" i="5"/>
  <c r="AK1268" i="6" s="1"/>
  <c r="BF38" i="5"/>
  <c r="BY38" i="5"/>
  <c r="AF1320" i="6"/>
  <c r="BO39" i="5"/>
  <c r="CH39" i="5"/>
  <c r="L40" i="5"/>
  <c r="AG40" i="5"/>
  <c r="AO1348" i="6"/>
  <c r="AO1342" i="6"/>
  <c r="BL41" i="5"/>
  <c r="CE41" i="5"/>
  <c r="AG42" i="5"/>
  <c r="BX42" i="5"/>
  <c r="AT43" i="5"/>
  <c r="AS43" i="5"/>
  <c r="AR43" i="5"/>
  <c r="BZ43" i="5" s="1"/>
  <c r="AP43" i="5"/>
  <c r="CF43" i="5"/>
  <c r="AK44" i="5"/>
  <c r="BI44" i="5"/>
  <c r="BG45" i="5"/>
  <c r="BG47" i="5"/>
  <c r="AK14" i="6"/>
  <c r="AI17" i="6"/>
  <c r="AJ53" i="6"/>
  <c r="AJ58" i="6"/>
  <c r="AD102" i="6"/>
  <c r="BG115" i="6"/>
  <c r="W116" i="6" s="1"/>
  <c r="AJ127" i="6"/>
  <c r="AJ141" i="6"/>
  <c r="BA161" i="6"/>
  <c r="Q162" i="6" s="1"/>
  <c r="K195" i="6"/>
  <c r="AI195" i="6"/>
  <c r="J195" i="6"/>
  <c r="I195" i="6"/>
  <c r="AE195" i="6"/>
  <c r="P618" i="6"/>
  <c r="AZ618" i="6" s="1"/>
  <c r="P619" i="6" s="1"/>
  <c r="AZ619" i="6" s="1"/>
  <c r="P620" i="6" s="1"/>
  <c r="AZ620" i="6" s="1"/>
  <c r="P621" i="6" s="1"/>
  <c r="AZ621" i="6" s="1"/>
  <c r="P622" i="6" s="1"/>
  <c r="AZ622" i="6" s="1"/>
  <c r="P623" i="6" s="1"/>
  <c r="AZ623" i="6" s="1"/>
  <c r="P624" i="6" s="1"/>
  <c r="AZ624" i="6" s="1"/>
  <c r="P625" i="6" s="1"/>
  <c r="AZ625" i="6" s="1"/>
  <c r="P626" i="6" s="1"/>
  <c r="AZ626" i="6" s="1"/>
  <c r="P627" i="6" s="1"/>
  <c r="AZ627" i="6" s="1"/>
  <c r="P628" i="6" s="1"/>
  <c r="AZ628" i="6" s="1"/>
  <c r="P629" i="6" s="1"/>
  <c r="AZ629" i="6" s="1"/>
  <c r="P630" i="6" s="1"/>
  <c r="AZ630" i="6" s="1"/>
  <c r="P631" i="6" s="1"/>
  <c r="AZ631" i="6" s="1"/>
  <c r="P632" i="6" s="1"/>
  <c r="AZ632" i="6" s="1"/>
  <c r="P633" i="6" s="1"/>
  <c r="AZ633" i="6" s="1"/>
  <c r="P634" i="6" s="1"/>
  <c r="AZ634" i="6" s="1"/>
  <c r="P635" i="6" s="1"/>
  <c r="AZ635" i="6" s="1"/>
  <c r="P636" i="6" s="1"/>
  <c r="AZ636" i="6" s="1"/>
  <c r="P637" i="6" s="1"/>
  <c r="AZ637" i="6" s="1"/>
  <c r="P638" i="6" s="1"/>
  <c r="AZ638" i="6" s="1"/>
  <c r="P639" i="6" s="1"/>
  <c r="AZ639" i="6" s="1"/>
  <c r="P640" i="6" s="1"/>
  <c r="AZ640" i="6" s="1"/>
  <c r="P641" i="6" s="1"/>
  <c r="AZ641" i="6" s="1"/>
  <c r="P642" i="6" s="1"/>
  <c r="AZ642" i="6" s="1"/>
  <c r="P643" i="6" s="1"/>
  <c r="AZ643" i="6" s="1"/>
  <c r="P644" i="6" s="1"/>
  <c r="AZ644" i="6" s="1"/>
  <c r="P645" i="6" s="1"/>
  <c r="AZ645" i="6" s="1"/>
  <c r="P646" i="6" s="1"/>
  <c r="AZ646" i="6" s="1"/>
  <c r="P647" i="6" s="1"/>
  <c r="AZ647" i="6" s="1"/>
  <c r="P648" i="6" s="1"/>
  <c r="AZ648" i="6" s="1"/>
  <c r="P649" i="6" s="1"/>
  <c r="AZ649" i="6" s="1"/>
  <c r="P650" i="6" s="1"/>
  <c r="AZ650" i="6" s="1"/>
  <c r="P651" i="6" s="1"/>
  <c r="AZ651" i="6" s="1"/>
  <c r="P652" i="6" s="1"/>
  <c r="AZ652" i="6" s="1"/>
  <c r="P653" i="6" s="1"/>
  <c r="AZ653" i="6" s="1"/>
  <c r="P6" i="6"/>
  <c r="AZ6" i="6" s="1"/>
  <c r="P7" i="6" s="1"/>
  <c r="AZ7" i="6" s="1"/>
  <c r="P8" i="6" s="1"/>
  <c r="AZ8" i="6" s="1"/>
  <c r="P9" i="6" s="1"/>
  <c r="AZ9" i="6" s="1"/>
  <c r="P10" i="6" s="1"/>
  <c r="AZ10" i="6" s="1"/>
  <c r="P11" i="6" s="1"/>
  <c r="AZ11" i="6" s="1"/>
  <c r="P12" i="6" s="1"/>
  <c r="AZ12" i="6" s="1"/>
  <c r="P13" i="6" s="1"/>
  <c r="AZ13" i="6" s="1"/>
  <c r="P14" i="6" s="1"/>
  <c r="AZ14" i="6" s="1"/>
  <c r="P15" i="6" s="1"/>
  <c r="AZ15" i="6" s="1"/>
  <c r="P16" i="6" s="1"/>
  <c r="AZ16" i="6" s="1"/>
  <c r="P17" i="6" s="1"/>
  <c r="AZ17" i="6" s="1"/>
  <c r="P18" i="6" s="1"/>
  <c r="AZ18" i="6" s="1"/>
  <c r="P19" i="6" s="1"/>
  <c r="AZ19" i="6" s="1"/>
  <c r="P20" i="6" s="1"/>
  <c r="AZ20" i="6" s="1"/>
  <c r="P21" i="6" s="1"/>
  <c r="AZ21" i="6" s="1"/>
  <c r="P22" i="6" s="1"/>
  <c r="AZ22" i="6" s="1"/>
  <c r="P23" i="6" s="1"/>
  <c r="AZ23" i="6" s="1"/>
  <c r="P24" i="6" s="1"/>
  <c r="AZ24" i="6" s="1"/>
  <c r="P25" i="6" s="1"/>
  <c r="AZ25" i="6" s="1"/>
  <c r="P26" i="6" s="1"/>
  <c r="AZ26" i="6" s="1"/>
  <c r="P27" i="6" s="1"/>
  <c r="AV3" i="5"/>
  <c r="BH3" i="5"/>
  <c r="AF27" i="6"/>
  <c r="AF18" i="6"/>
  <c r="AD6" i="5"/>
  <c r="AF173" i="6"/>
  <c r="AF178" i="6"/>
  <c r="AF174" i="6"/>
  <c r="AF177" i="6"/>
  <c r="AF182" i="6"/>
  <c r="BX7" i="5"/>
  <c r="P222" i="6"/>
  <c r="AZ222" i="6" s="1"/>
  <c r="P223" i="6" s="1"/>
  <c r="AZ223" i="6" s="1"/>
  <c r="P224" i="6" s="1"/>
  <c r="AZ224" i="6" s="1"/>
  <c r="P225" i="6" s="1"/>
  <c r="AZ225" i="6" s="1"/>
  <c r="P226" i="6" s="1"/>
  <c r="AZ226" i="6" s="1"/>
  <c r="P227" i="6" s="1"/>
  <c r="AZ227" i="6" s="1"/>
  <c r="P228" i="6" s="1"/>
  <c r="AZ228" i="6" s="1"/>
  <c r="P229" i="6" s="1"/>
  <c r="AZ229" i="6" s="1"/>
  <c r="P230" i="6" s="1"/>
  <c r="AZ230" i="6" s="1"/>
  <c r="P231" i="6" s="1"/>
  <c r="AZ231" i="6" s="1"/>
  <c r="P232" i="6" s="1"/>
  <c r="AZ232" i="6" s="1"/>
  <c r="P233" i="6" s="1"/>
  <c r="AZ233" i="6" s="1"/>
  <c r="P234" i="6" s="1"/>
  <c r="AV9" i="5"/>
  <c r="BH9" i="5"/>
  <c r="AF234" i="6"/>
  <c r="AB13" i="5"/>
  <c r="BX13" i="5"/>
  <c r="AF424" i="6"/>
  <c r="AF407" i="6"/>
  <c r="AF413" i="6"/>
  <c r="AF418" i="6"/>
  <c r="P438" i="6"/>
  <c r="AZ438" i="6" s="1"/>
  <c r="P439" i="6" s="1"/>
  <c r="AZ439" i="6" s="1"/>
  <c r="P440" i="6" s="1"/>
  <c r="AZ440" i="6" s="1"/>
  <c r="P441" i="6" s="1"/>
  <c r="AZ441" i="6" s="1"/>
  <c r="P442" i="6" s="1"/>
  <c r="AZ442" i="6" s="1"/>
  <c r="P443" i="6" s="1"/>
  <c r="AZ443" i="6" s="1"/>
  <c r="P444" i="6" s="1"/>
  <c r="AZ444" i="6" s="1"/>
  <c r="P445" i="6" s="1"/>
  <c r="AZ445" i="6" s="1"/>
  <c r="P446" i="6" s="1"/>
  <c r="AZ446" i="6" s="1"/>
  <c r="P447" i="6" s="1"/>
  <c r="AZ447" i="6" s="1"/>
  <c r="P448" i="6" s="1"/>
  <c r="AZ448" i="6" s="1"/>
  <c r="P449" i="6" s="1"/>
  <c r="AZ449" i="6" s="1"/>
  <c r="P450" i="6" s="1"/>
  <c r="AF450" i="6" s="1"/>
  <c r="AV15" i="5"/>
  <c r="BH15" i="5"/>
  <c r="AH16" i="5"/>
  <c r="AR17" i="5"/>
  <c r="BZ17" i="5" s="1"/>
  <c r="BD17" i="5"/>
  <c r="AW512" i="6" s="1"/>
  <c r="M513" i="6" s="1"/>
  <c r="BP17" i="5"/>
  <c r="AD18" i="5"/>
  <c r="AB19" i="5"/>
  <c r="AL20" i="5"/>
  <c r="CC20" i="5" s="1"/>
  <c r="CB20" i="5" s="1"/>
  <c r="AV21" i="5"/>
  <c r="BH21" i="5"/>
  <c r="AH22" i="5"/>
  <c r="AF708" i="6"/>
  <c r="AR23" i="5"/>
  <c r="BZ23" i="5" s="1"/>
  <c r="BD23" i="5"/>
  <c r="AW728" i="6" s="1"/>
  <c r="M729" i="6" s="1"/>
  <c r="BP23" i="5"/>
  <c r="AD24" i="5"/>
  <c r="AB25" i="5"/>
  <c r="BX25" i="5"/>
  <c r="AL26" i="5"/>
  <c r="CC26" i="5" s="1"/>
  <c r="CB26" i="5" s="1"/>
  <c r="BV26" i="5"/>
  <c r="P870" i="6"/>
  <c r="AZ870" i="6" s="1"/>
  <c r="P871" i="6" s="1"/>
  <c r="AZ871" i="6" s="1"/>
  <c r="P872" i="6" s="1"/>
  <c r="AZ872" i="6" s="1"/>
  <c r="P873" i="6" s="1"/>
  <c r="AZ873" i="6" s="1"/>
  <c r="P874" i="6" s="1"/>
  <c r="AZ874" i="6" s="1"/>
  <c r="P875" i="6" s="1"/>
  <c r="AZ875" i="6" s="1"/>
  <c r="P876" i="6" s="1"/>
  <c r="AZ876" i="6" s="1"/>
  <c r="P877" i="6" s="1"/>
  <c r="AZ877" i="6" s="1"/>
  <c r="P878" i="6" s="1"/>
  <c r="AZ878" i="6" s="1"/>
  <c r="P879" i="6" s="1"/>
  <c r="AZ879" i="6" s="1"/>
  <c r="P880" i="6" s="1"/>
  <c r="AZ880" i="6" s="1"/>
  <c r="P881" i="6" s="1"/>
  <c r="AZ881" i="6" s="1"/>
  <c r="P882" i="6" s="1"/>
  <c r="AZ882" i="6" s="1"/>
  <c r="P883" i="6" s="1"/>
  <c r="AZ883" i="6" s="1"/>
  <c r="P884" i="6" s="1"/>
  <c r="AZ884" i="6" s="1"/>
  <c r="P885" i="6" s="1"/>
  <c r="AZ885" i="6" s="1"/>
  <c r="P886" i="6" s="1"/>
  <c r="AZ886" i="6" s="1"/>
  <c r="P887" i="6" s="1"/>
  <c r="AZ887" i="6" s="1"/>
  <c r="P888" i="6" s="1"/>
  <c r="AZ888" i="6" s="1"/>
  <c r="P889" i="6" s="1"/>
  <c r="AZ889" i="6" s="1"/>
  <c r="P890" i="6" s="1"/>
  <c r="AZ890" i="6" s="1"/>
  <c r="P891" i="6" s="1"/>
  <c r="AV27" i="5"/>
  <c r="BH27" i="5"/>
  <c r="BT27" i="5"/>
  <c r="AF880" i="6" s="1"/>
  <c r="AF891" i="6"/>
  <c r="AF882" i="6"/>
  <c r="AH28" i="5"/>
  <c r="AF924" i="6"/>
  <c r="AR29" i="5"/>
  <c r="BZ29" i="5" s="1"/>
  <c r="BD29" i="5"/>
  <c r="BP29" i="5"/>
  <c r="AD30" i="5"/>
  <c r="AB31" i="5"/>
  <c r="BX31" i="5"/>
  <c r="AL32" i="5"/>
  <c r="CC32" i="5" s="1"/>
  <c r="CB32" i="5" s="1"/>
  <c r="BV32" i="5"/>
  <c r="P1086" i="6"/>
  <c r="AZ1086" i="6" s="1"/>
  <c r="P1087" i="6" s="1"/>
  <c r="AZ1087" i="6" s="1"/>
  <c r="P1088" i="6" s="1"/>
  <c r="AZ1088" i="6" s="1"/>
  <c r="P1089" i="6" s="1"/>
  <c r="AZ1089" i="6" s="1"/>
  <c r="P1090" i="6" s="1"/>
  <c r="AZ1090" i="6" s="1"/>
  <c r="P1091" i="6" s="1"/>
  <c r="AZ1091" i="6" s="1"/>
  <c r="P1092" i="6" s="1"/>
  <c r="AZ1092" i="6" s="1"/>
  <c r="P1093" i="6" s="1"/>
  <c r="AZ1093" i="6" s="1"/>
  <c r="P1094" i="6" s="1"/>
  <c r="AZ1094" i="6" s="1"/>
  <c r="P1095" i="6" s="1"/>
  <c r="AZ1095" i="6" s="1"/>
  <c r="P1096" i="6" s="1"/>
  <c r="AZ1096" i="6" s="1"/>
  <c r="P1097" i="6" s="1"/>
  <c r="AZ1097" i="6" s="1"/>
  <c r="P1098" i="6" s="1"/>
  <c r="AZ1098" i="6" s="1"/>
  <c r="P1099" i="6" s="1"/>
  <c r="AZ1099" i="6" s="1"/>
  <c r="P1100" i="6" s="1"/>
  <c r="AZ1100" i="6" s="1"/>
  <c r="P1101" i="6" s="1"/>
  <c r="AZ1101" i="6" s="1"/>
  <c r="P1102" i="6" s="1"/>
  <c r="AZ1102" i="6" s="1"/>
  <c r="P1103" i="6" s="1"/>
  <c r="AZ1103" i="6" s="1"/>
  <c r="P1104" i="6" s="1"/>
  <c r="AZ1104" i="6" s="1"/>
  <c r="P1105" i="6" s="1"/>
  <c r="AZ1105" i="6" s="1"/>
  <c r="P1106" i="6" s="1"/>
  <c r="AZ1106" i="6" s="1"/>
  <c r="P1107" i="6" s="1"/>
  <c r="AZ1107" i="6" s="1"/>
  <c r="P1108" i="6" s="1"/>
  <c r="AZ1108" i="6" s="1"/>
  <c r="P1109" i="6" s="1"/>
  <c r="AZ1109" i="6" s="1"/>
  <c r="P1110" i="6" s="1"/>
  <c r="AZ1110" i="6" s="1"/>
  <c r="P1111" i="6" s="1"/>
  <c r="AZ1111" i="6" s="1"/>
  <c r="P1112" i="6" s="1"/>
  <c r="AZ1112" i="6" s="1"/>
  <c r="P1113" i="6" s="1"/>
  <c r="AZ1113" i="6" s="1"/>
  <c r="P1114" i="6" s="1"/>
  <c r="AZ1114" i="6" s="1"/>
  <c r="P1115" i="6" s="1"/>
  <c r="AZ1115" i="6" s="1"/>
  <c r="P1116" i="6" s="1"/>
  <c r="AZ1116" i="6" s="1"/>
  <c r="P1117" i="6" s="1"/>
  <c r="AZ1117" i="6" s="1"/>
  <c r="P1118" i="6" s="1"/>
  <c r="AZ1118" i="6" s="1"/>
  <c r="P1119" i="6" s="1"/>
  <c r="AZ1119" i="6" s="1"/>
  <c r="P1120" i="6" s="1"/>
  <c r="AZ1120" i="6" s="1"/>
  <c r="P1121" i="6" s="1"/>
  <c r="AZ1121" i="6" s="1"/>
  <c r="AV33" i="5"/>
  <c r="BH33" i="5"/>
  <c r="BT33" i="5"/>
  <c r="AF1096" i="6" s="1"/>
  <c r="AF1098" i="6"/>
  <c r="AH34" i="5"/>
  <c r="AF1140" i="6"/>
  <c r="AR35" i="5"/>
  <c r="BZ35" i="5" s="1"/>
  <c r="BD35" i="5"/>
  <c r="BP35" i="5"/>
  <c r="AD36" i="5"/>
  <c r="AO1234" i="6"/>
  <c r="AO1240" i="6"/>
  <c r="AF37" i="5"/>
  <c r="AF1260" i="6"/>
  <c r="AG1267" i="6"/>
  <c r="Y38" i="5"/>
  <c r="CA38" i="5" s="1"/>
  <c r="CC38" i="5" s="1"/>
  <c r="BH38" i="5"/>
  <c r="BP39" i="5"/>
  <c r="AI40" i="5"/>
  <c r="AS41" i="5"/>
  <c r="AK42" i="5"/>
  <c r="CD43" i="5"/>
  <c r="V43" i="5"/>
  <c r="AH1469" i="6" s="1"/>
  <c r="AQ43" i="5"/>
  <c r="BK44" i="5"/>
  <c r="AE1501" i="6" s="1"/>
  <c r="BJ45" i="5"/>
  <c r="CH45" i="5"/>
  <c r="L47" i="5"/>
  <c r="BK47" i="5"/>
  <c r="AG7" i="6"/>
  <c r="AE21" i="6"/>
  <c r="AI21" i="6"/>
  <c r="K21" i="6"/>
  <c r="AK21" i="6" s="1"/>
  <c r="I21" i="6"/>
  <c r="AJ70" i="6"/>
  <c r="AD99" i="6"/>
  <c r="AB18" i="5"/>
  <c r="AF573" i="6"/>
  <c r="AF578" i="6"/>
  <c r="AF574" i="6"/>
  <c r="AF577" i="6"/>
  <c r="AF570" i="6"/>
  <c r="AF569" i="6"/>
  <c r="AR5" i="5"/>
  <c r="BZ5" i="5" s="1"/>
  <c r="AF96" i="6" s="1"/>
  <c r="AB7" i="5"/>
  <c r="AL8" i="5"/>
  <c r="CC8" i="5" s="1"/>
  <c r="CB8" i="5" s="1"/>
  <c r="BV8" i="5"/>
  <c r="AF276" i="6"/>
  <c r="AR11" i="5"/>
  <c r="BZ11" i="5" s="1"/>
  <c r="AD12" i="5"/>
  <c r="AL14" i="5"/>
  <c r="CC14" i="5" s="1"/>
  <c r="CB14" i="5" s="1"/>
  <c r="AF492" i="6"/>
  <c r="BX19" i="5"/>
  <c r="AF640" i="6"/>
  <c r="AF629" i="6"/>
  <c r="AF634" i="6"/>
  <c r="AF623" i="6"/>
  <c r="AW3" i="5"/>
  <c r="BI3" i="5"/>
  <c r="BU3" i="5"/>
  <c r="K4" i="5"/>
  <c r="AI4" i="5"/>
  <c r="P42" i="6" s="1"/>
  <c r="AF61" i="6"/>
  <c r="BS4" i="5"/>
  <c r="AF46" i="6" s="1"/>
  <c r="CE4" i="5"/>
  <c r="AG5" i="5"/>
  <c r="AH80" i="6" s="1"/>
  <c r="AS5" i="5"/>
  <c r="AD87" i="6" s="1"/>
  <c r="BE5" i="5"/>
  <c r="BQ5" i="5"/>
  <c r="AE6" i="5"/>
  <c r="BC6" i="5"/>
  <c r="BO6" i="5"/>
  <c r="AF149" i="6" s="1"/>
  <c r="AC7" i="5"/>
  <c r="AO7" i="5"/>
  <c r="AF180" i="6"/>
  <c r="AF176" i="6"/>
  <c r="BY7" i="5"/>
  <c r="AM8" i="5"/>
  <c r="AY8" i="5"/>
  <c r="BK8" i="5"/>
  <c r="AE205" i="6" s="1"/>
  <c r="BW8" i="5"/>
  <c r="AW9" i="5"/>
  <c r="BI9" i="5"/>
  <c r="BU9" i="5"/>
  <c r="K10" i="5"/>
  <c r="AI10" i="5"/>
  <c r="AF277" i="6"/>
  <c r="BS10" i="5"/>
  <c r="AF262" i="6" s="1"/>
  <c r="CE10" i="5"/>
  <c r="U11" i="5"/>
  <c r="AG11" i="5"/>
  <c r="AH294" i="6" s="1"/>
  <c r="AS11" i="5"/>
  <c r="BE11" i="5"/>
  <c r="BQ11" i="5"/>
  <c r="AE12" i="5"/>
  <c r="BC12" i="5"/>
  <c r="BO12" i="5"/>
  <c r="AC13" i="5"/>
  <c r="AO13" i="5"/>
  <c r="BY13" i="5"/>
  <c r="AM14" i="5"/>
  <c r="AY14" i="5"/>
  <c r="BK14" i="5"/>
  <c r="AE421" i="6" s="1"/>
  <c r="BW14" i="5"/>
  <c r="AW15" i="5"/>
  <c r="BI15" i="5"/>
  <c r="BU15" i="5"/>
  <c r="K16" i="5"/>
  <c r="AI16" i="5"/>
  <c r="BS16" i="5"/>
  <c r="AF478" i="6" s="1"/>
  <c r="CE16" i="5"/>
  <c r="U17" i="5"/>
  <c r="AG17" i="5"/>
  <c r="AS17" i="5"/>
  <c r="BE17" i="5"/>
  <c r="BQ17" i="5"/>
  <c r="AE18" i="5"/>
  <c r="BC18" i="5"/>
  <c r="BO18" i="5"/>
  <c r="AF581" i="6" s="1"/>
  <c r="AC19" i="5"/>
  <c r="AO19" i="5"/>
  <c r="BY19" i="5"/>
  <c r="AM20" i="5"/>
  <c r="AY20" i="5"/>
  <c r="BK20" i="5"/>
  <c r="BW20" i="5"/>
  <c r="AW21" i="5"/>
  <c r="BI21" i="5"/>
  <c r="BU21" i="5"/>
  <c r="K22" i="5"/>
  <c r="AI22" i="5"/>
  <c r="BS22" i="5"/>
  <c r="AF694" i="6" s="1"/>
  <c r="CE22" i="5"/>
  <c r="U23" i="5"/>
  <c r="AH749" i="6" s="1"/>
  <c r="AG23" i="5"/>
  <c r="AS23" i="5"/>
  <c r="BE23" i="5"/>
  <c r="BQ23" i="5"/>
  <c r="AE24" i="5"/>
  <c r="BC24" i="5"/>
  <c r="BO24" i="5"/>
  <c r="AF797" i="6" s="1"/>
  <c r="AC25" i="5"/>
  <c r="AO25" i="5"/>
  <c r="AF828" i="6"/>
  <c r="BY25" i="5"/>
  <c r="AM26" i="5"/>
  <c r="AY26" i="5"/>
  <c r="BK26" i="5"/>
  <c r="BW26" i="5"/>
  <c r="AW27" i="5"/>
  <c r="BI27" i="5"/>
  <c r="BU27" i="5"/>
  <c r="K28" i="5"/>
  <c r="AI28" i="5"/>
  <c r="BS28" i="5"/>
  <c r="AF910" i="6" s="1"/>
  <c r="CE28" i="5"/>
  <c r="AG29" i="5"/>
  <c r="AS29" i="5"/>
  <c r="BE29" i="5"/>
  <c r="BQ29" i="5"/>
  <c r="AE30" i="5"/>
  <c r="BC30" i="5"/>
  <c r="BO30" i="5"/>
  <c r="AC31" i="5"/>
  <c r="AO31" i="5"/>
  <c r="AM32" i="5"/>
  <c r="AY32" i="5"/>
  <c r="BK32" i="5"/>
  <c r="BW32" i="5"/>
  <c r="AW33" i="5"/>
  <c r="BI33" i="5"/>
  <c r="BU33" i="5"/>
  <c r="K34" i="5"/>
  <c r="AI34" i="5"/>
  <c r="BS34" i="5"/>
  <c r="AF1126" i="6" s="1"/>
  <c r="CE34" i="5"/>
  <c r="AG35" i="5"/>
  <c r="AS35" i="5"/>
  <c r="BE35" i="5"/>
  <c r="BQ35" i="5"/>
  <c r="AE36" i="5"/>
  <c r="AH1217" i="6" s="1"/>
  <c r="BC36" i="5"/>
  <c r="BO36" i="5"/>
  <c r="CG37" i="5"/>
  <c r="AK37" i="5"/>
  <c r="AH37" i="5"/>
  <c r="AG37" i="5"/>
  <c r="AI37" i="5"/>
  <c r="CE37" i="5"/>
  <c r="Z38" i="5"/>
  <c r="BI38" i="5"/>
  <c r="AG1268" i="6"/>
  <c r="AW39" i="5"/>
  <c r="BR39" i="5"/>
  <c r="AJ40" i="5"/>
  <c r="P1338" i="6" s="1"/>
  <c r="AZ1338" i="6" s="1"/>
  <c r="P1339" i="6" s="1"/>
  <c r="AZ1339" i="6" s="1"/>
  <c r="P1340" i="6" s="1"/>
  <c r="AZ1340" i="6" s="1"/>
  <c r="P1341" i="6" s="1"/>
  <c r="AZ1341" i="6" s="1"/>
  <c r="P1342" i="6" s="1"/>
  <c r="AZ1342" i="6" s="1"/>
  <c r="P1343" i="6" s="1"/>
  <c r="AZ1343" i="6" s="1"/>
  <c r="P1344" i="6" s="1"/>
  <c r="AZ1344" i="6" s="1"/>
  <c r="P1345" i="6" s="1"/>
  <c r="AZ1345" i="6" s="1"/>
  <c r="P1346" i="6" s="1"/>
  <c r="AZ1346" i="6" s="1"/>
  <c r="P1347" i="6" s="1"/>
  <c r="AZ1347" i="6" s="1"/>
  <c r="P1348" i="6" s="1"/>
  <c r="AZ1348" i="6" s="1"/>
  <c r="P1349" i="6" s="1"/>
  <c r="AZ1349" i="6" s="1"/>
  <c r="P1350" i="6" s="1"/>
  <c r="AZ1350" i="6" s="1"/>
  <c r="P1351" i="6" s="1"/>
  <c r="AZ1351" i="6" s="1"/>
  <c r="P1352" i="6" s="1"/>
  <c r="AZ1352" i="6" s="1"/>
  <c r="P1353" i="6" s="1"/>
  <c r="AZ1353" i="6" s="1"/>
  <c r="P1354" i="6" s="1"/>
  <c r="AZ1354" i="6" s="1"/>
  <c r="P1355" i="6" s="1"/>
  <c r="AZ1355" i="6" s="1"/>
  <c r="P1356" i="6" s="1"/>
  <c r="AZ1356" i="6" s="1"/>
  <c r="P1357" i="6" s="1"/>
  <c r="AZ1357" i="6" s="1"/>
  <c r="P1358" i="6" s="1"/>
  <c r="AZ1358" i="6" s="1"/>
  <c r="P1359" i="6" s="1"/>
  <c r="AA41" i="5"/>
  <c r="AK1375" i="6" s="1"/>
  <c r="AT41" i="5"/>
  <c r="AF1392" i="6" s="1"/>
  <c r="BO41" i="5"/>
  <c r="AL42" i="5"/>
  <c r="BL44" i="5"/>
  <c r="AF1584" i="6"/>
  <c r="AF1580" i="6"/>
  <c r="BL47" i="5"/>
  <c r="AO1636" i="6"/>
  <c r="AO1630" i="6"/>
  <c r="AH6" i="6"/>
  <c r="J6" i="6"/>
  <c r="AG6" i="6"/>
  <c r="I6" i="6"/>
  <c r="AI6" i="6"/>
  <c r="BE8" i="6"/>
  <c r="U8" i="6"/>
  <c r="AK10" i="6"/>
  <c r="J13" i="6"/>
  <c r="AJ13" i="6" s="1"/>
  <c r="AG13" i="6"/>
  <c r="I13" i="6"/>
  <c r="AE13" i="6"/>
  <c r="AI13" i="6"/>
  <c r="AK22" i="6"/>
  <c r="BE44" i="6"/>
  <c r="U44" i="6"/>
  <c r="AJ44" i="6"/>
  <c r="AJ76" i="6"/>
  <c r="AJ103" i="6"/>
  <c r="AJ117" i="6"/>
  <c r="BF173" i="6"/>
  <c r="V174" i="6" s="1"/>
  <c r="BG187" i="6"/>
  <c r="W188" i="6" s="1"/>
  <c r="AH187" i="6"/>
  <c r="BF281" i="6"/>
  <c r="V282" i="6" s="1"/>
  <c r="AH281" i="6"/>
  <c r="AF161" i="6"/>
  <c r="AF166" i="6"/>
  <c r="AF155" i="6"/>
  <c r="AF172" i="6"/>
  <c r="Z3" i="5"/>
  <c r="AF6" i="5"/>
  <c r="AF185" i="6"/>
  <c r="AB8" i="5"/>
  <c r="AJ215" i="6" s="1"/>
  <c r="AN8" i="5"/>
  <c r="AF210" i="6"/>
  <c r="AF213" i="6"/>
  <c r="AF209" i="6"/>
  <c r="AF218" i="6"/>
  <c r="AF214" i="6"/>
  <c r="AF217" i="6"/>
  <c r="BX8" i="5"/>
  <c r="Z9" i="5"/>
  <c r="AX9" i="5"/>
  <c r="BJ9" i="5"/>
  <c r="AF227" i="6"/>
  <c r="AF244" i="6"/>
  <c r="AF233" i="6"/>
  <c r="AF238" i="6"/>
  <c r="P258" i="6"/>
  <c r="AZ258" i="6" s="1"/>
  <c r="P259" i="6" s="1"/>
  <c r="AZ259" i="6" s="1"/>
  <c r="P260" i="6" s="1"/>
  <c r="AZ260" i="6" s="1"/>
  <c r="P261" i="6" s="1"/>
  <c r="AZ261" i="6" s="1"/>
  <c r="P262" i="6" s="1"/>
  <c r="AZ262" i="6" s="1"/>
  <c r="P263" i="6" s="1"/>
  <c r="AZ263" i="6" s="1"/>
  <c r="P264" i="6" s="1"/>
  <c r="AZ264" i="6" s="1"/>
  <c r="P265" i="6" s="1"/>
  <c r="AZ265" i="6" s="1"/>
  <c r="P266" i="6" s="1"/>
  <c r="AZ266" i="6" s="1"/>
  <c r="P267" i="6" s="1"/>
  <c r="AZ267" i="6" s="1"/>
  <c r="P268" i="6" s="1"/>
  <c r="AZ268" i="6" s="1"/>
  <c r="P269" i="6" s="1"/>
  <c r="AZ269" i="6" s="1"/>
  <c r="P270" i="6" s="1"/>
  <c r="AF270" i="6" s="1"/>
  <c r="AT11" i="5"/>
  <c r="AF312" i="6" s="1"/>
  <c r="AF12" i="5"/>
  <c r="AR12" i="5"/>
  <c r="BZ12" i="5" s="1"/>
  <c r="AD13" i="5"/>
  <c r="AB14" i="5"/>
  <c r="AN14" i="5"/>
  <c r="BX14" i="5"/>
  <c r="Z15" i="5"/>
  <c r="AX15" i="5"/>
  <c r="BJ15" i="5"/>
  <c r="AF449" i="6"/>
  <c r="AF454" i="6"/>
  <c r="AF443" i="6"/>
  <c r="AF460" i="6"/>
  <c r="AJ16" i="5"/>
  <c r="BT16" i="5"/>
  <c r="AF484" i="6" s="1"/>
  <c r="CF16" i="5"/>
  <c r="AT17" i="5"/>
  <c r="AF528" i="6" s="1"/>
  <c r="BF17" i="5"/>
  <c r="BR17" i="5"/>
  <c r="AF18" i="5"/>
  <c r="AR18" i="5"/>
  <c r="BZ18" i="5" s="1"/>
  <c r="AD19" i="5"/>
  <c r="AB20" i="5"/>
  <c r="AN20" i="5"/>
  <c r="BX20" i="5"/>
  <c r="Z21" i="5"/>
  <c r="AX21" i="5"/>
  <c r="BJ21" i="5"/>
  <c r="AF659" i="6"/>
  <c r="AF676" i="6"/>
  <c r="AF665" i="6"/>
  <c r="AF670" i="6"/>
  <c r="AJ22" i="5"/>
  <c r="BT22" i="5"/>
  <c r="AF700" i="6" s="1"/>
  <c r="CF22" i="5"/>
  <c r="AT23" i="5"/>
  <c r="BF23" i="5"/>
  <c r="BR23" i="5"/>
  <c r="AF24" i="5"/>
  <c r="AR24" i="5"/>
  <c r="BZ24" i="5" s="1"/>
  <c r="AD25" i="5"/>
  <c r="AB26" i="5"/>
  <c r="AN26" i="5"/>
  <c r="BX26" i="5"/>
  <c r="Z27" i="5"/>
  <c r="AX27" i="5"/>
  <c r="BJ27" i="5"/>
  <c r="BV27" i="5"/>
  <c r="AJ28" i="5"/>
  <c r="P906" i="6" s="1"/>
  <c r="AZ906" i="6" s="1"/>
  <c r="P907" i="6" s="1"/>
  <c r="AZ907" i="6" s="1"/>
  <c r="P908" i="6" s="1"/>
  <c r="AZ908" i="6" s="1"/>
  <c r="P909" i="6" s="1"/>
  <c r="AZ909" i="6" s="1"/>
  <c r="P910" i="6" s="1"/>
  <c r="AZ910" i="6" s="1"/>
  <c r="P911" i="6" s="1"/>
  <c r="AZ911" i="6" s="1"/>
  <c r="P912" i="6" s="1"/>
  <c r="AZ912" i="6" s="1"/>
  <c r="P913" i="6" s="1"/>
  <c r="AZ913" i="6" s="1"/>
  <c r="P914" i="6" s="1"/>
  <c r="AZ914" i="6" s="1"/>
  <c r="P915" i="6" s="1"/>
  <c r="AZ915" i="6" s="1"/>
  <c r="P916" i="6" s="1"/>
  <c r="AZ916" i="6" s="1"/>
  <c r="P917" i="6" s="1"/>
  <c r="AZ917" i="6" s="1"/>
  <c r="P918" i="6" s="1"/>
  <c r="AZ918" i="6" s="1"/>
  <c r="P919" i="6" s="1"/>
  <c r="AZ919" i="6" s="1"/>
  <c r="P920" i="6" s="1"/>
  <c r="AZ920" i="6" s="1"/>
  <c r="P921" i="6" s="1"/>
  <c r="AZ921" i="6" s="1"/>
  <c r="P922" i="6" s="1"/>
  <c r="AZ922" i="6" s="1"/>
  <c r="P923" i="6" s="1"/>
  <c r="AZ923" i="6" s="1"/>
  <c r="P924" i="6" s="1"/>
  <c r="AZ924" i="6" s="1"/>
  <c r="P925" i="6" s="1"/>
  <c r="AZ925" i="6" s="1"/>
  <c r="P926" i="6" s="1"/>
  <c r="AZ926" i="6" s="1"/>
  <c r="P927" i="6" s="1"/>
  <c r="BT28" i="5"/>
  <c r="AF916" i="6" s="1"/>
  <c r="CF28" i="5"/>
  <c r="AT29" i="5"/>
  <c r="AF960" i="6" s="1"/>
  <c r="BF29" i="5"/>
  <c r="BR29" i="5"/>
  <c r="AF30" i="5"/>
  <c r="AB32" i="5"/>
  <c r="AN32" i="5"/>
  <c r="BX32" i="5"/>
  <c r="Z33" i="5"/>
  <c r="AX33" i="5"/>
  <c r="BJ33" i="5"/>
  <c r="BV33" i="5"/>
  <c r="AJ34" i="5"/>
  <c r="P1122" i="6" s="1"/>
  <c r="AZ1122" i="6" s="1"/>
  <c r="BT34" i="5"/>
  <c r="AF1132" i="6" s="1"/>
  <c r="CF34" i="5"/>
  <c r="AT35" i="5"/>
  <c r="AF1176" i="6" s="1"/>
  <c r="BF35" i="5"/>
  <c r="BR35" i="5"/>
  <c r="AF36" i="5"/>
  <c r="AT37" i="5"/>
  <c r="AF1248" i="6" s="1"/>
  <c r="AS37" i="5"/>
  <c r="P1230" i="6"/>
  <c r="AZ1230" i="6" s="1"/>
  <c r="L38" i="5"/>
  <c r="BK38" i="5"/>
  <c r="AF1287" i="6"/>
  <c r="AF1278" i="6"/>
  <c r="L39" i="5"/>
  <c r="AX39" i="5"/>
  <c r="AB41" i="5"/>
  <c r="BI45" i="5"/>
  <c r="AW45" i="5"/>
  <c r="BH45" i="5"/>
  <c r="AV45" i="5"/>
  <c r="BR45" i="5"/>
  <c r="BF45" i="5"/>
  <c r="BQ45" i="5"/>
  <c r="BE45" i="5"/>
  <c r="BN45" i="5"/>
  <c r="BB45" i="5"/>
  <c r="BM45" i="5"/>
  <c r="BA45" i="5"/>
  <c r="BL45" i="5"/>
  <c r="AZ45" i="5"/>
  <c r="BO45" i="5"/>
  <c r="BO47" i="5"/>
  <c r="AQ48" i="5"/>
  <c r="AP48" i="5"/>
  <c r="AN48" i="5"/>
  <c r="AM48" i="5"/>
  <c r="CC48" i="5" s="1"/>
  <c r="CB48" i="5" s="1"/>
  <c r="CF48" i="5"/>
  <c r="AJ48" i="5"/>
  <c r="AI48" i="5"/>
  <c r="AH48" i="5"/>
  <c r="AF1648" i="6"/>
  <c r="AF1642" i="6"/>
  <c r="AF1631" i="6"/>
  <c r="AF1637" i="6"/>
  <c r="AI26" i="6"/>
  <c r="AP46" i="6"/>
  <c r="AJ74" i="6"/>
  <c r="AD80" i="6"/>
  <c r="AV83" i="6"/>
  <c r="L84" i="6" s="1"/>
  <c r="AV84" i="6" s="1"/>
  <c r="AD90" i="6"/>
  <c r="AJ96" i="6"/>
  <c r="AD112" i="6"/>
  <c r="AJ113" i="6"/>
  <c r="BO158" i="6"/>
  <c r="BN159" i="6" s="1"/>
  <c r="BO159" i="6" s="1"/>
  <c r="BN160" i="6" s="1"/>
  <c r="BO160" i="6" s="1"/>
  <c r="BN161" i="6" s="1"/>
  <c r="BO161" i="6" s="1"/>
  <c r="BN162" i="6" s="1"/>
  <c r="BO162" i="6" s="1"/>
  <c r="BN163" i="6" s="1"/>
  <c r="BO163" i="6" s="1"/>
  <c r="BN164" i="6" s="1"/>
  <c r="BO164" i="6" s="1"/>
  <c r="BN165" i="6" s="1"/>
  <c r="AK158" i="6"/>
  <c r="BH198" i="6"/>
  <c r="X199" i="6" s="1"/>
  <c r="BH199" i="6" s="1"/>
  <c r="X200" i="6" s="1"/>
  <c r="BH200" i="6" s="1"/>
  <c r="X201" i="6" s="1"/>
  <c r="BH201" i="6" s="1"/>
  <c r="X202" i="6" s="1"/>
  <c r="BH202" i="6" s="1"/>
  <c r="X203" i="6" s="1"/>
  <c r="BH203" i="6" s="1"/>
  <c r="X204" i="6" s="1"/>
  <c r="BH204" i="6" s="1"/>
  <c r="X205" i="6" s="1"/>
  <c r="BH205" i="6" s="1"/>
  <c r="X206" i="6" s="1"/>
  <c r="BH206" i="6" s="1"/>
  <c r="X207" i="6" s="1"/>
  <c r="BH207" i="6" s="1"/>
  <c r="X208" i="6" s="1"/>
  <c r="BH208" i="6" s="1"/>
  <c r="X209" i="6" s="1"/>
  <c r="BH209" i="6" s="1"/>
  <c r="X210" i="6" s="1"/>
  <c r="BH210" i="6" s="1"/>
  <c r="X211" i="6" s="1"/>
  <c r="BH211" i="6" s="1"/>
  <c r="X212" i="6" s="1"/>
  <c r="BH212" i="6" s="1"/>
  <c r="X213" i="6" s="1"/>
  <c r="BH213" i="6" s="1"/>
  <c r="X214" i="6" s="1"/>
  <c r="BH214" i="6" s="1"/>
  <c r="X215" i="6" s="1"/>
  <c r="BH215" i="6" s="1"/>
  <c r="X216" i="6" s="1"/>
  <c r="BH216" i="6" s="1"/>
  <c r="X217" i="6" s="1"/>
  <c r="BH217" i="6" s="1"/>
  <c r="X218" i="6" s="1"/>
  <c r="BH218" i="6" s="1"/>
  <c r="X219" i="6" s="1"/>
  <c r="AJ142" i="6"/>
  <c r="AJ116" i="6"/>
  <c r="AJ137" i="6"/>
  <c r="AJ115" i="6"/>
  <c r="P402" i="6"/>
  <c r="AZ402" i="6" s="1"/>
  <c r="AO11" i="6"/>
  <c r="AO17" i="6"/>
  <c r="AO22" i="6"/>
  <c r="AF212" i="6"/>
  <c r="AF216" i="6"/>
  <c r="AO244" i="6"/>
  <c r="AO233" i="6"/>
  <c r="AO238" i="6"/>
  <c r="AO227" i="6"/>
  <c r="AO443" i="6"/>
  <c r="AO460" i="6"/>
  <c r="AO449" i="6"/>
  <c r="AO454" i="6"/>
  <c r="AO20" i="5"/>
  <c r="AY21" i="5"/>
  <c r="BK21" i="5"/>
  <c r="AE673" i="6" s="1"/>
  <c r="AO665" i="6"/>
  <c r="AO670" i="6"/>
  <c r="AO676" i="6"/>
  <c r="AO659" i="6"/>
  <c r="AO700" i="6"/>
  <c r="AO694" i="6"/>
  <c r="AF759" i="6"/>
  <c r="AF755" i="6"/>
  <c r="AF760" i="6"/>
  <c r="AF751" i="6"/>
  <c r="AO26" i="5"/>
  <c r="AF860" i="6"/>
  <c r="AF864" i="6"/>
  <c r="AY27" i="5"/>
  <c r="BK27" i="5"/>
  <c r="AE889" i="6" s="1"/>
  <c r="AO875" i="6"/>
  <c r="AO892" i="6"/>
  <c r="AO881" i="6"/>
  <c r="AO886" i="6"/>
  <c r="AO910" i="6"/>
  <c r="AO916" i="6"/>
  <c r="AF976" i="6"/>
  <c r="AF967" i="6"/>
  <c r="AF975" i="6"/>
  <c r="AF971" i="6"/>
  <c r="AO32" i="5"/>
  <c r="AY33" i="5"/>
  <c r="BK33" i="5"/>
  <c r="AO1102" i="6"/>
  <c r="AO1097" i="6"/>
  <c r="AO1091" i="6"/>
  <c r="AO1108" i="6"/>
  <c r="AK34" i="5"/>
  <c r="AO1126" i="6"/>
  <c r="AO1132" i="6"/>
  <c r="CG34" i="5"/>
  <c r="BG35" i="5"/>
  <c r="AF1192" i="6"/>
  <c r="AF1187" i="6"/>
  <c r="AF1191" i="6"/>
  <c r="AF1183" i="6"/>
  <c r="CD37" i="5"/>
  <c r="V37" i="5"/>
  <c r="AH1253" i="6" s="1"/>
  <c r="AB38" i="5"/>
  <c r="AF1284" i="6"/>
  <c r="AF1297" i="6"/>
  <c r="AO1312" i="6"/>
  <c r="AO1306" i="6"/>
  <c r="Y41" i="5"/>
  <c r="CA41" i="5" s="1"/>
  <c r="X41" i="5"/>
  <c r="AD41" i="5"/>
  <c r="AD42" i="5"/>
  <c r="BW42" i="5"/>
  <c r="BT42" i="5"/>
  <c r="AF1420" i="6" s="1"/>
  <c r="CE42" i="5"/>
  <c r="BS42" i="5"/>
  <c r="AF1414" i="6" s="1"/>
  <c r="BJ44" i="5"/>
  <c r="AX44" i="5"/>
  <c r="BH44" i="5"/>
  <c r="AV44" i="5"/>
  <c r="BG44" i="5"/>
  <c r="BP44" i="5"/>
  <c r="BD44" i="5"/>
  <c r="AW1484" i="6" s="1"/>
  <c r="M1485" i="6" s="1"/>
  <c r="BO44" i="5"/>
  <c r="BC44" i="5"/>
  <c r="BN44" i="5"/>
  <c r="BB44" i="5"/>
  <c r="BQ44" i="5"/>
  <c r="AE9" i="6"/>
  <c r="AI9" i="6"/>
  <c r="K9" i="6"/>
  <c r="AK9" i="6" s="1"/>
  <c r="AI37" i="6"/>
  <c r="K37" i="6"/>
  <c r="J37" i="6"/>
  <c r="I37" i="6"/>
  <c r="AE37" i="6"/>
  <c r="AV46" i="6"/>
  <c r="L47" i="6" s="1"/>
  <c r="AV47" i="6" s="1"/>
  <c r="L48" i="6" s="1"/>
  <c r="AV48" i="6" s="1"/>
  <c r="AI49" i="6"/>
  <c r="K49" i="6"/>
  <c r="J49" i="6"/>
  <c r="AJ49" i="6" s="1"/>
  <c r="I49" i="6"/>
  <c r="AE49" i="6"/>
  <c r="AJ50" i="6"/>
  <c r="AJ56" i="6"/>
  <c r="AJ62" i="6"/>
  <c r="AJ64" i="6"/>
  <c r="AJ80" i="6"/>
  <c r="AJ93" i="6"/>
  <c r="AD100" i="6"/>
  <c r="AJ180" i="6"/>
  <c r="BF209" i="6"/>
  <c r="V210" i="6" s="1"/>
  <c r="AF17" i="6"/>
  <c r="AF22" i="6"/>
  <c r="AF28" i="6"/>
  <c r="BK9" i="5"/>
  <c r="AO268" i="6"/>
  <c r="AO262" i="6"/>
  <c r="BK15" i="5"/>
  <c r="AE457" i="6" s="1"/>
  <c r="AB3" i="5"/>
  <c r="AJ33" i="6" s="1"/>
  <c r="AZ3" i="5"/>
  <c r="BL3" i="5"/>
  <c r="BX3" i="5"/>
  <c r="Z4" i="5"/>
  <c r="AL4" i="5"/>
  <c r="CC4" i="5" s="1"/>
  <c r="BV4" i="5"/>
  <c r="AJ5" i="5"/>
  <c r="P78" i="6" s="1"/>
  <c r="AZ78" i="6" s="1"/>
  <c r="AV5" i="5"/>
  <c r="AF81" i="6" s="1"/>
  <c r="BH5" i="5"/>
  <c r="AD8" i="5"/>
  <c r="AP8" i="5"/>
  <c r="Z10" i="5"/>
  <c r="AL10" i="5"/>
  <c r="CC10" i="5" s="1"/>
  <c r="CB10" i="5" s="1"/>
  <c r="BV10" i="5"/>
  <c r="L11" i="5"/>
  <c r="AJ11" i="5"/>
  <c r="P294" i="6" s="1"/>
  <c r="AZ294" i="6" s="1"/>
  <c r="AV11" i="5"/>
  <c r="BH11" i="5"/>
  <c r="AF313" i="6" s="1"/>
  <c r="CF11" i="5"/>
  <c r="AT12" i="5"/>
  <c r="AF348" i="6" s="1"/>
  <c r="BF12" i="5"/>
  <c r="BR12" i="5"/>
  <c r="BL15" i="5"/>
  <c r="BX15" i="5"/>
  <c r="Z16" i="5"/>
  <c r="L17" i="5"/>
  <c r="P510" i="6"/>
  <c r="AZ510" i="6" s="1"/>
  <c r="AV17" i="5"/>
  <c r="BH17" i="5"/>
  <c r="AF529" i="6" s="1"/>
  <c r="AT18" i="5"/>
  <c r="AF564" i="6" s="1"/>
  <c r="BL21" i="5"/>
  <c r="BX21" i="5"/>
  <c r="AT24" i="5"/>
  <c r="AF869" i="6"/>
  <c r="BL27" i="5"/>
  <c r="P942" i="6"/>
  <c r="AZ942" i="6" s="1"/>
  <c r="P943" i="6" s="1"/>
  <c r="AZ943" i="6" s="1"/>
  <c r="P944" i="6" s="1"/>
  <c r="AZ944" i="6" s="1"/>
  <c r="P945" i="6" s="1"/>
  <c r="AZ945" i="6" s="1"/>
  <c r="P946" i="6" s="1"/>
  <c r="AZ946" i="6" s="1"/>
  <c r="P947" i="6" s="1"/>
  <c r="AZ947" i="6" s="1"/>
  <c r="P948" i="6" s="1"/>
  <c r="AZ948" i="6" s="1"/>
  <c r="P949" i="6" s="1"/>
  <c r="AZ949" i="6" s="1"/>
  <c r="P950" i="6" s="1"/>
  <c r="AZ950" i="6" s="1"/>
  <c r="P951" i="6" s="1"/>
  <c r="AZ951" i="6" s="1"/>
  <c r="P952" i="6" s="1"/>
  <c r="AZ952" i="6" s="1"/>
  <c r="P953" i="6" s="1"/>
  <c r="AZ953" i="6" s="1"/>
  <c r="P954" i="6" s="1"/>
  <c r="AZ954" i="6" s="1"/>
  <c r="P955" i="6" s="1"/>
  <c r="AZ955" i="6" s="1"/>
  <c r="P956" i="6" s="1"/>
  <c r="AZ956" i="6" s="1"/>
  <c r="P957" i="6" s="1"/>
  <c r="AZ957" i="6" s="1"/>
  <c r="P958" i="6" s="1"/>
  <c r="AZ958" i="6" s="1"/>
  <c r="P959" i="6" s="1"/>
  <c r="AZ959" i="6" s="1"/>
  <c r="P960" i="6" s="1"/>
  <c r="AZ960" i="6" s="1"/>
  <c r="P961" i="6" s="1"/>
  <c r="AZ961" i="6" s="1"/>
  <c r="P962" i="6" s="1"/>
  <c r="AZ962" i="6" s="1"/>
  <c r="P963" i="6" s="1"/>
  <c r="AZ963" i="6" s="1"/>
  <c r="P964" i="6" s="1"/>
  <c r="AZ964" i="6" s="1"/>
  <c r="P965" i="6" s="1"/>
  <c r="AZ965" i="6" s="1"/>
  <c r="P966" i="6" s="1"/>
  <c r="AZ966" i="6" s="1"/>
  <c r="P967" i="6" s="1"/>
  <c r="AZ967" i="6" s="1"/>
  <c r="P968" i="6" s="1"/>
  <c r="AZ968" i="6" s="1"/>
  <c r="P969" i="6" s="1"/>
  <c r="AZ969" i="6" s="1"/>
  <c r="P970" i="6" s="1"/>
  <c r="AZ970" i="6" s="1"/>
  <c r="P971" i="6" s="1"/>
  <c r="AZ971" i="6" s="1"/>
  <c r="P972" i="6" s="1"/>
  <c r="AZ972" i="6" s="1"/>
  <c r="P973" i="6" s="1"/>
  <c r="AZ973" i="6" s="1"/>
  <c r="P974" i="6" s="1"/>
  <c r="AZ974" i="6" s="1"/>
  <c r="P975" i="6" s="1"/>
  <c r="AZ975" i="6" s="1"/>
  <c r="P976" i="6" s="1"/>
  <c r="AZ976" i="6" s="1"/>
  <c r="P977" i="6" s="1"/>
  <c r="AZ977" i="6" s="1"/>
  <c r="AV29" i="5"/>
  <c r="BH29" i="5"/>
  <c r="AF996" i="6"/>
  <c r="AP32" i="5"/>
  <c r="AB33" i="5"/>
  <c r="AZ33" i="5"/>
  <c r="BL33" i="5"/>
  <c r="BX33" i="5"/>
  <c r="AL34" i="5"/>
  <c r="CC34" i="5" s="1"/>
  <c r="CB34" i="5" s="1"/>
  <c r="BV34" i="5"/>
  <c r="P1158" i="6"/>
  <c r="AZ1158" i="6" s="1"/>
  <c r="P1159" i="6" s="1"/>
  <c r="AZ1159" i="6" s="1"/>
  <c r="P1160" i="6" s="1"/>
  <c r="AZ1160" i="6" s="1"/>
  <c r="P1161" i="6" s="1"/>
  <c r="AZ1161" i="6" s="1"/>
  <c r="P1162" i="6" s="1"/>
  <c r="AZ1162" i="6" s="1"/>
  <c r="P1163" i="6" s="1"/>
  <c r="AZ1163" i="6" s="1"/>
  <c r="P1164" i="6" s="1"/>
  <c r="AZ1164" i="6" s="1"/>
  <c r="P1165" i="6" s="1"/>
  <c r="AZ1165" i="6" s="1"/>
  <c r="P1166" i="6" s="1"/>
  <c r="AZ1166" i="6" s="1"/>
  <c r="P1167" i="6" s="1"/>
  <c r="AZ1167" i="6" s="1"/>
  <c r="P1168" i="6" s="1"/>
  <c r="AZ1168" i="6" s="1"/>
  <c r="P1169" i="6" s="1"/>
  <c r="AZ1169" i="6" s="1"/>
  <c r="P1170" i="6" s="1"/>
  <c r="AZ1170" i="6" s="1"/>
  <c r="P1171" i="6" s="1"/>
  <c r="AZ1171" i="6" s="1"/>
  <c r="P1172" i="6" s="1"/>
  <c r="AZ1172" i="6" s="1"/>
  <c r="P1173" i="6" s="1"/>
  <c r="AZ1173" i="6" s="1"/>
  <c r="P1174" i="6" s="1"/>
  <c r="AZ1174" i="6" s="1"/>
  <c r="P1175" i="6" s="1"/>
  <c r="AZ1175" i="6" s="1"/>
  <c r="P1176" i="6" s="1"/>
  <c r="AZ1176" i="6" s="1"/>
  <c r="P1177" i="6" s="1"/>
  <c r="AZ1177" i="6" s="1"/>
  <c r="P1178" i="6" s="1"/>
  <c r="AZ1178" i="6" s="1"/>
  <c r="P1179" i="6" s="1"/>
  <c r="AZ1179" i="6" s="1"/>
  <c r="P1180" i="6" s="1"/>
  <c r="AZ1180" i="6" s="1"/>
  <c r="P1181" i="6" s="1"/>
  <c r="AZ1181" i="6" s="1"/>
  <c r="P1182" i="6" s="1"/>
  <c r="AZ1182" i="6" s="1"/>
  <c r="P1183" i="6" s="1"/>
  <c r="AZ1183" i="6" s="1"/>
  <c r="P1184" i="6" s="1"/>
  <c r="AZ1184" i="6" s="1"/>
  <c r="P1185" i="6" s="1"/>
  <c r="AZ1185" i="6" s="1"/>
  <c r="P1186" i="6" s="1"/>
  <c r="AZ1186" i="6" s="1"/>
  <c r="P1187" i="6" s="1"/>
  <c r="AZ1187" i="6" s="1"/>
  <c r="P1188" i="6" s="1"/>
  <c r="AZ1188" i="6" s="1"/>
  <c r="P1189" i="6" s="1"/>
  <c r="AZ1189" i="6" s="1"/>
  <c r="P1190" i="6" s="1"/>
  <c r="AZ1190" i="6" s="1"/>
  <c r="P1191" i="6" s="1"/>
  <c r="AZ1191" i="6" s="1"/>
  <c r="P1192" i="6" s="1"/>
  <c r="AZ1192" i="6" s="1"/>
  <c r="P1193" i="6" s="1"/>
  <c r="AZ1193" i="6" s="1"/>
  <c r="AV35" i="5"/>
  <c r="BH35" i="5"/>
  <c r="AF1212" i="6"/>
  <c r="AC38" i="5"/>
  <c r="AV38" i="5"/>
  <c r="BM38" i="5"/>
  <c r="BC39" i="5"/>
  <c r="AF1318" i="6"/>
  <c r="AF1324" i="6"/>
  <c r="AF1313" i="6"/>
  <c r="AF1307" i="6"/>
  <c r="AH40" i="5"/>
  <c r="AQ40" i="5"/>
  <c r="AN40" i="5"/>
  <c r="AM40" i="5"/>
  <c r="AL40" i="5"/>
  <c r="CC40" i="5" s="1"/>
  <c r="CB40" i="5" s="1"/>
  <c r="U40" i="5"/>
  <c r="AP40" i="5"/>
  <c r="AF1367" i="6"/>
  <c r="AF1372" i="6"/>
  <c r="AF1363" i="6"/>
  <c r="AF1371" i="6"/>
  <c r="AE41" i="5"/>
  <c r="BS41" i="5"/>
  <c r="AF1378" i="6" s="1"/>
  <c r="AP42" i="5"/>
  <c r="AM42" i="5"/>
  <c r="CF42" i="5"/>
  <c r="AJ42" i="5"/>
  <c r="AI42" i="5"/>
  <c r="AH42" i="5"/>
  <c r="U42" i="5"/>
  <c r="AQ42" i="5"/>
  <c r="AF1433" i="6"/>
  <c r="CG42" i="5"/>
  <c r="BV44" i="5"/>
  <c r="BT44" i="5"/>
  <c r="AF1492" i="6" s="1"/>
  <c r="CE44" i="5"/>
  <c r="BS44" i="5"/>
  <c r="AF1486" i="6" s="1"/>
  <c r="AF44" i="5"/>
  <c r="AE44" i="5"/>
  <c r="AD44" i="5"/>
  <c r="BR44" i="5"/>
  <c r="AG1518" i="6"/>
  <c r="BQ47" i="5"/>
  <c r="BE47" i="5"/>
  <c r="BP47" i="5"/>
  <c r="BD47" i="5"/>
  <c r="AW1592" i="6" s="1"/>
  <c r="M1593" i="6" s="1"/>
  <c r="AW1593" i="6" s="1"/>
  <c r="M1594" i="6" s="1"/>
  <c r="AW1594" i="6" s="1"/>
  <c r="M1595" i="6" s="1"/>
  <c r="AW1595" i="6" s="1"/>
  <c r="M1596" i="6" s="1"/>
  <c r="AW1596" i="6" s="1"/>
  <c r="BN47" i="5"/>
  <c r="BB47" i="5"/>
  <c r="BM47" i="5"/>
  <c r="BA47" i="5"/>
  <c r="BJ47" i="5"/>
  <c r="AX47" i="5"/>
  <c r="BI47" i="5"/>
  <c r="AW47" i="5"/>
  <c r="BH47" i="5"/>
  <c r="AV47" i="5"/>
  <c r="AK6" i="6"/>
  <c r="AK7" i="6"/>
  <c r="AV9" i="6"/>
  <c r="L10" i="6" s="1"/>
  <c r="AV10" i="6" s="1"/>
  <c r="L11" i="6" s="1"/>
  <c r="AV11" i="6" s="1"/>
  <c r="L12" i="6" s="1"/>
  <c r="AV12" i="6" s="1"/>
  <c r="AK13" i="6"/>
  <c r="AJ32" i="6"/>
  <c r="AJ41" i="6"/>
  <c r="AP45" i="6"/>
  <c r="BD80" i="6"/>
  <c r="T81" i="6" s="1"/>
  <c r="BD81" i="6" s="1"/>
  <c r="T82" i="6" s="1"/>
  <c r="AH79" i="6"/>
  <c r="AD83" i="6"/>
  <c r="AI129" i="6"/>
  <c r="AF181" i="6"/>
  <c r="BX12" i="5"/>
  <c r="AY9" i="5"/>
  <c r="AF327" i="6"/>
  <c r="AF323" i="6"/>
  <c r="AF319" i="6"/>
  <c r="AF328" i="6"/>
  <c r="AO14" i="5"/>
  <c r="AF428" i="6"/>
  <c r="AF432" i="6"/>
  <c r="AY15" i="5"/>
  <c r="AG441" i="6" s="1"/>
  <c r="AO484" i="6"/>
  <c r="AO478" i="6"/>
  <c r="AF539" i="6"/>
  <c r="AF543" i="6"/>
  <c r="AF544" i="6"/>
  <c r="AF535" i="6"/>
  <c r="AF644" i="6"/>
  <c r="CF5" i="5"/>
  <c r="AT6" i="5"/>
  <c r="AF132" i="6" s="1"/>
  <c r="BF6" i="5"/>
  <c r="BR6" i="5"/>
  <c r="AR7" i="5"/>
  <c r="BZ7" i="5" s="1"/>
  <c r="AG161" i="6" s="1"/>
  <c r="AF221" i="6"/>
  <c r="AB9" i="5"/>
  <c r="AZ9" i="5"/>
  <c r="BL9" i="5"/>
  <c r="BX9" i="5"/>
  <c r="AR13" i="5"/>
  <c r="BZ13" i="5" s="1"/>
  <c r="AF384" i="6" s="1"/>
  <c r="AD14" i="5"/>
  <c r="AP14" i="5"/>
  <c r="AB15" i="5"/>
  <c r="AZ15" i="5"/>
  <c r="AL16" i="5"/>
  <c r="CC16" i="5" s="1"/>
  <c r="CB16" i="5" s="1"/>
  <c r="BV16" i="5"/>
  <c r="AR19" i="5"/>
  <c r="BZ19" i="5" s="1"/>
  <c r="AF600" i="6" s="1"/>
  <c r="AD20" i="5"/>
  <c r="AP20" i="5"/>
  <c r="AB21" i="5"/>
  <c r="AZ21" i="5"/>
  <c r="Z22" i="5"/>
  <c r="AL22" i="5"/>
  <c r="CC22" i="5" s="1"/>
  <c r="CB22" i="5" s="1"/>
  <c r="BV22" i="5"/>
  <c r="P726" i="6"/>
  <c r="AZ726" i="6" s="1"/>
  <c r="AV23" i="5"/>
  <c r="BH23" i="5"/>
  <c r="AR25" i="5"/>
  <c r="BZ25" i="5" s="1"/>
  <c r="AF816" i="6" s="1"/>
  <c r="AD26" i="5"/>
  <c r="AP26" i="5"/>
  <c r="AB27" i="5"/>
  <c r="AZ27" i="5"/>
  <c r="BX27" i="5"/>
  <c r="AL28" i="5"/>
  <c r="CC28" i="5" s="1"/>
  <c r="CB28" i="5" s="1"/>
  <c r="BV28" i="5"/>
  <c r="AC3" i="5"/>
  <c r="CB3" i="5" s="1"/>
  <c r="BA3" i="5"/>
  <c r="AY4" i="5"/>
  <c r="AK5" i="5"/>
  <c r="AW5" i="5"/>
  <c r="AO88" i="6"/>
  <c r="AO82" i="6"/>
  <c r="BS6" i="5"/>
  <c r="AF118" i="6" s="1"/>
  <c r="CE6" i="5"/>
  <c r="AS7" i="5"/>
  <c r="AE8" i="5"/>
  <c r="AH209" i="6" s="1"/>
  <c r="BC8" i="5"/>
  <c r="AC9" i="5"/>
  <c r="CB9" i="5" s="1"/>
  <c r="BA9" i="5"/>
  <c r="BM9" i="5"/>
  <c r="AY10" i="5"/>
  <c r="BW10" i="5"/>
  <c r="AK11" i="5"/>
  <c r="AW11" i="5"/>
  <c r="BI11" i="5"/>
  <c r="AO304" i="6"/>
  <c r="AO298" i="6"/>
  <c r="W12" i="5"/>
  <c r="AG334" i="6" s="1"/>
  <c r="BS12" i="5"/>
  <c r="AF334" i="6" s="1"/>
  <c r="CE12" i="5"/>
  <c r="AS13" i="5"/>
  <c r="AE14" i="5"/>
  <c r="BC14" i="5"/>
  <c r="AC15" i="5"/>
  <c r="CB15" i="5" s="1"/>
  <c r="BA15" i="5"/>
  <c r="BM15" i="5"/>
  <c r="AM16" i="5"/>
  <c r="AY16" i="5"/>
  <c r="BW16" i="5"/>
  <c r="AK17" i="5"/>
  <c r="AW17" i="5"/>
  <c r="BI17" i="5"/>
  <c r="AO520" i="6"/>
  <c r="AO514" i="6"/>
  <c r="W18" i="5"/>
  <c r="AG546" i="6" s="1"/>
  <c r="BS18" i="5"/>
  <c r="AF550" i="6" s="1"/>
  <c r="CE18" i="5"/>
  <c r="AS19" i="5"/>
  <c r="AE20" i="5"/>
  <c r="BC20" i="5"/>
  <c r="AC21" i="5"/>
  <c r="CB21" i="5" s="1"/>
  <c r="BA21" i="5"/>
  <c r="BM21" i="5"/>
  <c r="AM22" i="5"/>
  <c r="AY22" i="5"/>
  <c r="BW22" i="5"/>
  <c r="AK23" i="5"/>
  <c r="AW23" i="5"/>
  <c r="BI23" i="5"/>
  <c r="AO736" i="6"/>
  <c r="AO730" i="6"/>
  <c r="W24" i="5"/>
  <c r="BS24" i="5"/>
  <c r="AF766" i="6" s="1"/>
  <c r="CE24" i="5"/>
  <c r="AS25" i="5"/>
  <c r="AE26" i="5"/>
  <c r="BC26" i="5"/>
  <c r="AC27" i="5"/>
  <c r="CB27" i="5" s="1"/>
  <c r="BA27" i="5"/>
  <c r="BM27" i="5"/>
  <c r="BY27" i="5"/>
  <c r="AM28" i="5"/>
  <c r="AY28" i="5"/>
  <c r="BW28" i="5"/>
  <c r="AK29" i="5"/>
  <c r="AW29" i="5"/>
  <c r="BI29" i="5"/>
  <c r="AO946" i="6"/>
  <c r="AO952" i="6"/>
  <c r="W30" i="5"/>
  <c r="AG980" i="6" s="1"/>
  <c r="BS30" i="5"/>
  <c r="AF982" i="6" s="1"/>
  <c r="CE30" i="5"/>
  <c r="AS31" i="5"/>
  <c r="BC32" i="5"/>
  <c r="AC33" i="5"/>
  <c r="CB33" i="5" s="1"/>
  <c r="BA33" i="5"/>
  <c r="BM33" i="5"/>
  <c r="BY33" i="5"/>
  <c r="AM34" i="5"/>
  <c r="AY34" i="5"/>
  <c r="BW34" i="5"/>
  <c r="AK35" i="5"/>
  <c r="AW35" i="5"/>
  <c r="BI35" i="5"/>
  <c r="AO1168" i="6"/>
  <c r="AO1162" i="6"/>
  <c r="W36" i="5"/>
  <c r="AG1194" i="6" s="1"/>
  <c r="BS36" i="5"/>
  <c r="AF1198" i="6" s="1"/>
  <c r="CE36" i="5"/>
  <c r="AN37" i="5"/>
  <c r="BT37" i="5"/>
  <c r="AF1240" i="6" s="1"/>
  <c r="AD38" i="5"/>
  <c r="AW38" i="5"/>
  <c r="AO1313" i="6"/>
  <c r="AO1318" i="6"/>
  <c r="AO1324" i="6"/>
  <c r="AO1307" i="6"/>
  <c r="AR40" i="5"/>
  <c r="BZ40" i="5" s="1"/>
  <c r="AF1356" i="6" s="1"/>
  <c r="AF1368" i="6"/>
  <c r="AF1364" i="6"/>
  <c r="CF40" i="5"/>
  <c r="K41" i="5"/>
  <c r="BB41" i="5"/>
  <c r="BW41" i="5"/>
  <c r="L43" i="5"/>
  <c r="AF1468" i="6"/>
  <c r="AF1462" i="6"/>
  <c r="AF1457" i="6"/>
  <c r="AF1451" i="6"/>
  <c r="AL44" i="5"/>
  <c r="CF44" i="5"/>
  <c r="AJ44" i="5"/>
  <c r="AI44" i="5"/>
  <c r="AQ44" i="5"/>
  <c r="AP44" i="5"/>
  <c r="Y44" i="5"/>
  <c r="CA44" i="5" s="1"/>
  <c r="AW44" i="5"/>
  <c r="BU44" i="5"/>
  <c r="AI46" i="5"/>
  <c r="P1554" i="6" s="1"/>
  <c r="AH46" i="5"/>
  <c r="AQ46" i="5"/>
  <c r="AN46" i="5"/>
  <c r="AM46" i="5"/>
  <c r="AL46" i="5"/>
  <c r="X46" i="5"/>
  <c r="AF47" i="5"/>
  <c r="AD47" i="5"/>
  <c r="BY47" i="5"/>
  <c r="AC47" i="5"/>
  <c r="BV47" i="5"/>
  <c r="BU47" i="5"/>
  <c r="BT47" i="5"/>
  <c r="AF1600" i="6" s="1"/>
  <c r="BW47" i="5"/>
  <c r="AG48" i="5"/>
  <c r="AP6" i="6"/>
  <c r="AK15" i="6"/>
  <c r="AJ77" i="6"/>
  <c r="AJ104" i="6"/>
  <c r="AJ149" i="6"/>
  <c r="AB12" i="5"/>
  <c r="AF97" i="6"/>
  <c r="AF135" i="6"/>
  <c r="AF126" i="6"/>
  <c r="V7" i="5"/>
  <c r="AH173" i="6" s="1"/>
  <c r="BB9" i="5"/>
  <c r="AB10" i="5"/>
  <c r="AF282" i="6"/>
  <c r="AF285" i="6"/>
  <c r="AF281" i="6"/>
  <c r="AF286" i="6"/>
  <c r="AF289" i="6"/>
  <c r="AF290" i="6"/>
  <c r="AX11" i="5"/>
  <c r="AF310" i="6"/>
  <c r="AF299" i="6"/>
  <c r="AF316" i="6"/>
  <c r="AF305" i="6"/>
  <c r="P331" i="6"/>
  <c r="AZ331" i="6" s="1"/>
  <c r="P332" i="6" s="1"/>
  <c r="AZ332" i="6" s="1"/>
  <c r="P333" i="6" s="1"/>
  <c r="AZ333" i="6" s="1"/>
  <c r="P334" i="6" s="1"/>
  <c r="AZ334" i="6" s="1"/>
  <c r="P335" i="6" s="1"/>
  <c r="AZ335" i="6" s="1"/>
  <c r="P336" i="6" s="1"/>
  <c r="AZ336" i="6" s="1"/>
  <c r="P337" i="6" s="1"/>
  <c r="AZ337" i="6" s="1"/>
  <c r="P338" i="6" s="1"/>
  <c r="AZ338" i="6" s="1"/>
  <c r="P339" i="6" s="1"/>
  <c r="AZ339" i="6" s="1"/>
  <c r="P340" i="6" s="1"/>
  <c r="AZ340" i="6" s="1"/>
  <c r="P341" i="6" s="1"/>
  <c r="AZ341" i="6" s="1"/>
  <c r="P342" i="6" s="1"/>
  <c r="AZ342" i="6" s="1"/>
  <c r="P343" i="6" s="1"/>
  <c r="AZ343" i="6" s="1"/>
  <c r="P344" i="6" s="1"/>
  <c r="AZ344" i="6" s="1"/>
  <c r="P345" i="6" s="1"/>
  <c r="AZ345" i="6" s="1"/>
  <c r="P346" i="6" s="1"/>
  <c r="AZ346" i="6" s="1"/>
  <c r="P347" i="6" s="1"/>
  <c r="AZ347" i="6" s="1"/>
  <c r="P348" i="6" s="1"/>
  <c r="AZ348" i="6" s="1"/>
  <c r="P349" i="6" s="1"/>
  <c r="AZ349" i="6" s="1"/>
  <c r="P350" i="6" s="1"/>
  <c r="AZ350" i="6" s="1"/>
  <c r="P351" i="6" s="1"/>
  <c r="V13" i="5"/>
  <c r="BB15" i="5"/>
  <c r="AB16" i="5"/>
  <c r="AF502" i="6"/>
  <c r="AF505" i="6"/>
  <c r="AX17" i="5"/>
  <c r="AF526" i="6"/>
  <c r="AF515" i="6"/>
  <c r="AF532" i="6"/>
  <c r="AF521" i="6"/>
  <c r="P547" i="6"/>
  <c r="AZ547" i="6" s="1"/>
  <c r="P548" i="6" s="1"/>
  <c r="AZ548" i="6" s="1"/>
  <c r="P549" i="6" s="1"/>
  <c r="AZ549" i="6" s="1"/>
  <c r="P550" i="6" s="1"/>
  <c r="AZ550" i="6" s="1"/>
  <c r="P551" i="6" s="1"/>
  <c r="AZ551" i="6" s="1"/>
  <c r="P552" i="6" s="1"/>
  <c r="AZ552" i="6" s="1"/>
  <c r="P553" i="6" s="1"/>
  <c r="AZ553" i="6" s="1"/>
  <c r="P554" i="6" s="1"/>
  <c r="AZ554" i="6" s="1"/>
  <c r="P555" i="6" s="1"/>
  <c r="AZ555" i="6" s="1"/>
  <c r="P556" i="6" s="1"/>
  <c r="AZ556" i="6" s="1"/>
  <c r="P557" i="6" s="1"/>
  <c r="AZ557" i="6" s="1"/>
  <c r="P558" i="6" s="1"/>
  <c r="AF558" i="6"/>
  <c r="V19" i="5"/>
  <c r="BB21" i="5"/>
  <c r="AB22" i="5"/>
  <c r="AX23" i="5"/>
  <c r="AF731" i="6"/>
  <c r="AF748" i="6"/>
  <c r="AF737" i="6"/>
  <c r="AF742" i="6"/>
  <c r="P763" i="6"/>
  <c r="AZ763" i="6" s="1"/>
  <c r="P764" i="6" s="1"/>
  <c r="AZ764" i="6" s="1"/>
  <c r="P765" i="6" s="1"/>
  <c r="AZ765" i="6" s="1"/>
  <c r="P766" i="6" s="1"/>
  <c r="AZ766" i="6" s="1"/>
  <c r="P767" i="6" s="1"/>
  <c r="AZ767" i="6" s="1"/>
  <c r="P768" i="6" s="1"/>
  <c r="AZ768" i="6" s="1"/>
  <c r="P769" i="6" s="1"/>
  <c r="AZ769" i="6" s="1"/>
  <c r="P770" i="6" s="1"/>
  <c r="AZ770" i="6" s="1"/>
  <c r="P771" i="6" s="1"/>
  <c r="AZ771" i="6" s="1"/>
  <c r="P772" i="6" s="1"/>
  <c r="AZ772" i="6" s="1"/>
  <c r="P773" i="6" s="1"/>
  <c r="AZ773" i="6" s="1"/>
  <c r="P774" i="6" s="1"/>
  <c r="AZ774" i="6" s="1"/>
  <c r="P775" i="6" s="1"/>
  <c r="AZ775" i="6" s="1"/>
  <c r="P776" i="6" s="1"/>
  <c r="AZ776" i="6" s="1"/>
  <c r="P777" i="6" s="1"/>
  <c r="AZ777" i="6" s="1"/>
  <c r="P778" i="6" s="1"/>
  <c r="AZ778" i="6" s="1"/>
  <c r="P779" i="6" s="1"/>
  <c r="AZ779" i="6" s="1"/>
  <c r="P780" i="6" s="1"/>
  <c r="AZ780" i="6" s="1"/>
  <c r="P781" i="6" s="1"/>
  <c r="AZ781" i="6" s="1"/>
  <c r="P782" i="6" s="1"/>
  <c r="AZ782" i="6" s="1"/>
  <c r="P783" i="6" s="1"/>
  <c r="AF783" i="6"/>
  <c r="AF774" i="6"/>
  <c r="V25" i="5"/>
  <c r="AH821" i="6" s="1"/>
  <c r="BB27" i="5"/>
  <c r="AB28" i="5"/>
  <c r="AX29" i="5"/>
  <c r="AF964" i="6"/>
  <c r="AF958" i="6"/>
  <c r="AF953" i="6"/>
  <c r="AF947" i="6"/>
  <c r="P979" i="6"/>
  <c r="AZ979" i="6" s="1"/>
  <c r="P980" i="6" s="1"/>
  <c r="AZ980" i="6" s="1"/>
  <c r="P981" i="6" s="1"/>
  <c r="AZ981" i="6" s="1"/>
  <c r="P982" i="6" s="1"/>
  <c r="AZ982" i="6" s="1"/>
  <c r="P983" i="6" s="1"/>
  <c r="AZ983" i="6" s="1"/>
  <c r="P984" i="6" s="1"/>
  <c r="AZ984" i="6" s="1"/>
  <c r="P985" i="6" s="1"/>
  <c r="AZ985" i="6" s="1"/>
  <c r="P986" i="6" s="1"/>
  <c r="AZ986" i="6" s="1"/>
  <c r="P987" i="6" s="1"/>
  <c r="AZ987" i="6" s="1"/>
  <c r="P988" i="6" s="1"/>
  <c r="AZ988" i="6" s="1"/>
  <c r="P989" i="6" s="1"/>
  <c r="AZ989" i="6" s="1"/>
  <c r="P990" i="6" s="1"/>
  <c r="AF990" i="6" s="1"/>
  <c r="V31" i="5"/>
  <c r="BB33" i="5"/>
  <c r="AB34" i="5"/>
  <c r="AF1146" i="6"/>
  <c r="AX35" i="5"/>
  <c r="AF1180" i="6"/>
  <c r="AF1169" i="6"/>
  <c r="AF1174" i="6"/>
  <c r="AF1163" i="6"/>
  <c r="P1195" i="6"/>
  <c r="AZ1195" i="6" s="1"/>
  <c r="P1196" i="6" s="1"/>
  <c r="AZ1196" i="6" s="1"/>
  <c r="P1197" i="6" s="1"/>
  <c r="AZ1197" i="6" s="1"/>
  <c r="P1198" i="6" s="1"/>
  <c r="AZ1198" i="6" s="1"/>
  <c r="P1199" i="6" s="1"/>
  <c r="AZ1199" i="6" s="1"/>
  <c r="P1200" i="6" s="1"/>
  <c r="AZ1200" i="6" s="1"/>
  <c r="P1201" i="6" s="1"/>
  <c r="AZ1201" i="6" s="1"/>
  <c r="P1202" i="6" s="1"/>
  <c r="AZ1202" i="6" s="1"/>
  <c r="P1203" i="6" s="1"/>
  <c r="AZ1203" i="6" s="1"/>
  <c r="P1204" i="6" s="1"/>
  <c r="AZ1204" i="6" s="1"/>
  <c r="P1205" i="6" s="1"/>
  <c r="AZ1205" i="6" s="1"/>
  <c r="P1206" i="6" s="1"/>
  <c r="AZ1206" i="6" s="1"/>
  <c r="P1207" i="6" s="1"/>
  <c r="AZ1207" i="6" s="1"/>
  <c r="P1208" i="6" s="1"/>
  <c r="AZ1208" i="6" s="1"/>
  <c r="P1209" i="6" s="1"/>
  <c r="AZ1209" i="6" s="1"/>
  <c r="P1210" i="6" s="1"/>
  <c r="AZ1210" i="6" s="1"/>
  <c r="P1211" i="6" s="1"/>
  <c r="AZ1211" i="6" s="1"/>
  <c r="P1212" i="6" s="1"/>
  <c r="AZ1212" i="6" s="1"/>
  <c r="P1213" i="6" s="1"/>
  <c r="AZ1213" i="6" s="1"/>
  <c r="P1214" i="6" s="1"/>
  <c r="AZ1214" i="6" s="1"/>
  <c r="P1215" i="6" s="1"/>
  <c r="AF1215" i="6" s="1"/>
  <c r="AF1206" i="6"/>
  <c r="AF1241" i="6"/>
  <c r="AF1246" i="6"/>
  <c r="AF1235" i="6"/>
  <c r="AF1252" i="6"/>
  <c r="BJ38" i="5"/>
  <c r="AX38" i="5"/>
  <c r="BG38" i="5"/>
  <c r="BP38" i="5"/>
  <c r="BD38" i="5"/>
  <c r="AW1268" i="6" s="1"/>
  <c r="M1269" i="6" s="1"/>
  <c r="BO38" i="5"/>
  <c r="BC38" i="5"/>
  <c r="BN38" i="5"/>
  <c r="AY38" i="5"/>
  <c r="AG1269" i="6" s="1"/>
  <c r="BR38" i="5"/>
  <c r="BH39" i="5"/>
  <c r="AF1321" i="6" s="1"/>
  <c r="AV39" i="5"/>
  <c r="BQ39" i="5"/>
  <c r="BE39" i="5"/>
  <c r="BN39" i="5"/>
  <c r="BB39" i="5"/>
  <c r="BM39" i="5"/>
  <c r="BA39" i="5"/>
  <c r="BL39" i="5"/>
  <c r="AZ39" i="5"/>
  <c r="BF39" i="5"/>
  <c r="BX41" i="5"/>
  <c r="CD42" i="5"/>
  <c r="V42" i="5"/>
  <c r="AI43" i="5"/>
  <c r="AO1468" i="6"/>
  <c r="AO1457" i="6"/>
  <c r="AO1451" i="6"/>
  <c r="AO1462" i="6"/>
  <c r="AA44" i="5"/>
  <c r="AY44" i="5"/>
  <c r="AO1493" i="6"/>
  <c r="AO1498" i="6"/>
  <c r="AO1487" i="6"/>
  <c r="AO1504" i="6"/>
  <c r="CD45" i="5"/>
  <c r="V45" i="5"/>
  <c r="AH1541" i="6" s="1"/>
  <c r="AF1529" i="6"/>
  <c r="AF1534" i="6"/>
  <c r="AF1540" i="6"/>
  <c r="AF1523" i="6"/>
  <c r="AU46" i="5"/>
  <c r="AT46" i="5"/>
  <c r="AF1572" i="6" s="1"/>
  <c r="AR46" i="5"/>
  <c r="BZ46" i="5" s="1"/>
  <c r="X48" i="5"/>
  <c r="W48" i="5"/>
  <c r="AG12" i="6"/>
  <c r="AJ20" i="6"/>
  <c r="AJ28" i="6"/>
  <c r="AJ46" i="6"/>
  <c r="AI78" i="6"/>
  <c r="AD88" i="6"/>
  <c r="AJ91" i="6"/>
  <c r="AG117" i="6"/>
  <c r="AJ118" i="6"/>
  <c r="BF245" i="6"/>
  <c r="V246" i="6" s="1"/>
  <c r="BF317" i="6"/>
  <c r="V318" i="6" s="1"/>
  <c r="AH317" i="6"/>
  <c r="AP42" i="6"/>
  <c r="I57" i="6"/>
  <c r="I69" i="6"/>
  <c r="AP78" i="6"/>
  <c r="I81" i="6"/>
  <c r="AD81" i="6" s="1"/>
  <c r="AI107" i="6"/>
  <c r="K107" i="6"/>
  <c r="J111" i="6"/>
  <c r="AJ111" i="6" s="1"/>
  <c r="AE111" i="6"/>
  <c r="AK117" i="6"/>
  <c r="AJ140" i="6"/>
  <c r="AJ185" i="6"/>
  <c r="AI202" i="6"/>
  <c r="K202" i="6"/>
  <c r="I202" i="6"/>
  <c r="J202" i="6"/>
  <c r="AE202" i="6"/>
  <c r="BA265" i="6"/>
  <c r="Q266" i="6" s="1"/>
  <c r="BA266" i="6" s="1"/>
  <c r="Q267" i="6" s="1"/>
  <c r="BA267" i="6" s="1"/>
  <c r="Q268" i="6" s="1"/>
  <c r="BA268" i="6" s="1"/>
  <c r="Q269" i="6" s="1"/>
  <c r="AG265" i="6"/>
  <c r="AJ307" i="6"/>
  <c r="AE315" i="6"/>
  <c r="I315" i="6"/>
  <c r="AD315" i="6" s="1"/>
  <c r="K315" i="6"/>
  <c r="J315" i="6"/>
  <c r="AJ315" i="6" s="1"/>
  <c r="I344" i="6"/>
  <c r="AE344" i="6"/>
  <c r="J344" i="6"/>
  <c r="AJ344" i="6" s="1"/>
  <c r="K344" i="6"/>
  <c r="AI344" i="6"/>
  <c r="AB39" i="5"/>
  <c r="BX39" i="5"/>
  <c r="Z40" i="5"/>
  <c r="AX40" i="5"/>
  <c r="BJ40" i="5"/>
  <c r="BV40" i="5"/>
  <c r="AJ41" i="5"/>
  <c r="P1374" i="6" s="1"/>
  <c r="AZ1374" i="6" s="1"/>
  <c r="P1375" i="6" s="1"/>
  <c r="AZ1375" i="6" s="1"/>
  <c r="P1376" i="6" s="1"/>
  <c r="AZ1376" i="6" s="1"/>
  <c r="P1377" i="6" s="1"/>
  <c r="AZ1377" i="6" s="1"/>
  <c r="P1378" i="6" s="1"/>
  <c r="AZ1378" i="6" s="1"/>
  <c r="P1379" i="6" s="1"/>
  <c r="AZ1379" i="6" s="1"/>
  <c r="P1380" i="6" s="1"/>
  <c r="AZ1380" i="6" s="1"/>
  <c r="P1381" i="6" s="1"/>
  <c r="AZ1381" i="6" s="1"/>
  <c r="P1382" i="6" s="1"/>
  <c r="AZ1382" i="6" s="1"/>
  <c r="P1383" i="6" s="1"/>
  <c r="AZ1383" i="6" s="1"/>
  <c r="P1384" i="6" s="1"/>
  <c r="AZ1384" i="6" s="1"/>
  <c r="P1385" i="6" s="1"/>
  <c r="AZ1385" i="6" s="1"/>
  <c r="P1386" i="6" s="1"/>
  <c r="AZ1386" i="6" s="1"/>
  <c r="P1387" i="6" s="1"/>
  <c r="AZ1387" i="6" s="1"/>
  <c r="P1388" i="6" s="1"/>
  <c r="AZ1388" i="6" s="1"/>
  <c r="P1389" i="6" s="1"/>
  <c r="AZ1389" i="6" s="1"/>
  <c r="P1390" i="6" s="1"/>
  <c r="AZ1390" i="6" s="1"/>
  <c r="P1391" i="6" s="1"/>
  <c r="AZ1391" i="6" s="1"/>
  <c r="P1392" i="6" s="1"/>
  <c r="AZ1392" i="6" s="1"/>
  <c r="P1393" i="6" s="1"/>
  <c r="AZ1393" i="6" s="1"/>
  <c r="P1394" i="6" s="1"/>
  <c r="AZ1394" i="6" s="1"/>
  <c r="P1395" i="6" s="1"/>
  <c r="AZ1395" i="6" s="1"/>
  <c r="P1396" i="6" s="1"/>
  <c r="AZ1396" i="6" s="1"/>
  <c r="P1397" i="6" s="1"/>
  <c r="AZ1397" i="6" s="1"/>
  <c r="P1398" i="6" s="1"/>
  <c r="AZ1398" i="6" s="1"/>
  <c r="P1399" i="6" s="1"/>
  <c r="AZ1399" i="6" s="1"/>
  <c r="P1400" i="6" s="1"/>
  <c r="AZ1400" i="6" s="1"/>
  <c r="P1401" i="6" s="1"/>
  <c r="AZ1401" i="6" s="1"/>
  <c r="P1402" i="6" s="1"/>
  <c r="AZ1402" i="6" s="1"/>
  <c r="P1403" i="6" s="1"/>
  <c r="AZ1403" i="6" s="1"/>
  <c r="P1404" i="6" s="1"/>
  <c r="AZ1404" i="6" s="1"/>
  <c r="P1405" i="6" s="1"/>
  <c r="AZ1405" i="6" s="1"/>
  <c r="P1406" i="6" s="1"/>
  <c r="AZ1406" i="6" s="1"/>
  <c r="P1407" i="6" s="1"/>
  <c r="AZ1407" i="6" s="1"/>
  <c r="P1408" i="6" s="1"/>
  <c r="AZ1408" i="6" s="1"/>
  <c r="P1409" i="6" s="1"/>
  <c r="AZ1409" i="6" s="1"/>
  <c r="CF41" i="5"/>
  <c r="AT42" i="5"/>
  <c r="AF1428" i="6" s="1"/>
  <c r="BF42" i="5"/>
  <c r="BR42" i="5"/>
  <c r="AF43" i="5"/>
  <c r="AB45" i="5"/>
  <c r="AN45" i="5"/>
  <c r="BX45" i="5"/>
  <c r="Z46" i="5"/>
  <c r="AX46" i="5"/>
  <c r="BJ46" i="5"/>
  <c r="BV46" i="5"/>
  <c r="X47" i="5"/>
  <c r="AK1590" i="6" s="1"/>
  <c r="AJ47" i="5"/>
  <c r="P1590" i="6" s="1"/>
  <c r="AZ1590" i="6" s="1"/>
  <c r="CF47" i="5"/>
  <c r="V48" i="5"/>
  <c r="AT48" i="5"/>
  <c r="AF1644" i="6" s="1"/>
  <c r="BF48" i="5"/>
  <c r="BR48" i="5"/>
  <c r="AP8" i="6"/>
  <c r="I11" i="6"/>
  <c r="AG11" i="6"/>
  <c r="I23" i="6"/>
  <c r="I35" i="6"/>
  <c r="AP44" i="6"/>
  <c r="I47" i="6"/>
  <c r="K57" i="6"/>
  <c r="AI57" i="6"/>
  <c r="I59" i="6"/>
  <c r="K69" i="6"/>
  <c r="AI69" i="6"/>
  <c r="AP80" i="6"/>
  <c r="K81" i="6"/>
  <c r="AI81" i="6"/>
  <c r="AI93" i="6"/>
  <c r="I96" i="6"/>
  <c r="AD96" i="6" s="1"/>
  <c r="AE96" i="6"/>
  <c r="J97" i="6"/>
  <c r="AJ97" i="6" s="1"/>
  <c r="I97" i="6"/>
  <c r="AD97" i="6" s="1"/>
  <c r="J99" i="6"/>
  <c r="AJ99" i="6" s="1"/>
  <c r="AE99" i="6"/>
  <c r="AI104" i="6"/>
  <c r="K104" i="6"/>
  <c r="I104" i="6"/>
  <c r="AD104" i="6" s="1"/>
  <c r="J108" i="6"/>
  <c r="AJ108" i="6" s="1"/>
  <c r="K109" i="6"/>
  <c r="AI112" i="6"/>
  <c r="I114" i="6"/>
  <c r="AI128" i="6"/>
  <c r="AJ151" i="6"/>
  <c r="AV152" i="6"/>
  <c r="L153" i="6" s="1"/>
  <c r="J209" i="6"/>
  <c r="AJ209" i="6" s="1"/>
  <c r="AI209" i="6"/>
  <c r="K209" i="6"/>
  <c r="I209" i="6"/>
  <c r="AE209" i="6"/>
  <c r="AK225" i="6"/>
  <c r="BO225" i="6"/>
  <c r="BN226" i="6" s="1"/>
  <c r="BO226" i="6" s="1"/>
  <c r="BN227" i="6" s="1"/>
  <c r="AD302" i="6"/>
  <c r="AC39" i="5"/>
  <c r="CB39" i="5" s="1"/>
  <c r="AO39" i="5"/>
  <c r="BY39" i="5"/>
  <c r="AY40" i="5"/>
  <c r="BK40" i="5"/>
  <c r="AE1357" i="6" s="1"/>
  <c r="BW40" i="5"/>
  <c r="AK41" i="5"/>
  <c r="CG41" i="5"/>
  <c r="K42" i="5"/>
  <c r="BG42" i="5"/>
  <c r="AC45" i="5"/>
  <c r="AO45" i="5"/>
  <c r="BY45" i="5"/>
  <c r="AY46" i="5"/>
  <c r="BK46" i="5"/>
  <c r="AE1573" i="6" s="1"/>
  <c r="BW46" i="5"/>
  <c r="AK47" i="5"/>
  <c r="CG47" i="5"/>
  <c r="K48" i="5"/>
  <c r="BG48" i="5"/>
  <c r="BS48" i="5"/>
  <c r="AF1630" i="6" s="1"/>
  <c r="CE48" i="5"/>
  <c r="AE8" i="6"/>
  <c r="J11" i="6"/>
  <c r="AJ11" i="6" s="1"/>
  <c r="K16" i="6"/>
  <c r="AK16" i="6" s="1"/>
  <c r="AI16" i="6"/>
  <c r="I18" i="6"/>
  <c r="AE20" i="6"/>
  <c r="J23" i="6"/>
  <c r="AJ23" i="6" s="1"/>
  <c r="K28" i="6"/>
  <c r="AI28" i="6"/>
  <c r="I30" i="6"/>
  <c r="AE32" i="6"/>
  <c r="J35" i="6"/>
  <c r="AJ35" i="6" s="1"/>
  <c r="K40" i="6"/>
  <c r="AI40" i="6"/>
  <c r="I42" i="6"/>
  <c r="AE44" i="6"/>
  <c r="J47" i="6"/>
  <c r="AJ47" i="6" s="1"/>
  <c r="AI52" i="6"/>
  <c r="I54" i="6"/>
  <c r="AE56" i="6"/>
  <c r="J59" i="6"/>
  <c r="AJ59" i="6" s="1"/>
  <c r="AI64" i="6"/>
  <c r="I66" i="6"/>
  <c r="AE68" i="6"/>
  <c r="J71" i="6"/>
  <c r="AJ71" i="6" s="1"/>
  <c r="AI76" i="6"/>
  <c r="I78" i="6"/>
  <c r="AD78" i="6" s="1"/>
  <c r="AG78" i="6"/>
  <c r="AE80" i="6"/>
  <c r="J83" i="6"/>
  <c r="AJ83" i="6" s="1"/>
  <c r="I86" i="6"/>
  <c r="AD86" i="6" s="1"/>
  <c r="K90" i="6"/>
  <c r="J90" i="6"/>
  <c r="AJ90" i="6" s="1"/>
  <c r="AI95" i="6"/>
  <c r="K95" i="6"/>
  <c r="AI102" i="6"/>
  <c r="K102" i="6"/>
  <c r="J102" i="6"/>
  <c r="AJ102" i="6" s="1"/>
  <c r="I107" i="6"/>
  <c r="AD107" i="6" s="1"/>
  <c r="K108" i="6"/>
  <c r="I111" i="6"/>
  <c r="AD111" i="6" s="1"/>
  <c r="AP115" i="6"/>
  <c r="J133" i="6"/>
  <c r="AJ133" i="6" s="1"/>
  <c r="I133" i="6"/>
  <c r="AE133" i="6"/>
  <c r="AI147" i="6"/>
  <c r="K147" i="6"/>
  <c r="J147" i="6"/>
  <c r="AJ147" i="6" s="1"/>
  <c r="I147" i="6"/>
  <c r="AE147" i="6"/>
  <c r="J148" i="6"/>
  <c r="AJ148" i="6" s="1"/>
  <c r="I148" i="6"/>
  <c r="AK151" i="6"/>
  <c r="AJ167" i="6"/>
  <c r="AI176" i="6"/>
  <c r="AW188" i="6"/>
  <c r="M189" i="6" s="1"/>
  <c r="AW189" i="6" s="1"/>
  <c r="M190" i="6" s="1"/>
  <c r="AW190" i="6" s="1"/>
  <c r="M191" i="6" s="1"/>
  <c r="AW191" i="6" s="1"/>
  <c r="M192" i="6" s="1"/>
  <c r="AW192" i="6" s="1"/>
  <c r="K342" i="6"/>
  <c r="J342" i="6"/>
  <c r="AJ342" i="6" s="1"/>
  <c r="I342" i="6"/>
  <c r="AE342" i="6"/>
  <c r="AD39" i="5"/>
  <c r="AP39" i="5"/>
  <c r="AB40" i="5"/>
  <c r="AZ40" i="5"/>
  <c r="BL40" i="5"/>
  <c r="BX40" i="5"/>
  <c r="AL41" i="5"/>
  <c r="AV42" i="5"/>
  <c r="BH42" i="5"/>
  <c r="AR44" i="5"/>
  <c r="BZ44" i="5" s="1"/>
  <c r="AF1500" i="6" s="1"/>
  <c r="AD45" i="5"/>
  <c r="AP45" i="5"/>
  <c r="AB46" i="5"/>
  <c r="AZ46" i="5"/>
  <c r="BL46" i="5"/>
  <c r="BX46" i="5"/>
  <c r="AL47" i="5"/>
  <c r="CC47" i="5" s="1"/>
  <c r="CB47" i="5" s="1"/>
  <c r="AV48" i="5"/>
  <c r="BH48" i="5"/>
  <c r="BT48" i="5"/>
  <c r="AF1636" i="6" s="1"/>
  <c r="K11" i="6"/>
  <c r="AK11" i="6" s="1"/>
  <c r="AI11" i="6"/>
  <c r="J18" i="6"/>
  <c r="AJ18" i="6" s="1"/>
  <c r="K23" i="6"/>
  <c r="AK23" i="6" s="1"/>
  <c r="AI23" i="6"/>
  <c r="J30" i="6"/>
  <c r="AJ30" i="6" s="1"/>
  <c r="K35" i="6"/>
  <c r="AI35" i="6"/>
  <c r="J42" i="6"/>
  <c r="AJ42" i="6" s="1"/>
  <c r="K47" i="6"/>
  <c r="AI47" i="6"/>
  <c r="J54" i="6"/>
  <c r="AJ54" i="6" s="1"/>
  <c r="K59" i="6"/>
  <c r="AI59" i="6"/>
  <c r="J66" i="6"/>
  <c r="AJ66" i="6" s="1"/>
  <c r="K71" i="6"/>
  <c r="AI71" i="6"/>
  <c r="J78" i="6"/>
  <c r="AJ78" i="6" s="1"/>
  <c r="AH78" i="6"/>
  <c r="K83" i="6"/>
  <c r="AI83" i="6"/>
  <c r="J86" i="6"/>
  <c r="AJ86" i="6" s="1"/>
  <c r="AI92" i="6"/>
  <c r="K92" i="6"/>
  <c r="I92" i="6"/>
  <c r="AD92" i="6" s="1"/>
  <c r="J107" i="6"/>
  <c r="AJ107" i="6" s="1"/>
  <c r="K111" i="6"/>
  <c r="AW116" i="6"/>
  <c r="M117" i="6" s="1"/>
  <c r="AW117" i="6" s="1"/>
  <c r="M118" i="6" s="1"/>
  <c r="AW118" i="6" s="1"/>
  <c r="M119" i="6" s="1"/>
  <c r="AW119" i="6" s="1"/>
  <c r="M120" i="6" s="1"/>
  <c r="AW120" i="6" s="1"/>
  <c r="AI126" i="6"/>
  <c r="AI133" i="6"/>
  <c r="AI135" i="6"/>
  <c r="K135" i="6"/>
  <c r="J135" i="6"/>
  <c r="AJ135" i="6" s="1"/>
  <c r="I135" i="6"/>
  <c r="AE135" i="6"/>
  <c r="AJ152" i="6"/>
  <c r="AP153" i="6"/>
  <c r="AK161" i="6"/>
  <c r="J172" i="6"/>
  <c r="AJ172" i="6" s="1"/>
  <c r="I172" i="6"/>
  <c r="AE172" i="6"/>
  <c r="BE260" i="6"/>
  <c r="U260" i="6"/>
  <c r="AJ313" i="6"/>
  <c r="K18" i="6"/>
  <c r="AK18" i="6" s="1"/>
  <c r="K30" i="6"/>
  <c r="K42" i="6"/>
  <c r="K54" i="6"/>
  <c r="K66" i="6"/>
  <c r="K78" i="6"/>
  <c r="AK78" i="6" s="1"/>
  <c r="K86" i="6"/>
  <c r="AD89" i="6"/>
  <c r="AD101" i="6"/>
  <c r="AD103" i="6"/>
  <c r="AD105" i="6"/>
  <c r="AE107" i="6"/>
  <c r="AJ128" i="6"/>
  <c r="I132" i="6"/>
  <c r="AE132" i="6"/>
  <c r="U151" i="6"/>
  <c r="J160" i="6"/>
  <c r="AJ160" i="6" s="1"/>
  <c r="AG160" i="6"/>
  <c r="I160" i="6"/>
  <c r="AE160" i="6"/>
  <c r="J184" i="6"/>
  <c r="AJ184" i="6" s="1"/>
  <c r="I184" i="6"/>
  <c r="AE184" i="6"/>
  <c r="AF189" i="6"/>
  <c r="BF461" i="6"/>
  <c r="V462" i="6" s="1"/>
  <c r="AD91" i="6"/>
  <c r="AD113" i="6"/>
  <c r="AJ176" i="6"/>
  <c r="BE188" i="6"/>
  <c r="U188" i="6"/>
  <c r="AV191" i="6"/>
  <c r="L192" i="6" s="1"/>
  <c r="AV192" i="6" s="1"/>
  <c r="J232" i="6"/>
  <c r="AJ232" i="6" s="1"/>
  <c r="I232" i="6"/>
  <c r="AE232" i="6"/>
  <c r="AI232" i="6"/>
  <c r="K232" i="6"/>
  <c r="AI321" i="6"/>
  <c r="BF353" i="6"/>
  <c r="V354" i="6" s="1"/>
  <c r="BO373" i="6"/>
  <c r="BN374" i="6" s="1"/>
  <c r="BO374" i="6" s="1"/>
  <c r="BN375" i="6" s="1"/>
  <c r="AK373" i="6"/>
  <c r="AG39" i="5"/>
  <c r="AH1304" i="6" s="1"/>
  <c r="BC40" i="5"/>
  <c r="BO40" i="5"/>
  <c r="AF1373" i="6" s="1"/>
  <c r="AY42" i="5"/>
  <c r="BK42" i="5"/>
  <c r="AE1429" i="6" s="1"/>
  <c r="BU43" i="5"/>
  <c r="AG45" i="5"/>
  <c r="BC46" i="5"/>
  <c r="BO46" i="5"/>
  <c r="AF1589" i="6" s="1"/>
  <c r="AY48" i="5"/>
  <c r="BK48" i="5"/>
  <c r="AE1645" i="6" s="1"/>
  <c r="BW48" i="5"/>
  <c r="AP7" i="6"/>
  <c r="K8" i="6"/>
  <c r="AK8" i="6" s="1"/>
  <c r="K20" i="6"/>
  <c r="AK20" i="6" s="1"/>
  <c r="AE24" i="6"/>
  <c r="K32" i="6"/>
  <c r="AE36" i="6"/>
  <c r="AP43" i="6"/>
  <c r="K44" i="6"/>
  <c r="AE48" i="6"/>
  <c r="K56" i="6"/>
  <c r="AE60" i="6"/>
  <c r="K68" i="6"/>
  <c r="AE72" i="6"/>
  <c r="AP79" i="6"/>
  <c r="K80" i="6"/>
  <c r="AE84" i="6"/>
  <c r="AJ88" i="6"/>
  <c r="AJ95" i="6"/>
  <c r="AJ100" i="6"/>
  <c r="AP117" i="6"/>
  <c r="AI119" i="6"/>
  <c r="K119" i="6"/>
  <c r="AK119" i="6" s="1"/>
  <c r="AG119" i="6"/>
  <c r="I119" i="6"/>
  <c r="AE119" i="6"/>
  <c r="J124" i="6"/>
  <c r="AJ124" i="6" s="1"/>
  <c r="AE124" i="6"/>
  <c r="AI132" i="6"/>
  <c r="AJ144" i="6"/>
  <c r="AG156" i="6"/>
  <c r="AJ179" i="6"/>
  <c r="BO187" i="6"/>
  <c r="BN188" i="6" s="1"/>
  <c r="BO188" i="6" s="1"/>
  <c r="BN189" i="6" s="1"/>
  <c r="AI204" i="6"/>
  <c r="K204" i="6"/>
  <c r="I204" i="6"/>
  <c r="AE204" i="6"/>
  <c r="J204" i="6"/>
  <c r="BA229" i="6"/>
  <c r="Q230" i="6" s="1"/>
  <c r="BA230" i="6" s="1"/>
  <c r="Q231" i="6" s="1"/>
  <c r="BA231" i="6" s="1"/>
  <c r="Q232" i="6" s="1"/>
  <c r="BA232" i="6" s="1"/>
  <c r="Q233" i="6" s="1"/>
  <c r="AG229" i="6"/>
  <c r="AJ250" i="6"/>
  <c r="BE296" i="6"/>
  <c r="U296" i="6"/>
  <c r="AF1536" i="6"/>
  <c r="AB48" i="5"/>
  <c r="BX48" i="5"/>
  <c r="I17" i="6"/>
  <c r="I29" i="6"/>
  <c r="I41" i="6"/>
  <c r="I53" i="6"/>
  <c r="I65" i="6"/>
  <c r="I77" i="6"/>
  <c r="AD93" i="6"/>
  <c r="AE102" i="6"/>
  <c r="AE104" i="6"/>
  <c r="I110" i="6"/>
  <c r="AD110" i="6" s="1"/>
  <c r="AJ112" i="6"/>
  <c r="AK115" i="6"/>
  <c r="AG120" i="6"/>
  <c r="I120" i="6"/>
  <c r="AE120" i="6"/>
  <c r="AI123" i="6"/>
  <c r="K123" i="6"/>
  <c r="J123" i="6"/>
  <c r="AJ123" i="6" s="1"/>
  <c r="AE123" i="6"/>
  <c r="J132" i="6"/>
  <c r="AJ132" i="6" s="1"/>
  <c r="BG152" i="6"/>
  <c r="W153" i="6" s="1"/>
  <c r="AH152" i="6"/>
  <c r="AI155" i="6"/>
  <c r="K155" i="6"/>
  <c r="AK155" i="6" s="1"/>
  <c r="AG155" i="6"/>
  <c r="I155" i="6"/>
  <c r="AE155" i="6"/>
  <c r="K160" i="6"/>
  <c r="AK160" i="6" s="1"/>
  <c r="AI171" i="6"/>
  <c r="K171" i="6"/>
  <c r="J171" i="6"/>
  <c r="AJ171" i="6" s="1"/>
  <c r="I171" i="6"/>
  <c r="AE171" i="6"/>
  <c r="K184" i="6"/>
  <c r="AH222" i="6"/>
  <c r="BG222" i="6"/>
  <c r="W223" i="6" s="1"/>
  <c r="AJ224" i="6"/>
  <c r="BA309" i="6"/>
  <c r="Q310" i="6" s="1"/>
  <c r="AP81" i="6"/>
  <c r="AJ110" i="6"/>
  <c r="AI131" i="6"/>
  <c r="K131" i="6"/>
  <c r="I131" i="6"/>
  <c r="AE131" i="6"/>
  <c r="AI145" i="6"/>
  <c r="K145" i="6"/>
  <c r="J145" i="6"/>
  <c r="AJ145" i="6" s="1"/>
  <c r="I145" i="6"/>
  <c r="AE145" i="6"/>
  <c r="AK153" i="6"/>
  <c r="AI159" i="6"/>
  <c r="K159" i="6"/>
  <c r="AK159" i="6" s="1"/>
  <c r="J159" i="6"/>
  <c r="AJ159" i="6" s="1"/>
  <c r="AG159" i="6"/>
  <c r="I159" i="6"/>
  <c r="AE159" i="6"/>
  <c r="AI162" i="6"/>
  <c r="AJ164" i="6"/>
  <c r="AJ168" i="6"/>
  <c r="AJ175" i="6"/>
  <c r="AK222" i="6"/>
  <c r="AK259" i="6"/>
  <c r="AJ263" i="6"/>
  <c r="AJ287" i="6"/>
  <c r="BO302" i="6"/>
  <c r="BN303" i="6" s="1"/>
  <c r="BO303" i="6" s="1"/>
  <c r="BN304" i="6" s="1"/>
  <c r="BO304" i="6" s="1"/>
  <c r="BN305" i="6" s="1"/>
  <c r="BO305" i="6" s="1"/>
  <c r="BN306" i="6" s="1"/>
  <c r="BO306" i="6" s="1"/>
  <c r="BN307" i="6" s="1"/>
  <c r="BO307" i="6" s="1"/>
  <c r="BN308" i="6" s="1"/>
  <c r="BO308" i="6" s="1"/>
  <c r="BN309" i="6" s="1"/>
  <c r="BO309" i="6" s="1"/>
  <c r="BN310" i="6" s="1"/>
  <c r="BO310" i="6" s="1"/>
  <c r="BN311" i="6" s="1"/>
  <c r="BO311" i="6" s="1"/>
  <c r="BN312" i="6" s="1"/>
  <c r="BO312" i="6" s="1"/>
  <c r="BN313" i="6" s="1"/>
  <c r="BO313" i="6" s="1"/>
  <c r="BN314" i="6" s="1"/>
  <c r="BO314" i="6" s="1"/>
  <c r="BN315" i="6" s="1"/>
  <c r="BO315" i="6" s="1"/>
  <c r="BN316" i="6" s="1"/>
  <c r="AI324" i="6"/>
  <c r="AJ39" i="5"/>
  <c r="P1302" i="6" s="1"/>
  <c r="AZ1302" i="6" s="1"/>
  <c r="P1303" i="6" s="1"/>
  <c r="AZ1303" i="6" s="1"/>
  <c r="P1304" i="6" s="1"/>
  <c r="AZ1304" i="6" s="1"/>
  <c r="P1305" i="6" s="1"/>
  <c r="AZ1305" i="6" s="1"/>
  <c r="P1306" i="6" s="1"/>
  <c r="AZ1306" i="6" s="1"/>
  <c r="P1307" i="6" s="1"/>
  <c r="AZ1307" i="6" s="1"/>
  <c r="P1308" i="6" s="1"/>
  <c r="AZ1308" i="6" s="1"/>
  <c r="P1309" i="6" s="1"/>
  <c r="AZ1309" i="6" s="1"/>
  <c r="P1310" i="6" s="1"/>
  <c r="AZ1310" i="6" s="1"/>
  <c r="P1311" i="6" s="1"/>
  <c r="AZ1311" i="6" s="1"/>
  <c r="P1312" i="6" s="1"/>
  <c r="AZ1312" i="6" s="1"/>
  <c r="P1313" i="6" s="1"/>
  <c r="AZ1313" i="6" s="1"/>
  <c r="P1314" i="6" s="1"/>
  <c r="AZ1314" i="6" s="1"/>
  <c r="P1315" i="6" s="1"/>
  <c r="AZ1315" i="6" s="1"/>
  <c r="P1316" i="6" s="1"/>
  <c r="AZ1316" i="6" s="1"/>
  <c r="P1317" i="6" s="1"/>
  <c r="AZ1317" i="6" s="1"/>
  <c r="P1318" i="6" s="1"/>
  <c r="AZ1318" i="6" s="1"/>
  <c r="P1319" i="6" s="1"/>
  <c r="AZ1319" i="6" s="1"/>
  <c r="P1320" i="6" s="1"/>
  <c r="AZ1320" i="6" s="1"/>
  <c r="P1321" i="6" s="1"/>
  <c r="AZ1321" i="6" s="1"/>
  <c r="P1322" i="6" s="1"/>
  <c r="AZ1322" i="6" s="1"/>
  <c r="P1323" i="6" s="1"/>
  <c r="AF1323" i="6" s="1"/>
  <c r="V40" i="5"/>
  <c r="BF40" i="5"/>
  <c r="BB42" i="5"/>
  <c r="AB43" i="5"/>
  <c r="AJ45" i="5"/>
  <c r="P1518" i="6" s="1"/>
  <c r="AZ1518" i="6" s="1"/>
  <c r="P1519" i="6" s="1"/>
  <c r="AZ1519" i="6" s="1"/>
  <c r="P1520" i="6" s="1"/>
  <c r="AZ1520" i="6" s="1"/>
  <c r="P1521" i="6" s="1"/>
  <c r="AZ1521" i="6" s="1"/>
  <c r="P1522" i="6" s="1"/>
  <c r="AZ1522" i="6" s="1"/>
  <c r="P1523" i="6" s="1"/>
  <c r="AZ1523" i="6" s="1"/>
  <c r="P1524" i="6" s="1"/>
  <c r="AZ1524" i="6" s="1"/>
  <c r="P1525" i="6" s="1"/>
  <c r="AZ1525" i="6" s="1"/>
  <c r="P1526" i="6" s="1"/>
  <c r="AZ1526" i="6" s="1"/>
  <c r="P1527" i="6" s="1"/>
  <c r="AZ1527" i="6" s="1"/>
  <c r="P1528" i="6" s="1"/>
  <c r="AZ1528" i="6" s="1"/>
  <c r="P1529" i="6" s="1"/>
  <c r="AZ1529" i="6" s="1"/>
  <c r="P1530" i="6" s="1"/>
  <c r="AZ1530" i="6" s="1"/>
  <c r="P1531" i="6" s="1"/>
  <c r="AZ1531" i="6" s="1"/>
  <c r="P1532" i="6" s="1"/>
  <c r="AZ1532" i="6" s="1"/>
  <c r="P1533" i="6" s="1"/>
  <c r="AZ1533" i="6" s="1"/>
  <c r="P1534" i="6" s="1"/>
  <c r="AZ1534" i="6" s="1"/>
  <c r="P1535" i="6" s="1"/>
  <c r="AZ1535" i="6" s="1"/>
  <c r="P1536" i="6" s="1"/>
  <c r="AZ1536" i="6" s="1"/>
  <c r="P1537" i="6" s="1"/>
  <c r="AZ1537" i="6" s="1"/>
  <c r="P1538" i="6" s="1"/>
  <c r="AZ1538" i="6" s="1"/>
  <c r="P1539" i="6" s="1"/>
  <c r="AZ1539" i="6" s="1"/>
  <c r="P1540" i="6" s="1"/>
  <c r="AZ1540" i="6" s="1"/>
  <c r="P1541" i="6" s="1"/>
  <c r="AZ1541" i="6" s="1"/>
  <c r="P1542" i="6" s="1"/>
  <c r="AZ1542" i="6" s="1"/>
  <c r="P1543" i="6" s="1"/>
  <c r="AZ1543" i="6" s="1"/>
  <c r="P1544" i="6" s="1"/>
  <c r="AZ1544" i="6" s="1"/>
  <c r="P1545" i="6" s="1"/>
  <c r="AZ1545" i="6" s="1"/>
  <c r="P1546" i="6" s="1"/>
  <c r="AZ1546" i="6" s="1"/>
  <c r="P1547" i="6" s="1"/>
  <c r="AZ1547" i="6" s="1"/>
  <c r="P1548" i="6" s="1"/>
  <c r="AZ1548" i="6" s="1"/>
  <c r="P1549" i="6" s="1"/>
  <c r="AZ1549" i="6" s="1"/>
  <c r="P1550" i="6" s="1"/>
  <c r="AZ1550" i="6" s="1"/>
  <c r="P1551" i="6" s="1"/>
  <c r="AZ1551" i="6" s="1"/>
  <c r="P1552" i="6" s="1"/>
  <c r="AZ1552" i="6" s="1"/>
  <c r="P1553" i="6" s="1"/>
  <c r="AZ1553" i="6" s="1"/>
  <c r="V46" i="5"/>
  <c r="AH1577" i="6" s="1"/>
  <c r="BF46" i="5"/>
  <c r="AR47" i="5"/>
  <c r="BZ47" i="5" s="1"/>
  <c r="AF1608" i="6" s="1"/>
  <c r="AD48" i="5"/>
  <c r="BB48" i="5"/>
  <c r="I7" i="6"/>
  <c r="U7" i="6"/>
  <c r="K17" i="6"/>
  <c r="AK17" i="6" s="1"/>
  <c r="I19" i="6"/>
  <c r="J24" i="6"/>
  <c r="AJ24" i="6" s="1"/>
  <c r="K29" i="6"/>
  <c r="I31" i="6"/>
  <c r="J36" i="6"/>
  <c r="AJ36" i="6" s="1"/>
  <c r="K41" i="6"/>
  <c r="I43" i="6"/>
  <c r="U43" i="6"/>
  <c r="J48" i="6"/>
  <c r="AJ48" i="6" s="1"/>
  <c r="K53" i="6"/>
  <c r="I55" i="6"/>
  <c r="J60" i="6"/>
  <c r="AJ60" i="6" s="1"/>
  <c r="K65" i="6"/>
  <c r="I67" i="6"/>
  <c r="J72" i="6"/>
  <c r="AJ72" i="6" s="1"/>
  <c r="K77" i="6"/>
  <c r="I79" i="6"/>
  <c r="AD79" i="6" s="1"/>
  <c r="U79" i="6"/>
  <c r="J84" i="6"/>
  <c r="AJ84" i="6" s="1"/>
  <c r="J87" i="6"/>
  <c r="AJ87" i="6" s="1"/>
  <c r="AI87" i="6"/>
  <c r="AE92" i="6"/>
  <c r="AI96" i="6"/>
  <c r="K110" i="6"/>
  <c r="AV117" i="6"/>
  <c r="L118" i="6" s="1"/>
  <c r="AV118" i="6" s="1"/>
  <c r="L119" i="6" s="1"/>
  <c r="AV119" i="6" s="1"/>
  <c r="L120" i="6" s="1"/>
  <c r="AV120" i="6" s="1"/>
  <c r="J119" i="6"/>
  <c r="AJ119" i="6" s="1"/>
  <c r="J121" i="6"/>
  <c r="AJ121" i="6" s="1"/>
  <c r="AG121" i="6"/>
  <c r="I121" i="6"/>
  <c r="AE121" i="6"/>
  <c r="I124" i="6"/>
  <c r="J136" i="6"/>
  <c r="AJ136" i="6" s="1"/>
  <c r="AI136" i="6"/>
  <c r="AI138" i="6"/>
  <c r="AW152" i="6"/>
  <c r="M153" i="6" s="1"/>
  <c r="AW153" i="6" s="1"/>
  <c r="M154" i="6" s="1"/>
  <c r="AW154" i="6" s="1"/>
  <c r="M155" i="6" s="1"/>
  <c r="AW155" i="6" s="1"/>
  <c r="M156" i="6" s="1"/>
  <c r="AW156" i="6" s="1"/>
  <c r="AP151" i="6"/>
  <c r="AG151" i="6"/>
  <c r="AJ156" i="6"/>
  <c r="AJ163" i="6"/>
  <c r="AI183" i="6"/>
  <c r="K183" i="6"/>
  <c r="J183" i="6"/>
  <c r="AJ183" i="6" s="1"/>
  <c r="I183" i="6"/>
  <c r="AE183" i="6"/>
  <c r="AJ252" i="6"/>
  <c r="AO1528" i="6"/>
  <c r="AO1522" i="6"/>
  <c r="AF1583" i="6"/>
  <c r="AF1588" i="6"/>
  <c r="AF1587" i="6"/>
  <c r="AF1579" i="6"/>
  <c r="I14" i="6"/>
  <c r="K24" i="6"/>
  <c r="AK24" i="6" s="1"/>
  <c r="I26" i="6"/>
  <c r="K36" i="6"/>
  <c r="I38" i="6"/>
  <c r="K48" i="6"/>
  <c r="I50" i="6"/>
  <c r="K60" i="6"/>
  <c r="I62" i="6"/>
  <c r="K72" i="6"/>
  <c r="I74" i="6"/>
  <c r="J79" i="6"/>
  <c r="AJ79" i="6" s="1"/>
  <c r="K84" i="6"/>
  <c r="I108" i="6"/>
  <c r="AD108" i="6" s="1"/>
  <c r="AE108" i="6"/>
  <c r="J109" i="6"/>
  <c r="AJ109" i="6" s="1"/>
  <c r="I109" i="6"/>
  <c r="AD109" i="6" s="1"/>
  <c r="AE109" i="6"/>
  <c r="AI114" i="6"/>
  <c r="K114" i="6"/>
  <c r="AK114" i="6" s="1"/>
  <c r="AH114" i="6"/>
  <c r="J114" i="6"/>
  <c r="AJ114" i="6" s="1"/>
  <c r="BE116" i="6"/>
  <c r="U116" i="6"/>
  <c r="AI116" i="6"/>
  <c r="AJ120" i="6"/>
  <c r="AJ155" i="6"/>
  <c r="AK156" i="6"/>
  <c r="AK163" i="6"/>
  <c r="AJ173" i="6"/>
  <c r="AJ228" i="6"/>
  <c r="AJ253" i="6"/>
  <c r="AY313" i="6"/>
  <c r="O314" i="6" s="1"/>
  <c r="AY314" i="6" s="1"/>
  <c r="O315" i="6" s="1"/>
  <c r="AY315" i="6" s="1"/>
  <c r="O316" i="6" s="1"/>
  <c r="AY316" i="6" s="1"/>
  <c r="O317" i="6" s="1"/>
  <c r="AY317" i="6" s="1"/>
  <c r="O318" i="6" s="1"/>
  <c r="AY318" i="6" s="1"/>
  <c r="O319" i="6" s="1"/>
  <c r="AY319" i="6" s="1"/>
  <c r="O320" i="6" s="1"/>
  <c r="AY320" i="6" s="1"/>
  <c r="O321" i="6" s="1"/>
  <c r="AY321" i="6" s="1"/>
  <c r="O322" i="6" s="1"/>
  <c r="AY322" i="6" s="1"/>
  <c r="O323" i="6" s="1"/>
  <c r="AY323" i="6" s="1"/>
  <c r="O324" i="6" s="1"/>
  <c r="AY324" i="6" s="1"/>
  <c r="O325" i="6" s="1"/>
  <c r="AY325" i="6" s="1"/>
  <c r="O326" i="6" s="1"/>
  <c r="AY326" i="6" s="1"/>
  <c r="O327" i="6" s="1"/>
  <c r="AY327" i="6" s="1"/>
  <c r="O328" i="6" s="1"/>
  <c r="AY328" i="6" s="1"/>
  <c r="O329" i="6" s="1"/>
  <c r="AY329" i="6" s="1"/>
  <c r="AD323" i="6"/>
  <c r="BD262" i="6"/>
  <c r="T263" i="6" s="1"/>
  <c r="AK260" i="6"/>
  <c r="BO260" i="6"/>
  <c r="BN261" i="6" s="1"/>
  <c r="BO261" i="6" s="1"/>
  <c r="BN262" i="6" s="1"/>
  <c r="BO262" i="6" s="1"/>
  <c r="BN263" i="6" s="1"/>
  <c r="AJ264" i="6"/>
  <c r="K279" i="6"/>
  <c r="J279" i="6"/>
  <c r="AJ279" i="6" s="1"/>
  <c r="I279" i="6"/>
  <c r="AE279" i="6"/>
  <c r="J292" i="6"/>
  <c r="AJ292" i="6" s="1"/>
  <c r="I292" i="6"/>
  <c r="AE292" i="6"/>
  <c r="AD295" i="6"/>
  <c r="AD296" i="6"/>
  <c r="AD297" i="6"/>
  <c r="AD305" i="6"/>
  <c r="AY349" i="6"/>
  <c r="O350" i="6" s="1"/>
  <c r="AY350" i="6" s="1"/>
  <c r="O351" i="6" s="1"/>
  <c r="AY351" i="6" s="1"/>
  <c r="O352" i="6" s="1"/>
  <c r="AY352" i="6" s="1"/>
  <c r="O353" i="6" s="1"/>
  <c r="AY353" i="6" s="1"/>
  <c r="O354" i="6" s="1"/>
  <c r="AY354" i="6" s="1"/>
  <c r="O355" i="6" s="1"/>
  <c r="AY355" i="6" s="1"/>
  <c r="O356" i="6" s="1"/>
  <c r="AY356" i="6" s="1"/>
  <c r="O357" i="6" s="1"/>
  <c r="AY357" i="6" s="1"/>
  <c r="O358" i="6" s="1"/>
  <c r="AY358" i="6" s="1"/>
  <c r="O359" i="6" s="1"/>
  <c r="AY359" i="6" s="1"/>
  <c r="O360" i="6" s="1"/>
  <c r="AY360" i="6" s="1"/>
  <c r="O361" i="6" s="1"/>
  <c r="AY361" i="6" s="1"/>
  <c r="O362" i="6" s="1"/>
  <c r="AY362" i="6" s="1"/>
  <c r="O363" i="6" s="1"/>
  <c r="AY363" i="6" s="1"/>
  <c r="O364" i="6" s="1"/>
  <c r="AY364" i="6" s="1"/>
  <c r="O365" i="6" s="1"/>
  <c r="AY365" i="6" s="1"/>
  <c r="AJ350" i="6"/>
  <c r="AK448" i="6"/>
  <c r="BO448" i="6"/>
  <c r="BN449" i="6" s="1"/>
  <c r="BO449" i="6" s="1"/>
  <c r="BN450" i="6" s="1"/>
  <c r="BO450" i="6" s="1"/>
  <c r="BN451" i="6" s="1"/>
  <c r="BO451" i="6" s="1"/>
  <c r="BN452" i="6" s="1"/>
  <c r="BO452" i="6" s="1"/>
  <c r="BN453" i="6" s="1"/>
  <c r="BO453" i="6" s="1"/>
  <c r="BN454" i="6" s="1"/>
  <c r="BO454" i="6" s="1"/>
  <c r="BN455" i="6" s="1"/>
  <c r="BO455" i="6" s="1"/>
  <c r="BN456" i="6" s="1"/>
  <c r="BO456" i="6" s="1"/>
  <c r="BN457" i="6" s="1"/>
  <c r="BO457" i="6" s="1"/>
  <c r="BN458" i="6" s="1"/>
  <c r="BO458" i="6" s="1"/>
  <c r="BN459" i="6" s="1"/>
  <c r="BO459" i="6" s="1"/>
  <c r="BN460" i="6" s="1"/>
  <c r="J122" i="6"/>
  <c r="AJ122" i="6" s="1"/>
  <c r="J134" i="6"/>
  <c r="AJ134" i="6" s="1"/>
  <c r="J146" i="6"/>
  <c r="AJ146" i="6" s="1"/>
  <c r="AP150" i="6"/>
  <c r="J158" i="6"/>
  <c r="AJ158" i="6" s="1"/>
  <c r="AE167" i="6"/>
  <c r="J170" i="6"/>
  <c r="AJ170" i="6" s="1"/>
  <c r="AE179" i="6"/>
  <c r="J182" i="6"/>
  <c r="AJ182" i="6" s="1"/>
  <c r="AP186" i="6"/>
  <c r="AE191" i="6"/>
  <c r="J194" i="6"/>
  <c r="K197" i="6"/>
  <c r="J208" i="6"/>
  <c r="I208" i="6"/>
  <c r="AE208" i="6"/>
  <c r="AE221" i="6"/>
  <c r="BD225" i="6"/>
  <c r="T226" i="6" s="1"/>
  <c r="AP223" i="6"/>
  <c r="AI228" i="6"/>
  <c r="K228" i="6"/>
  <c r="I228" i="6"/>
  <c r="AE228" i="6"/>
  <c r="AG263" i="6"/>
  <c r="AJ271" i="6"/>
  <c r="AJ295" i="6"/>
  <c r="AJ300" i="6"/>
  <c r="AJ303" i="6"/>
  <c r="BO331" i="6"/>
  <c r="BN332" i="6" s="1"/>
  <c r="BO332" i="6" s="1"/>
  <c r="BN333" i="6" s="1"/>
  <c r="BO333" i="6" s="1"/>
  <c r="BN334" i="6" s="1"/>
  <c r="BO334" i="6" s="1"/>
  <c r="BN335" i="6" s="1"/>
  <c r="BO335" i="6" s="1"/>
  <c r="BN336" i="6" s="1"/>
  <c r="BO336" i="6" s="1"/>
  <c r="BN337" i="6" s="1"/>
  <c r="BO337" i="6" s="1"/>
  <c r="BN338" i="6" s="1"/>
  <c r="BO338" i="6" s="1"/>
  <c r="BN339" i="6" s="1"/>
  <c r="AK331" i="6"/>
  <c r="AJ334" i="6"/>
  <c r="BG369" i="6"/>
  <c r="W370" i="6" s="1"/>
  <c r="BO496" i="6"/>
  <c r="BN497" i="6" s="1"/>
  <c r="BO497" i="6" s="1"/>
  <c r="BN498" i="6" s="1"/>
  <c r="BO498" i="6" s="1"/>
  <c r="BN499" i="6" s="1"/>
  <c r="BO499" i="6" s="1"/>
  <c r="BN500" i="6" s="1"/>
  <c r="BO500" i="6" s="1"/>
  <c r="BN501" i="6" s="1"/>
  <c r="AV223" i="6"/>
  <c r="L224" i="6" s="1"/>
  <c r="AV224" i="6" s="1"/>
  <c r="L225" i="6" s="1"/>
  <c r="AI223" i="6"/>
  <c r="AI247" i="6"/>
  <c r="AJ283" i="6"/>
  <c r="J306" i="6"/>
  <c r="AJ306" i="6" s="1"/>
  <c r="AE306" i="6"/>
  <c r="K306" i="6"/>
  <c r="I306" i="6"/>
  <c r="AD306" i="6" s="1"/>
  <c r="AJ322" i="6"/>
  <c r="AJ388" i="6"/>
  <c r="AK556" i="6"/>
  <c r="AP116" i="6"/>
  <c r="AP152" i="6"/>
  <c r="AE157" i="6"/>
  <c r="I167" i="6"/>
  <c r="AE169" i="6"/>
  <c r="I179" i="6"/>
  <c r="AE181" i="6"/>
  <c r="AP188" i="6"/>
  <c r="I191" i="6"/>
  <c r="AE193" i="6"/>
  <c r="AE197" i="6"/>
  <c r="AI216" i="6"/>
  <c r="K216" i="6"/>
  <c r="I216" i="6"/>
  <c r="AE216" i="6"/>
  <c r="J220" i="6"/>
  <c r="AJ220" i="6" s="1"/>
  <c r="I220" i="6"/>
  <c r="AE220" i="6"/>
  <c r="AI221" i="6"/>
  <c r="BE224" i="6"/>
  <c r="U224" i="6"/>
  <c r="AE241" i="6"/>
  <c r="AK258" i="6"/>
  <c r="BG259" i="6"/>
  <c r="W260" i="6" s="1"/>
  <c r="AH259" i="6"/>
  <c r="AJ276" i="6"/>
  <c r="AJ281" i="6"/>
  <c r="K292" i="6"/>
  <c r="AJ314" i="6"/>
  <c r="BA334" i="6"/>
  <c r="Q335" i="6" s="1"/>
  <c r="AJ336" i="6"/>
  <c r="AE385" i="6"/>
  <c r="AY385" i="6"/>
  <c r="O386" i="6" s="1"/>
  <c r="AY386" i="6" s="1"/>
  <c r="O387" i="6" s="1"/>
  <c r="AY387" i="6" s="1"/>
  <c r="O388" i="6" s="1"/>
  <c r="AY388" i="6" s="1"/>
  <c r="O389" i="6" s="1"/>
  <c r="AY389" i="6" s="1"/>
  <c r="O390" i="6" s="1"/>
  <c r="AY390" i="6" s="1"/>
  <c r="O391" i="6" s="1"/>
  <c r="AY391" i="6" s="1"/>
  <c r="O392" i="6" s="1"/>
  <c r="AY392" i="6" s="1"/>
  <c r="O393" i="6" s="1"/>
  <c r="AY393" i="6" s="1"/>
  <c r="O394" i="6" s="1"/>
  <c r="AY394" i="6" s="1"/>
  <c r="O395" i="6" s="1"/>
  <c r="AY395" i="6" s="1"/>
  <c r="O396" i="6" s="1"/>
  <c r="AY396" i="6" s="1"/>
  <c r="O397" i="6" s="1"/>
  <c r="AY397" i="6" s="1"/>
  <c r="O398" i="6" s="1"/>
  <c r="AY398" i="6" s="1"/>
  <c r="O399" i="6" s="1"/>
  <c r="AY399" i="6" s="1"/>
  <c r="O400" i="6" s="1"/>
  <c r="AY400" i="6" s="1"/>
  <c r="O401" i="6" s="1"/>
  <c r="AY401" i="6" s="1"/>
  <c r="AP118" i="6"/>
  <c r="J126" i="6"/>
  <c r="AJ126" i="6" s="1"/>
  <c r="J138" i="6"/>
  <c r="AJ138" i="6" s="1"/>
  <c r="J150" i="6"/>
  <c r="AJ150" i="6" s="1"/>
  <c r="AH150" i="6"/>
  <c r="AP154" i="6"/>
  <c r="I157" i="6"/>
  <c r="AG157" i="6"/>
  <c r="J162" i="6"/>
  <c r="AJ162" i="6" s="1"/>
  <c r="K167" i="6"/>
  <c r="I169" i="6"/>
  <c r="K179" i="6"/>
  <c r="I181" i="6"/>
  <c r="AP190" i="6"/>
  <c r="K191" i="6"/>
  <c r="I193" i="6"/>
  <c r="AI235" i="6"/>
  <c r="AJ247" i="6"/>
  <c r="AW260" i="6"/>
  <c r="M261" i="6" s="1"/>
  <c r="AG259" i="6"/>
  <c r="AJ289" i="6"/>
  <c r="AI291" i="6"/>
  <c r="K291" i="6"/>
  <c r="J291" i="6"/>
  <c r="AJ291" i="6" s="1"/>
  <c r="I291" i="6"/>
  <c r="AE291" i="6"/>
  <c r="BD298" i="6"/>
  <c r="T299" i="6" s="1"/>
  <c r="BD299" i="6" s="1"/>
  <c r="T300" i="6" s="1"/>
  <c r="BD300" i="6" s="1"/>
  <c r="T301" i="6" s="1"/>
  <c r="AJ302" i="6"/>
  <c r="BF425" i="6"/>
  <c r="V426" i="6" s="1"/>
  <c r="AH425" i="6"/>
  <c r="BF497" i="6"/>
  <c r="V498" i="6" s="1"/>
  <c r="AE94" i="6"/>
  <c r="AE106" i="6"/>
  <c r="I116" i="6"/>
  <c r="AG116" i="6"/>
  <c r="AE118" i="6"/>
  <c r="K126" i="6"/>
  <c r="I128" i="6"/>
  <c r="AE130" i="6"/>
  <c r="K138" i="6"/>
  <c r="I140" i="6"/>
  <c r="AE142" i="6"/>
  <c r="K150" i="6"/>
  <c r="AK150" i="6" s="1"/>
  <c r="I152" i="6"/>
  <c r="AG152" i="6"/>
  <c r="AE154" i="6"/>
  <c r="J157" i="6"/>
  <c r="AJ157" i="6" s="1"/>
  <c r="K162" i="6"/>
  <c r="AK162" i="6" s="1"/>
  <c r="I164" i="6"/>
  <c r="AE166" i="6"/>
  <c r="J169" i="6"/>
  <c r="AJ169" i="6" s="1"/>
  <c r="K174" i="6"/>
  <c r="I176" i="6"/>
  <c r="AE178" i="6"/>
  <c r="J181" i="6"/>
  <c r="AJ181" i="6" s="1"/>
  <c r="K186" i="6"/>
  <c r="I188" i="6"/>
  <c r="AE190" i="6"/>
  <c r="J193" i="6"/>
  <c r="J216" i="6"/>
  <c r="J219" i="6"/>
  <c r="AE219" i="6"/>
  <c r="K220" i="6"/>
  <c r="AW224" i="6"/>
  <c r="M225" i="6" s="1"/>
  <c r="AK223" i="6"/>
  <c r="AJ239" i="6"/>
  <c r="AP259" i="6"/>
  <c r="AP260" i="6"/>
  <c r="AI261" i="6"/>
  <c r="J268" i="6"/>
  <c r="AJ268" i="6" s="1"/>
  <c r="AG268" i="6"/>
  <c r="I268" i="6"/>
  <c r="AE268" i="6"/>
  <c r="AI285" i="6"/>
  <c r="AJ324" i="6"/>
  <c r="BO409" i="6"/>
  <c r="BN410" i="6" s="1"/>
  <c r="BO410" i="6" s="1"/>
  <c r="BN411" i="6" s="1"/>
  <c r="K157" i="6"/>
  <c r="AK157" i="6" s="1"/>
  <c r="K169" i="6"/>
  <c r="K181" i="6"/>
  <c r="K193" i="6"/>
  <c r="AI206" i="6"/>
  <c r="K206" i="6"/>
  <c r="J206" i="6"/>
  <c r="I206" i="6"/>
  <c r="AE206" i="6"/>
  <c r="AJ240" i="6"/>
  <c r="AJ241" i="6"/>
  <c r="AI242" i="6"/>
  <c r="K242" i="6"/>
  <c r="J242" i="6"/>
  <c r="AJ242" i="6" s="1"/>
  <c r="I242" i="6"/>
  <c r="AE242" i="6"/>
  <c r="J243" i="6"/>
  <c r="AJ243" i="6" s="1"/>
  <c r="I243" i="6"/>
  <c r="AE243" i="6"/>
  <c r="AV259" i="6"/>
  <c r="L260" i="6" s="1"/>
  <c r="AV260" i="6" s="1"/>
  <c r="L261" i="6" s="1"/>
  <c r="AI260" i="6"/>
  <c r="AE277" i="6"/>
  <c r="AI292" i="6"/>
  <c r="AJ293" i="6"/>
  <c r="AD294" i="6"/>
  <c r="AJ299" i="6"/>
  <c r="BG405" i="6"/>
  <c r="W406" i="6" s="1"/>
  <c r="I94" i="6"/>
  <c r="AD94" i="6" s="1"/>
  <c r="I106" i="6"/>
  <c r="AD106" i="6" s="1"/>
  <c r="K116" i="6"/>
  <c r="AK116" i="6" s="1"/>
  <c r="I118" i="6"/>
  <c r="AG118" i="6"/>
  <c r="K128" i="6"/>
  <c r="I130" i="6"/>
  <c r="K140" i="6"/>
  <c r="I142" i="6"/>
  <c r="AE144" i="6"/>
  <c r="K152" i="6"/>
  <c r="AK152" i="6" s="1"/>
  <c r="I154" i="6"/>
  <c r="AG154" i="6"/>
  <c r="AE156" i="6"/>
  <c r="K164" i="6"/>
  <c r="AK164" i="6" s="1"/>
  <c r="I166" i="6"/>
  <c r="AE168" i="6"/>
  <c r="K176" i="6"/>
  <c r="I178" i="6"/>
  <c r="AE180" i="6"/>
  <c r="K188" i="6"/>
  <c r="I190" i="6"/>
  <c r="AE192" i="6"/>
  <c r="AE196" i="6"/>
  <c r="AI213" i="6"/>
  <c r="AI219" i="6"/>
  <c r="J244" i="6"/>
  <c r="AJ244" i="6" s="1"/>
  <c r="I244" i="6"/>
  <c r="AE244" i="6"/>
  <c r="AJ245" i="6"/>
  <c r="AJ265" i="6"/>
  <c r="J280" i="6"/>
  <c r="AJ280" i="6" s="1"/>
  <c r="I280" i="6"/>
  <c r="AE280" i="6"/>
  <c r="AK294" i="6"/>
  <c r="BG295" i="6"/>
  <c r="W296" i="6" s="1"/>
  <c r="AH295" i="6"/>
  <c r="AD329" i="6"/>
  <c r="AV331" i="6"/>
  <c r="L332" i="6" s="1"/>
  <c r="AI331" i="6"/>
  <c r="J190" i="6"/>
  <c r="J197" i="6"/>
  <c r="AI218" i="6"/>
  <c r="K218" i="6"/>
  <c r="J218" i="6"/>
  <c r="I218" i="6"/>
  <c r="AE218" i="6"/>
  <c r="AJ229" i="6"/>
  <c r="J255" i="6"/>
  <c r="AJ255" i="6" s="1"/>
  <c r="I255" i="6"/>
  <c r="AE255" i="6"/>
  <c r="J256" i="6"/>
  <c r="AJ256" i="6" s="1"/>
  <c r="I256" i="6"/>
  <c r="AE256" i="6"/>
  <c r="AJ257" i="6"/>
  <c r="AJ275" i="6"/>
  <c r="AI284" i="6"/>
  <c r="AP295" i="6"/>
  <c r="AP296" i="6"/>
  <c r="AD308" i="6"/>
  <c r="AI316" i="6"/>
  <c r="BG333" i="6"/>
  <c r="W334" i="6" s="1"/>
  <c r="J89" i="6"/>
  <c r="AJ89" i="6" s="1"/>
  <c r="K94" i="6"/>
  <c r="K106" i="6"/>
  <c r="K118" i="6"/>
  <c r="AK118" i="6" s="1"/>
  <c r="J125" i="6"/>
  <c r="AJ125" i="6" s="1"/>
  <c r="K130" i="6"/>
  <c r="K142" i="6"/>
  <c r="I144" i="6"/>
  <c r="K154" i="6"/>
  <c r="AK154" i="6" s="1"/>
  <c r="I156" i="6"/>
  <c r="J161" i="6"/>
  <c r="AJ161" i="6" s="1"/>
  <c r="K166" i="6"/>
  <c r="I168" i="6"/>
  <c r="K178" i="6"/>
  <c r="I180" i="6"/>
  <c r="K190" i="6"/>
  <c r="I192" i="6"/>
  <c r="J207" i="6"/>
  <c r="AI211" i="6"/>
  <c r="K219" i="6"/>
  <c r="AJ227" i="6"/>
  <c r="AI230" i="6"/>
  <c r="K230" i="6"/>
  <c r="J230" i="6"/>
  <c r="AJ230" i="6" s="1"/>
  <c r="I230" i="6"/>
  <c r="AE230" i="6"/>
  <c r="J231" i="6"/>
  <c r="AJ231" i="6" s="1"/>
  <c r="I231" i="6"/>
  <c r="AE231" i="6"/>
  <c r="K243" i="6"/>
  <c r="AJ251" i="6"/>
  <c r="AI254" i="6"/>
  <c r="K254" i="6"/>
  <c r="J254" i="6"/>
  <c r="AJ254" i="6" s="1"/>
  <c r="I254" i="6"/>
  <c r="AE254" i="6"/>
  <c r="AJ259" i="6"/>
  <c r="AI267" i="6"/>
  <c r="K267" i="6"/>
  <c r="J267" i="6"/>
  <c r="AJ267" i="6" s="1"/>
  <c r="AG267" i="6"/>
  <c r="I267" i="6"/>
  <c r="AE267" i="6"/>
  <c r="AI272" i="6"/>
  <c r="AJ277" i="6"/>
  <c r="AJ288" i="6"/>
  <c r="AV295" i="6"/>
  <c r="L296" i="6" s="1"/>
  <c r="AV296" i="6" s="1"/>
  <c r="L297" i="6" s="1"/>
  <c r="AI296" i="6"/>
  <c r="AD319" i="6"/>
  <c r="BD331" i="6"/>
  <c r="T332" i="6" s="1"/>
  <c r="BD332" i="6" s="1"/>
  <c r="T333" i="6" s="1"/>
  <c r="BD333" i="6" s="1"/>
  <c r="T334" i="6" s="1"/>
  <c r="AP331" i="6"/>
  <c r="AJ339" i="6"/>
  <c r="BF389" i="6"/>
  <c r="V390" i="6" s="1"/>
  <c r="AH389" i="6"/>
  <c r="AH258" i="6"/>
  <c r="AP262" i="6"/>
  <c r="K275" i="6"/>
  <c r="AI275" i="6"/>
  <c r="I277" i="6"/>
  <c r="J282" i="6"/>
  <c r="AJ282" i="6" s="1"/>
  <c r="K287" i="6"/>
  <c r="AI287" i="6"/>
  <c r="I289" i="6"/>
  <c r="J294" i="6"/>
  <c r="AJ294" i="6" s="1"/>
  <c r="AP298" i="6"/>
  <c r="K299" i="6"/>
  <c r="AI299" i="6"/>
  <c r="I301" i="6"/>
  <c r="AD301" i="6" s="1"/>
  <c r="K303" i="6"/>
  <c r="I307" i="6"/>
  <c r="AD307" i="6" s="1"/>
  <c r="AD310" i="6"/>
  <c r="I311" i="6"/>
  <c r="AD311" i="6" s="1"/>
  <c r="I320" i="6"/>
  <c r="AD320" i="6" s="1"/>
  <c r="AJ323" i="6"/>
  <c r="AP334" i="6"/>
  <c r="AI338" i="6"/>
  <c r="K338" i="6"/>
  <c r="AK338" i="6" s="1"/>
  <c r="I338" i="6"/>
  <c r="AE338" i="6"/>
  <c r="AI378" i="6"/>
  <c r="AI433" i="6"/>
  <c r="K433" i="6"/>
  <c r="I433" i="6"/>
  <c r="AE433" i="6"/>
  <c r="J433" i="6"/>
  <c r="AJ433" i="6" s="1"/>
  <c r="BA483" i="6"/>
  <c r="Q484" i="6" s="1"/>
  <c r="BF533" i="6"/>
  <c r="V534" i="6" s="1"/>
  <c r="AH533" i="6"/>
  <c r="AE304" i="6"/>
  <c r="J305" i="6"/>
  <c r="AJ305" i="6" s="1"/>
  <c r="AI305" i="6"/>
  <c r="AJ319" i="6"/>
  <c r="AK333" i="6"/>
  <c r="AJ347" i="6"/>
  <c r="AG368" i="6"/>
  <c r="AJ395" i="6"/>
  <c r="AG442" i="6"/>
  <c r="BA442" i="6"/>
  <c r="Q443" i="6" s="1"/>
  <c r="BA443" i="6" s="1"/>
  <c r="Q444" i="6" s="1"/>
  <c r="BA444" i="6" s="1"/>
  <c r="Q445" i="6" s="1"/>
  <c r="BA445" i="6" s="1"/>
  <c r="Q446" i="6" s="1"/>
  <c r="BA446" i="6" s="1"/>
  <c r="Q447" i="6" s="1"/>
  <c r="BA447" i="6" s="1"/>
  <c r="Q448" i="6" s="1"/>
  <c r="AK450" i="6"/>
  <c r="AI503" i="6"/>
  <c r="K503" i="6"/>
  <c r="J503" i="6"/>
  <c r="AJ503" i="6" s="1"/>
  <c r="I503" i="6"/>
  <c r="AE503" i="6"/>
  <c r="BF569" i="6"/>
  <c r="V570" i="6" s="1"/>
  <c r="AH569" i="6"/>
  <c r="AP300" i="6"/>
  <c r="AJ363" i="6"/>
  <c r="AJ399" i="6"/>
  <c r="AJ421" i="6"/>
  <c r="AJ481" i="6"/>
  <c r="AY565" i="6"/>
  <c r="O566" i="6" s="1"/>
  <c r="AY566" i="6" s="1"/>
  <c r="O567" i="6" s="1"/>
  <c r="AY567" i="6" s="1"/>
  <c r="O568" i="6" s="1"/>
  <c r="AY568" i="6" s="1"/>
  <c r="O569" i="6" s="1"/>
  <c r="AY569" i="6" s="1"/>
  <c r="O570" i="6" s="1"/>
  <c r="AY570" i="6" s="1"/>
  <c r="O571" i="6" s="1"/>
  <c r="AY571" i="6" s="1"/>
  <c r="O572" i="6" s="1"/>
  <c r="AY572" i="6" s="1"/>
  <c r="O573" i="6" s="1"/>
  <c r="AY573" i="6" s="1"/>
  <c r="O574" i="6" s="1"/>
  <c r="AY574" i="6" s="1"/>
  <c r="O575" i="6" s="1"/>
  <c r="AY575" i="6" s="1"/>
  <c r="O576" i="6" s="1"/>
  <c r="AY576" i="6" s="1"/>
  <c r="O577" i="6" s="1"/>
  <c r="AY577" i="6" s="1"/>
  <c r="O578" i="6" s="1"/>
  <c r="AY578" i="6" s="1"/>
  <c r="O579" i="6" s="1"/>
  <c r="AY579" i="6" s="1"/>
  <c r="O580" i="6" s="1"/>
  <c r="AY580" i="6" s="1"/>
  <c r="O581" i="6" s="1"/>
  <c r="AY581" i="6" s="1"/>
  <c r="K200" i="6"/>
  <c r="AI200" i="6"/>
  <c r="K212" i="6"/>
  <c r="AI212" i="6"/>
  <c r="I214" i="6"/>
  <c r="K224" i="6"/>
  <c r="AK224" i="6" s="1"/>
  <c r="AI224" i="6"/>
  <c r="I226" i="6"/>
  <c r="AG226" i="6"/>
  <c r="K236" i="6"/>
  <c r="AI236" i="6"/>
  <c r="I238" i="6"/>
  <c r="AE240" i="6"/>
  <c r="K248" i="6"/>
  <c r="AI248" i="6"/>
  <c r="I250" i="6"/>
  <c r="AE252" i="6"/>
  <c r="I262" i="6"/>
  <c r="AG262" i="6"/>
  <c r="AE264" i="6"/>
  <c r="AE276" i="6"/>
  <c r="AE288" i="6"/>
  <c r="I298" i="6"/>
  <c r="AD298" i="6" s="1"/>
  <c r="AE300" i="6"/>
  <c r="AE311" i="6"/>
  <c r="AI320" i="6"/>
  <c r="AI326" i="6"/>
  <c r="K326" i="6"/>
  <c r="I326" i="6"/>
  <c r="AD326" i="6" s="1"/>
  <c r="AE326" i="6"/>
  <c r="I332" i="6"/>
  <c r="AH332" i="6"/>
  <c r="J332" i="6"/>
  <c r="AJ332" i="6" s="1"/>
  <c r="AI335" i="6"/>
  <c r="AI340" i="6"/>
  <c r="K340" i="6"/>
  <c r="I340" i="6"/>
  <c r="AE340" i="6"/>
  <c r="J355" i="6"/>
  <c r="AJ355" i="6" s="1"/>
  <c r="I355" i="6"/>
  <c r="AE355" i="6"/>
  <c r="I356" i="6"/>
  <c r="AE356" i="6"/>
  <c r="J356" i="6"/>
  <c r="AJ356" i="6" s="1"/>
  <c r="AJ375" i="6"/>
  <c r="AI379" i="6"/>
  <c r="K379" i="6"/>
  <c r="J379" i="6"/>
  <c r="AJ379" i="6" s="1"/>
  <c r="I379" i="6"/>
  <c r="AE379" i="6"/>
  <c r="AJ411" i="6"/>
  <c r="K415" i="6"/>
  <c r="J415" i="6"/>
  <c r="AJ415" i="6" s="1"/>
  <c r="I415" i="6"/>
  <c r="AI415" i="6"/>
  <c r="AE415" i="6"/>
  <c r="AJ417" i="6"/>
  <c r="AY529" i="6"/>
  <c r="O530" i="6" s="1"/>
  <c r="AY530" i="6" s="1"/>
  <c r="O531" i="6" s="1"/>
  <c r="AY531" i="6" s="1"/>
  <c r="O532" i="6" s="1"/>
  <c r="AY532" i="6" s="1"/>
  <c r="O533" i="6" s="1"/>
  <c r="AY533" i="6" s="1"/>
  <c r="O534" i="6" s="1"/>
  <c r="AY534" i="6" s="1"/>
  <c r="O535" i="6" s="1"/>
  <c r="AY535" i="6" s="1"/>
  <c r="O536" i="6" s="1"/>
  <c r="AY536" i="6" s="1"/>
  <c r="O537" i="6" s="1"/>
  <c r="AY537" i="6" s="1"/>
  <c r="O538" i="6" s="1"/>
  <c r="AY538" i="6" s="1"/>
  <c r="O539" i="6" s="1"/>
  <c r="AY539" i="6" s="1"/>
  <c r="O540" i="6" s="1"/>
  <c r="AY540" i="6" s="1"/>
  <c r="O541" i="6" s="1"/>
  <c r="AY541" i="6" s="1"/>
  <c r="O542" i="6" s="1"/>
  <c r="AY542" i="6" s="1"/>
  <c r="O543" i="6" s="1"/>
  <c r="AY543" i="6" s="1"/>
  <c r="O544" i="6" s="1"/>
  <c r="AY544" i="6" s="1"/>
  <c r="O545" i="6" s="1"/>
  <c r="AY545" i="6" s="1"/>
  <c r="AJ565" i="6"/>
  <c r="J317" i="6"/>
  <c r="AJ317" i="6" s="1"/>
  <c r="AE317" i="6"/>
  <c r="J318" i="6"/>
  <c r="AJ318" i="6" s="1"/>
  <c r="AE318" i="6"/>
  <c r="AD322" i="6"/>
  <c r="AE327" i="6"/>
  <c r="I327" i="6"/>
  <c r="AD327" i="6" s="1"/>
  <c r="BE332" i="6"/>
  <c r="U332" i="6"/>
  <c r="AV332" i="6"/>
  <c r="L333" i="6" s="1"/>
  <c r="J343" i="6"/>
  <c r="AJ343" i="6" s="1"/>
  <c r="AE343" i="6"/>
  <c r="AI354" i="6"/>
  <c r="K354" i="6"/>
  <c r="J354" i="6"/>
  <c r="AJ354" i="6" s="1"/>
  <c r="I354" i="6"/>
  <c r="AE354" i="6"/>
  <c r="AK368" i="6"/>
  <c r="AJ383" i="6"/>
  <c r="AJ439" i="6"/>
  <c r="AI460" i="6"/>
  <c r="AP515" i="6"/>
  <c r="K214" i="6"/>
  <c r="AP225" i="6"/>
  <c r="K226" i="6"/>
  <c r="AK226" i="6" s="1"/>
  <c r="J233" i="6"/>
  <c r="AJ233" i="6" s="1"/>
  <c r="K238" i="6"/>
  <c r="I240" i="6"/>
  <c r="K250" i="6"/>
  <c r="I252" i="6"/>
  <c r="AP261" i="6"/>
  <c r="K262" i="6"/>
  <c r="AK262" i="6" s="1"/>
  <c r="I264" i="6"/>
  <c r="AG264" i="6"/>
  <c r="AE266" i="6"/>
  <c r="J269" i="6"/>
  <c r="AJ269" i="6" s="1"/>
  <c r="I276" i="6"/>
  <c r="AE278" i="6"/>
  <c r="I288" i="6"/>
  <c r="AE290" i="6"/>
  <c r="AP297" i="6"/>
  <c r="K298" i="6"/>
  <c r="I300" i="6"/>
  <c r="AD300" i="6" s="1"/>
  <c r="AI304" i="6"/>
  <c r="K305" i="6"/>
  <c r="I316" i="6"/>
  <c r="AD316" i="6" s="1"/>
  <c r="K319" i="6"/>
  <c r="AE319" i="6"/>
  <c r="AE332" i="6"/>
  <c r="AI343" i="6"/>
  <c r="AG371" i="6"/>
  <c r="BA371" i="6"/>
  <c r="Q372" i="6" s="1"/>
  <c r="BA372" i="6" s="1"/>
  <c r="Q373" i="6" s="1"/>
  <c r="BA373" i="6" s="1"/>
  <c r="Q374" i="6" s="1"/>
  <c r="BA374" i="6" s="1"/>
  <c r="Q375" i="6" s="1"/>
  <c r="BA375" i="6" s="1"/>
  <c r="Q376" i="6" s="1"/>
  <c r="BA376" i="6" s="1"/>
  <c r="Q377" i="6" s="1"/>
  <c r="AP369" i="6"/>
  <c r="I328" i="6"/>
  <c r="AD328" i="6" s="1"/>
  <c r="AE328" i="6"/>
  <c r="AK332" i="6"/>
  <c r="AK336" i="6"/>
  <c r="AJ340" i="6"/>
  <c r="AJ359" i="6"/>
  <c r="AJ364" i="6"/>
  <c r="BE369" i="6"/>
  <c r="U369" i="6"/>
  <c r="AI384" i="6"/>
  <c r="AI391" i="6"/>
  <c r="K391" i="6"/>
  <c r="J391" i="6"/>
  <c r="AJ391" i="6" s="1"/>
  <c r="I391" i="6"/>
  <c r="AE391" i="6"/>
  <c r="AJ400" i="6"/>
  <c r="BA407" i="6"/>
  <c r="Q408" i="6" s="1"/>
  <c r="BA408" i="6" s="1"/>
  <c r="Q409" i="6" s="1"/>
  <c r="BA409" i="6" s="1"/>
  <c r="Q410" i="6" s="1"/>
  <c r="BA410" i="6" s="1"/>
  <c r="Q411" i="6" s="1"/>
  <c r="BA411" i="6" s="1"/>
  <c r="Q412" i="6" s="1"/>
  <c r="BA412" i="6" s="1"/>
  <c r="Q413" i="6" s="1"/>
  <c r="AP405" i="6"/>
  <c r="J199" i="6"/>
  <c r="K240" i="6"/>
  <c r="K252" i="6"/>
  <c r="AP263" i="6"/>
  <c r="K264" i="6"/>
  <c r="I266" i="6"/>
  <c r="K276" i="6"/>
  <c r="I278" i="6"/>
  <c r="K288" i="6"/>
  <c r="I290" i="6"/>
  <c r="AP299" i="6"/>
  <c r="K300" i="6"/>
  <c r="I304" i="6"/>
  <c r="AD304" i="6" s="1"/>
  <c r="AI314" i="6"/>
  <c r="K314" i="6"/>
  <c r="AE314" i="6"/>
  <c r="I317" i="6"/>
  <c r="AD317" i="6" s="1"/>
  <c r="I318" i="6"/>
  <c r="AD318" i="6" s="1"/>
  <c r="AI319" i="6"/>
  <c r="J327" i="6"/>
  <c r="AJ327" i="6" s="1"/>
  <c r="AJ335" i="6"/>
  <c r="I343" i="6"/>
  <c r="AJ351" i="6"/>
  <c r="AJ352" i="6"/>
  <c r="AI367" i="6"/>
  <c r="K367" i="6"/>
  <c r="AK367" i="6" s="1"/>
  <c r="AH367" i="6"/>
  <c r="J367" i="6"/>
  <c r="AJ367" i="6" s="1"/>
  <c r="AG367" i="6"/>
  <c r="I367" i="6"/>
  <c r="AE367" i="6"/>
  <c r="AJ376" i="6"/>
  <c r="BE405" i="6"/>
  <c r="U405" i="6"/>
  <c r="AV405" i="6"/>
  <c r="L406" i="6" s="1"/>
  <c r="AV406" i="6" s="1"/>
  <c r="L407" i="6" s="1"/>
  <c r="AV407" i="6"/>
  <c r="L408" i="6" s="1"/>
  <c r="AV408" i="6" s="1"/>
  <c r="AJ412" i="6"/>
  <c r="AI425" i="6"/>
  <c r="K425" i="6"/>
  <c r="J425" i="6"/>
  <c r="AJ425" i="6" s="1"/>
  <c r="AE425" i="6"/>
  <c r="I425" i="6"/>
  <c r="BD514" i="6"/>
  <c r="T515" i="6" s="1"/>
  <c r="BD515" i="6" s="1"/>
  <c r="T516" i="6" s="1"/>
  <c r="AE227" i="6"/>
  <c r="AE239" i="6"/>
  <c r="AE251" i="6"/>
  <c r="AI259" i="6"/>
  <c r="AE263" i="6"/>
  <c r="J266" i="6"/>
  <c r="AJ266" i="6" s="1"/>
  <c r="AI271" i="6"/>
  <c r="I273" i="6"/>
  <c r="AE275" i="6"/>
  <c r="J278" i="6"/>
  <c r="AJ278" i="6" s="1"/>
  <c r="AI283" i="6"/>
  <c r="AE287" i="6"/>
  <c r="J290" i="6"/>
  <c r="AJ290" i="6" s="1"/>
  <c r="AI295" i="6"/>
  <c r="AE299" i="6"/>
  <c r="AI303" i="6"/>
  <c r="J304" i="6"/>
  <c r="AJ304" i="6" s="1"/>
  <c r="AJ316" i="6"/>
  <c r="K317" i="6"/>
  <c r="K318" i="6"/>
  <c r="AD321" i="6"/>
  <c r="AI323" i="6"/>
  <c r="K327" i="6"/>
  <c r="AI327" i="6"/>
  <c r="AP333" i="6"/>
  <c r="K343" i="6"/>
  <c r="AI345" i="6"/>
  <c r="AV367" i="6"/>
  <c r="L368" i="6" s="1"/>
  <c r="AV368" i="6" s="1"/>
  <c r="L369" i="6" s="1"/>
  <c r="AJ387" i="6"/>
  <c r="AI403" i="6"/>
  <c r="K403" i="6"/>
  <c r="AH403" i="6"/>
  <c r="J403" i="6"/>
  <c r="AJ403" i="6" s="1"/>
  <c r="I403" i="6"/>
  <c r="AE403" i="6"/>
  <c r="AJ528" i="6"/>
  <c r="K266" i="6"/>
  <c r="K278" i="6"/>
  <c r="K290" i="6"/>
  <c r="K304" i="6"/>
  <c r="AI311" i="6"/>
  <c r="K311" i="6"/>
  <c r="J328" i="6"/>
  <c r="AJ328" i="6" s="1"/>
  <c r="AJ371" i="6"/>
  <c r="AV403" i="6"/>
  <c r="L404" i="6" s="1"/>
  <c r="AV404" i="6" s="1"/>
  <c r="L405" i="6" s="1"/>
  <c r="BD478" i="6"/>
  <c r="T479" i="6" s="1"/>
  <c r="K213" i="6"/>
  <c r="I215" i="6"/>
  <c r="I227" i="6"/>
  <c r="K237" i="6"/>
  <c r="I239" i="6"/>
  <c r="I251" i="6"/>
  <c r="K261" i="6"/>
  <c r="AK261" i="6" s="1"/>
  <c r="I263" i="6"/>
  <c r="K273" i="6"/>
  <c r="I275" i="6"/>
  <c r="K285" i="6"/>
  <c r="I287" i="6"/>
  <c r="K297" i="6"/>
  <c r="I299" i="6"/>
  <c r="AD299" i="6" s="1"/>
  <c r="AE301" i="6"/>
  <c r="I303" i="6"/>
  <c r="AD303" i="6" s="1"/>
  <c r="AE305" i="6"/>
  <c r="AD309" i="6"/>
  <c r="I314" i="6"/>
  <c r="AD314" i="6" s="1"/>
  <c r="AE316" i="6"/>
  <c r="K328" i="6"/>
  <c r="AI328" i="6"/>
  <c r="AI330" i="6"/>
  <c r="K330" i="6"/>
  <c r="AK330" i="6" s="1"/>
  <c r="AH330" i="6"/>
  <c r="J330" i="6"/>
  <c r="AJ330" i="6" s="1"/>
  <c r="AE330" i="6"/>
  <c r="AH331" i="6"/>
  <c r="J331" i="6"/>
  <c r="AJ331" i="6" s="1"/>
  <c r="AK369" i="6"/>
  <c r="AI372" i="6"/>
  <c r="AJ407" i="6"/>
  <c r="AJ471" i="6"/>
  <c r="BG511" i="6"/>
  <c r="W512" i="6" s="1"/>
  <c r="AH511" i="6"/>
  <c r="BA517" i="6"/>
  <c r="Q518" i="6" s="1"/>
  <c r="BA518" i="6" s="1"/>
  <c r="Q519" i="6" s="1"/>
  <c r="BA519" i="6" s="1"/>
  <c r="Q520" i="6" s="1"/>
  <c r="BA520" i="6" s="1"/>
  <c r="Q521" i="6" s="1"/>
  <c r="BA521" i="6" s="1"/>
  <c r="Q522" i="6" s="1"/>
  <c r="BA522" i="6" s="1"/>
  <c r="Q523" i="6" s="1"/>
  <c r="BA523" i="6" s="1"/>
  <c r="Q524" i="6" s="1"/>
  <c r="BA524" i="6" s="1"/>
  <c r="Q525" i="6" s="1"/>
  <c r="K313" i="6"/>
  <c r="AI313" i="6"/>
  <c r="K325" i="6"/>
  <c r="AI325" i="6"/>
  <c r="AE329" i="6"/>
  <c r="K337" i="6"/>
  <c r="AK337" i="6" s="1"/>
  <c r="AI337" i="6"/>
  <c r="I339" i="6"/>
  <c r="AE341" i="6"/>
  <c r="K349" i="6"/>
  <c r="AI349" i="6"/>
  <c r="I351" i="6"/>
  <c r="AE353" i="6"/>
  <c r="K361" i="6"/>
  <c r="AI361" i="6"/>
  <c r="I363" i="6"/>
  <c r="AE365" i="6"/>
  <c r="J368" i="6"/>
  <c r="AJ368" i="6" s="1"/>
  <c r="AH368" i="6"/>
  <c r="I375" i="6"/>
  <c r="AG375" i="6"/>
  <c r="J380" i="6"/>
  <c r="AJ380" i="6" s="1"/>
  <c r="I387" i="6"/>
  <c r="J392" i="6"/>
  <c r="AJ392" i="6" s="1"/>
  <c r="I399" i="6"/>
  <c r="J404" i="6"/>
  <c r="AJ404" i="6" s="1"/>
  <c r="AH404" i="6"/>
  <c r="I411" i="6"/>
  <c r="K423" i="6"/>
  <c r="I437" i="6"/>
  <c r="BG440" i="6"/>
  <c r="W441" i="6" s="1"/>
  <c r="AH440" i="6"/>
  <c r="AI454" i="6"/>
  <c r="AI472" i="6"/>
  <c r="AI478" i="6"/>
  <c r="AJ502" i="6"/>
  <c r="AV511" i="6"/>
  <c r="L512" i="6" s="1"/>
  <c r="AV512" i="6" s="1"/>
  <c r="L513" i="6" s="1"/>
  <c r="AP513" i="6"/>
  <c r="AD528" i="6"/>
  <c r="AJ577" i="6"/>
  <c r="AY601" i="6"/>
  <c r="O602" i="6" s="1"/>
  <c r="AY602" i="6" s="1"/>
  <c r="O603" i="6" s="1"/>
  <c r="AY603" i="6" s="1"/>
  <c r="O604" i="6" s="1"/>
  <c r="AY604" i="6" s="1"/>
  <c r="O605" i="6" s="1"/>
  <c r="AY605" i="6" s="1"/>
  <c r="O606" i="6" s="1"/>
  <c r="AY606" i="6" s="1"/>
  <c r="O607" i="6" s="1"/>
  <c r="AY607" i="6" s="1"/>
  <c r="O608" i="6" s="1"/>
  <c r="AY608" i="6" s="1"/>
  <c r="O609" i="6" s="1"/>
  <c r="AY609" i="6" s="1"/>
  <c r="O610" i="6" s="1"/>
  <c r="AY610" i="6" s="1"/>
  <c r="O611" i="6" s="1"/>
  <c r="AY611" i="6" s="1"/>
  <c r="O612" i="6" s="1"/>
  <c r="AY612" i="6" s="1"/>
  <c r="O613" i="6" s="1"/>
  <c r="AY613" i="6" s="1"/>
  <c r="O614" i="6" s="1"/>
  <c r="AY614" i="6" s="1"/>
  <c r="O615" i="6" s="1"/>
  <c r="AY615" i="6" s="1"/>
  <c r="O616" i="6" s="1"/>
  <c r="AY616" i="6" s="1"/>
  <c r="O617" i="6" s="1"/>
  <c r="AY617" i="6" s="1"/>
  <c r="AE601" i="6"/>
  <c r="AH438" i="6"/>
  <c r="BD438" i="6"/>
  <c r="T439" i="6" s="1"/>
  <c r="BD439" i="6" s="1"/>
  <c r="T440" i="6" s="1"/>
  <c r="BD440" i="6" s="1"/>
  <c r="T441" i="6" s="1"/>
  <c r="BD441" i="6" s="1"/>
  <c r="T442" i="6" s="1"/>
  <c r="AJ463" i="6"/>
  <c r="AJ469" i="6"/>
  <c r="AI484" i="6"/>
  <c r="AJ507" i="6"/>
  <c r="AK510" i="6"/>
  <c r="BE512" i="6"/>
  <c r="U512" i="6"/>
  <c r="AJ511" i="6"/>
  <c r="AJ516" i="6"/>
  <c r="AJ553" i="6"/>
  <c r="BF641" i="6"/>
  <c r="V642" i="6" s="1"/>
  <c r="AH641" i="6"/>
  <c r="K310" i="6"/>
  <c r="AI310" i="6"/>
  <c r="I312" i="6"/>
  <c r="AD312" i="6" s="1"/>
  <c r="K322" i="6"/>
  <c r="AI322" i="6"/>
  <c r="I324" i="6"/>
  <c r="AD324" i="6" s="1"/>
  <c r="J329" i="6"/>
  <c r="AJ329" i="6" s="1"/>
  <c r="K334" i="6"/>
  <c r="AK334" i="6" s="1"/>
  <c r="AI334" i="6"/>
  <c r="I336" i="6"/>
  <c r="J341" i="6"/>
  <c r="AJ341" i="6" s="1"/>
  <c r="K346" i="6"/>
  <c r="AI346" i="6"/>
  <c r="I348" i="6"/>
  <c r="AE350" i="6"/>
  <c r="J353" i="6"/>
  <c r="AJ353" i="6" s="1"/>
  <c r="K358" i="6"/>
  <c r="AI358" i="6"/>
  <c r="I360" i="6"/>
  <c r="AE362" i="6"/>
  <c r="J365" i="6"/>
  <c r="AJ365" i="6" s="1"/>
  <c r="K370" i="6"/>
  <c r="AK370" i="6" s="1"/>
  <c r="AI370" i="6"/>
  <c r="I372" i="6"/>
  <c r="AG372" i="6"/>
  <c r="AE374" i="6"/>
  <c r="J377" i="6"/>
  <c r="AJ377" i="6" s="1"/>
  <c r="K382" i="6"/>
  <c r="AI382" i="6"/>
  <c r="I384" i="6"/>
  <c r="AE386" i="6"/>
  <c r="J389" i="6"/>
  <c r="AJ389" i="6" s="1"/>
  <c r="K394" i="6"/>
  <c r="AI394" i="6"/>
  <c r="I396" i="6"/>
  <c r="AE398" i="6"/>
  <c r="J401" i="6"/>
  <c r="AJ401" i="6" s="1"/>
  <c r="K406" i="6"/>
  <c r="AI406" i="6"/>
  <c r="I408" i="6"/>
  <c r="AE410" i="6"/>
  <c r="J413" i="6"/>
  <c r="AJ413" i="6" s="1"/>
  <c r="AI421" i="6"/>
  <c r="K421" i="6"/>
  <c r="I421" i="6"/>
  <c r="AJ426" i="6"/>
  <c r="AJ430" i="6"/>
  <c r="AJ457" i="6"/>
  <c r="AP476" i="6"/>
  <c r="AJ478" i="6"/>
  <c r="AJ489" i="6"/>
  <c r="AJ498" i="6"/>
  <c r="AJ504" i="6"/>
  <c r="AD513" i="6"/>
  <c r="AD523" i="6"/>
  <c r="AD526" i="6"/>
  <c r="BG623" i="6"/>
  <c r="W624" i="6" s="1"/>
  <c r="AJ623" i="6"/>
  <c r="I427" i="6"/>
  <c r="AI427" i="6"/>
  <c r="K427" i="6"/>
  <c r="AE427" i="6"/>
  <c r="AI436" i="6"/>
  <c r="AK440" i="6"/>
  <c r="AJ454" i="6"/>
  <c r="AJ462" i="6"/>
  <c r="AJ487" i="6"/>
  <c r="AI491" i="6"/>
  <c r="K491" i="6"/>
  <c r="J491" i="6"/>
  <c r="AJ491" i="6" s="1"/>
  <c r="I491" i="6"/>
  <c r="AE491" i="6"/>
  <c r="AJ513" i="6"/>
  <c r="AD519" i="6"/>
  <c r="I350" i="6"/>
  <c r="AE352" i="6"/>
  <c r="K360" i="6"/>
  <c r="I362" i="6"/>
  <c r="AE364" i="6"/>
  <c r="K372" i="6"/>
  <c r="AK372" i="6" s="1"/>
  <c r="I374" i="6"/>
  <c r="AE376" i="6"/>
  <c r="K384" i="6"/>
  <c r="I386" i="6"/>
  <c r="AE388" i="6"/>
  <c r="K396" i="6"/>
  <c r="I398" i="6"/>
  <c r="AE400" i="6"/>
  <c r="K408" i="6"/>
  <c r="I410" i="6"/>
  <c r="AE412" i="6"/>
  <c r="AE422" i="6"/>
  <c r="J422" i="6"/>
  <c r="AJ422" i="6" s="1"/>
  <c r="AI431" i="6"/>
  <c r="K431" i="6"/>
  <c r="J431" i="6"/>
  <c r="AJ431" i="6" s="1"/>
  <c r="I431" i="6"/>
  <c r="AE431" i="6"/>
  <c r="AI442" i="6"/>
  <c r="AI443" i="6"/>
  <c r="K443" i="6"/>
  <c r="AK443" i="6" s="1"/>
  <c r="J443" i="6"/>
  <c r="AJ443" i="6" s="1"/>
  <c r="AG443" i="6"/>
  <c r="I443" i="6"/>
  <c r="AE443" i="6"/>
  <c r="AJ466" i="6"/>
  <c r="AJ468" i="6"/>
  <c r="BO513" i="6"/>
  <c r="BN514" i="6" s="1"/>
  <c r="BO514" i="6" s="1"/>
  <c r="BN515" i="6" s="1"/>
  <c r="BO515" i="6" s="1"/>
  <c r="BN516" i="6" s="1"/>
  <c r="BO516" i="6" s="1"/>
  <c r="BN517" i="6" s="1"/>
  <c r="BO517" i="6" s="1"/>
  <c r="BN518" i="6" s="1"/>
  <c r="BO518" i="6" s="1"/>
  <c r="BN519" i="6" s="1"/>
  <c r="BO519" i="6" s="1"/>
  <c r="BN520" i="6" s="1"/>
  <c r="BO520" i="6" s="1"/>
  <c r="BN521" i="6" s="1"/>
  <c r="AJ519" i="6"/>
  <c r="AP547" i="6"/>
  <c r="AI555" i="6"/>
  <c r="K555" i="6"/>
  <c r="AK555" i="6" s="1"/>
  <c r="I555" i="6"/>
  <c r="AE555" i="6"/>
  <c r="J555" i="6"/>
  <c r="AJ555" i="6" s="1"/>
  <c r="AP366" i="6"/>
  <c r="AP402" i="6"/>
  <c r="AI419" i="6"/>
  <c r="K419" i="6"/>
  <c r="I419" i="6"/>
  <c r="AE434" i="6"/>
  <c r="J434" i="6"/>
  <c r="AJ434" i="6" s="1"/>
  <c r="AI434" i="6"/>
  <c r="AK438" i="6"/>
  <c r="AV442" i="6"/>
  <c r="L443" i="6" s="1"/>
  <c r="AV443" i="6" s="1"/>
  <c r="L444" i="6" s="1"/>
  <c r="AV444" i="6"/>
  <c r="AE446" i="6"/>
  <c r="AI446" i="6"/>
  <c r="K446" i="6"/>
  <c r="AK446" i="6" s="1"/>
  <c r="J446" i="6"/>
  <c r="AJ446" i="6" s="1"/>
  <c r="AV475" i="6"/>
  <c r="L476" i="6" s="1"/>
  <c r="AV476" i="6" s="1"/>
  <c r="L477" i="6" s="1"/>
  <c r="AI508" i="6"/>
  <c r="BF605" i="6"/>
  <c r="V606" i="6" s="1"/>
  <c r="AH605" i="6"/>
  <c r="AK587" i="6"/>
  <c r="K350" i="6"/>
  <c r="I352" i="6"/>
  <c r="K362" i="6"/>
  <c r="I364" i="6"/>
  <c r="AE366" i="6"/>
  <c r="K374" i="6"/>
  <c r="AK374" i="6" s="1"/>
  <c r="I376" i="6"/>
  <c r="AG376" i="6"/>
  <c r="AE378" i="6"/>
  <c r="K386" i="6"/>
  <c r="I388" i="6"/>
  <c r="AE390" i="6"/>
  <c r="K398" i="6"/>
  <c r="I400" i="6"/>
  <c r="AE402" i="6"/>
  <c r="K410" i="6"/>
  <c r="I412" i="6"/>
  <c r="AE414" i="6"/>
  <c r="AI418" i="6"/>
  <c r="AI426" i="6"/>
  <c r="J427" i="6"/>
  <c r="AJ427" i="6" s="1"/>
  <c r="AJ453" i="6"/>
  <c r="AJ477" i="6"/>
  <c r="AD512" i="6"/>
  <c r="AD527" i="6"/>
  <c r="AJ529" i="6"/>
  <c r="AJ543" i="6"/>
  <c r="AJ551" i="6"/>
  <c r="BG587" i="6"/>
  <c r="W588" i="6" s="1"/>
  <c r="AH587" i="6"/>
  <c r="BO592" i="6"/>
  <c r="BN593" i="6" s="1"/>
  <c r="BO593" i="6" s="1"/>
  <c r="BN594" i="6" s="1"/>
  <c r="BO594" i="6" s="1"/>
  <c r="BN595" i="6" s="1"/>
  <c r="BO595" i="6" s="1"/>
  <c r="BN596" i="6" s="1"/>
  <c r="BO596" i="6" s="1"/>
  <c r="BN597" i="6" s="1"/>
  <c r="BO597" i="6" s="1"/>
  <c r="BN598" i="6" s="1"/>
  <c r="BO598" i="6" s="1"/>
  <c r="BN599" i="6" s="1"/>
  <c r="BO599" i="6" s="1"/>
  <c r="BN600" i="6" s="1"/>
  <c r="BO600" i="6" s="1"/>
  <c r="BN601" i="6" s="1"/>
  <c r="BO601" i="6" s="1"/>
  <c r="BN602" i="6" s="1"/>
  <c r="BO602" i="6" s="1"/>
  <c r="BN603" i="6" s="1"/>
  <c r="BO603" i="6" s="1"/>
  <c r="BN604" i="6" s="1"/>
  <c r="AK592" i="6"/>
  <c r="AI630" i="6"/>
  <c r="K630" i="6"/>
  <c r="J630" i="6"/>
  <c r="AJ630" i="6" s="1"/>
  <c r="I630" i="6"/>
  <c r="AE630" i="6"/>
  <c r="AP368" i="6"/>
  <c r="AP404" i="6"/>
  <c r="I423" i="6"/>
  <c r="AE423" i="6"/>
  <c r="BE441" i="6"/>
  <c r="U441" i="6"/>
  <c r="AJ441" i="6"/>
  <c r="AK444" i="6"/>
  <c r="AJ445" i="6"/>
  <c r="AI448" i="6"/>
  <c r="AI473" i="6"/>
  <c r="K473" i="6"/>
  <c r="J473" i="6"/>
  <c r="AJ473" i="6" s="1"/>
  <c r="I473" i="6"/>
  <c r="AE473" i="6"/>
  <c r="BG476" i="6"/>
  <c r="W477" i="6" s="1"/>
  <c r="AJ475" i="6"/>
  <c r="BE477" i="6"/>
  <c r="U477" i="6"/>
  <c r="AI479" i="6"/>
  <c r="K479" i="6"/>
  <c r="J479" i="6"/>
  <c r="AJ479" i="6" s="1"/>
  <c r="I479" i="6"/>
  <c r="AE479" i="6"/>
  <c r="AJ505" i="6"/>
  <c r="AJ527" i="6"/>
  <c r="AK546" i="6"/>
  <c r="AK547" i="6"/>
  <c r="BA552" i="6"/>
  <c r="Q553" i="6" s="1"/>
  <c r="AI605" i="6"/>
  <c r="K605" i="6"/>
  <c r="J605" i="6"/>
  <c r="AJ605" i="6" s="1"/>
  <c r="I605" i="6"/>
  <c r="AE605" i="6"/>
  <c r="K352" i="6"/>
  <c r="K364" i="6"/>
  <c r="I366" i="6"/>
  <c r="AG366" i="6"/>
  <c r="AE368" i="6"/>
  <c r="K376" i="6"/>
  <c r="I378" i="6"/>
  <c r="AE380" i="6"/>
  <c r="K388" i="6"/>
  <c r="I390" i="6"/>
  <c r="AE392" i="6"/>
  <c r="K400" i="6"/>
  <c r="I402" i="6"/>
  <c r="AE404" i="6"/>
  <c r="K412" i="6"/>
  <c r="I414" i="6"/>
  <c r="J419" i="6"/>
  <c r="AJ419" i="6" s="1"/>
  <c r="AJ432" i="6"/>
  <c r="I434" i="6"/>
  <c r="AI437" i="6"/>
  <c r="K437" i="6"/>
  <c r="J437" i="6"/>
  <c r="AJ437" i="6" s="1"/>
  <c r="AE437" i="6"/>
  <c r="AJ442" i="6"/>
  <c r="I446" i="6"/>
  <c r="AI449" i="6"/>
  <c r="K449" i="6"/>
  <c r="AK449" i="6" s="1"/>
  <c r="J449" i="6"/>
  <c r="AJ449" i="6" s="1"/>
  <c r="AE449" i="6"/>
  <c r="AJ451" i="6"/>
  <c r="AI455" i="6"/>
  <c r="K455" i="6"/>
  <c r="J455" i="6"/>
  <c r="AJ455" i="6" s="1"/>
  <c r="I455" i="6"/>
  <c r="AE455" i="6"/>
  <c r="AI461" i="6"/>
  <c r="K461" i="6"/>
  <c r="J461" i="6"/>
  <c r="AJ461" i="6" s="1"/>
  <c r="I461" i="6"/>
  <c r="AE461" i="6"/>
  <c r="AI496" i="6"/>
  <c r="AJ501" i="6"/>
  <c r="AJ514" i="6"/>
  <c r="AJ539" i="6"/>
  <c r="I313" i="6"/>
  <c r="AD313" i="6" s="1"/>
  <c r="K323" i="6"/>
  <c r="I325" i="6"/>
  <c r="AD325" i="6" s="1"/>
  <c r="K335" i="6"/>
  <c r="AK335" i="6" s="1"/>
  <c r="I337" i="6"/>
  <c r="K347" i="6"/>
  <c r="I349" i="6"/>
  <c r="K359" i="6"/>
  <c r="I361" i="6"/>
  <c r="J366" i="6"/>
  <c r="AJ366" i="6" s="1"/>
  <c r="AH366" i="6"/>
  <c r="K371" i="6"/>
  <c r="AK371" i="6" s="1"/>
  <c r="I373" i="6"/>
  <c r="AG373" i="6"/>
  <c r="J378" i="6"/>
  <c r="AJ378" i="6" s="1"/>
  <c r="K383" i="6"/>
  <c r="I385" i="6"/>
  <c r="J390" i="6"/>
  <c r="AJ390" i="6" s="1"/>
  <c r="K395" i="6"/>
  <c r="I397" i="6"/>
  <c r="J402" i="6"/>
  <c r="AJ402" i="6" s="1"/>
  <c r="AH402" i="6"/>
  <c r="K407" i="6"/>
  <c r="I409" i="6"/>
  <c r="J414" i="6"/>
  <c r="AJ414" i="6" s="1"/>
  <c r="K434" i="6"/>
  <c r="AG439" i="6"/>
  <c r="AK447" i="6"/>
  <c r="AJ465" i="6"/>
  <c r="AI467" i="6"/>
  <c r="K467" i="6"/>
  <c r="J467" i="6"/>
  <c r="AJ467" i="6" s="1"/>
  <c r="I467" i="6"/>
  <c r="AE467" i="6"/>
  <c r="AI485" i="6"/>
  <c r="K485" i="6"/>
  <c r="J485" i="6"/>
  <c r="AJ485" i="6" s="1"/>
  <c r="I485" i="6"/>
  <c r="AE485" i="6"/>
  <c r="AJ493" i="6"/>
  <c r="AJ499" i="6"/>
  <c r="AI515" i="6"/>
  <c r="K515" i="6"/>
  <c r="J515" i="6"/>
  <c r="AJ515" i="6" s="1"/>
  <c r="I515" i="6"/>
  <c r="AD515" i="6" s="1"/>
  <c r="AE515" i="6"/>
  <c r="AE522" i="6"/>
  <c r="K522" i="6"/>
  <c r="J522" i="6"/>
  <c r="AJ522" i="6" s="1"/>
  <c r="I522" i="6"/>
  <c r="AD522" i="6" s="1"/>
  <c r="AW548" i="6"/>
  <c r="M549" i="6" s="1"/>
  <c r="AH551" i="6"/>
  <c r="BG551" i="6"/>
  <c r="W552" i="6" s="1"/>
  <c r="AI594" i="6"/>
  <c r="K366" i="6"/>
  <c r="AK366" i="6" s="1"/>
  <c r="I368" i="6"/>
  <c r="U368" i="6"/>
  <c r="K378" i="6"/>
  <c r="I380" i="6"/>
  <c r="J385" i="6"/>
  <c r="AJ385" i="6" s="1"/>
  <c r="K390" i="6"/>
  <c r="I392" i="6"/>
  <c r="K402" i="6"/>
  <c r="AK402" i="6" s="1"/>
  <c r="I404" i="6"/>
  <c r="U404" i="6"/>
  <c r="J409" i="6"/>
  <c r="AJ409" i="6" s="1"/>
  <c r="K414" i="6"/>
  <c r="AJ418" i="6"/>
  <c r="AE419" i="6"/>
  <c r="J423" i="6"/>
  <c r="AJ423" i="6" s="1"/>
  <c r="AJ429" i="6"/>
  <c r="AI430" i="6"/>
  <c r="AJ435" i="6"/>
  <c r="AG438" i="6"/>
  <c r="AP440" i="6"/>
  <c r="AJ490" i="6"/>
  <c r="AH510" i="6"/>
  <c r="AJ521" i="6"/>
  <c r="AD525" i="6"/>
  <c r="BO558" i="6"/>
  <c r="BN559" i="6" s="1"/>
  <c r="BO559" i="6" s="1"/>
  <c r="BN560" i="6" s="1"/>
  <c r="BO560" i="6" s="1"/>
  <c r="BN561" i="6" s="1"/>
  <c r="BO561" i="6" s="1"/>
  <c r="BN562" i="6" s="1"/>
  <c r="BO562" i="6" s="1"/>
  <c r="BN563" i="6" s="1"/>
  <c r="BO563" i="6" s="1"/>
  <c r="BN564" i="6" s="1"/>
  <c r="BO564" i="6" s="1"/>
  <c r="BN565" i="6" s="1"/>
  <c r="BO565" i="6" s="1"/>
  <c r="BN566" i="6" s="1"/>
  <c r="BO566" i="6" s="1"/>
  <c r="BN567" i="6" s="1"/>
  <c r="BO567" i="6" s="1"/>
  <c r="BN568" i="6" s="1"/>
  <c r="AK558" i="6"/>
  <c r="BG656" i="6"/>
  <c r="W657" i="6" s="1"/>
  <c r="AH656" i="6"/>
  <c r="BF677" i="6"/>
  <c r="V678" i="6" s="1"/>
  <c r="AH677" i="6"/>
  <c r="AP438" i="6"/>
  <c r="K439" i="6"/>
  <c r="AK439" i="6" s="1"/>
  <c r="AI439" i="6"/>
  <c r="K451" i="6"/>
  <c r="AI451" i="6"/>
  <c r="J458" i="6"/>
  <c r="AJ458" i="6" s="1"/>
  <c r="AI463" i="6"/>
  <c r="J470" i="6"/>
  <c r="AJ470" i="6" s="1"/>
  <c r="AP474" i="6"/>
  <c r="AI475" i="6"/>
  <c r="J482" i="6"/>
  <c r="AJ482" i="6" s="1"/>
  <c r="AI487" i="6"/>
  <c r="J494" i="6"/>
  <c r="AJ494" i="6" s="1"/>
  <c r="AI499" i="6"/>
  <c r="J506" i="6"/>
  <c r="AJ506" i="6" s="1"/>
  <c r="AP510" i="6"/>
  <c r="AI511" i="6"/>
  <c r="AJ523" i="6"/>
  <c r="J535" i="6"/>
  <c r="AJ535" i="6" s="1"/>
  <c r="AE535" i="6"/>
  <c r="AD542" i="6"/>
  <c r="AK548" i="6"/>
  <c r="J559" i="6"/>
  <c r="AJ559" i="6" s="1"/>
  <c r="I559" i="6"/>
  <c r="AE559" i="6"/>
  <c r="J570" i="6"/>
  <c r="AJ570" i="6" s="1"/>
  <c r="I570" i="6"/>
  <c r="AE570" i="6"/>
  <c r="J571" i="6"/>
  <c r="AJ571" i="6" s="1"/>
  <c r="I571" i="6"/>
  <c r="AE571" i="6"/>
  <c r="AJ572" i="6"/>
  <c r="AJ578" i="6"/>
  <c r="BA586" i="6"/>
  <c r="Q587" i="6" s="1"/>
  <c r="BA587" i="6" s="1"/>
  <c r="Q588" i="6" s="1"/>
  <c r="BA623" i="6"/>
  <c r="Q624" i="6" s="1"/>
  <c r="AK623" i="6"/>
  <c r="AJ635" i="6"/>
  <c r="AJ637" i="6"/>
  <c r="AJ654" i="6"/>
  <c r="K458" i="6"/>
  <c r="AI458" i="6"/>
  <c r="K470" i="6"/>
  <c r="AI470" i="6"/>
  <c r="K482" i="6"/>
  <c r="AI482" i="6"/>
  <c r="K494" i="6"/>
  <c r="AI494" i="6"/>
  <c r="K506" i="6"/>
  <c r="AI506" i="6"/>
  <c r="AJ542" i="6"/>
  <c r="AI569" i="6"/>
  <c r="K569" i="6"/>
  <c r="J569" i="6"/>
  <c r="AJ569" i="6" s="1"/>
  <c r="I569" i="6"/>
  <c r="AE569" i="6"/>
  <c r="AI593" i="6"/>
  <c r="K593" i="6"/>
  <c r="AK593" i="6" s="1"/>
  <c r="J593" i="6"/>
  <c r="AJ593" i="6" s="1"/>
  <c r="I593" i="6"/>
  <c r="AE593" i="6"/>
  <c r="AJ607" i="6"/>
  <c r="AK635" i="6"/>
  <c r="K417" i="6"/>
  <c r="AI417" i="6"/>
  <c r="J424" i="6"/>
  <c r="AJ424" i="6" s="1"/>
  <c r="K429" i="6"/>
  <c r="AI429" i="6"/>
  <c r="J436" i="6"/>
  <c r="AJ436" i="6" s="1"/>
  <c r="K441" i="6"/>
  <c r="AK441" i="6" s="1"/>
  <c r="AI441" i="6"/>
  <c r="AE445" i="6"/>
  <c r="J448" i="6"/>
  <c r="AJ448" i="6" s="1"/>
  <c r="K453" i="6"/>
  <c r="AI453" i="6"/>
  <c r="J460" i="6"/>
  <c r="AJ460" i="6" s="1"/>
  <c r="K465" i="6"/>
  <c r="AI465" i="6"/>
  <c r="AE469" i="6"/>
  <c r="J472" i="6"/>
  <c r="AJ472" i="6" s="1"/>
  <c r="K477" i="6"/>
  <c r="AI477" i="6"/>
  <c r="AE481" i="6"/>
  <c r="J484" i="6"/>
  <c r="AJ484" i="6" s="1"/>
  <c r="K489" i="6"/>
  <c r="AI489" i="6"/>
  <c r="AE493" i="6"/>
  <c r="J496" i="6"/>
  <c r="AJ496" i="6" s="1"/>
  <c r="AI501" i="6"/>
  <c r="AE505" i="6"/>
  <c r="J508" i="6"/>
  <c r="AJ508" i="6" s="1"/>
  <c r="AE516" i="6"/>
  <c r="AD518" i="6"/>
  <c r="AE520" i="6"/>
  <c r="I521" i="6"/>
  <c r="AD521" i="6" s="1"/>
  <c r="AI521" i="6"/>
  <c r="AE524" i="6"/>
  <c r="AI527" i="6"/>
  <c r="AD540" i="6"/>
  <c r="AD541" i="6"/>
  <c r="AI545" i="6"/>
  <c r="K545" i="6"/>
  <c r="J545" i="6"/>
  <c r="AJ545" i="6" s="1"/>
  <c r="I545" i="6"/>
  <c r="AD545" i="6" s="1"/>
  <c r="AE545" i="6"/>
  <c r="AJ546" i="6"/>
  <c r="AI559" i="6"/>
  <c r="AI574" i="6"/>
  <c r="AH584" i="6"/>
  <c r="AP585" i="6"/>
  <c r="AJ626" i="6"/>
  <c r="BA659" i="6"/>
  <c r="Q660" i="6" s="1"/>
  <c r="BA660" i="6" s="1"/>
  <c r="Q661" i="6" s="1"/>
  <c r="I462" i="6"/>
  <c r="I474" i="6"/>
  <c r="I486" i="6"/>
  <c r="I498" i="6"/>
  <c r="I510" i="6"/>
  <c r="AD510" i="6" s="1"/>
  <c r="J525" i="6"/>
  <c r="AJ525" i="6" s="1"/>
  <c r="I535" i="6"/>
  <c r="AD535" i="6" s="1"/>
  <c r="K559" i="6"/>
  <c r="K570" i="6"/>
  <c r="K571" i="6"/>
  <c r="AJ602" i="6"/>
  <c r="AJ638" i="6"/>
  <c r="AE435" i="6"/>
  <c r="J438" i="6"/>
  <c r="AJ438" i="6" s="1"/>
  <c r="AP442" i="6"/>
  <c r="I445" i="6"/>
  <c r="AG445" i="6"/>
  <c r="AE447" i="6"/>
  <c r="J450" i="6"/>
  <c r="AJ450" i="6" s="1"/>
  <c r="I457" i="6"/>
  <c r="AE459" i="6"/>
  <c r="I469" i="6"/>
  <c r="J474" i="6"/>
  <c r="AJ474" i="6" s="1"/>
  <c r="AP478" i="6"/>
  <c r="I481" i="6"/>
  <c r="J486" i="6"/>
  <c r="AJ486" i="6" s="1"/>
  <c r="I493" i="6"/>
  <c r="I505" i="6"/>
  <c r="J510" i="6"/>
  <c r="AJ510" i="6" s="1"/>
  <c r="AP514" i="6"/>
  <c r="AD529" i="6"/>
  <c r="K535" i="6"/>
  <c r="AI538" i="6"/>
  <c r="K538" i="6"/>
  <c r="J538" i="6"/>
  <c r="AJ538" i="6" s="1"/>
  <c r="AE538" i="6"/>
  <c r="AJ554" i="6"/>
  <c r="AH582" i="6"/>
  <c r="J582" i="6"/>
  <c r="AJ582" i="6" s="1"/>
  <c r="I582" i="6"/>
  <c r="AE582" i="6"/>
  <c r="BE586" i="6"/>
  <c r="U586" i="6"/>
  <c r="AI611" i="6"/>
  <c r="AJ647" i="6"/>
  <c r="AJ658" i="6"/>
  <c r="AH713" i="6"/>
  <c r="BF713" i="6"/>
  <c r="V714" i="6" s="1"/>
  <c r="BH761" i="6"/>
  <c r="AD761" i="6"/>
  <c r="AD517" i="6"/>
  <c r="I520" i="6"/>
  <c r="AD520" i="6" s="1"/>
  <c r="AI520" i="6"/>
  <c r="AI557" i="6"/>
  <c r="K557" i="6"/>
  <c r="AK557" i="6" s="1"/>
  <c r="J557" i="6"/>
  <c r="AJ557" i="6" s="1"/>
  <c r="I557" i="6"/>
  <c r="AE557" i="6"/>
  <c r="AJ566" i="6"/>
  <c r="AH583" i="6"/>
  <c r="AJ590" i="6"/>
  <c r="AI618" i="6"/>
  <c r="K618" i="6"/>
  <c r="AK618" i="6" s="1"/>
  <c r="J618" i="6"/>
  <c r="AJ618" i="6" s="1"/>
  <c r="I618" i="6"/>
  <c r="AE618" i="6"/>
  <c r="AK619" i="6"/>
  <c r="AK631" i="6"/>
  <c r="AI639" i="6"/>
  <c r="I435" i="6"/>
  <c r="K445" i="6"/>
  <c r="AK445" i="6" s="1"/>
  <c r="I447" i="6"/>
  <c r="AG447" i="6"/>
  <c r="K457" i="6"/>
  <c r="K469" i="6"/>
  <c r="K481" i="6"/>
  <c r="K493" i="6"/>
  <c r="AE497" i="6"/>
  <c r="K505" i="6"/>
  <c r="AE509" i="6"/>
  <c r="AI524" i="6"/>
  <c r="K531" i="6"/>
  <c r="I531" i="6"/>
  <c r="AD531" i="6" s="1"/>
  <c r="J532" i="6"/>
  <c r="AJ532" i="6" s="1"/>
  <c r="I532" i="6"/>
  <c r="AD532" i="6" s="1"/>
  <c r="I533" i="6"/>
  <c r="AD533" i="6" s="1"/>
  <c r="AE533" i="6"/>
  <c r="AI535" i="6"/>
  <c r="AP549" i="6"/>
  <c r="AI550" i="6"/>
  <c r="K550" i="6"/>
  <c r="AK550" i="6" s="1"/>
  <c r="AH550" i="6"/>
  <c r="J550" i="6"/>
  <c r="AJ550" i="6" s="1"/>
  <c r="AE550" i="6"/>
  <c r="AK552" i="6"/>
  <c r="AJ558" i="6"/>
  <c r="AV583" i="6"/>
  <c r="L584" i="6" s="1"/>
  <c r="AV584" i="6" s="1"/>
  <c r="L585" i="6" s="1"/>
  <c r="AK584" i="6"/>
  <c r="J606" i="6"/>
  <c r="AJ606" i="6" s="1"/>
  <c r="I606" i="6"/>
  <c r="AE606" i="6"/>
  <c r="AJ613" i="6"/>
  <c r="BO626" i="6"/>
  <c r="BN627" i="6" s="1"/>
  <c r="BO627" i="6" s="1"/>
  <c r="BN628" i="6" s="1"/>
  <c r="BO628" i="6" s="1"/>
  <c r="BN629" i="6" s="1"/>
  <c r="BO629" i="6" s="1"/>
  <c r="BN630" i="6" s="1"/>
  <c r="BO630" i="6" s="1"/>
  <c r="BN631" i="6" s="1"/>
  <c r="BO631" i="6" s="1"/>
  <c r="BN632" i="6" s="1"/>
  <c r="BO632" i="6" s="1"/>
  <c r="BN633" i="6" s="1"/>
  <c r="BO633" i="6" s="1"/>
  <c r="BN634" i="6" s="1"/>
  <c r="BO634" i="6" s="1"/>
  <c r="BN635" i="6" s="1"/>
  <c r="BO635" i="6" s="1"/>
  <c r="BN636" i="6" s="1"/>
  <c r="BO636" i="6" s="1"/>
  <c r="BN637" i="6" s="1"/>
  <c r="BO637" i="6" s="1"/>
  <c r="BN638" i="6" s="1"/>
  <c r="AK626" i="6"/>
  <c r="AJ672" i="6"/>
  <c r="AP439" i="6"/>
  <c r="J447" i="6"/>
  <c r="AJ447" i="6" s="1"/>
  <c r="AE456" i="6"/>
  <c r="J459" i="6"/>
  <c r="AJ459" i="6" s="1"/>
  <c r="I466" i="6"/>
  <c r="AE468" i="6"/>
  <c r="AP475" i="6"/>
  <c r="I478" i="6"/>
  <c r="AE480" i="6"/>
  <c r="J483" i="6"/>
  <c r="AJ483" i="6" s="1"/>
  <c r="I490" i="6"/>
  <c r="AE492" i="6"/>
  <c r="J495" i="6"/>
  <c r="AJ495" i="6" s="1"/>
  <c r="I502" i="6"/>
  <c r="AE504" i="6"/>
  <c r="AP511" i="6"/>
  <c r="I514" i="6"/>
  <c r="AD514" i="6" s="1"/>
  <c r="I516" i="6"/>
  <c r="AD516" i="6" s="1"/>
  <c r="I534" i="6"/>
  <c r="AD534" i="6" s="1"/>
  <c r="AJ536" i="6"/>
  <c r="I538" i="6"/>
  <c r="AD538" i="6" s="1"/>
  <c r="AG550" i="6"/>
  <c r="AK553" i="6"/>
  <c r="K567" i="6"/>
  <c r="I567" i="6"/>
  <c r="AE567" i="6"/>
  <c r="K582" i="6"/>
  <c r="AK582" i="6" s="1"/>
  <c r="AJ589" i="6"/>
  <c r="AK595" i="6"/>
  <c r="AJ601" i="6"/>
  <c r="AJ611" i="6"/>
  <c r="BE620" i="6"/>
  <c r="U620" i="6"/>
  <c r="AV620" i="6"/>
  <c r="L621" i="6" s="1"/>
  <c r="AJ670" i="6"/>
  <c r="I497" i="6"/>
  <c r="I509" i="6"/>
  <c r="AI519" i="6"/>
  <c r="K519" i="6"/>
  <c r="J520" i="6"/>
  <c r="AJ520" i="6" s="1"/>
  <c r="I524" i="6"/>
  <c r="AD524" i="6" s="1"/>
  <c r="AJ534" i="6"/>
  <c r="AI543" i="6"/>
  <c r="K543" i="6"/>
  <c r="I543" i="6"/>
  <c r="AD543" i="6" s="1"/>
  <c r="AH547" i="6"/>
  <c r="J547" i="6"/>
  <c r="AJ547" i="6" s="1"/>
  <c r="I547" i="6"/>
  <c r="AE547" i="6"/>
  <c r="AH548" i="6"/>
  <c r="AK551" i="6"/>
  <c r="AK583" i="6"/>
  <c r="AK589" i="6"/>
  <c r="J594" i="6"/>
  <c r="AJ594" i="6" s="1"/>
  <c r="I594" i="6"/>
  <c r="AE594" i="6"/>
  <c r="AI603" i="6"/>
  <c r="AJ608" i="6"/>
  <c r="AI623" i="6"/>
  <c r="K418" i="6"/>
  <c r="I420" i="6"/>
  <c r="K430" i="6"/>
  <c r="I432" i="6"/>
  <c r="AP441" i="6"/>
  <c r="K442" i="6"/>
  <c r="AK442" i="6" s="1"/>
  <c r="I444" i="6"/>
  <c r="AG444" i="6"/>
  <c r="K454" i="6"/>
  <c r="I456" i="6"/>
  <c r="K466" i="6"/>
  <c r="I468" i="6"/>
  <c r="AP477" i="6"/>
  <c r="K478" i="6"/>
  <c r="I480" i="6"/>
  <c r="K490" i="6"/>
  <c r="I492" i="6"/>
  <c r="J497" i="6"/>
  <c r="AJ497" i="6" s="1"/>
  <c r="K502" i="6"/>
  <c r="I504" i="6"/>
  <c r="J509" i="6"/>
  <c r="AJ509" i="6" s="1"/>
  <c r="K514" i="6"/>
  <c r="K520" i="6"/>
  <c r="AI523" i="6"/>
  <c r="J524" i="6"/>
  <c r="AJ524" i="6" s="1"/>
  <c r="J526" i="6"/>
  <c r="AJ526" i="6" s="1"/>
  <c r="AD530" i="6"/>
  <c r="J531" i="6"/>
  <c r="AJ531" i="6" s="1"/>
  <c r="K532" i="6"/>
  <c r="J533" i="6"/>
  <c r="AJ533" i="6" s="1"/>
  <c r="K534" i="6"/>
  <c r="AD537" i="6"/>
  <c r="AV547" i="6"/>
  <c r="L548" i="6" s="1"/>
  <c r="AV548" i="6"/>
  <c r="L549" i="6" s="1"/>
  <c r="I550" i="6"/>
  <c r="AI570" i="6"/>
  <c r="AI571" i="6"/>
  <c r="AJ579" i="6"/>
  <c r="AI581" i="6"/>
  <c r="K581" i="6"/>
  <c r="J581" i="6"/>
  <c r="AJ581" i="6" s="1"/>
  <c r="I581" i="6"/>
  <c r="AE581" i="6"/>
  <c r="AK588" i="6"/>
  <c r="AK600" i="6"/>
  <c r="K606" i="6"/>
  <c r="AJ614" i="6"/>
  <c r="AK628" i="6"/>
  <c r="AI635" i="6"/>
  <c r="AJ643" i="6"/>
  <c r="AJ656" i="6"/>
  <c r="J420" i="6"/>
  <c r="AJ420" i="6" s="1"/>
  <c r="I439" i="6"/>
  <c r="U439" i="6"/>
  <c r="J444" i="6"/>
  <c r="AJ444" i="6" s="1"/>
  <c r="I451" i="6"/>
  <c r="J456" i="6"/>
  <c r="AJ456" i="6" s="1"/>
  <c r="I463" i="6"/>
  <c r="I475" i="6"/>
  <c r="U475" i="6"/>
  <c r="J480" i="6"/>
  <c r="AJ480" i="6" s="1"/>
  <c r="I487" i="6"/>
  <c r="J492" i="6"/>
  <c r="AJ492" i="6" s="1"/>
  <c r="K497" i="6"/>
  <c r="I499" i="6"/>
  <c r="K509" i="6"/>
  <c r="I511" i="6"/>
  <c r="AD511" i="6" s="1"/>
  <c r="U511" i="6"/>
  <c r="AE525" i="6"/>
  <c r="AJ530" i="6"/>
  <c r="K533" i="6"/>
  <c r="AD536" i="6"/>
  <c r="BE547" i="6"/>
  <c r="U547" i="6"/>
  <c r="AI547" i="6"/>
  <c r="AP550" i="6"/>
  <c r="J567" i="6"/>
  <c r="AJ567" i="6" s="1"/>
  <c r="AI598" i="6"/>
  <c r="AK599" i="6"/>
  <c r="AK620" i="6"/>
  <c r="AJ625" i="6"/>
  <c r="AK632" i="6"/>
  <c r="AJ653" i="6"/>
  <c r="BO657" i="6"/>
  <c r="BN658" i="6" s="1"/>
  <c r="BO658" i="6" s="1"/>
  <c r="BN659" i="6" s="1"/>
  <c r="AI671" i="6"/>
  <c r="AJ677" i="6"/>
  <c r="BO704" i="6"/>
  <c r="BN705" i="6" s="1"/>
  <c r="BO705" i="6" s="1"/>
  <c r="BN706" i="6" s="1"/>
  <c r="BO706" i="6" s="1"/>
  <c r="BN707" i="6" s="1"/>
  <c r="BO707" i="6" s="1"/>
  <c r="BN708" i="6" s="1"/>
  <c r="BO708" i="6" s="1"/>
  <c r="BN709" i="6" s="1"/>
  <c r="BO709" i="6" s="1"/>
  <c r="BN710" i="6" s="1"/>
  <c r="BO710" i="6" s="1"/>
  <c r="BN711" i="6" s="1"/>
  <c r="BO711" i="6" s="1"/>
  <c r="BN712" i="6" s="1"/>
  <c r="BO712" i="6" s="1"/>
  <c r="BN713" i="6" s="1"/>
  <c r="BO713" i="6" s="1"/>
  <c r="BN714" i="6" s="1"/>
  <c r="BO714" i="6" s="1"/>
  <c r="BN715" i="6" s="1"/>
  <c r="BO715" i="6" s="1"/>
  <c r="BN716" i="6" s="1"/>
  <c r="AJ710" i="6"/>
  <c r="BO740" i="6"/>
  <c r="BN741" i="6" s="1"/>
  <c r="BO741" i="6" s="1"/>
  <c r="BN742" i="6" s="1"/>
  <c r="K518" i="6"/>
  <c r="AI518" i="6"/>
  <c r="K530" i="6"/>
  <c r="AI530" i="6"/>
  <c r="J537" i="6"/>
  <c r="AJ537" i="6" s="1"/>
  <c r="K542" i="6"/>
  <c r="AI542" i="6"/>
  <c r="I544" i="6"/>
  <c r="AD544" i="6" s="1"/>
  <c r="J549" i="6"/>
  <c r="AJ549" i="6" s="1"/>
  <c r="K554" i="6"/>
  <c r="AK554" i="6" s="1"/>
  <c r="AI554" i="6"/>
  <c r="I556" i="6"/>
  <c r="J561" i="6"/>
  <c r="AJ561" i="6" s="1"/>
  <c r="K566" i="6"/>
  <c r="AI566" i="6"/>
  <c r="I568" i="6"/>
  <c r="J573" i="6"/>
  <c r="AJ573" i="6" s="1"/>
  <c r="K578" i="6"/>
  <c r="AI578" i="6"/>
  <c r="I580" i="6"/>
  <c r="J585" i="6"/>
  <c r="AJ585" i="6" s="1"/>
  <c r="K590" i="6"/>
  <c r="AK590" i="6" s="1"/>
  <c r="AI590" i="6"/>
  <c r="I592" i="6"/>
  <c r="J597" i="6"/>
  <c r="AJ597" i="6" s="1"/>
  <c r="K602" i="6"/>
  <c r="AK602" i="6" s="1"/>
  <c r="AI602" i="6"/>
  <c r="I604" i="6"/>
  <c r="J609" i="6"/>
  <c r="AJ609" i="6" s="1"/>
  <c r="AI614" i="6"/>
  <c r="I616" i="6"/>
  <c r="J621" i="6"/>
  <c r="AJ621" i="6" s="1"/>
  <c r="AI626" i="6"/>
  <c r="I628" i="6"/>
  <c r="J633" i="6"/>
  <c r="AJ633" i="6" s="1"/>
  <c r="AI638" i="6"/>
  <c r="AI645" i="6"/>
  <c r="J648" i="6"/>
  <c r="AJ648" i="6" s="1"/>
  <c r="I652" i="6"/>
  <c r="AI660" i="6"/>
  <c r="K660" i="6"/>
  <c r="I660" i="6"/>
  <c r="AE660" i="6"/>
  <c r="AJ669" i="6"/>
  <c r="AI686" i="6"/>
  <c r="K686" i="6"/>
  <c r="J686" i="6"/>
  <c r="AJ686" i="6" s="1"/>
  <c r="I686" i="6"/>
  <c r="AE686" i="6"/>
  <c r="AH690" i="6"/>
  <c r="J736" i="6"/>
  <c r="AJ736" i="6" s="1"/>
  <c r="I736" i="6"/>
  <c r="AD736" i="6" s="1"/>
  <c r="AE736" i="6"/>
  <c r="K736" i="6"/>
  <c r="AI736" i="6"/>
  <c r="AD758" i="6"/>
  <c r="K537" i="6"/>
  <c r="AI537" i="6"/>
  <c r="I539" i="6"/>
  <c r="AD539" i="6" s="1"/>
  <c r="J544" i="6"/>
  <c r="AJ544" i="6" s="1"/>
  <c r="AP548" i="6"/>
  <c r="K549" i="6"/>
  <c r="AK549" i="6" s="1"/>
  <c r="AI549" i="6"/>
  <c r="I551" i="6"/>
  <c r="AG551" i="6"/>
  <c r="J556" i="6"/>
  <c r="AJ556" i="6" s="1"/>
  <c r="K561" i="6"/>
  <c r="AI561" i="6"/>
  <c r="I563" i="6"/>
  <c r="J568" i="6"/>
  <c r="AJ568" i="6" s="1"/>
  <c r="K573" i="6"/>
  <c r="AI573" i="6"/>
  <c r="I575" i="6"/>
  <c r="J580" i="6"/>
  <c r="AJ580" i="6" s="1"/>
  <c r="AP584" i="6"/>
  <c r="K585" i="6"/>
  <c r="AK585" i="6" s="1"/>
  <c r="AI585" i="6"/>
  <c r="I587" i="6"/>
  <c r="J592" i="6"/>
  <c r="AJ592" i="6" s="1"/>
  <c r="K597" i="6"/>
  <c r="AK597" i="6" s="1"/>
  <c r="AI597" i="6"/>
  <c r="I599" i="6"/>
  <c r="J604" i="6"/>
  <c r="AJ604" i="6" s="1"/>
  <c r="K609" i="6"/>
  <c r="AI609" i="6"/>
  <c r="AE613" i="6"/>
  <c r="J616" i="6"/>
  <c r="AJ616" i="6" s="1"/>
  <c r="AP620" i="6"/>
  <c r="K621" i="6"/>
  <c r="AK621" i="6" s="1"/>
  <c r="AI621" i="6"/>
  <c r="AE625" i="6"/>
  <c r="J628" i="6"/>
  <c r="AJ628" i="6" s="1"/>
  <c r="K633" i="6"/>
  <c r="AK633" i="6" s="1"/>
  <c r="AI633" i="6"/>
  <c r="AE637" i="6"/>
  <c r="AE649" i="6"/>
  <c r="J649" i="6"/>
  <c r="AJ649" i="6" s="1"/>
  <c r="AI653" i="6"/>
  <c r="AJ661" i="6"/>
  <c r="AJ663" i="6"/>
  <c r="AI664" i="6"/>
  <c r="K664" i="6"/>
  <c r="J664" i="6"/>
  <c r="AJ664" i="6" s="1"/>
  <c r="I664" i="6"/>
  <c r="AE664" i="6"/>
  <c r="J666" i="6"/>
  <c r="AJ666" i="6" s="1"/>
  <c r="I666" i="6"/>
  <c r="AE666" i="6"/>
  <c r="K666" i="6"/>
  <c r="BG692" i="6"/>
  <c r="W693" i="6" s="1"/>
  <c r="BG693" i="6" s="1"/>
  <c r="W694" i="6" s="1"/>
  <c r="AH692" i="6"/>
  <c r="AJ707" i="6"/>
  <c r="I642" i="6"/>
  <c r="AK808" i="6"/>
  <c r="BO808" i="6"/>
  <c r="BN809" i="6" s="1"/>
  <c r="BO809" i="6" s="1"/>
  <c r="BN810" i="6" s="1"/>
  <c r="BO810" i="6" s="1"/>
  <c r="BN811" i="6" s="1"/>
  <c r="BO811" i="6" s="1"/>
  <c r="BN812" i="6" s="1"/>
  <c r="BO812" i="6" s="1"/>
  <c r="BN813" i="6" s="1"/>
  <c r="BO813" i="6" s="1"/>
  <c r="BN814" i="6" s="1"/>
  <c r="AE579" i="6"/>
  <c r="AP586" i="6"/>
  <c r="AE591" i="6"/>
  <c r="AE603" i="6"/>
  <c r="AE615" i="6"/>
  <c r="AP622" i="6"/>
  <c r="AE627" i="6"/>
  <c r="AI640" i="6"/>
  <c r="K640" i="6"/>
  <c r="J640" i="6"/>
  <c r="AJ640" i="6" s="1"/>
  <c r="AE640" i="6"/>
  <c r="AJ641" i="6"/>
  <c r="AJ645" i="6"/>
  <c r="I650" i="6"/>
  <c r="AE650" i="6"/>
  <c r="AI659" i="6"/>
  <c r="AJ673" i="6"/>
  <c r="AI674" i="6"/>
  <c r="K674" i="6"/>
  <c r="I674" i="6"/>
  <c r="AE674" i="6"/>
  <c r="AI679" i="6"/>
  <c r="AD735" i="6"/>
  <c r="AD740" i="6"/>
  <c r="BF785" i="6"/>
  <c r="V786" i="6" s="1"/>
  <c r="AE622" i="6"/>
  <c r="AE634" i="6"/>
  <c r="AI676" i="6"/>
  <c r="K676" i="6"/>
  <c r="J676" i="6"/>
  <c r="AJ676" i="6" s="1"/>
  <c r="I676" i="6"/>
  <c r="AE676" i="6"/>
  <c r="AJ697" i="6"/>
  <c r="AD728" i="6"/>
  <c r="J548" i="6"/>
  <c r="AJ548" i="6" s="1"/>
  <c r="J560" i="6"/>
  <c r="AJ560" i="6" s="1"/>
  <c r="I579" i="6"/>
  <c r="J584" i="6"/>
  <c r="AJ584" i="6" s="1"/>
  <c r="I591" i="6"/>
  <c r="J596" i="6"/>
  <c r="AJ596" i="6" s="1"/>
  <c r="I603" i="6"/>
  <c r="K613" i="6"/>
  <c r="I615" i="6"/>
  <c r="AE617" i="6"/>
  <c r="J620" i="6"/>
  <c r="AJ620" i="6" s="1"/>
  <c r="K625" i="6"/>
  <c r="AK625" i="6" s="1"/>
  <c r="I627" i="6"/>
  <c r="AE629" i="6"/>
  <c r="J632" i="6"/>
  <c r="AJ632" i="6" s="1"/>
  <c r="K637" i="6"/>
  <c r="AJ639" i="6"/>
  <c r="J642" i="6"/>
  <c r="AJ642" i="6" s="1"/>
  <c r="AI649" i="6"/>
  <c r="AI658" i="6"/>
  <c r="K658" i="6"/>
  <c r="I658" i="6"/>
  <c r="AE658" i="6"/>
  <c r="AP583" i="6"/>
  <c r="J591" i="6"/>
  <c r="AJ591" i="6" s="1"/>
  <c r="AI596" i="6"/>
  <c r="J603" i="6"/>
  <c r="AJ603" i="6" s="1"/>
  <c r="AI608" i="6"/>
  <c r="I610" i="6"/>
  <c r="J615" i="6"/>
  <c r="AJ615" i="6" s="1"/>
  <c r="AP619" i="6"/>
  <c r="AI620" i="6"/>
  <c r="I622" i="6"/>
  <c r="J627" i="6"/>
  <c r="AJ627" i="6" s="1"/>
  <c r="AI632" i="6"/>
  <c r="I634" i="6"/>
  <c r="I640" i="6"/>
  <c r="I641" i="6"/>
  <c r="K642" i="6"/>
  <c r="I643" i="6"/>
  <c r="AJ650" i="6"/>
  <c r="AH655" i="6"/>
  <c r="AI657" i="6"/>
  <c r="AJ674" i="6"/>
  <c r="AJ679" i="6"/>
  <c r="AJ684" i="6"/>
  <c r="AJ694" i="6"/>
  <c r="AJ714" i="6"/>
  <c r="AI725" i="6"/>
  <c r="AJ787" i="6"/>
  <c r="J562" i="6"/>
  <c r="AJ562" i="6" s="1"/>
  <c r="J574" i="6"/>
  <c r="AJ574" i="6" s="1"/>
  <c r="K579" i="6"/>
  <c r="AE583" i="6"/>
  <c r="J586" i="6"/>
  <c r="AJ586" i="6" s="1"/>
  <c r="AH586" i="6"/>
  <c r="K591" i="6"/>
  <c r="AK591" i="6" s="1"/>
  <c r="AE595" i="6"/>
  <c r="J598" i="6"/>
  <c r="AJ598" i="6" s="1"/>
  <c r="K603" i="6"/>
  <c r="AK603" i="6" s="1"/>
  <c r="AE607" i="6"/>
  <c r="J610" i="6"/>
  <c r="AJ610" i="6" s="1"/>
  <c r="K615" i="6"/>
  <c r="I617" i="6"/>
  <c r="AE619" i="6"/>
  <c r="J622" i="6"/>
  <c r="AJ622" i="6" s="1"/>
  <c r="K627" i="6"/>
  <c r="AK627" i="6" s="1"/>
  <c r="I629" i="6"/>
  <c r="AE631" i="6"/>
  <c r="J634" i="6"/>
  <c r="AJ634" i="6" s="1"/>
  <c r="K641" i="6"/>
  <c r="K643" i="6"/>
  <c r="AI646" i="6"/>
  <c r="K646" i="6"/>
  <c r="I646" i="6"/>
  <c r="K650" i="6"/>
  <c r="AI650" i="6"/>
  <c r="AV655" i="6"/>
  <c r="L656" i="6" s="1"/>
  <c r="AV656" i="6" s="1"/>
  <c r="L657" i="6" s="1"/>
  <c r="BE656" i="6"/>
  <c r="U656" i="6"/>
  <c r="AI662" i="6"/>
  <c r="K662" i="6"/>
  <c r="I662" i="6"/>
  <c r="AE662" i="6"/>
  <c r="AJ678" i="6"/>
  <c r="BA691" i="6"/>
  <c r="Q692" i="6" s="1"/>
  <c r="BA692" i="6" s="1"/>
  <c r="Q693" i="6" s="1"/>
  <c r="BA693" i="6" s="1"/>
  <c r="Q694" i="6" s="1"/>
  <c r="BA694" i="6" s="1"/>
  <c r="Q695" i="6" s="1"/>
  <c r="BD730" i="6"/>
  <c r="T731" i="6" s="1"/>
  <c r="BD731" i="6" s="1"/>
  <c r="T732" i="6" s="1"/>
  <c r="AJ750" i="6"/>
  <c r="K562" i="6"/>
  <c r="K574" i="6"/>
  <c r="K586" i="6"/>
  <c r="AK586" i="6" s="1"/>
  <c r="K598" i="6"/>
  <c r="AK598" i="6" s="1"/>
  <c r="K610" i="6"/>
  <c r="J617" i="6"/>
  <c r="AJ617" i="6" s="1"/>
  <c r="K622" i="6"/>
  <c r="AK622" i="6" s="1"/>
  <c r="J629" i="6"/>
  <c r="AJ629" i="6" s="1"/>
  <c r="K634" i="6"/>
  <c r="AK634" i="6" s="1"/>
  <c r="AE641" i="6"/>
  <c r="AE642" i="6"/>
  <c r="I654" i="6"/>
  <c r="AE654" i="6"/>
  <c r="AI654" i="6"/>
  <c r="K654" i="6"/>
  <c r="BD655" i="6"/>
  <c r="T656" i="6" s="1"/>
  <c r="BD656" i="6" s="1"/>
  <c r="T657" i="6" s="1"/>
  <c r="BD657" i="6" s="1"/>
  <c r="T658" i="6" s="1"/>
  <c r="AH654" i="6"/>
  <c r="AJ681" i="6"/>
  <c r="AJ689" i="6"/>
  <c r="AJ702" i="6"/>
  <c r="AJ722" i="6"/>
  <c r="AD732" i="6"/>
  <c r="I583" i="6"/>
  <c r="U583" i="6"/>
  <c r="I595" i="6"/>
  <c r="I607" i="6"/>
  <c r="K617" i="6"/>
  <c r="I619" i="6"/>
  <c r="U619" i="6"/>
  <c r="K629" i="6"/>
  <c r="AK629" i="6" s="1"/>
  <c r="I631" i="6"/>
  <c r="AE643" i="6"/>
  <c r="AI648" i="6"/>
  <c r="K648" i="6"/>
  <c r="I648" i="6"/>
  <c r="AE648" i="6"/>
  <c r="AJ651" i="6"/>
  <c r="AI652" i="6"/>
  <c r="K652" i="6"/>
  <c r="J652" i="6"/>
  <c r="AJ652" i="6" s="1"/>
  <c r="AE652" i="6"/>
  <c r="AJ657" i="6"/>
  <c r="AI669" i="6"/>
  <c r="AI681" i="6"/>
  <c r="AJ685" i="6"/>
  <c r="AH691" i="6"/>
  <c r="BF749" i="6"/>
  <c r="V750" i="6" s="1"/>
  <c r="AK769" i="6"/>
  <c r="BO769" i="6"/>
  <c r="BN770" i="6" s="1"/>
  <c r="BO770" i="6" s="1"/>
  <c r="BN771" i="6" s="1"/>
  <c r="J583" i="6"/>
  <c r="AJ583" i="6" s="1"/>
  <c r="J595" i="6"/>
  <c r="AJ595" i="6" s="1"/>
  <c r="J619" i="6"/>
  <c r="AJ619" i="6" s="1"/>
  <c r="K624" i="6"/>
  <c r="AK624" i="6" s="1"/>
  <c r="I626" i="6"/>
  <c r="J631" i="6"/>
  <c r="AJ631" i="6" s="1"/>
  <c r="K636" i="6"/>
  <c r="AK636" i="6" s="1"/>
  <c r="I638" i="6"/>
  <c r="AI642" i="6"/>
  <c r="J646" i="6"/>
  <c r="AJ646" i="6" s="1"/>
  <c r="AE646" i="6"/>
  <c r="AI651" i="6"/>
  <c r="J662" i="6"/>
  <c r="AJ662" i="6" s="1"/>
  <c r="AJ683" i="6"/>
  <c r="BD693" i="6"/>
  <c r="T694" i="6" s="1"/>
  <c r="BD694" i="6" s="1"/>
  <c r="T695" i="6" s="1"/>
  <c r="AV691" i="6"/>
  <c r="L692" i="6" s="1"/>
  <c r="AV692" i="6" s="1"/>
  <c r="L693" i="6" s="1"/>
  <c r="AI691" i="6"/>
  <c r="BE693" i="6"/>
  <c r="U693" i="6"/>
  <c r="AJ703" i="6"/>
  <c r="BE728" i="6"/>
  <c r="U728" i="6"/>
  <c r="AE670" i="6"/>
  <c r="K678" i="6"/>
  <c r="AI678" i="6"/>
  <c r="AE682" i="6"/>
  <c r="K690" i="6"/>
  <c r="AI690" i="6"/>
  <c r="U692" i="6"/>
  <c r="AE694" i="6"/>
  <c r="J706" i="6"/>
  <c r="AJ706" i="6" s="1"/>
  <c r="I706" i="6"/>
  <c r="I707" i="6"/>
  <c r="AE709" i="6"/>
  <c r="BG727" i="6"/>
  <c r="W728" i="6" s="1"/>
  <c r="AH727" i="6"/>
  <c r="AP728" i="6"/>
  <c r="AD745" i="6"/>
  <c r="AD759" i="6"/>
  <c r="AE689" i="6"/>
  <c r="J718" i="6"/>
  <c r="AJ718" i="6" s="1"/>
  <c r="I718" i="6"/>
  <c r="AI728" i="6"/>
  <c r="AD734" i="6"/>
  <c r="AJ745" i="6"/>
  <c r="AI748" i="6"/>
  <c r="K748" i="6"/>
  <c r="J748" i="6"/>
  <c r="AJ748" i="6" s="1"/>
  <c r="I748" i="6"/>
  <c r="AD748" i="6" s="1"/>
  <c r="AE748" i="6"/>
  <c r="AD752" i="6"/>
  <c r="BG800" i="6"/>
  <c r="W801" i="6" s="1"/>
  <c r="AH800" i="6"/>
  <c r="AP655" i="6"/>
  <c r="K668" i="6"/>
  <c r="AI668" i="6"/>
  <c r="I670" i="6"/>
  <c r="AE672" i="6"/>
  <c r="J675" i="6"/>
  <c r="AJ675" i="6" s="1"/>
  <c r="K680" i="6"/>
  <c r="AI680" i="6"/>
  <c r="I682" i="6"/>
  <c r="AE684" i="6"/>
  <c r="J687" i="6"/>
  <c r="AJ687" i="6" s="1"/>
  <c r="AP691" i="6"/>
  <c r="K692" i="6"/>
  <c r="AI692" i="6"/>
  <c r="I694" i="6"/>
  <c r="AE696" i="6"/>
  <c r="K700" i="6"/>
  <c r="J701" i="6"/>
  <c r="AJ701" i="6" s="1"/>
  <c r="I702" i="6"/>
  <c r="AJ704" i="6"/>
  <c r="I705" i="6"/>
  <c r="I711" i="6"/>
  <c r="AE718" i="6"/>
  <c r="U727" i="6"/>
  <c r="BA727" i="6"/>
  <c r="Q728" i="6" s="1"/>
  <c r="BA728" i="6" s="1"/>
  <c r="Q729" i="6" s="1"/>
  <c r="BA729" i="6" s="1"/>
  <c r="Q730" i="6" s="1"/>
  <c r="BA730" i="6" s="1"/>
  <c r="Q731" i="6" s="1"/>
  <c r="BA731" i="6" s="1"/>
  <c r="Q732" i="6" s="1"/>
  <c r="AJ732" i="6"/>
  <c r="AJ734" i="6"/>
  <c r="AE735" i="6"/>
  <c r="AI735" i="6"/>
  <c r="K735" i="6"/>
  <c r="J735" i="6"/>
  <c r="AJ735" i="6" s="1"/>
  <c r="AI744" i="6"/>
  <c r="K744" i="6"/>
  <c r="I744" i="6"/>
  <c r="AD744" i="6" s="1"/>
  <c r="AE744" i="6"/>
  <c r="AJ752" i="6"/>
  <c r="AJ776" i="6"/>
  <c r="J665" i="6"/>
  <c r="AJ665" i="6" s="1"/>
  <c r="K670" i="6"/>
  <c r="AI670" i="6"/>
  <c r="I672" i="6"/>
  <c r="K682" i="6"/>
  <c r="AI682" i="6"/>
  <c r="I684" i="6"/>
  <c r="AP693" i="6"/>
  <c r="K694" i="6"/>
  <c r="AI694" i="6"/>
  <c r="I696" i="6"/>
  <c r="AI698" i="6"/>
  <c r="K698" i="6"/>
  <c r="AE700" i="6"/>
  <c r="K702" i="6"/>
  <c r="AE705" i="6"/>
  <c r="K707" i="6"/>
  <c r="J708" i="6"/>
  <c r="AJ708" i="6" s="1"/>
  <c r="AJ709" i="6"/>
  <c r="AE711" i="6"/>
  <c r="K718" i="6"/>
  <c r="AI718" i="6"/>
  <c r="AI720" i="6"/>
  <c r="K720" i="6"/>
  <c r="AE720" i="6"/>
  <c r="AJ728" i="6"/>
  <c r="AD739" i="6"/>
  <c r="AJ740" i="6"/>
  <c r="AD751" i="6"/>
  <c r="AJ755" i="6"/>
  <c r="AJ758" i="6"/>
  <c r="AI760" i="6"/>
  <c r="K760" i="6"/>
  <c r="J760" i="6"/>
  <c r="AJ760" i="6" s="1"/>
  <c r="I760" i="6"/>
  <c r="AD760" i="6" s="1"/>
  <c r="AE760" i="6"/>
  <c r="AV763" i="6"/>
  <c r="L764" i="6" s="1"/>
  <c r="AV764" i="6" s="1"/>
  <c r="L765" i="6" s="1"/>
  <c r="BO880" i="6"/>
  <c r="BN881" i="6" s="1"/>
  <c r="BO881" i="6" s="1"/>
  <c r="BN882" i="6" s="1"/>
  <c r="I713" i="6"/>
  <c r="AE723" i="6"/>
  <c r="AI723" i="6"/>
  <c r="K723" i="6"/>
  <c r="J723" i="6"/>
  <c r="AJ723" i="6" s="1"/>
  <c r="AJ725" i="6"/>
  <c r="AJ739" i="6"/>
  <c r="AJ744" i="6"/>
  <c r="AJ751" i="6"/>
  <c r="AY817" i="6"/>
  <c r="O818" i="6" s="1"/>
  <c r="AY818" i="6" s="1"/>
  <c r="O819" i="6" s="1"/>
  <c r="AY819" i="6" s="1"/>
  <c r="O820" i="6" s="1"/>
  <c r="AY820" i="6" s="1"/>
  <c r="O821" i="6" s="1"/>
  <c r="AY821" i="6" s="1"/>
  <c r="O822" i="6" s="1"/>
  <c r="AY822" i="6" s="1"/>
  <c r="O823" i="6" s="1"/>
  <c r="AY823" i="6" s="1"/>
  <c r="O824" i="6" s="1"/>
  <c r="AY824" i="6" s="1"/>
  <c r="O825" i="6" s="1"/>
  <c r="AY825" i="6" s="1"/>
  <c r="O826" i="6" s="1"/>
  <c r="AY826" i="6" s="1"/>
  <c r="O827" i="6" s="1"/>
  <c r="AY827" i="6" s="1"/>
  <c r="O828" i="6" s="1"/>
  <c r="AY828" i="6" s="1"/>
  <c r="O829" i="6" s="1"/>
  <c r="AY829" i="6" s="1"/>
  <c r="O830" i="6" s="1"/>
  <c r="AY830" i="6" s="1"/>
  <c r="O831" i="6" s="1"/>
  <c r="AY831" i="6" s="1"/>
  <c r="O832" i="6" s="1"/>
  <c r="AY832" i="6" s="1"/>
  <c r="O833" i="6" s="1"/>
  <c r="AY833" i="6" s="1"/>
  <c r="AE817" i="6"/>
  <c r="J655" i="6"/>
  <c r="AJ655" i="6" s="1"/>
  <c r="J667" i="6"/>
  <c r="AJ667" i="6" s="1"/>
  <c r="K672" i="6"/>
  <c r="K684" i="6"/>
  <c r="AE688" i="6"/>
  <c r="J691" i="6"/>
  <c r="AJ691" i="6" s="1"/>
  <c r="AP695" i="6"/>
  <c r="K696" i="6"/>
  <c r="AE707" i="6"/>
  <c r="AV727" i="6"/>
  <c r="L728" i="6" s="1"/>
  <c r="AV728" i="6" s="1"/>
  <c r="L729" i="6" s="1"/>
  <c r="AD733" i="6"/>
  <c r="AD738" i="6"/>
  <c r="AD750" i="6"/>
  <c r="AD754" i="6"/>
  <c r="AD757" i="6"/>
  <c r="AK762" i="6"/>
  <c r="BA766" i="6"/>
  <c r="Q767" i="6" s="1"/>
  <c r="AG766" i="6"/>
  <c r="AK765" i="6"/>
  <c r="AJ772" i="6"/>
  <c r="BA802" i="6"/>
  <c r="Q803" i="6" s="1"/>
  <c r="AP690" i="6"/>
  <c r="AJ715" i="6"/>
  <c r="AJ733" i="6"/>
  <c r="AJ757" i="6"/>
  <c r="BG765" i="6"/>
  <c r="W766" i="6" s="1"/>
  <c r="AH764" i="6"/>
  <c r="AJ815" i="6"/>
  <c r="AE678" i="6"/>
  <c r="I688" i="6"/>
  <c r="AE690" i="6"/>
  <c r="J693" i="6"/>
  <c r="AJ693" i="6" s="1"/>
  <c r="J698" i="6"/>
  <c r="AJ698" i="6" s="1"/>
  <c r="AI707" i="6"/>
  <c r="J713" i="6"/>
  <c r="AJ713" i="6" s="1"/>
  <c r="AI716" i="6"/>
  <c r="J720" i="6"/>
  <c r="AJ720" i="6" s="1"/>
  <c r="AJ721" i="6"/>
  <c r="I723" i="6"/>
  <c r="AD727" i="6"/>
  <c r="AI729" i="6"/>
  <c r="K729" i="6"/>
  <c r="J729" i="6"/>
  <c r="AJ729" i="6" s="1"/>
  <c r="I729" i="6"/>
  <c r="AD729" i="6" s="1"/>
  <c r="AD747" i="6"/>
  <c r="AI756" i="6"/>
  <c r="K756" i="6"/>
  <c r="I756" i="6"/>
  <c r="AD756" i="6" s="1"/>
  <c r="AE756" i="6"/>
  <c r="BF857" i="6"/>
  <c r="V858" i="6" s="1"/>
  <c r="AH857" i="6"/>
  <c r="BH862" i="6"/>
  <c r="X863" i="6" s="1"/>
  <c r="BH863" i="6" s="1"/>
  <c r="X864" i="6" s="1"/>
  <c r="BH864" i="6" s="1"/>
  <c r="X865" i="6" s="1"/>
  <c r="BH865" i="6" s="1"/>
  <c r="X866" i="6" s="1"/>
  <c r="BH866" i="6" s="1"/>
  <c r="X867" i="6" s="1"/>
  <c r="AP656" i="6"/>
  <c r="J688" i="6"/>
  <c r="AJ688" i="6" s="1"/>
  <c r="AP692" i="6"/>
  <c r="K693" i="6"/>
  <c r="AI708" i="6"/>
  <c r="J712" i="6"/>
  <c r="AJ712" i="6" s="1"/>
  <c r="I712" i="6"/>
  <c r="K713" i="6"/>
  <c r="AE713" i="6"/>
  <c r="AJ727" i="6"/>
  <c r="AJ731" i="6"/>
  <c r="AJ743" i="6"/>
  <c r="BH807" i="6"/>
  <c r="X808" i="6" s="1"/>
  <c r="BH808" i="6" s="1"/>
  <c r="X809" i="6" s="1"/>
  <c r="BH809" i="6" s="1"/>
  <c r="X810" i="6" s="1"/>
  <c r="BH810" i="6" s="1"/>
  <c r="X811" i="6" s="1"/>
  <c r="BH811" i="6" s="1"/>
  <c r="X812" i="6" s="1"/>
  <c r="BH812" i="6" s="1"/>
  <c r="X813" i="6" s="1"/>
  <c r="BH813" i="6" s="1"/>
  <c r="X814" i="6" s="1"/>
  <c r="BH814" i="6" s="1"/>
  <c r="X815" i="6" s="1"/>
  <c r="BH815" i="6" s="1"/>
  <c r="X816" i="6" s="1"/>
  <c r="BH816" i="6" s="1"/>
  <c r="X817" i="6" s="1"/>
  <c r="BH817" i="6" s="1"/>
  <c r="X818" i="6" s="1"/>
  <c r="BH818" i="6" s="1"/>
  <c r="X819" i="6" s="1"/>
  <c r="BH819" i="6" s="1"/>
  <c r="X820" i="6" s="1"/>
  <c r="BH820" i="6" s="1"/>
  <c r="X821" i="6" s="1"/>
  <c r="BH821" i="6" s="1"/>
  <c r="X822" i="6" s="1"/>
  <c r="BH822" i="6" s="1"/>
  <c r="X823" i="6" s="1"/>
  <c r="BH823" i="6" s="1"/>
  <c r="X824" i="6" s="1"/>
  <c r="BH824" i="6" s="1"/>
  <c r="X825" i="6" s="1"/>
  <c r="BH825" i="6" s="1"/>
  <c r="X826" i="6" s="1"/>
  <c r="BH826" i="6" s="1"/>
  <c r="X827" i="6" s="1"/>
  <c r="BH827" i="6" s="1"/>
  <c r="X828" i="6" s="1"/>
  <c r="BH828" i="6" s="1"/>
  <c r="X829" i="6" s="1"/>
  <c r="BH829" i="6" s="1"/>
  <c r="X830" i="6" s="1"/>
  <c r="BH830" i="6" s="1"/>
  <c r="X831" i="6" s="1"/>
  <c r="BH831" i="6" s="1"/>
  <c r="X832" i="6" s="1"/>
  <c r="BH832" i="6" s="1"/>
  <c r="X833" i="6" s="1"/>
  <c r="BH833" i="6" s="1"/>
  <c r="J659" i="6"/>
  <c r="AJ659" i="6" s="1"/>
  <c r="J671" i="6"/>
  <c r="AJ671" i="6" s="1"/>
  <c r="I678" i="6"/>
  <c r="K688" i="6"/>
  <c r="I690" i="6"/>
  <c r="J695" i="6"/>
  <c r="AJ695" i="6" s="1"/>
  <c r="AI699" i="6"/>
  <c r="K699" i="6"/>
  <c r="J699" i="6"/>
  <c r="AJ699" i="6" s="1"/>
  <c r="AI717" i="6"/>
  <c r="K717" i="6"/>
  <c r="J717" i="6"/>
  <c r="AJ717" i="6" s="1"/>
  <c r="I717" i="6"/>
  <c r="J724" i="6"/>
  <c r="AJ724" i="6" s="1"/>
  <c r="I724" i="6"/>
  <c r="AE724" i="6"/>
  <c r="AD726" i="6"/>
  <c r="AP729" i="6"/>
  <c r="AI732" i="6"/>
  <c r="K732" i="6"/>
  <c r="AE732" i="6"/>
  <c r="AI734" i="6"/>
  <c r="AD746" i="6"/>
  <c r="AJ761" i="6"/>
  <c r="J690" i="6"/>
  <c r="AJ690" i="6" s="1"/>
  <c r="J700" i="6"/>
  <c r="AJ700" i="6" s="1"/>
  <c r="I700" i="6"/>
  <c r="I701" i="6"/>
  <c r="AI704" i="6"/>
  <c r="AI705" i="6"/>
  <c r="K705" i="6"/>
  <c r="J705" i="6"/>
  <c r="AJ705" i="6" s="1"/>
  <c r="K711" i="6"/>
  <c r="J711" i="6"/>
  <c r="AJ711" i="6" s="1"/>
  <c r="AI713" i="6"/>
  <c r="AJ716" i="6"/>
  <c r="AD742" i="6"/>
  <c r="AJ746" i="6"/>
  <c r="AJ756" i="6"/>
  <c r="BF821" i="6"/>
  <c r="V822" i="6" s="1"/>
  <c r="AP727" i="6"/>
  <c r="I730" i="6"/>
  <c r="AD730" i="6" s="1"/>
  <c r="AI740" i="6"/>
  <c r="J747" i="6"/>
  <c r="AJ747" i="6" s="1"/>
  <c r="AI752" i="6"/>
  <c r="J759" i="6"/>
  <c r="AJ759" i="6" s="1"/>
  <c r="AJ806" i="6"/>
  <c r="I725" i="6"/>
  <c r="J730" i="6"/>
  <c r="AJ730" i="6" s="1"/>
  <c r="I737" i="6"/>
  <c r="AD737" i="6" s="1"/>
  <c r="K747" i="6"/>
  <c r="I749" i="6"/>
  <c r="AD749" i="6" s="1"/>
  <c r="K759" i="6"/>
  <c r="AI759" i="6"/>
  <c r="I776" i="6"/>
  <c r="AE776" i="6"/>
  <c r="J782" i="6"/>
  <c r="AJ782" i="6" s="1"/>
  <c r="J793" i="6"/>
  <c r="AJ793" i="6" s="1"/>
  <c r="I793" i="6"/>
  <c r="AE793" i="6"/>
  <c r="AJ797" i="6"/>
  <c r="BD800" i="6"/>
  <c r="T801" i="6" s="1"/>
  <c r="BD801" i="6" s="1"/>
  <c r="T802" i="6" s="1"/>
  <c r="AI805" i="6"/>
  <c r="K805" i="6"/>
  <c r="AK805" i="6" s="1"/>
  <c r="J805" i="6"/>
  <c r="AJ805" i="6" s="1"/>
  <c r="I805" i="6"/>
  <c r="AE805" i="6"/>
  <c r="AK806" i="6"/>
  <c r="AI810" i="6"/>
  <c r="AY853" i="6"/>
  <c r="O854" i="6" s="1"/>
  <c r="AY854" i="6" s="1"/>
  <c r="O855" i="6" s="1"/>
  <c r="AY855" i="6" s="1"/>
  <c r="O856" i="6" s="1"/>
  <c r="AY856" i="6" s="1"/>
  <c r="O857" i="6" s="1"/>
  <c r="AY857" i="6" s="1"/>
  <c r="O858" i="6" s="1"/>
  <c r="AY858" i="6" s="1"/>
  <c r="O859" i="6" s="1"/>
  <c r="AY859" i="6" s="1"/>
  <c r="O860" i="6" s="1"/>
  <c r="AY860" i="6" s="1"/>
  <c r="O861" i="6" s="1"/>
  <c r="AY861" i="6" s="1"/>
  <c r="O862" i="6" s="1"/>
  <c r="AY862" i="6" s="1"/>
  <c r="O863" i="6" s="1"/>
  <c r="AY863" i="6" s="1"/>
  <c r="O864" i="6" s="1"/>
  <c r="AY864" i="6" s="1"/>
  <c r="O865" i="6" s="1"/>
  <c r="AY865" i="6" s="1"/>
  <c r="O866" i="6" s="1"/>
  <c r="AY866" i="6" s="1"/>
  <c r="O867" i="6" s="1"/>
  <c r="AY867" i="6" s="1"/>
  <c r="O868" i="6" s="1"/>
  <c r="AY868" i="6" s="1"/>
  <c r="O869" i="6" s="1"/>
  <c r="AY869" i="6" s="1"/>
  <c r="AE853" i="6"/>
  <c r="AJ903" i="6"/>
  <c r="J737" i="6"/>
  <c r="AJ737" i="6" s="1"/>
  <c r="J749" i="6"/>
  <c r="AJ749" i="6" s="1"/>
  <c r="AI768" i="6"/>
  <c r="K768" i="6"/>
  <c r="AK768" i="6" s="1"/>
  <c r="I768" i="6"/>
  <c r="AJ778" i="6"/>
  <c r="AJ795" i="6"/>
  <c r="AI797" i="6"/>
  <c r="AJ823" i="6"/>
  <c r="AJ838" i="6"/>
  <c r="AJ863" i="6"/>
  <c r="AH763" i="6"/>
  <c r="J763" i="6"/>
  <c r="AJ763" i="6" s="1"/>
  <c r="AJ785" i="6"/>
  <c r="AJ790" i="6"/>
  <c r="AI798" i="6"/>
  <c r="K798" i="6"/>
  <c r="AK798" i="6" s="1"/>
  <c r="AH798" i="6"/>
  <c r="J798" i="6"/>
  <c r="AJ798" i="6" s="1"/>
  <c r="I798" i="6"/>
  <c r="AV801" i="6"/>
  <c r="L802" i="6" s="1"/>
  <c r="AV802" i="6" s="1"/>
  <c r="L803" i="6" s="1"/>
  <c r="AV803" i="6" s="1"/>
  <c r="L804" i="6" s="1"/>
  <c r="AV804" i="6" s="1"/>
  <c r="AI814" i="6"/>
  <c r="AJ818" i="6"/>
  <c r="AJ830" i="6"/>
  <c r="AP731" i="6"/>
  <c r="AH762" i="6"/>
  <c r="J762" i="6"/>
  <c r="AJ762" i="6" s="1"/>
  <c r="AE762" i="6"/>
  <c r="BE764" i="6"/>
  <c r="U764" i="6"/>
  <c r="AJ771" i="6"/>
  <c r="J775" i="6"/>
  <c r="AJ775" i="6" s="1"/>
  <c r="AJ779" i="6"/>
  <c r="AI780" i="6"/>
  <c r="K780" i="6"/>
  <c r="J780" i="6"/>
  <c r="AJ780" i="6" s="1"/>
  <c r="I780" i="6"/>
  <c r="AJ783" i="6"/>
  <c r="AI785" i="6"/>
  <c r="AI788" i="6"/>
  <c r="K788" i="6"/>
  <c r="I788" i="6"/>
  <c r="AE788" i="6"/>
  <c r="AP798" i="6"/>
  <c r="AJ802" i="6"/>
  <c r="AE719" i="6"/>
  <c r="AP726" i="6"/>
  <c r="AE731" i="6"/>
  <c r="I741" i="6"/>
  <c r="AD741" i="6" s="1"/>
  <c r="AE743" i="6"/>
  <c r="I753" i="6"/>
  <c r="AD753" i="6" s="1"/>
  <c r="AE755" i="6"/>
  <c r="AP763" i="6"/>
  <c r="AG764" i="6"/>
  <c r="I764" i="6"/>
  <c r="J768" i="6"/>
  <c r="AJ768" i="6" s="1"/>
  <c r="AE768" i="6"/>
  <c r="AE780" i="6"/>
  <c r="AJ789" i="6"/>
  <c r="I794" i="6"/>
  <c r="AE794" i="6"/>
  <c r="AI794" i="6"/>
  <c r="AJ796" i="6"/>
  <c r="AH799" i="6"/>
  <c r="BE802" i="6"/>
  <c r="U802" i="6"/>
  <c r="AJ828" i="6"/>
  <c r="AJ839" i="6"/>
  <c r="AJ854" i="6"/>
  <c r="K710" i="6"/>
  <c r="K722" i="6"/>
  <c r="K734" i="6"/>
  <c r="AE738" i="6"/>
  <c r="J741" i="6"/>
  <c r="AJ741" i="6" s="1"/>
  <c r="K746" i="6"/>
  <c r="AE750" i="6"/>
  <c r="J753" i="6"/>
  <c r="AJ753" i="6" s="1"/>
  <c r="K758" i="6"/>
  <c r="AI761" i="6"/>
  <c r="AG762" i="6"/>
  <c r="I763" i="6"/>
  <c r="AP765" i="6"/>
  <c r="I770" i="6"/>
  <c r="AE770" i="6"/>
  <c r="AJ784" i="6"/>
  <c r="AI786" i="6"/>
  <c r="K786" i="6"/>
  <c r="J786" i="6"/>
  <c r="AJ786" i="6" s="1"/>
  <c r="I786" i="6"/>
  <c r="AJ801" i="6"/>
  <c r="AI811" i="6"/>
  <c r="AI882" i="6"/>
  <c r="BD909" i="6"/>
  <c r="T910" i="6" s="1"/>
  <c r="AP909" i="6"/>
  <c r="I719" i="6"/>
  <c r="I731" i="6"/>
  <c r="AD731" i="6" s="1"/>
  <c r="K741" i="6"/>
  <c r="I743" i="6"/>
  <c r="AD743" i="6" s="1"/>
  <c r="K753" i="6"/>
  <c r="I755" i="6"/>
  <c r="AD755" i="6" s="1"/>
  <c r="I762" i="6"/>
  <c r="AI762" i="6"/>
  <c r="K763" i="6"/>
  <c r="AK763" i="6" s="1"/>
  <c r="AP764" i="6"/>
  <c r="AE772" i="6"/>
  <c r="AI772" i="6"/>
  <c r="K772" i="6"/>
  <c r="AI773" i="6"/>
  <c r="I775" i="6"/>
  <c r="J781" i="6"/>
  <c r="AJ781" i="6" s="1"/>
  <c r="I781" i="6"/>
  <c r="J788" i="6"/>
  <c r="AJ788" i="6" s="1"/>
  <c r="AI792" i="6"/>
  <c r="K792" i="6"/>
  <c r="J792" i="6"/>
  <c r="AJ792" i="6" s="1"/>
  <c r="I792" i="6"/>
  <c r="AE792" i="6"/>
  <c r="AK801" i="6"/>
  <c r="AI774" i="6"/>
  <c r="K774" i="6"/>
  <c r="J774" i="6"/>
  <c r="AJ774" i="6" s="1"/>
  <c r="I774" i="6"/>
  <c r="AJ794" i="6"/>
  <c r="AK799" i="6"/>
  <c r="AJ800" i="6"/>
  <c r="AJ807" i="6"/>
  <c r="AJ809" i="6"/>
  <c r="AH726" i="6"/>
  <c r="AP730" i="6"/>
  <c r="K731" i="6"/>
  <c r="J738" i="6"/>
  <c r="AJ738" i="6" s="1"/>
  <c r="K743" i="6"/>
  <c r="K755" i="6"/>
  <c r="AE763" i="6"/>
  <c r="K764" i="6"/>
  <c r="AK764" i="6" s="1"/>
  <c r="J769" i="6"/>
  <c r="AJ769" i="6" s="1"/>
  <c r="I769" i="6"/>
  <c r="K794" i="6"/>
  <c r="AK811" i="6"/>
  <c r="AJ842" i="6"/>
  <c r="AJ850" i="6"/>
  <c r="BF893" i="6"/>
  <c r="V894" i="6" s="1"/>
  <c r="AJ767" i="6"/>
  <c r="AJ777" i="6"/>
  <c r="I782" i="6"/>
  <c r="AE782" i="6"/>
  <c r="J822" i="6"/>
  <c r="AJ822" i="6" s="1"/>
  <c r="AE822" i="6"/>
  <c r="K822" i="6"/>
  <c r="I822" i="6"/>
  <c r="AI822" i="6"/>
  <c r="BO850" i="6"/>
  <c r="BN851" i="6" s="1"/>
  <c r="BO851" i="6" s="1"/>
  <c r="BN852" i="6" s="1"/>
  <c r="BO852" i="6" s="1"/>
  <c r="BN853" i="6" s="1"/>
  <c r="BO853" i="6" s="1"/>
  <c r="BN854" i="6" s="1"/>
  <c r="BO854" i="6" s="1"/>
  <c r="BN855" i="6" s="1"/>
  <c r="BO855" i="6" s="1"/>
  <c r="BN856" i="6" s="1"/>
  <c r="BO856" i="6" s="1"/>
  <c r="BN857" i="6" s="1"/>
  <c r="BO857" i="6" s="1"/>
  <c r="BN858" i="6" s="1"/>
  <c r="BO858" i="6" s="1"/>
  <c r="BN859" i="6" s="1"/>
  <c r="BO859" i="6" s="1"/>
  <c r="BN860" i="6" s="1"/>
  <c r="BO860" i="6" s="1"/>
  <c r="BN861" i="6" s="1"/>
  <c r="AI919" i="6"/>
  <c r="K919" i="6"/>
  <c r="J919" i="6"/>
  <c r="AJ919" i="6" s="1"/>
  <c r="I919" i="6"/>
  <c r="AE919" i="6"/>
  <c r="AP800" i="6"/>
  <c r="AJ808" i="6"/>
  <c r="AJ817" i="6"/>
  <c r="AJ829" i="6"/>
  <c r="BE835" i="6"/>
  <c r="U835" i="6"/>
  <c r="AJ835" i="6"/>
  <c r="AH871" i="6"/>
  <c r="BO914" i="6"/>
  <c r="BN915" i="6" s="1"/>
  <c r="BO915" i="6" s="1"/>
  <c r="BN916" i="6" s="1"/>
  <c r="AK914" i="6"/>
  <c r="K784" i="6"/>
  <c r="AI784" i="6"/>
  <c r="J791" i="6"/>
  <c r="AJ791" i="6" s="1"/>
  <c r="K796" i="6"/>
  <c r="AI796" i="6"/>
  <c r="AE800" i="6"/>
  <c r="J803" i="6"/>
  <c r="AJ803" i="6" s="1"/>
  <c r="K810" i="6"/>
  <c r="AK810" i="6" s="1"/>
  <c r="AI821" i="6"/>
  <c r="K821" i="6"/>
  <c r="J821" i="6"/>
  <c r="AJ821" i="6" s="1"/>
  <c r="AE821" i="6"/>
  <c r="BA835" i="6"/>
  <c r="Q836" i="6" s="1"/>
  <c r="BA836" i="6" s="1"/>
  <c r="Q837" i="6" s="1"/>
  <c r="BA837" i="6" s="1"/>
  <c r="Q838" i="6" s="1"/>
  <c r="BA838" i="6" s="1"/>
  <c r="Q839" i="6" s="1"/>
  <c r="BA839" i="6" s="1"/>
  <c r="Q840" i="6" s="1"/>
  <c r="BA840" i="6" s="1"/>
  <c r="Q841" i="6" s="1"/>
  <c r="BA841" i="6" s="1"/>
  <c r="Q842" i="6" s="1"/>
  <c r="BA842" i="6" s="1"/>
  <c r="Q843" i="6" s="1"/>
  <c r="BA843" i="6" s="1"/>
  <c r="Q844" i="6" s="1"/>
  <c r="AJ859" i="6"/>
  <c r="AJ872" i="6"/>
  <c r="AK912" i="6"/>
  <c r="AP766" i="6"/>
  <c r="K767" i="6"/>
  <c r="AK767" i="6" s="1"/>
  <c r="AI767" i="6"/>
  <c r="K779" i="6"/>
  <c r="AI779" i="6"/>
  <c r="K791" i="6"/>
  <c r="AI791" i="6"/>
  <c r="K803" i="6"/>
  <c r="AK803" i="6" s="1"/>
  <c r="AI803" i="6"/>
  <c r="AI807" i="6"/>
  <c r="AJ814" i="6"/>
  <c r="AI815" i="6"/>
  <c r="K815" i="6"/>
  <c r="AI827" i="6"/>
  <c r="K827" i="6"/>
  <c r="I827" i="6"/>
  <c r="AE827" i="6"/>
  <c r="AV836" i="6"/>
  <c r="L837" i="6" s="1"/>
  <c r="AJ841" i="6"/>
  <c r="AI843" i="6"/>
  <c r="K843" i="6"/>
  <c r="J843" i="6"/>
  <c r="AJ843" i="6" s="1"/>
  <c r="I843" i="6"/>
  <c r="AE843" i="6"/>
  <c r="AJ844" i="6"/>
  <c r="K846" i="6"/>
  <c r="J846" i="6"/>
  <c r="AJ846" i="6" s="1"/>
  <c r="AE846" i="6"/>
  <c r="AJ847" i="6"/>
  <c r="AJ853" i="6"/>
  <c r="K855" i="6"/>
  <c r="J855" i="6"/>
  <c r="AJ855" i="6" s="1"/>
  <c r="I855" i="6"/>
  <c r="AE855" i="6"/>
  <c r="AJ856" i="6"/>
  <c r="AI858" i="6"/>
  <c r="K858" i="6"/>
  <c r="J858" i="6"/>
  <c r="AJ858" i="6" s="1"/>
  <c r="AE858" i="6"/>
  <c r="BA874" i="6"/>
  <c r="Q875" i="6" s="1"/>
  <c r="BA875" i="6" s="1"/>
  <c r="Q876" i="6" s="1"/>
  <c r="BA876" i="6" s="1"/>
  <c r="Q877" i="6" s="1"/>
  <c r="BA877" i="6" s="1"/>
  <c r="Q878" i="6" s="1"/>
  <c r="BA878" i="6" s="1"/>
  <c r="Q879" i="6" s="1"/>
  <c r="AK872" i="6"/>
  <c r="I800" i="6"/>
  <c r="U800" i="6"/>
  <c r="J866" i="6"/>
  <c r="AJ866" i="6" s="1"/>
  <c r="AE866" i="6"/>
  <c r="K866" i="6"/>
  <c r="AJ871" i="6"/>
  <c r="AK878" i="6"/>
  <c r="BF965" i="6"/>
  <c r="V966" i="6" s="1"/>
  <c r="AH965" i="6"/>
  <c r="J819" i="6"/>
  <c r="AJ819" i="6" s="1"/>
  <c r="I819" i="6"/>
  <c r="AE819" i="6"/>
  <c r="AI826" i="6"/>
  <c r="J831" i="6"/>
  <c r="AJ831" i="6" s="1"/>
  <c r="I831" i="6"/>
  <c r="AE831" i="6"/>
  <c r="AI833" i="6"/>
  <c r="K833" i="6"/>
  <c r="J833" i="6"/>
  <c r="AJ833" i="6" s="1"/>
  <c r="I833" i="6"/>
  <c r="AE833" i="6"/>
  <c r="AH834" i="6"/>
  <c r="J834" i="6"/>
  <c r="AJ834" i="6" s="1"/>
  <c r="AE834" i="6"/>
  <c r="AH835" i="6"/>
  <c r="AK877" i="6"/>
  <c r="AI890" i="6"/>
  <c r="K890" i="6"/>
  <c r="J890" i="6"/>
  <c r="AJ890" i="6" s="1"/>
  <c r="I890" i="6"/>
  <c r="AE890" i="6"/>
  <c r="BH914" i="6"/>
  <c r="X915" i="6" s="1"/>
  <c r="BH915" i="6" s="1"/>
  <c r="X916" i="6" s="1"/>
  <c r="AI916" i="6"/>
  <c r="AP799" i="6"/>
  <c r="K800" i="6"/>
  <c r="AK800" i="6" s="1"/>
  <c r="AE804" i="6"/>
  <c r="AI819" i="6"/>
  <c r="AI831" i="6"/>
  <c r="AJ832" i="6"/>
  <c r="AI834" i="6"/>
  <c r="BG835" i="6"/>
  <c r="W836" i="6" s="1"/>
  <c r="BG836" i="6" s="1"/>
  <c r="W837" i="6" s="1"/>
  <c r="AI870" i="6"/>
  <c r="AV870" i="6"/>
  <c r="L871" i="6" s="1"/>
  <c r="AV871" i="6" s="1"/>
  <c r="L872" i="6" s="1"/>
  <c r="AV872" i="6" s="1"/>
  <c r="L873" i="6" s="1"/>
  <c r="BD871" i="6"/>
  <c r="T872" i="6" s="1"/>
  <c r="AP871" i="6"/>
  <c r="AJ889" i="6"/>
  <c r="BF929" i="6"/>
  <c r="V930" i="6" s="1"/>
  <c r="AH929" i="6"/>
  <c r="AK807" i="6"/>
  <c r="AE818" i="6"/>
  <c r="AI818" i="6"/>
  <c r="K818" i="6"/>
  <c r="AJ820" i="6"/>
  <c r="AE830" i="6"/>
  <c r="AI830" i="6"/>
  <c r="K830" i="6"/>
  <c r="AI881" i="6"/>
  <c r="K881" i="6"/>
  <c r="AK881" i="6" s="1"/>
  <c r="AE881" i="6"/>
  <c r="J881" i="6"/>
  <c r="AJ881" i="6" s="1"/>
  <c r="I881" i="6"/>
  <c r="AW908" i="6"/>
  <c r="M909" i="6" s="1"/>
  <c r="K766" i="6"/>
  <c r="AK766" i="6" s="1"/>
  <c r="J773" i="6"/>
  <c r="AJ773" i="6" s="1"/>
  <c r="K778" i="6"/>
  <c r="K790" i="6"/>
  <c r="K802" i="6"/>
  <c r="AK802" i="6" s="1"/>
  <c r="I804" i="6"/>
  <c r="AE806" i="6"/>
  <c r="AI812" i="6"/>
  <c r="K812" i="6"/>
  <c r="AK812" i="6" s="1"/>
  <c r="J812" i="6"/>
  <c r="AJ812" i="6" s="1"/>
  <c r="K819" i="6"/>
  <c r="AJ826" i="6"/>
  <c r="K831" i="6"/>
  <c r="I834" i="6"/>
  <c r="AP834" i="6"/>
  <c r="AI860" i="6"/>
  <c r="AJ868" i="6"/>
  <c r="AK873" i="6"/>
  <c r="AJ877" i="6"/>
  <c r="AV909" i="6"/>
  <c r="L910" i="6" s="1"/>
  <c r="I787" i="6"/>
  <c r="I799" i="6"/>
  <c r="J804" i="6"/>
  <c r="AJ804" i="6" s="1"/>
  <c r="K834" i="6"/>
  <c r="AP835" i="6"/>
  <c r="AI838" i="6"/>
  <c r="AJ870" i="6"/>
  <c r="AH870" i="6"/>
  <c r="J799" i="6"/>
  <c r="AJ799" i="6" s="1"/>
  <c r="K804" i="6"/>
  <c r="AK804" i="6" s="1"/>
  <c r="I806" i="6"/>
  <c r="AI809" i="6"/>
  <c r="K809" i="6"/>
  <c r="AK809" i="6" s="1"/>
  <c r="AE809" i="6"/>
  <c r="J810" i="6"/>
  <c r="AJ810" i="6" s="1"/>
  <c r="AK813" i="6"/>
  <c r="AI817" i="6"/>
  <c r="I818" i="6"/>
  <c r="I830" i="6"/>
  <c r="AV835" i="6"/>
  <c r="L836" i="6" s="1"/>
  <c r="AI839" i="6"/>
  <c r="AJ851" i="6"/>
  <c r="AK870" i="6"/>
  <c r="AP908" i="6"/>
  <c r="AK909" i="6"/>
  <c r="I842" i="6"/>
  <c r="AI862" i="6"/>
  <c r="AI867" i="6"/>
  <c r="BE871" i="6"/>
  <c r="U871" i="6"/>
  <c r="AE873" i="6"/>
  <c r="I873" i="6"/>
  <c r="J878" i="6"/>
  <c r="AJ878" i="6" s="1"/>
  <c r="AJ880" i="6"/>
  <c r="AI887" i="6"/>
  <c r="K887" i="6"/>
  <c r="J887" i="6"/>
  <c r="AJ887" i="6" s="1"/>
  <c r="AE887" i="6"/>
  <c r="AG906" i="6"/>
  <c r="AJ909" i="6"/>
  <c r="AK910" i="6"/>
  <c r="AH1001" i="6"/>
  <c r="BF1001" i="6"/>
  <c r="V1002" i="6" s="1"/>
  <c r="K842" i="6"/>
  <c r="AI842" i="6"/>
  <c r="K854" i="6"/>
  <c r="AI854" i="6"/>
  <c r="BG870" i="6"/>
  <c r="W871" i="6" s="1"/>
  <c r="BG871" i="6" s="1"/>
  <c r="W872" i="6" s="1"/>
  <c r="BG872" i="6" s="1"/>
  <c r="W873" i="6" s="1"/>
  <c r="BG873" i="6" s="1"/>
  <c r="W874" i="6" s="1"/>
  <c r="K876" i="6"/>
  <c r="AK876" i="6" s="1"/>
  <c r="J884" i="6"/>
  <c r="AJ884" i="6" s="1"/>
  <c r="AE884" i="6"/>
  <c r="AJ885" i="6"/>
  <c r="AI892" i="6"/>
  <c r="AI893" i="6"/>
  <c r="K893" i="6"/>
  <c r="J893" i="6"/>
  <c r="AJ893" i="6" s="1"/>
  <c r="I893" i="6"/>
  <c r="AE893" i="6"/>
  <c r="AJ904" i="6"/>
  <c r="AP906" i="6"/>
  <c r="AH907" i="6"/>
  <c r="AE911" i="6"/>
  <c r="K911" i="6"/>
  <c r="AK911" i="6" s="1"/>
  <c r="J911" i="6"/>
  <c r="AJ911" i="6" s="1"/>
  <c r="AI911" i="6"/>
  <c r="AP836" i="6"/>
  <c r="I839" i="6"/>
  <c r="I851" i="6"/>
  <c r="AJ862" i="6"/>
  <c r="AE864" i="6"/>
  <c r="AE869" i="6"/>
  <c r="AP870" i="6"/>
  <c r="I871" i="6"/>
  <c r="AI871" i="6"/>
  <c r="K871" i="6"/>
  <c r="AK871" i="6" s="1"/>
  <c r="J873" i="6"/>
  <c r="AJ873" i="6" s="1"/>
  <c r="AJ874" i="6"/>
  <c r="I878" i="6"/>
  <c r="I887" i="6"/>
  <c r="AI889" i="6"/>
  <c r="K889" i="6"/>
  <c r="I889" i="6"/>
  <c r="AI896" i="6"/>
  <c r="K896" i="6"/>
  <c r="J896" i="6"/>
  <c r="AJ896" i="6" s="1"/>
  <c r="AE896" i="6"/>
  <c r="AI898" i="6"/>
  <c r="AI908" i="6"/>
  <c r="K908" i="6"/>
  <c r="AK908" i="6" s="1"/>
  <c r="AH908" i="6"/>
  <c r="J908" i="6"/>
  <c r="AJ908" i="6" s="1"/>
  <c r="I908" i="6"/>
  <c r="AE908" i="6"/>
  <c r="AD974" i="6"/>
  <c r="I817" i="6"/>
  <c r="I829" i="6"/>
  <c r="AP838" i="6"/>
  <c r="K839" i="6"/>
  <c r="I841" i="6"/>
  <c r="K851" i="6"/>
  <c r="I853" i="6"/>
  <c r="I884" i="6"/>
  <c r="AJ892" i="6"/>
  <c r="AI899" i="6"/>
  <c r="K899" i="6"/>
  <c r="J899" i="6"/>
  <c r="AJ899" i="6" s="1"/>
  <c r="AE899" i="6"/>
  <c r="AJ900" i="6"/>
  <c r="I911" i="6"/>
  <c r="AI929" i="6"/>
  <c r="K929" i="6"/>
  <c r="AE929" i="6"/>
  <c r="J929" i="6"/>
  <c r="AJ929" i="6" s="1"/>
  <c r="AJ864" i="6"/>
  <c r="AI864" i="6"/>
  <c r="AI869" i="6"/>
  <c r="K869" i="6"/>
  <c r="AK879" i="6"/>
  <c r="AJ895" i="6"/>
  <c r="AJ898" i="6"/>
  <c r="BG910" i="6"/>
  <c r="W911" i="6" s="1"/>
  <c r="BG911" i="6" s="1"/>
  <c r="W912" i="6" s="1"/>
  <c r="AH910" i="6"/>
  <c r="BA955" i="6"/>
  <c r="Q956" i="6" s="1"/>
  <c r="BA956" i="6" s="1"/>
  <c r="Q957" i="6" s="1"/>
  <c r="BA957" i="6" s="1"/>
  <c r="Q958" i="6" s="1"/>
  <c r="BA958" i="6" s="1"/>
  <c r="Q959" i="6" s="1"/>
  <c r="K817" i="6"/>
  <c r="J824" i="6"/>
  <c r="AJ824" i="6" s="1"/>
  <c r="K829" i="6"/>
  <c r="J836" i="6"/>
  <c r="AJ836" i="6" s="1"/>
  <c r="K841" i="6"/>
  <c r="AE845" i="6"/>
  <c r="J848" i="6"/>
  <c r="AJ848" i="6" s="1"/>
  <c r="K853" i="6"/>
  <c r="AE857" i="6"/>
  <c r="J860" i="6"/>
  <c r="AJ860" i="6" s="1"/>
  <c r="J865" i="6"/>
  <c r="AJ865" i="6" s="1"/>
  <c r="I883" i="6"/>
  <c r="AI883" i="6"/>
  <c r="K883" i="6"/>
  <c r="AK906" i="6"/>
  <c r="BA906" i="6"/>
  <c r="Q907" i="6" s="1"/>
  <c r="BA907" i="6" s="1"/>
  <c r="Q908" i="6" s="1"/>
  <c r="BA908" i="6" s="1"/>
  <c r="Q909" i="6" s="1"/>
  <c r="BA909" i="6" s="1"/>
  <c r="Q910" i="6" s="1"/>
  <c r="BA910" i="6" s="1"/>
  <c r="Q911" i="6" s="1"/>
  <c r="BA911" i="6" s="1"/>
  <c r="Q912" i="6" s="1"/>
  <c r="AV907" i="6"/>
  <c r="L908" i="6" s="1"/>
  <c r="AV908" i="6" s="1"/>
  <c r="L909" i="6" s="1"/>
  <c r="AJ916" i="6"/>
  <c r="K824" i="6"/>
  <c r="AE828" i="6"/>
  <c r="K836" i="6"/>
  <c r="I838" i="6"/>
  <c r="AE840" i="6"/>
  <c r="K848" i="6"/>
  <c r="I850" i="6"/>
  <c r="AE852" i="6"/>
  <c r="K860" i="6"/>
  <c r="K865" i="6"/>
  <c r="AI873" i="6"/>
  <c r="AI874" i="6"/>
  <c r="AI878" i="6"/>
  <c r="I899" i="6"/>
  <c r="AV910" i="6"/>
  <c r="L911" i="6" s="1"/>
  <c r="AV911" i="6" s="1"/>
  <c r="L912" i="6" s="1"/>
  <c r="AV912" i="6" s="1"/>
  <c r="I929" i="6"/>
  <c r="I845" i="6"/>
  <c r="I857" i="6"/>
  <c r="I864" i="6"/>
  <c r="I869" i="6"/>
  <c r="AI880" i="6"/>
  <c r="AJ886" i="6"/>
  <c r="AJ901" i="6"/>
  <c r="BE908" i="6"/>
  <c r="U908" i="6"/>
  <c r="AJ907" i="6"/>
  <c r="AJ922" i="6"/>
  <c r="AJ957" i="6"/>
  <c r="AP837" i="6"/>
  <c r="J845" i="6"/>
  <c r="AJ845" i="6" s="1"/>
  <c r="AI850" i="6"/>
  <c r="I852" i="6"/>
  <c r="J857" i="6"/>
  <c r="AJ857" i="6" s="1"/>
  <c r="K864" i="6"/>
  <c r="J869" i="6"/>
  <c r="AJ869" i="6" s="1"/>
  <c r="AI875" i="6"/>
  <c r="K875" i="6"/>
  <c r="J875" i="6"/>
  <c r="AJ875" i="6" s="1"/>
  <c r="AE875" i="6"/>
  <c r="J876" i="6"/>
  <c r="AJ876" i="6" s="1"/>
  <c r="I877" i="6"/>
  <c r="J883" i="6"/>
  <c r="AJ883" i="6" s="1"/>
  <c r="AE883" i="6"/>
  <c r="AY961" i="6"/>
  <c r="O962" i="6" s="1"/>
  <c r="AY962" i="6" s="1"/>
  <c r="O963" i="6" s="1"/>
  <c r="AY963" i="6" s="1"/>
  <c r="O964" i="6" s="1"/>
  <c r="AY964" i="6" s="1"/>
  <c r="O965" i="6" s="1"/>
  <c r="AY965" i="6" s="1"/>
  <c r="O966" i="6" s="1"/>
  <c r="AY966" i="6" s="1"/>
  <c r="O967" i="6" s="1"/>
  <c r="AY967" i="6" s="1"/>
  <c r="O968" i="6" s="1"/>
  <c r="AY968" i="6" s="1"/>
  <c r="O969" i="6" s="1"/>
  <c r="AY969" i="6" s="1"/>
  <c r="O970" i="6" s="1"/>
  <c r="AY970" i="6" s="1"/>
  <c r="O971" i="6" s="1"/>
  <c r="AY971" i="6" s="1"/>
  <c r="O972" i="6" s="1"/>
  <c r="AY972" i="6" s="1"/>
  <c r="O973" i="6" s="1"/>
  <c r="AY973" i="6" s="1"/>
  <c r="O974" i="6" s="1"/>
  <c r="AY974" i="6" s="1"/>
  <c r="O975" i="6" s="1"/>
  <c r="AY975" i="6" s="1"/>
  <c r="O976" i="6" s="1"/>
  <c r="AY976" i="6" s="1"/>
  <c r="O977" i="6" s="1"/>
  <c r="AY977" i="6" s="1"/>
  <c r="AJ948" i="6"/>
  <c r="BH993" i="6"/>
  <c r="X994" i="6" s="1"/>
  <c r="BH994" i="6" s="1"/>
  <c r="X995" i="6" s="1"/>
  <c r="BH995" i="6" s="1"/>
  <c r="X996" i="6" s="1"/>
  <c r="BH996" i="6" s="1"/>
  <c r="X997" i="6" s="1"/>
  <c r="BH997" i="6" s="1"/>
  <c r="X998" i="6" s="1"/>
  <c r="BH998" i="6" s="1"/>
  <c r="X999" i="6" s="1"/>
  <c r="BH999" i="6" s="1"/>
  <c r="X1000" i="6" s="1"/>
  <c r="I811" i="6"/>
  <c r="J816" i="6"/>
  <c r="AJ816" i="6" s="1"/>
  <c r="I823" i="6"/>
  <c r="J840" i="6"/>
  <c r="AJ840" i="6" s="1"/>
  <c r="K845" i="6"/>
  <c r="J852" i="6"/>
  <c r="AJ852" i="6" s="1"/>
  <c r="K857" i="6"/>
  <c r="AE885" i="6"/>
  <c r="I885" i="6"/>
  <c r="AI904" i="6"/>
  <c r="AJ910" i="6"/>
  <c r="AK915" i="6"/>
  <c r="AJ945" i="6"/>
  <c r="K895" i="6"/>
  <c r="AI895" i="6"/>
  <c r="I897" i="6"/>
  <c r="J902" i="6"/>
  <c r="AJ902" i="6" s="1"/>
  <c r="K907" i="6"/>
  <c r="AK907" i="6" s="1"/>
  <c r="AI907" i="6"/>
  <c r="I909" i="6"/>
  <c r="AI909" i="6"/>
  <c r="AJ912" i="6"/>
  <c r="J917" i="6"/>
  <c r="AJ917" i="6" s="1"/>
  <c r="J920" i="6"/>
  <c r="AJ920" i="6" s="1"/>
  <c r="AI920" i="6"/>
  <c r="K922" i="6"/>
  <c r="J925" i="6"/>
  <c r="AJ925" i="6" s="1"/>
  <c r="AJ936" i="6"/>
  <c r="BD946" i="6"/>
  <c r="T947" i="6" s="1"/>
  <c r="BD947" i="6" s="1"/>
  <c r="T948" i="6" s="1"/>
  <c r="BD948" i="6" s="1"/>
  <c r="T949" i="6" s="1"/>
  <c r="BD949" i="6" s="1"/>
  <c r="T950" i="6" s="1"/>
  <c r="AI942" i="6"/>
  <c r="AP946" i="6"/>
  <c r="AJ964" i="6"/>
  <c r="AI966" i="6"/>
  <c r="BF1037" i="6"/>
  <c r="V1038" i="6" s="1"/>
  <c r="AH1037" i="6"/>
  <c r="J897" i="6"/>
  <c r="AJ897" i="6" s="1"/>
  <c r="AI902" i="6"/>
  <c r="I915" i="6"/>
  <c r="AI915" i="6"/>
  <c r="J926" i="6"/>
  <c r="AJ926" i="6" s="1"/>
  <c r="AI931" i="6"/>
  <c r="AI933" i="6"/>
  <c r="K933" i="6"/>
  <c r="I933" i="6"/>
  <c r="AE933" i="6"/>
  <c r="AI946" i="6"/>
  <c r="AJ970" i="6"/>
  <c r="AD976" i="6"/>
  <c r="AV980" i="6"/>
  <c r="L981" i="6" s="1"/>
  <c r="AJ938" i="6"/>
  <c r="AD942" i="6"/>
  <c r="BE945" i="6"/>
  <c r="U945" i="6"/>
  <c r="AD952" i="6"/>
  <c r="AD955" i="6"/>
  <c r="AD960" i="6"/>
  <c r="AJ976" i="6"/>
  <c r="AJ982" i="6"/>
  <c r="BA1020" i="6"/>
  <c r="Q1021" i="6" s="1"/>
  <c r="AG1020" i="6"/>
  <c r="J914" i="6"/>
  <c r="AJ914" i="6" s="1"/>
  <c r="AI914" i="6"/>
  <c r="AE925" i="6"/>
  <c r="AJ942" i="6"/>
  <c r="AH942" i="6"/>
  <c r="AV944" i="6"/>
  <c r="L945" i="6" s="1"/>
  <c r="AD971" i="6"/>
  <c r="I901" i="6"/>
  <c r="AH906" i="6"/>
  <c r="J915" i="6"/>
  <c r="AJ915" i="6" s="1"/>
  <c r="I926" i="6"/>
  <c r="AI932" i="6"/>
  <c r="J933" i="6"/>
  <c r="AJ933" i="6" s="1"/>
  <c r="AI941" i="6"/>
  <c r="K941" i="6"/>
  <c r="J941" i="6"/>
  <c r="AJ941" i="6" s="1"/>
  <c r="I941" i="6"/>
  <c r="AE941" i="6"/>
  <c r="AD977" i="6"/>
  <c r="AP982" i="6"/>
  <c r="BH1046" i="6"/>
  <c r="X1047" i="6" s="1"/>
  <c r="AI913" i="6"/>
  <c r="K913" i="6"/>
  <c r="AK913" i="6" s="1"/>
  <c r="J927" i="6"/>
  <c r="AJ927" i="6" s="1"/>
  <c r="I927" i="6"/>
  <c r="AD944" i="6"/>
  <c r="AJ949" i="6"/>
  <c r="AD968" i="6"/>
  <c r="K901" i="6"/>
  <c r="AE905" i="6"/>
  <c r="AI918" i="6"/>
  <c r="AI923" i="6"/>
  <c r="AJ924" i="6"/>
  <c r="AW944" i="6"/>
  <c r="M945" i="6" s="1"/>
  <c r="AJ972" i="6"/>
  <c r="BO984" i="6"/>
  <c r="BN985" i="6" s="1"/>
  <c r="BO985" i="6" s="1"/>
  <c r="BN986" i="6" s="1"/>
  <c r="BO986" i="6" s="1"/>
  <c r="BN987" i="6" s="1"/>
  <c r="BO987" i="6" s="1"/>
  <c r="BN988" i="6" s="1"/>
  <c r="BO988" i="6" s="1"/>
  <c r="BN989" i="6" s="1"/>
  <c r="BO989" i="6" s="1"/>
  <c r="BN990" i="6" s="1"/>
  <c r="BO990" i="6" s="1"/>
  <c r="BN991" i="6" s="1"/>
  <c r="BO991" i="6" s="1"/>
  <c r="BN992" i="6" s="1"/>
  <c r="BO992" i="6" s="1"/>
  <c r="BN993" i="6" s="1"/>
  <c r="BO993" i="6" s="1"/>
  <c r="BN994" i="6" s="1"/>
  <c r="BO994" i="6" s="1"/>
  <c r="BN995" i="6" s="1"/>
  <c r="BO995" i="6" s="1"/>
  <c r="BN996" i="6" s="1"/>
  <c r="BO996" i="6" s="1"/>
  <c r="BN997" i="6" s="1"/>
  <c r="BO997" i="6" s="1"/>
  <c r="BN998" i="6" s="1"/>
  <c r="BO998" i="6" s="1"/>
  <c r="BN999" i="6" s="1"/>
  <c r="BO999" i="6" s="1"/>
  <c r="BN1000" i="6" s="1"/>
  <c r="BO1000" i="6" s="1"/>
  <c r="BN1001" i="6" s="1"/>
  <c r="BO1001" i="6" s="1"/>
  <c r="BN1002" i="6" s="1"/>
  <c r="BO1002" i="6" s="1"/>
  <c r="BN1003" i="6" s="1"/>
  <c r="BO1003" i="6" s="1"/>
  <c r="BN1004" i="6" s="1"/>
  <c r="BO1004" i="6" s="1"/>
  <c r="BN1005" i="6" s="1"/>
  <c r="BO1005" i="6" s="1"/>
  <c r="BN1006" i="6" s="1"/>
  <c r="BO1006" i="6" s="1"/>
  <c r="BN1007" i="6" s="1"/>
  <c r="BO1007" i="6" s="1"/>
  <c r="BN1008" i="6" s="1"/>
  <c r="BO1008" i="6" s="1"/>
  <c r="BN1009" i="6" s="1"/>
  <c r="BO1009" i="6" s="1"/>
  <c r="BN1010" i="6" s="1"/>
  <c r="BO1010" i="6" s="1"/>
  <c r="BN1011" i="6" s="1"/>
  <c r="BO1011" i="6" s="1"/>
  <c r="BN1012" i="6" s="1"/>
  <c r="BO1012" i="6" s="1"/>
  <c r="BN1013" i="6" s="1"/>
  <c r="BO1013" i="6" s="1"/>
  <c r="AP907" i="6"/>
  <c r="I937" i="6"/>
  <c r="AE937" i="6"/>
  <c r="AI937" i="6"/>
  <c r="K937" i="6"/>
  <c r="BG943" i="6"/>
  <c r="W944" i="6" s="1"/>
  <c r="BG944" i="6" s="1"/>
  <c r="W945" i="6" s="1"/>
  <c r="AH943" i="6"/>
  <c r="AP948" i="6"/>
  <c r="AJ967" i="6"/>
  <c r="AJ978" i="6"/>
  <c r="BG979" i="6"/>
  <c r="W980" i="6" s="1"/>
  <c r="BG980" i="6" s="1"/>
  <c r="W981" i="6" s="1"/>
  <c r="AH979" i="6"/>
  <c r="AI1002" i="6"/>
  <c r="K1002" i="6"/>
  <c r="AE1002" i="6"/>
  <c r="J1002" i="6"/>
  <c r="AJ1002" i="6" s="1"/>
  <c r="I1002" i="6"/>
  <c r="AE895" i="6"/>
  <c r="I905" i="6"/>
  <c r="AE907" i="6"/>
  <c r="I913" i="6"/>
  <c r="AI922" i="6"/>
  <c r="I923" i="6"/>
  <c r="AI925" i="6"/>
  <c r="K925" i="6"/>
  <c r="K927" i="6"/>
  <c r="AD959" i="6"/>
  <c r="AE1033" i="6"/>
  <c r="AY1033" i="6"/>
  <c r="O1034" i="6" s="1"/>
  <c r="AY1034" i="6" s="1"/>
  <c r="O1035" i="6" s="1"/>
  <c r="AY1035" i="6" s="1"/>
  <c r="O1036" i="6" s="1"/>
  <c r="AY1036" i="6" s="1"/>
  <c r="O1037" i="6" s="1"/>
  <c r="AY1037" i="6" s="1"/>
  <c r="O1038" i="6" s="1"/>
  <c r="AY1038" i="6" s="1"/>
  <c r="O1039" i="6" s="1"/>
  <c r="AY1039" i="6" s="1"/>
  <c r="O1040" i="6" s="1"/>
  <c r="AY1040" i="6" s="1"/>
  <c r="O1041" i="6" s="1"/>
  <c r="AY1041" i="6" s="1"/>
  <c r="O1042" i="6" s="1"/>
  <c r="AY1042" i="6" s="1"/>
  <c r="O1043" i="6" s="1"/>
  <c r="AY1043" i="6" s="1"/>
  <c r="O1044" i="6" s="1"/>
  <c r="AY1044" i="6" s="1"/>
  <c r="O1045" i="6" s="1"/>
  <c r="AY1045" i="6" s="1"/>
  <c r="O1046" i="6" s="1"/>
  <c r="AY1046" i="6" s="1"/>
  <c r="O1047" i="6" s="1"/>
  <c r="AY1047" i="6" s="1"/>
  <c r="O1048" i="6" s="1"/>
  <c r="AY1048" i="6" s="1"/>
  <c r="O1049" i="6" s="1"/>
  <c r="AY1049" i="6" s="1"/>
  <c r="J905" i="6"/>
  <c r="AJ905" i="6" s="1"/>
  <c r="AE909" i="6"/>
  <c r="AI912" i="6"/>
  <c r="J913" i="6"/>
  <c r="AJ913" i="6" s="1"/>
  <c r="AJ918" i="6"/>
  <c r="J923" i="6"/>
  <c r="AJ923" i="6" s="1"/>
  <c r="AE927" i="6"/>
  <c r="BO944" i="6"/>
  <c r="BN945" i="6" s="1"/>
  <c r="BO945" i="6" s="1"/>
  <c r="BN946" i="6" s="1"/>
  <c r="BO946" i="6" s="1"/>
  <c r="BN947" i="6" s="1"/>
  <c r="BO947" i="6" s="1"/>
  <c r="BN948" i="6" s="1"/>
  <c r="AJ959" i="6"/>
  <c r="AJ969" i="6"/>
  <c r="AP980" i="6"/>
  <c r="AK981" i="6"/>
  <c r="AJ988" i="6"/>
  <c r="AJ1000" i="6"/>
  <c r="J888" i="6"/>
  <c r="AJ888" i="6" s="1"/>
  <c r="I895" i="6"/>
  <c r="K905" i="6"/>
  <c r="I907" i="6"/>
  <c r="U907" i="6"/>
  <c r="AE915" i="6"/>
  <c r="I921" i="6"/>
  <c r="AI921" i="6"/>
  <c r="K923" i="6"/>
  <c r="AJ930" i="6"/>
  <c r="J937" i="6"/>
  <c r="AJ937" i="6" s="1"/>
  <c r="AD948" i="6"/>
  <c r="AJ954" i="6"/>
  <c r="AI964" i="6"/>
  <c r="AD973" i="6"/>
  <c r="BA984" i="6"/>
  <c r="Q985" i="6" s="1"/>
  <c r="J932" i="6"/>
  <c r="AJ932" i="6" s="1"/>
  <c r="I939" i="6"/>
  <c r="J944" i="6"/>
  <c r="AJ944" i="6" s="1"/>
  <c r="AH944" i="6"/>
  <c r="K949" i="6"/>
  <c r="AI949" i="6"/>
  <c r="AE951" i="6"/>
  <c r="I957" i="6"/>
  <c r="AD957" i="6" s="1"/>
  <c r="AI957" i="6"/>
  <c r="I958" i="6"/>
  <c r="AD958" i="6" s="1"/>
  <c r="AJ960" i="6"/>
  <c r="I961" i="6"/>
  <c r="AD961" i="6" s="1"/>
  <c r="I962" i="6"/>
  <c r="AD962" i="6" s="1"/>
  <c r="AD967" i="6"/>
  <c r="J971" i="6"/>
  <c r="AJ971" i="6" s="1"/>
  <c r="J973" i="6"/>
  <c r="AJ973" i="6" s="1"/>
  <c r="K974" i="6"/>
  <c r="J977" i="6"/>
  <c r="AJ977" i="6" s="1"/>
  <c r="AE977" i="6"/>
  <c r="I999" i="6"/>
  <c r="AE999" i="6"/>
  <c r="K999" i="6"/>
  <c r="J999" i="6"/>
  <c r="AJ999" i="6" s="1"/>
  <c r="AG1019" i="6"/>
  <c r="I934" i="6"/>
  <c r="J939" i="6"/>
  <c r="AJ939" i="6" s="1"/>
  <c r="AP943" i="6"/>
  <c r="AI944" i="6"/>
  <c r="I946" i="6"/>
  <c r="AD946" i="6" s="1"/>
  <c r="I953" i="6"/>
  <c r="AD953" i="6" s="1"/>
  <c r="J958" i="6"/>
  <c r="AJ958" i="6" s="1"/>
  <c r="J961" i="6"/>
  <c r="AJ961" i="6" s="1"/>
  <c r="K962" i="6"/>
  <c r="K963" i="6"/>
  <c r="I964" i="6"/>
  <c r="AD964" i="6" s="1"/>
  <c r="I965" i="6"/>
  <c r="AD965" i="6" s="1"/>
  <c r="AD966" i="6"/>
  <c r="K971" i="6"/>
  <c r="AI995" i="6"/>
  <c r="AJ1005" i="6"/>
  <c r="J934" i="6"/>
  <c r="AJ934" i="6" s="1"/>
  <c r="K939" i="6"/>
  <c r="AI939" i="6"/>
  <c r="J946" i="6"/>
  <c r="AJ946" i="6" s="1"/>
  <c r="AE950" i="6"/>
  <c r="J953" i="6"/>
  <c r="AJ953" i="6" s="1"/>
  <c r="J956" i="6"/>
  <c r="AJ956" i="6" s="1"/>
  <c r="AI956" i="6"/>
  <c r="AJ966" i="6"/>
  <c r="AI987" i="6"/>
  <c r="J987" i="6"/>
  <c r="AJ987" i="6" s="1"/>
  <c r="I987" i="6"/>
  <c r="BF1073" i="6"/>
  <c r="V1074" i="6" s="1"/>
  <c r="AH1073" i="6"/>
  <c r="AP945" i="6"/>
  <c r="AG951" i="6"/>
  <c r="I951" i="6"/>
  <c r="AD951" i="6" s="1"/>
  <c r="AI951" i="6"/>
  <c r="BD1015" i="6"/>
  <c r="T1016" i="6" s="1"/>
  <c r="BD1016" i="6" s="1"/>
  <c r="T1017" i="6" s="1"/>
  <c r="BD1017" i="6" s="1"/>
  <c r="T1018" i="6" s="1"/>
  <c r="AP1015" i="6"/>
  <c r="AJ1024" i="6"/>
  <c r="AJ1036" i="6"/>
  <c r="AH1109" i="6"/>
  <c r="BF1109" i="6"/>
  <c r="V1110" i="6" s="1"/>
  <c r="AH1091" i="6"/>
  <c r="BG1091" i="6"/>
  <c r="W1092" i="6" s="1"/>
  <c r="BG1092" i="6" s="1"/>
  <c r="W1093" i="6" s="1"/>
  <c r="BG1093" i="6" s="1"/>
  <c r="W1094" i="6" s="1"/>
  <c r="I931" i="6"/>
  <c r="I943" i="6"/>
  <c r="AD943" i="6" s="1"/>
  <c r="U943" i="6"/>
  <c r="AE945" i="6"/>
  <c r="AI955" i="6"/>
  <c r="K955" i="6"/>
  <c r="AE964" i="6"/>
  <c r="AI980" i="6"/>
  <c r="K980" i="6"/>
  <c r="AK980" i="6" s="1"/>
  <c r="J980" i="6"/>
  <c r="AJ980" i="6" s="1"/>
  <c r="AJ983" i="6"/>
  <c r="AK1024" i="6"/>
  <c r="AI1041" i="6"/>
  <c r="AI1045" i="6"/>
  <c r="AJ1051" i="6"/>
  <c r="BH1104" i="6"/>
  <c r="X1105" i="6" s="1"/>
  <c r="BH1105" i="6" s="1"/>
  <c r="X1106" i="6" s="1"/>
  <c r="BH1106" i="6" s="1"/>
  <c r="X1107" i="6" s="1"/>
  <c r="BH1107" i="6" s="1"/>
  <c r="X1108" i="6" s="1"/>
  <c r="BH1108" i="6" s="1"/>
  <c r="X1109" i="6" s="1"/>
  <c r="BH1109" i="6" s="1"/>
  <c r="X1110" i="6" s="1"/>
  <c r="BH1110" i="6" s="1"/>
  <c r="X1111" i="6" s="1"/>
  <c r="BH1111" i="6" s="1"/>
  <c r="X1112" i="6" s="1"/>
  <c r="BH1112" i="6" s="1"/>
  <c r="X1113" i="6" s="1"/>
  <c r="BH1113" i="6" s="1"/>
  <c r="X1114" i="6" s="1"/>
  <c r="BH1114" i="6" s="1"/>
  <c r="X1115" i="6" s="1"/>
  <c r="BH1115" i="6" s="1"/>
  <c r="X1116" i="6" s="1"/>
  <c r="BH1116" i="6" s="1"/>
  <c r="X1117" i="6" s="1"/>
  <c r="BH1117" i="6" s="1"/>
  <c r="X1118" i="6" s="1"/>
  <c r="BH1118" i="6" s="1"/>
  <c r="X1119" i="6" s="1"/>
  <c r="BH1119" i="6" s="1"/>
  <c r="X1120" i="6" s="1"/>
  <c r="BH1120" i="6" s="1"/>
  <c r="X1121" i="6" s="1"/>
  <c r="BH1121" i="6" s="1"/>
  <c r="AP947" i="6"/>
  <c r="I950" i="6"/>
  <c r="AD950" i="6" s="1"/>
  <c r="AI950" i="6"/>
  <c r="I956" i="6"/>
  <c r="AD956" i="6" s="1"/>
  <c r="BE979" i="6"/>
  <c r="K987" i="6"/>
  <c r="AK987" i="6" s="1"/>
  <c r="AJ1017" i="6"/>
  <c r="K931" i="6"/>
  <c r="AE935" i="6"/>
  <c r="K943" i="6"/>
  <c r="AK943" i="6" s="1"/>
  <c r="I945" i="6"/>
  <c r="AD945" i="6" s="1"/>
  <c r="AE947" i="6"/>
  <c r="J950" i="6"/>
  <c r="AJ950" i="6" s="1"/>
  <c r="J951" i="6"/>
  <c r="AJ951" i="6" s="1"/>
  <c r="K956" i="6"/>
  <c r="AI977" i="6"/>
  <c r="AJ985" i="6"/>
  <c r="K994" i="6"/>
  <c r="J994" i="6"/>
  <c r="AJ994" i="6" s="1"/>
  <c r="I994" i="6"/>
  <c r="AI994" i="6"/>
  <c r="BG1017" i="6"/>
  <c r="W1018" i="6" s="1"/>
  <c r="BG1018" i="6" s="1"/>
  <c r="W1019" i="6" s="1"/>
  <c r="AP949" i="6"/>
  <c r="AI1007" i="6"/>
  <c r="AJ1014" i="6"/>
  <c r="AE1069" i="6"/>
  <c r="AY1069" i="6"/>
  <c r="O1070" i="6" s="1"/>
  <c r="AY1070" i="6" s="1"/>
  <c r="O1071" i="6" s="1"/>
  <c r="AY1071" i="6" s="1"/>
  <c r="O1072" i="6" s="1"/>
  <c r="AY1072" i="6" s="1"/>
  <c r="O1073" i="6" s="1"/>
  <c r="AY1073" i="6" s="1"/>
  <c r="O1074" i="6" s="1"/>
  <c r="AY1074" i="6" s="1"/>
  <c r="O1075" i="6" s="1"/>
  <c r="AY1075" i="6" s="1"/>
  <c r="O1076" i="6" s="1"/>
  <c r="AY1076" i="6" s="1"/>
  <c r="O1077" i="6" s="1"/>
  <c r="AY1077" i="6" s="1"/>
  <c r="O1078" i="6" s="1"/>
  <c r="AY1078" i="6" s="1"/>
  <c r="O1079" i="6" s="1"/>
  <c r="AY1079" i="6" s="1"/>
  <c r="O1080" i="6" s="1"/>
  <c r="AY1080" i="6" s="1"/>
  <c r="O1081" i="6" s="1"/>
  <c r="AY1081" i="6" s="1"/>
  <c r="O1082" i="6" s="1"/>
  <c r="AY1082" i="6" s="1"/>
  <c r="O1083" i="6" s="1"/>
  <c r="AY1083" i="6" s="1"/>
  <c r="O1084" i="6" s="1"/>
  <c r="AY1084" i="6" s="1"/>
  <c r="O1085" i="6" s="1"/>
  <c r="AY1085" i="6" s="1"/>
  <c r="I935" i="6"/>
  <c r="K945" i="6"/>
  <c r="I947" i="6"/>
  <c r="AD947" i="6" s="1"/>
  <c r="AE949" i="6"/>
  <c r="AI970" i="6"/>
  <c r="K970" i="6"/>
  <c r="I970" i="6"/>
  <c r="AD970" i="6" s="1"/>
  <c r="AI973" i="6"/>
  <c r="K973" i="6"/>
  <c r="J974" i="6"/>
  <c r="AJ974" i="6" s="1"/>
  <c r="AE974" i="6"/>
  <c r="J975" i="6"/>
  <c r="AJ975" i="6" s="1"/>
  <c r="I975" i="6"/>
  <c r="AD975" i="6" s="1"/>
  <c r="AI982" i="6"/>
  <c r="K982" i="6"/>
  <c r="AK982" i="6" s="1"/>
  <c r="I982" i="6"/>
  <c r="AE982" i="6"/>
  <c r="AJ984" i="6"/>
  <c r="AI986" i="6"/>
  <c r="K986" i="6"/>
  <c r="J986" i="6"/>
  <c r="AJ986" i="6" s="1"/>
  <c r="I986" i="6"/>
  <c r="AE986" i="6"/>
  <c r="AJ990" i="6"/>
  <c r="AJ996" i="6"/>
  <c r="AJ1012" i="6"/>
  <c r="AP1018" i="6"/>
  <c r="AK1022" i="6"/>
  <c r="BO1065" i="6"/>
  <c r="BN1066" i="6" s="1"/>
  <c r="BO1066" i="6" s="1"/>
  <c r="BN1067" i="6" s="1"/>
  <c r="BO1067" i="6" s="1"/>
  <c r="BN1068" i="6" s="1"/>
  <c r="BO1068" i="6" s="1"/>
  <c r="BN1069" i="6" s="1"/>
  <c r="BO1069" i="6" s="1"/>
  <c r="BN1070" i="6" s="1"/>
  <c r="BO1070" i="6" s="1"/>
  <c r="BN1071" i="6" s="1"/>
  <c r="BO1071" i="6" s="1"/>
  <c r="BN1072" i="6" s="1"/>
  <c r="BO1072" i="6" s="1"/>
  <c r="BN1073" i="6" s="1"/>
  <c r="J947" i="6"/>
  <c r="AJ947" i="6" s="1"/>
  <c r="AI961" i="6"/>
  <c r="K961" i="6"/>
  <c r="J962" i="6"/>
  <c r="AJ962" i="6" s="1"/>
  <c r="AE962" i="6"/>
  <c r="AI967" i="6"/>
  <c r="AK990" i="6"/>
  <c r="AJ1001" i="6"/>
  <c r="BA1051" i="6"/>
  <c r="Q1052" i="6" s="1"/>
  <c r="BA1052" i="6" s="1"/>
  <c r="Q1053" i="6" s="1"/>
  <c r="BA1053" i="6" s="1"/>
  <c r="Q1054" i="6" s="1"/>
  <c r="BA1054" i="6" s="1"/>
  <c r="Q1055" i="6" s="1"/>
  <c r="K935" i="6"/>
  <c r="I949" i="6"/>
  <c r="AD949" i="6" s="1"/>
  <c r="AD954" i="6"/>
  <c r="J963" i="6"/>
  <c r="AJ963" i="6" s="1"/>
  <c r="I963" i="6"/>
  <c r="AD963" i="6" s="1"/>
  <c r="J965" i="6"/>
  <c r="AJ965" i="6" s="1"/>
  <c r="AE965" i="6"/>
  <c r="AI968" i="6"/>
  <c r="K968" i="6"/>
  <c r="J968" i="6"/>
  <c r="AJ968" i="6" s="1"/>
  <c r="AD972" i="6"/>
  <c r="AI979" i="6"/>
  <c r="K992" i="6"/>
  <c r="AI992" i="6"/>
  <c r="J992" i="6"/>
  <c r="AJ992" i="6" s="1"/>
  <c r="I992" i="6"/>
  <c r="AK1017" i="6"/>
  <c r="BO1017" i="6"/>
  <c r="BN1018" i="6" s="1"/>
  <c r="BO1018" i="6" s="1"/>
  <c r="BN1019" i="6" s="1"/>
  <c r="BO1019" i="6" s="1"/>
  <c r="BN1020" i="6" s="1"/>
  <c r="BO1020" i="6" s="1"/>
  <c r="BN1021" i="6" s="1"/>
  <c r="BO1021" i="6" s="1"/>
  <c r="BN1022" i="6" s="1"/>
  <c r="BO1022" i="6" s="1"/>
  <c r="BN1023" i="6" s="1"/>
  <c r="BO1023" i="6" s="1"/>
  <c r="BN1024" i="6" s="1"/>
  <c r="BO1024" i="6" s="1"/>
  <c r="BN1025" i="6" s="1"/>
  <c r="BO1025" i="6" s="1"/>
  <c r="BN1026" i="6" s="1"/>
  <c r="BO1026" i="6" s="1"/>
  <c r="BN1027" i="6" s="1"/>
  <c r="BO1027" i="6" s="1"/>
  <c r="BN1028" i="6" s="1"/>
  <c r="BO1028" i="6" s="1"/>
  <c r="BN1029" i="6" s="1"/>
  <c r="BO1029" i="6" s="1"/>
  <c r="BN1030" i="6" s="1"/>
  <c r="BO1030" i="6" s="1"/>
  <c r="BN1031" i="6" s="1"/>
  <c r="BO1031" i="6" s="1"/>
  <c r="BN1032" i="6" s="1"/>
  <c r="BO1032" i="6" s="1"/>
  <c r="BN1033" i="6" s="1"/>
  <c r="BO1033" i="6" s="1"/>
  <c r="BN1034" i="6" s="1"/>
  <c r="J1004" i="6"/>
  <c r="AJ1004" i="6" s="1"/>
  <c r="I1004" i="6"/>
  <c r="AI1009" i="6"/>
  <c r="K1009" i="6"/>
  <c r="J1009" i="6"/>
  <c r="AJ1009" i="6" s="1"/>
  <c r="I1011" i="6"/>
  <c r="AI1011" i="6"/>
  <c r="K1011" i="6"/>
  <c r="AH1016" i="6"/>
  <c r="J1016" i="6"/>
  <c r="AJ1016" i="6" s="1"/>
  <c r="AG1016" i="6"/>
  <c r="I1016" i="6"/>
  <c r="AJ1023" i="6"/>
  <c r="AI997" i="6"/>
  <c r="K997" i="6"/>
  <c r="J997" i="6"/>
  <c r="AJ997" i="6" s="1"/>
  <c r="AJ1007" i="6"/>
  <c r="BE1016" i="6"/>
  <c r="U1016" i="6"/>
  <c r="AV1016" i="6"/>
  <c r="L1017" i="6" s="1"/>
  <c r="AE1016" i="6"/>
  <c r="AJ1019" i="6"/>
  <c r="AI1027" i="6"/>
  <c r="K1027" i="6"/>
  <c r="AK1027" i="6" s="1"/>
  <c r="J1027" i="6"/>
  <c r="AJ1027" i="6" s="1"/>
  <c r="AE1027" i="6"/>
  <c r="J1028" i="6"/>
  <c r="AJ1028" i="6" s="1"/>
  <c r="I1028" i="6"/>
  <c r="AE1030" i="6"/>
  <c r="AI1030" i="6"/>
  <c r="K1030" i="6"/>
  <c r="AK1030" i="6" s="1"/>
  <c r="J1030" i="6"/>
  <c r="AJ1030" i="6" s="1"/>
  <c r="AJ1032" i="6"/>
  <c r="I1043" i="6"/>
  <c r="AE1043" i="6"/>
  <c r="K1043" i="6"/>
  <c r="K985" i="6"/>
  <c r="AI985" i="6"/>
  <c r="AE989" i="6"/>
  <c r="AI1000" i="6"/>
  <c r="AE1006" i="6"/>
  <c r="AI1006" i="6"/>
  <c r="K1006" i="6"/>
  <c r="J1006" i="6"/>
  <c r="AJ1006" i="6" s="1"/>
  <c r="AI1012" i="6"/>
  <c r="AP1017" i="6"/>
  <c r="AK1019" i="6"/>
  <c r="AI1028" i="6"/>
  <c r="I1036" i="6"/>
  <c r="AE1036" i="6"/>
  <c r="AJ1038" i="6"/>
  <c r="AE1040" i="6"/>
  <c r="AJ1052" i="6"/>
  <c r="AJ1077" i="6"/>
  <c r="AP979" i="6"/>
  <c r="AI993" i="6"/>
  <c r="K1004" i="6"/>
  <c r="AE1004" i="6"/>
  <c r="I1009" i="6"/>
  <c r="AE1009" i="6"/>
  <c r="J1011" i="6"/>
  <c r="AJ1011" i="6" s="1"/>
  <c r="K1016" i="6"/>
  <c r="AK1016" i="6" s="1"/>
  <c r="AI1016" i="6"/>
  <c r="AV1017" i="6"/>
  <c r="L1018" i="6" s="1"/>
  <c r="AV1018" i="6" s="1"/>
  <c r="L1019" i="6" s="1"/>
  <c r="AV1019" i="6" s="1"/>
  <c r="L1020" i="6" s="1"/>
  <c r="AV1020" i="6" s="1"/>
  <c r="AJ1020" i="6"/>
  <c r="AI1021" i="6"/>
  <c r="K1021" i="6"/>
  <c r="AK1021" i="6" s="1"/>
  <c r="J1021" i="6"/>
  <c r="AJ1021" i="6" s="1"/>
  <c r="AI1026" i="6"/>
  <c r="AJ1031" i="6"/>
  <c r="AJ1037" i="6"/>
  <c r="BO1094" i="6"/>
  <c r="BN1095" i="6" s="1"/>
  <c r="BO1095" i="6" s="1"/>
  <c r="BN1096" i="6" s="1"/>
  <c r="AK1094" i="6"/>
  <c r="J1003" i="6"/>
  <c r="AJ1003" i="6" s="1"/>
  <c r="AE1003" i="6"/>
  <c r="AE1011" i="6"/>
  <c r="I1027" i="6"/>
  <c r="K1028" i="6"/>
  <c r="AK1028" i="6" s="1"/>
  <c r="I1030" i="6"/>
  <c r="AK1031" i="6"/>
  <c r="J1040" i="6"/>
  <c r="AJ1040" i="6" s="1"/>
  <c r="I1040" i="6"/>
  <c r="J1043" i="6"/>
  <c r="AJ1043" i="6" s="1"/>
  <c r="AJ1050" i="6"/>
  <c r="BG1051" i="6"/>
  <c r="W1052" i="6" s="1"/>
  <c r="AH1051" i="6"/>
  <c r="AJ1055" i="6"/>
  <c r="AP981" i="6"/>
  <c r="J989" i="6"/>
  <c r="AJ989" i="6" s="1"/>
  <c r="J993" i="6"/>
  <c r="AJ993" i="6" s="1"/>
  <c r="AI1004" i="6"/>
  <c r="I1035" i="6"/>
  <c r="AI1035" i="6"/>
  <c r="K1035" i="6"/>
  <c r="AE1035" i="6"/>
  <c r="AJ1106" i="6"/>
  <c r="K989" i="6"/>
  <c r="K993" i="6"/>
  <c r="I998" i="6"/>
  <c r="AJ1013" i="6"/>
  <c r="AP1016" i="6"/>
  <c r="AE1018" i="6"/>
  <c r="AI1018" i="6"/>
  <c r="K1018" i="6"/>
  <c r="AK1018" i="6" s="1"/>
  <c r="AH1018" i="6"/>
  <c r="J1018" i="6"/>
  <c r="AJ1018" i="6" s="1"/>
  <c r="I1024" i="6"/>
  <c r="AE1024" i="6"/>
  <c r="AJ1063" i="6"/>
  <c r="BA1090" i="6"/>
  <c r="Q1091" i="6" s="1"/>
  <c r="AE988" i="6"/>
  <c r="I1003" i="6"/>
  <c r="AI1015" i="6"/>
  <c r="K1015" i="6"/>
  <c r="AK1015" i="6" s="1"/>
  <c r="AH1015" i="6"/>
  <c r="J1015" i="6"/>
  <c r="AJ1015" i="6" s="1"/>
  <c r="AE1015" i="6"/>
  <c r="AJ1025" i="6"/>
  <c r="AJ1026" i="6"/>
  <c r="K1040" i="6"/>
  <c r="BD1050" i="6"/>
  <c r="T1051" i="6" s="1"/>
  <c r="BD1051" i="6" s="1"/>
  <c r="T1052" i="6" s="1"/>
  <c r="K967" i="6"/>
  <c r="I969" i="6"/>
  <c r="AD969" i="6" s="1"/>
  <c r="K979" i="6"/>
  <c r="I981" i="6"/>
  <c r="K991" i="6"/>
  <c r="K1000" i="6"/>
  <c r="K1003" i="6"/>
  <c r="AI1024" i="6"/>
  <c r="AK1025" i="6"/>
  <c r="AI1033" i="6"/>
  <c r="J1035" i="6"/>
  <c r="AJ1035" i="6" s="1"/>
  <c r="AI1039" i="6"/>
  <c r="K1039" i="6"/>
  <c r="J1039" i="6"/>
  <c r="AJ1039" i="6" s="1"/>
  <c r="AE1039" i="6"/>
  <c r="BE1052" i="6"/>
  <c r="U1052" i="6"/>
  <c r="J1059" i="6"/>
  <c r="AJ1059" i="6" s="1"/>
  <c r="AI1059" i="6"/>
  <c r="AE1059" i="6"/>
  <c r="K1059" i="6"/>
  <c r="K1071" i="6"/>
  <c r="J1071" i="6"/>
  <c r="AJ1071" i="6" s="1"/>
  <c r="I1071" i="6"/>
  <c r="AE1071" i="6"/>
  <c r="AJ1073" i="6"/>
  <c r="I988" i="6"/>
  <c r="J998" i="6"/>
  <c r="AJ998" i="6" s="1"/>
  <c r="AG1018" i="6"/>
  <c r="I1023" i="6"/>
  <c r="AI1023" i="6"/>
  <c r="K1023" i="6"/>
  <c r="AK1023" i="6" s="1"/>
  <c r="AE1023" i="6"/>
  <c r="AJ1054" i="6"/>
  <c r="AJ1080" i="6"/>
  <c r="AI1053" i="6"/>
  <c r="AE1062" i="6"/>
  <c r="K1062" i="6"/>
  <c r="AJ1069" i="6"/>
  <c r="I1072" i="6"/>
  <c r="AE1072" i="6"/>
  <c r="J1072" i="6"/>
  <c r="AJ1072" i="6" s="1"/>
  <c r="AP1088" i="6"/>
  <c r="BE1088" i="6"/>
  <c r="AE1089" i="6"/>
  <c r="AJ1101" i="6"/>
  <c r="BO1124" i="6"/>
  <c r="BN1125" i="6" s="1"/>
  <c r="BO1125" i="6" s="1"/>
  <c r="BN1126" i="6" s="1"/>
  <c r="BO1126" i="6" s="1"/>
  <c r="BN1127" i="6" s="1"/>
  <c r="BO1127" i="6" s="1"/>
  <c r="BN1128" i="6" s="1"/>
  <c r="BO1128" i="6" s="1"/>
  <c r="BN1129" i="6" s="1"/>
  <c r="BO1129" i="6" s="1"/>
  <c r="BN1130" i="6" s="1"/>
  <c r="AJ1175" i="6"/>
  <c r="AE1010" i="6"/>
  <c r="AE1022" i="6"/>
  <c r="AE1034" i="6"/>
  <c r="AE1041" i="6"/>
  <c r="I1042" i="6"/>
  <c r="AE1042" i="6"/>
  <c r="AI1042" i="6"/>
  <c r="I1056" i="6"/>
  <c r="AE1056" i="6"/>
  <c r="AI1060" i="6"/>
  <c r="AJ1064" i="6"/>
  <c r="AI1067" i="6"/>
  <c r="K1067" i="6"/>
  <c r="I1067" i="6"/>
  <c r="AE1074" i="6"/>
  <c r="AI1074" i="6"/>
  <c r="K1074" i="6"/>
  <c r="J1074" i="6"/>
  <c r="AJ1074" i="6" s="1"/>
  <c r="AJ1082" i="6"/>
  <c r="AJ1152" i="6"/>
  <c r="K996" i="6"/>
  <c r="AI996" i="6"/>
  <c r="K1008" i="6"/>
  <c r="AI1008" i="6"/>
  <c r="I1010" i="6"/>
  <c r="K1020" i="6"/>
  <c r="AK1020" i="6" s="1"/>
  <c r="AI1020" i="6"/>
  <c r="I1022" i="6"/>
  <c r="K1032" i="6"/>
  <c r="AK1032" i="6" s="1"/>
  <c r="AI1032" i="6"/>
  <c r="I1034" i="6"/>
  <c r="AP1051" i="6"/>
  <c r="I1062" i="6"/>
  <c r="AJ1070" i="6"/>
  <c r="K1072" i="6"/>
  <c r="AI1076" i="6"/>
  <c r="AJ1096" i="6"/>
  <c r="BA1126" i="6"/>
  <c r="Q1127" i="6" s="1"/>
  <c r="AP1014" i="6"/>
  <c r="J1034" i="6"/>
  <c r="AJ1034" i="6" s="1"/>
  <c r="I1041" i="6"/>
  <c r="J1042" i="6"/>
  <c r="AJ1042" i="6" s="1"/>
  <c r="AV1051" i="6"/>
  <c r="L1052" i="6" s="1"/>
  <c r="AV1052" i="6" s="1"/>
  <c r="L1053" i="6" s="1"/>
  <c r="AI1052" i="6"/>
  <c r="K1052" i="6"/>
  <c r="I1052" i="6"/>
  <c r="AI1054" i="6"/>
  <c r="K1054" i="6"/>
  <c r="I1054" i="6"/>
  <c r="AE1054" i="6"/>
  <c r="J1056" i="6"/>
  <c r="AJ1056" i="6" s="1"/>
  <c r="AI1058" i="6"/>
  <c r="K1058" i="6"/>
  <c r="AE1058" i="6"/>
  <c r="J1062" i="6"/>
  <c r="AJ1062" i="6" s="1"/>
  <c r="J1067" i="6"/>
  <c r="AJ1067" i="6" s="1"/>
  <c r="I1074" i="6"/>
  <c r="AJ1107" i="6"/>
  <c r="AJ1075" i="6"/>
  <c r="AI1079" i="6"/>
  <c r="AJ1076" i="6"/>
  <c r="AJ1105" i="6"/>
  <c r="BG1127" i="6"/>
  <c r="W1128" i="6" s="1"/>
  <c r="BG1128" i="6" s="1"/>
  <c r="W1129" i="6" s="1"/>
  <c r="BG1129" i="6" s="1"/>
  <c r="W1130" i="6" s="1"/>
  <c r="AH1127" i="6"/>
  <c r="AD1158" i="6"/>
  <c r="AJ1079" i="6"/>
  <c r="AI1089" i="6"/>
  <c r="AP1089" i="6"/>
  <c r="K1089" i="6"/>
  <c r="AK1089" i="6" s="1"/>
  <c r="J1089" i="6"/>
  <c r="AJ1089" i="6" s="1"/>
  <c r="I1089" i="6"/>
  <c r="AJ1092" i="6"/>
  <c r="AJ1108" i="6"/>
  <c r="BH1128" i="6"/>
  <c r="X1129" i="6" s="1"/>
  <c r="BH1129" i="6" s="1"/>
  <c r="X1130" i="6" s="1"/>
  <c r="BH1130" i="6" s="1"/>
  <c r="X1131" i="6" s="1"/>
  <c r="BH1131" i="6" s="1"/>
  <c r="X1132" i="6" s="1"/>
  <c r="BH1132" i="6" s="1"/>
  <c r="X1133" i="6" s="1"/>
  <c r="BH1133" i="6" s="1"/>
  <c r="X1134" i="6" s="1"/>
  <c r="AJ1058" i="6"/>
  <c r="I1060" i="6"/>
  <c r="J1060" i="6"/>
  <c r="AJ1060" i="6" s="1"/>
  <c r="AI1066" i="6"/>
  <c r="K1066" i="6"/>
  <c r="J1066" i="6"/>
  <c r="AJ1066" i="6" s="1"/>
  <c r="I1066" i="6"/>
  <c r="AE1066" i="6"/>
  <c r="AV1089" i="6"/>
  <c r="L1090" i="6" s="1"/>
  <c r="AV1090" i="6" s="1"/>
  <c r="L1091" i="6" s="1"/>
  <c r="AV1091" i="6" s="1"/>
  <c r="L1092" i="6" s="1"/>
  <c r="AV1092" i="6" s="1"/>
  <c r="BE1124" i="6"/>
  <c r="U1124" i="6"/>
  <c r="K1014" i="6"/>
  <c r="AK1014" i="6" s="1"/>
  <c r="K1026" i="6"/>
  <c r="AK1026" i="6" s="1"/>
  <c r="J1033" i="6"/>
  <c r="AJ1033" i="6" s="1"/>
  <c r="K1038" i="6"/>
  <c r="AI1046" i="6"/>
  <c r="K1046" i="6"/>
  <c r="AE1046" i="6"/>
  <c r="AJ1047" i="6"/>
  <c r="I1048" i="6"/>
  <c r="AE1052" i="6"/>
  <c r="AI1072" i="6"/>
  <c r="AI1083" i="6"/>
  <c r="K1083" i="6"/>
  <c r="J1083" i="6"/>
  <c r="AJ1083" i="6" s="1"/>
  <c r="I1083" i="6"/>
  <c r="AE1083" i="6"/>
  <c r="AJ1094" i="6"/>
  <c r="AI1095" i="6"/>
  <c r="K1095" i="6"/>
  <c r="AK1095" i="6" s="1"/>
  <c r="I1095" i="6"/>
  <c r="AE1095" i="6"/>
  <c r="J1095" i="6"/>
  <c r="AJ1095" i="6" s="1"/>
  <c r="BF1145" i="6"/>
  <c r="V1146" i="6" s="1"/>
  <c r="AH1145" i="6"/>
  <c r="K1033" i="6"/>
  <c r="I1044" i="6"/>
  <c r="AE1044" i="6"/>
  <c r="AE1050" i="6"/>
  <c r="AI1050" i="6"/>
  <c r="K1050" i="6"/>
  <c r="AK1050" i="6" s="1"/>
  <c r="AI1064" i="6"/>
  <c r="AJ1081" i="6"/>
  <c r="I1079" i="6"/>
  <c r="AP1086" i="6"/>
  <c r="I1090" i="6"/>
  <c r="AI1098" i="6"/>
  <c r="I1105" i="6"/>
  <c r="I1110" i="6"/>
  <c r="AG1122" i="6"/>
  <c r="AJ1154" i="6"/>
  <c r="BG1161" i="6"/>
  <c r="W1162" i="6" s="1"/>
  <c r="BG1162" i="6" s="1"/>
  <c r="W1163" i="6" s="1"/>
  <c r="AH1088" i="6"/>
  <c r="AK1090" i="6"/>
  <c r="AI1117" i="6"/>
  <c r="K1117" i="6"/>
  <c r="J1117" i="6"/>
  <c r="AJ1117" i="6" s="1"/>
  <c r="AE1117" i="6"/>
  <c r="AE1120" i="6"/>
  <c r="AI1120" i="6"/>
  <c r="K1120" i="6"/>
  <c r="J1120" i="6"/>
  <c r="AJ1120" i="6" s="1"/>
  <c r="AJ1121" i="6"/>
  <c r="AV1122" i="6"/>
  <c r="L1123" i="6" s="1"/>
  <c r="AV1123" i="6" s="1"/>
  <c r="L1124" i="6" s="1"/>
  <c r="AV1124" i="6" s="1"/>
  <c r="L1125" i="6" s="1"/>
  <c r="AI1122" i="6"/>
  <c r="BD1124" i="6"/>
  <c r="T1125" i="6" s="1"/>
  <c r="BD1125" i="6" s="1"/>
  <c r="T1126" i="6" s="1"/>
  <c r="AP1124" i="6"/>
  <c r="AJ1126" i="6"/>
  <c r="BH1181" i="6"/>
  <c r="X1182" i="6" s="1"/>
  <c r="BH1182" i="6" s="1"/>
  <c r="X1183" i="6" s="1"/>
  <c r="BH1183" i="6" s="1"/>
  <c r="X1184" i="6" s="1"/>
  <c r="BH1184" i="6" s="1"/>
  <c r="X1185" i="6" s="1"/>
  <c r="BH1185" i="6" s="1"/>
  <c r="X1186" i="6" s="1"/>
  <c r="BH1186" i="6" s="1"/>
  <c r="X1187" i="6" s="1"/>
  <c r="BH1187" i="6" s="1"/>
  <c r="X1188" i="6" s="1"/>
  <c r="AD1181" i="6"/>
  <c r="AH1181" i="6"/>
  <c r="BF1181" i="6"/>
  <c r="V1182" i="6" s="1"/>
  <c r="AK1163" i="6"/>
  <c r="AE1086" i="6"/>
  <c r="AV1088" i="6"/>
  <c r="L1089" i="6" s="1"/>
  <c r="AI1088" i="6"/>
  <c r="AH1093" i="6"/>
  <c r="I1097" i="6"/>
  <c r="AI1097" i="6"/>
  <c r="AJ1125" i="6"/>
  <c r="AJ1131" i="6"/>
  <c r="BO1169" i="6"/>
  <c r="BN1170" i="6" s="1"/>
  <c r="BO1170" i="6" s="1"/>
  <c r="BN1171" i="6" s="1"/>
  <c r="BO1171" i="6" s="1"/>
  <c r="BN1172" i="6" s="1"/>
  <c r="BO1172" i="6" s="1"/>
  <c r="BN1173" i="6" s="1"/>
  <c r="AK1169" i="6"/>
  <c r="J1045" i="6"/>
  <c r="AJ1045" i="6" s="1"/>
  <c r="J1057" i="6"/>
  <c r="AJ1057" i="6" s="1"/>
  <c r="I1064" i="6"/>
  <c r="I1076" i="6"/>
  <c r="AE1078" i="6"/>
  <c r="AH1087" i="6"/>
  <c r="J1087" i="6"/>
  <c r="AJ1087" i="6" s="1"/>
  <c r="AE1087" i="6"/>
  <c r="AI1087" i="6"/>
  <c r="AP1090" i="6"/>
  <c r="AI1093" i="6"/>
  <c r="J1110" i="6"/>
  <c r="AJ1110" i="6" s="1"/>
  <c r="AJ1119" i="6"/>
  <c r="AJ1122" i="6"/>
  <c r="AJ1128" i="6"/>
  <c r="AJ1137" i="6"/>
  <c r="AD1165" i="6"/>
  <c r="I1085" i="6"/>
  <c r="AI1085" i="6"/>
  <c r="I1086" i="6"/>
  <c r="U1087" i="6"/>
  <c r="I1088" i="6"/>
  <c r="AI1092" i="6"/>
  <c r="K1092" i="6"/>
  <c r="AK1092" i="6" s="1"/>
  <c r="AH1092" i="6"/>
  <c r="J1102" i="6"/>
  <c r="AJ1102" i="6" s="1"/>
  <c r="AI1102" i="6"/>
  <c r="AI1114" i="6"/>
  <c r="K1114" i="6"/>
  <c r="J1114" i="6"/>
  <c r="AJ1114" i="6" s="1"/>
  <c r="AE1114" i="6"/>
  <c r="I1117" i="6"/>
  <c r="I1120" i="6"/>
  <c r="AH1124" i="6"/>
  <c r="AJ1140" i="6"/>
  <c r="AJ1148" i="6"/>
  <c r="AJ1173" i="6"/>
  <c r="K1064" i="6"/>
  <c r="AE1068" i="6"/>
  <c r="K1076" i="6"/>
  <c r="I1078" i="6"/>
  <c r="AE1080" i="6"/>
  <c r="J1086" i="6"/>
  <c r="AJ1086" i="6" s="1"/>
  <c r="AH1086" i="6"/>
  <c r="J1088" i="6"/>
  <c r="AJ1088" i="6" s="1"/>
  <c r="I1093" i="6"/>
  <c r="J1097" i="6"/>
  <c r="AJ1097" i="6" s="1"/>
  <c r="AJ1142" i="6"/>
  <c r="AK1166" i="6"/>
  <c r="BF1217" i="6"/>
  <c r="V1218" i="6" s="1"/>
  <c r="J1078" i="6"/>
  <c r="AJ1078" i="6" s="1"/>
  <c r="K1086" i="6"/>
  <c r="AK1086" i="6" s="1"/>
  <c r="K1088" i="6"/>
  <c r="AK1088" i="6" s="1"/>
  <c r="J1093" i="6"/>
  <c r="AJ1093" i="6" s="1"/>
  <c r="K1097" i="6"/>
  <c r="AI1101" i="6"/>
  <c r="AE1105" i="6"/>
  <c r="I1109" i="6"/>
  <c r="AE1109" i="6"/>
  <c r="AI1110" i="6"/>
  <c r="I1068" i="6"/>
  <c r="AE1070" i="6"/>
  <c r="K1078" i="6"/>
  <c r="I1080" i="6"/>
  <c r="AE1082" i="6"/>
  <c r="J1085" i="6"/>
  <c r="AJ1085" i="6" s="1"/>
  <c r="K1087" i="6"/>
  <c r="AK1087" i="6" s="1"/>
  <c r="I1092" i="6"/>
  <c r="K1093" i="6"/>
  <c r="AK1093" i="6" s="1"/>
  <c r="I1101" i="6"/>
  <c r="I1102" i="6"/>
  <c r="J1111" i="6"/>
  <c r="AJ1111" i="6" s="1"/>
  <c r="AE1111" i="6"/>
  <c r="I1114" i="6"/>
  <c r="AI1116" i="6"/>
  <c r="AP1123" i="6"/>
  <c r="AJ1127" i="6"/>
  <c r="AJ1130" i="6"/>
  <c r="AH1090" i="6"/>
  <c r="J1090" i="6"/>
  <c r="AJ1090" i="6" s="1"/>
  <c r="AI1090" i="6"/>
  <c r="J1099" i="6"/>
  <c r="AJ1099" i="6" s="1"/>
  <c r="AE1099" i="6"/>
  <c r="AI1099" i="6"/>
  <c r="AE1108" i="6"/>
  <c r="AI1108" i="6"/>
  <c r="K1108" i="6"/>
  <c r="AJ1109" i="6"/>
  <c r="AJ1112" i="6"/>
  <c r="AJ1113" i="6"/>
  <c r="AJ1118" i="6"/>
  <c r="BD1162" i="6"/>
  <c r="T1163" i="6" s="1"/>
  <c r="BD1163" i="6" s="1"/>
  <c r="T1164" i="6" s="1"/>
  <c r="BD1164" i="6" s="1"/>
  <c r="T1165" i="6" s="1"/>
  <c r="AP1162" i="6"/>
  <c r="AI1107" i="6"/>
  <c r="AI1158" i="6"/>
  <c r="K1158" i="6"/>
  <c r="AK1158" i="6" s="1"/>
  <c r="AP1158" i="6"/>
  <c r="J1158" i="6"/>
  <c r="AJ1158" i="6" s="1"/>
  <c r="AH1158" i="6"/>
  <c r="AG1158" i="6"/>
  <c r="AE1158" i="6"/>
  <c r="J1053" i="6"/>
  <c r="AJ1053" i="6" s="1"/>
  <c r="J1065" i="6"/>
  <c r="AJ1065" i="6" s="1"/>
  <c r="K1070" i="6"/>
  <c r="K1082" i="6"/>
  <c r="J1084" i="6"/>
  <c r="AJ1084" i="6" s="1"/>
  <c r="AE1097" i="6"/>
  <c r="AJ1100" i="6"/>
  <c r="AI1104" i="6"/>
  <c r="K1104" i="6"/>
  <c r="AJ1116" i="6"/>
  <c r="AI1119" i="6"/>
  <c r="AJ1161" i="6"/>
  <c r="AD1176" i="6"/>
  <c r="AP1122" i="6"/>
  <c r="AP1125" i="6"/>
  <c r="AE1136" i="6"/>
  <c r="K1137" i="6"/>
  <c r="AK1159" i="6"/>
  <c r="AD1161" i="6"/>
  <c r="AJ1163" i="6"/>
  <c r="AI1170" i="6"/>
  <c r="K1170" i="6"/>
  <c r="J1170" i="6"/>
  <c r="AJ1170" i="6" s="1"/>
  <c r="AD1175" i="6"/>
  <c r="AJ1184" i="6"/>
  <c r="BA1195" i="6"/>
  <c r="Q1196" i="6" s="1"/>
  <c r="BA1196" i="6" s="1"/>
  <c r="Q1197" i="6" s="1"/>
  <c r="BA1197" i="6" s="1"/>
  <c r="Q1198" i="6" s="1"/>
  <c r="BA1198" i="6" s="1"/>
  <c r="Q1199" i="6" s="1"/>
  <c r="AG1195" i="6"/>
  <c r="AJ1199" i="6"/>
  <c r="K1113" i="6"/>
  <c r="AI1113" i="6"/>
  <c r="AJ1139" i="6"/>
  <c r="AI1148" i="6"/>
  <c r="AI1153" i="6"/>
  <c r="K1153" i="6"/>
  <c r="J1153" i="6"/>
  <c r="AJ1153" i="6" s="1"/>
  <c r="AE1153" i="6"/>
  <c r="AI1177" i="6"/>
  <c r="K1177" i="6"/>
  <c r="J1177" i="6"/>
  <c r="AJ1177" i="6" s="1"/>
  <c r="I1177" i="6"/>
  <c r="AD1177" i="6" s="1"/>
  <c r="AI1179" i="6"/>
  <c r="K1179" i="6"/>
  <c r="J1179" i="6"/>
  <c r="AJ1179" i="6" s="1"/>
  <c r="I1179" i="6"/>
  <c r="AD1179" i="6" s="1"/>
  <c r="AE1179" i="6"/>
  <c r="AE1112" i="6"/>
  <c r="I1122" i="6"/>
  <c r="AE1125" i="6"/>
  <c r="AH1126" i="6"/>
  <c r="AI1132" i="6"/>
  <c r="AE1141" i="6"/>
  <c r="AI1162" i="6"/>
  <c r="K1162" i="6"/>
  <c r="AK1162" i="6" s="1"/>
  <c r="AH1162" i="6"/>
  <c r="J1162" i="6"/>
  <c r="AJ1162" i="6" s="1"/>
  <c r="I1162" i="6"/>
  <c r="AD1162" i="6" s="1"/>
  <c r="AE1162" i="6"/>
  <c r="AD1164" i="6"/>
  <c r="I1170" i="6"/>
  <c r="AD1170" i="6" s="1"/>
  <c r="AJ1182" i="6"/>
  <c r="AD1183" i="6"/>
  <c r="AP1196" i="6"/>
  <c r="AE1205" i="6"/>
  <c r="K1205" i="6"/>
  <c r="AK1205" i="6" s="1"/>
  <c r="J1205" i="6"/>
  <c r="AJ1205" i="6" s="1"/>
  <c r="AI1205" i="6"/>
  <c r="I1205" i="6"/>
  <c r="AH1160" i="6"/>
  <c r="AJ1166" i="6"/>
  <c r="AD1168" i="6"/>
  <c r="AD1171" i="6"/>
  <c r="AJ1178" i="6"/>
  <c r="K1203" i="6"/>
  <c r="AK1203" i="6" s="1"/>
  <c r="J1203" i="6"/>
  <c r="AJ1203" i="6" s="1"/>
  <c r="AE1203" i="6"/>
  <c r="I1203" i="6"/>
  <c r="J1204" i="6"/>
  <c r="AJ1204" i="6" s="1"/>
  <c r="K1204" i="6"/>
  <c r="AK1204" i="6" s="1"/>
  <c r="I1204" i="6"/>
  <c r="AE1204" i="6"/>
  <c r="AJ1211" i="6"/>
  <c r="AI1137" i="6"/>
  <c r="AI1146" i="6"/>
  <c r="K1146" i="6"/>
  <c r="AE1146" i="6"/>
  <c r="AV1160" i="6"/>
  <c r="L1161" i="6" s="1"/>
  <c r="AI1160" i="6"/>
  <c r="AK1168" i="6"/>
  <c r="AK1171" i="6"/>
  <c r="AI1172" i="6"/>
  <c r="I1107" i="6"/>
  <c r="AE1121" i="6"/>
  <c r="AI1125" i="6"/>
  <c r="AE1128" i="6"/>
  <c r="AI1131" i="6"/>
  <c r="K1131" i="6"/>
  <c r="I1131" i="6"/>
  <c r="K1134" i="6"/>
  <c r="J1135" i="6"/>
  <c r="AJ1135" i="6" s="1"/>
  <c r="AE1135" i="6"/>
  <c r="AE1156" i="6"/>
  <c r="J1156" i="6"/>
  <c r="AJ1156" i="6" s="1"/>
  <c r="AD1180" i="6"/>
  <c r="AJ1181" i="6"/>
  <c r="AJ1192" i="6"/>
  <c r="BO1199" i="6"/>
  <c r="BN1200" i="6" s="1"/>
  <c r="BO1200" i="6" s="1"/>
  <c r="BN1201" i="6" s="1"/>
  <c r="BO1201" i="6" s="1"/>
  <c r="BN1202" i="6" s="1"/>
  <c r="BO1202" i="6" s="1"/>
  <c r="BN1203" i="6" s="1"/>
  <c r="BO1203" i="6" s="1"/>
  <c r="BN1204" i="6" s="1"/>
  <c r="BO1204" i="6" s="1"/>
  <c r="BN1205" i="6" s="1"/>
  <c r="BO1205" i="6" s="1"/>
  <c r="BN1206" i="6" s="1"/>
  <c r="BO1206" i="6" s="1"/>
  <c r="BN1207" i="6" s="1"/>
  <c r="BO1207" i="6" s="1"/>
  <c r="BN1208" i="6" s="1"/>
  <c r="BO1208" i="6" s="1"/>
  <c r="BN1209" i="6" s="1"/>
  <c r="BO1209" i="6" s="1"/>
  <c r="BN1210" i="6" s="1"/>
  <c r="BO1210" i="6" s="1"/>
  <c r="BN1211" i="6" s="1"/>
  <c r="AK1199" i="6"/>
  <c r="AH1123" i="6"/>
  <c r="AE1123" i="6"/>
  <c r="AH1129" i="6"/>
  <c r="J1129" i="6"/>
  <c r="AJ1129" i="6" s="1"/>
  <c r="AI1129" i="6"/>
  <c r="J1136" i="6"/>
  <c r="AJ1136" i="6" s="1"/>
  <c r="I1136" i="6"/>
  <c r="AE1144" i="6"/>
  <c r="J1144" i="6"/>
  <c r="AJ1144" i="6" s="1"/>
  <c r="AJ1157" i="6"/>
  <c r="AW1160" i="6"/>
  <c r="M1161" i="6" s="1"/>
  <c r="AK1160" i="6"/>
  <c r="AI1167" i="6"/>
  <c r="K1167" i="6"/>
  <c r="AK1167" i="6" s="1"/>
  <c r="J1167" i="6"/>
  <c r="AJ1167" i="6" s="1"/>
  <c r="I1167" i="6"/>
  <c r="AD1167" i="6" s="1"/>
  <c r="AK1172" i="6"/>
  <c r="AI1203" i="6"/>
  <c r="AI1204" i="6"/>
  <c r="AI1217" i="6"/>
  <c r="K1217" i="6"/>
  <c r="J1217" i="6"/>
  <c r="AJ1217" i="6" s="1"/>
  <c r="I1217" i="6"/>
  <c r="AE1217" i="6"/>
  <c r="K1107" i="6"/>
  <c r="K1119" i="6"/>
  <c r="I1121" i="6"/>
  <c r="I1124" i="6"/>
  <c r="AI1124" i="6"/>
  <c r="I1125" i="6"/>
  <c r="K1126" i="6"/>
  <c r="I1146" i="6"/>
  <c r="AI1150" i="6"/>
  <c r="K1150" i="6"/>
  <c r="J1150" i="6"/>
  <c r="AJ1150" i="6" s="1"/>
  <c r="I1150" i="6"/>
  <c r="AE1150" i="6"/>
  <c r="AI1151" i="6"/>
  <c r="AI1155" i="6"/>
  <c r="K1155" i="6"/>
  <c r="J1155" i="6"/>
  <c r="AJ1155" i="6" s="1"/>
  <c r="I1155" i="6"/>
  <c r="AE1155" i="6"/>
  <c r="AI1156" i="6"/>
  <c r="AH1159" i="6"/>
  <c r="AP1163" i="6"/>
  <c r="AD1169" i="6"/>
  <c r="AE1170" i="6"/>
  <c r="AI1128" i="6"/>
  <c r="K1128" i="6"/>
  <c r="AH1128" i="6"/>
  <c r="AJ1133" i="6"/>
  <c r="J1138" i="6"/>
  <c r="AJ1138" i="6" s="1"/>
  <c r="AE1138" i="6"/>
  <c r="AI1140" i="6"/>
  <c r="K1143" i="6"/>
  <c r="I1143" i="6"/>
  <c r="AJ1145" i="6"/>
  <c r="J1146" i="6"/>
  <c r="AJ1146" i="6" s="1"/>
  <c r="AJ1151" i="6"/>
  <c r="AP1161" i="6"/>
  <c r="AI1163" i="6"/>
  <c r="AI1165" i="6"/>
  <c r="K1165" i="6"/>
  <c r="AK1165" i="6" s="1"/>
  <c r="J1165" i="6"/>
  <c r="AJ1165" i="6" s="1"/>
  <c r="AE1165" i="6"/>
  <c r="AJ1169" i="6"/>
  <c r="AD1173" i="6"/>
  <c r="AI1191" i="6"/>
  <c r="K1191" i="6"/>
  <c r="J1191" i="6"/>
  <c r="AJ1191" i="6" s="1"/>
  <c r="AE1191" i="6"/>
  <c r="I1191" i="6"/>
  <c r="AJ1134" i="6"/>
  <c r="AI1141" i="6"/>
  <c r="K1141" i="6"/>
  <c r="J1141" i="6"/>
  <c r="AJ1141" i="6" s="1"/>
  <c r="AG1159" i="6"/>
  <c r="BA1159" i="6"/>
  <c r="Q1160" i="6" s="1"/>
  <c r="BA1160" i="6" s="1"/>
  <c r="Q1161" i="6" s="1"/>
  <c r="BA1161" i="6" s="1"/>
  <c r="Q1162" i="6" s="1"/>
  <c r="BA1162" i="6" s="1"/>
  <c r="Q1163" i="6" s="1"/>
  <c r="AI1175" i="6"/>
  <c r="U1195" i="6"/>
  <c r="BE1195" i="6"/>
  <c r="BG1268" i="6"/>
  <c r="W1269" i="6" s="1"/>
  <c r="BG1269" i="6" s="1"/>
  <c r="W1270" i="6" s="1"/>
  <c r="BG1270" i="6" s="1"/>
  <c r="W1271" i="6" s="1"/>
  <c r="AH1268" i="6"/>
  <c r="I1094" i="6"/>
  <c r="K1116" i="6"/>
  <c r="I1118" i="6"/>
  <c r="J1123" i="6"/>
  <c r="AJ1123" i="6" s="1"/>
  <c r="J1124" i="6"/>
  <c r="AJ1124" i="6" s="1"/>
  <c r="K1129" i="6"/>
  <c r="K1132" i="6"/>
  <c r="AE1134" i="6"/>
  <c r="K1144" i="6"/>
  <c r="BE1159" i="6"/>
  <c r="U1159" i="6"/>
  <c r="AD1159" i="6"/>
  <c r="AD1163" i="6"/>
  <c r="BG1196" i="6"/>
  <c r="W1197" i="6" s="1"/>
  <c r="BG1197" i="6" s="1"/>
  <c r="W1198" i="6" s="1"/>
  <c r="BG1198" i="6" s="1"/>
  <c r="W1199" i="6" s="1"/>
  <c r="AH1196" i="6"/>
  <c r="BF1253" i="6"/>
  <c r="V1254" i="6" s="1"/>
  <c r="K1149" i="6"/>
  <c r="AI1149" i="6"/>
  <c r="AP1160" i="6"/>
  <c r="K1161" i="6"/>
  <c r="AK1161" i="6" s="1"/>
  <c r="AI1161" i="6"/>
  <c r="J1168" i="6"/>
  <c r="AJ1168" i="6" s="1"/>
  <c r="J1180" i="6"/>
  <c r="AJ1180" i="6" s="1"/>
  <c r="AI1201" i="6"/>
  <c r="I1193" i="6"/>
  <c r="AK1194" i="6"/>
  <c r="BO1235" i="6"/>
  <c r="BN1236" i="6" s="1"/>
  <c r="BO1236" i="6" s="1"/>
  <c r="BN1237" i="6" s="1"/>
  <c r="BO1237" i="6" s="1"/>
  <c r="BN1238" i="6" s="1"/>
  <c r="BO1238" i="6" s="1"/>
  <c r="BN1239" i="6" s="1"/>
  <c r="BO1239" i="6" s="1"/>
  <c r="BN1240" i="6" s="1"/>
  <c r="BO1240" i="6" s="1"/>
  <c r="BN1241" i="6" s="1"/>
  <c r="BH1295" i="6"/>
  <c r="X1296" i="6" s="1"/>
  <c r="BH1296" i="6" s="1"/>
  <c r="X1297" i="6" s="1"/>
  <c r="BH1297" i="6" s="1"/>
  <c r="X1298" i="6" s="1"/>
  <c r="I1148" i="6"/>
  <c r="I1160" i="6"/>
  <c r="AD1160" i="6" s="1"/>
  <c r="AG1160" i="6"/>
  <c r="I1172" i="6"/>
  <c r="AD1172" i="6" s="1"/>
  <c r="AE1174" i="6"/>
  <c r="AJ1189" i="6"/>
  <c r="AI1196" i="6"/>
  <c r="K1196" i="6"/>
  <c r="AK1196" i="6" s="1"/>
  <c r="AJ1201" i="6"/>
  <c r="J1160" i="6"/>
  <c r="AJ1160" i="6" s="1"/>
  <c r="AP1164" i="6"/>
  <c r="J1172" i="6"/>
  <c r="AJ1172" i="6" s="1"/>
  <c r="AI1188" i="6"/>
  <c r="K1188" i="6"/>
  <c r="AE1188" i="6"/>
  <c r="AV1196" i="6"/>
  <c r="L1197" i="6" s="1"/>
  <c r="AK1201" i="6"/>
  <c r="AI1221" i="6"/>
  <c r="K1221" i="6"/>
  <c r="J1221" i="6"/>
  <c r="AJ1221" i="6" s="1"/>
  <c r="I1221" i="6"/>
  <c r="AE1221" i="6"/>
  <c r="AP1159" i="6"/>
  <c r="I1174" i="6"/>
  <c r="AD1174" i="6" s="1"/>
  <c r="J1193" i="6"/>
  <c r="AJ1193" i="6" s="1"/>
  <c r="AI1207" i="6"/>
  <c r="AJ1208" i="6"/>
  <c r="AE1147" i="6"/>
  <c r="AE1159" i="6"/>
  <c r="AE1171" i="6"/>
  <c r="J1174" i="6"/>
  <c r="AJ1174" i="6" s="1"/>
  <c r="AD1182" i="6"/>
  <c r="AI1184" i="6"/>
  <c r="K1184" i="6"/>
  <c r="I1185" i="6"/>
  <c r="AD1185" i="6" s="1"/>
  <c r="J1185" i="6"/>
  <c r="AJ1185" i="6" s="1"/>
  <c r="I1186" i="6"/>
  <c r="AD1186" i="6" s="1"/>
  <c r="AI1189" i="6"/>
  <c r="K1193" i="6"/>
  <c r="AE1193" i="6"/>
  <c r="AK1197" i="6"/>
  <c r="AI1200" i="6"/>
  <c r="K1200" i="6"/>
  <c r="J1200" i="6"/>
  <c r="AJ1200" i="6" s="1"/>
  <c r="I1200" i="6"/>
  <c r="AE1200" i="6"/>
  <c r="K1174" i="6"/>
  <c r="AI1183" i="6"/>
  <c r="AE1192" i="6"/>
  <c r="I1192" i="6"/>
  <c r="AJ1196" i="6"/>
  <c r="AD1187" i="6"/>
  <c r="AJ1188" i="6"/>
  <c r="AI1193" i="6"/>
  <c r="AJ1207" i="6"/>
  <c r="AI1211" i="6"/>
  <c r="I1130" i="6"/>
  <c r="K1140" i="6"/>
  <c r="I1142" i="6"/>
  <c r="K1152" i="6"/>
  <c r="I1154" i="6"/>
  <c r="J1159" i="6"/>
  <c r="AJ1159" i="6" s="1"/>
  <c r="K1164" i="6"/>
  <c r="AK1164" i="6" s="1"/>
  <c r="I1166" i="6"/>
  <c r="AD1166" i="6" s="1"/>
  <c r="J1171" i="6"/>
  <c r="AJ1171" i="6" s="1"/>
  <c r="K1176" i="6"/>
  <c r="I1178" i="6"/>
  <c r="AD1178" i="6" s="1"/>
  <c r="AE1180" i="6"/>
  <c r="I1184" i="6"/>
  <c r="AD1184" i="6" s="1"/>
  <c r="K1185" i="6"/>
  <c r="J1186" i="6"/>
  <c r="AJ1186" i="6" s="1"/>
  <c r="AP1194" i="6"/>
  <c r="BE1232" i="6"/>
  <c r="U1232" i="6"/>
  <c r="AE1182" i="6"/>
  <c r="K1190" i="6"/>
  <c r="AI1190" i="6"/>
  <c r="AE1194" i="6"/>
  <c r="J1197" i="6"/>
  <c r="AJ1197" i="6" s="1"/>
  <c r="K1202" i="6"/>
  <c r="AK1202" i="6" s="1"/>
  <c r="AI1202" i="6"/>
  <c r="K1206" i="6"/>
  <c r="AK1206" i="6" s="1"/>
  <c r="I1209" i="6"/>
  <c r="AJ1222" i="6"/>
  <c r="AI1224" i="6"/>
  <c r="K1224" i="6"/>
  <c r="J1224" i="6"/>
  <c r="AJ1224" i="6" s="1"/>
  <c r="I1210" i="6"/>
  <c r="AJ1214" i="6"/>
  <c r="BA1272" i="6"/>
  <c r="Q1273" i="6" s="1"/>
  <c r="AG1272" i="6"/>
  <c r="AP1198" i="6"/>
  <c r="AI1212" i="6"/>
  <c r="K1212" i="6"/>
  <c r="AE1212" i="6"/>
  <c r="BG1232" i="6"/>
  <c r="W1233" i="6" s="1"/>
  <c r="BG1233" i="6" s="1"/>
  <c r="W1234" i="6" s="1"/>
  <c r="BG1234" i="6" s="1"/>
  <c r="W1235" i="6" s="1"/>
  <c r="BG1235" i="6" s="1"/>
  <c r="W1236" i="6" s="1"/>
  <c r="AH1232" i="6"/>
  <c r="AJ1258" i="6"/>
  <c r="BF1289" i="6"/>
  <c r="V1290" i="6" s="1"/>
  <c r="AH1289" i="6"/>
  <c r="J1210" i="6"/>
  <c r="AJ1210" i="6" s="1"/>
  <c r="BA1234" i="6"/>
  <c r="Q1235" i="6" s="1"/>
  <c r="AJ1241" i="6"/>
  <c r="BD1269" i="6"/>
  <c r="T1270" i="6" s="1"/>
  <c r="AP1269" i="6"/>
  <c r="AP1195" i="6"/>
  <c r="I1198" i="6"/>
  <c r="AG1198" i="6"/>
  <c r="AI1206" i="6"/>
  <c r="K1210" i="6"/>
  <c r="AK1210" i="6" s="1"/>
  <c r="I1212" i="6"/>
  <c r="AJ1213" i="6"/>
  <c r="AI1259" i="6"/>
  <c r="BO1313" i="6"/>
  <c r="BN1314" i="6" s="1"/>
  <c r="BO1314" i="6" s="1"/>
  <c r="BN1315" i="6" s="1"/>
  <c r="BO1315" i="6" s="1"/>
  <c r="BN1316" i="6" s="1"/>
  <c r="BO1316" i="6" s="1"/>
  <c r="BN1317" i="6" s="1"/>
  <c r="BO1317" i="6" s="1"/>
  <c r="BN1318" i="6" s="1"/>
  <c r="BO1318" i="6" s="1"/>
  <c r="BN1319" i="6" s="1"/>
  <c r="BO1319" i="6" s="1"/>
  <c r="BN1320" i="6" s="1"/>
  <c r="BO1320" i="6" s="1"/>
  <c r="BN1321" i="6" s="1"/>
  <c r="BO1321" i="6" s="1"/>
  <c r="BN1322" i="6" s="1"/>
  <c r="BO1322" i="6" s="1"/>
  <c r="BN1323" i="6" s="1"/>
  <c r="BO1323" i="6" s="1"/>
  <c r="BN1324" i="6" s="1"/>
  <c r="BO1324" i="6" s="1"/>
  <c r="BN1325" i="6" s="1"/>
  <c r="AK1313" i="6"/>
  <c r="J1198" i="6"/>
  <c r="AJ1198" i="6" s="1"/>
  <c r="J1212" i="6"/>
  <c r="AJ1212" i="6" s="1"/>
  <c r="J1215" i="6"/>
  <c r="AJ1215" i="6" s="1"/>
  <c r="AY1249" i="6"/>
  <c r="O1250" i="6" s="1"/>
  <c r="AY1250" i="6" s="1"/>
  <c r="O1251" i="6" s="1"/>
  <c r="AY1251" i="6" s="1"/>
  <c r="O1252" i="6" s="1"/>
  <c r="AY1252" i="6" s="1"/>
  <c r="O1253" i="6" s="1"/>
  <c r="AY1253" i="6" s="1"/>
  <c r="O1254" i="6" s="1"/>
  <c r="AY1254" i="6" s="1"/>
  <c r="O1255" i="6" s="1"/>
  <c r="AY1255" i="6" s="1"/>
  <c r="O1256" i="6" s="1"/>
  <c r="AY1256" i="6" s="1"/>
  <c r="O1257" i="6" s="1"/>
  <c r="AY1257" i="6" s="1"/>
  <c r="O1258" i="6" s="1"/>
  <c r="AY1258" i="6" s="1"/>
  <c r="O1259" i="6" s="1"/>
  <c r="AY1259" i="6" s="1"/>
  <c r="O1260" i="6" s="1"/>
  <c r="AY1260" i="6" s="1"/>
  <c r="O1261" i="6" s="1"/>
  <c r="AY1261" i="6" s="1"/>
  <c r="O1262" i="6" s="1"/>
  <c r="AY1262" i="6" s="1"/>
  <c r="O1263" i="6" s="1"/>
  <c r="AY1263" i="6" s="1"/>
  <c r="O1264" i="6" s="1"/>
  <c r="AY1264" i="6" s="1"/>
  <c r="O1265" i="6" s="1"/>
  <c r="AY1265" i="6" s="1"/>
  <c r="AP1197" i="6"/>
  <c r="K1198" i="6"/>
  <c r="AK1198" i="6" s="1"/>
  <c r="AI1209" i="6"/>
  <c r="K1209" i="6"/>
  <c r="AK1209" i="6" s="1"/>
  <c r="J1209" i="6"/>
  <c r="AJ1209" i="6" s="1"/>
  <c r="AE1210" i="6"/>
  <c r="BF1325" i="6"/>
  <c r="V1326" i="6" s="1"/>
  <c r="J1183" i="6"/>
  <c r="AJ1183" i="6" s="1"/>
  <c r="I1190" i="6"/>
  <c r="J1195" i="6"/>
  <c r="AJ1195" i="6" s="1"/>
  <c r="AH1195" i="6"/>
  <c r="I1202" i="6"/>
  <c r="I1206" i="6"/>
  <c r="I1215" i="6"/>
  <c r="AE1215" i="6"/>
  <c r="AH1234" i="6"/>
  <c r="AG1271" i="6"/>
  <c r="BO1282" i="6"/>
  <c r="BN1283" i="6" s="1"/>
  <c r="BO1283" i="6" s="1"/>
  <c r="BN1284" i="6" s="1"/>
  <c r="BO1284" i="6" s="1"/>
  <c r="BN1285" i="6" s="1"/>
  <c r="BO1285" i="6" s="1"/>
  <c r="BN1286" i="6" s="1"/>
  <c r="BO1286" i="6" s="1"/>
  <c r="BN1287" i="6" s="1"/>
  <c r="BO1287" i="6" s="1"/>
  <c r="BN1288" i="6" s="1"/>
  <c r="BO1288" i="6" s="1"/>
  <c r="BN1289" i="6" s="1"/>
  <c r="K1183" i="6"/>
  <c r="K1195" i="6"/>
  <c r="AK1195" i="6" s="1"/>
  <c r="I1197" i="6"/>
  <c r="J1202" i="6"/>
  <c r="AJ1202" i="6" s="1"/>
  <c r="J1206" i="6"/>
  <c r="AJ1206" i="6" s="1"/>
  <c r="AI1214" i="6"/>
  <c r="K1214" i="6"/>
  <c r="I1214" i="6"/>
  <c r="K1215" i="6"/>
  <c r="BD1233" i="6"/>
  <c r="T1234" i="6" s="1"/>
  <c r="BD1234" i="6" s="1"/>
  <c r="T1235" i="6" s="1"/>
  <c r="BD1235" i="6" s="1"/>
  <c r="T1236" i="6" s="1"/>
  <c r="BD1236" i="6" s="1"/>
  <c r="T1237" i="6" s="1"/>
  <c r="BD1237" i="6" s="1"/>
  <c r="T1238" i="6" s="1"/>
  <c r="BD1238" i="6" s="1"/>
  <c r="T1239" i="6" s="1"/>
  <c r="BD1239" i="6" s="1"/>
  <c r="T1240" i="6" s="1"/>
  <c r="BD1240" i="6" s="1"/>
  <c r="T1241" i="6" s="1"/>
  <c r="BD1241" i="6" s="1"/>
  <c r="T1242" i="6" s="1"/>
  <c r="BD1242" i="6" s="1"/>
  <c r="T1243" i="6" s="1"/>
  <c r="BD1243" i="6" s="1"/>
  <c r="T1244" i="6" s="1"/>
  <c r="BD1244" i="6" s="1"/>
  <c r="T1245" i="6" s="1"/>
  <c r="BD1245" i="6" s="1"/>
  <c r="T1246" i="6" s="1"/>
  <c r="BD1246" i="6" s="1"/>
  <c r="T1247" i="6" s="1"/>
  <c r="BD1247" i="6" s="1"/>
  <c r="T1248" i="6" s="1"/>
  <c r="BD1248" i="6" s="1"/>
  <c r="T1249" i="6" s="1"/>
  <c r="BD1249" i="6" s="1"/>
  <c r="T1250" i="6" s="1"/>
  <c r="BD1250" i="6" s="1"/>
  <c r="T1251" i="6" s="1"/>
  <c r="BD1251" i="6" s="1"/>
  <c r="T1252" i="6" s="1"/>
  <c r="BD1252" i="6" s="1"/>
  <c r="T1253" i="6" s="1"/>
  <c r="BD1253" i="6" s="1"/>
  <c r="T1254" i="6" s="1"/>
  <c r="BD1254" i="6" s="1"/>
  <c r="T1255" i="6" s="1"/>
  <c r="BD1255" i="6" s="1"/>
  <c r="T1256" i="6" s="1"/>
  <c r="BD1256" i="6" s="1"/>
  <c r="T1257" i="6" s="1"/>
  <c r="BD1257" i="6" s="1"/>
  <c r="T1258" i="6" s="1"/>
  <c r="BD1258" i="6" s="1"/>
  <c r="T1259" i="6" s="1"/>
  <c r="BD1259" i="6" s="1"/>
  <c r="T1260" i="6" s="1"/>
  <c r="BD1260" i="6" s="1"/>
  <c r="T1261" i="6" s="1"/>
  <c r="BD1261" i="6" s="1"/>
  <c r="T1262" i="6" s="1"/>
  <c r="BD1262" i="6" s="1"/>
  <c r="T1263" i="6" s="1"/>
  <c r="BD1263" i="6" s="1"/>
  <c r="T1264" i="6" s="1"/>
  <c r="BD1264" i="6" s="1"/>
  <c r="T1265" i="6" s="1"/>
  <c r="BD1265" i="6" s="1"/>
  <c r="AP1233" i="6"/>
  <c r="AH1230" i="6"/>
  <c r="J1230" i="6"/>
  <c r="AJ1230" i="6" s="1"/>
  <c r="AG1230" i="6"/>
  <c r="I1230" i="6"/>
  <c r="AE1230" i="6"/>
  <c r="AI1230" i="6"/>
  <c r="AV1231" i="6"/>
  <c r="L1232" i="6" s="1"/>
  <c r="AJ1232" i="6"/>
  <c r="K1242" i="6"/>
  <c r="J1242" i="6"/>
  <c r="AJ1242" i="6" s="1"/>
  <c r="I1242" i="6"/>
  <c r="AE1242" i="6"/>
  <c r="AI1247" i="6"/>
  <c r="AV1271" i="6"/>
  <c r="L1272" i="6" s="1"/>
  <c r="AV1272" i="6" s="1"/>
  <c r="AI1271" i="6"/>
  <c r="AJ1275" i="6"/>
  <c r="BG1307" i="6"/>
  <c r="W1308" i="6" s="1"/>
  <c r="BH1331" i="6"/>
  <c r="X1332" i="6" s="1"/>
  <c r="BH1332" i="6" s="1"/>
  <c r="X1333" i="6" s="1"/>
  <c r="BH1333" i="6" s="1"/>
  <c r="X1334" i="6" s="1"/>
  <c r="BH1334" i="6" s="1"/>
  <c r="X1335" i="6" s="1"/>
  <c r="BH1335" i="6" s="1"/>
  <c r="X1336" i="6" s="1"/>
  <c r="AY1357" i="6"/>
  <c r="O1358" i="6" s="1"/>
  <c r="AY1358" i="6" s="1"/>
  <c r="O1359" i="6" s="1"/>
  <c r="AY1359" i="6" s="1"/>
  <c r="O1360" i="6" s="1"/>
  <c r="AY1360" i="6" s="1"/>
  <c r="O1361" i="6" s="1"/>
  <c r="AY1361" i="6" s="1"/>
  <c r="O1362" i="6" s="1"/>
  <c r="AY1362" i="6" s="1"/>
  <c r="O1363" i="6" s="1"/>
  <c r="AY1363" i="6" s="1"/>
  <c r="O1364" i="6" s="1"/>
  <c r="AY1364" i="6" s="1"/>
  <c r="O1365" i="6" s="1"/>
  <c r="AY1365" i="6" s="1"/>
  <c r="O1366" i="6" s="1"/>
  <c r="AY1366" i="6" s="1"/>
  <c r="O1367" i="6" s="1"/>
  <c r="AY1367" i="6" s="1"/>
  <c r="O1368" i="6" s="1"/>
  <c r="AY1368" i="6" s="1"/>
  <c r="O1369" i="6" s="1"/>
  <c r="AY1369" i="6" s="1"/>
  <c r="O1370" i="6" s="1"/>
  <c r="AY1370" i="6" s="1"/>
  <c r="O1371" i="6" s="1"/>
  <c r="AY1371" i="6" s="1"/>
  <c r="O1372" i="6" s="1"/>
  <c r="AY1372" i="6" s="1"/>
  <c r="O1373" i="6" s="1"/>
  <c r="AY1373" i="6" s="1"/>
  <c r="AJ1253" i="6"/>
  <c r="AJ1256" i="6"/>
  <c r="AI1257" i="6"/>
  <c r="K1257" i="6"/>
  <c r="J1257" i="6"/>
  <c r="AJ1257" i="6" s="1"/>
  <c r="AJ1262" i="6"/>
  <c r="AI1264" i="6"/>
  <c r="K1264" i="6"/>
  <c r="J1264" i="6"/>
  <c r="AJ1264" i="6" s="1"/>
  <c r="I1264" i="6"/>
  <c r="AE1264" i="6"/>
  <c r="AJ1276" i="6"/>
  <c r="J1292" i="6"/>
  <c r="AJ1292" i="6" s="1"/>
  <c r="I1292" i="6"/>
  <c r="AE1292" i="6"/>
  <c r="K1292" i="6"/>
  <c r="AI1292" i="6"/>
  <c r="I1229" i="6"/>
  <c r="AE1229" i="6"/>
  <c r="AJ1238" i="6"/>
  <c r="AI1240" i="6"/>
  <c r="K1240" i="6"/>
  <c r="J1240" i="6"/>
  <c r="AJ1240" i="6" s="1"/>
  <c r="I1240" i="6"/>
  <c r="AE1240" i="6"/>
  <c r="AJ1265" i="6"/>
  <c r="K1208" i="6"/>
  <c r="AK1208" i="6" s="1"/>
  <c r="AI1208" i="6"/>
  <c r="AJ1220" i="6"/>
  <c r="K1230" i="6"/>
  <c r="AK1230" i="6" s="1"/>
  <c r="I1280" i="6"/>
  <c r="AE1280" i="6"/>
  <c r="AI1280" i="6"/>
  <c r="K1280" i="6"/>
  <c r="J1280" i="6"/>
  <c r="AJ1280" i="6" s="1"/>
  <c r="AW1304" i="6"/>
  <c r="M1305" i="6" s="1"/>
  <c r="J1229" i="6"/>
  <c r="AJ1229" i="6" s="1"/>
  <c r="AP1230" i="6"/>
  <c r="AJ1244" i="6"/>
  <c r="BF1361" i="6"/>
  <c r="V1362" i="6" s="1"/>
  <c r="AI1228" i="6"/>
  <c r="K1228" i="6"/>
  <c r="J1228" i="6"/>
  <c r="AJ1228" i="6" s="1"/>
  <c r="I1228" i="6"/>
  <c r="AE1228" i="6"/>
  <c r="K1229" i="6"/>
  <c r="AJ1249" i="6"/>
  <c r="AP1250" i="6"/>
  <c r="AJ1273" i="6"/>
  <c r="AK1286" i="6"/>
  <c r="BA1307" i="6"/>
  <c r="Q1308" i="6" s="1"/>
  <c r="BA1308" i="6" s="1"/>
  <c r="Q1309" i="6" s="1"/>
  <c r="BA1309" i="6" s="1"/>
  <c r="Q1310" i="6" s="1"/>
  <c r="BA1310" i="6" s="1"/>
  <c r="Q1311" i="6" s="1"/>
  <c r="BA1311" i="6" s="1"/>
  <c r="Q1312" i="6" s="1"/>
  <c r="AG1307" i="6"/>
  <c r="BO1344" i="6"/>
  <c r="BN1345" i="6" s="1"/>
  <c r="BO1345" i="6" s="1"/>
  <c r="BN1346" i="6" s="1"/>
  <c r="BO1346" i="6" s="1"/>
  <c r="BN1347" i="6" s="1"/>
  <c r="BO1347" i="6" s="1"/>
  <c r="BN1348" i="6" s="1"/>
  <c r="BO1348" i="6" s="1"/>
  <c r="BN1349" i="6" s="1"/>
  <c r="AK1344" i="6"/>
  <c r="AE1216" i="6"/>
  <c r="J1218" i="6"/>
  <c r="AJ1218" i="6" s="1"/>
  <c r="I1218" i="6"/>
  <c r="AE1218" i="6"/>
  <c r="AI1245" i="6"/>
  <c r="K1245" i="6"/>
  <c r="J1245" i="6"/>
  <c r="AJ1245" i="6" s="1"/>
  <c r="AP1245" i="6"/>
  <c r="AI1250" i="6"/>
  <c r="AJ1268" i="6"/>
  <c r="AJ1226" i="6"/>
  <c r="BE1268" i="6"/>
  <c r="U1268" i="6"/>
  <c r="AI1274" i="6"/>
  <c r="AJ1337" i="6"/>
  <c r="I1216" i="6"/>
  <c r="AV1232" i="6"/>
  <c r="L1233" i="6" s="1"/>
  <c r="AI1233" i="6"/>
  <c r="K1233" i="6"/>
  <c r="J1233" i="6"/>
  <c r="AJ1233" i="6" s="1"/>
  <c r="AJ1237" i="6"/>
  <c r="AE1257" i="6"/>
  <c r="AJ1261" i="6"/>
  <c r="AI1269" i="6"/>
  <c r="K1269" i="6"/>
  <c r="J1269" i="6"/>
  <c r="AJ1269" i="6" s="1"/>
  <c r="AP1306" i="6"/>
  <c r="BD1306" i="6"/>
  <c r="T1307" i="6" s="1"/>
  <c r="BD1307" i="6" s="1"/>
  <c r="T1308" i="6" s="1"/>
  <c r="BD1308" i="6" s="1"/>
  <c r="T1309" i="6" s="1"/>
  <c r="AJ1308" i="6"/>
  <c r="I1211" i="6"/>
  <c r="J1216" i="6"/>
  <c r="AJ1216" i="6" s="1"/>
  <c r="K1218" i="6"/>
  <c r="AI1218" i="6"/>
  <c r="AE1219" i="6"/>
  <c r="J1219" i="6"/>
  <c r="AJ1219" i="6" s="1"/>
  <c r="AH1235" i="6"/>
  <c r="I1245" i="6"/>
  <c r="AJ1250" i="6"/>
  <c r="AI1254" i="6"/>
  <c r="K1254" i="6"/>
  <c r="J1254" i="6"/>
  <c r="AJ1254" i="6" s="1"/>
  <c r="I1254" i="6"/>
  <c r="AE1254" i="6"/>
  <c r="AI1262" i="6"/>
  <c r="AV1269" i="6"/>
  <c r="L1270" i="6" s="1"/>
  <c r="AV1270" i="6" s="1"/>
  <c r="L1271" i="6" s="1"/>
  <c r="AH1270" i="6"/>
  <c r="I1311" i="6"/>
  <c r="AE1311" i="6"/>
  <c r="AI1311" i="6"/>
  <c r="K1311" i="6"/>
  <c r="AK1311" i="6" s="1"/>
  <c r="J1311" i="6"/>
  <c r="AJ1311" i="6" s="1"/>
  <c r="AP1247" i="6"/>
  <c r="AI1252" i="6"/>
  <c r="K1252" i="6"/>
  <c r="J1252" i="6"/>
  <c r="AJ1252" i="6" s="1"/>
  <c r="I1252" i="6"/>
  <c r="AE1252" i="6"/>
  <c r="AI1266" i="6"/>
  <c r="K1266" i="6"/>
  <c r="AH1266" i="6"/>
  <c r="J1266" i="6"/>
  <c r="AJ1266" i="6" s="1"/>
  <c r="AG1266" i="6"/>
  <c r="I1266" i="6"/>
  <c r="AE1266" i="6"/>
  <c r="AJ1274" i="6"/>
  <c r="AJ1277" i="6"/>
  <c r="AI1278" i="6"/>
  <c r="AJ1287" i="6"/>
  <c r="AJ1310" i="6"/>
  <c r="AI1338" i="6"/>
  <c r="K1338" i="6"/>
  <c r="AK1338" i="6" s="1"/>
  <c r="AH1338" i="6"/>
  <c r="J1338" i="6"/>
  <c r="I1338" i="6"/>
  <c r="AE1338" i="6"/>
  <c r="AG1338" i="6"/>
  <c r="I1226" i="6"/>
  <c r="J1231" i="6"/>
  <c r="AJ1231" i="6" s="1"/>
  <c r="AH1231" i="6"/>
  <c r="AP1235" i="6"/>
  <c r="K1236" i="6"/>
  <c r="AI1236" i="6"/>
  <c r="I1238" i="6"/>
  <c r="J1243" i="6"/>
  <c r="AJ1243" i="6" s="1"/>
  <c r="K1248" i="6"/>
  <c r="AI1248" i="6"/>
  <c r="J1255" i="6"/>
  <c r="AJ1255" i="6" s="1"/>
  <c r="K1260" i="6"/>
  <c r="AI1260" i="6"/>
  <c r="J1267" i="6"/>
  <c r="AJ1267" i="6" s="1"/>
  <c r="AH1267" i="6"/>
  <c r="K1272" i="6"/>
  <c r="AI1272" i="6"/>
  <c r="AJ1281" i="6"/>
  <c r="K1226" i="6"/>
  <c r="AI1226" i="6"/>
  <c r="K1238" i="6"/>
  <c r="AI1238" i="6"/>
  <c r="AJ1294" i="6"/>
  <c r="AJ1318" i="6"/>
  <c r="AP1232" i="6"/>
  <c r="AP1268" i="6"/>
  <c r="AI1295" i="6"/>
  <c r="K1295" i="6"/>
  <c r="J1295" i="6"/>
  <c r="AJ1295" i="6" s="1"/>
  <c r="AE1295" i="6"/>
  <c r="AJ1296" i="6"/>
  <c r="AI1297" i="6"/>
  <c r="AE1298" i="6"/>
  <c r="AI1298" i="6"/>
  <c r="K1298" i="6"/>
  <c r="J1298" i="6"/>
  <c r="AJ1298" i="6" s="1"/>
  <c r="AG1304" i="6"/>
  <c r="I1304" i="6"/>
  <c r="AE1304" i="6"/>
  <c r="AP1304" i="6"/>
  <c r="K1304" i="6"/>
  <c r="AK1304" i="6" s="1"/>
  <c r="AP1263" i="6"/>
  <c r="AV1304" i="6"/>
  <c r="L1305" i="6" s="1"/>
  <c r="AK1307" i="6"/>
  <c r="AJ1319" i="6"/>
  <c r="AP1258" i="6"/>
  <c r="AP1270" i="6"/>
  <c r="J1284" i="6"/>
  <c r="AJ1284" i="6" s="1"/>
  <c r="AK1312" i="6"/>
  <c r="AJ1322" i="6"/>
  <c r="BA1339" i="6"/>
  <c r="Q1340" i="6" s="1"/>
  <c r="BA1340" i="6" s="1"/>
  <c r="Q1341" i="6" s="1"/>
  <c r="BA1341" i="6" s="1"/>
  <c r="Q1342" i="6" s="1"/>
  <c r="AG1339" i="6"/>
  <c r="BD1340" i="6"/>
  <c r="T1341" i="6" s="1"/>
  <c r="BD1341" i="6" s="1"/>
  <c r="T1342" i="6" s="1"/>
  <c r="BD1342" i="6" s="1"/>
  <c r="T1343" i="6" s="1"/>
  <c r="AP1340" i="6"/>
  <c r="AW1340" i="6"/>
  <c r="M1341" i="6" s="1"/>
  <c r="AE1341" i="6"/>
  <c r="I1341" i="6"/>
  <c r="K1341" i="6"/>
  <c r="AK1341" i="6" s="1"/>
  <c r="J1341" i="6"/>
  <c r="AP1241" i="6"/>
  <c r="I1291" i="6"/>
  <c r="AI1291" i="6"/>
  <c r="K1291" i="6"/>
  <c r="AJ1300" i="6"/>
  <c r="AJ1304" i="6"/>
  <c r="AE1241" i="6"/>
  <c r="AE1253" i="6"/>
  <c r="AE1265" i="6"/>
  <c r="AI1277" i="6"/>
  <c r="I1279" i="6"/>
  <c r="AI1279" i="6"/>
  <c r="K1279" i="6"/>
  <c r="AK1279" i="6" s="1"/>
  <c r="AJ1282" i="6"/>
  <c r="AE1284" i="6"/>
  <c r="AJ1299" i="6"/>
  <c r="AI1326" i="6"/>
  <c r="K1326" i="6"/>
  <c r="J1326" i="6"/>
  <c r="AJ1326" i="6" s="1"/>
  <c r="I1326" i="6"/>
  <c r="AE1326" i="6"/>
  <c r="AJ1368" i="6"/>
  <c r="AP1231" i="6"/>
  <c r="AP1267" i="6"/>
  <c r="I1270" i="6"/>
  <c r="AG1270" i="6"/>
  <c r="I1284" i="6"/>
  <c r="AE1286" i="6"/>
  <c r="J1286" i="6"/>
  <c r="AJ1286" i="6" s="1"/>
  <c r="AJ1293" i="6"/>
  <c r="AK1306" i="6"/>
  <c r="AK1315" i="6"/>
  <c r="AP1338" i="6"/>
  <c r="AH1342" i="6"/>
  <c r="BG1342" i="6"/>
  <c r="W1343" i="6" s="1"/>
  <c r="BG1343" i="6" s="1"/>
  <c r="W1344" i="6" s="1"/>
  <c r="AI1341" i="6"/>
  <c r="BH1356" i="6"/>
  <c r="X1357" i="6" s="1"/>
  <c r="BH1357" i="6" s="1"/>
  <c r="X1358" i="6" s="1"/>
  <c r="AG1375" i="6"/>
  <c r="BA1375" i="6"/>
  <c r="Q1376" i="6" s="1"/>
  <c r="BA1376" i="6" s="1"/>
  <c r="Q1377" i="6" s="1"/>
  <c r="BA1377" i="6" s="1"/>
  <c r="Q1378" i="6" s="1"/>
  <c r="BA1378" i="6" s="1"/>
  <c r="Q1379" i="6" s="1"/>
  <c r="BA1379" i="6" s="1"/>
  <c r="Q1380" i="6" s="1"/>
  <c r="BA1380" i="6" s="1"/>
  <c r="Q1381" i="6" s="1"/>
  <c r="BA1381" i="6" s="1"/>
  <c r="Q1382" i="6" s="1"/>
  <c r="BA1382" i="6" s="1"/>
  <c r="Q1383" i="6" s="1"/>
  <c r="K1227" i="6"/>
  <c r="J1234" i="6"/>
  <c r="AJ1234" i="6" s="1"/>
  <c r="K1239" i="6"/>
  <c r="I1241" i="6"/>
  <c r="J1246" i="6"/>
  <c r="AJ1246" i="6" s="1"/>
  <c r="K1251" i="6"/>
  <c r="I1253" i="6"/>
  <c r="K1263" i="6"/>
  <c r="I1265" i="6"/>
  <c r="J1270" i="6"/>
  <c r="AJ1270" i="6" s="1"/>
  <c r="AE1281" i="6"/>
  <c r="I1281" i="6"/>
  <c r="AI1283" i="6"/>
  <c r="K1283" i="6"/>
  <c r="J1283" i="6"/>
  <c r="AJ1283" i="6" s="1"/>
  <c r="AE1283" i="6"/>
  <c r="K1284" i="6"/>
  <c r="AI1284" i="6"/>
  <c r="AI1285" i="6"/>
  <c r="K1285" i="6"/>
  <c r="J1285" i="6"/>
  <c r="AJ1285" i="6" s="1"/>
  <c r="I1285" i="6"/>
  <c r="AE1285" i="6"/>
  <c r="AJ1288" i="6"/>
  <c r="J1291" i="6"/>
  <c r="AJ1291" i="6" s="1"/>
  <c r="AJ1302" i="6"/>
  <c r="BE1304" i="6"/>
  <c r="U1304" i="6"/>
  <c r="AG1303" i="6"/>
  <c r="AJ1328" i="6"/>
  <c r="AI1302" i="6"/>
  <c r="K1302" i="6"/>
  <c r="AK1302" i="6" s="1"/>
  <c r="AE1302" i="6"/>
  <c r="J1305" i="6"/>
  <c r="AJ1305" i="6" s="1"/>
  <c r="AP1308" i="6"/>
  <c r="AI1308" i="6"/>
  <c r="K1308" i="6"/>
  <c r="AK1308" i="6" s="1"/>
  <c r="AG1308" i="6"/>
  <c r="J1316" i="6"/>
  <c r="AJ1316" i="6" s="1"/>
  <c r="I1316" i="6"/>
  <c r="AE1316" i="6"/>
  <c r="AK1319" i="6"/>
  <c r="AJ1324" i="6"/>
  <c r="AJ1330" i="6"/>
  <c r="AV1340" i="6"/>
  <c r="L1341" i="6" s="1"/>
  <c r="J1303" i="6"/>
  <c r="AJ1303" i="6" s="1"/>
  <c r="AI1303" i="6"/>
  <c r="K1305" i="6"/>
  <c r="AK1305" i="6" s="1"/>
  <c r="AE1335" i="6"/>
  <c r="J1335" i="6"/>
  <c r="AJ1335" i="6" s="1"/>
  <c r="I1335" i="6"/>
  <c r="AY1393" i="6"/>
  <c r="O1394" i="6" s="1"/>
  <c r="AY1394" i="6" s="1"/>
  <c r="O1395" i="6" s="1"/>
  <c r="AY1395" i="6" s="1"/>
  <c r="O1396" i="6" s="1"/>
  <c r="AY1396" i="6" s="1"/>
  <c r="O1397" i="6" s="1"/>
  <c r="AY1397" i="6" s="1"/>
  <c r="O1398" i="6" s="1"/>
  <c r="AY1398" i="6" s="1"/>
  <c r="O1399" i="6" s="1"/>
  <c r="AY1399" i="6" s="1"/>
  <c r="O1400" i="6" s="1"/>
  <c r="AY1400" i="6" s="1"/>
  <c r="O1401" i="6" s="1"/>
  <c r="AY1401" i="6" s="1"/>
  <c r="O1402" i="6" s="1"/>
  <c r="AY1402" i="6" s="1"/>
  <c r="O1403" i="6" s="1"/>
  <c r="AY1403" i="6" s="1"/>
  <c r="O1404" i="6" s="1"/>
  <c r="AY1404" i="6" s="1"/>
  <c r="O1405" i="6" s="1"/>
  <c r="AY1405" i="6" s="1"/>
  <c r="O1406" i="6" s="1"/>
  <c r="AY1406" i="6" s="1"/>
  <c r="O1407" i="6" s="1"/>
  <c r="AY1407" i="6" s="1"/>
  <c r="O1408" i="6" s="1"/>
  <c r="AY1408" i="6" s="1"/>
  <c r="O1409" i="6" s="1"/>
  <c r="AY1409" i="6" s="1"/>
  <c r="K1288" i="6"/>
  <c r="AI1288" i="6"/>
  <c r="I1290" i="6"/>
  <c r="K1300" i="6"/>
  <c r="AI1300" i="6"/>
  <c r="I1302" i="6"/>
  <c r="AP1305" i="6"/>
  <c r="AP1307" i="6"/>
  <c r="I1308" i="6"/>
  <c r="K1316" i="6"/>
  <c r="AK1316" i="6" s="1"/>
  <c r="AJ1317" i="6"/>
  <c r="BE1340" i="6"/>
  <c r="U1340" i="6"/>
  <c r="AV1341" i="6"/>
  <c r="L1342" i="6" s="1"/>
  <c r="AV1342" i="6" s="1"/>
  <c r="L1343" i="6" s="1"/>
  <c r="AK1342" i="6"/>
  <c r="J1290" i="6"/>
  <c r="AJ1290" i="6" s="1"/>
  <c r="I1297" i="6"/>
  <c r="AI1301" i="6"/>
  <c r="I1303" i="6"/>
  <c r="AI1307" i="6"/>
  <c r="AJ1313" i="6"/>
  <c r="AK1317" i="6"/>
  <c r="J1327" i="6"/>
  <c r="AJ1327" i="6" s="1"/>
  <c r="I1327" i="6"/>
  <c r="K1335" i="6"/>
  <c r="K1278" i="6"/>
  <c r="K1290" i="6"/>
  <c r="AE1294" i="6"/>
  <c r="J1297" i="6"/>
  <c r="AJ1297" i="6" s="1"/>
  <c r="K1303" i="6"/>
  <c r="AK1303" i="6" s="1"/>
  <c r="AG1306" i="6"/>
  <c r="I1310" i="6"/>
  <c r="AE1310" i="6"/>
  <c r="I1322" i="6"/>
  <c r="AE1322" i="6"/>
  <c r="AJ1323" i="6"/>
  <c r="AJ1329" i="6"/>
  <c r="AP1343" i="6"/>
  <c r="AI1350" i="6"/>
  <c r="K1297" i="6"/>
  <c r="AE1305" i="6"/>
  <c r="AI1314" i="6"/>
  <c r="K1314" i="6"/>
  <c r="AK1314" i="6" s="1"/>
  <c r="J1314" i="6"/>
  <c r="AJ1314" i="6" s="1"/>
  <c r="AK1323" i="6"/>
  <c r="AJ1301" i="6"/>
  <c r="AP1303" i="6"/>
  <c r="AG1305" i="6"/>
  <c r="AJ1307" i="6"/>
  <c r="AI1321" i="6"/>
  <c r="K1321" i="6"/>
  <c r="J1321" i="6"/>
  <c r="AJ1321" i="6" s="1"/>
  <c r="I1321" i="6"/>
  <c r="AJ1325" i="6"/>
  <c r="AH1339" i="6"/>
  <c r="AI1319" i="6"/>
  <c r="J1333" i="6"/>
  <c r="AJ1333" i="6" s="1"/>
  <c r="I1333" i="6"/>
  <c r="K1333" i="6"/>
  <c r="AE1333" i="6"/>
  <c r="AK1346" i="6"/>
  <c r="J1289" i="6"/>
  <c r="AJ1289" i="6" s="1"/>
  <c r="K1294" i="6"/>
  <c r="I1296" i="6"/>
  <c r="I1306" i="6"/>
  <c r="K1310" i="6"/>
  <c r="AK1310" i="6" s="1"/>
  <c r="I1312" i="6"/>
  <c r="I1314" i="6"/>
  <c r="J1315" i="6"/>
  <c r="AJ1315" i="6" s="1"/>
  <c r="I1315" i="6"/>
  <c r="K1322" i="6"/>
  <c r="AK1322" i="6" s="1"/>
  <c r="AJ1332" i="6"/>
  <c r="AK1339" i="6"/>
  <c r="AH1340" i="6"/>
  <c r="AJ1374" i="6"/>
  <c r="K1277" i="6"/>
  <c r="AK1277" i="6" s="1"/>
  <c r="AP1302" i="6"/>
  <c r="AE1303" i="6"/>
  <c r="J1306" i="6"/>
  <c r="AJ1306" i="6" s="1"/>
  <c r="AI1309" i="6"/>
  <c r="K1309" i="6"/>
  <c r="AK1309" i="6" s="1"/>
  <c r="J1309" i="6"/>
  <c r="AJ1309" i="6" s="1"/>
  <c r="AG1309" i="6"/>
  <c r="I1309" i="6"/>
  <c r="J1312" i="6"/>
  <c r="AJ1312" i="6" s="1"/>
  <c r="K1318" i="6"/>
  <c r="AK1318" i="6" s="1"/>
  <c r="AI1318" i="6"/>
  <c r="AJ1336" i="6"/>
  <c r="AJ1331" i="6"/>
  <c r="AP1339" i="6"/>
  <c r="K1320" i="6"/>
  <c r="AK1320" i="6" s="1"/>
  <c r="AI1320" i="6"/>
  <c r="AI1334" i="6"/>
  <c r="AI1352" i="6"/>
  <c r="K1352" i="6"/>
  <c r="J1352" i="6"/>
  <c r="I1352" i="6"/>
  <c r="AE1352" i="6"/>
  <c r="AI1340" i="6"/>
  <c r="K1340" i="6"/>
  <c r="AK1340" i="6" s="1"/>
  <c r="I1340" i="6"/>
  <c r="AI1345" i="6"/>
  <c r="K1345" i="6"/>
  <c r="AK1345" i="6" s="1"/>
  <c r="J1345" i="6"/>
  <c r="I1345" i="6"/>
  <c r="AJ1383" i="6"/>
  <c r="AE1328" i="6"/>
  <c r="AI1337" i="6"/>
  <c r="AI1343" i="6"/>
  <c r="K1343" i="6"/>
  <c r="AK1343" i="6" s="1"/>
  <c r="J1343" i="6"/>
  <c r="AE1323" i="6"/>
  <c r="AI1332" i="6"/>
  <c r="AV1343" i="6"/>
  <c r="L1344" i="6" s="1"/>
  <c r="AV1344" i="6" s="1"/>
  <c r="J1355" i="6"/>
  <c r="AE1355" i="6"/>
  <c r="K1355" i="6"/>
  <c r="I1355" i="6"/>
  <c r="AY1429" i="6"/>
  <c r="O1430" i="6" s="1"/>
  <c r="AY1430" i="6" s="1"/>
  <c r="O1431" i="6" s="1"/>
  <c r="AY1431" i="6" s="1"/>
  <c r="O1432" i="6" s="1"/>
  <c r="AY1432" i="6" s="1"/>
  <c r="O1433" i="6" s="1"/>
  <c r="AY1433" i="6" s="1"/>
  <c r="O1434" i="6" s="1"/>
  <c r="AY1434" i="6" s="1"/>
  <c r="O1435" i="6" s="1"/>
  <c r="AY1435" i="6" s="1"/>
  <c r="O1436" i="6" s="1"/>
  <c r="AY1436" i="6" s="1"/>
  <c r="O1437" i="6" s="1"/>
  <c r="AY1437" i="6" s="1"/>
  <c r="O1438" i="6" s="1"/>
  <c r="AY1438" i="6" s="1"/>
  <c r="O1439" i="6" s="1"/>
  <c r="AY1439" i="6" s="1"/>
  <c r="O1440" i="6" s="1"/>
  <c r="AY1440" i="6" s="1"/>
  <c r="O1441" i="6" s="1"/>
  <c r="AY1441" i="6" s="1"/>
  <c r="O1442" i="6" s="1"/>
  <c r="AY1442" i="6" s="1"/>
  <c r="O1443" i="6" s="1"/>
  <c r="AY1443" i="6" s="1"/>
  <c r="O1444" i="6" s="1"/>
  <c r="AY1444" i="6" s="1"/>
  <c r="O1445" i="6" s="1"/>
  <c r="AY1445" i="6" s="1"/>
  <c r="I1328" i="6"/>
  <c r="J1340" i="6"/>
  <c r="I1323" i="6"/>
  <c r="AI1331" i="6"/>
  <c r="K1331" i="6"/>
  <c r="AI1336" i="6"/>
  <c r="I1343" i="6"/>
  <c r="AE1343" i="6"/>
  <c r="BF1397" i="6"/>
  <c r="V1398" i="6" s="1"/>
  <c r="AH1397" i="6"/>
  <c r="AW1412" i="6"/>
  <c r="M1413" i="6" s="1"/>
  <c r="AI1366" i="6"/>
  <c r="K1366" i="6"/>
  <c r="I1366" i="6"/>
  <c r="AE1366" i="6"/>
  <c r="AJ1375" i="6"/>
  <c r="AG1380" i="6"/>
  <c r="BA1415" i="6"/>
  <c r="Q1416" i="6" s="1"/>
  <c r="K1348" i="6"/>
  <c r="AK1348" i="6" s="1"/>
  <c r="AI1348" i="6"/>
  <c r="I1350" i="6"/>
  <c r="AI1370" i="6"/>
  <c r="K1370" i="6"/>
  <c r="J1370" i="6"/>
  <c r="I1370" i="6"/>
  <c r="AE1370" i="6"/>
  <c r="AI1371" i="6"/>
  <c r="AV1377" i="6"/>
  <c r="L1378" i="6" s="1"/>
  <c r="AV1378" i="6" s="1"/>
  <c r="L1379" i="6" s="1"/>
  <c r="AV1379" i="6" s="1"/>
  <c r="L1380" i="6" s="1"/>
  <c r="AV1380" i="6" s="1"/>
  <c r="AJ1386" i="6"/>
  <c r="BO1415" i="6"/>
  <c r="BN1416" i="6" s="1"/>
  <c r="BO1416" i="6" s="1"/>
  <c r="BN1417" i="6" s="1"/>
  <c r="BO1417" i="6" s="1"/>
  <c r="BN1418" i="6" s="1"/>
  <c r="AP1342" i="6"/>
  <c r="AE1347" i="6"/>
  <c r="J1350" i="6"/>
  <c r="J1366" i="6"/>
  <c r="AJ1366" i="6" s="1"/>
  <c r="AI1378" i="6"/>
  <c r="K1378" i="6"/>
  <c r="AG1378" i="6"/>
  <c r="I1378" i="6"/>
  <c r="AE1378" i="6"/>
  <c r="K1350" i="6"/>
  <c r="AI1358" i="6"/>
  <c r="K1358" i="6"/>
  <c r="I1362" i="6"/>
  <c r="AE1362" i="6"/>
  <c r="AI1362" i="6"/>
  <c r="K1362" i="6"/>
  <c r="AI1365" i="6"/>
  <c r="BD1375" i="6"/>
  <c r="T1376" i="6" s="1"/>
  <c r="BD1376" i="6" s="1"/>
  <c r="T1377" i="6" s="1"/>
  <c r="BD1377" i="6" s="1"/>
  <c r="T1378" i="6" s="1"/>
  <c r="AJ1391" i="6"/>
  <c r="I1347" i="6"/>
  <c r="AI1360" i="6"/>
  <c r="K1360" i="6"/>
  <c r="I1360" i="6"/>
  <c r="AE1360" i="6"/>
  <c r="AE1364" i="6"/>
  <c r="AI1364" i="6"/>
  <c r="K1364" i="6"/>
  <c r="I1364" i="6"/>
  <c r="AI1373" i="6"/>
  <c r="AG1374" i="6"/>
  <c r="BE1377" i="6"/>
  <c r="U1377" i="6"/>
  <c r="AE1344" i="6"/>
  <c r="J1347" i="6"/>
  <c r="AJ1347" i="6" s="1"/>
  <c r="AI1361" i="6"/>
  <c r="AI1369" i="6"/>
  <c r="AJ1378" i="6"/>
  <c r="AI1385" i="6"/>
  <c r="K1347" i="6"/>
  <c r="AK1347" i="6" s="1"/>
  <c r="AI1363" i="6"/>
  <c r="AI1368" i="6"/>
  <c r="K1368" i="6"/>
  <c r="I1368" i="6"/>
  <c r="AE1368" i="6"/>
  <c r="BG1375" i="6"/>
  <c r="W1376" i="6" s="1"/>
  <c r="AH1375" i="6"/>
  <c r="J1360" i="6"/>
  <c r="J1364" i="6"/>
  <c r="BO1375" i="6"/>
  <c r="BN1376" i="6" s="1"/>
  <c r="BO1376" i="6" s="1"/>
  <c r="BN1377" i="6" s="1"/>
  <c r="AI1372" i="6"/>
  <c r="K1372" i="6"/>
  <c r="I1372" i="6"/>
  <c r="AE1372" i="6"/>
  <c r="AV1375" i="6"/>
  <c r="L1376" i="6" s="1"/>
  <c r="AV1376" i="6" s="1"/>
  <c r="L1377" i="6" s="1"/>
  <c r="AI1375" i="6"/>
  <c r="J1357" i="6"/>
  <c r="J1369" i="6"/>
  <c r="K1374" i="6"/>
  <c r="AI1374" i="6"/>
  <c r="I1376" i="6"/>
  <c r="U1376" i="6"/>
  <c r="AG1376" i="6"/>
  <c r="AH1411" i="6"/>
  <c r="J1411" i="6"/>
  <c r="AJ1411" i="6" s="1"/>
  <c r="I1411" i="6"/>
  <c r="AE1411" i="6"/>
  <c r="AI1411" i="6"/>
  <c r="AP1411" i="6"/>
  <c r="K1411" i="6"/>
  <c r="J1381" i="6"/>
  <c r="AJ1381" i="6" s="1"/>
  <c r="I1388" i="6"/>
  <c r="BF1433" i="6"/>
  <c r="V1434" i="6" s="1"/>
  <c r="AJ1417" i="6"/>
  <c r="BE1447" i="6"/>
  <c r="U1447" i="6"/>
  <c r="AH1452" i="6"/>
  <c r="J1359" i="6"/>
  <c r="K1376" i="6"/>
  <c r="AI1376" i="6"/>
  <c r="AE1380" i="6"/>
  <c r="AI1387" i="6"/>
  <c r="K1387" i="6"/>
  <c r="J1387" i="6"/>
  <c r="AJ1387" i="6" s="1"/>
  <c r="I1387" i="6"/>
  <c r="AE1387" i="6"/>
  <c r="AJ1395" i="6"/>
  <c r="AI1404" i="6"/>
  <c r="K1404" i="6"/>
  <c r="J1404" i="6"/>
  <c r="AJ1404" i="6" s="1"/>
  <c r="AE1404" i="6"/>
  <c r="I1404" i="6"/>
  <c r="AI1407" i="6"/>
  <c r="K1407" i="6"/>
  <c r="AE1407" i="6"/>
  <c r="J1407" i="6"/>
  <c r="AJ1407" i="6" s="1"/>
  <c r="I1407" i="6"/>
  <c r="AP1377" i="6"/>
  <c r="I1381" i="6"/>
  <c r="AE1384" i="6"/>
  <c r="I1384" i="6"/>
  <c r="J1388" i="6"/>
  <c r="AJ1388" i="6" s="1"/>
  <c r="AJ1397" i="6"/>
  <c r="AI1399" i="6"/>
  <c r="K1399" i="6"/>
  <c r="J1399" i="6"/>
  <c r="AJ1399" i="6" s="1"/>
  <c r="I1399" i="6"/>
  <c r="AE1399" i="6"/>
  <c r="J1400" i="6"/>
  <c r="AJ1400" i="6" s="1"/>
  <c r="I1400" i="6"/>
  <c r="AE1400" i="6"/>
  <c r="K1402" i="6"/>
  <c r="AI1402" i="6"/>
  <c r="J1402" i="6"/>
  <c r="AJ1402" i="6" s="1"/>
  <c r="AE1402" i="6"/>
  <c r="AI1380" i="6"/>
  <c r="K1380" i="6"/>
  <c r="K1381" i="6"/>
  <c r="K1388" i="6"/>
  <c r="BG1413" i="6"/>
  <c r="W1414" i="6" s="1"/>
  <c r="BG1414" i="6" s="1"/>
  <c r="W1415" i="6" s="1"/>
  <c r="AJ1385" i="6"/>
  <c r="AI1392" i="6"/>
  <c r="K1392" i="6"/>
  <c r="J1392" i="6"/>
  <c r="AJ1392" i="6" s="1"/>
  <c r="I1392" i="6"/>
  <c r="AJ1398" i="6"/>
  <c r="AI1421" i="6"/>
  <c r="K1421" i="6"/>
  <c r="J1421" i="6"/>
  <c r="AJ1421" i="6" s="1"/>
  <c r="I1421" i="6"/>
  <c r="AE1421" i="6"/>
  <c r="AP1374" i="6"/>
  <c r="I1377" i="6"/>
  <c r="AG1379" i="6"/>
  <c r="J1382" i="6"/>
  <c r="AJ1382" i="6" s="1"/>
  <c r="I1382" i="6"/>
  <c r="AI1390" i="6"/>
  <c r="K1390" i="6"/>
  <c r="J1390" i="6"/>
  <c r="AJ1390" i="6" s="1"/>
  <c r="AE1390" i="6"/>
  <c r="K1400" i="6"/>
  <c r="I1402" i="6"/>
  <c r="AJ1415" i="6"/>
  <c r="AE1374" i="6"/>
  <c r="J1377" i="6"/>
  <c r="AJ1377" i="6" s="1"/>
  <c r="I1380" i="6"/>
  <c r="AE1381" i="6"/>
  <c r="K1384" i="6"/>
  <c r="AJ1406" i="6"/>
  <c r="K1410" i="6"/>
  <c r="AI1410" i="6"/>
  <c r="J1410" i="6"/>
  <c r="AJ1410" i="6" s="1"/>
  <c r="AH1410" i="6"/>
  <c r="I1410" i="6"/>
  <c r="AP1410" i="6"/>
  <c r="AJ1413" i="6"/>
  <c r="AP1376" i="6"/>
  <c r="AI1377" i="6"/>
  <c r="J1380" i="6"/>
  <c r="AJ1380" i="6" s="1"/>
  <c r="K1405" i="6"/>
  <c r="J1405" i="6"/>
  <c r="AJ1405" i="6" s="1"/>
  <c r="I1405" i="6"/>
  <c r="AI1405" i="6"/>
  <c r="I1374" i="6"/>
  <c r="J1379" i="6"/>
  <c r="AJ1379" i="6" s="1"/>
  <c r="AG1381" i="6"/>
  <c r="K1382" i="6"/>
  <c r="I1390" i="6"/>
  <c r="AI1395" i="6"/>
  <c r="J1389" i="6"/>
  <c r="AJ1389" i="6" s="1"/>
  <c r="K1394" i="6"/>
  <c r="AI1394" i="6"/>
  <c r="BE1411" i="6"/>
  <c r="U1411" i="6"/>
  <c r="AI1417" i="6"/>
  <c r="K1417" i="6"/>
  <c r="I1417" i="6"/>
  <c r="AE1417" i="6"/>
  <c r="AJ1424" i="6"/>
  <c r="AJ1409" i="6"/>
  <c r="BH1481" i="6"/>
  <c r="AJ1427" i="6"/>
  <c r="BO1452" i="6"/>
  <c r="BN1453" i="6" s="1"/>
  <c r="BO1453" i="6" s="1"/>
  <c r="BN1454" i="6" s="1"/>
  <c r="K1386" i="6"/>
  <c r="AI1386" i="6"/>
  <c r="J1393" i="6"/>
  <c r="AJ1393" i="6" s="1"/>
  <c r="AH1412" i="6"/>
  <c r="AJ1420" i="6"/>
  <c r="AI1412" i="6"/>
  <c r="BF1469" i="6"/>
  <c r="V1470" i="6" s="1"/>
  <c r="AI1432" i="6"/>
  <c r="AY1465" i="6"/>
  <c r="O1466" i="6" s="1"/>
  <c r="AY1466" i="6" s="1"/>
  <c r="O1467" i="6" s="1"/>
  <c r="AY1467" i="6" s="1"/>
  <c r="O1468" i="6" s="1"/>
  <c r="AY1468" i="6" s="1"/>
  <c r="O1469" i="6" s="1"/>
  <c r="AY1469" i="6" s="1"/>
  <c r="O1470" i="6" s="1"/>
  <c r="AY1470" i="6" s="1"/>
  <c r="O1471" i="6" s="1"/>
  <c r="AY1471" i="6" s="1"/>
  <c r="O1472" i="6" s="1"/>
  <c r="AY1472" i="6" s="1"/>
  <c r="O1473" i="6" s="1"/>
  <c r="AY1473" i="6" s="1"/>
  <c r="O1474" i="6" s="1"/>
  <c r="AY1474" i="6" s="1"/>
  <c r="O1475" i="6" s="1"/>
  <c r="AY1475" i="6" s="1"/>
  <c r="O1476" i="6" s="1"/>
  <c r="AY1476" i="6" s="1"/>
  <c r="O1477" i="6" s="1"/>
  <c r="AY1477" i="6" s="1"/>
  <c r="O1478" i="6" s="1"/>
  <c r="AY1478" i="6" s="1"/>
  <c r="O1479" i="6" s="1"/>
  <c r="AY1479" i="6" s="1"/>
  <c r="O1480" i="6" s="1"/>
  <c r="AY1480" i="6" s="1"/>
  <c r="O1481" i="6" s="1"/>
  <c r="AY1481" i="6" s="1"/>
  <c r="AJ1470" i="6"/>
  <c r="K1395" i="6"/>
  <c r="AV1412" i="6"/>
  <c r="L1413" i="6" s="1"/>
  <c r="AJ1418" i="6"/>
  <c r="BA1451" i="6"/>
  <c r="Q1452" i="6" s="1"/>
  <c r="AE1394" i="6"/>
  <c r="AE1389" i="6"/>
  <c r="AI1397" i="6"/>
  <c r="AE1401" i="6"/>
  <c r="I1412" i="6"/>
  <c r="AP1412" i="6"/>
  <c r="AJ1432" i="6"/>
  <c r="I1394" i="6"/>
  <c r="J1412" i="6"/>
  <c r="AJ1412" i="6" s="1"/>
  <c r="AH1414" i="6"/>
  <c r="I1389" i="6"/>
  <c r="J1394" i="6"/>
  <c r="AJ1394" i="6" s="1"/>
  <c r="I1401" i="6"/>
  <c r="AI1409" i="6"/>
  <c r="K1409" i="6"/>
  <c r="I1409" i="6"/>
  <c r="AI1414" i="6"/>
  <c r="AI1419" i="6"/>
  <c r="K1419" i="6"/>
  <c r="J1419" i="6"/>
  <c r="AJ1419" i="6" s="1"/>
  <c r="I1419" i="6"/>
  <c r="AE1419" i="6"/>
  <c r="I1425" i="6"/>
  <c r="J1435" i="6"/>
  <c r="AJ1435" i="6" s="1"/>
  <c r="AJ1440" i="6"/>
  <c r="BG1454" i="6"/>
  <c r="W1455" i="6" s="1"/>
  <c r="BG1455" i="6" s="1"/>
  <c r="W1456" i="6" s="1"/>
  <c r="AJ1451" i="6"/>
  <c r="J1438" i="6"/>
  <c r="AJ1438" i="6" s="1"/>
  <c r="AE1438" i="6"/>
  <c r="AJ1446" i="6"/>
  <c r="BA1486" i="6"/>
  <c r="Q1487" i="6" s="1"/>
  <c r="K1425" i="6"/>
  <c r="AI1425" i="6"/>
  <c r="AP1414" i="6"/>
  <c r="J1422" i="6"/>
  <c r="AJ1422" i="6" s="1"/>
  <c r="AI1427" i="6"/>
  <c r="J1436" i="6"/>
  <c r="AJ1436" i="6" s="1"/>
  <c r="I1436" i="6"/>
  <c r="I1438" i="6"/>
  <c r="I1424" i="6"/>
  <c r="AE1426" i="6"/>
  <c r="K1438" i="6"/>
  <c r="AI1438" i="6"/>
  <c r="AH1451" i="6"/>
  <c r="AJ1444" i="6"/>
  <c r="AJ1462" i="6"/>
  <c r="I1414" i="6"/>
  <c r="AE1416" i="6"/>
  <c r="K1424" i="6"/>
  <c r="I1426" i="6"/>
  <c r="K1431" i="6"/>
  <c r="I1431" i="6"/>
  <c r="AJ1434" i="6"/>
  <c r="K1436" i="6"/>
  <c r="AE1436" i="6"/>
  <c r="AJ1439" i="6"/>
  <c r="AI1441" i="6"/>
  <c r="K1441" i="6"/>
  <c r="J1441" i="6"/>
  <c r="AJ1441" i="6" s="1"/>
  <c r="I1441" i="6"/>
  <c r="AI1443" i="6"/>
  <c r="K1443" i="6"/>
  <c r="J1443" i="6"/>
  <c r="AJ1443" i="6" s="1"/>
  <c r="I1443" i="6"/>
  <c r="AE1443" i="6"/>
  <c r="J1414" i="6"/>
  <c r="AJ1414" i="6" s="1"/>
  <c r="AE1423" i="6"/>
  <c r="J1426" i="6"/>
  <c r="AJ1426" i="6" s="1"/>
  <c r="AI1448" i="6"/>
  <c r="AJ1463" i="6"/>
  <c r="I1435" i="6"/>
  <c r="AE1435" i="6"/>
  <c r="AI1435" i="6"/>
  <c r="K1435" i="6"/>
  <c r="AV1448" i="6"/>
  <c r="L1449" i="6" s="1"/>
  <c r="AI1453" i="6"/>
  <c r="K1453" i="6"/>
  <c r="AH1453" i="6"/>
  <c r="J1453" i="6"/>
  <c r="AJ1453" i="6" s="1"/>
  <c r="I1453" i="6"/>
  <c r="AE1453" i="6"/>
  <c r="AJ1456" i="6"/>
  <c r="J1416" i="6"/>
  <c r="AJ1416" i="6" s="1"/>
  <c r="I1423" i="6"/>
  <c r="AI1429" i="6"/>
  <c r="K1429" i="6"/>
  <c r="J1429" i="6"/>
  <c r="AJ1429" i="6" s="1"/>
  <c r="J1431" i="6"/>
  <c r="AJ1431" i="6" s="1"/>
  <c r="AE1437" i="6"/>
  <c r="I1437" i="6"/>
  <c r="I1406" i="6"/>
  <c r="K1416" i="6"/>
  <c r="I1418" i="6"/>
  <c r="J1423" i="6"/>
  <c r="AJ1423" i="6" s="1"/>
  <c r="AE1431" i="6"/>
  <c r="AH1447" i="6"/>
  <c r="AE1439" i="6"/>
  <c r="AP1446" i="6"/>
  <c r="K1447" i="6"/>
  <c r="AI1447" i="6"/>
  <c r="I1449" i="6"/>
  <c r="AE1451" i="6"/>
  <c r="I1456" i="6"/>
  <c r="AE1456" i="6"/>
  <c r="J1457" i="6"/>
  <c r="AJ1457" i="6" s="1"/>
  <c r="K1467" i="6"/>
  <c r="J1467" i="6"/>
  <c r="AJ1467" i="6" s="1"/>
  <c r="I1467" i="6"/>
  <c r="AE1467" i="6"/>
  <c r="I1468" i="6"/>
  <c r="AE1468" i="6"/>
  <c r="AP1448" i="6"/>
  <c r="AJ1458" i="6"/>
  <c r="BF1541" i="6"/>
  <c r="V1542" i="6" s="1"/>
  <c r="J1460" i="6"/>
  <c r="AJ1460" i="6" s="1"/>
  <c r="AJ1468" i="6"/>
  <c r="AJ1475" i="6"/>
  <c r="AJ1476" i="6"/>
  <c r="BO1494" i="6"/>
  <c r="BN1495" i="6" s="1"/>
  <c r="BO1495" i="6" s="1"/>
  <c r="BN1496" i="6" s="1"/>
  <c r="AP1450" i="6"/>
  <c r="AJ1455" i="6"/>
  <c r="K1434" i="6"/>
  <c r="K1446" i="6"/>
  <c r="I1448" i="6"/>
  <c r="AE1450" i="6"/>
  <c r="I1454" i="6"/>
  <c r="AE1454" i="6"/>
  <c r="AI1454" i="6"/>
  <c r="K1455" i="6"/>
  <c r="AE1457" i="6"/>
  <c r="AI1459" i="6"/>
  <c r="K1459" i="6"/>
  <c r="J1459" i="6"/>
  <c r="AJ1459" i="6" s="1"/>
  <c r="AI1473" i="6"/>
  <c r="AE1433" i="6"/>
  <c r="AE1445" i="6"/>
  <c r="J1448" i="6"/>
  <c r="AJ1448" i="6" s="1"/>
  <c r="AH1448" i="6"/>
  <c r="AE1455" i="6"/>
  <c r="I1460" i="6"/>
  <c r="AE1460" i="6"/>
  <c r="AI1464" i="6"/>
  <c r="AJ1480" i="6"/>
  <c r="AH1505" i="6"/>
  <c r="BF1505" i="6"/>
  <c r="V1506" i="6" s="1"/>
  <c r="AP1447" i="6"/>
  <c r="K1448" i="6"/>
  <c r="I1450" i="6"/>
  <c r="K1460" i="6"/>
  <c r="BG1487" i="6"/>
  <c r="W1488" i="6" s="1"/>
  <c r="BG1488" i="6" s="1"/>
  <c r="W1489" i="6" s="1"/>
  <c r="BG1489" i="6" s="1"/>
  <c r="W1490" i="6" s="1"/>
  <c r="BG1490" i="6" s="1"/>
  <c r="W1491" i="6" s="1"/>
  <c r="AH1487" i="6"/>
  <c r="I1433" i="6"/>
  <c r="AE1447" i="6"/>
  <c r="J1450" i="6"/>
  <c r="AJ1450" i="6" s="1"/>
  <c r="AH1450" i="6"/>
  <c r="J1454" i="6"/>
  <c r="AJ1454" i="6" s="1"/>
  <c r="AI1456" i="6"/>
  <c r="AI1457" i="6"/>
  <c r="AP1483" i="6"/>
  <c r="BD1483" i="6"/>
  <c r="T1484" i="6" s="1"/>
  <c r="BD1484" i="6" s="1"/>
  <c r="T1485" i="6" s="1"/>
  <c r="BD1485" i="6" s="1"/>
  <c r="T1486" i="6" s="1"/>
  <c r="AP1449" i="6"/>
  <c r="K1450" i="6"/>
  <c r="AH1455" i="6"/>
  <c r="AI1460" i="6"/>
  <c r="AJ1464" i="6"/>
  <c r="J1428" i="6"/>
  <c r="AJ1428" i="6" s="1"/>
  <c r="K1433" i="6"/>
  <c r="I1447" i="6"/>
  <c r="J1452" i="6"/>
  <c r="AJ1452" i="6" s="1"/>
  <c r="AI1462" i="6"/>
  <c r="K1462" i="6"/>
  <c r="AI1468" i="6"/>
  <c r="BH1483" i="6"/>
  <c r="X1484" i="6" s="1"/>
  <c r="BH1484" i="6" s="1"/>
  <c r="X1485" i="6" s="1"/>
  <c r="BH1485" i="6" s="1"/>
  <c r="X1486" i="6" s="1"/>
  <c r="BH1486" i="6" s="1"/>
  <c r="X1487" i="6" s="1"/>
  <c r="BH1487" i="6" s="1"/>
  <c r="X1488" i="6" s="1"/>
  <c r="BH1488" i="6" s="1"/>
  <c r="X1489" i="6" s="1"/>
  <c r="BH1489" i="6" s="1"/>
  <c r="X1490" i="6" s="1"/>
  <c r="BH1490" i="6" s="1"/>
  <c r="X1491" i="6" s="1"/>
  <c r="BH1491" i="6" s="1"/>
  <c r="X1492" i="6" s="1"/>
  <c r="BH1492" i="6" s="1"/>
  <c r="X1493" i="6" s="1"/>
  <c r="BH1493" i="6" s="1"/>
  <c r="X1494" i="6" s="1"/>
  <c r="BH1494" i="6" s="1"/>
  <c r="X1495" i="6" s="1"/>
  <c r="BH1495" i="6" s="1"/>
  <c r="X1496" i="6" s="1"/>
  <c r="BH1496" i="6" s="1"/>
  <c r="X1497" i="6" s="1"/>
  <c r="BH1497" i="6" s="1"/>
  <c r="X1498" i="6" s="1"/>
  <c r="BH1498" i="6" s="1"/>
  <c r="X1499" i="6" s="1"/>
  <c r="BH1499" i="6" s="1"/>
  <c r="X1500" i="6" s="1"/>
  <c r="BH1500" i="6" s="1"/>
  <c r="X1501" i="6" s="1"/>
  <c r="BH1501" i="6" s="1"/>
  <c r="X1502" i="6" s="1"/>
  <c r="BH1502" i="6" s="1"/>
  <c r="X1503" i="6" s="1"/>
  <c r="BH1503" i="6" s="1"/>
  <c r="X1504" i="6" s="1"/>
  <c r="BH1504" i="6" s="1"/>
  <c r="X1505" i="6" s="1"/>
  <c r="BH1505" i="6" s="1"/>
  <c r="X1506" i="6" s="1"/>
  <c r="BH1506" i="6" s="1"/>
  <c r="X1507" i="6" s="1"/>
  <c r="BH1507" i="6" s="1"/>
  <c r="X1508" i="6" s="1"/>
  <c r="BH1508" i="6" s="1"/>
  <c r="X1509" i="6" s="1"/>
  <c r="BH1509" i="6" s="1"/>
  <c r="X1510" i="6" s="1"/>
  <c r="BH1510" i="6" s="1"/>
  <c r="X1511" i="6" s="1"/>
  <c r="BH1511" i="6" s="1"/>
  <c r="X1512" i="6" s="1"/>
  <c r="BH1512" i="6" s="1"/>
  <c r="X1513" i="6" s="1"/>
  <c r="BH1513" i="6" s="1"/>
  <c r="X1514" i="6" s="1"/>
  <c r="BH1514" i="6" s="1"/>
  <c r="X1515" i="6" s="1"/>
  <c r="BH1515" i="6" s="1"/>
  <c r="X1516" i="6" s="1"/>
  <c r="BH1516" i="6" s="1"/>
  <c r="X1517" i="6" s="1"/>
  <c r="BH1517" i="6" s="1"/>
  <c r="J1447" i="6"/>
  <c r="AJ1447" i="6" s="1"/>
  <c r="AJ1469" i="6"/>
  <c r="K1480" i="6"/>
  <c r="AI1480" i="6"/>
  <c r="AJ1487" i="6"/>
  <c r="AG1523" i="6"/>
  <c r="BA1523" i="6"/>
  <c r="Q1524" i="6" s="1"/>
  <c r="AE1479" i="6"/>
  <c r="AI1501" i="6"/>
  <c r="K1501" i="6"/>
  <c r="J1501" i="6"/>
  <c r="AJ1501" i="6" s="1"/>
  <c r="I1501" i="6"/>
  <c r="AJ1506" i="6"/>
  <c r="I1472" i="6"/>
  <c r="AE1474" i="6"/>
  <c r="AH1482" i="6"/>
  <c r="AV1482" i="6"/>
  <c r="L1483" i="6" s="1"/>
  <c r="AV1483" i="6" s="1"/>
  <c r="L1484" i="6" s="1"/>
  <c r="AJ1494" i="6"/>
  <c r="AI1497" i="6"/>
  <c r="K1497" i="6"/>
  <c r="I1497" i="6"/>
  <c r="AE1497" i="6"/>
  <c r="AE1469" i="6"/>
  <c r="J1472" i="6"/>
  <c r="AJ1472" i="6" s="1"/>
  <c r="AI1477" i="6"/>
  <c r="I1479" i="6"/>
  <c r="AI1481" i="6"/>
  <c r="AE1486" i="6"/>
  <c r="AH1486" i="6"/>
  <c r="J1486" i="6"/>
  <c r="AJ1486" i="6" s="1"/>
  <c r="AI1486" i="6"/>
  <c r="AJ1505" i="6"/>
  <c r="K1472" i="6"/>
  <c r="AI1472" i="6"/>
  <c r="J1479" i="6"/>
  <c r="AJ1479" i="6" s="1"/>
  <c r="AJ1508" i="6"/>
  <c r="I1469" i="6"/>
  <c r="AE1471" i="6"/>
  <c r="K1479" i="6"/>
  <c r="AJ1497" i="6"/>
  <c r="AJ1536" i="6"/>
  <c r="I1464" i="6"/>
  <c r="AE1466" i="6"/>
  <c r="K1474" i="6"/>
  <c r="I1476" i="6"/>
  <c r="AE1478" i="6"/>
  <c r="J1481" i="6"/>
  <c r="AJ1481" i="6" s="1"/>
  <c r="I1486" i="6"/>
  <c r="AJ1493" i="6"/>
  <c r="I1484" i="6"/>
  <c r="AE1484" i="6"/>
  <c r="I1485" i="6"/>
  <c r="AE1485" i="6"/>
  <c r="K1464" i="6"/>
  <c r="I1466" i="6"/>
  <c r="J1471" i="6"/>
  <c r="AJ1471" i="6" s="1"/>
  <c r="K1476" i="6"/>
  <c r="I1478" i="6"/>
  <c r="AE1480" i="6"/>
  <c r="BE1484" i="6"/>
  <c r="U1484" i="6"/>
  <c r="AV1484" i="6"/>
  <c r="L1485" i="6" s="1"/>
  <c r="AV1485" i="6"/>
  <c r="L1486" i="6" s="1"/>
  <c r="AV1486" i="6" s="1"/>
  <c r="L1487" i="6" s="1"/>
  <c r="AV1487" i="6" s="1"/>
  <c r="L1488" i="6" s="1"/>
  <c r="AV1488" i="6" s="1"/>
  <c r="I1509" i="6"/>
  <c r="AE1509" i="6"/>
  <c r="K1509" i="6"/>
  <c r="J1509" i="6"/>
  <c r="AJ1509" i="6" s="1"/>
  <c r="AI1509" i="6"/>
  <c r="J1466" i="6"/>
  <c r="AJ1466" i="6" s="1"/>
  <c r="K1471" i="6"/>
  <c r="J1478" i="6"/>
  <c r="AJ1478" i="6" s="1"/>
  <c r="AI1485" i="6"/>
  <c r="AJ1499" i="6"/>
  <c r="AW1520" i="6"/>
  <c r="M1521" i="6" s="1"/>
  <c r="K1466" i="6"/>
  <c r="K1478" i="6"/>
  <c r="I1480" i="6"/>
  <c r="AI1483" i="6"/>
  <c r="K1483" i="6"/>
  <c r="AH1483" i="6"/>
  <c r="J1483" i="6"/>
  <c r="AJ1483" i="6" s="1"/>
  <c r="AE1483" i="6"/>
  <c r="U1483" i="6"/>
  <c r="J1484" i="6"/>
  <c r="AJ1484" i="6" s="1"/>
  <c r="AH1484" i="6"/>
  <c r="J1485" i="6"/>
  <c r="AJ1485" i="6" s="1"/>
  <c r="K1484" i="6"/>
  <c r="AI1484" i="6"/>
  <c r="K1485" i="6"/>
  <c r="AI1489" i="6"/>
  <c r="K1489" i="6"/>
  <c r="AH1489" i="6"/>
  <c r="J1489" i="6"/>
  <c r="AJ1489" i="6" s="1"/>
  <c r="I1489" i="6"/>
  <c r="AE1489" i="6"/>
  <c r="BD1522" i="6"/>
  <c r="T1523" i="6" s="1"/>
  <c r="BD1523" i="6" s="1"/>
  <c r="T1524" i="6" s="1"/>
  <c r="BD1524" i="6" s="1"/>
  <c r="T1525" i="6" s="1"/>
  <c r="K1491" i="6"/>
  <c r="AI1491" i="6"/>
  <c r="I1493" i="6"/>
  <c r="AE1495" i="6"/>
  <c r="J1498" i="6"/>
  <c r="AJ1498" i="6" s="1"/>
  <c r="K1503" i="6"/>
  <c r="I1505" i="6"/>
  <c r="AE1507" i="6"/>
  <c r="BG1519" i="6"/>
  <c r="W1520" i="6" s="1"/>
  <c r="BG1520" i="6" s="1"/>
  <c r="W1521" i="6" s="1"/>
  <c r="AH1519" i="6"/>
  <c r="AJ1533" i="6"/>
  <c r="AJ1550" i="6"/>
  <c r="J1488" i="6"/>
  <c r="AJ1488" i="6" s="1"/>
  <c r="AH1488" i="6"/>
  <c r="K1493" i="6"/>
  <c r="AI1493" i="6"/>
  <c r="I1495" i="6"/>
  <c r="J1500" i="6"/>
  <c r="AJ1500" i="6" s="1"/>
  <c r="AI1505" i="6"/>
  <c r="I1507" i="6"/>
  <c r="AJ1511" i="6"/>
  <c r="AE1512" i="6"/>
  <c r="AI1512" i="6"/>
  <c r="K1512" i="6"/>
  <c r="AV1520" i="6"/>
  <c r="L1521" i="6" s="1"/>
  <c r="AJ1523" i="6"/>
  <c r="AI1525" i="6"/>
  <c r="K1525" i="6"/>
  <c r="J1525" i="6"/>
  <c r="AJ1525" i="6" s="1"/>
  <c r="I1525" i="6"/>
  <c r="AE1525" i="6"/>
  <c r="AJ1529" i="6"/>
  <c r="AE1537" i="6"/>
  <c r="K1537" i="6"/>
  <c r="J1537" i="6"/>
  <c r="AJ1537" i="6" s="1"/>
  <c r="I1537" i="6"/>
  <c r="AI1537" i="6"/>
  <c r="K1488" i="6"/>
  <c r="AI1488" i="6"/>
  <c r="J1495" i="6"/>
  <c r="AJ1495" i="6" s="1"/>
  <c r="K1500" i="6"/>
  <c r="AI1500" i="6"/>
  <c r="I1502" i="6"/>
  <c r="AE1504" i="6"/>
  <c r="J1507" i="6"/>
  <c r="AJ1507" i="6" s="1"/>
  <c r="K1495" i="6"/>
  <c r="AI1495" i="6"/>
  <c r="J1502" i="6"/>
  <c r="AJ1502" i="6" s="1"/>
  <c r="K1507" i="6"/>
  <c r="AI1507" i="6"/>
  <c r="AP1521" i="6"/>
  <c r="AI1521" i="6"/>
  <c r="K1521" i="6"/>
  <c r="I1521" i="6"/>
  <c r="AJ1541" i="6"/>
  <c r="AI1545" i="6"/>
  <c r="K1545" i="6"/>
  <c r="J1545" i="6"/>
  <c r="AJ1545" i="6" s="1"/>
  <c r="AE1545" i="6"/>
  <c r="I1545" i="6"/>
  <c r="AI1515" i="6"/>
  <c r="K1515" i="6"/>
  <c r="J1515" i="6"/>
  <c r="AJ1515" i="6" s="1"/>
  <c r="I1515" i="6"/>
  <c r="AE1515" i="6"/>
  <c r="AP1519" i="6"/>
  <c r="BE1520" i="6"/>
  <c r="U1520" i="6"/>
  <c r="AV1521" i="6"/>
  <c r="L1522" i="6" s="1"/>
  <c r="AV1522" i="6" s="1"/>
  <c r="L1523" i="6" s="1"/>
  <c r="AV1523" i="6" s="1"/>
  <c r="L1524" i="6" s="1"/>
  <c r="AV1524" i="6" s="1"/>
  <c r="AI1530" i="6"/>
  <c r="AJ1512" i="6"/>
  <c r="AJ1517" i="6"/>
  <c r="AJ1548" i="6"/>
  <c r="BA1564" i="6"/>
  <c r="Q1565" i="6" s="1"/>
  <c r="BA1565" i="6" s="1"/>
  <c r="Q1566" i="6" s="1"/>
  <c r="BG1556" i="6"/>
  <c r="W1557" i="6" s="1"/>
  <c r="AH1556" i="6"/>
  <c r="AE1496" i="6"/>
  <c r="K1504" i="6"/>
  <c r="AE1508" i="6"/>
  <c r="AG1519" i="6"/>
  <c r="AJ1521" i="6"/>
  <c r="I1496" i="6"/>
  <c r="AE1498" i="6"/>
  <c r="AI1506" i="6"/>
  <c r="I1508" i="6"/>
  <c r="AI1513" i="6"/>
  <c r="K1513" i="6"/>
  <c r="J1513" i="6"/>
  <c r="AJ1513" i="6" s="1"/>
  <c r="I1513" i="6"/>
  <c r="AE1513" i="6"/>
  <c r="AJ1535" i="6"/>
  <c r="J1496" i="6"/>
  <c r="AJ1496" i="6" s="1"/>
  <c r="J1516" i="6"/>
  <c r="AJ1516" i="6" s="1"/>
  <c r="AE1516" i="6"/>
  <c r="AI1516" i="6"/>
  <c r="AJ1524" i="6"/>
  <c r="I1498" i="6"/>
  <c r="BO1519" i="6"/>
  <c r="BN1520" i="6" s="1"/>
  <c r="BO1520" i="6" s="1"/>
  <c r="BN1521" i="6" s="1"/>
  <c r="BO1521" i="6" s="1"/>
  <c r="BN1522" i="6" s="1"/>
  <c r="BO1522" i="6" s="1"/>
  <c r="BN1523" i="6" s="1"/>
  <c r="BO1523" i="6" s="1"/>
  <c r="BN1524" i="6" s="1"/>
  <c r="BO1524" i="6" s="1"/>
  <c r="BN1525" i="6" s="1"/>
  <c r="BO1525" i="6" s="1"/>
  <c r="BN1526" i="6" s="1"/>
  <c r="BO1526" i="6" s="1"/>
  <c r="BN1527" i="6" s="1"/>
  <c r="BO1527" i="6" s="1"/>
  <c r="BN1528" i="6" s="1"/>
  <c r="BO1528" i="6" s="1"/>
  <c r="BN1529" i="6" s="1"/>
  <c r="BO1529" i="6" s="1"/>
  <c r="BN1530" i="6" s="1"/>
  <c r="BO1530" i="6" s="1"/>
  <c r="BN1531" i="6" s="1"/>
  <c r="AK1519" i="6"/>
  <c r="BF1577" i="6"/>
  <c r="V1578" i="6" s="1"/>
  <c r="BO1562" i="6"/>
  <c r="BN1563" i="6" s="1"/>
  <c r="BO1563" i="6" s="1"/>
  <c r="BN1564" i="6" s="1"/>
  <c r="AJ1571" i="6"/>
  <c r="I1514" i="6"/>
  <c r="AP1523" i="6"/>
  <c r="K1524" i="6"/>
  <c r="AI1524" i="6"/>
  <c r="AE1528" i="6"/>
  <c r="K1536" i="6"/>
  <c r="AI1536" i="6"/>
  <c r="AJ1547" i="6"/>
  <c r="AE1511" i="6"/>
  <c r="J1514" i="6"/>
  <c r="AJ1514" i="6" s="1"/>
  <c r="AP1518" i="6"/>
  <c r="AE1523" i="6"/>
  <c r="I1533" i="6"/>
  <c r="AE1535" i="6"/>
  <c r="I1540" i="6"/>
  <c r="AH1555" i="6"/>
  <c r="AP1520" i="6"/>
  <c r="J1528" i="6"/>
  <c r="AJ1528" i="6" s="1"/>
  <c r="K1533" i="6"/>
  <c r="AI1533" i="6"/>
  <c r="AI1539" i="6"/>
  <c r="K1528" i="6"/>
  <c r="AJ1538" i="6"/>
  <c r="BE1555" i="6"/>
  <c r="U1555" i="6"/>
  <c r="AJ1555" i="6"/>
  <c r="AI1565" i="6"/>
  <c r="K1565" i="6"/>
  <c r="J1565" i="6"/>
  <c r="AJ1565" i="6" s="1"/>
  <c r="I1565" i="6"/>
  <c r="AE1565" i="6"/>
  <c r="J1518" i="6"/>
  <c r="AJ1518" i="6" s="1"/>
  <c r="AH1518" i="6"/>
  <c r="AP1522" i="6"/>
  <c r="K1523" i="6"/>
  <c r="AE1527" i="6"/>
  <c r="J1530" i="6"/>
  <c r="AJ1530" i="6" s="1"/>
  <c r="K1535" i="6"/>
  <c r="K1538" i="6"/>
  <c r="AI1544" i="6"/>
  <c r="AW1556" i="6"/>
  <c r="M1557" i="6" s="1"/>
  <c r="AE1510" i="6"/>
  <c r="K1518" i="6"/>
  <c r="AK1518" i="6" s="1"/>
  <c r="I1520" i="6"/>
  <c r="AG1520" i="6"/>
  <c r="AE1522" i="6"/>
  <c r="K1530" i="6"/>
  <c r="I1532" i="6"/>
  <c r="AE1534" i="6"/>
  <c r="AI1542" i="6"/>
  <c r="K1542" i="6"/>
  <c r="J1542" i="6"/>
  <c r="AJ1542" i="6" s="1"/>
  <c r="I1543" i="6"/>
  <c r="AE1543" i="6"/>
  <c r="AJ1544" i="6"/>
  <c r="J1520" i="6"/>
  <c r="AJ1520" i="6" s="1"/>
  <c r="AP1524" i="6"/>
  <c r="I1527" i="6"/>
  <c r="J1532" i="6"/>
  <c r="AJ1532" i="6" s="1"/>
  <c r="I1539" i="6"/>
  <c r="I1510" i="6"/>
  <c r="K1520" i="6"/>
  <c r="I1522" i="6"/>
  <c r="AG1522" i="6"/>
  <c r="J1527" i="6"/>
  <c r="AJ1527" i="6" s="1"/>
  <c r="K1532" i="6"/>
  <c r="I1534" i="6"/>
  <c r="J1539" i="6"/>
  <c r="AJ1539" i="6" s="1"/>
  <c r="AE1542" i="6"/>
  <c r="AI1543" i="6"/>
  <c r="AJ1549" i="6"/>
  <c r="K1527" i="6"/>
  <c r="J1534" i="6"/>
  <c r="AJ1534" i="6" s="1"/>
  <c r="K1539" i="6"/>
  <c r="I1542" i="6"/>
  <c r="J1543" i="6"/>
  <c r="AJ1543" i="6" s="1"/>
  <c r="AI1547" i="6"/>
  <c r="K1547" i="6"/>
  <c r="I1547" i="6"/>
  <c r="AJ1557" i="6"/>
  <c r="J1540" i="6"/>
  <c r="AJ1540" i="6" s="1"/>
  <c r="AV1556" i="6"/>
  <c r="L1557" i="6" s="1"/>
  <c r="AI1556" i="6"/>
  <c r="K1549" i="6"/>
  <c r="AI1549" i="6"/>
  <c r="AI1550" i="6"/>
  <c r="I1551" i="6"/>
  <c r="I1554" i="6"/>
  <c r="AH1554" i="6"/>
  <c r="J1551" i="6"/>
  <c r="AJ1551" i="6" s="1"/>
  <c r="J1554" i="6"/>
  <c r="AJ1554" i="6" s="1"/>
  <c r="AI1554" i="6"/>
  <c r="AI1559" i="6"/>
  <c r="K1559" i="6"/>
  <c r="I1559" i="6"/>
  <c r="BF1613" i="6"/>
  <c r="V1614" i="6" s="1"/>
  <c r="AH1613" i="6"/>
  <c r="K1551" i="6"/>
  <c r="K1554" i="6"/>
  <c r="AP1556" i="6"/>
  <c r="AE1559" i="6"/>
  <c r="J1560" i="6"/>
  <c r="AJ1560" i="6" s="1"/>
  <c r="I1560" i="6"/>
  <c r="AE1560" i="6"/>
  <c r="AJ1561" i="6"/>
  <c r="BH1599" i="6"/>
  <c r="X1600" i="6" s="1"/>
  <c r="BH1600" i="6" s="1"/>
  <c r="X1601" i="6" s="1"/>
  <c r="BH1601" i="6" s="1"/>
  <c r="X1602" i="6" s="1"/>
  <c r="BH1602" i="6" s="1"/>
  <c r="X1603" i="6" s="1"/>
  <c r="BH1603" i="6" s="1"/>
  <c r="X1604" i="6" s="1"/>
  <c r="BH1604" i="6" s="1"/>
  <c r="X1605" i="6" s="1"/>
  <c r="BH1605" i="6" s="1"/>
  <c r="X1606" i="6" s="1"/>
  <c r="BH1606" i="6" s="1"/>
  <c r="X1607" i="6" s="1"/>
  <c r="BH1607" i="6" s="1"/>
  <c r="X1608" i="6" s="1"/>
  <c r="BH1608" i="6" s="1"/>
  <c r="X1609" i="6" s="1"/>
  <c r="BH1609" i="6" s="1"/>
  <c r="X1610" i="6" s="1"/>
  <c r="BH1610" i="6" s="1"/>
  <c r="X1611" i="6" s="1"/>
  <c r="BH1611" i="6" s="1"/>
  <c r="X1612" i="6" s="1"/>
  <c r="BH1612" i="6" s="1"/>
  <c r="X1613" i="6" s="1"/>
  <c r="BH1613" i="6" s="1"/>
  <c r="X1614" i="6" s="1"/>
  <c r="BH1614" i="6" s="1"/>
  <c r="X1615" i="6" s="1"/>
  <c r="BH1615" i="6" s="1"/>
  <c r="X1616" i="6" s="1"/>
  <c r="BH1616" i="6" s="1"/>
  <c r="X1617" i="6" s="1"/>
  <c r="BH1617" i="6" s="1"/>
  <c r="X1618" i="6" s="1"/>
  <c r="BH1618" i="6" s="1"/>
  <c r="X1619" i="6" s="1"/>
  <c r="BH1619" i="6" s="1"/>
  <c r="X1620" i="6" s="1"/>
  <c r="BH1620" i="6" s="1"/>
  <c r="X1621" i="6" s="1"/>
  <c r="BH1621" i="6" s="1"/>
  <c r="X1622" i="6" s="1"/>
  <c r="BH1622" i="6" s="1"/>
  <c r="X1623" i="6" s="1"/>
  <c r="BH1623" i="6" s="1"/>
  <c r="X1624" i="6" s="1"/>
  <c r="BH1624" i="6" s="1"/>
  <c r="X1625" i="6" s="1"/>
  <c r="BH1625" i="6" s="1"/>
  <c r="I1555" i="6"/>
  <c r="AE1555" i="6"/>
  <c r="AP1555" i="6"/>
  <c r="J1559" i="6"/>
  <c r="AJ1559" i="6" s="1"/>
  <c r="AJ1568" i="6"/>
  <c r="AJ1556" i="6"/>
  <c r="AP1559" i="6"/>
  <c r="AJ1562" i="6"/>
  <c r="AE1563" i="6"/>
  <c r="AI1563" i="6"/>
  <c r="K1563" i="6"/>
  <c r="J1563" i="6"/>
  <c r="AJ1563" i="6" s="1"/>
  <c r="I1563" i="6"/>
  <c r="AE1549" i="6"/>
  <c r="K1555" i="6"/>
  <c r="AJ1567" i="6"/>
  <c r="AE1554" i="6"/>
  <c r="I1549" i="6"/>
  <c r="AI1553" i="6"/>
  <c r="K1553" i="6"/>
  <c r="J1553" i="6"/>
  <c r="AJ1553" i="6" s="1"/>
  <c r="I1553" i="6"/>
  <c r="BD1554" i="6"/>
  <c r="T1555" i="6" s="1"/>
  <c r="BD1555" i="6" s="1"/>
  <c r="T1556" i="6" s="1"/>
  <c r="BD1556" i="6" s="1"/>
  <c r="T1557" i="6" s="1"/>
  <c r="BD1557" i="6" s="1"/>
  <c r="T1558" i="6" s="1"/>
  <c r="BD1558" i="6" s="1"/>
  <c r="T1559" i="6" s="1"/>
  <c r="I1544" i="6"/>
  <c r="AP1558" i="6"/>
  <c r="I1561" i="6"/>
  <c r="AE1561" i="6"/>
  <c r="AI1561" i="6"/>
  <c r="K1561" i="6"/>
  <c r="I1578" i="6"/>
  <c r="AJ1580" i="6"/>
  <c r="I1558" i="6"/>
  <c r="AI1568" i="6"/>
  <c r="I1570" i="6"/>
  <c r="AI1571" i="6"/>
  <c r="K1571" i="6"/>
  <c r="AI1589" i="6"/>
  <c r="K1589" i="6"/>
  <c r="J1589" i="6"/>
  <c r="AJ1589" i="6" s="1"/>
  <c r="I1589" i="6"/>
  <c r="AE1589" i="6"/>
  <c r="J1558" i="6"/>
  <c r="AJ1558" i="6" s="1"/>
  <c r="AE1567" i="6"/>
  <c r="J1570" i="6"/>
  <c r="AJ1570" i="6" s="1"/>
  <c r="I1598" i="6"/>
  <c r="AI1598" i="6"/>
  <c r="K1598" i="6"/>
  <c r="J1598" i="6"/>
  <c r="AJ1598" i="6" s="1"/>
  <c r="AE1598" i="6"/>
  <c r="K1558" i="6"/>
  <c r="AI1558" i="6"/>
  <c r="K1570" i="6"/>
  <c r="AI1570" i="6"/>
  <c r="AJ1585" i="6"/>
  <c r="AE1557" i="6"/>
  <c r="I1567" i="6"/>
  <c r="AE1569" i="6"/>
  <c r="I1571" i="6"/>
  <c r="J1576" i="6"/>
  <c r="AJ1576" i="6" s="1"/>
  <c r="J1581" i="6"/>
  <c r="AJ1581" i="6" s="1"/>
  <c r="AE1581" i="6"/>
  <c r="K1581" i="6"/>
  <c r="I1581" i="6"/>
  <c r="AI1573" i="6"/>
  <c r="K1573" i="6"/>
  <c r="J1573" i="6"/>
  <c r="AJ1573" i="6" s="1"/>
  <c r="I1573" i="6"/>
  <c r="BE1591" i="6"/>
  <c r="U1591" i="6"/>
  <c r="BG1600" i="6"/>
  <c r="W1601" i="6" s="1"/>
  <c r="BG1601" i="6" s="1"/>
  <c r="W1602" i="6" s="1"/>
  <c r="AH1600" i="6"/>
  <c r="AE1566" i="6"/>
  <c r="K1557" i="6"/>
  <c r="K1569" i="6"/>
  <c r="AI1576" i="6"/>
  <c r="BO1597" i="6"/>
  <c r="BN1598" i="6" s="1"/>
  <c r="BO1598" i="6" s="1"/>
  <c r="BN1599" i="6" s="1"/>
  <c r="I1575" i="6"/>
  <c r="AE1575" i="6"/>
  <c r="K1575" i="6"/>
  <c r="J1575" i="6"/>
  <c r="AJ1575" i="6" s="1"/>
  <c r="AI1578" i="6"/>
  <c r="K1578" i="6"/>
  <c r="J1578" i="6"/>
  <c r="AJ1578" i="6" s="1"/>
  <c r="AE1578" i="6"/>
  <c r="AE1609" i="6"/>
  <c r="AY1609" i="6"/>
  <c r="O1610" i="6" s="1"/>
  <c r="AY1610" i="6" s="1"/>
  <c r="O1611" i="6" s="1"/>
  <c r="AY1611" i="6" s="1"/>
  <c r="O1612" i="6" s="1"/>
  <c r="AY1612" i="6" s="1"/>
  <c r="O1613" i="6" s="1"/>
  <c r="AY1613" i="6" s="1"/>
  <c r="O1614" i="6" s="1"/>
  <c r="AY1614" i="6" s="1"/>
  <c r="O1615" i="6" s="1"/>
  <c r="AY1615" i="6" s="1"/>
  <c r="O1616" i="6" s="1"/>
  <c r="AY1616" i="6" s="1"/>
  <c r="O1617" i="6" s="1"/>
  <c r="AY1617" i="6" s="1"/>
  <c r="O1618" i="6" s="1"/>
  <c r="AY1618" i="6" s="1"/>
  <c r="O1619" i="6" s="1"/>
  <c r="AY1619" i="6" s="1"/>
  <c r="O1620" i="6" s="1"/>
  <c r="AY1620" i="6" s="1"/>
  <c r="O1621" i="6" s="1"/>
  <c r="AY1621" i="6" s="1"/>
  <c r="O1622" i="6" s="1"/>
  <c r="AY1622" i="6" s="1"/>
  <c r="O1623" i="6" s="1"/>
  <c r="AY1623" i="6" s="1"/>
  <c r="O1624" i="6" s="1"/>
  <c r="AY1624" i="6" s="1"/>
  <c r="O1625" i="6" s="1"/>
  <c r="AY1625" i="6" s="1"/>
  <c r="J1566" i="6"/>
  <c r="AJ1566" i="6" s="1"/>
  <c r="AJ1579" i="6"/>
  <c r="AI1581" i="6"/>
  <c r="K1580" i="6"/>
  <c r="AI1580" i="6"/>
  <c r="K1582" i="6"/>
  <c r="J1583" i="6"/>
  <c r="AJ1583" i="6" s="1"/>
  <c r="I1577" i="6"/>
  <c r="K1583" i="6"/>
  <c r="J1587" i="6"/>
  <c r="AJ1587" i="6" s="1"/>
  <c r="AI1591" i="6"/>
  <c r="K1591" i="6"/>
  <c r="AH1591" i="6"/>
  <c r="J1591" i="6"/>
  <c r="AJ1591" i="6" s="1"/>
  <c r="I1591" i="6"/>
  <c r="AE1591" i="6"/>
  <c r="AI1583" i="6"/>
  <c r="BA1597" i="6"/>
  <c r="Q1598" i="6" s="1"/>
  <c r="BA1598" i="6" s="1"/>
  <c r="Q1599" i="6" s="1"/>
  <c r="AV1593" i="6"/>
  <c r="L1594" i="6" s="1"/>
  <c r="AV1594" i="6" s="1"/>
  <c r="L1595" i="6" s="1"/>
  <c r="AV1595" i="6" s="1"/>
  <c r="L1596" i="6" s="1"/>
  <c r="AV1596" i="6" s="1"/>
  <c r="AH1601" i="6"/>
  <c r="J1601" i="6"/>
  <c r="AJ1601" i="6" s="1"/>
  <c r="AE1601" i="6"/>
  <c r="K1601" i="6"/>
  <c r="I1601" i="6"/>
  <c r="AI1601" i="6"/>
  <c r="AJ1582" i="6"/>
  <c r="I1595" i="6"/>
  <c r="AE1595" i="6"/>
  <c r="AI1595" i="6"/>
  <c r="AH1595" i="6"/>
  <c r="K1595" i="6"/>
  <c r="J1595" i="6"/>
  <c r="AJ1595" i="6" s="1"/>
  <c r="I1580" i="6"/>
  <c r="AI1587" i="6"/>
  <c r="K1587" i="6"/>
  <c r="I1587" i="6"/>
  <c r="AJ1599" i="6"/>
  <c r="I1582" i="6"/>
  <c r="AJ1590" i="6"/>
  <c r="AH1590" i="6"/>
  <c r="AP1594" i="6"/>
  <c r="AJ1609" i="6"/>
  <c r="AI1592" i="6"/>
  <c r="AP1592" i="6"/>
  <c r="AI1593" i="6"/>
  <c r="K1593" i="6"/>
  <c r="AJ1600" i="6"/>
  <c r="AI1620" i="6"/>
  <c r="AI1596" i="6"/>
  <c r="K1596" i="6"/>
  <c r="AE1596" i="6"/>
  <c r="K1585" i="6"/>
  <c r="AI1585" i="6"/>
  <c r="J1592" i="6"/>
  <c r="AJ1592" i="6" s="1"/>
  <c r="AH1592" i="6"/>
  <c r="J1593" i="6"/>
  <c r="AJ1593" i="6" s="1"/>
  <c r="I1594" i="6"/>
  <c r="AE1594" i="6"/>
  <c r="J1596" i="6"/>
  <c r="AJ1596" i="6" s="1"/>
  <c r="AE1593" i="6"/>
  <c r="AJ1604" i="6"/>
  <c r="AJ1610" i="6"/>
  <c r="K1594" i="6"/>
  <c r="AH1596" i="6"/>
  <c r="AJ1605" i="6"/>
  <c r="AP1590" i="6"/>
  <c r="AJ1607" i="6"/>
  <c r="BH1632" i="6"/>
  <c r="X1633" i="6" s="1"/>
  <c r="BH1633" i="6" s="1"/>
  <c r="X1634" i="6" s="1"/>
  <c r="BH1634" i="6" s="1"/>
  <c r="X1635" i="6" s="1"/>
  <c r="BH1635" i="6" s="1"/>
  <c r="X1636" i="6" s="1"/>
  <c r="BH1636" i="6" s="1"/>
  <c r="X1637" i="6" s="1"/>
  <c r="BH1637" i="6" s="1"/>
  <c r="X1638" i="6" s="1"/>
  <c r="BH1638" i="6" s="1"/>
  <c r="X1639" i="6" s="1"/>
  <c r="BH1639" i="6" s="1"/>
  <c r="X1640" i="6" s="1"/>
  <c r="BH1640" i="6" s="1"/>
  <c r="X1641" i="6" s="1"/>
  <c r="BH1641" i="6" s="1"/>
  <c r="X1642" i="6" s="1"/>
  <c r="BH1642" i="6" s="1"/>
  <c r="X1643" i="6" s="1"/>
  <c r="BH1643" i="6" s="1"/>
  <c r="X1644" i="6" s="1"/>
  <c r="BH1644" i="6" s="1"/>
  <c r="X1645" i="6" s="1"/>
  <c r="BH1645" i="6" s="1"/>
  <c r="X1646" i="6" s="1"/>
  <c r="BH1646" i="6" s="1"/>
  <c r="X1647" i="6" s="1"/>
  <c r="BH1647" i="6" s="1"/>
  <c r="X1648" i="6" s="1"/>
  <c r="BH1648" i="6" s="1"/>
  <c r="X1649" i="6" s="1"/>
  <c r="BH1649" i="6" s="1"/>
  <c r="X1650" i="6" s="1"/>
  <c r="BH1650" i="6" s="1"/>
  <c r="X1651" i="6" s="1"/>
  <c r="BH1651" i="6" s="1"/>
  <c r="X1652" i="6" s="1"/>
  <c r="BH1652" i="6" s="1"/>
  <c r="X1653" i="6" s="1"/>
  <c r="BH1653" i="6" s="1"/>
  <c r="X1654" i="6" s="1"/>
  <c r="BH1654" i="6" s="1"/>
  <c r="X1655" i="6" s="1"/>
  <c r="BH1655" i="6" s="1"/>
  <c r="X1656" i="6" s="1"/>
  <c r="BH1656" i="6" s="1"/>
  <c r="X1657" i="6" s="1"/>
  <c r="BH1657" i="6" s="1"/>
  <c r="X1658" i="6" s="1"/>
  <c r="BH1658" i="6" s="1"/>
  <c r="X1659" i="6" s="1"/>
  <c r="BH1659" i="6" s="1"/>
  <c r="X1660" i="6" s="1"/>
  <c r="BH1660" i="6" s="1"/>
  <c r="X1661" i="6" s="1"/>
  <c r="BH1661" i="6" s="1"/>
  <c r="K1586" i="6"/>
  <c r="I1588" i="6"/>
  <c r="AH1594" i="6"/>
  <c r="AI1609" i="6"/>
  <c r="I1610" i="6"/>
  <c r="I1612" i="6"/>
  <c r="AI1603" i="6"/>
  <c r="K1603" i="6"/>
  <c r="AE1608" i="6"/>
  <c r="AE1597" i="6"/>
  <c r="AH1599" i="6"/>
  <c r="K1608" i="6"/>
  <c r="AE1615" i="6"/>
  <c r="AI1615" i="6"/>
  <c r="K1615" i="6"/>
  <c r="I1615" i="6"/>
  <c r="J1597" i="6"/>
  <c r="AJ1597" i="6" s="1"/>
  <c r="AH1597" i="6"/>
  <c r="I1600" i="6"/>
  <c r="AI1600" i="6"/>
  <c r="J1603" i="6"/>
  <c r="AJ1603" i="6" s="1"/>
  <c r="J1615" i="6"/>
  <c r="AJ1615" i="6" s="1"/>
  <c r="AJ1654" i="6"/>
  <c r="AI1613" i="6"/>
  <c r="AE1610" i="6"/>
  <c r="K1610" i="6"/>
  <c r="AI1612" i="6"/>
  <c r="K1612" i="6"/>
  <c r="J1612" i="6"/>
  <c r="AJ1612" i="6" s="1"/>
  <c r="BA1631" i="6"/>
  <c r="Q1632" i="6" s="1"/>
  <c r="AI1610" i="6"/>
  <c r="I1608" i="6"/>
  <c r="J1608" i="6"/>
  <c r="AJ1608" i="6" s="1"/>
  <c r="I1609" i="6"/>
  <c r="K1609" i="6"/>
  <c r="AJ1611" i="6"/>
  <c r="AJ1616" i="6"/>
  <c r="AI1617" i="6"/>
  <c r="AI1619" i="6"/>
  <c r="K1619" i="6"/>
  <c r="J1619" i="6"/>
  <c r="AJ1619" i="6" s="1"/>
  <c r="I1619" i="6"/>
  <c r="AI1607" i="6"/>
  <c r="K1607" i="6"/>
  <c r="BD1629" i="6"/>
  <c r="T1630" i="6" s="1"/>
  <c r="BD1630" i="6" s="1"/>
  <c r="T1631" i="6" s="1"/>
  <c r="AJ1617" i="6"/>
  <c r="BF1649" i="6"/>
  <c r="V1650" i="6" s="1"/>
  <c r="AH1649" i="6"/>
  <c r="I1602" i="6"/>
  <c r="AJ1624" i="6"/>
  <c r="AI1614" i="6"/>
  <c r="K1614" i="6"/>
  <c r="J1614" i="6"/>
  <c r="AJ1614" i="6" s="1"/>
  <c r="I1614" i="6"/>
  <c r="BG1630" i="6"/>
  <c r="W1631" i="6" s="1"/>
  <c r="AH1630" i="6"/>
  <c r="I1620" i="6"/>
  <c r="AE1620" i="6"/>
  <c r="J1620" i="6"/>
  <c r="AJ1620" i="6" s="1"/>
  <c r="BO1628" i="6"/>
  <c r="BN1629" i="6" s="1"/>
  <c r="BO1629" i="6" s="1"/>
  <c r="BN1630" i="6" s="1"/>
  <c r="BO1630" i="6" s="1"/>
  <c r="BN1631" i="6" s="1"/>
  <c r="AE1624" i="6"/>
  <c r="K1624" i="6"/>
  <c r="I1624" i="6"/>
  <c r="AI1624" i="6"/>
  <c r="AP1629" i="6"/>
  <c r="K1629" i="6"/>
  <c r="J1629" i="6"/>
  <c r="AJ1629" i="6" s="1"/>
  <c r="I1629" i="6"/>
  <c r="AI1629" i="6"/>
  <c r="AI1622" i="6"/>
  <c r="AE1622" i="6"/>
  <c r="K1638" i="6"/>
  <c r="AE1638" i="6"/>
  <c r="J1638" i="6"/>
  <c r="AJ1638" i="6" s="1"/>
  <c r="AE1630" i="6"/>
  <c r="AP1630" i="6"/>
  <c r="K1630" i="6"/>
  <c r="I1630" i="6"/>
  <c r="AE1616" i="6"/>
  <c r="AJ1632" i="6"/>
  <c r="I1622" i="6"/>
  <c r="AI1623" i="6"/>
  <c r="J1623" i="6"/>
  <c r="AJ1623" i="6" s="1"/>
  <c r="AH1628" i="6"/>
  <c r="I1638" i="6"/>
  <c r="J1645" i="6"/>
  <c r="AJ1645" i="6" s="1"/>
  <c r="I1645" i="6"/>
  <c r="AI1645" i="6"/>
  <c r="K1645" i="6"/>
  <c r="I1616" i="6"/>
  <c r="J1622" i="6"/>
  <c r="AJ1622" i="6" s="1"/>
  <c r="AJ1628" i="6"/>
  <c r="J1630" i="6"/>
  <c r="AJ1630" i="6" s="1"/>
  <c r="AV1627" i="6"/>
  <c r="L1628" i="6" s="1"/>
  <c r="AV1628" i="6" s="1"/>
  <c r="L1629" i="6" s="1"/>
  <c r="AJ1637" i="6"/>
  <c r="AE1629" i="6"/>
  <c r="K1606" i="6"/>
  <c r="K1618" i="6"/>
  <c r="K1621" i="6"/>
  <c r="AE1623" i="6"/>
  <c r="AJ1656" i="6"/>
  <c r="AJ1625" i="6"/>
  <c r="AP1627" i="6"/>
  <c r="BE1628" i="6"/>
  <c r="U1628" i="6"/>
  <c r="AI1651" i="6"/>
  <c r="K1651" i="6"/>
  <c r="AE1651" i="6"/>
  <c r="J1651" i="6"/>
  <c r="AJ1651" i="6" s="1"/>
  <c r="AI1634" i="6"/>
  <c r="K1634" i="6"/>
  <c r="I1634" i="6"/>
  <c r="J1636" i="6"/>
  <c r="AJ1636" i="6" s="1"/>
  <c r="I1636" i="6"/>
  <c r="AE1636" i="6"/>
  <c r="AJ1641" i="6"/>
  <c r="I1628" i="6"/>
  <c r="AI1628" i="6"/>
  <c r="AP1631" i="6"/>
  <c r="AI1637" i="6"/>
  <c r="AI1626" i="6"/>
  <c r="K1626" i="6"/>
  <c r="AE1626" i="6"/>
  <c r="I1635" i="6"/>
  <c r="AJ1647" i="6"/>
  <c r="I1651" i="6"/>
  <c r="AH1627" i="6"/>
  <c r="J1627" i="6"/>
  <c r="AJ1627" i="6" s="1"/>
  <c r="AI1627" i="6"/>
  <c r="J1634" i="6"/>
  <c r="AJ1634" i="6" s="1"/>
  <c r="J1635" i="6"/>
  <c r="AJ1635" i="6" s="1"/>
  <c r="K1636" i="6"/>
  <c r="AE1639" i="6"/>
  <c r="K1639" i="6"/>
  <c r="J1639" i="6"/>
  <c r="AJ1639" i="6" s="1"/>
  <c r="I1626" i="6"/>
  <c r="AH1626" i="6"/>
  <c r="AJ1631" i="6"/>
  <c r="AE1634" i="6"/>
  <c r="AE1635" i="6"/>
  <c r="AI1639" i="6"/>
  <c r="AI1625" i="6"/>
  <c r="J1626" i="6"/>
  <c r="AJ1626" i="6" s="1"/>
  <c r="I1627" i="6"/>
  <c r="AI1632" i="6"/>
  <c r="K1632" i="6"/>
  <c r="I1639" i="6"/>
  <c r="AI1644" i="6"/>
  <c r="J1644" i="6"/>
  <c r="AJ1644" i="6" s="1"/>
  <c r="AE1657" i="6"/>
  <c r="AI1657" i="6"/>
  <c r="I1640" i="6"/>
  <c r="AI1640" i="6"/>
  <c r="AE1643" i="6"/>
  <c r="J1640" i="6"/>
  <c r="AJ1640" i="6" s="1"/>
  <c r="AI1649" i="6"/>
  <c r="K1640" i="6"/>
  <c r="I1641" i="6"/>
  <c r="AI1641" i="6"/>
  <c r="J1642" i="6"/>
  <c r="AJ1642" i="6" s="1"/>
  <c r="I1644" i="6"/>
  <c r="I1657" i="6"/>
  <c r="K1644" i="6"/>
  <c r="AI1654" i="6"/>
  <c r="K1654" i="6"/>
  <c r="J1657" i="6"/>
  <c r="AJ1657" i="6" s="1"/>
  <c r="AI1643" i="6"/>
  <c r="J1646" i="6"/>
  <c r="AJ1646" i="6" s="1"/>
  <c r="AJ1653" i="6"/>
  <c r="I1656" i="6"/>
  <c r="AI1656" i="6"/>
  <c r="AE1656" i="6"/>
  <c r="K1657" i="6"/>
  <c r="J1655" i="6"/>
  <c r="AJ1655" i="6" s="1"/>
  <c r="I1655" i="6"/>
  <c r="AE1655" i="6"/>
  <c r="AI1655" i="6"/>
  <c r="J1633" i="6"/>
  <c r="AJ1633" i="6" s="1"/>
  <c r="K1642" i="6"/>
  <c r="I1647" i="6"/>
  <c r="K1649" i="6"/>
  <c r="I1654" i="6"/>
  <c r="J1658" i="6"/>
  <c r="AJ1658" i="6" s="1"/>
  <c r="AE1658" i="6"/>
  <c r="AI1658" i="6"/>
  <c r="J1648" i="6"/>
  <c r="AJ1648" i="6" s="1"/>
  <c r="AI1648" i="6"/>
  <c r="AJ1659" i="6"/>
  <c r="AI1660" i="6"/>
  <c r="AI1659" i="6"/>
  <c r="AI1661" i="6"/>
  <c r="K1661" i="6"/>
  <c r="J1661" i="6"/>
  <c r="AJ1661" i="6" s="1"/>
  <c r="AE1661" i="6"/>
  <c r="AE1648" i="6"/>
  <c r="I1661" i="6"/>
  <c r="I1653" i="6"/>
  <c r="K1653" i="6"/>
  <c r="J1660" i="6"/>
  <c r="AJ1660" i="6" s="1"/>
  <c r="K1660" i="6"/>
  <c r="AK1374" i="6" l="1"/>
  <c r="AK1376" i="6"/>
  <c r="AK874" i="6"/>
  <c r="AK875" i="6"/>
  <c r="AF693" i="6"/>
  <c r="AF862" i="6"/>
  <c r="AF786" i="6"/>
  <c r="AF861" i="6"/>
  <c r="AF793" i="6"/>
  <c r="AF866" i="6"/>
  <c r="AF794" i="6"/>
  <c r="AH549" i="6"/>
  <c r="AF1078" i="6"/>
  <c r="AW1413" i="6"/>
  <c r="M1414" i="6" s="1"/>
  <c r="AW1414" i="6" s="1"/>
  <c r="M1415" i="6" s="1"/>
  <c r="AW1415" i="6" s="1"/>
  <c r="M1416" i="6" s="1"/>
  <c r="AW1416" i="6" s="1"/>
  <c r="AF1073" i="6"/>
  <c r="AF865" i="6"/>
  <c r="AF493" i="6"/>
  <c r="AF858" i="6"/>
  <c r="AF641" i="6"/>
  <c r="AF790" i="6"/>
  <c r="AF785" i="6"/>
  <c r="AF1298" i="6"/>
  <c r="AF1658" i="6"/>
  <c r="AF938" i="6"/>
  <c r="AF1649" i="6"/>
  <c r="AF933" i="6"/>
  <c r="AF1653" i="6"/>
  <c r="AF1294" i="6"/>
  <c r="AK1033" i="6"/>
  <c r="AF1476" i="6"/>
  <c r="AF1290" i="6"/>
  <c r="AW1629" i="6"/>
  <c r="M1630" i="6" s="1"/>
  <c r="AW1630" i="6" s="1"/>
  <c r="M1631" i="6" s="1"/>
  <c r="AW1631" i="6" s="1"/>
  <c r="M1632" i="6" s="1"/>
  <c r="AW1632" i="6" s="1"/>
  <c r="AF1289" i="6"/>
  <c r="AF1076" i="6"/>
  <c r="AK988" i="6"/>
  <c r="AK989" i="6"/>
  <c r="AK985" i="6"/>
  <c r="AK984" i="6"/>
  <c r="AK986" i="6"/>
  <c r="AK978" i="6"/>
  <c r="AK979" i="6"/>
  <c r="AG586" i="6"/>
  <c r="CC30" i="5"/>
  <c r="CB30" i="5" s="1"/>
  <c r="AG552" i="6"/>
  <c r="AG582" i="6"/>
  <c r="AD349" i="6"/>
  <c r="AD360" i="6"/>
  <c r="AG330" i="6"/>
  <c r="AG332" i="6"/>
  <c r="AG547" i="6"/>
  <c r="AG982" i="6"/>
  <c r="CB45" i="5"/>
  <c r="AD1538" i="6" s="1"/>
  <c r="AH497" i="6"/>
  <c r="AJ57" i="6"/>
  <c r="AH42" i="6"/>
  <c r="AH65" i="6"/>
  <c r="AF45" i="6"/>
  <c r="AF434" i="6"/>
  <c r="AF1222" i="6"/>
  <c r="AF761" i="6"/>
  <c r="AF1226" i="6"/>
  <c r="AF353" i="6"/>
  <c r="AK1321" i="6"/>
  <c r="AF1221" i="6"/>
  <c r="AF354" i="6"/>
  <c r="AF925" i="6"/>
  <c r="AF801" i="6"/>
  <c r="AW1341" i="6"/>
  <c r="M1342" i="6" s="1"/>
  <c r="AW1342" i="6" s="1"/>
  <c r="M1343" i="6" s="1"/>
  <c r="AW1343" i="6" s="1"/>
  <c r="M1344" i="6" s="1"/>
  <c r="AW1344" i="6" s="1"/>
  <c r="M1345" i="6" s="1"/>
  <c r="AW1345" i="6" s="1"/>
  <c r="M1346" i="6" s="1"/>
  <c r="AF1150" i="6"/>
  <c r="AF357" i="6"/>
  <c r="AF401" i="6"/>
  <c r="AF1145" i="6"/>
  <c r="AF601" i="6"/>
  <c r="AF425" i="6"/>
  <c r="AF396" i="6"/>
  <c r="AF429" i="6"/>
  <c r="AF426" i="6"/>
  <c r="AF389" i="6"/>
  <c r="AF1046" i="6"/>
  <c r="AW1377" i="6"/>
  <c r="M1378" i="6" s="1"/>
  <c r="AW1378" i="6" s="1"/>
  <c r="M1379" i="6" s="1"/>
  <c r="AW1379" i="6" s="1"/>
  <c r="M1380" i="6" s="1"/>
  <c r="AW1380" i="6" s="1"/>
  <c r="M1381" i="6" s="1"/>
  <c r="AF433" i="6"/>
  <c r="AF397" i="6"/>
  <c r="AW1233" i="6"/>
  <c r="M1234" i="6" s="1"/>
  <c r="AW1234" i="6" s="1"/>
  <c r="M1235" i="6" s="1"/>
  <c r="AW1235" i="6" s="1"/>
  <c r="M1236" i="6" s="1"/>
  <c r="AW1236" i="6" s="1"/>
  <c r="AF1409" i="6"/>
  <c r="AW945" i="6"/>
  <c r="M946" i="6" s="1"/>
  <c r="AW946" i="6" s="1"/>
  <c r="M947" i="6" s="1"/>
  <c r="AW947" i="6" s="1"/>
  <c r="M948" i="6" s="1"/>
  <c r="AW948" i="6" s="1"/>
  <c r="AF1441" i="6"/>
  <c r="AF1357" i="6"/>
  <c r="AH405" i="6"/>
  <c r="AF1438" i="6"/>
  <c r="AF1436" i="6"/>
  <c r="AF1437" i="6"/>
  <c r="AF405" i="6"/>
  <c r="AF1501" i="6"/>
  <c r="AW1197" i="6"/>
  <c r="M1198" i="6" s="1"/>
  <c r="AW1198" i="6" s="1"/>
  <c r="M1199" i="6" s="1"/>
  <c r="AW1199" i="6" s="1"/>
  <c r="M1200" i="6" s="1"/>
  <c r="AW1200" i="6" s="1"/>
  <c r="AF617" i="6"/>
  <c r="AW45" i="6"/>
  <c r="M46" i="6" s="1"/>
  <c r="AW46" i="6" s="1"/>
  <c r="M47" i="6" s="1"/>
  <c r="AW47" i="6" s="1"/>
  <c r="M48" i="6" s="1"/>
  <c r="AW48" i="6" s="1"/>
  <c r="AF1013" i="6"/>
  <c r="AG765" i="6"/>
  <c r="AF1429" i="6"/>
  <c r="AF930" i="6"/>
  <c r="AF1077" i="6"/>
  <c r="AF1001" i="6"/>
  <c r="AH693" i="6"/>
  <c r="AF937" i="6"/>
  <c r="AF1645" i="6"/>
  <c r="AF716" i="6"/>
  <c r="AF1049" i="6"/>
  <c r="AF1265" i="6"/>
  <c r="AF1573" i="6"/>
  <c r="AF1141" i="6"/>
  <c r="AF1465" i="6"/>
  <c r="AF421" i="6"/>
  <c r="AF1081" i="6"/>
  <c r="AF1044" i="6"/>
  <c r="AF1377" i="6"/>
  <c r="AF934" i="6"/>
  <c r="AF1082" i="6"/>
  <c r="AF745" i="6"/>
  <c r="AF941" i="6"/>
  <c r="AW621" i="6"/>
  <c r="M622" i="6" s="1"/>
  <c r="AW622" i="6" s="1"/>
  <c r="M623" i="6" s="1"/>
  <c r="AW623" i="6" s="1"/>
  <c r="M624" i="6" s="1"/>
  <c r="AW624" i="6" s="1"/>
  <c r="AF909" i="6"/>
  <c r="AF1149" i="6"/>
  <c r="AF506" i="6"/>
  <c r="AF649" i="6"/>
  <c r="AF1009" i="6"/>
  <c r="AF936" i="6"/>
  <c r="AF497" i="6"/>
  <c r="AH1485" i="6"/>
  <c r="AF642" i="6"/>
  <c r="AF1017" i="6"/>
  <c r="AW333" i="6"/>
  <c r="M334" i="6" s="1"/>
  <c r="AW334" i="6" s="1"/>
  <c r="M335" i="6" s="1"/>
  <c r="AW335" i="6" s="1"/>
  <c r="M336" i="6" s="1"/>
  <c r="AW336" i="6" s="1"/>
  <c r="AH1593" i="6"/>
  <c r="AF9" i="6"/>
  <c r="AF1002" i="6"/>
  <c r="AF1269" i="6"/>
  <c r="AW1269" i="6"/>
  <c r="M1270" i="6" s="1"/>
  <c r="AW1270" i="6" s="1"/>
  <c r="M1271" i="6" s="1"/>
  <c r="AW1271" i="6" s="1"/>
  <c r="M1272" i="6" s="1"/>
  <c r="AW1272" i="6" s="1"/>
  <c r="M1273" i="6" s="1"/>
  <c r="AF718" i="6"/>
  <c r="AF829" i="6"/>
  <c r="AF817" i="6"/>
  <c r="AF504" i="6"/>
  <c r="AF645" i="6"/>
  <c r="AK637" i="6"/>
  <c r="AF721" i="6"/>
  <c r="AF1625" i="6"/>
  <c r="AF608" i="6"/>
  <c r="AF825" i="6"/>
  <c r="AH1125" i="6"/>
  <c r="AF709" i="6"/>
  <c r="AW765" i="6"/>
  <c r="M766" i="6" s="1"/>
  <c r="AW766" i="6" s="1"/>
  <c r="M767" i="6" s="1"/>
  <c r="AW767" i="6" s="1"/>
  <c r="M768" i="6" s="1"/>
  <c r="AW768" i="6" s="1"/>
  <c r="AF722" i="6"/>
  <c r="AF822" i="6"/>
  <c r="AF441" i="6"/>
  <c r="AF713" i="6"/>
  <c r="AF826" i="6"/>
  <c r="AF637" i="6"/>
  <c r="AF961" i="6"/>
  <c r="AF1193" i="6"/>
  <c r="AF1153" i="6"/>
  <c r="AF717" i="6"/>
  <c r="AF501" i="6"/>
  <c r="AF646" i="6"/>
  <c r="AF1042" i="6"/>
  <c r="AF821" i="6"/>
  <c r="AF977" i="6"/>
  <c r="AF853" i="6"/>
  <c r="AF1485" i="6"/>
  <c r="AF369" i="6"/>
  <c r="AF1037" i="6"/>
  <c r="AF833" i="6"/>
  <c r="AF68" i="6"/>
  <c r="AJ73" i="6"/>
  <c r="AJ45" i="6"/>
  <c r="AJ52" i="6"/>
  <c r="CB4" i="5"/>
  <c r="AD58" i="6" s="1"/>
  <c r="AJ69" i="6"/>
  <c r="AF77" i="6"/>
  <c r="AF73" i="6"/>
  <c r="AG798" i="6"/>
  <c r="AK1285" i="6"/>
  <c r="AK1271" i="6"/>
  <c r="AK1282" i="6"/>
  <c r="AG1088" i="6"/>
  <c r="AK1278" i="6"/>
  <c r="AK1275" i="6"/>
  <c r="AK1287" i="6"/>
  <c r="AG1086" i="6"/>
  <c r="AK1276" i="6"/>
  <c r="AK1269" i="6"/>
  <c r="AK1270" i="6"/>
  <c r="AG1090" i="6"/>
  <c r="AG800" i="6"/>
  <c r="AG909" i="6"/>
  <c r="AG799" i="6"/>
  <c r="AK1283" i="6"/>
  <c r="AK1273" i="6"/>
  <c r="AK1281" i="6"/>
  <c r="AG1089" i="6"/>
  <c r="AK1280" i="6"/>
  <c r="AK1272" i="6"/>
  <c r="AG548" i="6"/>
  <c r="AG9" i="6"/>
  <c r="AK1284" i="6"/>
  <c r="AK1266" i="6"/>
  <c r="AK1267" i="6"/>
  <c r="AK1274" i="6"/>
  <c r="AH1361" i="6"/>
  <c r="AH1433" i="6"/>
  <c r="AF66" i="6"/>
  <c r="AF70" i="6"/>
  <c r="AF65" i="6"/>
  <c r="AF74" i="6"/>
  <c r="AF1521" i="6"/>
  <c r="AF1038" i="6"/>
  <c r="AF1654" i="6"/>
  <c r="AF1041" i="6"/>
  <c r="AF606" i="6"/>
  <c r="AF41" i="6"/>
  <c r="AW909" i="6"/>
  <c r="M910" i="6" s="1"/>
  <c r="AW910" i="6" s="1"/>
  <c r="M911" i="6" s="1"/>
  <c r="AW911" i="6" s="1"/>
  <c r="M912" i="6" s="1"/>
  <c r="AW912" i="6" s="1"/>
  <c r="AF1650" i="6"/>
  <c r="AF610" i="6"/>
  <c r="AF613" i="6"/>
  <c r="AH1089" i="6"/>
  <c r="AF605" i="6"/>
  <c r="AW9" i="6"/>
  <c r="M10" i="6" s="1"/>
  <c r="AW10" i="6" s="1"/>
  <c r="M11" i="6" s="1"/>
  <c r="AW11" i="6" s="1"/>
  <c r="M12" i="6" s="1"/>
  <c r="AW12" i="6" s="1"/>
  <c r="M13" i="6" s="1"/>
  <c r="AW13" i="6" s="1"/>
  <c r="M14" i="6" s="1"/>
  <c r="AF657" i="6"/>
  <c r="AF1229" i="6"/>
  <c r="AF614" i="6"/>
  <c r="AF1652" i="6"/>
  <c r="AF1157" i="6"/>
  <c r="AF509" i="6"/>
  <c r="AF1148" i="6"/>
  <c r="AW1125" i="6"/>
  <c r="M1126" i="6" s="1"/>
  <c r="AW1126" i="6" s="1"/>
  <c r="M1127" i="6" s="1"/>
  <c r="AW1127" i="6" s="1"/>
  <c r="M1128" i="6" s="1"/>
  <c r="AW1128" i="6" s="1"/>
  <c r="AF1337" i="6"/>
  <c r="AF1285" i="6"/>
  <c r="AF394" i="6"/>
  <c r="AF333" i="6"/>
  <c r="AF1233" i="6"/>
  <c r="AF1341" i="6"/>
  <c r="AF1593" i="6"/>
  <c r="AF1434" i="6"/>
  <c r="AF398" i="6"/>
  <c r="AG945" i="6"/>
  <c r="AF981" i="6"/>
  <c r="AF393" i="6"/>
  <c r="AF1517" i="6"/>
  <c r="AF545" i="6"/>
  <c r="AF585" i="6"/>
  <c r="AV585" i="6"/>
  <c r="L586" i="6" s="1"/>
  <c r="AV586" i="6" s="1"/>
  <c r="L587" i="6" s="1"/>
  <c r="AV587" i="6" s="1"/>
  <c r="L588" i="6" s="1"/>
  <c r="AV588" i="6" s="1"/>
  <c r="AH585" i="6"/>
  <c r="M121" i="6"/>
  <c r="AW121" i="6" s="1"/>
  <c r="M122" i="6" s="1"/>
  <c r="AD1119" i="6"/>
  <c r="AD1104" i="6"/>
  <c r="AD1100" i="6"/>
  <c r="AD1115" i="6"/>
  <c r="AD1098" i="6"/>
  <c r="AD1103" i="6"/>
  <c r="AD1096" i="6"/>
  <c r="AD1111" i="6"/>
  <c r="AD1091" i="6"/>
  <c r="AD1116" i="6"/>
  <c r="AD1108" i="6"/>
  <c r="AD1087" i="6"/>
  <c r="AD1099" i="6"/>
  <c r="AD1113" i="6"/>
  <c r="AD1112" i="6"/>
  <c r="AD1106" i="6"/>
  <c r="AZ1554" i="6"/>
  <c r="P1555" i="6" s="1"/>
  <c r="AG1554" i="6"/>
  <c r="AD1339" i="6"/>
  <c r="AD1346" i="6"/>
  <c r="AD1342" i="6"/>
  <c r="AD1349" i="6"/>
  <c r="AD1354" i="6"/>
  <c r="AD1344" i="6"/>
  <c r="AD1353" i="6"/>
  <c r="AD1356" i="6"/>
  <c r="AD1348" i="6"/>
  <c r="AD1351" i="6"/>
  <c r="AD194" i="6"/>
  <c r="AD198" i="6"/>
  <c r="AD197" i="6"/>
  <c r="AD203" i="6"/>
  <c r="AD186" i="6"/>
  <c r="AD212" i="6"/>
  <c r="AD201" i="6"/>
  <c r="AD213" i="6"/>
  <c r="AD217" i="6"/>
  <c r="AD207" i="6"/>
  <c r="AD199" i="6"/>
  <c r="AD189" i="6"/>
  <c r="AD200" i="6"/>
  <c r="AD205" i="6"/>
  <c r="AD210" i="6"/>
  <c r="AD196" i="6"/>
  <c r="AD211" i="6"/>
  <c r="AD187" i="6"/>
  <c r="AD813" i="6"/>
  <c r="AD802" i="6"/>
  <c r="AD801" i="6"/>
  <c r="AD824" i="6"/>
  <c r="AD809" i="6"/>
  <c r="AD810" i="6"/>
  <c r="AD820" i="6"/>
  <c r="AD807" i="6"/>
  <c r="AD828" i="6"/>
  <c r="AD825" i="6"/>
  <c r="AD816" i="6"/>
  <c r="AD826" i="6"/>
  <c r="AD808" i="6"/>
  <c r="AD821" i="6"/>
  <c r="AD832" i="6"/>
  <c r="AD803" i="6"/>
  <c r="AD814" i="6"/>
  <c r="AD1233" i="6"/>
  <c r="AD1235" i="6"/>
  <c r="AD1257" i="6"/>
  <c r="AD1244" i="6"/>
  <c r="AD1255" i="6"/>
  <c r="AD1234" i="6"/>
  <c r="AD1248" i="6"/>
  <c r="AD1231" i="6"/>
  <c r="AD1247" i="6"/>
  <c r="AD1246" i="6"/>
  <c r="AD1258" i="6"/>
  <c r="AD1236" i="6"/>
  <c r="AD1260" i="6"/>
  <c r="AD1256" i="6"/>
  <c r="AD1237" i="6"/>
  <c r="AD1243" i="6"/>
  <c r="AD1262" i="6"/>
  <c r="AD1263" i="6"/>
  <c r="AD1250" i="6"/>
  <c r="AD1259" i="6"/>
  <c r="AD1232" i="6"/>
  <c r="AD1239" i="6"/>
  <c r="AD1249" i="6"/>
  <c r="AD1261" i="6"/>
  <c r="AD1251" i="6"/>
  <c r="AZ834" i="6"/>
  <c r="P835" i="6" s="1"/>
  <c r="AG834" i="6"/>
  <c r="AD993" i="6"/>
  <c r="AD979" i="6"/>
  <c r="AD996" i="6"/>
  <c r="AD985" i="6"/>
  <c r="AD978" i="6"/>
  <c r="AD984" i="6"/>
  <c r="AD983" i="6"/>
  <c r="AD997" i="6"/>
  <c r="AD995" i="6"/>
  <c r="AD980" i="6"/>
  <c r="AD989" i="6"/>
  <c r="AD990" i="6"/>
  <c r="AD991" i="6"/>
  <c r="AD1032" i="6"/>
  <c r="AD1031" i="6"/>
  <c r="AD1014" i="6"/>
  <c r="AD1029" i="6"/>
  <c r="AD1017" i="6"/>
  <c r="AD1046" i="6"/>
  <c r="AD1018" i="6"/>
  <c r="AD1021" i="6"/>
  <c r="AD1015" i="6"/>
  <c r="AD1037" i="6"/>
  <c r="AD1039" i="6"/>
  <c r="AD1045" i="6"/>
  <c r="AD1033" i="6"/>
  <c r="AD1020" i="6"/>
  <c r="AD1019" i="6"/>
  <c r="AD1025" i="6"/>
  <c r="AD1038" i="6"/>
  <c r="AD1026" i="6"/>
  <c r="AD470" i="6"/>
  <c r="AD459" i="6"/>
  <c r="AD454" i="6"/>
  <c r="AD440" i="6"/>
  <c r="AD449" i="6"/>
  <c r="AD460" i="6"/>
  <c r="AD448" i="6"/>
  <c r="AD450" i="6"/>
  <c r="AD442" i="6"/>
  <c r="AD472" i="6"/>
  <c r="AD458" i="6"/>
  <c r="AD452" i="6"/>
  <c r="AD441" i="6"/>
  <c r="AD471" i="6"/>
  <c r="AD438" i="6"/>
  <c r="AD453" i="6"/>
  <c r="AD465" i="6"/>
  <c r="AD464" i="6"/>
  <c r="AD405" i="6"/>
  <c r="AD429" i="6"/>
  <c r="AD413" i="6"/>
  <c r="AD407" i="6"/>
  <c r="AD406" i="6"/>
  <c r="AD424" i="6"/>
  <c r="AD428" i="6"/>
  <c r="AD422" i="6"/>
  <c r="AD426" i="6"/>
  <c r="AD416" i="6"/>
  <c r="AD430" i="6"/>
  <c r="AD436" i="6"/>
  <c r="AD418" i="6"/>
  <c r="AD417" i="6"/>
  <c r="AD611" i="6"/>
  <c r="AD588" i="6"/>
  <c r="AD586" i="6"/>
  <c r="AD590" i="6"/>
  <c r="AD613" i="6"/>
  <c r="AD609" i="6"/>
  <c r="AD598" i="6"/>
  <c r="AD596" i="6"/>
  <c r="AD600" i="6"/>
  <c r="AD614" i="6"/>
  <c r="AD585" i="6"/>
  <c r="AD602" i="6"/>
  <c r="AD589" i="6"/>
  <c r="AD612" i="6"/>
  <c r="AD597" i="6"/>
  <c r="AD601" i="6"/>
  <c r="AD608" i="6"/>
  <c r="AD584" i="6"/>
  <c r="M913" i="6"/>
  <c r="AW913" i="6" s="1"/>
  <c r="M914" i="6" s="1"/>
  <c r="AZ42" i="6"/>
  <c r="P43" i="6" s="1"/>
  <c r="AG42" i="6"/>
  <c r="AD381" i="6"/>
  <c r="AD389" i="6"/>
  <c r="AD370" i="6"/>
  <c r="AD394" i="6"/>
  <c r="AD369" i="6"/>
  <c r="AD401" i="6"/>
  <c r="AD395" i="6"/>
  <c r="AD377" i="6"/>
  <c r="AD393" i="6"/>
  <c r="AD382" i="6"/>
  <c r="AD383" i="6"/>
  <c r="AD371" i="6"/>
  <c r="M1597" i="6"/>
  <c r="AW1597" i="6" s="1"/>
  <c r="M1598" i="6" s="1"/>
  <c r="AF1053" i="6"/>
  <c r="AV1053" i="6"/>
  <c r="L1054" i="6" s="1"/>
  <c r="AV1054" i="6" s="1"/>
  <c r="L1055" i="6" s="1"/>
  <c r="AV1055" i="6" s="1"/>
  <c r="L1056" i="6" s="1"/>
  <c r="AV1056" i="6" s="1"/>
  <c r="AD875" i="6"/>
  <c r="AD894" i="6"/>
  <c r="AD880" i="6"/>
  <c r="AD891" i="6"/>
  <c r="AD903" i="6"/>
  <c r="AD898" i="6"/>
  <c r="AD870" i="6"/>
  <c r="AD900" i="6"/>
  <c r="AD896" i="6"/>
  <c r="AD876" i="6"/>
  <c r="AD872" i="6"/>
  <c r="AD882" i="6"/>
  <c r="AD892" i="6"/>
  <c r="AD904" i="6"/>
  <c r="AD888" i="6"/>
  <c r="AD879" i="6"/>
  <c r="AD874" i="6"/>
  <c r="AD902" i="6"/>
  <c r="AD886" i="6"/>
  <c r="AD484" i="6"/>
  <c r="AD488" i="6"/>
  <c r="AD489" i="6"/>
  <c r="AD482" i="6"/>
  <c r="AD483" i="6"/>
  <c r="AD500" i="6"/>
  <c r="AD476" i="6"/>
  <c r="AD496" i="6"/>
  <c r="AD477" i="6"/>
  <c r="AD501" i="6"/>
  <c r="AD494" i="6"/>
  <c r="AD508" i="6"/>
  <c r="AD506" i="6"/>
  <c r="AD495" i="6"/>
  <c r="AD507" i="6"/>
  <c r="AD1648" i="6"/>
  <c r="AD1632" i="6"/>
  <c r="AD1631" i="6"/>
  <c r="AZ654" i="6"/>
  <c r="P655" i="6" s="1"/>
  <c r="AG654" i="6"/>
  <c r="AD162" i="6"/>
  <c r="AD175" i="6"/>
  <c r="AD161" i="6"/>
  <c r="AD151" i="6"/>
  <c r="AD158" i="6"/>
  <c r="AD170" i="6"/>
  <c r="AD173" i="6"/>
  <c r="AD153" i="6"/>
  <c r="AD163" i="6"/>
  <c r="AD177" i="6"/>
  <c r="AD185" i="6"/>
  <c r="AD174" i="6"/>
  <c r="AD165" i="6"/>
  <c r="AD150" i="6"/>
  <c r="AD182" i="6"/>
  <c r="AD1596" i="6"/>
  <c r="AD1592" i="6"/>
  <c r="AD1593" i="6"/>
  <c r="AD1590" i="6"/>
  <c r="AD1605" i="6"/>
  <c r="AD1613" i="6"/>
  <c r="AD1599" i="6"/>
  <c r="AD1617" i="6"/>
  <c r="AD1625" i="6"/>
  <c r="AD1597" i="6"/>
  <c r="AD1604" i="6"/>
  <c r="AD1623" i="6"/>
  <c r="AD840" i="6"/>
  <c r="AD860" i="6"/>
  <c r="AD846" i="6"/>
  <c r="AD836" i="6"/>
  <c r="AD866" i="6"/>
  <c r="AD856" i="6"/>
  <c r="AD862" i="6"/>
  <c r="AD863" i="6"/>
  <c r="AD858" i="6"/>
  <c r="AD837" i="6"/>
  <c r="AD835" i="6"/>
  <c r="AD865" i="6"/>
  <c r="AD849" i="6"/>
  <c r="AD844" i="6"/>
  <c r="AD847" i="6"/>
  <c r="AD848" i="6"/>
  <c r="AD859" i="6"/>
  <c r="AD861" i="6"/>
  <c r="AD854" i="6"/>
  <c r="AD1475" i="6"/>
  <c r="AD1446" i="6"/>
  <c r="AD1458" i="6"/>
  <c r="AD1459" i="6"/>
  <c r="AD1477" i="6"/>
  <c r="AD1471" i="6"/>
  <c r="AD1470" i="6"/>
  <c r="AD1463" i="6"/>
  <c r="AD1474" i="6"/>
  <c r="AD1473" i="6"/>
  <c r="AD1465" i="6"/>
  <c r="AD1452" i="6"/>
  <c r="AD1481" i="6"/>
  <c r="AD1455" i="6"/>
  <c r="AD1457" i="6"/>
  <c r="AD1462" i="6"/>
  <c r="AD1451" i="6"/>
  <c r="AD1461" i="6"/>
  <c r="AF729" i="6"/>
  <c r="AV729" i="6"/>
  <c r="L730" i="6" s="1"/>
  <c r="AV730" i="6" s="1"/>
  <c r="L731" i="6" s="1"/>
  <c r="AV731" i="6" s="1"/>
  <c r="L732" i="6" s="1"/>
  <c r="AV732" i="6" s="1"/>
  <c r="AD229" i="6"/>
  <c r="AD246" i="6"/>
  <c r="AD225" i="6"/>
  <c r="AD245" i="6"/>
  <c r="AD236" i="6"/>
  <c r="AD235" i="6"/>
  <c r="AD247" i="6"/>
  <c r="AD257" i="6"/>
  <c r="AD233" i="6"/>
  <c r="AD224" i="6"/>
  <c r="AD222" i="6"/>
  <c r="AD234" i="6"/>
  <c r="AD253" i="6"/>
  <c r="AD237" i="6"/>
  <c r="AD241" i="6"/>
  <c r="AD249" i="6"/>
  <c r="AD223" i="6"/>
  <c r="AD248" i="6"/>
  <c r="AD9" i="6"/>
  <c r="AD36" i="6"/>
  <c r="AD16" i="6"/>
  <c r="AD24" i="6"/>
  <c r="AD8" i="6"/>
  <c r="AD28" i="6"/>
  <c r="AD27" i="6"/>
  <c r="AD12" i="6"/>
  <c r="AD15" i="6"/>
  <c r="AD39" i="6"/>
  <c r="AD34" i="6"/>
  <c r="AD10" i="6"/>
  <c r="AD32" i="6"/>
  <c r="AD40" i="6"/>
  <c r="AD22" i="6"/>
  <c r="AD20" i="6"/>
  <c r="AD1051" i="6"/>
  <c r="AD1050" i="6"/>
  <c r="AD1065" i="6"/>
  <c r="AD1061" i="6"/>
  <c r="AD1082" i="6"/>
  <c r="AD1063" i="6"/>
  <c r="AD1055" i="6"/>
  <c r="AD1075" i="6"/>
  <c r="AD1081" i="6"/>
  <c r="AD1058" i="6"/>
  <c r="AD1057" i="6"/>
  <c r="AD1059" i="6"/>
  <c r="AD1053" i="6"/>
  <c r="AD1077" i="6"/>
  <c r="AD1070" i="6"/>
  <c r="AD1073" i="6"/>
  <c r="AD1069" i="6"/>
  <c r="AD1084" i="6"/>
  <c r="AZ187" i="6"/>
  <c r="P188" i="6" s="1"/>
  <c r="AK187" i="6"/>
  <c r="M805" i="6"/>
  <c r="AW805" i="6" s="1"/>
  <c r="M806" i="6" s="1"/>
  <c r="AF261" i="6"/>
  <c r="AV261" i="6"/>
  <c r="L262" i="6" s="1"/>
  <c r="AV262" i="6" s="1"/>
  <c r="L263" i="6" s="1"/>
  <c r="AV263" i="6" s="1"/>
  <c r="L264" i="6" s="1"/>
  <c r="AV264" i="6" s="1"/>
  <c r="AD1318" i="6"/>
  <c r="AD1325" i="6"/>
  <c r="AD1320" i="6"/>
  <c r="AD1305" i="6"/>
  <c r="AD1324" i="6"/>
  <c r="AD1334" i="6"/>
  <c r="AD1329" i="6"/>
  <c r="AD1332" i="6"/>
  <c r="AD1307" i="6"/>
  <c r="AD1331" i="6"/>
  <c r="AD1317" i="6"/>
  <c r="AD1330" i="6"/>
  <c r="AD1313" i="6"/>
  <c r="AD1319" i="6"/>
  <c r="BD47" i="6"/>
  <c r="T48" i="6" s="1"/>
  <c r="AP47" i="6"/>
  <c r="AF297" i="6"/>
  <c r="AV297" i="6"/>
  <c r="L298" i="6" s="1"/>
  <c r="AV298" i="6" s="1"/>
  <c r="L299" i="6" s="1"/>
  <c r="AV299" i="6" s="1"/>
  <c r="L300" i="6" s="1"/>
  <c r="AV300" i="6" s="1"/>
  <c r="AD914" i="6"/>
  <c r="AD910" i="6"/>
  <c r="AD906" i="6"/>
  <c r="AD912" i="6"/>
  <c r="AD692" i="6"/>
  <c r="AD697" i="6"/>
  <c r="AD710" i="6"/>
  <c r="AD691" i="6"/>
  <c r="AD709" i="6"/>
  <c r="AD695" i="6"/>
  <c r="AD722" i="6"/>
  <c r="AD693" i="6"/>
  <c r="AD714" i="6"/>
  <c r="AD715" i="6"/>
  <c r="AD699" i="6"/>
  <c r="AD720" i="6"/>
  <c r="AD721" i="6"/>
  <c r="AD716" i="6"/>
  <c r="AD703" i="6"/>
  <c r="AD708" i="6"/>
  <c r="AD698" i="6"/>
  <c r="AD704" i="6"/>
  <c r="AD1128" i="6"/>
  <c r="AD1127" i="6"/>
  <c r="AD1126" i="6"/>
  <c r="AD1123" i="6"/>
  <c r="AD1129" i="6"/>
  <c r="AD1132" i="6"/>
  <c r="AD1133" i="6"/>
  <c r="M49" i="6"/>
  <c r="AW49" i="6" s="1"/>
  <c r="M50" i="6" s="1"/>
  <c r="AD1526" i="6"/>
  <c r="AD1535" i="6"/>
  <c r="AD689" i="6"/>
  <c r="AD673" i="6"/>
  <c r="AD679" i="6"/>
  <c r="AD668" i="6"/>
  <c r="AD661" i="6"/>
  <c r="AD677" i="6"/>
  <c r="AD665" i="6"/>
  <c r="AD687" i="6"/>
  <c r="AD663" i="6"/>
  <c r="AD671" i="6"/>
  <c r="AD655" i="6"/>
  <c r="AD683" i="6"/>
  <c r="AD680" i="6"/>
  <c r="AD669" i="6"/>
  <c r="AD667" i="6"/>
  <c r="AD656" i="6"/>
  <c r="AD659" i="6"/>
  <c r="AD657" i="6"/>
  <c r="AD681" i="6"/>
  <c r="AD675" i="6"/>
  <c r="AD685" i="6"/>
  <c r="AD269" i="6"/>
  <c r="AD286" i="6"/>
  <c r="AD281" i="6"/>
  <c r="AD258" i="6"/>
  <c r="AD274" i="6"/>
  <c r="AD272" i="6"/>
  <c r="AD282" i="6"/>
  <c r="AD270" i="6"/>
  <c r="AD285" i="6"/>
  <c r="AD259" i="6"/>
  <c r="AD293" i="6"/>
  <c r="AD261" i="6"/>
  <c r="AD284" i="6"/>
  <c r="AD271" i="6"/>
  <c r="AD283" i="6"/>
  <c r="AD260" i="6"/>
  <c r="AD265" i="6"/>
  <c r="AD1195" i="6"/>
  <c r="AD1199" i="6"/>
  <c r="AD1227" i="6"/>
  <c r="AD1201" i="6"/>
  <c r="AD1194" i="6"/>
  <c r="AD1207" i="6"/>
  <c r="AD1213" i="6"/>
  <c r="AD1223" i="6"/>
  <c r="AD1220" i="6"/>
  <c r="AD1222" i="6"/>
  <c r="AD1225" i="6"/>
  <c r="AD1208" i="6"/>
  <c r="AD1224" i="6"/>
  <c r="AD1196" i="6"/>
  <c r="AD1219" i="6"/>
  <c r="AD647" i="6"/>
  <c r="AD633" i="6"/>
  <c r="AD635" i="6"/>
  <c r="AD624" i="6"/>
  <c r="AD636" i="6"/>
  <c r="AD639" i="6"/>
  <c r="AD620" i="6"/>
  <c r="AD637" i="6"/>
  <c r="AD625" i="6"/>
  <c r="AD632" i="6"/>
  <c r="AD645" i="6"/>
  <c r="AD653" i="6"/>
  <c r="AD623" i="6"/>
  <c r="AD621" i="6"/>
  <c r="AD649" i="6"/>
  <c r="AD644" i="6"/>
  <c r="AD651" i="6"/>
  <c r="AD1639" i="6"/>
  <c r="AD1634" i="6"/>
  <c r="AK1555" i="6"/>
  <c r="AD1466" i="6"/>
  <c r="AD1450" i="6"/>
  <c r="AD1448" i="6"/>
  <c r="AD1468" i="6"/>
  <c r="AJ1369" i="6"/>
  <c r="AD1355" i="6"/>
  <c r="AD1238" i="6"/>
  <c r="AJ1338" i="6"/>
  <c r="AD1240" i="6"/>
  <c r="BF1290" i="6"/>
  <c r="V1291" i="6" s="1"/>
  <c r="AH1290" i="6"/>
  <c r="BE1196" i="6"/>
  <c r="U1196" i="6"/>
  <c r="AF1161" i="6"/>
  <c r="AV1161" i="6"/>
  <c r="L1162" i="6" s="1"/>
  <c r="AV1162" i="6" s="1"/>
  <c r="L1163" i="6" s="1"/>
  <c r="AV1163" i="6" s="1"/>
  <c r="L1164" i="6" s="1"/>
  <c r="AV1164" i="6" s="1"/>
  <c r="BF1182" i="6"/>
  <c r="V1183" i="6" s="1"/>
  <c r="AH1182" i="6"/>
  <c r="AD1060" i="6"/>
  <c r="AD982" i="6"/>
  <c r="AK945" i="6"/>
  <c r="AR945" i="6" s="1"/>
  <c r="AQ945" i="6"/>
  <c r="AG956" i="6"/>
  <c r="AK942" i="6"/>
  <c r="AR942" i="6" s="1"/>
  <c r="BE946" i="6"/>
  <c r="U946" i="6"/>
  <c r="AD909" i="6"/>
  <c r="AD857" i="6"/>
  <c r="AD850" i="6"/>
  <c r="AG912" i="6"/>
  <c r="BA912" i="6"/>
  <c r="Q913" i="6" s="1"/>
  <c r="AD911" i="6"/>
  <c r="AD841" i="6"/>
  <c r="AD818" i="6"/>
  <c r="AD806" i="6"/>
  <c r="AD799" i="6"/>
  <c r="AD800" i="6"/>
  <c r="AD700" i="6"/>
  <c r="BF858" i="6"/>
  <c r="V859" i="6" s="1"/>
  <c r="AH858" i="6"/>
  <c r="AD672" i="6"/>
  <c r="AG619" i="6"/>
  <c r="AD662" i="6"/>
  <c r="AD622" i="6"/>
  <c r="AD650" i="6"/>
  <c r="AD587" i="6"/>
  <c r="BE548" i="6"/>
  <c r="U548" i="6"/>
  <c r="AD487" i="6"/>
  <c r="AF621" i="6"/>
  <c r="AV621" i="6"/>
  <c r="L622" i="6" s="1"/>
  <c r="AV622" i="6" s="1"/>
  <c r="L623" i="6" s="1"/>
  <c r="AV623" i="6" s="1"/>
  <c r="L624" i="6" s="1"/>
  <c r="AV624" i="6" s="1"/>
  <c r="AD606" i="6"/>
  <c r="AD445" i="6"/>
  <c r="AD368" i="6"/>
  <c r="AD408" i="6"/>
  <c r="AD384" i="6"/>
  <c r="AD387" i="6"/>
  <c r="BA525" i="6"/>
  <c r="Q526" i="6" s="1"/>
  <c r="U406" i="6"/>
  <c r="BE406" i="6"/>
  <c r="AD240" i="6"/>
  <c r="AD340" i="6"/>
  <c r="AD255" i="6"/>
  <c r="AD178" i="6"/>
  <c r="AD242" i="6"/>
  <c r="AD176" i="6"/>
  <c r="AD291" i="6"/>
  <c r="BO501" i="6"/>
  <c r="BN502" i="6" s="1"/>
  <c r="BO502" i="6" s="1"/>
  <c r="BN503" i="6" s="1"/>
  <c r="BO503" i="6" s="1"/>
  <c r="BN504" i="6" s="1"/>
  <c r="AG228" i="6"/>
  <c r="AJ208" i="6"/>
  <c r="BO460" i="6"/>
  <c r="BN461" i="6" s="1"/>
  <c r="BO461" i="6" s="1"/>
  <c r="BN462" i="6" s="1"/>
  <c r="AQ79" i="6"/>
  <c r="BO189" i="6"/>
  <c r="BN190" i="6" s="1"/>
  <c r="BO190" i="6" s="1"/>
  <c r="BN191" i="6" s="1"/>
  <c r="BO191" i="6" s="1"/>
  <c r="BN192" i="6" s="1"/>
  <c r="AF1586" i="6"/>
  <c r="AF1582" i="6"/>
  <c r="AF1585" i="6"/>
  <c r="AF1578" i="6"/>
  <c r="AF1581" i="6"/>
  <c r="AF1577" i="6"/>
  <c r="AZ351" i="6"/>
  <c r="P352" i="6" s="1"/>
  <c r="AZ352" i="6" s="1"/>
  <c r="P353" i="6" s="1"/>
  <c r="AZ353" i="6" s="1"/>
  <c r="P354" i="6" s="1"/>
  <c r="AZ354" i="6" s="1"/>
  <c r="P355" i="6" s="1"/>
  <c r="AZ355" i="6" s="1"/>
  <c r="P356" i="6" s="1"/>
  <c r="AZ356" i="6" s="1"/>
  <c r="P357" i="6" s="1"/>
  <c r="AZ357" i="6" s="1"/>
  <c r="P358" i="6" s="1"/>
  <c r="AZ358" i="6" s="1"/>
  <c r="P359" i="6" s="1"/>
  <c r="AZ359" i="6" s="1"/>
  <c r="P360" i="6" s="1"/>
  <c r="AZ360" i="6" s="1"/>
  <c r="P361" i="6" s="1"/>
  <c r="AZ361" i="6" s="1"/>
  <c r="P362" i="6" s="1"/>
  <c r="AZ362" i="6" s="1"/>
  <c r="P363" i="6" s="1"/>
  <c r="AZ363" i="6" s="1"/>
  <c r="P364" i="6" s="1"/>
  <c r="AZ364" i="6" s="1"/>
  <c r="P365" i="6" s="1"/>
  <c r="AZ365" i="6" s="1"/>
  <c r="AI351" i="6"/>
  <c r="AJ284" i="6"/>
  <c r="AJ272" i="6"/>
  <c r="AJ260" i="6"/>
  <c r="AJ270" i="6"/>
  <c r="AJ258" i="6"/>
  <c r="AJ274" i="6"/>
  <c r="AJ273" i="6"/>
  <c r="AJ285" i="6"/>
  <c r="AJ261" i="6"/>
  <c r="AJ286" i="6"/>
  <c r="AJ262" i="6"/>
  <c r="AJ357" i="6"/>
  <c r="AJ345" i="6"/>
  <c r="AJ362" i="6"/>
  <c r="AJ360" i="6"/>
  <c r="AJ358" i="6"/>
  <c r="AJ349" i="6"/>
  <c r="AJ348" i="6"/>
  <c r="AJ346" i="6"/>
  <c r="AJ337" i="6"/>
  <c r="AJ338" i="6"/>
  <c r="AJ333" i="6"/>
  <c r="AJ361" i="6"/>
  <c r="AO1396" i="6"/>
  <c r="AO1390" i="6"/>
  <c r="AO1385" i="6"/>
  <c r="AO1379" i="6"/>
  <c r="AF900" i="6"/>
  <c r="AF896" i="6"/>
  <c r="AF571" i="6"/>
  <c r="AF575" i="6"/>
  <c r="AF580" i="6"/>
  <c r="AF579" i="6"/>
  <c r="AF468" i="6"/>
  <c r="AF464" i="6"/>
  <c r="AJ891" i="6"/>
  <c r="AJ894" i="6"/>
  <c r="AJ882" i="6"/>
  <c r="AJ879" i="6"/>
  <c r="AF246" i="6"/>
  <c r="AF249" i="6"/>
  <c r="AF245" i="6"/>
  <c r="AF250" i="6"/>
  <c r="AF254" i="6"/>
  <c r="AF253" i="6"/>
  <c r="AF1493" i="6"/>
  <c r="AF1498" i="6"/>
  <c r="AF1504" i="6"/>
  <c r="AF1487" i="6"/>
  <c r="AF1292" i="6"/>
  <c r="AF1296" i="6"/>
  <c r="AF1179" i="6"/>
  <c r="AG549" i="6"/>
  <c r="AF33" i="6"/>
  <c r="AF38" i="6"/>
  <c r="AF29" i="6"/>
  <c r="AF34" i="6"/>
  <c r="AF37" i="6"/>
  <c r="AF30" i="6"/>
  <c r="AK165" i="6"/>
  <c r="BO165" i="6"/>
  <c r="BN166" i="6" s="1"/>
  <c r="BO166" i="6" s="1"/>
  <c r="BN167" i="6" s="1"/>
  <c r="BO167" i="6" s="1"/>
  <c r="BN168" i="6" s="1"/>
  <c r="AJ644" i="6"/>
  <c r="AJ636" i="6"/>
  <c r="AJ624" i="6"/>
  <c r="AZ1359" i="6"/>
  <c r="P1360" i="6" s="1"/>
  <c r="AZ1360" i="6" s="1"/>
  <c r="P1361" i="6" s="1"/>
  <c r="AZ1361" i="6" s="1"/>
  <c r="P1362" i="6" s="1"/>
  <c r="AZ1362" i="6" s="1"/>
  <c r="P1363" i="6" s="1"/>
  <c r="AZ1363" i="6" s="1"/>
  <c r="P1364" i="6" s="1"/>
  <c r="AZ1364" i="6" s="1"/>
  <c r="P1365" i="6" s="1"/>
  <c r="AZ1365" i="6" s="1"/>
  <c r="P1366" i="6" s="1"/>
  <c r="AZ1366" i="6" s="1"/>
  <c r="P1367" i="6" s="1"/>
  <c r="AZ1367" i="6" s="1"/>
  <c r="P1368" i="6" s="1"/>
  <c r="AZ1368" i="6" s="1"/>
  <c r="P1369" i="6" s="1"/>
  <c r="AZ1369" i="6" s="1"/>
  <c r="P1370" i="6" s="1"/>
  <c r="AZ1370" i="6" s="1"/>
  <c r="P1371" i="6" s="1"/>
  <c r="AZ1371" i="6" s="1"/>
  <c r="P1372" i="6" s="1"/>
  <c r="AZ1372" i="6" s="1"/>
  <c r="P1373" i="6" s="1"/>
  <c r="AZ1373" i="6" s="1"/>
  <c r="AI1359" i="6"/>
  <c r="AO874" i="6"/>
  <c r="AO880" i="6"/>
  <c r="AO208" i="6"/>
  <c r="AO197" i="6"/>
  <c r="AO202" i="6"/>
  <c r="AO191" i="6"/>
  <c r="AJ10" i="6"/>
  <c r="AF1107" i="6"/>
  <c r="AF845" i="6"/>
  <c r="AF850" i="6"/>
  <c r="AF839" i="6"/>
  <c r="AF856" i="6"/>
  <c r="AJ195" i="6"/>
  <c r="AF683" i="6"/>
  <c r="AF688" i="6"/>
  <c r="AF679" i="6"/>
  <c r="AF687" i="6"/>
  <c r="AO587" i="6"/>
  <c r="AO604" i="6"/>
  <c r="AO593" i="6"/>
  <c r="AO598" i="6"/>
  <c r="AO1420" i="6"/>
  <c r="AO1414" i="6"/>
  <c r="BD1414" i="6" s="1"/>
  <c r="T1415" i="6" s="1"/>
  <c r="AF868" i="6"/>
  <c r="AF859" i="6"/>
  <c r="AF867" i="6"/>
  <c r="AF863" i="6"/>
  <c r="AF752" i="6"/>
  <c r="AF756" i="6"/>
  <c r="AO341" i="6"/>
  <c r="AO346" i="6"/>
  <c r="AO352" i="6"/>
  <c r="AO335" i="6"/>
  <c r="AF215" i="6"/>
  <c r="AF220" i="6"/>
  <c r="AF211" i="6"/>
  <c r="AF219" i="6"/>
  <c r="AF1035" i="6"/>
  <c r="AF1026" i="6"/>
  <c r="AJ512" i="6"/>
  <c r="AJ541" i="6"/>
  <c r="AJ517" i="6"/>
  <c r="AJ540" i="6"/>
  <c r="AJ518" i="6"/>
  <c r="AF125" i="6"/>
  <c r="AF136" i="6"/>
  <c r="AF119" i="6"/>
  <c r="AF130" i="6"/>
  <c r="AO340" i="6"/>
  <c r="AO334" i="6"/>
  <c r="AG150" i="6"/>
  <c r="AI18" i="6"/>
  <c r="AF175" i="6"/>
  <c r="AF183" i="6"/>
  <c r="AF179" i="6"/>
  <c r="AF184" i="6"/>
  <c r="AG10" i="6"/>
  <c r="AD1630" i="6"/>
  <c r="AD1456" i="6"/>
  <c r="AD1314" i="6"/>
  <c r="AD1308" i="6"/>
  <c r="AD1110" i="6"/>
  <c r="AD643" i="6"/>
  <c r="AD378" i="6"/>
  <c r="AJ1371" i="6"/>
  <c r="AJ1354" i="6"/>
  <c r="AJ1362" i="6"/>
  <c r="AJ1358" i="6"/>
  <c r="AJ1356" i="6"/>
  <c r="AJ1372" i="6"/>
  <c r="AJ1344" i="6"/>
  <c r="AJ1349" i="6"/>
  <c r="AF1395" i="6"/>
  <c r="AF1386" i="6"/>
  <c r="AO196" i="6"/>
  <c r="AO190" i="6"/>
  <c r="BD190" i="6" s="1"/>
  <c r="T191" i="6" s="1"/>
  <c r="AR331" i="6"/>
  <c r="AQ331" i="6"/>
  <c r="AD1624" i="6"/>
  <c r="AF1449" i="6"/>
  <c r="AV1449" i="6"/>
  <c r="L1450" i="6" s="1"/>
  <c r="AV1450" i="6" s="1"/>
  <c r="L1451" i="6" s="1"/>
  <c r="AV1451" i="6" s="1"/>
  <c r="L1452" i="6" s="1"/>
  <c r="AV1452" i="6" s="1"/>
  <c r="AW1449" i="6"/>
  <c r="M1450" i="6" s="1"/>
  <c r="AW1450" i="6" s="1"/>
  <c r="M1451" i="6" s="1"/>
  <c r="AW1451" i="6" s="1"/>
  <c r="M1452" i="6" s="1"/>
  <c r="AW1452" i="6" s="1"/>
  <c r="BO1454" i="6"/>
  <c r="BN1455" i="6" s="1"/>
  <c r="BO1455" i="6" s="1"/>
  <c r="BN1456" i="6" s="1"/>
  <c r="AJ1357" i="6"/>
  <c r="BG1376" i="6"/>
  <c r="W1377" i="6" s="1"/>
  <c r="AH1376" i="6"/>
  <c r="AD1350" i="6"/>
  <c r="AD1312" i="6"/>
  <c r="AD1265" i="6"/>
  <c r="AJ1341" i="6"/>
  <c r="AD1252" i="6"/>
  <c r="AD1245" i="6"/>
  <c r="AD1216" i="6"/>
  <c r="AD1107" i="6"/>
  <c r="AD1204" i="6"/>
  <c r="AR1161" i="6"/>
  <c r="AQ1161" i="6"/>
  <c r="AS1161" i="6" s="1"/>
  <c r="AD1064" i="6"/>
  <c r="AD1083" i="6"/>
  <c r="AD992" i="6"/>
  <c r="AG981" i="6"/>
  <c r="AK944" i="6"/>
  <c r="AR944" i="6" s="1"/>
  <c r="AQ944" i="6"/>
  <c r="BA1021" i="6"/>
  <c r="Q1022" i="6" s="1"/>
  <c r="AG1021" i="6"/>
  <c r="BE909" i="6"/>
  <c r="U909" i="6"/>
  <c r="AD887" i="6"/>
  <c r="AD834" i="6"/>
  <c r="AQ729" i="6"/>
  <c r="AD696" i="6"/>
  <c r="BA732" i="6"/>
  <c r="Q733" i="6" s="1"/>
  <c r="AD702" i="6"/>
  <c r="AD682" i="6"/>
  <c r="BE694" i="6"/>
  <c r="U694" i="6"/>
  <c r="AD619" i="6"/>
  <c r="AQ728" i="6"/>
  <c r="AD628" i="6"/>
  <c r="AD497" i="6"/>
  <c r="U621" i="6"/>
  <c r="BE621" i="6"/>
  <c r="AG618" i="6"/>
  <c r="AG623" i="6"/>
  <c r="AQ515" i="6"/>
  <c r="AD485" i="6"/>
  <c r="AD385" i="6"/>
  <c r="AD461" i="6"/>
  <c r="AG402" i="6"/>
  <c r="BO604" i="6"/>
  <c r="BN605" i="6" s="1"/>
  <c r="BO605" i="6" s="1"/>
  <c r="BN606" i="6" s="1"/>
  <c r="BO606" i="6" s="1"/>
  <c r="BN607" i="6" s="1"/>
  <c r="AK604" i="6"/>
  <c r="AD431" i="6"/>
  <c r="AD350" i="6"/>
  <c r="AQ513" i="6"/>
  <c r="AH475" i="6"/>
  <c r="BG512" i="6"/>
  <c r="W513" i="6" s="1"/>
  <c r="AH512" i="6"/>
  <c r="AD239" i="6"/>
  <c r="AD359" i="6"/>
  <c r="AQ300" i="6"/>
  <c r="AD379" i="6"/>
  <c r="AD356" i="6"/>
  <c r="AD262" i="6"/>
  <c r="AD226" i="6"/>
  <c r="AD338" i="6"/>
  <c r="AW297" i="6"/>
  <c r="M298" i="6" s="1"/>
  <c r="AW298" i="6" s="1"/>
  <c r="M299" i="6" s="1"/>
  <c r="AW299" i="6" s="1"/>
  <c r="M300" i="6" s="1"/>
  <c r="AW300" i="6" s="1"/>
  <c r="AD230" i="6"/>
  <c r="AK166" i="6"/>
  <c r="AJ211" i="6"/>
  <c r="BG296" i="6"/>
  <c r="W297" i="6" s="1"/>
  <c r="AH296" i="6"/>
  <c r="AD333" i="6"/>
  <c r="AD152" i="6"/>
  <c r="AD169" i="6"/>
  <c r="AJ217" i="6"/>
  <c r="AD191" i="6"/>
  <c r="AH369" i="6"/>
  <c r="BO316" i="6"/>
  <c r="BN317" i="6" s="1"/>
  <c r="BO317" i="6" s="1"/>
  <c r="BN318" i="6" s="1"/>
  <c r="BO318" i="6" s="1"/>
  <c r="BN319" i="6" s="1"/>
  <c r="BO319" i="6" s="1"/>
  <c r="BN320" i="6" s="1"/>
  <c r="BG153" i="6"/>
  <c r="W154" i="6" s="1"/>
  <c r="AH153" i="6"/>
  <c r="AD41" i="6"/>
  <c r="BA233" i="6"/>
  <c r="Q234" i="6" s="1"/>
  <c r="AG233" i="6"/>
  <c r="AO1648" i="6"/>
  <c r="AO1631" i="6"/>
  <c r="AO1642" i="6"/>
  <c r="AO1637" i="6"/>
  <c r="AD160" i="6"/>
  <c r="AJ1584" i="6"/>
  <c r="AJ1588" i="6"/>
  <c r="AJ1574" i="6"/>
  <c r="AJ1564" i="6"/>
  <c r="AJ1569" i="6"/>
  <c r="AJ1586" i="6"/>
  <c r="AJ1572" i="6"/>
  <c r="AJ1577" i="6"/>
  <c r="AF1660" i="6"/>
  <c r="AF1651" i="6"/>
  <c r="AF1655" i="6"/>
  <c r="AF1659" i="6"/>
  <c r="AD202" i="6"/>
  <c r="AQ81" i="6"/>
  <c r="BF318" i="6"/>
  <c r="V319" i="6" s="1"/>
  <c r="AH318" i="6"/>
  <c r="AF1301" i="6"/>
  <c r="AI783" i="6"/>
  <c r="AZ783" i="6"/>
  <c r="P784" i="6" s="1"/>
  <c r="AZ784" i="6" s="1"/>
  <c r="P785" i="6" s="1"/>
  <c r="AZ785" i="6" s="1"/>
  <c r="P786" i="6" s="1"/>
  <c r="AZ786" i="6" s="1"/>
  <c r="P787" i="6" s="1"/>
  <c r="AZ787" i="6" s="1"/>
  <c r="P788" i="6" s="1"/>
  <c r="AZ788" i="6" s="1"/>
  <c r="P789" i="6" s="1"/>
  <c r="AZ789" i="6" s="1"/>
  <c r="P790" i="6" s="1"/>
  <c r="AZ790" i="6" s="1"/>
  <c r="P791" i="6" s="1"/>
  <c r="AZ791" i="6" s="1"/>
  <c r="P792" i="6" s="1"/>
  <c r="AZ792" i="6" s="1"/>
  <c r="P793" i="6" s="1"/>
  <c r="AZ793" i="6" s="1"/>
  <c r="P794" i="6" s="1"/>
  <c r="AZ794" i="6" s="1"/>
  <c r="P795" i="6" s="1"/>
  <c r="AZ795" i="6" s="1"/>
  <c r="P796" i="6" s="1"/>
  <c r="AZ796" i="6" s="1"/>
  <c r="P797" i="6" s="1"/>
  <c r="AZ797" i="6" s="1"/>
  <c r="AJ719" i="6"/>
  <c r="AJ696" i="6"/>
  <c r="AJ692" i="6"/>
  <c r="CC46" i="5"/>
  <c r="CB46" i="5" s="1"/>
  <c r="AD1588" i="6" s="1"/>
  <c r="P1482" i="6"/>
  <c r="L41" i="5"/>
  <c r="AO1144" i="6"/>
  <c r="AO1138" i="6"/>
  <c r="AO1133" i="6"/>
  <c r="AO1127" i="6"/>
  <c r="AJ464" i="6"/>
  <c r="AJ452" i="6"/>
  <c r="AJ440" i="6"/>
  <c r="AJ235" i="6"/>
  <c r="AJ223" i="6"/>
  <c r="AJ246" i="6"/>
  <c r="AJ234" i="6"/>
  <c r="AJ225" i="6"/>
  <c r="AJ236" i="6"/>
  <c r="AJ249" i="6"/>
  <c r="AJ222" i="6"/>
  <c r="AJ248" i="6"/>
  <c r="AJ238" i="6"/>
  <c r="AJ237" i="6"/>
  <c r="AJ226" i="6"/>
  <c r="AF1530" i="6"/>
  <c r="P1410" i="6"/>
  <c r="P511" i="6"/>
  <c r="AJ39" i="6"/>
  <c r="AJ7" i="6"/>
  <c r="AJ15" i="6"/>
  <c r="AJ19" i="6"/>
  <c r="AJ31" i="6"/>
  <c r="AJ27" i="6"/>
  <c r="AF1177" i="6"/>
  <c r="P1123" i="6"/>
  <c r="AJ405" i="6"/>
  <c r="AJ410" i="6"/>
  <c r="AJ416" i="6"/>
  <c r="AJ408" i="6"/>
  <c r="AJ406" i="6"/>
  <c r="AJ428" i="6"/>
  <c r="AF1621" i="6"/>
  <c r="AF1614" i="6"/>
  <c r="AF1622" i="6"/>
  <c r="AF1618" i="6"/>
  <c r="AF1613" i="6"/>
  <c r="AF1617" i="6"/>
  <c r="AO1072" i="6"/>
  <c r="AO1066" i="6"/>
  <c r="AO1055" i="6"/>
  <c r="AO1061" i="6"/>
  <c r="L22" i="5"/>
  <c r="AG224" i="6"/>
  <c r="L27" i="5"/>
  <c r="AF673" i="6"/>
  <c r="AW81" i="6"/>
  <c r="M82" i="6" s="1"/>
  <c r="AW82" i="6" s="1"/>
  <c r="M83" i="6" s="1"/>
  <c r="AW83" i="6" s="1"/>
  <c r="M84" i="6" s="1"/>
  <c r="AW84" i="6" s="1"/>
  <c r="AF1393" i="6"/>
  <c r="AO1216" i="6"/>
  <c r="AO1199" i="6"/>
  <c r="AO1205" i="6"/>
  <c r="AO1210" i="6"/>
  <c r="AO592" i="6"/>
  <c r="AO586" i="6"/>
  <c r="BD586" i="6" s="1"/>
  <c r="T587" i="6" s="1"/>
  <c r="AF1314" i="6"/>
  <c r="AJ955" i="6"/>
  <c r="AJ952" i="6"/>
  <c r="AJ943" i="6"/>
  <c r="AF852" i="6"/>
  <c r="AF321" i="6"/>
  <c r="AF322" i="6"/>
  <c r="AF318" i="6"/>
  <c r="AF317" i="6"/>
  <c r="AF326" i="6"/>
  <c r="AF325" i="6"/>
  <c r="CC6" i="5"/>
  <c r="CB6" i="5" s="1"/>
  <c r="AD84" i="6"/>
  <c r="AJ12" i="6"/>
  <c r="L7" i="5"/>
  <c r="BF138" i="6"/>
  <c r="V139" i="6" s="1"/>
  <c r="AH138" i="6"/>
  <c r="BF66" i="6"/>
  <c r="V67" i="6" s="1"/>
  <c r="AH66" i="6"/>
  <c r="BG1521" i="6"/>
  <c r="W1522" i="6" s="1"/>
  <c r="AH1521" i="6"/>
  <c r="AD1347" i="6"/>
  <c r="AM1160" i="6"/>
  <c r="AL1160" i="6"/>
  <c r="AR1160" i="6"/>
  <c r="AQ1160" i="6"/>
  <c r="AD583" i="6"/>
  <c r="AD615" i="6"/>
  <c r="AQ514" i="6"/>
  <c r="AD618" i="6"/>
  <c r="AD290" i="6"/>
  <c r="AJ214" i="6"/>
  <c r="AJ200" i="6"/>
  <c r="AJ186" i="6"/>
  <c r="AJ210" i="6"/>
  <c r="AJ189" i="6"/>
  <c r="AJ213" i="6"/>
  <c r="AJ201" i="6"/>
  <c r="AF788" i="6"/>
  <c r="AF792" i="6"/>
  <c r="BG1631" i="6"/>
  <c r="W1632" i="6" s="1"/>
  <c r="AH1631" i="6"/>
  <c r="AK1523" i="6"/>
  <c r="AD1616" i="6"/>
  <c r="AD1611" i="6"/>
  <c r="AF1557" i="6"/>
  <c r="AV1557" i="6"/>
  <c r="L1558" i="6" s="1"/>
  <c r="AV1558" i="6" s="1"/>
  <c r="L1559" i="6" s="1"/>
  <c r="AV1559" i="6" s="1"/>
  <c r="L1560" i="6" s="1"/>
  <c r="AV1560" i="6" s="1"/>
  <c r="AP1486" i="6"/>
  <c r="AW1485" i="6"/>
  <c r="M1486" i="6" s="1"/>
  <c r="AW1486" i="6" s="1"/>
  <c r="M1487" i="6" s="1"/>
  <c r="AW1487" i="6" s="1"/>
  <c r="M1488" i="6" s="1"/>
  <c r="AW1488" i="6" s="1"/>
  <c r="M1489" i="6" s="1"/>
  <c r="AD1467" i="6"/>
  <c r="AJ1367" i="6"/>
  <c r="AJ1361" i="6"/>
  <c r="AD1323" i="6"/>
  <c r="AD1345" i="6"/>
  <c r="AD1309" i="6"/>
  <c r="AD1333" i="6"/>
  <c r="AD1335" i="6"/>
  <c r="AP1309" i="6"/>
  <c r="BD1309" i="6"/>
  <c r="T1310" i="6" s="1"/>
  <c r="AH1197" i="6"/>
  <c r="AD1130" i="6"/>
  <c r="AF1197" i="6"/>
  <c r="AV1197" i="6"/>
  <c r="L1198" i="6" s="1"/>
  <c r="AV1198" i="6" s="1"/>
  <c r="L1199" i="6" s="1"/>
  <c r="AV1199" i="6" s="1"/>
  <c r="L1200" i="6" s="1"/>
  <c r="AV1200" i="6" s="1"/>
  <c r="AG1197" i="6"/>
  <c r="AR1163" i="6"/>
  <c r="AQ1163" i="6"/>
  <c r="AR1164" i="6"/>
  <c r="AQ1164" i="6"/>
  <c r="AD1114" i="6"/>
  <c r="AD1080" i="6"/>
  <c r="AK1123" i="6"/>
  <c r="AD1097" i="6"/>
  <c r="BH1188" i="6"/>
  <c r="X1189" i="6" s="1"/>
  <c r="AD1188" i="6"/>
  <c r="AD1105" i="6"/>
  <c r="AD1066" i="6"/>
  <c r="AD1056" i="6"/>
  <c r="BE1053" i="6"/>
  <c r="U1053" i="6"/>
  <c r="AD1040" i="6"/>
  <c r="AQ949" i="6"/>
  <c r="AH980" i="6"/>
  <c r="AG943" i="6"/>
  <c r="AM943" i="6" s="1"/>
  <c r="AD907" i="6"/>
  <c r="AK948" i="6"/>
  <c r="AR948" i="6" s="1"/>
  <c r="BO948" i="6"/>
  <c r="BN949" i="6" s="1"/>
  <c r="BO949" i="6" s="1"/>
  <c r="BN950" i="6" s="1"/>
  <c r="AD905" i="6"/>
  <c r="AD901" i="6"/>
  <c r="AH1038" i="6"/>
  <c r="BF1038" i="6"/>
  <c r="V1039" i="6" s="1"/>
  <c r="AD845" i="6"/>
  <c r="AD838" i="6"/>
  <c r="AD884" i="6"/>
  <c r="AD908" i="6"/>
  <c r="AH874" i="6"/>
  <c r="BG874" i="6"/>
  <c r="W875" i="6" s="1"/>
  <c r="AD881" i="6"/>
  <c r="AD890" i="6"/>
  <c r="AD831" i="6"/>
  <c r="AF837" i="6"/>
  <c r="AV837" i="6"/>
  <c r="L838" i="6" s="1"/>
  <c r="AV838" i="6" s="1"/>
  <c r="L839" i="6" s="1"/>
  <c r="AV839" i="6" s="1"/>
  <c r="L840" i="6" s="1"/>
  <c r="AV840" i="6" s="1"/>
  <c r="AQ731" i="6"/>
  <c r="AK882" i="6"/>
  <c r="BO882" i="6"/>
  <c r="BN883" i="6" s="1"/>
  <c r="BO883" i="6" s="1"/>
  <c r="BN884" i="6" s="1"/>
  <c r="BG801" i="6"/>
  <c r="W802" i="6" s="1"/>
  <c r="AH801" i="6"/>
  <c r="BG728" i="6"/>
  <c r="W729" i="6" s="1"/>
  <c r="AH728" i="6"/>
  <c r="BO771" i="6"/>
  <c r="BN772" i="6" s="1"/>
  <c r="BO772" i="6" s="1"/>
  <c r="BN773" i="6" s="1"/>
  <c r="AK771" i="6"/>
  <c r="AD648" i="6"/>
  <c r="AD617" i="6"/>
  <c r="AD641" i="6"/>
  <c r="BF786" i="6"/>
  <c r="V787" i="6" s="1"/>
  <c r="AH786" i="6"/>
  <c r="AD674" i="6"/>
  <c r="AD475" i="6"/>
  <c r="AD480" i="6"/>
  <c r="AD444" i="6"/>
  <c r="AD478" i="6"/>
  <c r="BF714" i="6"/>
  <c r="V715" i="6" s="1"/>
  <c r="AH714" i="6"/>
  <c r="AD469" i="6"/>
  <c r="AH619" i="6"/>
  <c r="AG624" i="6"/>
  <c r="BA624" i="6"/>
  <c r="Q625" i="6" s="1"/>
  <c r="BG552" i="6"/>
  <c r="W553" i="6" s="1"/>
  <c r="AH552" i="6"/>
  <c r="AD337" i="6"/>
  <c r="AD402" i="6"/>
  <c r="AD400" i="6"/>
  <c r="BO521" i="6"/>
  <c r="BN522" i="6" s="1"/>
  <c r="BO522" i="6" s="1"/>
  <c r="BN523" i="6" s="1"/>
  <c r="AD491" i="6"/>
  <c r="AH474" i="6"/>
  <c r="AD411" i="6"/>
  <c r="AD391" i="6"/>
  <c r="AD354" i="6"/>
  <c r="AD415" i="6"/>
  <c r="AH534" i="6"/>
  <c r="BF534" i="6"/>
  <c r="V535" i="6" s="1"/>
  <c r="BF390" i="6"/>
  <c r="V391" i="6" s="1"/>
  <c r="AH390" i="6"/>
  <c r="AJ207" i="6"/>
  <c r="AD130" i="6"/>
  <c r="AJ206" i="6"/>
  <c r="AJ193" i="6"/>
  <c r="BF426" i="6"/>
  <c r="V427" i="6" s="1"/>
  <c r="AH426" i="6"/>
  <c r="AK167" i="6"/>
  <c r="AF225" i="6"/>
  <c r="AV225" i="6"/>
  <c r="L226" i="6" s="1"/>
  <c r="AV226" i="6" s="1"/>
  <c r="L227" i="6" s="1"/>
  <c r="AV227" i="6" s="1"/>
  <c r="L228" i="6" s="1"/>
  <c r="AV228" i="6" s="1"/>
  <c r="BG370" i="6"/>
  <c r="W371" i="6" s="1"/>
  <c r="AH370" i="6"/>
  <c r="AD120" i="6"/>
  <c r="AJ204" i="6"/>
  <c r="AJ212" i="6"/>
  <c r="L42" i="5"/>
  <c r="AJ192" i="6"/>
  <c r="AF1360" i="6"/>
  <c r="AF1349" i="6"/>
  <c r="AF1354" i="6"/>
  <c r="AF1343" i="6"/>
  <c r="AF1330" i="6"/>
  <c r="AF1326" i="6"/>
  <c r="AF1333" i="6"/>
  <c r="AF1329" i="6"/>
  <c r="AF1334" i="6"/>
  <c r="AF1325" i="6"/>
  <c r="AF1359" i="6"/>
  <c r="AF1350" i="6"/>
  <c r="AO706" i="6"/>
  <c r="AO701" i="6"/>
  <c r="AO712" i="6"/>
  <c r="AO695" i="6"/>
  <c r="AO280" i="6"/>
  <c r="AO269" i="6"/>
  <c r="AO274" i="6"/>
  <c r="AO263" i="6"/>
  <c r="AF712" i="6"/>
  <c r="AF701" i="6"/>
  <c r="AF695" i="6"/>
  <c r="AF706" i="6"/>
  <c r="AF1539" i="6"/>
  <c r="AF902" i="6"/>
  <c r="AF893" i="6"/>
  <c r="AF898" i="6"/>
  <c r="AF901" i="6"/>
  <c r="AF897" i="6"/>
  <c r="AF894" i="6"/>
  <c r="P295" i="6"/>
  <c r="AH210" i="6"/>
  <c r="BF210" i="6"/>
  <c r="V211" i="6" s="1"/>
  <c r="AF1443" i="6"/>
  <c r="AF1444" i="6"/>
  <c r="AF1439" i="6"/>
  <c r="AF1435" i="6"/>
  <c r="AK1122" i="6"/>
  <c r="BE45" i="6"/>
  <c r="U45" i="6"/>
  <c r="AF1263" i="6"/>
  <c r="AF1259" i="6"/>
  <c r="AF1264" i="6"/>
  <c r="AF1255" i="6"/>
  <c r="AO839" i="6"/>
  <c r="AO856" i="6"/>
  <c r="AO845" i="6"/>
  <c r="AO850" i="6"/>
  <c r="AO658" i="6"/>
  <c r="AO664" i="6"/>
  <c r="AF287" i="6"/>
  <c r="AF292" i="6"/>
  <c r="AF283" i="6"/>
  <c r="AF291" i="6"/>
  <c r="AJ393" i="6"/>
  <c r="AJ381" i="6"/>
  <c r="AJ369" i="6"/>
  <c r="AJ398" i="6"/>
  <c r="AJ386" i="6"/>
  <c r="AJ374" i="6"/>
  <c r="AJ396" i="6"/>
  <c r="AJ384" i="6"/>
  <c r="AJ372" i="6"/>
  <c r="AJ394" i="6"/>
  <c r="AJ382" i="6"/>
  <c r="AJ370" i="6"/>
  <c r="AJ397" i="6"/>
  <c r="AJ373" i="6"/>
  <c r="AF463" i="6"/>
  <c r="AF467" i="6"/>
  <c r="AF472" i="6"/>
  <c r="AF471" i="6"/>
  <c r="AO377" i="6"/>
  <c r="AO382" i="6"/>
  <c r="AO371" i="6"/>
  <c r="AO388" i="6"/>
  <c r="AD25" i="6"/>
  <c r="AF1079" i="6"/>
  <c r="AF1075" i="6"/>
  <c r="AF1084" i="6"/>
  <c r="AF1083" i="6"/>
  <c r="AF968" i="6"/>
  <c r="AF972" i="6"/>
  <c r="AF320" i="6"/>
  <c r="AF324" i="6"/>
  <c r="AF387" i="6"/>
  <c r="AF378" i="6"/>
  <c r="P1446" i="6"/>
  <c r="AK1446" i="6" s="1"/>
  <c r="BA83" i="6"/>
  <c r="Q84" i="6" s="1"/>
  <c r="BO122" i="6"/>
  <c r="BN123" i="6" s="1"/>
  <c r="BO123" i="6" s="1"/>
  <c r="BN124" i="6" s="1"/>
  <c r="AK122" i="6"/>
  <c r="AD1655" i="6"/>
  <c r="AD1602" i="6"/>
  <c r="BO1531" i="6"/>
  <c r="BN1532" i="6" s="1"/>
  <c r="BO1532" i="6" s="1"/>
  <c r="BN1533" i="6" s="1"/>
  <c r="BO1533" i="6" s="1"/>
  <c r="BN1534" i="6" s="1"/>
  <c r="AK1531" i="6"/>
  <c r="AD1202" i="6"/>
  <c r="AK949" i="6"/>
  <c r="AR949" i="6" s="1"/>
  <c r="AD594" i="6"/>
  <c r="U370" i="6"/>
  <c r="BE370" i="6"/>
  <c r="AD1619" i="6"/>
  <c r="AD1642" i="6"/>
  <c r="AD1614" i="6"/>
  <c r="AD1607" i="6"/>
  <c r="AD1601" i="6"/>
  <c r="AD1603" i="6"/>
  <c r="AD1560" i="6"/>
  <c r="AK1532" i="6"/>
  <c r="AD1537" i="6"/>
  <c r="AD1480" i="6"/>
  <c r="BE1485" i="6"/>
  <c r="U1485" i="6"/>
  <c r="AG1524" i="6"/>
  <c r="BA1524" i="6"/>
  <c r="Q1525" i="6" s="1"/>
  <c r="AD1447" i="6"/>
  <c r="BF1506" i="6"/>
  <c r="V1507" i="6" s="1"/>
  <c r="AH1506" i="6"/>
  <c r="BA1452" i="6"/>
  <c r="Q1453" i="6" s="1"/>
  <c r="AG1377" i="6"/>
  <c r="AJ1359" i="6"/>
  <c r="AJ1348" i="6"/>
  <c r="AD1306" i="6"/>
  <c r="AD1321" i="6"/>
  <c r="AH1302" i="6"/>
  <c r="AH1303" i="6"/>
  <c r="AD1316" i="6"/>
  <c r="AD1253" i="6"/>
  <c r="AH1344" i="6"/>
  <c r="BG1344" i="6"/>
  <c r="W1345" i="6" s="1"/>
  <c r="AP1260" i="6"/>
  <c r="AD1341" i="6"/>
  <c r="AP1246" i="6"/>
  <c r="AP1251" i="6"/>
  <c r="AP1256" i="6"/>
  <c r="AP1254" i="6"/>
  <c r="BF1362" i="6"/>
  <c r="V1363" i="6" s="1"/>
  <c r="AH1362" i="6"/>
  <c r="AP1237" i="6"/>
  <c r="AG1273" i="6"/>
  <c r="BA1273" i="6"/>
  <c r="Q1274" i="6" s="1"/>
  <c r="AP1240" i="6"/>
  <c r="AR1159" i="6"/>
  <c r="AQ1159" i="6"/>
  <c r="AL1159" i="6"/>
  <c r="AM1159" i="6"/>
  <c r="AD1125" i="6"/>
  <c r="AD1217" i="6"/>
  <c r="AH1161" i="6"/>
  <c r="AD1041" i="6"/>
  <c r="BA1091" i="6"/>
  <c r="Q1092" i="6" s="1"/>
  <c r="AG1091" i="6"/>
  <c r="AD1016" i="6"/>
  <c r="BO1073" i="6"/>
  <c r="BN1074" i="6" s="1"/>
  <c r="BO1074" i="6" s="1"/>
  <c r="BN1075" i="6" s="1"/>
  <c r="AD986" i="6"/>
  <c r="BF1074" i="6"/>
  <c r="V1075" i="6" s="1"/>
  <c r="AH1074" i="6"/>
  <c r="AQ948" i="6"/>
  <c r="AD829" i="6"/>
  <c r="AG908" i="6"/>
  <c r="AD878" i="6"/>
  <c r="AG911" i="6"/>
  <c r="AG876" i="6"/>
  <c r="AK834" i="6"/>
  <c r="BF966" i="6"/>
  <c r="V967" i="6" s="1"/>
  <c r="AH966" i="6"/>
  <c r="AK835" i="6"/>
  <c r="AD719" i="6"/>
  <c r="AQ730" i="6"/>
  <c r="AD678" i="6"/>
  <c r="BA767" i="6"/>
  <c r="Q768" i="6" s="1"/>
  <c r="AG767" i="6"/>
  <c r="AK726" i="6"/>
  <c r="AM726" i="6" s="1"/>
  <c r="BD732" i="6"/>
  <c r="T733" i="6" s="1"/>
  <c r="AP732" i="6"/>
  <c r="AD640" i="6"/>
  <c r="AD658" i="6"/>
  <c r="BO742" i="6"/>
  <c r="BN743" i="6" s="1"/>
  <c r="BO743" i="6" s="1"/>
  <c r="BN744" i="6" s="1"/>
  <c r="BO744" i="6" s="1"/>
  <c r="BN745" i="6" s="1"/>
  <c r="AD463" i="6"/>
  <c r="AH618" i="6"/>
  <c r="AD505" i="6"/>
  <c r="AD474" i="6"/>
  <c r="BF678" i="6"/>
  <c r="V679" i="6" s="1"/>
  <c r="AH678" i="6"/>
  <c r="AD404" i="6"/>
  <c r="AD434" i="6"/>
  <c r="BG588" i="6"/>
  <c r="W589" i="6" s="1"/>
  <c r="AH588" i="6"/>
  <c r="AD374" i="6"/>
  <c r="AD421" i="6"/>
  <c r="BE513" i="6"/>
  <c r="U513" i="6"/>
  <c r="AD227" i="6"/>
  <c r="AD365" i="6"/>
  <c r="AD358" i="6"/>
  <c r="AD264" i="6"/>
  <c r="U333" i="6"/>
  <c r="BE333" i="6"/>
  <c r="AD503" i="6"/>
  <c r="BA484" i="6"/>
  <c r="Q485" i="6" s="1"/>
  <c r="AD277" i="6"/>
  <c r="AD156" i="6"/>
  <c r="BG334" i="6"/>
  <c r="W335" i="6" s="1"/>
  <c r="AH334" i="6"/>
  <c r="AJ205" i="6"/>
  <c r="AD244" i="6"/>
  <c r="AD166" i="6"/>
  <c r="AD216" i="6"/>
  <c r="AW369" i="6"/>
  <c r="M370" i="6" s="1"/>
  <c r="AW370" i="6" s="1"/>
  <c r="M371" i="6" s="1"/>
  <c r="AW371" i="6" s="1"/>
  <c r="M372" i="6" s="1"/>
  <c r="AW372" i="6" s="1"/>
  <c r="AJ194" i="6"/>
  <c r="BO263" i="6"/>
  <c r="BN264" i="6" s="1"/>
  <c r="BO264" i="6" s="1"/>
  <c r="BN265" i="6" s="1"/>
  <c r="AK263" i="6"/>
  <c r="AD31" i="6"/>
  <c r="BG223" i="6"/>
  <c r="W224" i="6" s="1"/>
  <c r="AH223" i="6"/>
  <c r="BO375" i="6"/>
  <c r="BN376" i="6" s="1"/>
  <c r="BO376" i="6" s="1"/>
  <c r="BN377" i="6" s="1"/>
  <c r="AK375" i="6"/>
  <c r="AD232" i="6"/>
  <c r="AD11" i="6"/>
  <c r="AD344" i="6"/>
  <c r="AG269" i="6"/>
  <c r="BA269" i="6"/>
  <c r="Q270" i="6" s="1"/>
  <c r="BF246" i="6"/>
  <c r="V247" i="6" s="1"/>
  <c r="AH246" i="6"/>
  <c r="AZ1215" i="6"/>
  <c r="P1216" i="6" s="1"/>
  <c r="AZ1216" i="6" s="1"/>
  <c r="P1217" i="6" s="1"/>
  <c r="AZ1217" i="6" s="1"/>
  <c r="P1218" i="6" s="1"/>
  <c r="AZ1218" i="6" s="1"/>
  <c r="P1219" i="6" s="1"/>
  <c r="AZ1219" i="6" s="1"/>
  <c r="P1220" i="6" s="1"/>
  <c r="AZ1220" i="6" s="1"/>
  <c r="P1221" i="6" s="1"/>
  <c r="AZ1221" i="6" s="1"/>
  <c r="P1222" i="6" s="1"/>
  <c r="AZ1222" i="6" s="1"/>
  <c r="P1223" i="6" s="1"/>
  <c r="AZ1223" i="6" s="1"/>
  <c r="P1224" i="6" s="1"/>
  <c r="AZ1224" i="6" s="1"/>
  <c r="P1225" i="6" s="1"/>
  <c r="AZ1225" i="6" s="1"/>
  <c r="P1226" i="6" s="1"/>
  <c r="AZ1226" i="6" s="1"/>
  <c r="P1227" i="6" s="1"/>
  <c r="AZ1227" i="6" s="1"/>
  <c r="P1228" i="6" s="1"/>
  <c r="AZ1228" i="6" s="1"/>
  <c r="P1229" i="6" s="1"/>
  <c r="AZ1229" i="6" s="1"/>
  <c r="AI1215" i="6"/>
  <c r="AJ1147" i="6"/>
  <c r="AJ1143" i="6"/>
  <c r="AJ1149" i="6"/>
  <c r="AJ1132" i="6"/>
  <c r="AO1612" i="6"/>
  <c r="AO1606" i="6"/>
  <c r="AO1601" i="6"/>
  <c r="AO1595" i="6"/>
  <c r="BD82" i="6"/>
  <c r="T83" i="6" s="1"/>
  <c r="AG1196" i="6"/>
  <c r="AG726" i="6"/>
  <c r="AL726" i="6" s="1"/>
  <c r="P403" i="6"/>
  <c r="AZ403" i="6" s="1"/>
  <c r="P404" i="6" s="1"/>
  <c r="AF1091" i="6"/>
  <c r="AF1108" i="6"/>
  <c r="AF1102" i="6"/>
  <c r="AF1097" i="6"/>
  <c r="AJ1068" i="6"/>
  <c r="AJ1061" i="6"/>
  <c r="AJ38" i="6"/>
  <c r="AJ8" i="6"/>
  <c r="AJ22" i="6"/>
  <c r="CB38" i="5"/>
  <c r="AD1291" i="6" s="1"/>
  <c r="AJ1041" i="6"/>
  <c r="AJ1046" i="6"/>
  <c r="AJ1029" i="6"/>
  <c r="AJ1049" i="6"/>
  <c r="AJ1044" i="6"/>
  <c r="AJ1048" i="6"/>
  <c r="AJ1022" i="6"/>
  <c r="AJ612" i="6"/>
  <c r="AJ587" i="6"/>
  <c r="AJ600" i="6"/>
  <c r="AJ599" i="6"/>
  <c r="AJ588" i="6"/>
  <c r="AI234" i="6"/>
  <c r="AZ234" i="6"/>
  <c r="P235" i="6" s="1"/>
  <c r="AZ235" i="6" s="1"/>
  <c r="P236" i="6" s="1"/>
  <c r="AZ236" i="6" s="1"/>
  <c r="P237" i="6" s="1"/>
  <c r="AZ237" i="6" s="1"/>
  <c r="P238" i="6" s="1"/>
  <c r="AZ238" i="6" s="1"/>
  <c r="P239" i="6" s="1"/>
  <c r="AZ239" i="6" s="1"/>
  <c r="P240" i="6" s="1"/>
  <c r="AZ240" i="6" s="1"/>
  <c r="P241" i="6" s="1"/>
  <c r="AZ241" i="6" s="1"/>
  <c r="P242" i="6" s="1"/>
  <c r="AZ242" i="6" s="1"/>
  <c r="P243" i="6" s="1"/>
  <c r="AG225" i="6"/>
  <c r="BA162" i="6"/>
  <c r="Q163" i="6" s="1"/>
  <c r="AG162" i="6"/>
  <c r="AO844" i="6"/>
  <c r="AO838" i="6"/>
  <c r="BD838" i="6" s="1"/>
  <c r="T839" i="6" s="1"/>
  <c r="AG655" i="6"/>
  <c r="AF576" i="6"/>
  <c r="AF572" i="6"/>
  <c r="AJ991" i="6"/>
  <c r="AJ979" i="6"/>
  <c r="AJ1010" i="6"/>
  <c r="AJ1008" i="6"/>
  <c r="AJ995" i="6"/>
  <c r="AJ981" i="6"/>
  <c r="AF639" i="6"/>
  <c r="AO551" i="6"/>
  <c r="AO568" i="6"/>
  <c r="AO557" i="6"/>
  <c r="AO562" i="6"/>
  <c r="AG186" i="6"/>
  <c r="AG187" i="6"/>
  <c r="AO1276" i="6"/>
  <c r="AO1270" i="6"/>
  <c r="BD1270" i="6" s="1"/>
  <c r="T1271" i="6" s="1"/>
  <c r="AF757" i="6"/>
  <c r="AF750" i="6"/>
  <c r="AF753" i="6"/>
  <c r="AF749" i="6"/>
  <c r="AF758" i="6"/>
  <c r="AF754" i="6"/>
  <c r="AF562" i="6"/>
  <c r="AF551" i="6"/>
  <c r="AF568" i="6"/>
  <c r="AF557" i="6"/>
  <c r="AO556" i="6"/>
  <c r="AO550" i="6"/>
  <c r="BD550" i="6" s="1"/>
  <c r="T551" i="6" s="1"/>
  <c r="AK12" i="6"/>
  <c r="BA48" i="6"/>
  <c r="Q49" i="6" s="1"/>
  <c r="AD1022" i="6"/>
  <c r="AQ942" i="6"/>
  <c r="BF930" i="6"/>
  <c r="V931" i="6" s="1"/>
  <c r="AH930" i="6"/>
  <c r="AD666" i="6"/>
  <c r="AD486" i="6"/>
  <c r="BF570" i="6"/>
  <c r="V571" i="6" s="1"/>
  <c r="AH570" i="6"/>
  <c r="AK228" i="6"/>
  <c r="AD23" i="6"/>
  <c r="AG978" i="6"/>
  <c r="AG979" i="6"/>
  <c r="AG983" i="6"/>
  <c r="AO124" i="6"/>
  <c r="AO118" i="6"/>
  <c r="BD118" i="6" s="1"/>
  <c r="T119" i="6" s="1"/>
  <c r="BO1564" i="6"/>
  <c r="BN1565" i="6" s="1"/>
  <c r="BO1565" i="6" s="1"/>
  <c r="BN1566" i="6" s="1"/>
  <c r="AD1653" i="6"/>
  <c r="AD1660" i="6"/>
  <c r="AD1643" i="6"/>
  <c r="BE1629" i="6"/>
  <c r="U1629" i="6"/>
  <c r="AD1618" i="6"/>
  <c r="AD1659" i="6"/>
  <c r="AD1654" i="6"/>
  <c r="AD1657" i="6"/>
  <c r="AD1650" i="6"/>
  <c r="BO1631" i="6"/>
  <c r="BN1632" i="6" s="1"/>
  <c r="BO1632" i="6" s="1"/>
  <c r="BN1633" i="6" s="1"/>
  <c r="AD1612" i="6"/>
  <c r="AD1580" i="6"/>
  <c r="AD1563" i="6"/>
  <c r="AD1555" i="6"/>
  <c r="AD1559" i="6"/>
  <c r="AW1557" i="6"/>
  <c r="M1558" i="6" s="1"/>
  <c r="AW1558" i="6" s="1"/>
  <c r="M1559" i="6" s="1"/>
  <c r="AW1559" i="6" s="1"/>
  <c r="M1560" i="6" s="1"/>
  <c r="AW1560" i="6" s="1"/>
  <c r="BE1556" i="6"/>
  <c r="U1556" i="6"/>
  <c r="AK1524" i="6"/>
  <c r="AK1525" i="6"/>
  <c r="BD1525" i="6"/>
  <c r="T1526" i="6" s="1"/>
  <c r="AP1525" i="6"/>
  <c r="AP1485" i="6"/>
  <c r="BF1398" i="6"/>
  <c r="V1399" i="6" s="1"/>
  <c r="AH1398" i="6"/>
  <c r="AJ1340" i="6"/>
  <c r="AJ1355" i="6"/>
  <c r="AJ1343" i="6"/>
  <c r="AJ1345" i="6"/>
  <c r="AD1352" i="6"/>
  <c r="AD1302" i="6"/>
  <c r="AP1341" i="6"/>
  <c r="AP1234" i="6"/>
  <c r="AP1239" i="6"/>
  <c r="AP1244" i="6"/>
  <c r="AD1311" i="6"/>
  <c r="AV1233" i="6"/>
  <c r="L1234" i="6" s="1"/>
  <c r="AV1234" i="6" s="1"/>
  <c r="L1235" i="6" s="1"/>
  <c r="AV1235" i="6" s="1"/>
  <c r="L1236" i="6" s="1"/>
  <c r="AV1236" i="6" s="1"/>
  <c r="BO1349" i="6"/>
  <c r="BN1350" i="6" s="1"/>
  <c r="BO1350" i="6" s="1"/>
  <c r="BN1351" i="6" s="1"/>
  <c r="AK1349" i="6"/>
  <c r="AP1259" i="6"/>
  <c r="BH1336" i="6"/>
  <c r="X1337" i="6" s="1"/>
  <c r="AD1336" i="6"/>
  <c r="AD1214" i="6"/>
  <c r="BO1289" i="6"/>
  <c r="BN1290" i="6" s="1"/>
  <c r="BO1290" i="6" s="1"/>
  <c r="BN1291" i="6" s="1"/>
  <c r="BO1291" i="6" s="1"/>
  <c r="BN1292" i="6" s="1"/>
  <c r="BO1292" i="6" s="1"/>
  <c r="BN1293" i="6" s="1"/>
  <c r="BA1235" i="6"/>
  <c r="Q1236" i="6" s="1"/>
  <c r="BG1236" i="6"/>
  <c r="W1237" i="6" s="1"/>
  <c r="AH1236" i="6"/>
  <c r="AK1200" i="6"/>
  <c r="AD1118" i="6"/>
  <c r="BA1163" i="6"/>
  <c r="Q1164" i="6" s="1"/>
  <c r="AG1163" i="6"/>
  <c r="AM1163" i="6" s="1"/>
  <c r="AD1131" i="6"/>
  <c r="AR1162" i="6"/>
  <c r="AQ1162" i="6"/>
  <c r="AD1120" i="6"/>
  <c r="AH1163" i="6"/>
  <c r="BG1163" i="6"/>
  <c r="W1164" i="6" s="1"/>
  <c r="AD1090" i="6"/>
  <c r="AW1089" i="6"/>
  <c r="M1090" i="6" s="1"/>
  <c r="AW1090" i="6" s="1"/>
  <c r="M1091" i="6" s="1"/>
  <c r="AW1091" i="6" s="1"/>
  <c r="M1092" i="6" s="1"/>
  <c r="AW1092" i="6" s="1"/>
  <c r="M1093" i="6" s="1"/>
  <c r="AD1054" i="6"/>
  <c r="AD1062" i="6"/>
  <c r="BO1130" i="6"/>
  <c r="BN1131" i="6" s="1"/>
  <c r="BO1131" i="6" s="1"/>
  <c r="BN1132" i="6" s="1"/>
  <c r="BO1132" i="6" s="1"/>
  <c r="BN1133" i="6" s="1"/>
  <c r="AD1072" i="6"/>
  <c r="AD1024" i="6"/>
  <c r="AG958" i="6"/>
  <c r="AL943" i="6"/>
  <c r="AR943" i="6"/>
  <c r="AQ943" i="6"/>
  <c r="AD999" i="6"/>
  <c r="AD895" i="6"/>
  <c r="AK947" i="6"/>
  <c r="AR947" i="6" s="1"/>
  <c r="AD897" i="6"/>
  <c r="AK883" i="6"/>
  <c r="AG955" i="6"/>
  <c r="AD851" i="6"/>
  <c r="AD873" i="6"/>
  <c r="AD842" i="6"/>
  <c r="AD855" i="6"/>
  <c r="BA844" i="6"/>
  <c r="Q845" i="6" s="1"/>
  <c r="AK916" i="6"/>
  <c r="BO916" i="6"/>
  <c r="BN917" i="6" s="1"/>
  <c r="AD822" i="6"/>
  <c r="AQ726" i="6"/>
  <c r="AF765" i="6"/>
  <c r="AV765" i="6"/>
  <c r="L766" i="6" s="1"/>
  <c r="AV766" i="6" s="1"/>
  <c r="L767" i="6" s="1"/>
  <c r="AV767" i="6" s="1"/>
  <c r="L768" i="6" s="1"/>
  <c r="AV768" i="6" s="1"/>
  <c r="BD695" i="6"/>
  <c r="T696" i="6" s="1"/>
  <c r="BE657" i="6"/>
  <c r="U657" i="6"/>
  <c r="AD610" i="6"/>
  <c r="AD603" i="6"/>
  <c r="AD642" i="6"/>
  <c r="BG694" i="6"/>
  <c r="W695" i="6" s="1"/>
  <c r="AH694" i="6"/>
  <c r="AW657" i="6"/>
  <c r="M658" i="6" s="1"/>
  <c r="AW658" i="6" s="1"/>
  <c r="M659" i="6" s="1"/>
  <c r="AW659" i="6" s="1"/>
  <c r="M660" i="6" s="1"/>
  <c r="AW660" i="6" s="1"/>
  <c r="AD599" i="6"/>
  <c r="AD652" i="6"/>
  <c r="AH621" i="6"/>
  <c r="AW585" i="6"/>
  <c r="M586" i="6" s="1"/>
  <c r="AW586" i="6" s="1"/>
  <c r="M587" i="6" s="1"/>
  <c r="AW587" i="6" s="1"/>
  <c r="M588" i="6" s="1"/>
  <c r="AW588" i="6" s="1"/>
  <c r="AD502" i="6"/>
  <c r="BO638" i="6"/>
  <c r="BN639" i="6" s="1"/>
  <c r="AK638" i="6"/>
  <c r="AD435" i="6"/>
  <c r="AW549" i="6"/>
  <c r="M550" i="6" s="1"/>
  <c r="AW550" i="6" s="1"/>
  <c r="M551" i="6" s="1"/>
  <c r="AW551" i="6" s="1"/>
  <c r="M552" i="6" s="1"/>
  <c r="AW552" i="6" s="1"/>
  <c r="AD409" i="6"/>
  <c r="AD605" i="6"/>
  <c r="AD443" i="6"/>
  <c r="AD375" i="6"/>
  <c r="AD351" i="6"/>
  <c r="AQ299" i="6"/>
  <c r="AD215" i="6"/>
  <c r="AD278" i="6"/>
  <c r="AD357" i="6"/>
  <c r="AD353" i="6"/>
  <c r="AD334" i="6"/>
  <c r="AD250" i="6"/>
  <c r="AH333" i="6"/>
  <c r="AD268" i="6"/>
  <c r="AD116" i="6"/>
  <c r="AD29" i="6"/>
  <c r="AJ1652" i="6"/>
  <c r="AJ1649" i="6"/>
  <c r="AJ1650" i="6"/>
  <c r="AJ1643" i="6"/>
  <c r="AG232" i="6"/>
  <c r="AJ187" i="6"/>
  <c r="AD172" i="6"/>
  <c r="AD147" i="6"/>
  <c r="L48" i="5"/>
  <c r="BO227" i="6"/>
  <c r="BN228" i="6" s="1"/>
  <c r="BO228" i="6" s="1"/>
  <c r="BN229" i="6" s="1"/>
  <c r="AK227" i="6"/>
  <c r="AG1590" i="6"/>
  <c r="AF1328" i="6"/>
  <c r="AF1332" i="6"/>
  <c r="AF1223" i="6"/>
  <c r="AF1227" i="6"/>
  <c r="AF1228" i="6"/>
  <c r="AF1219" i="6"/>
  <c r="AF248" i="6"/>
  <c r="AF252" i="6"/>
  <c r="AF1138" i="6"/>
  <c r="AF1127" i="6"/>
  <c r="AF1144" i="6"/>
  <c r="AF1133" i="6"/>
  <c r="AF780" i="6"/>
  <c r="AF263" i="6"/>
  <c r="AF280" i="6"/>
  <c r="AF269" i="6"/>
  <c r="AF274" i="6"/>
  <c r="AG294" i="6"/>
  <c r="AO1415" i="6"/>
  <c r="AO1421" i="6"/>
  <c r="AO1432" i="6"/>
  <c r="AO1426" i="6"/>
  <c r="AG1161" i="6"/>
  <c r="AF744" i="6"/>
  <c r="L16" i="5"/>
  <c r="AF67" i="6"/>
  <c r="AF75" i="6"/>
  <c r="AF76" i="6"/>
  <c r="AF71" i="6"/>
  <c r="AD21" i="6"/>
  <c r="AI27" i="6"/>
  <c r="AZ27" i="6"/>
  <c r="P28" i="6" s="1"/>
  <c r="AZ28" i="6" s="1"/>
  <c r="P29" i="6" s="1"/>
  <c r="AZ29" i="6" s="1"/>
  <c r="P30" i="6" s="1"/>
  <c r="AZ30" i="6" s="1"/>
  <c r="P31" i="6" s="1"/>
  <c r="AF1464" i="6"/>
  <c r="L21" i="5"/>
  <c r="AF457" i="6"/>
  <c r="AJ25" i="6"/>
  <c r="AF427" i="6"/>
  <c r="AF436" i="6"/>
  <c r="AF435" i="6"/>
  <c r="AF431" i="6"/>
  <c r="AO160" i="6"/>
  <c r="AO154" i="6"/>
  <c r="BD154" i="6" s="1"/>
  <c r="T155" i="6" s="1"/>
  <c r="AD33" i="6"/>
  <c r="AF819" i="6"/>
  <c r="AF810" i="6"/>
  <c r="AJ326" i="6"/>
  <c r="AJ325" i="6"/>
  <c r="AJ320" i="6"/>
  <c r="AJ296" i="6"/>
  <c r="AJ301" i="6"/>
  <c r="AJ321" i="6"/>
  <c r="AJ312" i="6"/>
  <c r="AJ310" i="6"/>
  <c r="AJ297" i="6"/>
  <c r="AJ309" i="6"/>
  <c r="AJ311" i="6"/>
  <c r="AJ298" i="6"/>
  <c r="AJ308" i="6"/>
  <c r="AF101" i="6"/>
  <c r="AF110" i="6"/>
  <c r="AF102" i="6"/>
  <c r="AF105" i="6"/>
  <c r="AF106" i="6"/>
  <c r="AF109" i="6"/>
  <c r="AF607" i="6"/>
  <c r="AF615" i="6"/>
  <c r="AF611" i="6"/>
  <c r="AF616" i="6"/>
  <c r="AJ67" i="6"/>
  <c r="BE1592" i="6"/>
  <c r="U1592" i="6"/>
  <c r="BE980" i="6"/>
  <c r="U980" i="6"/>
  <c r="AH912" i="6"/>
  <c r="BG912" i="6"/>
  <c r="W913" i="6" s="1"/>
  <c r="AD688" i="6"/>
  <c r="AD267" i="6"/>
  <c r="AD206" i="6"/>
  <c r="AF1576" i="6"/>
  <c r="AF1565" i="6"/>
  <c r="AF1570" i="6"/>
  <c r="AF1559" i="6"/>
  <c r="AK1533" i="6"/>
  <c r="AD1627" i="6"/>
  <c r="BF1650" i="6"/>
  <c r="V1651" i="6" s="1"/>
  <c r="AH1650" i="6"/>
  <c r="AD1533" i="6"/>
  <c r="AD1622" i="6"/>
  <c r="BD1631" i="6"/>
  <c r="T1632" i="6" s="1"/>
  <c r="BA1632" i="6"/>
  <c r="Q1633" i="6" s="1"/>
  <c r="AD1610" i="6"/>
  <c r="AD1594" i="6"/>
  <c r="AD1591" i="6"/>
  <c r="AD1577" i="6"/>
  <c r="AH1602" i="6"/>
  <c r="BG1602" i="6"/>
  <c r="W1603" i="6" s="1"/>
  <c r="AD1573" i="6"/>
  <c r="AP1557" i="6"/>
  <c r="AP1484" i="6"/>
  <c r="AD1449" i="6"/>
  <c r="BF1470" i="6"/>
  <c r="V1471" i="6" s="1"/>
  <c r="AH1470" i="6"/>
  <c r="BG1415" i="6"/>
  <c r="W1416" i="6" s="1"/>
  <c r="AH1415" i="6"/>
  <c r="AP1378" i="6"/>
  <c r="AH1343" i="6"/>
  <c r="AD1296" i="6"/>
  <c r="AD1303" i="6"/>
  <c r="BE1341" i="6"/>
  <c r="U1341" i="6"/>
  <c r="AJ1351" i="6"/>
  <c r="AD1284" i="6"/>
  <c r="AP1248" i="6"/>
  <c r="AG1311" i="6"/>
  <c r="AD1254" i="6"/>
  <c r="AD1228" i="6"/>
  <c r="AP1249" i="6"/>
  <c r="BG1308" i="6"/>
  <c r="W1309" i="6" s="1"/>
  <c r="AH1308" i="6"/>
  <c r="AH1198" i="6"/>
  <c r="AD1212" i="6"/>
  <c r="AD1221" i="6"/>
  <c r="BH1298" i="6"/>
  <c r="X1299" i="6" s="1"/>
  <c r="AD1298" i="6"/>
  <c r="BE1160" i="6"/>
  <c r="U1160" i="6"/>
  <c r="AD1124" i="6"/>
  <c r="AG1162" i="6"/>
  <c r="AM1162" i="6" s="1"/>
  <c r="BA1199" i="6"/>
  <c r="Q1200" i="6" s="1"/>
  <c r="AG1199" i="6"/>
  <c r="AD1078" i="6"/>
  <c r="U1125" i="6"/>
  <c r="BE1125" i="6"/>
  <c r="BH1134" i="6"/>
  <c r="X1135" i="6" s="1"/>
  <c r="AD1134" i="6"/>
  <c r="AD981" i="6"/>
  <c r="AD998" i="6"/>
  <c r="AD1035" i="6"/>
  <c r="BO1096" i="6"/>
  <c r="BN1097" i="6" s="1"/>
  <c r="BO1097" i="6" s="1"/>
  <c r="BN1098" i="6" s="1"/>
  <c r="AK1096" i="6"/>
  <c r="BA1055" i="6"/>
  <c r="Q1056" i="6" s="1"/>
  <c r="AH1017" i="6"/>
  <c r="AK1029" i="6"/>
  <c r="AI963" i="6"/>
  <c r="BH1047" i="6"/>
  <c r="X1048" i="6" s="1"/>
  <c r="BH1048" i="6" s="1"/>
  <c r="X1049" i="6" s="1"/>
  <c r="AD1047" i="6"/>
  <c r="AD885" i="6"/>
  <c r="AH872" i="6"/>
  <c r="BA959" i="6"/>
  <c r="Q960" i="6" s="1"/>
  <c r="AG959" i="6"/>
  <c r="AG873" i="6"/>
  <c r="AD804" i="6"/>
  <c r="BD872" i="6"/>
  <c r="T873" i="6" s="1"/>
  <c r="AP872" i="6"/>
  <c r="AD827" i="6"/>
  <c r="AP802" i="6"/>
  <c r="BE836" i="6"/>
  <c r="U836" i="6"/>
  <c r="BD910" i="6"/>
  <c r="T911" i="6" s="1"/>
  <c r="AP910" i="6"/>
  <c r="BE765" i="6"/>
  <c r="U765" i="6"/>
  <c r="AD805" i="6"/>
  <c r="AW837" i="6"/>
  <c r="M838" i="6" s="1"/>
  <c r="AW838" i="6" s="1"/>
  <c r="M839" i="6" s="1"/>
  <c r="AW839" i="6" s="1"/>
  <c r="M840" i="6" s="1"/>
  <c r="AW840" i="6" s="1"/>
  <c r="AD607" i="6"/>
  <c r="AQ732" i="6"/>
  <c r="AP658" i="6"/>
  <c r="BD658" i="6"/>
  <c r="T659" i="6" s="1"/>
  <c r="BA695" i="6"/>
  <c r="Q696" i="6" s="1"/>
  <c r="AD634" i="6"/>
  <c r="AW693" i="6"/>
  <c r="M694" i="6" s="1"/>
  <c r="AW694" i="6" s="1"/>
  <c r="M695" i="6" s="1"/>
  <c r="AW695" i="6" s="1"/>
  <c r="M696" i="6" s="1"/>
  <c r="AW696" i="6" s="1"/>
  <c r="AV693" i="6"/>
  <c r="L694" i="6" s="1"/>
  <c r="AV694" i="6" s="1"/>
  <c r="L695" i="6" s="1"/>
  <c r="AV695" i="6" s="1"/>
  <c r="L696" i="6" s="1"/>
  <c r="AV696" i="6" s="1"/>
  <c r="AD451" i="6"/>
  <c r="AD504" i="6"/>
  <c r="AK564" i="6"/>
  <c r="AD392" i="6"/>
  <c r="AD366" i="6"/>
  <c r="BE478" i="6"/>
  <c r="U478" i="6"/>
  <c r="AD364" i="6"/>
  <c r="AD419" i="6"/>
  <c r="AD398" i="6"/>
  <c r="AD396" i="6"/>
  <c r="AD348" i="6"/>
  <c r="BG441" i="6"/>
  <c r="W442" i="6" s="1"/>
  <c r="AH441" i="6"/>
  <c r="AJ199" i="6"/>
  <c r="AD355" i="6"/>
  <c r="AD214" i="6"/>
  <c r="AD144" i="6"/>
  <c r="AJ197" i="6"/>
  <c r="AD118" i="6"/>
  <c r="AR294" i="6"/>
  <c r="AQ294" i="6"/>
  <c r="AM294" i="6"/>
  <c r="AL294" i="6"/>
  <c r="AW225" i="6"/>
  <c r="M226" i="6" s="1"/>
  <c r="AW226" i="6" s="1"/>
  <c r="M227" i="6" s="1"/>
  <c r="AW227" i="6" s="1"/>
  <c r="M228" i="6" s="1"/>
  <c r="AW228" i="6" s="1"/>
  <c r="AD188" i="6"/>
  <c r="AD193" i="6"/>
  <c r="AD179" i="6"/>
  <c r="AJ221" i="6"/>
  <c r="BD263" i="6"/>
  <c r="T264" i="6" s="1"/>
  <c r="AD38" i="6"/>
  <c r="AJ1477" i="6"/>
  <c r="AJ1473" i="6"/>
  <c r="AJ1461" i="6"/>
  <c r="AJ1465" i="6"/>
  <c r="AJ1474" i="6"/>
  <c r="AJ1449" i="6"/>
  <c r="AD204" i="6"/>
  <c r="BF354" i="6"/>
  <c r="V355" i="6" s="1"/>
  <c r="AH354" i="6"/>
  <c r="AD342" i="6"/>
  <c r="AO1349" i="6"/>
  <c r="AO1360" i="6"/>
  <c r="AO1354" i="6"/>
  <c r="AO1343" i="6"/>
  <c r="AJ198" i="6"/>
  <c r="AF1116" i="6"/>
  <c r="AF1112" i="6"/>
  <c r="AF787" i="6"/>
  <c r="AF795" i="6"/>
  <c r="AF796" i="6"/>
  <c r="AF791" i="6"/>
  <c r="AF680" i="6"/>
  <c r="AF684" i="6"/>
  <c r="AF363" i="6"/>
  <c r="AF359" i="6"/>
  <c r="AF364" i="6"/>
  <c r="AF355" i="6"/>
  <c r="AG333" i="6"/>
  <c r="AF1620" i="6"/>
  <c r="AF1616" i="6"/>
  <c r="AF470" i="6"/>
  <c r="AF461" i="6"/>
  <c r="AF466" i="6"/>
  <c r="AF469" i="6"/>
  <c r="AF462" i="6"/>
  <c r="AF465" i="6"/>
  <c r="AJ21" i="6"/>
  <c r="BF282" i="6"/>
  <c r="V283" i="6" s="1"/>
  <c r="AH282" i="6"/>
  <c r="BE9" i="6"/>
  <c r="U9" i="6"/>
  <c r="AF1509" i="6"/>
  <c r="AF1514" i="6"/>
  <c r="AF1505" i="6"/>
  <c r="AF1510" i="6"/>
  <c r="AF1513" i="6"/>
  <c r="AF1506" i="6"/>
  <c r="AF1147" i="6"/>
  <c r="AF1155" i="6"/>
  <c r="AF1156" i="6"/>
  <c r="AF1151" i="6"/>
  <c r="AO640" i="6"/>
  <c r="AO623" i="6"/>
  <c r="AO629" i="6"/>
  <c r="AO634" i="6"/>
  <c r="AO448" i="6"/>
  <c r="AO442" i="6"/>
  <c r="AF208" i="6"/>
  <c r="AF197" i="6"/>
  <c r="AF191" i="6"/>
  <c r="AF202" i="6"/>
  <c r="AG260" i="6"/>
  <c r="AF1609" i="6"/>
  <c r="AF1111" i="6"/>
  <c r="AF1119" i="6"/>
  <c r="AF1120" i="6"/>
  <c r="AF1115" i="6"/>
  <c r="AO1036" i="6"/>
  <c r="AO1030" i="6"/>
  <c r="AO1019" i="6"/>
  <c r="AO1025" i="6"/>
  <c r="AF251" i="6"/>
  <c r="AF256" i="6"/>
  <c r="AF247" i="6"/>
  <c r="AF255" i="6"/>
  <c r="AO172" i="6"/>
  <c r="AO161" i="6"/>
  <c r="AO155" i="6"/>
  <c r="AO166" i="6"/>
  <c r="AJ40" i="6"/>
  <c r="AG1302" i="6"/>
  <c r="AF1188" i="6"/>
  <c r="AF1184" i="6"/>
  <c r="AO802" i="6"/>
  <c r="BD802" i="6" s="1"/>
  <c r="T803" i="6" s="1"/>
  <c r="AO808" i="6"/>
  <c r="AO136" i="6"/>
  <c r="AO125" i="6"/>
  <c r="AO130" i="6"/>
  <c r="AO119" i="6"/>
  <c r="AZ1287" i="6"/>
  <c r="P1288" i="6" s="1"/>
  <c r="AZ1288" i="6" s="1"/>
  <c r="P1289" i="6" s="1"/>
  <c r="AZ1289" i="6" s="1"/>
  <c r="P1290" i="6" s="1"/>
  <c r="AZ1290" i="6" s="1"/>
  <c r="P1291" i="6" s="1"/>
  <c r="AZ1291" i="6" s="1"/>
  <c r="P1292" i="6" s="1"/>
  <c r="AZ1292" i="6" s="1"/>
  <c r="P1293" i="6" s="1"/>
  <c r="AZ1293" i="6" s="1"/>
  <c r="P1294" i="6" s="1"/>
  <c r="AZ1294" i="6" s="1"/>
  <c r="P1295" i="6" s="1"/>
  <c r="AZ1295" i="6" s="1"/>
  <c r="P1296" i="6" s="1"/>
  <c r="AZ1296" i="6" s="1"/>
  <c r="P1297" i="6" s="1"/>
  <c r="AZ1297" i="6" s="1"/>
  <c r="P1298" i="6" s="1"/>
  <c r="AZ1298" i="6" s="1"/>
  <c r="P1299" i="6" s="1"/>
  <c r="AZ1299" i="6" s="1"/>
  <c r="P1300" i="6" s="1"/>
  <c r="AZ1300" i="6" s="1"/>
  <c r="P1301" i="6" s="1"/>
  <c r="AZ1301" i="6" s="1"/>
  <c r="AI1287" i="6"/>
  <c r="AF1185" i="6"/>
  <c r="AF1181" i="6"/>
  <c r="AF1189" i="6"/>
  <c r="AF1186" i="6"/>
  <c r="AF1190" i="6"/>
  <c r="AF1182" i="6"/>
  <c r="AF994" i="6"/>
  <c r="AF983" i="6"/>
  <c r="AF989" i="6"/>
  <c r="AF1000" i="6"/>
  <c r="AF1291" i="6"/>
  <c r="AF1299" i="6"/>
  <c r="AF1295" i="6"/>
  <c r="AF1300" i="6"/>
  <c r="AO772" i="6"/>
  <c r="AO766" i="6"/>
  <c r="BD766" i="6" s="1"/>
  <c r="T767" i="6" s="1"/>
  <c r="BA197" i="6"/>
  <c r="Q198" i="6" s="1"/>
  <c r="AJ9" i="6"/>
  <c r="AO1204" i="6"/>
  <c r="AO1198" i="6"/>
  <c r="BD1198" i="6" s="1"/>
  <c r="T1199" i="6" s="1"/>
  <c r="CC18" i="5"/>
  <c r="CB18" i="5" s="1"/>
  <c r="AD547" i="6" s="1"/>
  <c r="BO64" i="6"/>
  <c r="BN65" i="6" s="1"/>
  <c r="BO65" i="6" s="1"/>
  <c r="BN66" i="6" s="1"/>
  <c r="BO66" i="6" s="1"/>
  <c r="BN67" i="6" s="1"/>
  <c r="AG801" i="6"/>
  <c r="AD1626" i="6"/>
  <c r="AD1595" i="6"/>
  <c r="BG1199" i="6"/>
  <c r="W1200" i="6" s="1"/>
  <c r="AH1199" i="6"/>
  <c r="AD1043" i="6"/>
  <c r="AH981" i="6"/>
  <c r="BG981" i="6"/>
  <c r="W982" i="6" s="1"/>
  <c r="AD893" i="6"/>
  <c r="BO861" i="6"/>
  <c r="BN862" i="6" s="1"/>
  <c r="AD582" i="6"/>
  <c r="AD168" i="6"/>
  <c r="AD131" i="6"/>
  <c r="P727" i="6"/>
  <c r="BA1599" i="6"/>
  <c r="Q1600" i="6" s="1"/>
  <c r="AD1661" i="6"/>
  <c r="AD1647" i="6"/>
  <c r="AD1652" i="6"/>
  <c r="AD1646" i="6"/>
  <c r="AD1651" i="6"/>
  <c r="AD1636" i="6"/>
  <c r="AD1609" i="6"/>
  <c r="AD1621" i="6"/>
  <c r="AD1578" i="6"/>
  <c r="AD1554" i="6"/>
  <c r="AD1527" i="6"/>
  <c r="BF1578" i="6"/>
  <c r="V1579" i="6" s="1"/>
  <c r="AH1578" i="6"/>
  <c r="BG1557" i="6"/>
  <c r="W1558" i="6" s="1"/>
  <c r="AH1557" i="6"/>
  <c r="AK1526" i="6"/>
  <c r="AW1521" i="6"/>
  <c r="M1522" i="6" s="1"/>
  <c r="AW1522" i="6" s="1"/>
  <c r="M1523" i="6" s="1"/>
  <c r="AW1523" i="6" s="1"/>
  <c r="M1524" i="6" s="1"/>
  <c r="AW1524" i="6" s="1"/>
  <c r="M1525" i="6" s="1"/>
  <c r="AD1478" i="6"/>
  <c r="AD1476" i="6"/>
  <c r="AH1491" i="6"/>
  <c r="BG1491" i="6"/>
  <c r="W1492" i="6" s="1"/>
  <c r="AD1453" i="6"/>
  <c r="BA1487" i="6"/>
  <c r="Q1488" i="6" s="1"/>
  <c r="AH1449" i="6"/>
  <c r="AF1413" i="6"/>
  <c r="AV1413" i="6"/>
  <c r="L1414" i="6" s="1"/>
  <c r="AV1414" i="6" s="1"/>
  <c r="L1415" i="6" s="1"/>
  <c r="AV1415" i="6" s="1"/>
  <c r="L1416" i="6" s="1"/>
  <c r="AV1416" i="6" s="1"/>
  <c r="AH1413" i="6"/>
  <c r="BE1448" i="6"/>
  <c r="U1448" i="6"/>
  <c r="BO1377" i="6"/>
  <c r="BN1378" i="6" s="1"/>
  <c r="BO1378" i="6" s="1"/>
  <c r="BN1379" i="6" s="1"/>
  <c r="AK1377" i="6"/>
  <c r="BE1378" i="6"/>
  <c r="U1378" i="6"/>
  <c r="AK1350" i="6"/>
  <c r="AJ1350" i="6"/>
  <c r="BA1416" i="6"/>
  <c r="Q1417" i="6" s="1"/>
  <c r="AJ1353" i="6"/>
  <c r="AJ1352" i="6"/>
  <c r="AJ1342" i="6"/>
  <c r="AH1306" i="6"/>
  <c r="AD1322" i="6"/>
  <c r="AD1241" i="6"/>
  <c r="AD1326" i="6"/>
  <c r="AG1341" i="6"/>
  <c r="AD1226" i="6"/>
  <c r="AH1233" i="6"/>
  <c r="BA1312" i="6"/>
  <c r="Q1313" i="6" s="1"/>
  <c r="AG1312" i="6"/>
  <c r="AH1307" i="6"/>
  <c r="AP1242" i="6"/>
  <c r="BO1241" i="6"/>
  <c r="BN1242" i="6" s="1"/>
  <c r="BO1242" i="6" s="1"/>
  <c r="BN1243" i="6" s="1"/>
  <c r="AD1094" i="6"/>
  <c r="AD1203" i="6"/>
  <c r="AD1102" i="6"/>
  <c r="AD1068" i="6"/>
  <c r="AD1117" i="6"/>
  <c r="BO1173" i="6"/>
  <c r="BN1174" i="6" s="1"/>
  <c r="BO1174" i="6" s="1"/>
  <c r="BN1175" i="6" s="1"/>
  <c r="AK1173" i="6"/>
  <c r="AF1089" i="6"/>
  <c r="AD1095" i="6"/>
  <c r="AM1158" i="6"/>
  <c r="AL1158" i="6"/>
  <c r="AR1158" i="6"/>
  <c r="AQ1158" i="6"/>
  <c r="AD1023" i="6"/>
  <c r="AD988" i="6"/>
  <c r="AW1053" i="6"/>
  <c r="M1054" i="6" s="1"/>
  <c r="AW1054" i="6" s="1"/>
  <c r="M1055" i="6" s="1"/>
  <c r="AW1055" i="6" s="1"/>
  <c r="M1056" i="6" s="1"/>
  <c r="AW1056" i="6" s="1"/>
  <c r="AW1017" i="6"/>
  <c r="M1018" i="6" s="1"/>
  <c r="AW1018" i="6" s="1"/>
  <c r="M1019" i="6" s="1"/>
  <c r="AW1019" i="6" s="1"/>
  <c r="M1020" i="6" s="1"/>
  <c r="AW1020" i="6" s="1"/>
  <c r="M1021" i="6" s="1"/>
  <c r="AI954" i="6"/>
  <c r="BG1019" i="6"/>
  <c r="W1020" i="6" s="1"/>
  <c r="AH1019" i="6"/>
  <c r="AG952" i="6"/>
  <c r="AD823" i="6"/>
  <c r="AH911" i="6"/>
  <c r="AD883" i="6"/>
  <c r="AD817" i="6"/>
  <c r="AD830" i="6"/>
  <c r="AV873" i="6"/>
  <c r="L874" i="6" s="1"/>
  <c r="AV874" i="6" s="1"/>
  <c r="L875" i="6" s="1"/>
  <c r="AV875" i="6" s="1"/>
  <c r="L876" i="6" s="1"/>
  <c r="AV876" i="6" s="1"/>
  <c r="AF873" i="6"/>
  <c r="AG875" i="6"/>
  <c r="AG874" i="6"/>
  <c r="AK770" i="6"/>
  <c r="AD724" i="6"/>
  <c r="AD684" i="6"/>
  <c r="AD694" i="6"/>
  <c r="AD812" i="6"/>
  <c r="AD638" i="6"/>
  <c r="AK654" i="6"/>
  <c r="AD627" i="6"/>
  <c r="AD664" i="6"/>
  <c r="AD592" i="6"/>
  <c r="BO659" i="6"/>
  <c r="BN660" i="6" s="1"/>
  <c r="BO660" i="6" s="1"/>
  <c r="BN661" i="6" s="1"/>
  <c r="AK563" i="6"/>
  <c r="AQ511" i="6"/>
  <c r="AD468" i="6"/>
  <c r="AD432" i="6"/>
  <c r="AD466" i="6"/>
  <c r="AH620" i="6"/>
  <c r="AD493" i="6"/>
  <c r="AD457" i="6"/>
  <c r="AD462" i="6"/>
  <c r="BG657" i="6"/>
  <c r="W658" i="6" s="1"/>
  <c r="AH657" i="6"/>
  <c r="AD373" i="6"/>
  <c r="BE442" i="6"/>
  <c r="U442" i="6"/>
  <c r="AD630" i="6"/>
  <c r="BF606" i="6"/>
  <c r="V607" i="6" s="1"/>
  <c r="AH606" i="6"/>
  <c r="AD372" i="6"/>
  <c r="AV513" i="6"/>
  <c r="L514" i="6" s="1"/>
  <c r="AV514" i="6" s="1"/>
  <c r="L515" i="6" s="1"/>
  <c r="AV515" i="6" s="1"/>
  <c r="L516" i="6" s="1"/>
  <c r="AV516" i="6" s="1"/>
  <c r="AF513" i="6"/>
  <c r="AD437" i="6"/>
  <c r="AD287" i="6"/>
  <c r="AD345" i="6"/>
  <c r="AD343" i="6"/>
  <c r="AD288" i="6"/>
  <c r="AG404" i="6"/>
  <c r="BD334" i="6"/>
  <c r="T335" i="6" s="1"/>
  <c r="AD256" i="6"/>
  <c r="AD280" i="6"/>
  <c r="AD243" i="6"/>
  <c r="BO411" i="6"/>
  <c r="BN412" i="6" s="1"/>
  <c r="BO412" i="6" s="1"/>
  <c r="BN413" i="6" s="1"/>
  <c r="AK186" i="6"/>
  <c r="AD164" i="6"/>
  <c r="AD140" i="6"/>
  <c r="AV333" i="6"/>
  <c r="L334" i="6" s="1"/>
  <c r="AV334" i="6" s="1"/>
  <c r="L335" i="6" s="1"/>
  <c r="AV335" i="6" s="1"/>
  <c r="L336" i="6" s="1"/>
  <c r="AV336" i="6" s="1"/>
  <c r="BO339" i="6"/>
  <c r="BN340" i="6" s="1"/>
  <c r="BO340" i="6" s="1"/>
  <c r="BN341" i="6" s="1"/>
  <c r="AK339" i="6"/>
  <c r="AD279" i="6"/>
  <c r="AD145" i="6"/>
  <c r="AD184" i="6"/>
  <c r="BE261" i="6"/>
  <c r="U261" i="6"/>
  <c r="AD135" i="6"/>
  <c r="AD18" i="6"/>
  <c r="AD114" i="6"/>
  <c r="AJ196" i="6"/>
  <c r="AZ558" i="6"/>
  <c r="P559" i="6" s="1"/>
  <c r="AZ559" i="6" s="1"/>
  <c r="P560" i="6" s="1"/>
  <c r="AZ560" i="6" s="1"/>
  <c r="P561" i="6" s="1"/>
  <c r="AZ561" i="6" s="1"/>
  <c r="P562" i="6" s="1"/>
  <c r="AZ562" i="6" s="1"/>
  <c r="P563" i="6" s="1"/>
  <c r="AZ563" i="6" s="1"/>
  <c r="P564" i="6" s="1"/>
  <c r="AZ564" i="6" s="1"/>
  <c r="P565" i="6" s="1"/>
  <c r="AZ565" i="6" s="1"/>
  <c r="P566" i="6" s="1"/>
  <c r="AZ566" i="6" s="1"/>
  <c r="P567" i="6" s="1"/>
  <c r="AI558" i="6"/>
  <c r="AJ500" i="6"/>
  <c r="AJ488" i="6"/>
  <c r="AJ476" i="6"/>
  <c r="AO1600" i="6"/>
  <c r="AO1594" i="6"/>
  <c r="BD1594" i="6" s="1"/>
  <c r="T1595" i="6" s="1"/>
  <c r="AJ680" i="6"/>
  <c r="AJ668" i="6"/>
  <c r="AJ660" i="6"/>
  <c r="AJ682" i="6"/>
  <c r="P79" i="6"/>
  <c r="AJ1271" i="6"/>
  <c r="AJ1278" i="6"/>
  <c r="AJ1279" i="6"/>
  <c r="AJ1272" i="6"/>
  <c r="M85" i="6"/>
  <c r="AW85" i="6" s="1"/>
  <c r="M86" i="6" s="1"/>
  <c r="L85" i="6"/>
  <c r="AV85" i="6" s="1"/>
  <c r="L86" i="6" s="1"/>
  <c r="AF1550" i="6"/>
  <c r="AF1542" i="6"/>
  <c r="AF1546" i="6"/>
  <c r="AF1549" i="6"/>
  <c r="AF1541" i="6"/>
  <c r="AF1545" i="6"/>
  <c r="AF940" i="6"/>
  <c r="AF935" i="6"/>
  <c r="AF939" i="6"/>
  <c r="AF931" i="6"/>
  <c r="AG258" i="6"/>
  <c r="AF1055" i="6"/>
  <c r="AF1061" i="6"/>
  <c r="AF1066" i="6"/>
  <c r="AF1072" i="6"/>
  <c r="AF1224" i="6"/>
  <c r="AF1220" i="6"/>
  <c r="AO628" i="6"/>
  <c r="AO622" i="6"/>
  <c r="BD622" i="6" s="1"/>
  <c r="T623" i="6" s="1"/>
  <c r="AF356" i="6"/>
  <c r="AF360" i="6"/>
  <c r="AK25" i="6"/>
  <c r="AO1288" i="6"/>
  <c r="AO1282" i="6"/>
  <c r="AO1277" i="6"/>
  <c r="AO1271" i="6"/>
  <c r="BE81" i="6"/>
  <c r="U81" i="6"/>
  <c r="AJ726" i="6"/>
  <c r="AJ742" i="6"/>
  <c r="AJ754" i="6"/>
  <c r="AZ387" i="6"/>
  <c r="P388" i="6" s="1"/>
  <c r="AZ388" i="6" s="1"/>
  <c r="P389" i="6" s="1"/>
  <c r="AZ389" i="6" s="1"/>
  <c r="P390" i="6" s="1"/>
  <c r="AZ390" i="6" s="1"/>
  <c r="P391" i="6" s="1"/>
  <c r="AZ391" i="6" s="1"/>
  <c r="P392" i="6" s="1"/>
  <c r="AZ392" i="6" s="1"/>
  <c r="P393" i="6" s="1"/>
  <c r="AZ393" i="6" s="1"/>
  <c r="P394" i="6" s="1"/>
  <c r="AZ394" i="6" s="1"/>
  <c r="P395" i="6" s="1"/>
  <c r="AZ395" i="6" s="1"/>
  <c r="P396" i="6" s="1"/>
  <c r="AZ396" i="6" s="1"/>
  <c r="P397" i="6" s="1"/>
  <c r="AZ397" i="6" s="1"/>
  <c r="P398" i="6" s="1"/>
  <c r="AZ398" i="6" s="1"/>
  <c r="P399" i="6" s="1"/>
  <c r="AZ399" i="6" s="1"/>
  <c r="P400" i="6" s="1"/>
  <c r="AZ400" i="6" s="1"/>
  <c r="P401" i="6" s="1"/>
  <c r="AZ401" i="6" s="1"/>
  <c r="AI387" i="6"/>
  <c r="AF171" i="6"/>
  <c r="AF162" i="6"/>
  <c r="AF1288" i="6"/>
  <c r="AF1282" i="6"/>
  <c r="AF1277" i="6"/>
  <c r="AF1271" i="6"/>
  <c r="BG81" i="6"/>
  <c r="W82" i="6" s="1"/>
  <c r="AH81" i="6"/>
  <c r="BF30" i="6"/>
  <c r="V31" i="6" s="1"/>
  <c r="AH30" i="6"/>
  <c r="AG621" i="6"/>
  <c r="AD1641" i="6"/>
  <c r="AD1615" i="6"/>
  <c r="AD1211" i="6"/>
  <c r="AD1197" i="6"/>
  <c r="AD1200" i="6"/>
  <c r="AH1146" i="6"/>
  <c r="BF1146" i="6"/>
  <c r="V1147" i="6" s="1"/>
  <c r="AD604" i="6"/>
  <c r="AD376" i="6"/>
  <c r="BA310" i="6"/>
  <c r="Q311" i="6" s="1"/>
  <c r="AD1582" i="6"/>
  <c r="AD1575" i="6"/>
  <c r="AD1571" i="6"/>
  <c r="AK1527" i="6"/>
  <c r="AK1528" i="6"/>
  <c r="BA1566" i="6"/>
  <c r="Q1567" i="6" s="1"/>
  <c r="AK1522" i="6"/>
  <c r="AD1472" i="6"/>
  <c r="AD1454" i="6"/>
  <c r="AD1409" i="6"/>
  <c r="AJ1373" i="6"/>
  <c r="AJ1370" i="6"/>
  <c r="AD1328" i="6"/>
  <c r="AD1315" i="6"/>
  <c r="AH1305" i="6"/>
  <c r="AD1270" i="6"/>
  <c r="AP1236" i="6"/>
  <c r="AH1341" i="6"/>
  <c r="AH1269" i="6"/>
  <c r="AW1305" i="6"/>
  <c r="M1306" i="6" s="1"/>
  <c r="AW1306" i="6" s="1"/>
  <c r="M1307" i="6" s="1"/>
  <c r="AW1307" i="6" s="1"/>
  <c r="M1308" i="6" s="1"/>
  <c r="AW1308" i="6" s="1"/>
  <c r="AD1230" i="6"/>
  <c r="BO1211" i="6"/>
  <c r="BN1212" i="6" s="1"/>
  <c r="BO1212" i="6" s="1"/>
  <c r="BN1213" i="6" s="1"/>
  <c r="AK1211" i="6"/>
  <c r="AD1122" i="6"/>
  <c r="AD1101" i="6"/>
  <c r="AD1088" i="6"/>
  <c r="AD1074" i="6"/>
  <c r="AD1067" i="6"/>
  <c r="AD1030" i="6"/>
  <c r="BG1094" i="6"/>
  <c r="W1095" i="6" s="1"/>
  <c r="BA985" i="6"/>
  <c r="Q986" i="6" s="1"/>
  <c r="AG985" i="6"/>
  <c r="AG954" i="6"/>
  <c r="AG948" i="6"/>
  <c r="AD853" i="6"/>
  <c r="AD839" i="6"/>
  <c r="AD833" i="6"/>
  <c r="AG879" i="6"/>
  <c r="BA879" i="6"/>
  <c r="Q880" i="6" s="1"/>
  <c r="AD843" i="6"/>
  <c r="BE803" i="6"/>
  <c r="U803" i="6"/>
  <c r="AW873" i="6"/>
  <c r="M874" i="6" s="1"/>
  <c r="AW874" i="6" s="1"/>
  <c r="M875" i="6" s="1"/>
  <c r="AW875" i="6" s="1"/>
  <c r="M876" i="6" s="1"/>
  <c r="AW876" i="6" s="1"/>
  <c r="AQ727" i="6"/>
  <c r="BA803" i="6"/>
  <c r="Q804" i="6" s="1"/>
  <c r="AG803" i="6"/>
  <c r="AD713" i="6"/>
  <c r="AD711" i="6"/>
  <c r="AD718" i="6"/>
  <c r="AD707" i="6"/>
  <c r="AD629" i="6"/>
  <c r="AV657" i="6"/>
  <c r="L658" i="6" s="1"/>
  <c r="AV658" i="6" s="1"/>
  <c r="L659" i="6" s="1"/>
  <c r="AV659" i="6" s="1"/>
  <c r="L660" i="6" s="1"/>
  <c r="AV660" i="6" s="1"/>
  <c r="AP657" i="6"/>
  <c r="AD591" i="6"/>
  <c r="AP694" i="6"/>
  <c r="AD616" i="6"/>
  <c r="AK566" i="6"/>
  <c r="AK567" i="6"/>
  <c r="AM510" i="6"/>
  <c r="AL510" i="6"/>
  <c r="AR510" i="6"/>
  <c r="AQ510" i="6"/>
  <c r="AD455" i="6"/>
  <c r="AD390" i="6"/>
  <c r="AK605" i="6"/>
  <c r="AD388" i="6"/>
  <c r="AV477" i="6"/>
  <c r="L478" i="6" s="1"/>
  <c r="AV478" i="6" s="1"/>
  <c r="L479" i="6" s="1"/>
  <c r="AV479" i="6" s="1"/>
  <c r="L480" i="6" s="1"/>
  <c r="AV480" i="6" s="1"/>
  <c r="AF477" i="6"/>
  <c r="AD399" i="6"/>
  <c r="AD341" i="6"/>
  <c r="AD367" i="6"/>
  <c r="AD346" i="6"/>
  <c r="AD252" i="6"/>
  <c r="AD332" i="6"/>
  <c r="AD330" i="6"/>
  <c r="AD190" i="6"/>
  <c r="AD154" i="6"/>
  <c r="AW261" i="6"/>
  <c r="M262" i="6" s="1"/>
  <c r="AW262" i="6" s="1"/>
  <c r="M263" i="6" s="1"/>
  <c r="AW263" i="6" s="1"/>
  <c r="M264" i="6" s="1"/>
  <c r="AW264" i="6" s="1"/>
  <c r="AD157" i="6"/>
  <c r="BE225" i="6"/>
  <c r="U225" i="6"/>
  <c r="AP332" i="6"/>
  <c r="U117" i="6"/>
  <c r="BE117" i="6"/>
  <c r="AD26" i="6"/>
  <c r="AD19" i="6"/>
  <c r="AJ191" i="6"/>
  <c r="AD17" i="6"/>
  <c r="BE297" i="6"/>
  <c r="U297" i="6"/>
  <c r="AD119" i="6"/>
  <c r="AO1456" i="6"/>
  <c r="AO1450" i="6"/>
  <c r="BD1450" i="6" s="1"/>
  <c r="T1451" i="6" s="1"/>
  <c r="AJ203" i="6"/>
  <c r="AK42" i="6"/>
  <c r="AM78" i="6"/>
  <c r="AL78" i="6"/>
  <c r="AR78" i="6"/>
  <c r="AQ78" i="6"/>
  <c r="AO1565" i="6"/>
  <c r="AO1576" i="6"/>
  <c r="AO1570" i="6"/>
  <c r="AO1559" i="6"/>
  <c r="BD1559" i="6" s="1"/>
  <c r="T1560" i="6" s="1"/>
  <c r="AJ1546" i="6"/>
  <c r="AJ1552" i="6"/>
  <c r="AJ1526" i="6"/>
  <c r="AJ1522" i="6"/>
  <c r="AJ1519" i="6"/>
  <c r="AJ1531" i="6"/>
  <c r="AJ1320" i="6"/>
  <c r="AJ1334" i="6"/>
  <c r="AF1612" i="6"/>
  <c r="AF1606" i="6"/>
  <c r="AF1601" i="6"/>
  <c r="AF1595" i="6"/>
  <c r="AO1486" i="6"/>
  <c r="BD1486" i="6" s="1"/>
  <c r="T1487" i="6" s="1"/>
  <c r="AO1492" i="6"/>
  <c r="AO911" i="6"/>
  <c r="AO928" i="6"/>
  <c r="AO922" i="6"/>
  <c r="AO917" i="6"/>
  <c r="AG763" i="6"/>
  <c r="AG331" i="6"/>
  <c r="AM331" i="6" s="1"/>
  <c r="AF928" i="6"/>
  <c r="AF922" i="6"/>
  <c r="AF911" i="6"/>
  <c r="AF917" i="6"/>
  <c r="AF1113" i="6"/>
  <c r="AF1114" i="6"/>
  <c r="AF1117" i="6"/>
  <c r="AF1110" i="6"/>
  <c r="AF1109" i="6"/>
  <c r="AF1118" i="6"/>
  <c r="AF685" i="6"/>
  <c r="AF678" i="6"/>
  <c r="AF681" i="6"/>
  <c r="AF686" i="6"/>
  <c r="AF677" i="6"/>
  <c r="AF682" i="6"/>
  <c r="AF53" i="6"/>
  <c r="AF58" i="6"/>
  <c r="AF64" i="6"/>
  <c r="AF47" i="6"/>
  <c r="AQ80" i="6"/>
  <c r="AJ29" i="6"/>
  <c r="P1626" i="6"/>
  <c r="AZ1626" i="6" s="1"/>
  <c r="P1627" i="6" s="1"/>
  <c r="AF927" i="6"/>
  <c r="AF918" i="6"/>
  <c r="P690" i="6"/>
  <c r="BG188" i="6"/>
  <c r="W189" i="6" s="1"/>
  <c r="AH188" i="6"/>
  <c r="AJ16" i="6"/>
  <c r="AD6" i="6"/>
  <c r="CC42" i="5"/>
  <c r="CB42" i="5" s="1"/>
  <c r="AD1433" i="6" s="1"/>
  <c r="L10" i="5"/>
  <c r="AJ174" i="6"/>
  <c r="AJ177" i="6"/>
  <c r="AJ178" i="6"/>
  <c r="AJ154" i="6"/>
  <c r="AJ153" i="6"/>
  <c r="AJ165" i="6"/>
  <c r="AJ166" i="6"/>
  <c r="AF1537" i="6"/>
  <c r="AF1407" i="6"/>
  <c r="AF1399" i="6"/>
  <c r="AF1403" i="6"/>
  <c r="AF1408" i="6"/>
  <c r="AF1253" i="6"/>
  <c r="AF1258" i="6"/>
  <c r="AF1261" i="6"/>
  <c r="AF1254" i="6"/>
  <c r="AF1257" i="6"/>
  <c r="AF1262" i="6"/>
  <c r="AF1105" i="6"/>
  <c r="L15" i="5"/>
  <c r="AF241" i="6"/>
  <c r="AF39" i="6"/>
  <c r="AF40" i="6"/>
  <c r="AF31" i="6"/>
  <c r="AF35" i="6"/>
  <c r="AJ766" i="6"/>
  <c r="AJ765" i="6"/>
  <c r="AJ764" i="6"/>
  <c r="AJ770" i="6"/>
  <c r="AG872" i="6"/>
  <c r="AD95" i="6"/>
  <c r="AG1050" i="6"/>
  <c r="AO784" i="6"/>
  <c r="AO773" i="6"/>
  <c r="AO778" i="6"/>
  <c r="AO767" i="6"/>
  <c r="AF540" i="6"/>
  <c r="AF536" i="6"/>
  <c r="BA123" i="6"/>
  <c r="Q124" i="6" s="1"/>
  <c r="AG123" i="6"/>
  <c r="AF1470" i="6"/>
  <c r="AF1473" i="6"/>
  <c r="AF1478" i="6"/>
  <c r="AF1469" i="6"/>
  <c r="AF1474" i="6"/>
  <c r="AF1477" i="6"/>
  <c r="AJ101" i="6"/>
  <c r="AJ106" i="6"/>
  <c r="AJ94" i="6"/>
  <c r="AJ92" i="6"/>
  <c r="AG1015" i="6"/>
  <c r="AF399" i="6"/>
  <c r="AF395" i="6"/>
  <c r="AF400" i="6"/>
  <c r="AF391" i="6"/>
  <c r="AJ68" i="6"/>
  <c r="AJ34" i="6"/>
  <c r="BG8" i="6"/>
  <c r="W9" i="6" s="1"/>
  <c r="AH8" i="6"/>
  <c r="AG584" i="6"/>
  <c r="AG153" i="6"/>
  <c r="AD1598" i="6"/>
  <c r="AG1342" i="6"/>
  <c r="BA1342" i="6"/>
  <c r="Q1343" i="6" s="1"/>
  <c r="AH1002" i="6"/>
  <c r="BF1002" i="6"/>
  <c r="V1003" i="6" s="1"/>
  <c r="AK562" i="6"/>
  <c r="AD473" i="6"/>
  <c r="BF498" i="6"/>
  <c r="V499" i="6" s="1"/>
  <c r="AH498" i="6"/>
  <c r="AF499" i="6"/>
  <c r="AF507" i="6"/>
  <c r="AF503" i="6"/>
  <c r="AF508" i="6"/>
  <c r="AF1629" i="6"/>
  <c r="AV1629" i="6"/>
  <c r="L1630" i="6" s="1"/>
  <c r="AV1630" i="6" s="1"/>
  <c r="L1631" i="6" s="1"/>
  <c r="AV1631" i="6" s="1"/>
  <c r="L1632" i="6" s="1"/>
  <c r="AV1632" i="6" s="1"/>
  <c r="AD1629" i="6"/>
  <c r="AD1649" i="6"/>
  <c r="BF1542" i="6"/>
  <c r="V1543" i="6" s="1"/>
  <c r="AH1542" i="6"/>
  <c r="AD1406" i="6"/>
  <c r="AH1456" i="6"/>
  <c r="BG1456" i="6"/>
  <c r="W1457" i="6" s="1"/>
  <c r="AD1390" i="6"/>
  <c r="AD1421" i="6"/>
  <c r="AJ1364" i="6"/>
  <c r="AD1378" i="6"/>
  <c r="AD1340" i="6"/>
  <c r="AJ1346" i="6"/>
  <c r="AD1285" i="6"/>
  <c r="AF1305" i="6"/>
  <c r="AV1305" i="6"/>
  <c r="L1306" i="6" s="1"/>
  <c r="AV1306" i="6" s="1"/>
  <c r="L1307" i="6" s="1"/>
  <c r="AV1307" i="6" s="1"/>
  <c r="L1308" i="6" s="1"/>
  <c r="AV1308" i="6" s="1"/>
  <c r="AD1229" i="6"/>
  <c r="AD1264" i="6"/>
  <c r="AD1242" i="6"/>
  <c r="AD1215" i="6"/>
  <c r="BF1326" i="6"/>
  <c r="V1327" i="6" s="1"/>
  <c r="AH1326" i="6"/>
  <c r="AD1210" i="6"/>
  <c r="AD1209" i="6"/>
  <c r="BF1254" i="6"/>
  <c r="V1255" i="6" s="1"/>
  <c r="AH1254" i="6"/>
  <c r="BG1271" i="6"/>
  <c r="W1272" i="6" s="1"/>
  <c r="AH1271" i="6"/>
  <c r="AD1121" i="6"/>
  <c r="AP1126" i="6"/>
  <c r="BD1126" i="6"/>
  <c r="T1127" i="6" s="1"/>
  <c r="AD1079" i="6"/>
  <c r="AD1044" i="6"/>
  <c r="AD1089" i="6"/>
  <c r="AD1042" i="6"/>
  <c r="AD1036" i="6"/>
  <c r="AD1028" i="6"/>
  <c r="AD987" i="6"/>
  <c r="AG946" i="6"/>
  <c r="AG957" i="6"/>
  <c r="AG984" i="6"/>
  <c r="AD915" i="6"/>
  <c r="AD811" i="6"/>
  <c r="AD877" i="6"/>
  <c r="AD871" i="6"/>
  <c r="BE872" i="6"/>
  <c r="U872" i="6"/>
  <c r="BG837" i="6"/>
  <c r="W838" i="6" s="1"/>
  <c r="AH837" i="6"/>
  <c r="AD701" i="6"/>
  <c r="AD712" i="6"/>
  <c r="AH765" i="6"/>
  <c r="AD670" i="6"/>
  <c r="AD631" i="6"/>
  <c r="AD595" i="6"/>
  <c r="AD646" i="6"/>
  <c r="AD676" i="6"/>
  <c r="BO716" i="6"/>
  <c r="BN717" i="6" s="1"/>
  <c r="BO717" i="6" s="1"/>
  <c r="BN718" i="6" s="1"/>
  <c r="BO718" i="6" s="1"/>
  <c r="BN719" i="6" s="1"/>
  <c r="AD499" i="6"/>
  <c r="AD439" i="6"/>
  <c r="AG588" i="6"/>
  <c r="BA588" i="6"/>
  <c r="Q589" i="6" s="1"/>
  <c r="AK451" i="6"/>
  <c r="BO568" i="6"/>
  <c r="BN569" i="6" s="1"/>
  <c r="BO569" i="6" s="1"/>
  <c r="BN570" i="6" s="1"/>
  <c r="BO570" i="6" s="1"/>
  <c r="BN571" i="6" s="1"/>
  <c r="BO571" i="6" s="1"/>
  <c r="BN572" i="6" s="1"/>
  <c r="AD380" i="6"/>
  <c r="AD467" i="6"/>
  <c r="AD446" i="6"/>
  <c r="M445" i="6"/>
  <c r="AW445" i="6" s="1"/>
  <c r="M446" i="6" s="1"/>
  <c r="AD362" i="6"/>
  <c r="AH623" i="6"/>
  <c r="BD442" i="6"/>
  <c r="T443" i="6" s="1"/>
  <c r="AD275" i="6"/>
  <c r="AD266" i="6"/>
  <c r="AQ298" i="6"/>
  <c r="AD231" i="6"/>
  <c r="AD192" i="6"/>
  <c r="AD218" i="6"/>
  <c r="AK188" i="6"/>
  <c r="AG227" i="6"/>
  <c r="AQ297" i="6"/>
  <c r="AD124" i="6"/>
  <c r="AD155" i="6"/>
  <c r="BF462" i="6"/>
  <c r="V463" i="6" s="1"/>
  <c r="AH462" i="6"/>
  <c r="AD209" i="6"/>
  <c r="AV153" i="6"/>
  <c r="L154" i="6" s="1"/>
  <c r="AV154" i="6" s="1"/>
  <c r="L155" i="6" s="1"/>
  <c r="AV155" i="6" s="1"/>
  <c r="L156" i="6" s="1"/>
  <c r="AV156" i="6" s="1"/>
  <c r="AF153" i="6"/>
  <c r="AW405" i="6"/>
  <c r="M406" i="6" s="1"/>
  <c r="AW406" i="6" s="1"/>
  <c r="M407" i="6" s="1"/>
  <c r="AW407" i="6" s="1"/>
  <c r="M408" i="6" s="1"/>
  <c r="AW408" i="6" s="1"/>
  <c r="M409" i="6" s="1"/>
  <c r="AZ990" i="6"/>
  <c r="P991" i="6" s="1"/>
  <c r="AZ991" i="6" s="1"/>
  <c r="P992" i="6" s="1"/>
  <c r="AZ992" i="6" s="1"/>
  <c r="P993" i="6" s="1"/>
  <c r="AZ993" i="6" s="1"/>
  <c r="P994" i="6" s="1"/>
  <c r="AZ994" i="6" s="1"/>
  <c r="P995" i="6" s="1"/>
  <c r="AI990" i="6"/>
  <c r="AJ940" i="6"/>
  <c r="AJ928" i="6"/>
  <c r="AJ935" i="6"/>
  <c r="AJ931" i="6"/>
  <c r="AJ906" i="6"/>
  <c r="AJ921" i="6"/>
  <c r="AO479" i="6"/>
  <c r="BD479" i="6" s="1"/>
  <c r="T480" i="6" s="1"/>
  <c r="AO496" i="6"/>
  <c r="AO485" i="6"/>
  <c r="AO490" i="6"/>
  <c r="AF963" i="6"/>
  <c r="AD37" i="6"/>
  <c r="CC41" i="5"/>
  <c r="CB41" i="5" s="1"/>
  <c r="AD1377" i="6" s="1"/>
  <c r="AF1544" i="6"/>
  <c r="AF1548" i="6"/>
  <c r="AJ1408" i="6"/>
  <c r="AJ1401" i="6"/>
  <c r="AJ1403" i="6"/>
  <c r="AJ1384" i="6"/>
  <c r="AJ1396" i="6"/>
  <c r="AJ1376" i="6"/>
  <c r="AG944" i="6"/>
  <c r="AI270" i="6"/>
  <c r="AZ270" i="6"/>
  <c r="P271" i="6" s="1"/>
  <c r="AZ271" i="6" s="1"/>
  <c r="P272" i="6" s="1"/>
  <c r="AZ272" i="6" s="1"/>
  <c r="P273" i="6" s="1"/>
  <c r="AZ273" i="6" s="1"/>
  <c r="P274" i="6" s="1"/>
  <c r="AZ274" i="6" s="1"/>
  <c r="P275" i="6" s="1"/>
  <c r="AZ275" i="6" s="1"/>
  <c r="P276" i="6" s="1"/>
  <c r="AZ276" i="6" s="1"/>
  <c r="P277" i="6" s="1"/>
  <c r="AZ277" i="6" s="1"/>
  <c r="P278" i="6" s="1"/>
  <c r="AZ278" i="6" s="1"/>
  <c r="P279" i="6" s="1"/>
  <c r="AO424" i="6"/>
  <c r="AO413" i="6"/>
  <c r="AO418" i="6"/>
  <c r="AO407" i="6"/>
  <c r="AO232" i="6"/>
  <c r="AO226" i="6"/>
  <c r="BD226" i="6" s="1"/>
  <c r="T227" i="6" s="1"/>
  <c r="L4" i="5"/>
  <c r="AJ563" i="6"/>
  <c r="AJ552" i="6"/>
  <c r="AJ576" i="6"/>
  <c r="AJ564" i="6"/>
  <c r="AJ575" i="6"/>
  <c r="AJ825" i="6"/>
  <c r="AJ811" i="6"/>
  <c r="AJ827" i="6"/>
  <c r="AJ813" i="6"/>
  <c r="AZ450" i="6"/>
  <c r="P451" i="6" s="1"/>
  <c r="AZ451" i="6" s="1"/>
  <c r="P452" i="6" s="1"/>
  <c r="AI450" i="6"/>
  <c r="AF1406" i="6"/>
  <c r="AF1401" i="6"/>
  <c r="AF1402" i="6"/>
  <c r="AF1405" i="6"/>
  <c r="AF1398" i="6"/>
  <c r="AF1397" i="6"/>
  <c r="AF895" i="6"/>
  <c r="AF903" i="6"/>
  <c r="AF899" i="6"/>
  <c r="AF904" i="6"/>
  <c r="AO820" i="6"/>
  <c r="AO809" i="6"/>
  <c r="AO803" i="6"/>
  <c r="AO814" i="6"/>
  <c r="AJ14" i="6"/>
  <c r="AJ1225" i="6"/>
  <c r="AJ1223" i="6"/>
  <c r="AJ1227" i="6"/>
  <c r="AJ1194" i="6"/>
  <c r="AJ26" i="6"/>
  <c r="AO1024" i="6"/>
  <c r="AO1018" i="6"/>
  <c r="BD1018" i="6" s="1"/>
  <c r="T1019" i="6" s="1"/>
  <c r="AF643" i="6"/>
  <c r="AF651" i="6"/>
  <c r="AF647" i="6"/>
  <c r="AF652" i="6"/>
  <c r="AF104" i="6"/>
  <c r="AF108" i="6"/>
  <c r="AJ1187" i="6"/>
  <c r="AJ1190" i="6"/>
  <c r="AJ1176" i="6"/>
  <c r="AJ1164" i="6"/>
  <c r="AF1068" i="6"/>
  <c r="AF537" i="6"/>
  <c r="AF542" i="6"/>
  <c r="AF538" i="6"/>
  <c r="AF534" i="6"/>
  <c r="AF541" i="6"/>
  <c r="AF533" i="6"/>
  <c r="AF335" i="6"/>
  <c r="AF346" i="6"/>
  <c r="AF341" i="6"/>
  <c r="AF352" i="6"/>
  <c r="AG1014" i="6"/>
  <c r="AG369" i="6"/>
  <c r="AK1626" i="6"/>
  <c r="AD1525" i="6"/>
  <c r="AD1358" i="6"/>
  <c r="BH1358" i="6"/>
  <c r="X1359" i="6" s="1"/>
  <c r="AD690" i="6"/>
  <c r="AW729" i="6"/>
  <c r="M730" i="6" s="1"/>
  <c r="AW730" i="6" s="1"/>
  <c r="M731" i="6" s="1"/>
  <c r="AW731" i="6" s="1"/>
  <c r="M732" i="6" s="1"/>
  <c r="AW732" i="6" s="1"/>
  <c r="AQ512" i="6"/>
  <c r="AD410" i="6"/>
  <c r="AD251" i="6"/>
  <c r="AD292" i="6"/>
  <c r="L3" i="5"/>
  <c r="AD1635" i="6"/>
  <c r="AH1629" i="6"/>
  <c r="AD1600" i="6"/>
  <c r="AD1565" i="6"/>
  <c r="AD1435" i="6"/>
  <c r="AD1658" i="6"/>
  <c r="AD1633" i="6"/>
  <c r="AD1645" i="6"/>
  <c r="AD1620" i="6"/>
  <c r="AK1591" i="6"/>
  <c r="AD1567" i="6"/>
  <c r="AK1554" i="6"/>
  <c r="AK1520" i="6"/>
  <c r="AD1532" i="6"/>
  <c r="AG1521" i="6"/>
  <c r="AK1529" i="6"/>
  <c r="AD1492" i="6"/>
  <c r="AD1426" i="6"/>
  <c r="AD1419" i="6"/>
  <c r="AD1394" i="6"/>
  <c r="AD1382" i="6"/>
  <c r="AD1407" i="6"/>
  <c r="BF1434" i="6"/>
  <c r="V1435" i="6" s="1"/>
  <c r="AH1434" i="6"/>
  <c r="AD1411" i="6"/>
  <c r="AJ1360" i="6"/>
  <c r="BO1418" i="6"/>
  <c r="BN1419" i="6" s="1"/>
  <c r="BO1419" i="6" s="1"/>
  <c r="BN1420" i="6" s="1"/>
  <c r="AD1343" i="6"/>
  <c r="AG1340" i="6"/>
  <c r="AJ1339" i="6"/>
  <c r="AD1310" i="6"/>
  <c r="AD1327" i="6"/>
  <c r="AD1297" i="6"/>
  <c r="AD1290" i="6"/>
  <c r="AD1281" i="6"/>
  <c r="AP1255" i="6"/>
  <c r="AD1279" i="6"/>
  <c r="AP1265" i="6"/>
  <c r="AP1238" i="6"/>
  <c r="AP1261" i="6"/>
  <c r="BO1325" i="6"/>
  <c r="BN1326" i="6" s="1"/>
  <c r="BO1326" i="6" s="1"/>
  <c r="BN1327" i="6" s="1"/>
  <c r="AD1198" i="6"/>
  <c r="AK1207" i="6"/>
  <c r="AK1212" i="6"/>
  <c r="BE1233" i="6"/>
  <c r="U1233" i="6"/>
  <c r="AP1257" i="6"/>
  <c r="AW1161" i="6"/>
  <c r="M1162" i="6" s="1"/>
  <c r="AW1162" i="6" s="1"/>
  <c r="M1163" i="6" s="1"/>
  <c r="AW1163" i="6" s="1"/>
  <c r="M1164" i="6" s="1"/>
  <c r="AW1164" i="6" s="1"/>
  <c r="AD1205" i="6"/>
  <c r="AP1165" i="6"/>
  <c r="AQ1165" i="6" s="1"/>
  <c r="BD1165" i="6"/>
  <c r="T1166" i="6" s="1"/>
  <c r="AD1092" i="6"/>
  <c r="AD1109" i="6"/>
  <c r="BG1130" i="6"/>
  <c r="W1131" i="6" s="1"/>
  <c r="AD1052" i="6"/>
  <c r="BA1127" i="6"/>
  <c r="Q1128" i="6" s="1"/>
  <c r="AD1034" i="6"/>
  <c r="U1089" i="6"/>
  <c r="BE1089" i="6"/>
  <c r="AP1052" i="6"/>
  <c r="BD1052" i="6"/>
  <c r="T1053" i="6" s="1"/>
  <c r="BG1052" i="6"/>
  <c r="W1053" i="6" s="1"/>
  <c r="AH1052" i="6"/>
  <c r="AD1027" i="6"/>
  <c r="BE1017" i="6"/>
  <c r="U1017" i="6"/>
  <c r="AG947" i="6"/>
  <c r="AD994" i="6"/>
  <c r="AH1110" i="6"/>
  <c r="BF1110" i="6"/>
  <c r="V1111" i="6" s="1"/>
  <c r="AQ946" i="6"/>
  <c r="AW981" i="6"/>
  <c r="M982" i="6" s="1"/>
  <c r="AW982" i="6" s="1"/>
  <c r="M983" i="6" s="1"/>
  <c r="AW983" i="6" s="1"/>
  <c r="M984" i="6" s="1"/>
  <c r="AW984" i="6" s="1"/>
  <c r="AV981" i="6"/>
  <c r="L982" i="6" s="1"/>
  <c r="AV982" i="6" s="1"/>
  <c r="L983" i="6" s="1"/>
  <c r="AV983" i="6" s="1"/>
  <c r="L984" i="6" s="1"/>
  <c r="AV984" i="6" s="1"/>
  <c r="AK946" i="6"/>
  <c r="AR946" i="6" s="1"/>
  <c r="AG949" i="6"/>
  <c r="BH1000" i="6"/>
  <c r="X1001" i="6" s="1"/>
  <c r="AD1000" i="6"/>
  <c r="AG877" i="6"/>
  <c r="AD864" i="6"/>
  <c r="AD899" i="6"/>
  <c r="AG910" i="6"/>
  <c r="AH873" i="6"/>
  <c r="AH836" i="6"/>
  <c r="AH909" i="6"/>
  <c r="AD889" i="6"/>
  <c r="AG871" i="6"/>
  <c r="AD819" i="6"/>
  <c r="BF894" i="6"/>
  <c r="V895" i="6" s="1"/>
  <c r="AH894" i="6"/>
  <c r="AP801" i="6"/>
  <c r="BF822" i="6"/>
  <c r="V823" i="6" s="1"/>
  <c r="AH822" i="6"/>
  <c r="AD717" i="6"/>
  <c r="BH867" i="6"/>
  <c r="X868" i="6" s="1"/>
  <c r="AD867" i="6"/>
  <c r="AD723" i="6"/>
  <c r="BG766" i="6"/>
  <c r="W767" i="6" s="1"/>
  <c r="AH766" i="6"/>
  <c r="AK690" i="6"/>
  <c r="BE729" i="6"/>
  <c r="U729" i="6"/>
  <c r="AD626" i="6"/>
  <c r="BF750" i="6"/>
  <c r="V751" i="6" s="1"/>
  <c r="AH750" i="6"/>
  <c r="AD654" i="6"/>
  <c r="BO814" i="6"/>
  <c r="BN815" i="6" s="1"/>
  <c r="BO815" i="6" s="1"/>
  <c r="BN816" i="6" s="1"/>
  <c r="AK814" i="6"/>
  <c r="AF549" i="6"/>
  <c r="AV549" i="6"/>
  <c r="L550" i="6" s="1"/>
  <c r="AV550" i="6" s="1"/>
  <c r="L551" i="6" s="1"/>
  <c r="AV551" i="6" s="1"/>
  <c r="L552" i="6" s="1"/>
  <c r="AV552" i="6" s="1"/>
  <c r="AD490" i="6"/>
  <c r="AK596" i="6"/>
  <c r="AD498" i="6"/>
  <c r="AD593" i="6"/>
  <c r="AD397" i="6"/>
  <c r="AD414" i="6"/>
  <c r="AG553" i="6"/>
  <c r="BA553" i="6"/>
  <c r="Q554" i="6" s="1"/>
  <c r="BG477" i="6"/>
  <c r="W478" i="6" s="1"/>
  <c r="AH477" i="6"/>
  <c r="AD423" i="6"/>
  <c r="AD412" i="6"/>
  <c r="AD352" i="6"/>
  <c r="AD427" i="6"/>
  <c r="BG624" i="6"/>
  <c r="W625" i="6" s="1"/>
  <c r="AH624" i="6"/>
  <c r="AH642" i="6"/>
  <c r="BF642" i="6"/>
  <c r="V643" i="6" s="1"/>
  <c r="AK594" i="6"/>
  <c r="BD516" i="6"/>
  <c r="T517" i="6" s="1"/>
  <c r="AP516" i="6"/>
  <c r="AK264" i="6"/>
  <c r="BA413" i="6"/>
  <c r="Q414" i="6" s="1"/>
  <c r="AD238" i="6"/>
  <c r="BA448" i="6"/>
  <c r="Q449" i="6" s="1"/>
  <c r="AG448" i="6"/>
  <c r="AD433" i="6"/>
  <c r="AG231" i="6"/>
  <c r="AJ190" i="6"/>
  <c r="AJ219" i="6"/>
  <c r="BD301" i="6"/>
  <c r="T302" i="6" s="1"/>
  <c r="AP301" i="6"/>
  <c r="AD181" i="6"/>
  <c r="BG260" i="6"/>
  <c r="W261" i="6" s="1"/>
  <c r="AH260" i="6"/>
  <c r="AD167" i="6"/>
  <c r="AD208" i="6"/>
  <c r="AQ296" i="6"/>
  <c r="AD14" i="6"/>
  <c r="AZ1323" i="6"/>
  <c r="P1324" i="6" s="1"/>
  <c r="AI1323" i="6"/>
  <c r="AD159" i="6"/>
  <c r="AK30" i="6"/>
  <c r="AD35" i="6"/>
  <c r="AF342" i="6"/>
  <c r="CC44" i="5"/>
  <c r="CB44" i="5" s="1"/>
  <c r="AD1488" i="6" s="1"/>
  <c r="AF1515" i="6"/>
  <c r="AF1516" i="6"/>
  <c r="AF1511" i="6"/>
  <c r="AF1507" i="6"/>
  <c r="AJ1115" i="6"/>
  <c r="AJ1091" i="6"/>
  <c r="AJ1103" i="6"/>
  <c r="AJ1098" i="6"/>
  <c r="AJ1104" i="6"/>
  <c r="AF954" i="6"/>
  <c r="AG942" i="6"/>
  <c r="AM942" i="6" s="1"/>
  <c r="BH219" i="6"/>
  <c r="X220" i="6" s="1"/>
  <c r="BH220" i="6" s="1"/>
  <c r="X221" i="6" s="1"/>
  <c r="AD219" i="6"/>
  <c r="AI927" i="6"/>
  <c r="AZ927" i="6"/>
  <c r="P928" i="6" s="1"/>
  <c r="AZ928" i="6" s="1"/>
  <c r="P929" i="6" s="1"/>
  <c r="AZ929" i="6" s="1"/>
  <c r="P930" i="6" s="1"/>
  <c r="AZ930" i="6" s="1"/>
  <c r="P931" i="6" s="1"/>
  <c r="AZ931" i="6" s="1"/>
  <c r="P932" i="6" s="1"/>
  <c r="AZ932" i="6" s="1"/>
  <c r="P933" i="6" s="1"/>
  <c r="AZ933" i="6" s="1"/>
  <c r="P934" i="6" s="1"/>
  <c r="AZ934" i="6" s="1"/>
  <c r="P935" i="6" s="1"/>
  <c r="AZ935" i="6" s="1"/>
  <c r="P936" i="6" s="1"/>
  <c r="AZ936" i="6" s="1"/>
  <c r="P937" i="6" s="1"/>
  <c r="AZ937" i="6" s="1"/>
  <c r="P938" i="6" s="1"/>
  <c r="AZ938" i="6" s="1"/>
  <c r="P939" i="6" s="1"/>
  <c r="AZ939" i="6" s="1"/>
  <c r="P940" i="6" s="1"/>
  <c r="AZ940" i="6" s="1"/>
  <c r="P941" i="6" s="1"/>
  <c r="AZ941" i="6" s="1"/>
  <c r="P474" i="6"/>
  <c r="BF174" i="6"/>
  <c r="V175" i="6" s="1"/>
  <c r="AH174" i="6"/>
  <c r="AJ6" i="6"/>
  <c r="L34" i="5"/>
  <c r="AF723" i="6"/>
  <c r="AF719" i="6"/>
  <c r="AF724" i="6"/>
  <c r="AF715" i="6"/>
  <c r="AO10" i="6"/>
  <c r="BD10" i="6" s="1"/>
  <c r="T11" i="6" s="1"/>
  <c r="AO16" i="6"/>
  <c r="AD195" i="6"/>
  <c r="AK121" i="6"/>
  <c r="AF1008" i="6"/>
  <c r="AF1004" i="6"/>
  <c r="AO406" i="6"/>
  <c r="BD406" i="6" s="1"/>
  <c r="T407" i="6" s="1"/>
  <c r="AO412" i="6"/>
  <c r="AG223" i="6"/>
  <c r="AG222" i="6"/>
  <c r="AF144" i="6"/>
  <c r="AF140" i="6"/>
  <c r="AF25" i="6"/>
  <c r="BG44" i="6"/>
  <c r="W45" i="6" s="1"/>
  <c r="AH44" i="6"/>
  <c r="AO1378" i="6"/>
  <c r="BD1378" i="6" s="1"/>
  <c r="T1379" i="6" s="1"/>
  <c r="AO1384" i="6"/>
  <c r="BE153" i="6"/>
  <c r="U153" i="6"/>
  <c r="AG1482" i="6"/>
  <c r="AF1404" i="6"/>
  <c r="AF1400" i="6"/>
  <c r="AO370" i="6"/>
  <c r="BD370" i="6" s="1"/>
  <c r="T371" i="6" s="1"/>
  <c r="AO376" i="6"/>
  <c r="AF594" i="6"/>
  <c r="AF603" i="6"/>
  <c r="AO988" i="6"/>
  <c r="AO982" i="6"/>
  <c r="BD982" i="6" s="1"/>
  <c r="T983" i="6" s="1"/>
  <c r="AG620" i="6"/>
  <c r="AD1640" i="6"/>
  <c r="AD1638" i="6"/>
  <c r="AD1589" i="6"/>
  <c r="BF1614" i="6"/>
  <c r="V1615" i="6" s="1"/>
  <c r="AH1614" i="6"/>
  <c r="U1305" i="6"/>
  <c r="BE1305" i="6"/>
  <c r="AD1085" i="6"/>
  <c r="AD447" i="6"/>
  <c r="AD403" i="6"/>
  <c r="BG406" i="6"/>
  <c r="W407" i="6" s="1"/>
  <c r="AH406" i="6"/>
  <c r="AD171" i="6"/>
  <c r="BE189" i="6"/>
  <c r="U189" i="6"/>
  <c r="AO1060" i="6"/>
  <c r="AO1054" i="6"/>
  <c r="AF1205" i="6"/>
  <c r="AF1210" i="6"/>
  <c r="AF1199" i="6"/>
  <c r="AF1216" i="6"/>
  <c r="AD1656" i="6"/>
  <c r="AD1644" i="6"/>
  <c r="AD1637" i="6"/>
  <c r="AH1520" i="6"/>
  <c r="AD1628" i="6"/>
  <c r="AD1608" i="6"/>
  <c r="AD1606" i="6"/>
  <c r="AD1587" i="6"/>
  <c r="BO1599" i="6"/>
  <c r="BN1600" i="6" s="1"/>
  <c r="AK1530" i="6"/>
  <c r="BE1521" i="6"/>
  <c r="U1521" i="6"/>
  <c r="AK1521" i="6"/>
  <c r="AD1489" i="6"/>
  <c r="AD1464" i="6"/>
  <c r="AD1469" i="6"/>
  <c r="AD1479" i="6"/>
  <c r="AD1460" i="6"/>
  <c r="BO1496" i="6"/>
  <c r="BN1497" i="6" s="1"/>
  <c r="BO1497" i="6" s="1"/>
  <c r="BN1498" i="6" s="1"/>
  <c r="AD1423" i="6"/>
  <c r="BE1412" i="6"/>
  <c r="U1412" i="6"/>
  <c r="AK1410" i="6"/>
  <c r="AD1357" i="6"/>
  <c r="AK1378" i="6"/>
  <c r="AJ1365" i="6"/>
  <c r="AJ1363" i="6"/>
  <c r="AG1383" i="6"/>
  <c r="BA1383" i="6"/>
  <c r="Q1384" i="6" s="1"/>
  <c r="AP1243" i="6"/>
  <c r="AP1253" i="6"/>
  <c r="BD1343" i="6"/>
  <c r="T1344" i="6" s="1"/>
  <c r="AD1304" i="6"/>
  <c r="AD1338" i="6"/>
  <c r="AP1264" i="6"/>
  <c r="AP1262" i="6"/>
  <c r="U1269" i="6"/>
  <c r="BE1269" i="6"/>
  <c r="AD1218" i="6"/>
  <c r="AD1206" i="6"/>
  <c r="AP1252" i="6"/>
  <c r="AK1174" i="6"/>
  <c r="AK1170" i="6"/>
  <c r="BF1218" i="6"/>
  <c r="V1219" i="6" s="1"/>
  <c r="AH1218" i="6"/>
  <c r="AD1093" i="6"/>
  <c r="AD1086" i="6"/>
  <c r="AD1076" i="6"/>
  <c r="AF1125" i="6"/>
  <c r="AV1125" i="6"/>
  <c r="L1126" i="6" s="1"/>
  <c r="AV1126" i="6" s="1"/>
  <c r="L1127" i="6" s="1"/>
  <c r="AV1127" i="6" s="1"/>
  <c r="L1128" i="6" s="1"/>
  <c r="AV1128" i="6" s="1"/>
  <c r="AD1071" i="6"/>
  <c r="BO1034" i="6"/>
  <c r="BN1035" i="6" s="1"/>
  <c r="BO1035" i="6" s="1"/>
  <c r="BN1036" i="6" s="1"/>
  <c r="AK1034" i="6"/>
  <c r="AG953" i="6"/>
  <c r="AQ947" i="6"/>
  <c r="AD913" i="6"/>
  <c r="BG945" i="6"/>
  <c r="W946" i="6" s="1"/>
  <c r="AH945" i="6"/>
  <c r="AV945" i="6"/>
  <c r="L946" i="6" s="1"/>
  <c r="AV946" i="6" s="1"/>
  <c r="L947" i="6" s="1"/>
  <c r="AV947" i="6" s="1"/>
  <c r="L948" i="6" s="1"/>
  <c r="AV948" i="6" s="1"/>
  <c r="AF945" i="6"/>
  <c r="BD950" i="6"/>
  <c r="T951" i="6" s="1"/>
  <c r="AP950" i="6"/>
  <c r="AD852" i="6"/>
  <c r="AG907" i="6"/>
  <c r="BH916" i="6"/>
  <c r="X917" i="6" s="1"/>
  <c r="AD916" i="6"/>
  <c r="AD815" i="6"/>
  <c r="AK772" i="6"/>
  <c r="AD798" i="6"/>
  <c r="AD725" i="6"/>
  <c r="AD705" i="6"/>
  <c r="AD706" i="6"/>
  <c r="AG587" i="6"/>
  <c r="AD686" i="6"/>
  <c r="AD660" i="6"/>
  <c r="AD492" i="6"/>
  <c r="AD456" i="6"/>
  <c r="AD420" i="6"/>
  <c r="AK601" i="6"/>
  <c r="AD509" i="6"/>
  <c r="AQ516" i="6"/>
  <c r="BE587" i="6"/>
  <c r="U587" i="6"/>
  <c r="AD481" i="6"/>
  <c r="BA661" i="6"/>
  <c r="Q662" i="6" s="1"/>
  <c r="AD361" i="6"/>
  <c r="AD479" i="6"/>
  <c r="AW477" i="6"/>
  <c r="M478" i="6" s="1"/>
  <c r="AW478" i="6" s="1"/>
  <c r="M479" i="6" s="1"/>
  <c r="AW479" i="6" s="1"/>
  <c r="M480" i="6" s="1"/>
  <c r="AW480" i="6" s="1"/>
  <c r="AK630" i="6"/>
  <c r="AD386" i="6"/>
  <c r="AW513" i="6"/>
  <c r="M514" i="6" s="1"/>
  <c r="AW514" i="6" s="1"/>
  <c r="M515" i="6" s="1"/>
  <c r="AW515" i="6" s="1"/>
  <c r="M516" i="6" s="1"/>
  <c r="AW516" i="6" s="1"/>
  <c r="AD336" i="6"/>
  <c r="AD363" i="6"/>
  <c r="AD339" i="6"/>
  <c r="AD263" i="6"/>
  <c r="AD273" i="6"/>
  <c r="AD425" i="6"/>
  <c r="AV369" i="6"/>
  <c r="L370" i="6" s="1"/>
  <c r="AV370" i="6" s="1"/>
  <c r="L371" i="6" s="1"/>
  <c r="AV371" i="6" s="1"/>
  <c r="L372" i="6" s="1"/>
  <c r="AV372" i="6" s="1"/>
  <c r="AD335" i="6"/>
  <c r="BA377" i="6"/>
  <c r="Q378" i="6" s="1"/>
  <c r="AG377" i="6"/>
  <c r="AD276" i="6"/>
  <c r="AD347" i="6"/>
  <c r="AD289" i="6"/>
  <c r="AP226" i="6"/>
  <c r="AD254" i="6"/>
  <c r="AD180" i="6"/>
  <c r="AJ218" i="6"/>
  <c r="AJ216" i="6"/>
  <c r="AP479" i="6"/>
  <c r="AG335" i="6"/>
  <c r="BA335" i="6"/>
  <c r="Q336" i="6" s="1"/>
  <c r="AD220" i="6"/>
  <c r="AD228" i="6"/>
  <c r="AQ295" i="6"/>
  <c r="AD183" i="6"/>
  <c r="AD121" i="6"/>
  <c r="AD7" i="6"/>
  <c r="M193" i="6"/>
  <c r="AW193" i="6" s="1"/>
  <c r="M194" i="6" s="1"/>
  <c r="AJ188" i="6"/>
  <c r="AF1369" i="6"/>
  <c r="AF1365" i="6"/>
  <c r="AF1361" i="6"/>
  <c r="AF1362" i="6"/>
  <c r="AF1370" i="6"/>
  <c r="AF1366" i="6"/>
  <c r="AI342" i="6"/>
  <c r="AD133" i="6"/>
  <c r="AD30" i="6"/>
  <c r="P1591" i="6"/>
  <c r="AJ202" i="6"/>
  <c r="AP82" i="6"/>
  <c r="AF351" i="6"/>
  <c r="AF1011" i="6"/>
  <c r="AF1003" i="6"/>
  <c r="AF1007" i="6"/>
  <c r="AF1012" i="6"/>
  <c r="AF139" i="6"/>
  <c r="AF147" i="6"/>
  <c r="AF148" i="6"/>
  <c r="AF143" i="6"/>
  <c r="AF485" i="6"/>
  <c r="AF490" i="6"/>
  <c r="AF479" i="6"/>
  <c r="AF496" i="6"/>
  <c r="AF1170" i="6"/>
  <c r="AJ37" i="6"/>
  <c r="AJ17" i="6"/>
  <c r="AF1553" i="6"/>
  <c r="P1231" i="6"/>
  <c r="AF886" i="6"/>
  <c r="AF892" i="6"/>
  <c r="AF881" i="6"/>
  <c r="AF875" i="6"/>
  <c r="AJ861" i="6"/>
  <c r="AJ849" i="6"/>
  <c r="AJ867" i="6"/>
  <c r="AJ837" i="6"/>
  <c r="AD13" i="6"/>
  <c r="AO1096" i="6"/>
  <c r="AO1090" i="6"/>
  <c r="BD1090" i="6" s="1"/>
  <c r="T1091" i="6" s="1"/>
  <c r="L28" i="5"/>
  <c r="AI891" i="6"/>
  <c r="AZ891" i="6"/>
  <c r="P892" i="6" s="1"/>
  <c r="AZ892" i="6" s="1"/>
  <c r="P893" i="6" s="1"/>
  <c r="AZ893" i="6" s="1"/>
  <c r="P894" i="6" s="1"/>
  <c r="AZ894" i="6" s="1"/>
  <c r="P895" i="6" s="1"/>
  <c r="AZ895" i="6" s="1"/>
  <c r="P896" i="6" s="1"/>
  <c r="AZ896" i="6" s="1"/>
  <c r="P897" i="6" s="1"/>
  <c r="AZ897" i="6" s="1"/>
  <c r="P898" i="6" s="1"/>
  <c r="AZ898" i="6" s="1"/>
  <c r="P899" i="6" s="1"/>
  <c r="AZ899" i="6" s="1"/>
  <c r="P900" i="6" s="1"/>
  <c r="AZ900" i="6" s="1"/>
  <c r="P901" i="6" s="1"/>
  <c r="AZ901" i="6" s="1"/>
  <c r="P902" i="6" s="1"/>
  <c r="AZ902" i="6" s="1"/>
  <c r="P903" i="6" s="1"/>
  <c r="AZ903" i="6" s="1"/>
  <c r="P904" i="6" s="1"/>
  <c r="AZ904" i="6" s="1"/>
  <c r="P905" i="6" s="1"/>
  <c r="AZ905" i="6" s="1"/>
  <c r="AG261" i="6"/>
  <c r="BG116" i="6"/>
  <c r="W117" i="6" s="1"/>
  <c r="AH116" i="6"/>
  <c r="L33" i="5"/>
  <c r="AF889" i="6"/>
  <c r="L9" i="5"/>
  <c r="L44" i="5"/>
  <c r="AF1396" i="6"/>
  <c r="AF1385" i="6"/>
  <c r="AF1379" i="6"/>
  <c r="AF1390" i="6"/>
  <c r="P1051" i="6"/>
  <c r="AO1000" i="6"/>
  <c r="AO994" i="6"/>
  <c r="AO983" i="6"/>
  <c r="AO989" i="6"/>
  <c r="AK27" i="6"/>
  <c r="AJ1259" i="6"/>
  <c r="AJ1247" i="6"/>
  <c r="AJ1263" i="6"/>
  <c r="AJ1239" i="6"/>
  <c r="AJ1251" i="6"/>
  <c r="AJ1248" i="6"/>
  <c r="AJ1235" i="6"/>
  <c r="AJ1260" i="6"/>
  <c r="AJ1236" i="6"/>
  <c r="AF965" i="6"/>
  <c r="AF970" i="6"/>
  <c r="AF966" i="6"/>
  <c r="AF969" i="6"/>
  <c r="AF974" i="6"/>
  <c r="AF973" i="6"/>
  <c r="AF773" i="6"/>
  <c r="AF784" i="6"/>
  <c r="AF778" i="6"/>
  <c r="AF767" i="6"/>
  <c r="AG370" i="6"/>
  <c r="AJ105" i="6"/>
  <c r="AK19" i="6"/>
  <c r="CC24" i="5"/>
  <c r="CB24" i="5" s="1"/>
  <c r="AD781" i="6" s="1"/>
  <c r="AJ75" i="6"/>
  <c r="AJ63" i="6"/>
  <c r="AJ51" i="6"/>
  <c r="AJ55" i="6"/>
  <c r="AJ43" i="6"/>
  <c r="BA15" i="6"/>
  <c r="Q16" i="6" s="1"/>
  <c r="AG15" i="6"/>
  <c r="BF102" i="6"/>
  <c r="V103" i="6" s="1"/>
  <c r="AH102" i="6"/>
  <c r="AG585" i="6"/>
  <c r="AM944" i="6" l="1"/>
  <c r="AS1158" i="6"/>
  <c r="AS1163" i="6"/>
  <c r="AD1524" i="6"/>
  <c r="AD1546" i="6"/>
  <c r="AS294" i="6"/>
  <c r="AD1544" i="6"/>
  <c r="AD1534" i="6"/>
  <c r="AD1548" i="6"/>
  <c r="AD1529" i="6"/>
  <c r="AD579" i="6"/>
  <c r="AD1522" i="6"/>
  <c r="AR1522" i="6" s="1"/>
  <c r="AD550" i="6"/>
  <c r="AR550" i="6" s="1"/>
  <c r="AD1519" i="6"/>
  <c r="AD1536" i="6"/>
  <c r="AD1530" i="6"/>
  <c r="AD1553" i="6"/>
  <c r="AD1552" i="6"/>
  <c r="AD1539" i="6"/>
  <c r="AR726" i="6"/>
  <c r="AD1541" i="6"/>
  <c r="AD1542" i="6"/>
  <c r="AD1545" i="6"/>
  <c r="AD1528" i="6"/>
  <c r="AD1521" i="6"/>
  <c r="AQ1521" i="6" s="1"/>
  <c r="AD764" i="6"/>
  <c r="AD1547" i="6"/>
  <c r="AD1540" i="6"/>
  <c r="AD557" i="6"/>
  <c r="AD1520" i="6"/>
  <c r="AD1549" i="6"/>
  <c r="AD1531" i="6"/>
  <c r="AD1523" i="6"/>
  <c r="AD1550" i="6"/>
  <c r="AD1551" i="6"/>
  <c r="AS942" i="6"/>
  <c r="AS948" i="6"/>
  <c r="AD1266" i="6"/>
  <c r="AD1543" i="6"/>
  <c r="AD1518" i="6"/>
  <c r="AN78" i="6"/>
  <c r="AN294" i="6"/>
  <c r="AU294" i="6" s="1"/>
  <c r="AD51" i="6"/>
  <c r="AD59" i="6"/>
  <c r="AD42" i="6"/>
  <c r="AD53" i="6"/>
  <c r="AD74" i="6"/>
  <c r="AD46" i="6"/>
  <c r="AQ46" i="6" s="1"/>
  <c r="AD48" i="6"/>
  <c r="AD64" i="6"/>
  <c r="AD47" i="6"/>
  <c r="AQ47" i="6" s="1"/>
  <c r="AD62" i="6"/>
  <c r="AD63" i="6"/>
  <c r="AD54" i="6"/>
  <c r="AD56" i="6"/>
  <c r="AD60" i="6"/>
  <c r="AD57" i="6"/>
  <c r="AD45" i="6"/>
  <c r="AQ45" i="6" s="1"/>
  <c r="AD71" i="6"/>
  <c r="AD65" i="6"/>
  <c r="AD43" i="6"/>
  <c r="AQ43" i="6" s="1"/>
  <c r="AD66" i="6"/>
  <c r="AD44" i="6"/>
  <c r="AQ44" i="6" s="1"/>
  <c r="AD49" i="6"/>
  <c r="AD69" i="6"/>
  <c r="AD52" i="6"/>
  <c r="AD77" i="6"/>
  <c r="AD67" i="6"/>
  <c r="AD73" i="6"/>
  <c r="AD70" i="6"/>
  <c r="AD61" i="6"/>
  <c r="AD55" i="6"/>
  <c r="AD50" i="6"/>
  <c r="AD76" i="6"/>
  <c r="AD68" i="6"/>
  <c r="AD72" i="6"/>
  <c r="AD75" i="6"/>
  <c r="AW1381" i="6"/>
  <c r="M1382" i="6" s="1"/>
  <c r="N1381" i="6"/>
  <c r="AX1381" i="6" s="1"/>
  <c r="N1382" i="6" s="1"/>
  <c r="AX1382" i="6" s="1"/>
  <c r="N1383" i="6" s="1"/>
  <c r="AX1383" i="6" s="1"/>
  <c r="N1384" i="6" s="1"/>
  <c r="AX1384" i="6" s="1"/>
  <c r="N1385" i="6" s="1"/>
  <c r="AX1385" i="6" s="1"/>
  <c r="N1386" i="6" s="1"/>
  <c r="AX1386" i="6" s="1"/>
  <c r="L1381" i="6"/>
  <c r="AV1381" i="6" s="1"/>
  <c r="L1382" i="6" s="1"/>
  <c r="AF1382" i="6" s="1"/>
  <c r="AW1273" i="6"/>
  <c r="M1274" i="6" s="1"/>
  <c r="N1273" i="6"/>
  <c r="AX1273" i="6" s="1"/>
  <c r="N1274" i="6" s="1"/>
  <c r="AX1274" i="6" s="1"/>
  <c r="N1275" i="6" s="1"/>
  <c r="AX1275" i="6" s="1"/>
  <c r="N1276" i="6" s="1"/>
  <c r="AX1276" i="6" s="1"/>
  <c r="N1277" i="6" s="1"/>
  <c r="AX1277" i="6" s="1"/>
  <c r="N1278" i="6" s="1"/>
  <c r="AX1278" i="6" s="1"/>
  <c r="N445" i="6"/>
  <c r="AX445" i="6" s="1"/>
  <c r="N446" i="6" s="1"/>
  <c r="AX446" i="6" s="1"/>
  <c r="N447" i="6" s="1"/>
  <c r="AX447" i="6" s="1"/>
  <c r="N448" i="6" s="1"/>
  <c r="AX448" i="6" s="1"/>
  <c r="N449" i="6" s="1"/>
  <c r="AX449" i="6" s="1"/>
  <c r="N450" i="6" s="1"/>
  <c r="AX450" i="6" s="1"/>
  <c r="AM1161" i="6"/>
  <c r="AD581" i="6"/>
  <c r="AN726" i="6"/>
  <c r="AN1159" i="6"/>
  <c r="AD569" i="6"/>
  <c r="AS1159" i="6"/>
  <c r="AD1581" i="6"/>
  <c r="AD551" i="6"/>
  <c r="AM551" i="6" s="1"/>
  <c r="AD575" i="6"/>
  <c r="AS331" i="6"/>
  <c r="AD570" i="6"/>
  <c r="AD555" i="6"/>
  <c r="AD580" i="6"/>
  <c r="AD1484" i="6"/>
  <c r="AQ1484" i="6" s="1"/>
  <c r="AS510" i="6"/>
  <c r="AN1158" i="6"/>
  <c r="AU1158" i="6" s="1"/>
  <c r="N49" i="6"/>
  <c r="AX49" i="6" s="1"/>
  <c r="N50" i="6" s="1"/>
  <c r="AX50" i="6" s="1"/>
  <c r="N51" i="6" s="1"/>
  <c r="AX51" i="6" s="1"/>
  <c r="N52" i="6" s="1"/>
  <c r="AX52" i="6" s="1"/>
  <c r="N53" i="6" s="1"/>
  <c r="AX53" i="6" s="1"/>
  <c r="N54" i="6" s="1"/>
  <c r="AX54" i="6" s="1"/>
  <c r="L49" i="6"/>
  <c r="AV49" i="6" s="1"/>
  <c r="L50" i="6" s="1"/>
  <c r="AF50" i="6" s="1"/>
  <c r="N913" i="6"/>
  <c r="AX913" i="6" s="1"/>
  <c r="N914" i="6" s="1"/>
  <c r="AX914" i="6" s="1"/>
  <c r="N915" i="6" s="1"/>
  <c r="AX915" i="6" s="1"/>
  <c r="N916" i="6" s="1"/>
  <c r="AX916" i="6" s="1"/>
  <c r="N917" i="6" s="1"/>
  <c r="AX917" i="6" s="1"/>
  <c r="N918" i="6" s="1"/>
  <c r="AX918" i="6" s="1"/>
  <c r="AM945" i="6"/>
  <c r="L445" i="6"/>
  <c r="AV445" i="6" s="1"/>
  <c r="L446" i="6" s="1"/>
  <c r="AF446" i="6" s="1"/>
  <c r="L13" i="6"/>
  <c r="AV13" i="6" s="1"/>
  <c r="L14" i="6" s="1"/>
  <c r="AG14" i="6" s="1"/>
  <c r="BD480" i="6"/>
  <c r="T481" i="6" s="1"/>
  <c r="AP480" i="6"/>
  <c r="BD11" i="6"/>
  <c r="T12" i="6" s="1"/>
  <c r="AP11" i="6"/>
  <c r="BD227" i="6"/>
  <c r="T228" i="6" s="1"/>
  <c r="AP227" i="6"/>
  <c r="BD1487" i="6"/>
  <c r="T1488" i="6" s="1"/>
  <c r="AP1487" i="6"/>
  <c r="BD1019" i="6"/>
  <c r="T1020" i="6" s="1"/>
  <c r="AP1019" i="6"/>
  <c r="BD1560" i="6"/>
  <c r="T1561" i="6" s="1"/>
  <c r="AP1560" i="6"/>
  <c r="BD1271" i="6"/>
  <c r="T1272" i="6" s="1"/>
  <c r="AP1271" i="6"/>
  <c r="AR1377" i="6"/>
  <c r="AQ1377" i="6"/>
  <c r="AW1021" i="6"/>
  <c r="M1022" i="6" s="1"/>
  <c r="N1021" i="6"/>
  <c r="AX1021" i="6" s="1"/>
  <c r="N1022" i="6" s="1"/>
  <c r="AX1022" i="6" s="1"/>
  <c r="N1023" i="6" s="1"/>
  <c r="AX1023" i="6" s="1"/>
  <c r="N1024" i="6" s="1"/>
  <c r="AX1024" i="6" s="1"/>
  <c r="N1025" i="6" s="1"/>
  <c r="AX1025" i="6" s="1"/>
  <c r="N1026" i="6" s="1"/>
  <c r="AX1026" i="6" s="1"/>
  <c r="L1021" i="6"/>
  <c r="AV1021" i="6" s="1"/>
  <c r="L1022" i="6" s="1"/>
  <c r="AG1022" i="6" s="1"/>
  <c r="AR547" i="6"/>
  <c r="AQ547" i="6"/>
  <c r="AM547" i="6"/>
  <c r="AL547" i="6"/>
  <c r="AW1093" i="6"/>
  <c r="M1094" i="6" s="1"/>
  <c r="N1093" i="6"/>
  <c r="AX1093" i="6" s="1"/>
  <c r="N1094" i="6" s="1"/>
  <c r="AX1094" i="6" s="1"/>
  <c r="N1095" i="6" s="1"/>
  <c r="AX1095" i="6" s="1"/>
  <c r="N1096" i="6" s="1"/>
  <c r="AX1096" i="6" s="1"/>
  <c r="N1097" i="6" s="1"/>
  <c r="AX1097" i="6" s="1"/>
  <c r="N1098" i="6" s="1"/>
  <c r="AX1098" i="6" s="1"/>
  <c r="L1093" i="6"/>
  <c r="AV1093" i="6" s="1"/>
  <c r="L1094" i="6" s="1"/>
  <c r="AW1525" i="6"/>
  <c r="M1526" i="6" s="1"/>
  <c r="N1525" i="6"/>
  <c r="AX1525" i="6" s="1"/>
  <c r="N1526" i="6" s="1"/>
  <c r="AX1526" i="6" s="1"/>
  <c r="N1527" i="6" s="1"/>
  <c r="AX1527" i="6" s="1"/>
  <c r="N1528" i="6" s="1"/>
  <c r="AX1528" i="6" s="1"/>
  <c r="N1529" i="6" s="1"/>
  <c r="AX1529" i="6" s="1"/>
  <c r="N1530" i="6" s="1"/>
  <c r="AX1530" i="6" s="1"/>
  <c r="L1525" i="6"/>
  <c r="AV1525" i="6" s="1"/>
  <c r="L1526" i="6" s="1"/>
  <c r="AW1489" i="6"/>
  <c r="M1490" i="6" s="1"/>
  <c r="L1489" i="6"/>
  <c r="AV1489" i="6" s="1"/>
  <c r="L1490" i="6" s="1"/>
  <c r="N1489" i="6"/>
  <c r="AX1489" i="6" s="1"/>
  <c r="N1490" i="6" s="1"/>
  <c r="AX1490" i="6" s="1"/>
  <c r="N1491" i="6" s="1"/>
  <c r="AX1491" i="6" s="1"/>
  <c r="N1492" i="6" s="1"/>
  <c r="AX1492" i="6" s="1"/>
  <c r="N1493" i="6" s="1"/>
  <c r="AX1493" i="6" s="1"/>
  <c r="N1494" i="6" s="1"/>
  <c r="AX1494" i="6" s="1"/>
  <c r="AW409" i="6"/>
  <c r="M410" i="6" s="1"/>
  <c r="N409" i="6"/>
  <c r="AX409" i="6" s="1"/>
  <c r="N410" i="6" s="1"/>
  <c r="AX410" i="6" s="1"/>
  <c r="N411" i="6" s="1"/>
  <c r="AX411" i="6" s="1"/>
  <c r="N412" i="6" s="1"/>
  <c r="AX412" i="6" s="1"/>
  <c r="N413" i="6" s="1"/>
  <c r="AX413" i="6" s="1"/>
  <c r="N414" i="6" s="1"/>
  <c r="AX414" i="6" s="1"/>
  <c r="L409" i="6"/>
  <c r="AV409" i="6" s="1"/>
  <c r="L410" i="6" s="1"/>
  <c r="BD1379" i="6"/>
  <c r="T1380" i="6" s="1"/>
  <c r="AP1379" i="6"/>
  <c r="BD803" i="6"/>
  <c r="T804" i="6" s="1"/>
  <c r="AP803" i="6"/>
  <c r="BO1420" i="6"/>
  <c r="BN1421" i="6" s="1"/>
  <c r="M157" i="6"/>
  <c r="AW157" i="6" s="1"/>
  <c r="M158" i="6" s="1"/>
  <c r="AM367" i="6"/>
  <c r="AL367" i="6"/>
  <c r="AR367" i="6"/>
  <c r="AQ367" i="6"/>
  <c r="M481" i="6"/>
  <c r="AW481" i="6" s="1"/>
  <c r="M482" i="6" s="1"/>
  <c r="BA880" i="6"/>
  <c r="Q881" i="6" s="1"/>
  <c r="AG880" i="6"/>
  <c r="BA986" i="6"/>
  <c r="Q987" i="6" s="1"/>
  <c r="BG658" i="6"/>
  <c r="W659" i="6" s="1"/>
  <c r="AH658" i="6"/>
  <c r="BO1379" i="6"/>
  <c r="BN1380" i="6" s="1"/>
  <c r="AK1379" i="6"/>
  <c r="BA1600" i="6"/>
  <c r="Q1601" i="6" s="1"/>
  <c r="AR188" i="6"/>
  <c r="AQ188" i="6"/>
  <c r="BG442" i="6"/>
  <c r="W443" i="6" s="1"/>
  <c r="AH442" i="6"/>
  <c r="BE479" i="6"/>
  <c r="U479" i="6"/>
  <c r="BE837" i="6"/>
  <c r="U837" i="6"/>
  <c r="AD1380" i="6"/>
  <c r="AD1509" i="6"/>
  <c r="BG1603" i="6"/>
  <c r="W1604" i="6" s="1"/>
  <c r="AH1603" i="6"/>
  <c r="BG1164" i="6"/>
  <c r="W1165" i="6" s="1"/>
  <c r="AH1164" i="6"/>
  <c r="AM1302" i="6"/>
  <c r="AL1302" i="6"/>
  <c r="AR1302" i="6"/>
  <c r="AQ1302" i="6"/>
  <c r="U1557" i="6"/>
  <c r="BE1557" i="6"/>
  <c r="BA270" i="6"/>
  <c r="Q271" i="6" s="1"/>
  <c r="AG270" i="6"/>
  <c r="BG224" i="6"/>
  <c r="W225" i="6" s="1"/>
  <c r="AH224" i="6"/>
  <c r="AL224" i="6" s="1"/>
  <c r="BA485" i="6"/>
  <c r="Q486" i="6" s="1"/>
  <c r="BA768" i="6"/>
  <c r="Q769" i="6" s="1"/>
  <c r="AG768" i="6"/>
  <c r="AD1048" i="6"/>
  <c r="AK28" i="6"/>
  <c r="AG625" i="6"/>
  <c r="BA625" i="6"/>
  <c r="Q626" i="6" s="1"/>
  <c r="AQ478" i="6"/>
  <c r="M841" i="6"/>
  <c r="AW841" i="6" s="1"/>
  <c r="M842" i="6" s="1"/>
  <c r="AR907" i="6"/>
  <c r="AQ907" i="6"/>
  <c r="AM907" i="6"/>
  <c r="AL907" i="6"/>
  <c r="AL333" i="6"/>
  <c r="AR333" i="6"/>
  <c r="AM333" i="6"/>
  <c r="AQ333" i="6"/>
  <c r="AD1400" i="6"/>
  <c r="M1453" i="6"/>
  <c r="AW1453" i="6" s="1"/>
  <c r="M1454" i="6" s="1"/>
  <c r="AK559" i="6"/>
  <c r="AK606" i="6"/>
  <c r="BF1183" i="6"/>
  <c r="V1184" i="6" s="1"/>
  <c r="AH1183" i="6"/>
  <c r="AQ1240" i="6"/>
  <c r="AD1561" i="6"/>
  <c r="AM624" i="6"/>
  <c r="AL624" i="6"/>
  <c r="AM1194" i="6"/>
  <c r="AL1194" i="6"/>
  <c r="AQ1194" i="6"/>
  <c r="AR1194" i="6"/>
  <c r="AQ695" i="6"/>
  <c r="AQ1307" i="6"/>
  <c r="AM1307" i="6"/>
  <c r="AL1307" i="6"/>
  <c r="AR1307" i="6"/>
  <c r="AQ1051" i="6"/>
  <c r="AM8" i="6"/>
  <c r="AL8" i="6"/>
  <c r="AR8" i="6"/>
  <c r="AQ8" i="6"/>
  <c r="AR222" i="6"/>
  <c r="AQ222" i="6"/>
  <c r="AM222" i="6"/>
  <c r="AL222" i="6"/>
  <c r="AM150" i="6"/>
  <c r="AL150" i="6"/>
  <c r="AR150" i="6"/>
  <c r="AQ150" i="6"/>
  <c r="AQ370" i="6"/>
  <c r="AM370" i="6"/>
  <c r="AL370" i="6"/>
  <c r="AR370" i="6"/>
  <c r="AR586" i="6"/>
  <c r="AM586" i="6"/>
  <c r="AQ586" i="6"/>
  <c r="AL586" i="6"/>
  <c r="AQ406" i="6"/>
  <c r="AQ978" i="6"/>
  <c r="AM978" i="6"/>
  <c r="AR978" i="6"/>
  <c r="AL978" i="6"/>
  <c r="AQ1259" i="6"/>
  <c r="AQ1231" i="6"/>
  <c r="BE588" i="6"/>
  <c r="U588" i="6"/>
  <c r="M949" i="6"/>
  <c r="AW949" i="6" s="1"/>
  <c r="M950" i="6" s="1"/>
  <c r="AS947" i="6"/>
  <c r="BE1413" i="6"/>
  <c r="U1413" i="6"/>
  <c r="AP302" i="6"/>
  <c r="BD302" i="6"/>
  <c r="T303" i="6" s="1"/>
  <c r="BA414" i="6"/>
  <c r="Q415" i="6" s="1"/>
  <c r="BF1111" i="6"/>
  <c r="V1112" i="6" s="1"/>
  <c r="AH1111" i="6"/>
  <c r="BD1053" i="6"/>
  <c r="T1054" i="6" s="1"/>
  <c r="AP1053" i="6"/>
  <c r="BE1234" i="6"/>
  <c r="U1234" i="6"/>
  <c r="AZ279" i="6"/>
  <c r="P280" i="6" s="1"/>
  <c r="AZ280" i="6" s="1"/>
  <c r="P281" i="6" s="1"/>
  <c r="AZ281" i="6" s="1"/>
  <c r="P282" i="6" s="1"/>
  <c r="AZ282" i="6" s="1"/>
  <c r="P283" i="6" s="1"/>
  <c r="AZ283" i="6" s="1"/>
  <c r="P284" i="6" s="1"/>
  <c r="AZ284" i="6" s="1"/>
  <c r="P285" i="6" s="1"/>
  <c r="AZ285" i="6" s="1"/>
  <c r="P286" i="6" s="1"/>
  <c r="AZ286" i="6" s="1"/>
  <c r="P287" i="6" s="1"/>
  <c r="AZ287" i="6" s="1"/>
  <c r="P288" i="6" s="1"/>
  <c r="AZ288" i="6" s="1"/>
  <c r="P289" i="6" s="1"/>
  <c r="AZ289" i="6" s="1"/>
  <c r="P290" i="6" s="1"/>
  <c r="AZ290" i="6" s="1"/>
  <c r="P291" i="6" s="1"/>
  <c r="AZ291" i="6" s="1"/>
  <c r="P292" i="6" s="1"/>
  <c r="AZ292" i="6" s="1"/>
  <c r="P293" i="6" s="1"/>
  <c r="AZ293" i="6" s="1"/>
  <c r="AF279" i="6"/>
  <c r="AI279" i="6"/>
  <c r="BO719" i="6"/>
  <c r="BN720" i="6" s="1"/>
  <c r="BF499" i="6"/>
  <c r="V500" i="6" s="1"/>
  <c r="AH499" i="6"/>
  <c r="AR332" i="6"/>
  <c r="AM332" i="6"/>
  <c r="AL332" i="6"/>
  <c r="AQ332" i="6"/>
  <c r="BA1567" i="6"/>
  <c r="Q1568" i="6" s="1"/>
  <c r="AM114" i="6"/>
  <c r="AR114" i="6"/>
  <c r="AQ114" i="6"/>
  <c r="AL114" i="6"/>
  <c r="M517" i="6"/>
  <c r="AW517" i="6" s="1"/>
  <c r="M518" i="6" s="1"/>
  <c r="BO1175" i="6"/>
  <c r="BN1176" i="6" s="1"/>
  <c r="AK1175" i="6"/>
  <c r="AR1626" i="6"/>
  <c r="AQ1626" i="6"/>
  <c r="BA198" i="6"/>
  <c r="Q199" i="6" s="1"/>
  <c r="BE10" i="6"/>
  <c r="U10" i="6"/>
  <c r="AR366" i="6"/>
  <c r="AQ366" i="6"/>
  <c r="AM366" i="6"/>
  <c r="AL366" i="6"/>
  <c r="BO1098" i="6"/>
  <c r="BN1099" i="6" s="1"/>
  <c r="AK1098" i="6"/>
  <c r="BE1161" i="6"/>
  <c r="U1161" i="6"/>
  <c r="AD1417" i="6"/>
  <c r="AD1486" i="6"/>
  <c r="BD155" i="6"/>
  <c r="T156" i="6" s="1"/>
  <c r="AP155" i="6"/>
  <c r="AR155" i="6" s="1"/>
  <c r="AQ334" i="6"/>
  <c r="AM334" i="6"/>
  <c r="AR334" i="6"/>
  <c r="AL334" i="6"/>
  <c r="BO639" i="6"/>
  <c r="BN640" i="6" s="1"/>
  <c r="AK639" i="6"/>
  <c r="BG695" i="6"/>
  <c r="W696" i="6" s="1"/>
  <c r="AH695" i="6"/>
  <c r="BD696" i="6"/>
  <c r="T697" i="6" s="1"/>
  <c r="AP696" i="6"/>
  <c r="AQ696" i="6" s="1"/>
  <c r="AL1266" i="6"/>
  <c r="AR1266" i="6"/>
  <c r="AQ1266" i="6"/>
  <c r="AM1266" i="6"/>
  <c r="BE1486" i="6"/>
  <c r="U1486" i="6"/>
  <c r="BE46" i="6"/>
  <c r="U46" i="6"/>
  <c r="AZ295" i="6"/>
  <c r="P296" i="6" s="1"/>
  <c r="AK295" i="6"/>
  <c r="AR295" i="6" s="1"/>
  <c r="AG295" i="6"/>
  <c r="AH427" i="6"/>
  <c r="BF427" i="6"/>
  <c r="V428" i="6" s="1"/>
  <c r="BG802" i="6"/>
  <c r="W803" i="6" s="1"/>
  <c r="AH802" i="6"/>
  <c r="BE1054" i="6"/>
  <c r="U1054" i="6"/>
  <c r="AK1097" i="6"/>
  <c r="M1201" i="6"/>
  <c r="AW1201" i="6" s="1"/>
  <c r="M1202" i="6" s="1"/>
  <c r="M1561" i="6"/>
  <c r="AW1561" i="6" s="1"/>
  <c r="M1562" i="6" s="1"/>
  <c r="AN1160" i="6"/>
  <c r="AD115" i="6"/>
  <c r="AD123" i="6"/>
  <c r="AD139" i="6"/>
  <c r="AD137" i="6"/>
  <c r="AD136" i="6"/>
  <c r="AD141" i="6"/>
  <c r="AD149" i="6"/>
  <c r="AD125" i="6"/>
  <c r="AD117" i="6"/>
  <c r="AD138" i="6"/>
  <c r="AD146" i="6"/>
  <c r="AD127" i="6"/>
  <c r="AD134" i="6"/>
  <c r="AD129" i="6"/>
  <c r="AD126" i="6"/>
  <c r="AD122" i="6"/>
  <c r="BD587" i="6"/>
  <c r="T588" i="6" s="1"/>
  <c r="AP587" i="6"/>
  <c r="AQ226" i="6"/>
  <c r="AR226" i="6"/>
  <c r="BA733" i="6"/>
  <c r="Q734" i="6" s="1"/>
  <c r="BA1022" i="6"/>
  <c r="Q1023" i="6" s="1"/>
  <c r="AL1161" i="6"/>
  <c r="AK1291" i="6"/>
  <c r="AK994" i="6"/>
  <c r="M1165" i="6"/>
  <c r="AW1165" i="6" s="1"/>
  <c r="M1166" i="6" s="1"/>
  <c r="AQ1448" i="6"/>
  <c r="AD1570" i="6"/>
  <c r="AR259" i="6"/>
  <c r="AQ259" i="6"/>
  <c r="AM259" i="6"/>
  <c r="AL259" i="6"/>
  <c r="N805" i="6"/>
  <c r="AX805" i="6" s="1"/>
  <c r="N806" i="6" s="1"/>
  <c r="AX806" i="6" s="1"/>
  <c r="N807" i="6" s="1"/>
  <c r="AX807" i="6" s="1"/>
  <c r="N808" i="6" s="1"/>
  <c r="AX808" i="6" s="1"/>
  <c r="N809" i="6" s="1"/>
  <c r="AX809" i="6" s="1"/>
  <c r="N810" i="6" s="1"/>
  <c r="AX810" i="6" s="1"/>
  <c r="AR224" i="6"/>
  <c r="AQ224" i="6"/>
  <c r="AS224" i="6" s="1"/>
  <c r="AQ836" i="6"/>
  <c r="AL874" i="6"/>
  <c r="AM874" i="6"/>
  <c r="AM588" i="6"/>
  <c r="AL588" i="6"/>
  <c r="AQ1250" i="6"/>
  <c r="AQ1248" i="6"/>
  <c r="AR187" i="6"/>
  <c r="AQ187" i="6"/>
  <c r="AM187" i="6"/>
  <c r="AL187" i="6"/>
  <c r="BE730" i="6"/>
  <c r="U730" i="6"/>
  <c r="AH103" i="6"/>
  <c r="BF103" i="6"/>
  <c r="V104" i="6" s="1"/>
  <c r="BG45" i="6"/>
  <c r="W46" i="6" s="1"/>
  <c r="AH45" i="6"/>
  <c r="BH1359" i="6"/>
  <c r="X1360" i="6" s="1"/>
  <c r="AD1359" i="6"/>
  <c r="AZ452" i="6"/>
  <c r="P453" i="6" s="1"/>
  <c r="AK452" i="6"/>
  <c r="BG838" i="6"/>
  <c r="W839" i="6" s="1"/>
  <c r="AH838" i="6"/>
  <c r="BD1127" i="6"/>
  <c r="T1128" i="6" s="1"/>
  <c r="AP1127" i="6"/>
  <c r="BF1327" i="6"/>
  <c r="V1328" i="6" s="1"/>
  <c r="AH1327" i="6"/>
  <c r="AR1340" i="6"/>
  <c r="AM1340" i="6"/>
  <c r="AL1340" i="6"/>
  <c r="AQ1340" i="6"/>
  <c r="AS1340" i="6" s="1"/>
  <c r="BD1451" i="6"/>
  <c r="T1452" i="6" s="1"/>
  <c r="AP1451" i="6"/>
  <c r="AM1088" i="6"/>
  <c r="AR1088" i="6"/>
  <c r="AL1088" i="6"/>
  <c r="AQ1088" i="6"/>
  <c r="AR1270" i="6"/>
  <c r="AQ1270" i="6"/>
  <c r="AM1270" i="6"/>
  <c r="AL1270" i="6"/>
  <c r="BE1449" i="6"/>
  <c r="U1449" i="6"/>
  <c r="AD1441" i="6"/>
  <c r="AZ727" i="6"/>
  <c r="P728" i="6" s="1"/>
  <c r="AK727" i="6"/>
  <c r="AR727" i="6" s="1"/>
  <c r="AS727" i="6" s="1"/>
  <c r="AG727" i="6"/>
  <c r="BO862" i="6"/>
  <c r="BN863" i="6" s="1"/>
  <c r="BD767" i="6"/>
  <c r="T768" i="6" s="1"/>
  <c r="AP767" i="6"/>
  <c r="BE766" i="6"/>
  <c r="U766" i="6"/>
  <c r="AQ1254" i="6"/>
  <c r="U1593" i="6"/>
  <c r="BE1593" i="6"/>
  <c r="AD793" i="6"/>
  <c r="AR1165" i="6"/>
  <c r="AS1165" i="6" s="1"/>
  <c r="BG1237" i="6"/>
  <c r="W1238" i="6" s="1"/>
  <c r="AH1237" i="6"/>
  <c r="BO1351" i="6"/>
  <c r="BN1352" i="6" s="1"/>
  <c r="AK1351" i="6"/>
  <c r="U1630" i="6"/>
  <c r="BE1630" i="6"/>
  <c r="BF931" i="6"/>
  <c r="V932" i="6" s="1"/>
  <c r="AH931" i="6"/>
  <c r="U334" i="6"/>
  <c r="BE334" i="6"/>
  <c r="AQ404" i="6"/>
  <c r="AL404" i="6"/>
  <c r="BO1075" i="6"/>
  <c r="BN1076" i="6" s="1"/>
  <c r="AK1290" i="6"/>
  <c r="BA1453" i="6"/>
  <c r="Q1454" i="6" s="1"/>
  <c r="BE371" i="6"/>
  <c r="U371" i="6"/>
  <c r="BO124" i="6"/>
  <c r="BN125" i="6" s="1"/>
  <c r="AK124" i="6"/>
  <c r="AK565" i="6"/>
  <c r="BF787" i="6"/>
  <c r="V788" i="6" s="1"/>
  <c r="AH787" i="6"/>
  <c r="AQ838" i="6"/>
  <c r="AD1292" i="6"/>
  <c r="AD1384" i="6"/>
  <c r="AH139" i="6"/>
  <c r="BF139" i="6"/>
  <c r="V140" i="6" s="1"/>
  <c r="BG297" i="6"/>
  <c r="W298" i="6" s="1"/>
  <c r="AH297" i="6"/>
  <c r="AR262" i="6"/>
  <c r="AQ262" i="6"/>
  <c r="AQ1265" i="6"/>
  <c r="AD1501" i="6"/>
  <c r="BO168" i="6"/>
  <c r="BN169" i="6" s="1"/>
  <c r="AK168" i="6"/>
  <c r="AD148" i="6"/>
  <c r="AD132" i="6"/>
  <c r="AD142" i="6"/>
  <c r="AM911" i="6"/>
  <c r="AL911" i="6"/>
  <c r="AQ1238" i="6"/>
  <c r="AQ1450" i="6"/>
  <c r="AR621" i="6"/>
  <c r="AQ621" i="6"/>
  <c r="AM621" i="6"/>
  <c r="AL621" i="6"/>
  <c r="AQ657" i="6"/>
  <c r="AQ1519" i="6"/>
  <c r="AM1519" i="6"/>
  <c r="AR1519" i="6"/>
  <c r="AL1519" i="6"/>
  <c r="AQ691" i="6"/>
  <c r="BD48" i="6"/>
  <c r="T49" i="6" s="1"/>
  <c r="AP48" i="6"/>
  <c r="AQ477" i="6"/>
  <c r="AQ1263" i="6"/>
  <c r="AQ1234" i="6"/>
  <c r="AM186" i="6"/>
  <c r="AL186" i="6"/>
  <c r="AR186" i="6"/>
  <c r="AQ186" i="6"/>
  <c r="AQ1342" i="6"/>
  <c r="AR1342" i="6"/>
  <c r="AM1342" i="6"/>
  <c r="AL1342" i="6"/>
  <c r="BD371" i="6"/>
  <c r="T372" i="6" s="1"/>
  <c r="AP371" i="6"/>
  <c r="AQ7" i="6"/>
  <c r="AM7" i="6"/>
  <c r="AL7" i="6"/>
  <c r="AR7" i="6"/>
  <c r="BG946" i="6"/>
  <c r="W947" i="6" s="1"/>
  <c r="AH946" i="6"/>
  <c r="BA1384" i="6"/>
  <c r="Q1385" i="6" s="1"/>
  <c r="AG1384" i="6"/>
  <c r="AQ403" i="6"/>
  <c r="U1306" i="6"/>
  <c r="BE1306" i="6"/>
  <c r="BG625" i="6"/>
  <c r="W626" i="6" s="1"/>
  <c r="AH625" i="6"/>
  <c r="BA554" i="6"/>
  <c r="Q555" i="6" s="1"/>
  <c r="BF895" i="6"/>
  <c r="V896" i="6" s="1"/>
  <c r="AH895" i="6"/>
  <c r="BE1090" i="6"/>
  <c r="U1090" i="6"/>
  <c r="BD1166" i="6"/>
  <c r="T1167" i="6" s="1"/>
  <c r="AP1166" i="6"/>
  <c r="L1345" i="6"/>
  <c r="AV1345" i="6" s="1"/>
  <c r="L1346" i="6" s="1"/>
  <c r="AW1346" i="6" s="1"/>
  <c r="M1347" i="6" s="1"/>
  <c r="AW1347" i="6" s="1"/>
  <c r="M1348" i="6" s="1"/>
  <c r="AW1348" i="6" s="1"/>
  <c r="M1349" i="6" s="1"/>
  <c r="AW1349" i="6" s="1"/>
  <c r="M1350" i="6" s="1"/>
  <c r="AW1350" i="6" s="1"/>
  <c r="AQ1629" i="6"/>
  <c r="BA1343" i="6"/>
  <c r="Q1344" i="6" s="1"/>
  <c r="AG1343" i="6"/>
  <c r="AM1343" i="6" s="1"/>
  <c r="BG9" i="6"/>
  <c r="W10" i="6" s="1"/>
  <c r="AH9" i="6"/>
  <c r="AM9" i="6" s="1"/>
  <c r="AD1413" i="6"/>
  <c r="AD1445" i="6"/>
  <c r="AD1428" i="6"/>
  <c r="AD1434" i="6"/>
  <c r="AD1439" i="6"/>
  <c r="AD1427" i="6"/>
  <c r="AD1432" i="6"/>
  <c r="AD1415" i="6"/>
  <c r="AD1422" i="6"/>
  <c r="AD1442" i="6"/>
  <c r="AD1420" i="6"/>
  <c r="AD1430" i="6"/>
  <c r="AD1429" i="6"/>
  <c r="AD1416" i="6"/>
  <c r="AD1444" i="6"/>
  <c r="AD1440" i="6"/>
  <c r="BE226" i="6"/>
  <c r="U226" i="6"/>
  <c r="M661" i="6"/>
  <c r="AW661" i="6" s="1"/>
  <c r="M662" i="6" s="1"/>
  <c r="AD1514" i="6"/>
  <c r="BO413" i="6"/>
  <c r="BN414" i="6" s="1"/>
  <c r="M877" i="6"/>
  <c r="AW877" i="6" s="1"/>
  <c r="M878" i="6" s="1"/>
  <c r="AD1399" i="6"/>
  <c r="BF283" i="6"/>
  <c r="V284" i="6" s="1"/>
  <c r="AH283" i="6"/>
  <c r="AD780" i="6"/>
  <c r="AQ950" i="6"/>
  <c r="BA1200" i="6"/>
  <c r="Q1201" i="6" s="1"/>
  <c r="AG1200" i="6"/>
  <c r="AM1200" i="6" s="1"/>
  <c r="BH1299" i="6"/>
  <c r="X1300" i="6" s="1"/>
  <c r="AD1299" i="6"/>
  <c r="BF1471" i="6"/>
  <c r="V1472" i="6" s="1"/>
  <c r="AH1471" i="6"/>
  <c r="AR1591" i="6"/>
  <c r="AQ1591" i="6"/>
  <c r="M769" i="6"/>
  <c r="AW769" i="6" s="1"/>
  <c r="M770" i="6" s="1"/>
  <c r="AK991" i="6"/>
  <c r="BA1236" i="6"/>
  <c r="Q1237" i="6" s="1"/>
  <c r="M1237" i="6"/>
  <c r="AW1237" i="6" s="1"/>
  <c r="M1238" i="6" s="1"/>
  <c r="BO1633" i="6"/>
  <c r="BN1634" i="6" s="1"/>
  <c r="BD839" i="6"/>
  <c r="T840" i="6" s="1"/>
  <c r="AP839" i="6"/>
  <c r="AZ404" i="6"/>
  <c r="P405" i="6" s="1"/>
  <c r="AK404" i="6"/>
  <c r="AR404" i="6" s="1"/>
  <c r="AR11" i="6"/>
  <c r="AQ11" i="6"/>
  <c r="BO523" i="6"/>
  <c r="BN524" i="6" s="1"/>
  <c r="BO884" i="6"/>
  <c r="BN885" i="6" s="1"/>
  <c r="AK884" i="6"/>
  <c r="AD1280" i="6"/>
  <c r="AD1374" i="6"/>
  <c r="AK340" i="6"/>
  <c r="AD794" i="6"/>
  <c r="AL944" i="6"/>
  <c r="AN944" i="6" s="1"/>
  <c r="BO1456" i="6"/>
  <c r="BN1457" i="6" s="1"/>
  <c r="AR1308" i="6"/>
  <c r="AM1308" i="6"/>
  <c r="AQ1308" i="6"/>
  <c r="AL1308" i="6"/>
  <c r="BE549" i="6"/>
  <c r="U549" i="6"/>
  <c r="AK1288" i="6"/>
  <c r="AM623" i="6"/>
  <c r="AL623" i="6"/>
  <c r="AR623" i="6"/>
  <c r="AM1196" i="6"/>
  <c r="AR1196" i="6"/>
  <c r="AL1196" i="6"/>
  <c r="AQ1196" i="6"/>
  <c r="AM1199" i="6"/>
  <c r="AL1199" i="6"/>
  <c r="AQ1451" i="6"/>
  <c r="AZ655" i="6"/>
  <c r="P656" i="6" s="1"/>
  <c r="AK655" i="6"/>
  <c r="AR655" i="6" s="1"/>
  <c r="AR371" i="6"/>
  <c r="AQ371" i="6"/>
  <c r="AR442" i="6"/>
  <c r="AM442" i="6"/>
  <c r="AL442" i="6"/>
  <c r="AQ442" i="6"/>
  <c r="AG1382" i="6"/>
  <c r="AR1015" i="6"/>
  <c r="AQ1015" i="6"/>
  <c r="AM1015" i="6"/>
  <c r="AL1015" i="6"/>
  <c r="AR979" i="6"/>
  <c r="AQ979" i="6"/>
  <c r="AM979" i="6"/>
  <c r="AL979" i="6"/>
  <c r="AQ1262" i="6"/>
  <c r="AQ1255" i="6"/>
  <c r="AQ1087" i="6"/>
  <c r="AR1087" i="6"/>
  <c r="AM1087" i="6"/>
  <c r="AL1087" i="6"/>
  <c r="M553" i="6"/>
  <c r="AW553" i="6" s="1"/>
  <c r="M554" i="6" s="1"/>
  <c r="BH868" i="6"/>
  <c r="X869" i="6" s="1"/>
  <c r="AD868" i="6"/>
  <c r="AL1198" i="6"/>
  <c r="AM1198" i="6"/>
  <c r="AR1198" i="6"/>
  <c r="AQ1198" i="6"/>
  <c r="AQ1411" i="6"/>
  <c r="AQ82" i="6"/>
  <c r="AZ995" i="6"/>
  <c r="P996" i="6" s="1"/>
  <c r="AK995" i="6"/>
  <c r="BD443" i="6"/>
  <c r="T444" i="6" s="1"/>
  <c r="AP443" i="6"/>
  <c r="AR443" i="6" s="1"/>
  <c r="AQ1242" i="6"/>
  <c r="BG1457" i="6"/>
  <c r="W1458" i="6" s="1"/>
  <c r="AH1457" i="6"/>
  <c r="M1633" i="6"/>
  <c r="AW1633" i="6" s="1"/>
  <c r="M1634" i="6" s="1"/>
  <c r="BA124" i="6"/>
  <c r="Q125" i="6" s="1"/>
  <c r="AG124" i="6"/>
  <c r="AL6" i="6"/>
  <c r="AR6" i="6"/>
  <c r="AQ6" i="6"/>
  <c r="AM6" i="6"/>
  <c r="AQ119" i="6"/>
  <c r="AR119" i="6"/>
  <c r="BA804" i="6"/>
  <c r="Q805" i="6" s="1"/>
  <c r="AG804" i="6"/>
  <c r="BE804" i="6"/>
  <c r="U804" i="6"/>
  <c r="AQ839" i="6"/>
  <c r="AK993" i="6"/>
  <c r="BF1147" i="6"/>
  <c r="V1148" i="6" s="1"/>
  <c r="AH1147" i="6"/>
  <c r="AF86" i="6"/>
  <c r="AV86" i="6"/>
  <c r="L87" i="6" s="1"/>
  <c r="AV87" i="6" s="1"/>
  <c r="L88" i="6" s="1"/>
  <c r="AV88" i="6" s="1"/>
  <c r="L89" i="6" s="1"/>
  <c r="AV89" i="6" s="1"/>
  <c r="L90" i="6" s="1"/>
  <c r="AV90" i="6" s="1"/>
  <c r="BD1595" i="6"/>
  <c r="T1596" i="6" s="1"/>
  <c r="AP1595" i="6"/>
  <c r="AQ1595" i="6" s="1"/>
  <c r="BA1313" i="6"/>
  <c r="Q1314" i="6" s="1"/>
  <c r="AG1313" i="6"/>
  <c r="BA1417" i="6"/>
  <c r="Q1418" i="6" s="1"/>
  <c r="AD1418" i="6"/>
  <c r="BG1558" i="6"/>
  <c r="W1559" i="6" s="1"/>
  <c r="AH1558" i="6"/>
  <c r="BG982" i="6"/>
  <c r="W983" i="6" s="1"/>
  <c r="AH982" i="6"/>
  <c r="AR981" i="6"/>
  <c r="AQ981" i="6"/>
  <c r="AM981" i="6"/>
  <c r="AL981" i="6"/>
  <c r="AD1507" i="6"/>
  <c r="AQ1594" i="6"/>
  <c r="AK29" i="6"/>
  <c r="AQ1559" i="6"/>
  <c r="BF571" i="6"/>
  <c r="V572" i="6" s="1"/>
  <c r="AH571" i="6"/>
  <c r="AL942" i="6"/>
  <c r="AN942" i="6" s="1"/>
  <c r="BA49" i="6"/>
  <c r="Q50" i="6" s="1"/>
  <c r="BG335" i="6"/>
  <c r="W336" i="6" s="1"/>
  <c r="AH335" i="6"/>
  <c r="AR264" i="6"/>
  <c r="AQ264" i="6"/>
  <c r="BE514" i="6"/>
  <c r="U514" i="6"/>
  <c r="BF679" i="6"/>
  <c r="V680" i="6" s="1"/>
  <c r="AH679" i="6"/>
  <c r="AQ658" i="6"/>
  <c r="AM1016" i="6"/>
  <c r="AR1016" i="6"/>
  <c r="AQ1016" i="6"/>
  <c r="AL1016" i="6"/>
  <c r="BA1274" i="6"/>
  <c r="Q1275" i="6" s="1"/>
  <c r="AQ1306" i="6"/>
  <c r="AM1306" i="6"/>
  <c r="AL1306" i="6"/>
  <c r="AR1306" i="6"/>
  <c r="AD1412" i="6"/>
  <c r="BA84" i="6"/>
  <c r="Q85" i="6" s="1"/>
  <c r="BD1310" i="6"/>
  <c r="T1311" i="6" s="1"/>
  <c r="AP1310" i="6"/>
  <c r="AD1436" i="6"/>
  <c r="AM618" i="6"/>
  <c r="AL618" i="6"/>
  <c r="AR618" i="6"/>
  <c r="AQ618" i="6"/>
  <c r="AZ511" i="6"/>
  <c r="P512" i="6" s="1"/>
  <c r="AG511" i="6"/>
  <c r="AK511" i="6"/>
  <c r="AR511" i="6" s="1"/>
  <c r="AS511" i="6" s="1"/>
  <c r="BA234" i="6"/>
  <c r="Q235" i="6" s="1"/>
  <c r="AG234" i="6"/>
  <c r="BG513" i="6"/>
  <c r="W514" i="6" s="1"/>
  <c r="AH513" i="6"/>
  <c r="BE622" i="6"/>
  <c r="U622" i="6"/>
  <c r="AD770" i="6"/>
  <c r="BD1415" i="6"/>
  <c r="T1416" i="6" s="1"/>
  <c r="AP1415" i="6"/>
  <c r="BO462" i="6"/>
  <c r="BN463" i="6" s="1"/>
  <c r="AD556" i="6"/>
  <c r="BF859" i="6"/>
  <c r="V860" i="6" s="1"/>
  <c r="AH859" i="6"/>
  <c r="BA913" i="6"/>
  <c r="Q914" i="6" s="1"/>
  <c r="AG913" i="6"/>
  <c r="AM913" i="6" s="1"/>
  <c r="AR1195" i="6"/>
  <c r="AQ1195" i="6"/>
  <c r="AM1195" i="6"/>
  <c r="AL1195" i="6"/>
  <c r="AQ656" i="6"/>
  <c r="AR9" i="6"/>
  <c r="AQ9" i="6"/>
  <c r="AQ476" i="6"/>
  <c r="AZ43" i="6"/>
  <c r="P44" i="6" s="1"/>
  <c r="AG43" i="6"/>
  <c r="AK43" i="6"/>
  <c r="AR585" i="6"/>
  <c r="AQ585" i="6"/>
  <c r="AS585" i="6" s="1"/>
  <c r="AM585" i="6"/>
  <c r="AL585" i="6"/>
  <c r="AQ405" i="6"/>
  <c r="AQ1243" i="6"/>
  <c r="AQ1244" i="6"/>
  <c r="AM1339" i="6"/>
  <c r="AR1339" i="6"/>
  <c r="AQ1339" i="6"/>
  <c r="AL1339" i="6"/>
  <c r="L121" i="6"/>
  <c r="AV121" i="6" s="1"/>
  <c r="L122" i="6" s="1"/>
  <c r="BG407" i="6"/>
  <c r="W408" i="6" s="1"/>
  <c r="AH407" i="6"/>
  <c r="AZ1051" i="6"/>
  <c r="P1052" i="6" s="1"/>
  <c r="AG1051" i="6"/>
  <c r="BA16" i="6"/>
  <c r="Q17" i="6" s="1"/>
  <c r="AG16" i="6"/>
  <c r="AQ1628" i="6"/>
  <c r="BD983" i="6"/>
  <c r="T984" i="6" s="1"/>
  <c r="AP983" i="6"/>
  <c r="M985" i="6"/>
  <c r="AW985" i="6" s="1"/>
  <c r="M986" i="6" s="1"/>
  <c r="AR1525" i="6"/>
  <c r="AQ1525" i="6"/>
  <c r="AG589" i="6"/>
  <c r="AM589" i="6" s="1"/>
  <c r="BA589" i="6"/>
  <c r="Q590" i="6" s="1"/>
  <c r="AQ1264" i="6"/>
  <c r="N1345" i="6"/>
  <c r="AX1345" i="6" s="1"/>
  <c r="N1346" i="6" s="1"/>
  <c r="AX1346" i="6" s="1"/>
  <c r="N1347" i="6" s="1"/>
  <c r="AX1347" i="6" s="1"/>
  <c r="N1348" i="6" s="1"/>
  <c r="AX1348" i="6" s="1"/>
  <c r="N1349" i="6" s="1"/>
  <c r="AX1349" i="6" s="1"/>
  <c r="N1350" i="6" s="1"/>
  <c r="AX1350" i="6" s="1"/>
  <c r="AZ1627" i="6"/>
  <c r="P1628" i="6" s="1"/>
  <c r="AK1627" i="6"/>
  <c r="AR1627" i="6" s="1"/>
  <c r="AG1627" i="6"/>
  <c r="BA311" i="6"/>
  <c r="Q312" i="6" s="1"/>
  <c r="BF31" i="6"/>
  <c r="V32" i="6" s="1"/>
  <c r="AH31" i="6"/>
  <c r="AW86" i="6"/>
  <c r="M87" i="6" s="1"/>
  <c r="AW87" i="6" s="1"/>
  <c r="M88" i="6" s="1"/>
  <c r="AW88" i="6" s="1"/>
  <c r="M89" i="6" s="1"/>
  <c r="AW89" i="6" s="1"/>
  <c r="M90" i="6" s="1"/>
  <c r="AW90" i="6" s="1"/>
  <c r="AQ694" i="6"/>
  <c r="BO1243" i="6"/>
  <c r="BN1244" i="6" s="1"/>
  <c r="AD1392" i="6"/>
  <c r="BO67" i="6"/>
  <c r="BN68" i="6" s="1"/>
  <c r="AD763" i="6"/>
  <c r="BD873" i="6"/>
  <c r="T874" i="6" s="1"/>
  <c r="AP873" i="6"/>
  <c r="AQ873" i="6" s="1"/>
  <c r="AQ1449" i="6"/>
  <c r="AZ31" i="6"/>
  <c r="P32" i="6" s="1"/>
  <c r="AK31" i="6"/>
  <c r="BO917" i="6"/>
  <c r="BN918" i="6" s="1"/>
  <c r="AK917" i="6"/>
  <c r="AG1164" i="6"/>
  <c r="BA1164" i="6"/>
  <c r="Q1165" i="6" s="1"/>
  <c r="AD1487" i="6"/>
  <c r="AR1555" i="6"/>
  <c r="AQ1555" i="6"/>
  <c r="AL42" i="6"/>
  <c r="AR42" i="6"/>
  <c r="AQ42" i="6"/>
  <c r="AM42" i="6"/>
  <c r="BO265" i="6"/>
  <c r="BN266" i="6" s="1"/>
  <c r="AK265" i="6"/>
  <c r="AK560" i="6"/>
  <c r="AQ1125" i="6"/>
  <c r="AL1341" i="6"/>
  <c r="AM1341" i="6"/>
  <c r="AR1341" i="6"/>
  <c r="AQ1341" i="6"/>
  <c r="AD563" i="6"/>
  <c r="AZ1446" i="6"/>
  <c r="P1447" i="6" s="1"/>
  <c r="AG1446" i="6"/>
  <c r="AM1446" i="6" s="1"/>
  <c r="BF1039" i="6"/>
  <c r="V1040" i="6" s="1"/>
  <c r="AH1039" i="6"/>
  <c r="AD1414" i="6"/>
  <c r="BO607" i="6"/>
  <c r="BN608" i="6" s="1"/>
  <c r="AK607" i="6"/>
  <c r="AS944" i="6"/>
  <c r="AD1389" i="6"/>
  <c r="BA526" i="6"/>
  <c r="Q527" i="6" s="1"/>
  <c r="AM587" i="6"/>
  <c r="AL587" i="6"/>
  <c r="AR587" i="6"/>
  <c r="AQ587" i="6"/>
  <c r="AD1495" i="6"/>
  <c r="AQ692" i="6"/>
  <c r="AL1305" i="6"/>
  <c r="AR1305" i="6"/>
  <c r="AQ1305" i="6"/>
  <c r="AM1305" i="6"/>
  <c r="AQ10" i="6"/>
  <c r="AR10" i="6"/>
  <c r="AQ1631" i="6"/>
  <c r="AK1051" i="6"/>
  <c r="AR1051" i="6" s="1"/>
  <c r="AR1018" i="6"/>
  <c r="AQ1018" i="6"/>
  <c r="AL1018" i="6"/>
  <c r="AM1018" i="6"/>
  <c r="AQ1237" i="6"/>
  <c r="AQ1257" i="6"/>
  <c r="N121" i="6"/>
  <c r="AX121" i="6" s="1"/>
  <c r="N122" i="6" s="1"/>
  <c r="AX122" i="6" s="1"/>
  <c r="N123" i="6" s="1"/>
  <c r="AX123" i="6" s="1"/>
  <c r="N124" i="6" s="1"/>
  <c r="AX124" i="6" s="1"/>
  <c r="N125" i="6" s="1"/>
  <c r="AX125" i="6" s="1"/>
  <c r="N126" i="6" s="1"/>
  <c r="AX126" i="6" s="1"/>
  <c r="M1129" i="6"/>
  <c r="AW1129" i="6" s="1"/>
  <c r="M1130" i="6" s="1"/>
  <c r="BE1522" i="6"/>
  <c r="U1522" i="6"/>
  <c r="AL1086" i="6"/>
  <c r="AM1086" i="6"/>
  <c r="AR1086" i="6"/>
  <c r="AQ1086" i="6"/>
  <c r="BE1270" i="6"/>
  <c r="U1270" i="6"/>
  <c r="BD517" i="6"/>
  <c r="T518" i="6" s="1"/>
  <c r="AP517" i="6"/>
  <c r="AZ1231" i="6"/>
  <c r="P1232" i="6" s="1"/>
  <c r="AK1231" i="6"/>
  <c r="AR1231" i="6" s="1"/>
  <c r="BA378" i="6"/>
  <c r="Q379" i="6" s="1"/>
  <c r="AG378" i="6"/>
  <c r="BH917" i="6"/>
  <c r="X918" i="6" s="1"/>
  <c r="AD917" i="6"/>
  <c r="BO1498" i="6"/>
  <c r="BN1499" i="6" s="1"/>
  <c r="AD1510" i="6"/>
  <c r="BF175" i="6"/>
  <c r="V176" i="6" s="1"/>
  <c r="AH175" i="6"/>
  <c r="BO816" i="6"/>
  <c r="BN817" i="6" s="1"/>
  <c r="AK816" i="6"/>
  <c r="U1018" i="6"/>
  <c r="BE1018" i="6"/>
  <c r="BO1327" i="6"/>
  <c r="BN1328" i="6" s="1"/>
  <c r="AQ1310" i="6"/>
  <c r="AR1310" i="6"/>
  <c r="BF1435" i="6"/>
  <c r="V1436" i="6" s="1"/>
  <c r="AH1435" i="6"/>
  <c r="BE873" i="6"/>
  <c r="U873" i="6"/>
  <c r="BG1272" i="6"/>
  <c r="W1273" i="6" s="1"/>
  <c r="AH1272" i="6"/>
  <c r="AD1424" i="6"/>
  <c r="AL1230" i="6"/>
  <c r="AR1230" i="6"/>
  <c r="AQ1230" i="6"/>
  <c r="AM1230" i="6"/>
  <c r="N85" i="6"/>
  <c r="AX85" i="6" s="1"/>
  <c r="N86" i="6" s="1"/>
  <c r="AX86" i="6" s="1"/>
  <c r="N87" i="6" s="1"/>
  <c r="AX87" i="6" s="1"/>
  <c r="N88" i="6" s="1"/>
  <c r="AX88" i="6" s="1"/>
  <c r="N89" i="6" s="1"/>
  <c r="AX89" i="6" s="1"/>
  <c r="N90" i="6" s="1"/>
  <c r="AX90" i="6" s="1"/>
  <c r="AD1410" i="6"/>
  <c r="BG1492" i="6"/>
  <c r="W1493" i="6" s="1"/>
  <c r="AH1492" i="6"/>
  <c r="AH1579" i="6"/>
  <c r="BF1579" i="6"/>
  <c r="V1580" i="6" s="1"/>
  <c r="BF355" i="6"/>
  <c r="V356" i="6" s="1"/>
  <c r="AH355" i="6"/>
  <c r="AQ118" i="6"/>
  <c r="AR118" i="6"/>
  <c r="AD1502" i="6"/>
  <c r="BG913" i="6"/>
  <c r="W914" i="6" s="1"/>
  <c r="AH913" i="6"/>
  <c r="BO1133" i="6"/>
  <c r="BN1134" i="6" s="1"/>
  <c r="AK1289" i="6"/>
  <c r="AD559" i="6"/>
  <c r="BD551" i="6"/>
  <c r="T552" i="6" s="1"/>
  <c r="AP551" i="6"/>
  <c r="AQ474" i="6"/>
  <c r="AD776" i="6"/>
  <c r="AK1035" i="6"/>
  <c r="AD1496" i="6"/>
  <c r="AG1626" i="6"/>
  <c r="AM1626" i="6" s="1"/>
  <c r="AR402" i="6"/>
  <c r="AQ402" i="6"/>
  <c r="AM402" i="6"/>
  <c r="AL402" i="6"/>
  <c r="AQ480" i="6"/>
  <c r="BG1522" i="6"/>
  <c r="W1523" i="6" s="1"/>
  <c r="AH1522" i="6"/>
  <c r="AL1522" i="6" s="1"/>
  <c r="AZ1482" i="6"/>
  <c r="P1483" i="6" s="1"/>
  <c r="AK1482" i="6"/>
  <c r="AK376" i="6"/>
  <c r="AM834" i="6"/>
  <c r="AL834" i="6"/>
  <c r="AR834" i="6"/>
  <c r="AQ834" i="6"/>
  <c r="AL331" i="6"/>
  <c r="AN331" i="6" s="1"/>
  <c r="AD1493" i="6"/>
  <c r="AK815" i="6"/>
  <c r="AH1291" i="6"/>
  <c r="BF1291" i="6"/>
  <c r="V1292" i="6" s="1"/>
  <c r="AM912" i="6"/>
  <c r="AL912" i="6"/>
  <c r="AZ188" i="6"/>
  <c r="P189" i="6" s="1"/>
  <c r="AG188" i="6"/>
  <c r="AM188" i="6" s="1"/>
  <c r="AR223" i="6"/>
  <c r="AM223" i="6"/>
  <c r="AQ223" i="6"/>
  <c r="AL223" i="6"/>
  <c r="AR1446" i="6"/>
  <c r="AQ1446" i="6"/>
  <c r="AS1446" i="6" s="1"/>
  <c r="AR835" i="6"/>
  <c r="AQ835" i="6"/>
  <c r="AQ1590" i="6"/>
  <c r="AM1590" i="6"/>
  <c r="AL1590" i="6"/>
  <c r="AR1590" i="6"/>
  <c r="AM153" i="6"/>
  <c r="AL153" i="6"/>
  <c r="AR153" i="6"/>
  <c r="AQ153" i="6"/>
  <c r="M1057" i="6"/>
  <c r="AW1057" i="6" s="1"/>
  <c r="M1058" i="6" s="1"/>
  <c r="AZ835" i="6"/>
  <c r="P836" i="6" s="1"/>
  <c r="AG835" i="6"/>
  <c r="AL835" i="6" s="1"/>
  <c r="AQ1256" i="6"/>
  <c r="AQ1235" i="6"/>
  <c r="AZ1555" i="6"/>
  <c r="P1556" i="6" s="1"/>
  <c r="AG1555" i="6"/>
  <c r="AM1555" i="6" s="1"/>
  <c r="AM1091" i="6"/>
  <c r="AL1091" i="6"/>
  <c r="AR263" i="6"/>
  <c r="AQ263" i="6"/>
  <c r="AH823" i="6"/>
  <c r="BF823" i="6"/>
  <c r="V824" i="6" s="1"/>
  <c r="BA1128" i="6"/>
  <c r="Q1129" i="6" s="1"/>
  <c r="AQ1378" i="6"/>
  <c r="AR1378" i="6"/>
  <c r="BG189" i="6"/>
  <c r="W190" i="6" s="1"/>
  <c r="AH189" i="6"/>
  <c r="BE298" i="6"/>
  <c r="U298" i="6"/>
  <c r="BE118" i="6"/>
  <c r="U118" i="6"/>
  <c r="AD769" i="6"/>
  <c r="AD1497" i="6"/>
  <c r="AR1197" i="6"/>
  <c r="AQ1197" i="6"/>
  <c r="AM1197" i="6"/>
  <c r="AL1197" i="6"/>
  <c r="BD623" i="6"/>
  <c r="T624" i="6" s="1"/>
  <c r="AP623" i="6"/>
  <c r="AQ623" i="6" s="1"/>
  <c r="BE262" i="6"/>
  <c r="U262" i="6"/>
  <c r="BF607" i="6"/>
  <c r="V608" i="6" s="1"/>
  <c r="AH607" i="6"/>
  <c r="AD1405" i="6"/>
  <c r="AM582" i="6"/>
  <c r="AL582" i="6"/>
  <c r="AR582" i="6"/>
  <c r="AQ582" i="6"/>
  <c r="BD264" i="6"/>
  <c r="T265" i="6" s="1"/>
  <c r="AP264" i="6"/>
  <c r="BD911" i="6"/>
  <c r="T912" i="6" s="1"/>
  <c r="AP911" i="6"/>
  <c r="AQ911" i="6" s="1"/>
  <c r="BH1049" i="6"/>
  <c r="AD1049" i="6"/>
  <c r="AD1381" i="6"/>
  <c r="AD1506" i="6"/>
  <c r="BA1633" i="6"/>
  <c r="Q1634" i="6" s="1"/>
  <c r="AH1651" i="6"/>
  <c r="BF1651" i="6"/>
  <c r="V1652" i="6" s="1"/>
  <c r="AR116" i="6"/>
  <c r="AQ116" i="6"/>
  <c r="AM116" i="6"/>
  <c r="AL116" i="6"/>
  <c r="BO1293" i="6"/>
  <c r="BN1294" i="6" s="1"/>
  <c r="AK1293" i="6"/>
  <c r="BF1399" i="6"/>
  <c r="V1400" i="6" s="1"/>
  <c r="AH1399" i="6"/>
  <c r="BD1526" i="6"/>
  <c r="T1527" i="6" s="1"/>
  <c r="AP1526" i="6"/>
  <c r="AR1526" i="6" s="1"/>
  <c r="BO1566" i="6"/>
  <c r="BN1567" i="6" s="1"/>
  <c r="BA163" i="6"/>
  <c r="Q164" i="6" s="1"/>
  <c r="AG163" i="6"/>
  <c r="BF967" i="6"/>
  <c r="V968" i="6" s="1"/>
  <c r="AH967" i="6"/>
  <c r="BF1075" i="6"/>
  <c r="V1076" i="6" s="1"/>
  <c r="AH1075" i="6"/>
  <c r="AD1498" i="6"/>
  <c r="BG371" i="6"/>
  <c r="W372" i="6" s="1"/>
  <c r="AH371" i="6"/>
  <c r="AM371" i="6" s="1"/>
  <c r="AD787" i="6"/>
  <c r="AS949" i="6"/>
  <c r="AS1164" i="6"/>
  <c r="AZ1410" i="6"/>
  <c r="P1411" i="6" s="1"/>
  <c r="AG1410" i="6"/>
  <c r="AD1566" i="6"/>
  <c r="AD1568" i="6"/>
  <c r="AD1579" i="6"/>
  <c r="AD1556" i="6"/>
  <c r="AD1572" i="6"/>
  <c r="AD1583" i="6"/>
  <c r="AD1584" i="6"/>
  <c r="AD1562" i="6"/>
  <c r="AD1564" i="6"/>
  <c r="AD1586" i="6"/>
  <c r="AD1557" i="6"/>
  <c r="AD1576" i="6"/>
  <c r="AD1569" i="6"/>
  <c r="AD1574" i="6"/>
  <c r="AD1585" i="6"/>
  <c r="BG154" i="6"/>
  <c r="W155" i="6" s="1"/>
  <c r="AH154" i="6"/>
  <c r="AM154" i="6" s="1"/>
  <c r="AR619" i="6"/>
  <c r="AQ619" i="6"/>
  <c r="AM619" i="6"/>
  <c r="AL619" i="6"/>
  <c r="AD1425" i="6"/>
  <c r="AQ1630" i="6"/>
  <c r="AR368" i="6"/>
  <c r="AQ368" i="6"/>
  <c r="AM368" i="6"/>
  <c r="AL368" i="6"/>
  <c r="M625" i="6"/>
  <c r="AW625" i="6" s="1"/>
  <c r="M626" i="6" s="1"/>
  <c r="AM982" i="6"/>
  <c r="AL982" i="6"/>
  <c r="AR982" i="6"/>
  <c r="AQ982" i="6"/>
  <c r="BE1197" i="6"/>
  <c r="U1197" i="6"/>
  <c r="AD1402" i="6"/>
  <c r="AD1508" i="6"/>
  <c r="AM625" i="6"/>
  <c r="AL625" i="6"/>
  <c r="AM260" i="6"/>
  <c r="AR260" i="6"/>
  <c r="AQ260" i="6"/>
  <c r="AL260" i="6"/>
  <c r="AR258" i="6"/>
  <c r="AQ258" i="6"/>
  <c r="AM258" i="6"/>
  <c r="AL258" i="6"/>
  <c r="AM906" i="6"/>
  <c r="AL906" i="6"/>
  <c r="AQ906" i="6"/>
  <c r="AR906" i="6"/>
  <c r="AQ837" i="6"/>
  <c r="AQ1593" i="6"/>
  <c r="AL872" i="6"/>
  <c r="AR872" i="6"/>
  <c r="AQ872" i="6"/>
  <c r="AM872" i="6"/>
  <c r="AM1017" i="6"/>
  <c r="AL1017" i="6"/>
  <c r="AR1017" i="6"/>
  <c r="AQ1017" i="6"/>
  <c r="AM980" i="6"/>
  <c r="AL980" i="6"/>
  <c r="AR980" i="6"/>
  <c r="AQ980" i="6"/>
  <c r="AQ1251" i="6"/>
  <c r="AQ1260" i="6"/>
  <c r="AQ1233" i="6"/>
  <c r="AQ189" i="6"/>
  <c r="M589" i="6"/>
  <c r="AW589" i="6" s="1"/>
  <c r="M590" i="6" s="1"/>
  <c r="BD1344" i="6"/>
  <c r="T1345" i="6" s="1"/>
  <c r="AP1344" i="6"/>
  <c r="AQ335" i="6"/>
  <c r="AM335" i="6"/>
  <c r="AL335" i="6"/>
  <c r="BG117" i="6"/>
  <c r="W118" i="6" s="1"/>
  <c r="AH117" i="6"/>
  <c r="AZ1591" i="6"/>
  <c r="P1592" i="6" s="1"/>
  <c r="AG1591" i="6"/>
  <c r="AM1591" i="6" s="1"/>
  <c r="M373" i="6"/>
  <c r="AW373" i="6" s="1"/>
  <c r="M374" i="6" s="1"/>
  <c r="AH1615" i="6"/>
  <c r="BF1615" i="6"/>
  <c r="V1616" i="6" s="1"/>
  <c r="BE154" i="6"/>
  <c r="U154" i="6"/>
  <c r="AZ1324" i="6"/>
  <c r="P1325" i="6" s="1"/>
  <c r="AK1324" i="6"/>
  <c r="AD768" i="6"/>
  <c r="AH463" i="6"/>
  <c r="BF463" i="6"/>
  <c r="V464" i="6" s="1"/>
  <c r="AR871" i="6"/>
  <c r="AQ871" i="6"/>
  <c r="AM871" i="6"/>
  <c r="AL871" i="6"/>
  <c r="AR154" i="6"/>
  <c r="AQ154" i="6"/>
  <c r="AM1122" i="6"/>
  <c r="AL1122" i="6"/>
  <c r="AR1122" i="6"/>
  <c r="AQ1122" i="6"/>
  <c r="BO341" i="6"/>
  <c r="BN342" i="6" s="1"/>
  <c r="AK341" i="6"/>
  <c r="BD335" i="6"/>
  <c r="T336" i="6" s="1"/>
  <c r="AP335" i="6"/>
  <c r="AR335" i="6" s="1"/>
  <c r="M1417" i="6"/>
  <c r="AW1417" i="6" s="1"/>
  <c r="M1418" i="6" s="1"/>
  <c r="AR1554" i="6"/>
  <c r="AM1554" i="6"/>
  <c r="AL1554" i="6"/>
  <c r="AQ1554" i="6"/>
  <c r="BG1200" i="6"/>
  <c r="W1201" i="6" s="1"/>
  <c r="AH1200" i="6"/>
  <c r="AD564" i="6"/>
  <c r="AD552" i="6"/>
  <c r="AD561" i="6"/>
  <c r="AD565" i="6"/>
  <c r="AD562" i="6"/>
  <c r="AD549" i="6"/>
  <c r="AD546" i="6"/>
  <c r="AD572" i="6"/>
  <c r="AD566" i="6"/>
  <c r="AD554" i="6"/>
  <c r="AD573" i="6"/>
  <c r="AD558" i="6"/>
  <c r="AD578" i="6"/>
  <c r="AD560" i="6"/>
  <c r="AD574" i="6"/>
  <c r="AD576" i="6"/>
  <c r="AD553" i="6"/>
  <c r="AD548" i="6"/>
  <c r="AD577" i="6"/>
  <c r="AD774" i="6"/>
  <c r="AD1513" i="6"/>
  <c r="BD1632" i="6"/>
  <c r="T1633" i="6" s="1"/>
  <c r="AP1632" i="6"/>
  <c r="AQ1632" i="6" s="1"/>
  <c r="AL1627" i="6"/>
  <c r="AM1627" i="6"/>
  <c r="AQ1627" i="6"/>
  <c r="BO229" i="6"/>
  <c r="BN230" i="6" s="1"/>
  <c r="AK229" i="6"/>
  <c r="BA845" i="6"/>
  <c r="Q846" i="6" s="1"/>
  <c r="AS943" i="6"/>
  <c r="AD1387" i="6"/>
  <c r="AD1505" i="6"/>
  <c r="AQ301" i="6"/>
  <c r="BA1092" i="6"/>
  <c r="Q1093" i="6" s="1"/>
  <c r="AG1092" i="6"/>
  <c r="AM1092" i="6" s="1"/>
  <c r="BG1345" i="6"/>
  <c r="W1346" i="6" s="1"/>
  <c r="AH1345" i="6"/>
  <c r="BF1507" i="6"/>
  <c r="V1508" i="6" s="1"/>
  <c r="AH1507" i="6"/>
  <c r="BO1534" i="6"/>
  <c r="BN1535" i="6" s="1"/>
  <c r="AK1534" i="6"/>
  <c r="L229" i="6"/>
  <c r="AV229" i="6" s="1"/>
  <c r="L230" i="6" s="1"/>
  <c r="M229" i="6"/>
  <c r="AW229" i="6" s="1"/>
  <c r="M230" i="6" s="1"/>
  <c r="BF391" i="6"/>
  <c r="V392" i="6" s="1"/>
  <c r="AH391" i="6"/>
  <c r="AQ475" i="6"/>
  <c r="AK773" i="6"/>
  <c r="BO773" i="6"/>
  <c r="BN774" i="6" s="1"/>
  <c r="BG875" i="6"/>
  <c r="W876" i="6" s="1"/>
  <c r="AH875" i="6"/>
  <c r="AM875" i="6" s="1"/>
  <c r="AZ1123" i="6"/>
  <c r="P1124" i="6" s="1"/>
  <c r="AG1123" i="6"/>
  <c r="AL1123" i="6" s="1"/>
  <c r="BG1377" i="6"/>
  <c r="W1378" i="6" s="1"/>
  <c r="AH1377" i="6"/>
  <c r="AM1377" i="6" s="1"/>
  <c r="AD1438" i="6"/>
  <c r="BO192" i="6"/>
  <c r="BN193" i="6" s="1"/>
  <c r="AR622" i="6"/>
  <c r="AQ622" i="6"/>
  <c r="AM622" i="6"/>
  <c r="AL622" i="6"/>
  <c r="AM800" i="6"/>
  <c r="AL800" i="6"/>
  <c r="AR800" i="6"/>
  <c r="AQ800" i="6"/>
  <c r="AR909" i="6"/>
  <c r="AQ909" i="6"/>
  <c r="AM909" i="6"/>
  <c r="AL909" i="6"/>
  <c r="L1273" i="6"/>
  <c r="AV1273" i="6" s="1"/>
  <c r="L1274" i="6" s="1"/>
  <c r="AG1274" i="6" s="1"/>
  <c r="AQ1523" i="6"/>
  <c r="AR1523" i="6"/>
  <c r="AR1123" i="6"/>
  <c r="AQ1123" i="6"/>
  <c r="AM1123" i="6"/>
  <c r="AL910" i="6"/>
  <c r="AR910" i="6"/>
  <c r="AQ910" i="6"/>
  <c r="AM910" i="6"/>
  <c r="AR225" i="6"/>
  <c r="AQ225" i="6"/>
  <c r="AQ1592" i="6"/>
  <c r="N1597" i="6"/>
  <c r="AX1597" i="6" s="1"/>
  <c r="N1598" i="6" s="1"/>
  <c r="AX1598" i="6" s="1"/>
  <c r="N1599" i="6" s="1"/>
  <c r="AX1599" i="6" s="1"/>
  <c r="N1600" i="6" s="1"/>
  <c r="AX1600" i="6" s="1"/>
  <c r="N1601" i="6" s="1"/>
  <c r="AX1601" i="6" s="1"/>
  <c r="N1602" i="6" s="1"/>
  <c r="AX1602" i="6" s="1"/>
  <c r="L913" i="6"/>
  <c r="AV913" i="6" s="1"/>
  <c r="L914" i="6" s="1"/>
  <c r="AL440" i="6"/>
  <c r="AR440" i="6"/>
  <c r="AQ440" i="6"/>
  <c r="AM440" i="6"/>
  <c r="AQ1261" i="6"/>
  <c r="AQ1236" i="6"/>
  <c r="BA336" i="6"/>
  <c r="Q337" i="6" s="1"/>
  <c r="AG336" i="6"/>
  <c r="AR654" i="6"/>
  <c r="AQ654" i="6"/>
  <c r="AM654" i="6"/>
  <c r="AL654" i="6"/>
  <c r="AS295" i="6"/>
  <c r="BD407" i="6"/>
  <c r="T408" i="6" s="1"/>
  <c r="AP407" i="6"/>
  <c r="BA449" i="6"/>
  <c r="Q450" i="6" s="1"/>
  <c r="AG449" i="6"/>
  <c r="BF751" i="6"/>
  <c r="V752" i="6" s="1"/>
  <c r="AH751" i="6"/>
  <c r="BG767" i="6"/>
  <c r="W768" i="6" s="1"/>
  <c r="AH767" i="6"/>
  <c r="BH1001" i="6"/>
  <c r="X1002" i="6" s="1"/>
  <c r="AD1001" i="6"/>
  <c r="AS946" i="6"/>
  <c r="AQ1052" i="6"/>
  <c r="AQ155" i="6"/>
  <c r="BF1255" i="6"/>
  <c r="V1256" i="6" s="1"/>
  <c r="AH1255" i="6"/>
  <c r="M1309" i="6"/>
  <c r="AW1309" i="6" s="1"/>
  <c r="M1310" i="6" s="1"/>
  <c r="AH1543" i="6"/>
  <c r="BF1543" i="6"/>
  <c r="V1544" i="6" s="1"/>
  <c r="BF1003" i="6"/>
  <c r="V1004" i="6" s="1"/>
  <c r="AH1003" i="6"/>
  <c r="AQ190" i="6"/>
  <c r="BG1095" i="6"/>
  <c r="W1096" i="6" s="1"/>
  <c r="AH1095" i="6"/>
  <c r="BG82" i="6"/>
  <c r="W83" i="6" s="1"/>
  <c r="AH82" i="6"/>
  <c r="AD762" i="6"/>
  <c r="BG1020" i="6"/>
  <c r="W1021" i="6" s="1"/>
  <c r="AH1020" i="6"/>
  <c r="AM1020" i="6" s="1"/>
  <c r="AQ1241" i="6"/>
  <c r="U1379" i="6"/>
  <c r="BE1379" i="6"/>
  <c r="BD1199" i="6"/>
  <c r="T1200" i="6" s="1"/>
  <c r="AP1199" i="6"/>
  <c r="AR1199" i="6" s="1"/>
  <c r="BA696" i="6"/>
  <c r="Q697" i="6" s="1"/>
  <c r="BA1056" i="6"/>
  <c r="Q1057" i="6" s="1"/>
  <c r="BH1135" i="6"/>
  <c r="X1136" i="6" s="1"/>
  <c r="AD1135" i="6"/>
  <c r="AD1511" i="6"/>
  <c r="BE981" i="6"/>
  <c r="U981" i="6"/>
  <c r="AL1162" i="6"/>
  <c r="AN1162" i="6" s="1"/>
  <c r="AD1515" i="6"/>
  <c r="AZ243" i="6"/>
  <c r="P244" i="6" s="1"/>
  <c r="AZ244" i="6" s="1"/>
  <c r="P245" i="6" s="1"/>
  <c r="AZ245" i="6" s="1"/>
  <c r="P246" i="6" s="1"/>
  <c r="AZ246" i="6" s="1"/>
  <c r="P247" i="6" s="1"/>
  <c r="AZ247" i="6" s="1"/>
  <c r="P248" i="6" s="1"/>
  <c r="AZ248" i="6" s="1"/>
  <c r="P249" i="6" s="1"/>
  <c r="AZ249" i="6" s="1"/>
  <c r="P250" i="6" s="1"/>
  <c r="AZ250" i="6" s="1"/>
  <c r="P251" i="6" s="1"/>
  <c r="AZ251" i="6" s="1"/>
  <c r="P252" i="6" s="1"/>
  <c r="AZ252" i="6" s="1"/>
  <c r="P253" i="6" s="1"/>
  <c r="AZ253" i="6" s="1"/>
  <c r="P254" i="6" s="1"/>
  <c r="AZ254" i="6" s="1"/>
  <c r="P255" i="6" s="1"/>
  <c r="AZ255" i="6" s="1"/>
  <c r="P256" i="6" s="1"/>
  <c r="AZ256" i="6" s="1"/>
  <c r="P257" i="6" s="1"/>
  <c r="AZ257" i="6" s="1"/>
  <c r="AI243" i="6"/>
  <c r="AF243" i="6"/>
  <c r="AK377" i="6"/>
  <c r="BO377" i="6"/>
  <c r="BN378" i="6" s="1"/>
  <c r="BG589" i="6"/>
  <c r="W590" i="6" s="1"/>
  <c r="AH589" i="6"/>
  <c r="BD733" i="6"/>
  <c r="T734" i="6" s="1"/>
  <c r="AP733" i="6"/>
  <c r="AQ1447" i="6"/>
  <c r="AQ1560" i="6"/>
  <c r="AR1520" i="6"/>
  <c r="AQ1520" i="6"/>
  <c r="AM1520" i="6"/>
  <c r="AL1520" i="6"/>
  <c r="AL1163" i="6"/>
  <c r="AN1163" i="6" s="1"/>
  <c r="AU1163" i="6" s="1"/>
  <c r="AR1309" i="6"/>
  <c r="AQ1309" i="6"/>
  <c r="AD143" i="6"/>
  <c r="BF319" i="6"/>
  <c r="V320" i="6" s="1"/>
  <c r="AH319" i="6"/>
  <c r="BO320" i="6"/>
  <c r="BN321" i="6" s="1"/>
  <c r="AG403" i="6"/>
  <c r="BE695" i="6"/>
  <c r="U695" i="6"/>
  <c r="AQ1245" i="6"/>
  <c r="BO504" i="6"/>
  <c r="BN505" i="6" s="1"/>
  <c r="BE407" i="6"/>
  <c r="U407" i="6"/>
  <c r="AR799" i="6"/>
  <c r="AQ799" i="6"/>
  <c r="AM799" i="6"/>
  <c r="AL799" i="6"/>
  <c r="AL945" i="6"/>
  <c r="AM620" i="6"/>
  <c r="AL620" i="6"/>
  <c r="AR620" i="6"/>
  <c r="AQ620" i="6"/>
  <c r="AL655" i="6"/>
  <c r="AQ655" i="6"/>
  <c r="AL1518" i="6"/>
  <c r="AR1518" i="6"/>
  <c r="AM1518" i="6"/>
  <c r="AQ1518" i="6"/>
  <c r="AQ1126" i="6"/>
  <c r="M265" i="6"/>
  <c r="AW265" i="6" s="1"/>
  <c r="M266" i="6" s="1"/>
  <c r="L265" i="6"/>
  <c r="AV265" i="6" s="1"/>
  <c r="L266" i="6" s="1"/>
  <c r="AM584" i="6"/>
  <c r="AL584" i="6"/>
  <c r="AR584" i="6"/>
  <c r="AQ584" i="6"/>
  <c r="AM438" i="6"/>
  <c r="AR438" i="6"/>
  <c r="AQ438" i="6"/>
  <c r="AL438" i="6"/>
  <c r="AQ1019" i="6"/>
  <c r="AM1019" i="6"/>
  <c r="AR1019" i="6"/>
  <c r="AL1019" i="6"/>
  <c r="AM1014" i="6"/>
  <c r="AL1014" i="6"/>
  <c r="AR1014" i="6"/>
  <c r="AQ1014" i="6"/>
  <c r="AQ1249" i="6"/>
  <c r="AQ1258" i="6"/>
  <c r="AR803" i="6"/>
  <c r="AQ803" i="6"/>
  <c r="AM764" i="6"/>
  <c r="AR764" i="6"/>
  <c r="AQ764" i="6"/>
  <c r="AL764" i="6"/>
  <c r="BO1036" i="6"/>
  <c r="BN1037" i="6" s="1"/>
  <c r="AK1036" i="6"/>
  <c r="BF1219" i="6"/>
  <c r="V1220" i="6" s="1"/>
  <c r="AH1219" i="6"/>
  <c r="AD771" i="6"/>
  <c r="AD779" i="6"/>
  <c r="AD772" i="6"/>
  <c r="AD783" i="6"/>
  <c r="AD789" i="6"/>
  <c r="AD785" i="6"/>
  <c r="AD791" i="6"/>
  <c r="AD796" i="6"/>
  <c r="AD797" i="6"/>
  <c r="AD777" i="6"/>
  <c r="AD784" i="6"/>
  <c r="AD766" i="6"/>
  <c r="AD790" i="6"/>
  <c r="AD795" i="6"/>
  <c r="AD773" i="6"/>
  <c r="AD778" i="6"/>
  <c r="AD765" i="6"/>
  <c r="AD767" i="6"/>
  <c r="BA662" i="6"/>
  <c r="Q663" i="6" s="1"/>
  <c r="AM798" i="6"/>
  <c r="AL798" i="6"/>
  <c r="AR798" i="6"/>
  <c r="AQ798" i="6"/>
  <c r="AM1338" i="6"/>
  <c r="AL1338" i="6"/>
  <c r="AR1338" i="6"/>
  <c r="AQ1338" i="6"/>
  <c r="BE190" i="6"/>
  <c r="U190" i="6"/>
  <c r="BG261" i="6"/>
  <c r="W262" i="6" s="1"/>
  <c r="AH261" i="6"/>
  <c r="AR1343" i="6"/>
  <c r="AQ1343" i="6"/>
  <c r="AS1343" i="6" s="1"/>
  <c r="AD1375" i="6"/>
  <c r="AD1398" i="6"/>
  <c r="AD1395" i="6"/>
  <c r="AD1386" i="6"/>
  <c r="AD1403" i="6"/>
  <c r="AD1408" i="6"/>
  <c r="AD1391" i="6"/>
  <c r="AD1393" i="6"/>
  <c r="AD1383" i="6"/>
  <c r="AD1397" i="6"/>
  <c r="AD1385" i="6"/>
  <c r="AD1396" i="6"/>
  <c r="AD1379" i="6"/>
  <c r="AR439" i="6"/>
  <c r="AM439" i="6"/>
  <c r="AL439" i="6"/>
  <c r="AN439" i="6" s="1"/>
  <c r="AQ439" i="6"/>
  <c r="AD775" i="6"/>
  <c r="AD1376" i="6"/>
  <c r="AZ690" i="6"/>
  <c r="P691" i="6" s="1"/>
  <c r="AG690" i="6"/>
  <c r="AL690" i="6" s="1"/>
  <c r="AS78" i="6"/>
  <c r="AU78" i="6" s="1"/>
  <c r="BO1213" i="6"/>
  <c r="BN1214" i="6" s="1"/>
  <c r="AK1213" i="6"/>
  <c r="AZ567" i="6"/>
  <c r="P568" i="6" s="1"/>
  <c r="AI567" i="6"/>
  <c r="AF567" i="6"/>
  <c r="M337" i="6"/>
  <c r="AW337" i="6" s="1"/>
  <c r="M338" i="6" s="1"/>
  <c r="BO661" i="6"/>
  <c r="BN662" i="6" s="1"/>
  <c r="AD567" i="6"/>
  <c r="AD568" i="6"/>
  <c r="AG960" i="6"/>
  <c r="BA960" i="6"/>
  <c r="Q961" i="6" s="1"/>
  <c r="AK992" i="6"/>
  <c r="BE1126" i="6"/>
  <c r="U1126" i="6"/>
  <c r="AQ1124" i="6"/>
  <c r="BG1309" i="6"/>
  <c r="W1310" i="6" s="1"/>
  <c r="AH1309" i="6"/>
  <c r="AL1309" i="6" s="1"/>
  <c r="BE1342" i="6"/>
  <c r="U1342" i="6"/>
  <c r="BG1416" i="6"/>
  <c r="W1417" i="6" s="1"/>
  <c r="AH1416" i="6"/>
  <c r="AN943" i="6"/>
  <c r="BH1337" i="6"/>
  <c r="AD1337" i="6"/>
  <c r="AD1431" i="6"/>
  <c r="BD119" i="6"/>
  <c r="T120" i="6" s="1"/>
  <c r="AP119" i="6"/>
  <c r="BD83" i="6"/>
  <c r="T84" i="6" s="1"/>
  <c r="AP83" i="6"/>
  <c r="BF247" i="6"/>
  <c r="V248" i="6" s="1"/>
  <c r="AH247" i="6"/>
  <c r="AR227" i="6"/>
  <c r="AQ227" i="6"/>
  <c r="BO745" i="6"/>
  <c r="BN746" i="6" s="1"/>
  <c r="BF1363" i="6"/>
  <c r="V1364" i="6" s="1"/>
  <c r="AH1363" i="6"/>
  <c r="AQ1253" i="6"/>
  <c r="AD1404" i="6"/>
  <c r="BA1525" i="6"/>
  <c r="Q1526" i="6" s="1"/>
  <c r="AG1525" i="6"/>
  <c r="AD1558" i="6"/>
  <c r="BF535" i="6"/>
  <c r="V536" i="6" s="1"/>
  <c r="AH535" i="6"/>
  <c r="BG553" i="6"/>
  <c r="W554" i="6" s="1"/>
  <c r="AH553" i="6"/>
  <c r="AD782" i="6"/>
  <c r="AL908" i="6"/>
  <c r="AR908" i="6"/>
  <c r="AQ908" i="6"/>
  <c r="AM908" i="6"/>
  <c r="BO950" i="6"/>
  <c r="BN951" i="6" s="1"/>
  <c r="AK950" i="6"/>
  <c r="AR950" i="6" s="1"/>
  <c r="BH1189" i="6"/>
  <c r="X1190" i="6" s="1"/>
  <c r="AD1189" i="6"/>
  <c r="BG1632" i="6"/>
  <c r="W1633" i="6" s="1"/>
  <c r="AH1632" i="6"/>
  <c r="AR583" i="6"/>
  <c r="AQ583" i="6"/>
  <c r="AM583" i="6"/>
  <c r="AL583" i="6"/>
  <c r="BF67" i="6"/>
  <c r="V68" i="6" s="1"/>
  <c r="AH67" i="6"/>
  <c r="BE910" i="6"/>
  <c r="U910" i="6"/>
  <c r="AQ1252" i="6"/>
  <c r="AD1388" i="6"/>
  <c r="AD1443" i="6"/>
  <c r="BD191" i="6"/>
  <c r="T192" i="6" s="1"/>
  <c r="AP191" i="6"/>
  <c r="AK123" i="6"/>
  <c r="AD1401" i="6"/>
  <c r="AR1524" i="6"/>
  <c r="AQ1524" i="6"/>
  <c r="AQ1127" i="6"/>
  <c r="AQ693" i="6"/>
  <c r="AG1231" i="6"/>
  <c r="AM1231" i="6" s="1"/>
  <c r="AR151" i="6"/>
  <c r="AQ151" i="6"/>
  <c r="AM151" i="6"/>
  <c r="AL151" i="6"/>
  <c r="L1597" i="6"/>
  <c r="AV1597" i="6" s="1"/>
  <c r="L1598" i="6" s="1"/>
  <c r="AW1598" i="6" s="1"/>
  <c r="M1599" i="6" s="1"/>
  <c r="AW1599" i="6" s="1"/>
  <c r="M1600" i="6" s="1"/>
  <c r="AW1600" i="6" s="1"/>
  <c r="M1601" i="6" s="1"/>
  <c r="AW1601" i="6" s="1"/>
  <c r="M1602" i="6" s="1"/>
  <c r="AW1602" i="6" s="1"/>
  <c r="AL369" i="6"/>
  <c r="AR369" i="6"/>
  <c r="AQ369" i="6"/>
  <c r="AM369" i="6"/>
  <c r="AL1020" i="6"/>
  <c r="AR983" i="6"/>
  <c r="AQ983" i="6"/>
  <c r="AQ1239" i="6"/>
  <c r="AQ1246" i="6"/>
  <c r="AR801" i="6"/>
  <c r="AQ801" i="6"/>
  <c r="AM801" i="6"/>
  <c r="AL801" i="6"/>
  <c r="BF643" i="6"/>
  <c r="V644" i="6" s="1"/>
  <c r="AH643" i="6"/>
  <c r="N193" i="6"/>
  <c r="AX193" i="6" s="1"/>
  <c r="N194" i="6" s="1"/>
  <c r="AX194" i="6" s="1"/>
  <c r="N195" i="6" s="1"/>
  <c r="AX195" i="6" s="1"/>
  <c r="N196" i="6" s="1"/>
  <c r="AX196" i="6" s="1"/>
  <c r="N197" i="6" s="1"/>
  <c r="AX197" i="6" s="1"/>
  <c r="N198" i="6" s="1"/>
  <c r="AX198" i="6" s="1"/>
  <c r="BG478" i="6"/>
  <c r="W479" i="6" s="1"/>
  <c r="AH478" i="6"/>
  <c r="BD1091" i="6"/>
  <c r="T1092" i="6" s="1"/>
  <c r="AP1091" i="6"/>
  <c r="AR1091" i="6" s="1"/>
  <c r="AZ474" i="6"/>
  <c r="P475" i="6" s="1"/>
  <c r="AK474" i="6"/>
  <c r="AR474" i="6" s="1"/>
  <c r="AG474" i="6"/>
  <c r="L193" i="6"/>
  <c r="AV193" i="6" s="1"/>
  <c r="L194" i="6" s="1"/>
  <c r="AQ479" i="6"/>
  <c r="AD788" i="6"/>
  <c r="BD951" i="6"/>
  <c r="T952" i="6" s="1"/>
  <c r="AP951" i="6"/>
  <c r="AM1304" i="6"/>
  <c r="AR1304" i="6"/>
  <c r="AQ1304" i="6"/>
  <c r="AL1304" i="6"/>
  <c r="BO1600" i="6"/>
  <c r="BN1601" i="6" s="1"/>
  <c r="BH221" i="6"/>
  <c r="AD221" i="6"/>
  <c r="AD1490" i="6"/>
  <c r="AD1494" i="6"/>
  <c r="AD1499" i="6"/>
  <c r="AD1491" i="6"/>
  <c r="AD1503" i="6"/>
  <c r="AD1512" i="6"/>
  <c r="AD1517" i="6"/>
  <c r="AD1483" i="6"/>
  <c r="AD1504" i="6"/>
  <c r="AD1482" i="6"/>
  <c r="AD1500" i="6"/>
  <c r="AD1516" i="6"/>
  <c r="BG1053" i="6"/>
  <c r="W1054" i="6" s="1"/>
  <c r="AH1053" i="6"/>
  <c r="BG1131" i="6"/>
  <c r="W1132" i="6" s="1"/>
  <c r="AH1131" i="6"/>
  <c r="AR690" i="6"/>
  <c r="AQ690" i="6"/>
  <c r="AS690" i="6" s="1"/>
  <c r="BO572" i="6"/>
  <c r="BN573" i="6" s="1"/>
  <c r="AD792" i="6"/>
  <c r="AR1089" i="6"/>
  <c r="AQ1089" i="6"/>
  <c r="AM1089" i="6"/>
  <c r="AL1089" i="6"/>
  <c r="AQ330" i="6"/>
  <c r="AM330" i="6"/>
  <c r="AR330" i="6"/>
  <c r="AL330" i="6"/>
  <c r="AN510" i="6"/>
  <c r="AU510" i="6" s="1"/>
  <c r="BE82" i="6"/>
  <c r="U82" i="6"/>
  <c r="AZ79" i="6"/>
  <c r="P80" i="6" s="1"/>
  <c r="AG79" i="6"/>
  <c r="AK79" i="6"/>
  <c r="AR79" i="6" s="1"/>
  <c r="AS79" i="6" s="1"/>
  <c r="BE443" i="6"/>
  <c r="U443" i="6"/>
  <c r="BA1488" i="6"/>
  <c r="Q1489" i="6" s="1"/>
  <c r="M697" i="6"/>
  <c r="AW697" i="6" s="1"/>
  <c r="M698" i="6" s="1"/>
  <c r="BD659" i="6"/>
  <c r="T660" i="6" s="1"/>
  <c r="AP659" i="6"/>
  <c r="AR1303" i="6"/>
  <c r="AQ1303" i="6"/>
  <c r="AS1303" i="6" s="1"/>
  <c r="AM1303" i="6"/>
  <c r="AL1303" i="6"/>
  <c r="AD1485" i="6"/>
  <c r="AK403" i="6"/>
  <c r="AR403" i="6" s="1"/>
  <c r="BE658" i="6"/>
  <c r="U658" i="6"/>
  <c r="AS726" i="6"/>
  <c r="AM873" i="6"/>
  <c r="AL873" i="6"/>
  <c r="AL1090" i="6"/>
  <c r="AR1090" i="6"/>
  <c r="AQ1090" i="6"/>
  <c r="AS1090" i="6" s="1"/>
  <c r="AM1090" i="6"/>
  <c r="AS1162" i="6"/>
  <c r="AD1269" i="6"/>
  <c r="AD1268" i="6"/>
  <c r="AD1283" i="6"/>
  <c r="AD1272" i="6"/>
  <c r="AD1277" i="6"/>
  <c r="AD1282" i="6"/>
  <c r="AD1273" i="6"/>
  <c r="AD1274" i="6"/>
  <c r="AD1289" i="6"/>
  <c r="AD1278" i="6"/>
  <c r="AD1287" i="6"/>
  <c r="AD1271" i="6"/>
  <c r="AD1276" i="6"/>
  <c r="AD1295" i="6"/>
  <c r="AD1294" i="6"/>
  <c r="AD1286" i="6"/>
  <c r="AD1293" i="6"/>
  <c r="AD1288" i="6"/>
  <c r="AD1267" i="6"/>
  <c r="AD1275" i="6"/>
  <c r="AD786" i="6"/>
  <c r="AU1159" i="6"/>
  <c r="BF211" i="6"/>
  <c r="V212" i="6" s="1"/>
  <c r="AH211" i="6"/>
  <c r="AD571" i="6"/>
  <c r="BF715" i="6"/>
  <c r="V716" i="6" s="1"/>
  <c r="AH715" i="6"/>
  <c r="AK561" i="6"/>
  <c r="BG729" i="6"/>
  <c r="W730" i="6" s="1"/>
  <c r="AH729" i="6"/>
  <c r="AS1160" i="6"/>
  <c r="AR152" i="6"/>
  <c r="AQ152" i="6"/>
  <c r="AL152" i="6"/>
  <c r="AM152" i="6"/>
  <c r="AD128" i="6"/>
  <c r="BE947" i="6"/>
  <c r="U947" i="6"/>
  <c r="AS945" i="6"/>
  <c r="AK1292" i="6"/>
  <c r="AD1437" i="6"/>
  <c r="AR261" i="6"/>
  <c r="AM261" i="6"/>
  <c r="AL261" i="6"/>
  <c r="AQ261" i="6"/>
  <c r="M301" i="6"/>
  <c r="AW301" i="6" s="1"/>
  <c r="M302" i="6" s="1"/>
  <c r="L805" i="6"/>
  <c r="AV805" i="6" s="1"/>
  <c r="L806" i="6" s="1"/>
  <c r="AW806" i="6" s="1"/>
  <c r="M807" i="6" s="1"/>
  <c r="AW807" i="6" s="1"/>
  <c r="M808" i="6" s="1"/>
  <c r="AW808" i="6" s="1"/>
  <c r="M809" i="6" s="1"/>
  <c r="AW809" i="6" s="1"/>
  <c r="M810" i="6" s="1"/>
  <c r="AW810" i="6" s="1"/>
  <c r="AQ1050" i="6"/>
  <c r="AM1050" i="6"/>
  <c r="AR1050" i="6"/>
  <c r="AL1050" i="6"/>
  <c r="M733" i="6"/>
  <c r="AW733" i="6" s="1"/>
  <c r="M734" i="6" s="1"/>
  <c r="AM870" i="6"/>
  <c r="AL870" i="6"/>
  <c r="AQ870" i="6"/>
  <c r="AR870" i="6"/>
  <c r="N13" i="6"/>
  <c r="AX13" i="6" s="1"/>
  <c r="N14" i="6" s="1"/>
  <c r="AX14" i="6" s="1"/>
  <c r="N15" i="6" s="1"/>
  <c r="AX15" i="6" s="1"/>
  <c r="N16" i="6" s="1"/>
  <c r="AX16" i="6" s="1"/>
  <c r="N17" i="6" s="1"/>
  <c r="AX17" i="6" s="1"/>
  <c r="N18" i="6" s="1"/>
  <c r="AX18" i="6" s="1"/>
  <c r="AQ441" i="6"/>
  <c r="AM441" i="6"/>
  <c r="AR441" i="6"/>
  <c r="AL441" i="6"/>
  <c r="AQ1232" i="6"/>
  <c r="AQ1247" i="6"/>
  <c r="AR802" i="6"/>
  <c r="AQ802" i="6"/>
  <c r="AL802" i="6"/>
  <c r="AM802" i="6"/>
  <c r="AR1344" i="6"/>
  <c r="AQ1344" i="6"/>
  <c r="AS1266" i="6" l="1"/>
  <c r="AS222" i="6"/>
  <c r="AS223" i="6"/>
  <c r="AS1270" i="6"/>
  <c r="AN624" i="6"/>
  <c r="AS440" i="6"/>
  <c r="AS1377" i="6"/>
  <c r="AS1338" i="6"/>
  <c r="AS1309" i="6"/>
  <c r="AS1306" i="6"/>
  <c r="AS119" i="6"/>
  <c r="AS367" i="6"/>
  <c r="AS1310" i="6"/>
  <c r="AU942" i="6"/>
  <c r="AN1519" i="6"/>
  <c r="AW1382" i="6"/>
  <c r="M1383" i="6" s="1"/>
  <c r="AW1383" i="6" s="1"/>
  <c r="M1384" i="6" s="1"/>
  <c r="AW1384" i="6" s="1"/>
  <c r="M1385" i="6" s="1"/>
  <c r="AW1385" i="6" s="1"/>
  <c r="M1386" i="6" s="1"/>
  <c r="AW1386" i="6" s="1"/>
  <c r="AV1382" i="6"/>
  <c r="L1383" i="6" s="1"/>
  <c r="AV1383" i="6" s="1"/>
  <c r="L1384" i="6" s="1"/>
  <c r="AV1384" i="6" s="1"/>
  <c r="L1385" i="6" s="1"/>
  <c r="AV1385" i="6" s="1"/>
  <c r="L1386" i="6" s="1"/>
  <c r="AV1386" i="6" s="1"/>
  <c r="AS187" i="6"/>
  <c r="AS114" i="6"/>
  <c r="AS153" i="6"/>
  <c r="AU331" i="6"/>
  <c r="AS1194" i="6"/>
  <c r="AN982" i="6"/>
  <c r="AN1091" i="6"/>
  <c r="AN1308" i="6"/>
  <c r="AS369" i="6"/>
  <c r="AN583" i="6"/>
  <c r="AS764" i="6"/>
  <c r="AS260" i="6"/>
  <c r="AN1302" i="6"/>
  <c r="AS547" i="6"/>
  <c r="AU943" i="6"/>
  <c r="AS227" i="6"/>
  <c r="AS803" i="6"/>
  <c r="AS1305" i="6"/>
  <c r="AN367" i="6"/>
  <c r="AU367" i="6" s="1"/>
  <c r="AS439" i="6"/>
  <c r="AN906" i="6"/>
  <c r="AS582" i="6"/>
  <c r="AS1339" i="6"/>
  <c r="AN1307" i="6"/>
  <c r="AN1019" i="6"/>
  <c r="AS368" i="6"/>
  <c r="AM835" i="6"/>
  <c r="AM1051" i="6"/>
  <c r="AN1195" i="6"/>
  <c r="AQ1522" i="6"/>
  <c r="AS1522" i="6" s="1"/>
  <c r="AL1521" i="6"/>
  <c r="AN1521" i="6" s="1"/>
  <c r="AS1198" i="6"/>
  <c r="AM474" i="6"/>
  <c r="AS258" i="6"/>
  <c r="AM1521" i="6"/>
  <c r="AR1521" i="6"/>
  <c r="AS1521" i="6" s="1"/>
  <c r="AS834" i="6"/>
  <c r="AS402" i="6"/>
  <c r="AQ550" i="6"/>
  <c r="AS1627" i="6"/>
  <c r="AL550" i="6"/>
  <c r="AL551" i="6"/>
  <c r="AM550" i="6"/>
  <c r="AN550" i="6" s="1"/>
  <c r="AQ551" i="6"/>
  <c r="AS1122" i="6"/>
  <c r="AR551" i="6"/>
  <c r="AN1088" i="6"/>
  <c r="AN1161" i="6"/>
  <c r="AU1161" i="6" s="1"/>
  <c r="AN620" i="6"/>
  <c r="AN625" i="6"/>
  <c r="AS1378" i="6"/>
  <c r="AS1519" i="6"/>
  <c r="AN870" i="6"/>
  <c r="AS1518" i="6"/>
  <c r="AS909" i="6"/>
  <c r="AN582" i="6"/>
  <c r="AN186" i="6"/>
  <c r="AS872" i="6"/>
  <c r="AS619" i="6"/>
  <c r="AS263" i="6"/>
  <c r="AN223" i="6"/>
  <c r="AU223" i="6" s="1"/>
  <c r="AN1339" i="6"/>
  <c r="AS621" i="6"/>
  <c r="AS332" i="6"/>
  <c r="AS1302" i="6"/>
  <c r="AN551" i="6"/>
  <c r="AU1302" i="6"/>
  <c r="AS1342" i="6"/>
  <c r="AU726" i="6"/>
  <c r="AS983" i="6"/>
  <c r="AN622" i="6"/>
  <c r="AS980" i="6"/>
  <c r="AN1306" i="6"/>
  <c r="AU1306" i="6" s="1"/>
  <c r="AN623" i="6"/>
  <c r="AN1342" i="6"/>
  <c r="AN1014" i="6"/>
  <c r="AN584" i="6"/>
  <c r="AS1520" i="6"/>
  <c r="AS9" i="6"/>
  <c r="AN911" i="6"/>
  <c r="AS1088" i="6"/>
  <c r="AS150" i="6"/>
  <c r="AS188" i="6"/>
  <c r="AN261" i="6"/>
  <c r="AN1340" i="6"/>
  <c r="AU1340" i="6" s="1"/>
  <c r="AN260" i="6"/>
  <c r="AN8" i="6"/>
  <c r="AQ48" i="6"/>
  <c r="AR43" i="6"/>
  <c r="AN42" i="6"/>
  <c r="AW1490" i="6"/>
  <c r="M1491" i="6" s="1"/>
  <c r="AW1491" i="6" s="1"/>
  <c r="M1492" i="6" s="1"/>
  <c r="AW1492" i="6" s="1"/>
  <c r="M1493" i="6" s="1"/>
  <c r="AW1493" i="6" s="1"/>
  <c r="M1494" i="6" s="1"/>
  <c r="AW1494" i="6" s="1"/>
  <c r="L985" i="6"/>
  <c r="AV985" i="6" s="1"/>
  <c r="L986" i="6" s="1"/>
  <c r="AL9" i="6"/>
  <c r="AN9" i="6" s="1"/>
  <c r="AN1089" i="6"/>
  <c r="N1201" i="6"/>
  <c r="AX1201" i="6" s="1"/>
  <c r="N1202" i="6" s="1"/>
  <c r="AX1202" i="6" s="1"/>
  <c r="N1203" i="6" s="1"/>
  <c r="AX1203" i="6" s="1"/>
  <c r="N1204" i="6" s="1"/>
  <c r="AX1204" i="6" s="1"/>
  <c r="N1205" i="6" s="1"/>
  <c r="AX1205" i="6" s="1"/>
  <c r="N1206" i="6" s="1"/>
  <c r="AX1206" i="6" s="1"/>
  <c r="N733" i="6"/>
  <c r="AX733" i="6" s="1"/>
  <c r="N734" i="6" s="1"/>
  <c r="AX734" i="6" s="1"/>
  <c r="N735" i="6" s="1"/>
  <c r="AX735" i="6" s="1"/>
  <c r="N736" i="6" s="1"/>
  <c r="AX736" i="6" s="1"/>
  <c r="N737" i="6" s="1"/>
  <c r="AX737" i="6" s="1"/>
  <c r="N738" i="6" s="1"/>
  <c r="AX738" i="6" s="1"/>
  <c r="N1561" i="6"/>
  <c r="AX1561" i="6" s="1"/>
  <c r="N1562" i="6" s="1"/>
  <c r="AX1562" i="6" s="1"/>
  <c r="N1563" i="6" s="1"/>
  <c r="AX1563" i="6" s="1"/>
  <c r="N1564" i="6" s="1"/>
  <c r="AX1564" i="6" s="1"/>
  <c r="N1565" i="6" s="1"/>
  <c r="AX1565" i="6" s="1"/>
  <c r="N1566" i="6" s="1"/>
  <c r="AX1566" i="6" s="1"/>
  <c r="AN801" i="6"/>
  <c r="AN945" i="6"/>
  <c r="AU945" i="6" s="1"/>
  <c r="L733" i="6"/>
  <c r="AV733" i="6" s="1"/>
  <c r="L734" i="6" s="1"/>
  <c r="N1165" i="6"/>
  <c r="AX1165" i="6" s="1"/>
  <c r="N1166" i="6" s="1"/>
  <c r="AX1166" i="6" s="1"/>
  <c r="N1167" i="6" s="1"/>
  <c r="AX1167" i="6" s="1"/>
  <c r="N1168" i="6" s="1"/>
  <c r="AX1168" i="6" s="1"/>
  <c r="N1169" i="6" s="1"/>
  <c r="AX1169" i="6" s="1"/>
  <c r="N1170" i="6" s="1"/>
  <c r="AX1170" i="6" s="1"/>
  <c r="AW1526" i="6"/>
  <c r="M1527" i="6" s="1"/>
  <c r="AW1527" i="6" s="1"/>
  <c r="M1528" i="6" s="1"/>
  <c r="AW1528" i="6" s="1"/>
  <c r="M1529" i="6" s="1"/>
  <c r="AW1529" i="6" s="1"/>
  <c r="M1530" i="6" s="1"/>
  <c r="AW1530" i="6" s="1"/>
  <c r="AW1274" i="6"/>
  <c r="M1275" i="6" s="1"/>
  <c r="AW1275" i="6" s="1"/>
  <c r="M1276" i="6" s="1"/>
  <c r="AW1276" i="6" s="1"/>
  <c r="M1277" i="6" s="1"/>
  <c r="AW1277" i="6" s="1"/>
  <c r="M1278" i="6" s="1"/>
  <c r="AW1278" i="6" s="1"/>
  <c r="AG446" i="6"/>
  <c r="N985" i="6"/>
  <c r="AX985" i="6" s="1"/>
  <c r="N986" i="6" s="1"/>
  <c r="AX986" i="6" s="1"/>
  <c r="N987" i="6" s="1"/>
  <c r="AX987" i="6" s="1"/>
  <c r="N988" i="6" s="1"/>
  <c r="AX988" i="6" s="1"/>
  <c r="N989" i="6" s="1"/>
  <c r="AX989" i="6" s="1"/>
  <c r="N990" i="6" s="1"/>
  <c r="AX990" i="6" s="1"/>
  <c r="AV14" i="6"/>
  <c r="L15" i="6" s="1"/>
  <c r="AV15" i="6" s="1"/>
  <c r="L16" i="6" s="1"/>
  <c r="AV16" i="6" s="1"/>
  <c r="L17" i="6" s="1"/>
  <c r="AV17" i="6" s="1"/>
  <c r="L18" i="6" s="1"/>
  <c r="AV18" i="6" s="1"/>
  <c r="M19" i="6" s="1"/>
  <c r="AW19" i="6" s="1"/>
  <c r="M20" i="6" s="1"/>
  <c r="AW20" i="6" s="1"/>
  <c r="M21" i="6" s="1"/>
  <c r="AW21" i="6" s="1"/>
  <c r="M22" i="6" s="1"/>
  <c r="AW22" i="6" s="1"/>
  <c r="M23" i="6" s="1"/>
  <c r="AW23" i="6" s="1"/>
  <c r="M24" i="6" s="1"/>
  <c r="AW24" i="6" s="1"/>
  <c r="M25" i="6" s="1"/>
  <c r="AW25" i="6" s="1"/>
  <c r="M26" i="6" s="1"/>
  <c r="AF14" i="6"/>
  <c r="AW14" i="6"/>
  <c r="M15" i="6" s="1"/>
  <c r="AW15" i="6" s="1"/>
  <c r="M16" i="6" s="1"/>
  <c r="AW16" i="6" s="1"/>
  <c r="M17" i="6" s="1"/>
  <c r="AW17" i="6" s="1"/>
  <c r="M18" i="6" s="1"/>
  <c r="AW18" i="6" s="1"/>
  <c r="N337" i="6"/>
  <c r="AX337" i="6" s="1"/>
  <c r="N338" i="6" s="1"/>
  <c r="AX338" i="6" s="1"/>
  <c r="N339" i="6" s="1"/>
  <c r="AX339" i="6" s="1"/>
  <c r="N340" i="6" s="1"/>
  <c r="AX340" i="6" s="1"/>
  <c r="N341" i="6" s="1"/>
  <c r="AX341" i="6" s="1"/>
  <c r="N342" i="6" s="1"/>
  <c r="AX342" i="6" s="1"/>
  <c r="L1417" i="6"/>
  <c r="AV1417" i="6" s="1"/>
  <c r="L1418" i="6" s="1"/>
  <c r="AW1418" i="6" s="1"/>
  <c r="M1419" i="6" s="1"/>
  <c r="AW1419" i="6" s="1"/>
  <c r="M1420" i="6" s="1"/>
  <c r="AW1420" i="6" s="1"/>
  <c r="M1421" i="6" s="1"/>
  <c r="AW1421" i="6" s="1"/>
  <c r="M1422" i="6" s="1"/>
  <c r="AW1422" i="6" s="1"/>
  <c r="AW446" i="6"/>
  <c r="M447" i="6" s="1"/>
  <c r="AW447" i="6" s="1"/>
  <c r="M448" i="6" s="1"/>
  <c r="AW448" i="6" s="1"/>
  <c r="M449" i="6" s="1"/>
  <c r="AW449" i="6" s="1"/>
  <c r="M450" i="6" s="1"/>
  <c r="AW450" i="6" s="1"/>
  <c r="N949" i="6"/>
  <c r="AX949" i="6" s="1"/>
  <c r="N950" i="6" s="1"/>
  <c r="AX950" i="6" s="1"/>
  <c r="N951" i="6" s="1"/>
  <c r="AX951" i="6" s="1"/>
  <c r="N952" i="6" s="1"/>
  <c r="AX952" i="6" s="1"/>
  <c r="N953" i="6" s="1"/>
  <c r="AX953" i="6" s="1"/>
  <c r="N954" i="6" s="1"/>
  <c r="AX954" i="6" s="1"/>
  <c r="AV446" i="6"/>
  <c r="L447" i="6" s="1"/>
  <c r="AV447" i="6" s="1"/>
  <c r="L448" i="6" s="1"/>
  <c r="AV448" i="6" s="1"/>
  <c r="L449" i="6" s="1"/>
  <c r="AV449" i="6" s="1"/>
  <c r="L450" i="6" s="1"/>
  <c r="AV450" i="6" s="1"/>
  <c r="N1453" i="6"/>
  <c r="AX1453" i="6" s="1"/>
  <c r="N1454" i="6" s="1"/>
  <c r="AX1454" i="6" s="1"/>
  <c r="N1455" i="6" s="1"/>
  <c r="AX1455" i="6" s="1"/>
  <c r="N1456" i="6" s="1"/>
  <c r="AX1456" i="6" s="1"/>
  <c r="N1457" i="6" s="1"/>
  <c r="AX1457" i="6" s="1"/>
  <c r="N1458" i="6" s="1"/>
  <c r="AX1458" i="6" s="1"/>
  <c r="AW50" i="6"/>
  <c r="M51" i="6" s="1"/>
  <c r="AW51" i="6" s="1"/>
  <c r="M52" i="6" s="1"/>
  <c r="AW52" i="6" s="1"/>
  <c r="M53" i="6" s="1"/>
  <c r="AW53" i="6" s="1"/>
  <c r="M54" i="6" s="1"/>
  <c r="AW54" i="6" s="1"/>
  <c r="AV50" i="6"/>
  <c r="L51" i="6" s="1"/>
  <c r="AV51" i="6" s="1"/>
  <c r="L52" i="6" s="1"/>
  <c r="AV52" i="6" s="1"/>
  <c r="L53" i="6" s="1"/>
  <c r="AV53" i="6" s="1"/>
  <c r="L54" i="6" s="1"/>
  <c r="AV54" i="6" s="1"/>
  <c r="AM43" i="6"/>
  <c r="AS334" i="6"/>
  <c r="AS438" i="6"/>
  <c r="AM403" i="6"/>
  <c r="AU1162" i="6"/>
  <c r="AS654" i="6"/>
  <c r="AN1122" i="6"/>
  <c r="AS623" i="6"/>
  <c r="AU623" i="6" s="1"/>
  <c r="AN1590" i="6"/>
  <c r="AL1200" i="6"/>
  <c r="AN1200" i="6" s="1"/>
  <c r="AS1195" i="6"/>
  <c r="AN586" i="6"/>
  <c r="AN150" i="6"/>
  <c r="AN907" i="6"/>
  <c r="AS906" i="6"/>
  <c r="AS1590" i="6"/>
  <c r="AS118" i="6"/>
  <c r="AS1555" i="6"/>
  <c r="AN222" i="6"/>
  <c r="AU222" i="6" s="1"/>
  <c r="AS907" i="6"/>
  <c r="AN1627" i="6"/>
  <c r="AU1627" i="6" s="1"/>
  <c r="AL1626" i="6"/>
  <c r="AN1626" i="6" s="1"/>
  <c r="AN874" i="6"/>
  <c r="AU439" i="6"/>
  <c r="AS870" i="6"/>
  <c r="AU870" i="6" s="1"/>
  <c r="AS261" i="6"/>
  <c r="AS152" i="6"/>
  <c r="AM690" i="6"/>
  <c r="AN690" i="6" s="1"/>
  <c r="AU690" i="6" s="1"/>
  <c r="AS655" i="6"/>
  <c r="AS799" i="6"/>
  <c r="AN871" i="6"/>
  <c r="AN835" i="6"/>
  <c r="AU835" i="6" s="1"/>
  <c r="AS835" i="6"/>
  <c r="AS10" i="6"/>
  <c r="AS1196" i="6"/>
  <c r="AN259" i="6"/>
  <c r="AN1018" i="6"/>
  <c r="AM655" i="6"/>
  <c r="AN655" i="6" s="1"/>
  <c r="AU655" i="6" s="1"/>
  <c r="AN1123" i="6"/>
  <c r="AS802" i="6"/>
  <c r="AS1524" i="6"/>
  <c r="AS908" i="6"/>
  <c r="AN798" i="6"/>
  <c r="AS871" i="6"/>
  <c r="AL1092" i="6"/>
  <c r="AS8" i="6"/>
  <c r="AU8" i="6" s="1"/>
  <c r="AS371" i="6"/>
  <c r="AU944" i="6"/>
  <c r="AS550" i="6"/>
  <c r="AN800" i="6"/>
  <c r="AN369" i="6"/>
  <c r="AN440" i="6"/>
  <c r="AU440" i="6" s="1"/>
  <c r="AN908" i="6"/>
  <c r="AN332" i="6"/>
  <c r="L1309" i="6"/>
  <c r="AV1309" i="6" s="1"/>
  <c r="L1310" i="6" s="1"/>
  <c r="AF1310" i="6" s="1"/>
  <c r="L589" i="6"/>
  <c r="AV589" i="6" s="1"/>
  <c r="L590" i="6" s="1"/>
  <c r="AH590" i="6" s="1"/>
  <c r="AN1017" i="6"/>
  <c r="L1633" i="6"/>
  <c r="AV1633" i="6" s="1"/>
  <c r="L1634" i="6" s="1"/>
  <c r="AV1634" i="6" s="1"/>
  <c r="L1635" i="6" s="1"/>
  <c r="AV1635" i="6" s="1"/>
  <c r="L1636" i="6" s="1"/>
  <c r="AV1636" i="6" s="1"/>
  <c r="L1637" i="6" s="1"/>
  <c r="AV1637" i="6" s="1"/>
  <c r="L1638" i="6" s="1"/>
  <c r="AV1638" i="6" s="1"/>
  <c r="L517" i="6"/>
  <c r="AV517" i="6" s="1"/>
  <c r="L518" i="6" s="1"/>
  <c r="AF518" i="6" s="1"/>
  <c r="N1633" i="6"/>
  <c r="AX1633" i="6" s="1"/>
  <c r="N1634" i="6" s="1"/>
  <c r="AX1634" i="6" s="1"/>
  <c r="N1635" i="6" s="1"/>
  <c r="AX1635" i="6" s="1"/>
  <c r="N1636" i="6" s="1"/>
  <c r="AX1636" i="6" s="1"/>
  <c r="N1637" i="6" s="1"/>
  <c r="AX1637" i="6" s="1"/>
  <c r="N1638" i="6" s="1"/>
  <c r="AX1638" i="6" s="1"/>
  <c r="N517" i="6"/>
  <c r="AX517" i="6" s="1"/>
  <c r="N518" i="6" s="1"/>
  <c r="AX518" i="6" s="1"/>
  <c r="N519" i="6" s="1"/>
  <c r="AX519" i="6" s="1"/>
  <c r="N520" i="6" s="1"/>
  <c r="AX520" i="6" s="1"/>
  <c r="N521" i="6" s="1"/>
  <c r="AX521" i="6" s="1"/>
  <c r="N522" i="6" s="1"/>
  <c r="AX522" i="6" s="1"/>
  <c r="AL1377" i="6"/>
  <c r="AN1377" i="6" s="1"/>
  <c r="AU1377" i="6" s="1"/>
  <c r="AN585" i="6"/>
  <c r="AU585" i="6" s="1"/>
  <c r="L877" i="6"/>
  <c r="AV877" i="6" s="1"/>
  <c r="L878" i="6" s="1"/>
  <c r="AF878" i="6" s="1"/>
  <c r="N877" i="6"/>
  <c r="AX877" i="6" s="1"/>
  <c r="N878" i="6" s="1"/>
  <c r="AX878" i="6" s="1"/>
  <c r="N879" i="6" s="1"/>
  <c r="AX879" i="6" s="1"/>
  <c r="N880" i="6" s="1"/>
  <c r="AX880" i="6" s="1"/>
  <c r="N881" i="6" s="1"/>
  <c r="AX881" i="6" s="1"/>
  <c r="N882" i="6" s="1"/>
  <c r="AX882" i="6" s="1"/>
  <c r="AW1094" i="6"/>
  <c r="M1095" i="6" s="1"/>
  <c r="AW1095" i="6" s="1"/>
  <c r="M1096" i="6" s="1"/>
  <c r="AW1096" i="6" s="1"/>
  <c r="M1097" i="6" s="1"/>
  <c r="AW1097" i="6" s="1"/>
  <c r="M1098" i="6" s="1"/>
  <c r="AW1098" i="6" s="1"/>
  <c r="L949" i="6"/>
  <c r="AV949" i="6" s="1"/>
  <c r="L950" i="6" s="1"/>
  <c r="AF950" i="6" s="1"/>
  <c r="L301" i="6"/>
  <c r="AV301" i="6" s="1"/>
  <c r="L302" i="6" s="1"/>
  <c r="AV302" i="6" s="1"/>
  <c r="L303" i="6" s="1"/>
  <c r="AV303" i="6" s="1"/>
  <c r="L304" i="6" s="1"/>
  <c r="AV304" i="6" s="1"/>
  <c r="L305" i="6" s="1"/>
  <c r="AV305" i="6" s="1"/>
  <c r="L306" i="6" s="1"/>
  <c r="AV306" i="6" s="1"/>
  <c r="AN909" i="6"/>
  <c r="L553" i="6"/>
  <c r="AV553" i="6" s="1"/>
  <c r="L554" i="6" s="1"/>
  <c r="AW554" i="6" s="1"/>
  <c r="M555" i="6" s="1"/>
  <c r="AW555" i="6" s="1"/>
  <c r="M556" i="6" s="1"/>
  <c r="AW556" i="6" s="1"/>
  <c r="M557" i="6" s="1"/>
  <c r="AW557" i="6" s="1"/>
  <c r="M558" i="6" s="1"/>
  <c r="AW558" i="6" s="1"/>
  <c r="AN621" i="6"/>
  <c r="AU621" i="6" s="1"/>
  <c r="AN1197" i="6"/>
  <c r="N553" i="6"/>
  <c r="AX553" i="6" s="1"/>
  <c r="N554" i="6" s="1"/>
  <c r="AX554" i="6" s="1"/>
  <c r="N555" i="6" s="1"/>
  <c r="AX555" i="6" s="1"/>
  <c r="N556" i="6" s="1"/>
  <c r="AX556" i="6" s="1"/>
  <c r="N557" i="6" s="1"/>
  <c r="AX557" i="6" s="1"/>
  <c r="N558" i="6" s="1"/>
  <c r="AX558" i="6" s="1"/>
  <c r="L661" i="6"/>
  <c r="AV661" i="6" s="1"/>
  <c r="L662" i="6" s="1"/>
  <c r="AW662" i="6" s="1"/>
  <c r="M663" i="6" s="1"/>
  <c r="AW663" i="6" s="1"/>
  <c r="M664" i="6" s="1"/>
  <c r="AW664" i="6" s="1"/>
  <c r="M665" i="6" s="1"/>
  <c r="AW665" i="6" s="1"/>
  <c r="M666" i="6" s="1"/>
  <c r="AW666" i="6" s="1"/>
  <c r="AL79" i="6"/>
  <c r="AM79" i="6"/>
  <c r="BG1096" i="6"/>
  <c r="W1097" i="6" s="1"/>
  <c r="AH1096" i="6"/>
  <c r="BA1634" i="6"/>
  <c r="Q1635" i="6" s="1"/>
  <c r="BG190" i="6"/>
  <c r="W191" i="6" s="1"/>
  <c r="AH190" i="6"/>
  <c r="BG1493" i="6"/>
  <c r="W1494" i="6" s="1"/>
  <c r="AH1493" i="6"/>
  <c r="BG1273" i="6"/>
  <c r="W1274" i="6" s="1"/>
  <c r="AH1273" i="6"/>
  <c r="BO817" i="6"/>
  <c r="BN818" i="6" s="1"/>
  <c r="AK817" i="6"/>
  <c r="AS587" i="6"/>
  <c r="AQ1414" i="6"/>
  <c r="AQ1487" i="6"/>
  <c r="BO918" i="6"/>
  <c r="BN919" i="6" s="1"/>
  <c r="AK918" i="6"/>
  <c r="AF986" i="6"/>
  <c r="AV986" i="6"/>
  <c r="L987" i="6" s="1"/>
  <c r="AV987" i="6" s="1"/>
  <c r="L988" i="6" s="1"/>
  <c r="AV988" i="6" s="1"/>
  <c r="L989" i="6" s="1"/>
  <c r="AV989" i="6" s="1"/>
  <c r="L990" i="6" s="1"/>
  <c r="AV990" i="6" s="1"/>
  <c r="AU1339" i="6"/>
  <c r="BF860" i="6"/>
  <c r="V861" i="6" s="1"/>
  <c r="AH860" i="6"/>
  <c r="AS264" i="6"/>
  <c r="AN979" i="6"/>
  <c r="AN442" i="6"/>
  <c r="AN1199" i="6"/>
  <c r="BO1457" i="6"/>
  <c r="BN1458" i="6" s="1"/>
  <c r="BA1237" i="6"/>
  <c r="Q1238" i="6" s="1"/>
  <c r="BF1472" i="6"/>
  <c r="V1473" i="6" s="1"/>
  <c r="AH1472" i="6"/>
  <c r="BE227" i="6"/>
  <c r="U227" i="6"/>
  <c r="BD49" i="6"/>
  <c r="T50" i="6" s="1"/>
  <c r="AP49" i="6"/>
  <c r="AS262" i="6"/>
  <c r="AH788" i="6"/>
  <c r="BF788" i="6"/>
  <c r="V789" i="6" s="1"/>
  <c r="BE1594" i="6"/>
  <c r="U1594" i="6"/>
  <c r="AZ728" i="6"/>
  <c r="P729" i="6" s="1"/>
  <c r="AG728" i="6"/>
  <c r="AK728" i="6"/>
  <c r="AR728" i="6" s="1"/>
  <c r="AS728" i="6" s="1"/>
  <c r="AN1092" i="6"/>
  <c r="AH104" i="6"/>
  <c r="BF104" i="6"/>
  <c r="V105" i="6" s="1"/>
  <c r="AM224" i="6"/>
  <c r="AN224" i="6" s="1"/>
  <c r="AU224" i="6" s="1"/>
  <c r="AN366" i="6"/>
  <c r="BF500" i="6"/>
  <c r="V501" i="6" s="1"/>
  <c r="AH500" i="6"/>
  <c r="BF1184" i="6"/>
  <c r="V1185" i="6" s="1"/>
  <c r="AH1184" i="6"/>
  <c r="BD1488" i="6"/>
  <c r="T1489" i="6" s="1"/>
  <c r="AP1488" i="6"/>
  <c r="BD734" i="6"/>
  <c r="T735" i="6" s="1"/>
  <c r="AP734" i="6"/>
  <c r="AQ1485" i="6"/>
  <c r="BE1343" i="6"/>
  <c r="U1343" i="6"/>
  <c r="AQ1556" i="6"/>
  <c r="BA1418" i="6"/>
  <c r="Q1419" i="6" s="1"/>
  <c r="BE1558" i="6"/>
  <c r="U1558" i="6"/>
  <c r="BA1601" i="6"/>
  <c r="Q1602" i="6" s="1"/>
  <c r="AS441" i="6"/>
  <c r="AW734" i="6"/>
  <c r="M735" i="6" s="1"/>
  <c r="AW735" i="6" s="1"/>
  <c r="M736" i="6" s="1"/>
  <c r="AW736" i="6" s="1"/>
  <c r="M737" i="6" s="1"/>
  <c r="AW737" i="6" s="1"/>
  <c r="M738" i="6" s="1"/>
  <c r="AW738" i="6" s="1"/>
  <c r="AS1050" i="6"/>
  <c r="N301" i="6"/>
  <c r="AX301" i="6" s="1"/>
  <c r="N302" i="6" s="1"/>
  <c r="AX302" i="6" s="1"/>
  <c r="N303" i="6" s="1"/>
  <c r="AX303" i="6" s="1"/>
  <c r="N304" i="6" s="1"/>
  <c r="AX304" i="6" s="1"/>
  <c r="N305" i="6" s="1"/>
  <c r="AX305" i="6" s="1"/>
  <c r="N306" i="6" s="1"/>
  <c r="AX306" i="6" s="1"/>
  <c r="AQ1526" i="6"/>
  <c r="AS1526" i="6" s="1"/>
  <c r="AN152" i="6"/>
  <c r="AN1303" i="6"/>
  <c r="AU1303" i="6" s="1"/>
  <c r="BD1092" i="6"/>
  <c r="T1093" i="6" s="1"/>
  <c r="AP1092" i="6"/>
  <c r="BD192" i="6"/>
  <c r="T193" i="6" s="1"/>
  <c r="AP192" i="6"/>
  <c r="BF68" i="6"/>
  <c r="V69" i="6" s="1"/>
  <c r="AH68" i="6"/>
  <c r="BH1190" i="6"/>
  <c r="X1191" i="6" s="1"/>
  <c r="AD1190" i="6"/>
  <c r="BG590" i="6"/>
  <c r="W591" i="6" s="1"/>
  <c r="AG450" i="6"/>
  <c r="BA450" i="6"/>
  <c r="Q451" i="6" s="1"/>
  <c r="AS910" i="6"/>
  <c r="AS800" i="6"/>
  <c r="BD1633" i="6"/>
  <c r="T1634" i="6" s="1"/>
  <c r="AP1633" i="6"/>
  <c r="AL552" i="6"/>
  <c r="AM552" i="6"/>
  <c r="N1417" i="6"/>
  <c r="AX1417" i="6" s="1"/>
  <c r="N1418" i="6" s="1"/>
  <c r="AX1418" i="6" s="1"/>
  <c r="N1419" i="6" s="1"/>
  <c r="AX1419" i="6" s="1"/>
  <c r="N1420" i="6" s="1"/>
  <c r="AX1420" i="6" s="1"/>
  <c r="N1421" i="6" s="1"/>
  <c r="AX1421" i="6" s="1"/>
  <c r="N1422" i="6" s="1"/>
  <c r="AX1422" i="6" s="1"/>
  <c r="L373" i="6"/>
  <c r="AV373" i="6" s="1"/>
  <c r="L374" i="6" s="1"/>
  <c r="AW374" i="6" s="1"/>
  <c r="M375" i="6" s="1"/>
  <c r="AW375" i="6" s="1"/>
  <c r="M376" i="6" s="1"/>
  <c r="AW376" i="6" s="1"/>
  <c r="M377" i="6" s="1"/>
  <c r="AW377" i="6" s="1"/>
  <c r="M378" i="6" s="1"/>
  <c r="AW378" i="6" s="1"/>
  <c r="AN335" i="6"/>
  <c r="N589" i="6"/>
  <c r="AX589" i="6" s="1"/>
  <c r="N590" i="6" s="1"/>
  <c r="AX590" i="6" s="1"/>
  <c r="N591" i="6" s="1"/>
  <c r="AX591" i="6" s="1"/>
  <c r="N592" i="6" s="1"/>
  <c r="AX592" i="6" s="1"/>
  <c r="N593" i="6" s="1"/>
  <c r="AX593" i="6" s="1"/>
  <c r="N594" i="6" s="1"/>
  <c r="AX594" i="6" s="1"/>
  <c r="AN368" i="6"/>
  <c r="AU368" i="6" s="1"/>
  <c r="AN834" i="6"/>
  <c r="AU834" i="6" s="1"/>
  <c r="BG1523" i="6"/>
  <c r="W1524" i="6" s="1"/>
  <c r="AH1523" i="6"/>
  <c r="BE874" i="6"/>
  <c r="U874" i="6"/>
  <c r="BF1436" i="6"/>
  <c r="V1437" i="6" s="1"/>
  <c r="AH1436" i="6"/>
  <c r="BF176" i="6"/>
  <c r="V177" i="6" s="1"/>
  <c r="AH176" i="6"/>
  <c r="AN1086" i="6"/>
  <c r="L1129" i="6"/>
  <c r="AV1129" i="6" s="1"/>
  <c r="L1130" i="6" s="1"/>
  <c r="AN587" i="6"/>
  <c r="AZ1447" i="6"/>
  <c r="P1448" i="6" s="1"/>
  <c r="AG1447" i="6"/>
  <c r="AK1447" i="6"/>
  <c r="AR1447" i="6" s="1"/>
  <c r="AL1164" i="6"/>
  <c r="AM1164" i="6"/>
  <c r="BD874" i="6"/>
  <c r="T875" i="6" s="1"/>
  <c r="AP874" i="6"/>
  <c r="BA1275" i="6"/>
  <c r="Q1276" i="6" s="1"/>
  <c r="AG1275" i="6"/>
  <c r="BG1458" i="6"/>
  <c r="W1459" i="6" s="1"/>
  <c r="AH1458" i="6"/>
  <c r="AS979" i="6"/>
  <c r="AQ1199" i="6"/>
  <c r="AS1199" i="6" s="1"/>
  <c r="AS11" i="6"/>
  <c r="BH1300" i="6"/>
  <c r="X1301" i="6" s="1"/>
  <c r="AD1300" i="6"/>
  <c r="N661" i="6"/>
  <c r="AX661" i="6" s="1"/>
  <c r="N662" i="6" s="1"/>
  <c r="AX662" i="6" s="1"/>
  <c r="N663" i="6" s="1"/>
  <c r="AX663" i="6" s="1"/>
  <c r="N664" i="6" s="1"/>
  <c r="AX664" i="6" s="1"/>
  <c r="N665" i="6" s="1"/>
  <c r="AX665" i="6" s="1"/>
  <c r="N666" i="6" s="1"/>
  <c r="AX666" i="6" s="1"/>
  <c r="BF896" i="6"/>
  <c r="V897" i="6" s="1"/>
  <c r="AH896" i="6"/>
  <c r="AN7" i="6"/>
  <c r="BO169" i="6"/>
  <c r="BN170" i="6" s="1"/>
  <c r="AK169" i="6"/>
  <c r="BO1352" i="6"/>
  <c r="BN1353" i="6" s="1"/>
  <c r="AK1352" i="6"/>
  <c r="AQ407" i="6"/>
  <c r="AR115" i="6"/>
  <c r="AM115" i="6"/>
  <c r="AQ115" i="6"/>
  <c r="AL115" i="6"/>
  <c r="BD697" i="6"/>
  <c r="T698" i="6" s="1"/>
  <c r="AP697" i="6"/>
  <c r="AQ1486" i="6"/>
  <c r="AS366" i="6"/>
  <c r="AS1626" i="6"/>
  <c r="BA1568" i="6"/>
  <c r="Q1569" i="6" s="1"/>
  <c r="BO720" i="6"/>
  <c r="BN721" i="6" s="1"/>
  <c r="AP1054" i="6"/>
  <c r="BD1054" i="6"/>
  <c r="T1055" i="6" s="1"/>
  <c r="AQ1053" i="6"/>
  <c r="BA769" i="6"/>
  <c r="Q770" i="6" s="1"/>
  <c r="AG769" i="6"/>
  <c r="BG225" i="6"/>
  <c r="W226" i="6" s="1"/>
  <c r="AH225" i="6"/>
  <c r="AQ443" i="6"/>
  <c r="AS443" i="6" s="1"/>
  <c r="L481" i="6"/>
  <c r="AV481" i="6" s="1"/>
  <c r="L482" i="6" s="1"/>
  <c r="L157" i="6"/>
  <c r="AV157" i="6" s="1"/>
  <c r="L158" i="6" s="1"/>
  <c r="BO1421" i="6"/>
  <c r="BN1422" i="6" s="1"/>
  <c r="AM762" i="6"/>
  <c r="AL762" i="6"/>
  <c r="AR762" i="6"/>
  <c r="AQ762" i="6"/>
  <c r="AL1482" i="6"/>
  <c r="AR1482" i="6"/>
  <c r="AQ1482" i="6"/>
  <c r="AM1482" i="6"/>
  <c r="BF1256" i="6"/>
  <c r="V1257" i="6" s="1"/>
  <c r="AH1256" i="6"/>
  <c r="N625" i="6"/>
  <c r="AX625" i="6" s="1"/>
  <c r="N626" i="6" s="1"/>
  <c r="AX626" i="6" s="1"/>
  <c r="N627" i="6" s="1"/>
  <c r="AX627" i="6" s="1"/>
  <c r="N628" i="6" s="1"/>
  <c r="AX628" i="6" s="1"/>
  <c r="N629" i="6" s="1"/>
  <c r="AX629" i="6" s="1"/>
  <c r="N630" i="6" s="1"/>
  <c r="AX630" i="6" s="1"/>
  <c r="BD1527" i="6"/>
  <c r="T1528" i="6" s="1"/>
  <c r="AP1527" i="6"/>
  <c r="AL1410" i="6"/>
  <c r="AM1410" i="6"/>
  <c r="AR1410" i="6"/>
  <c r="AQ1410" i="6"/>
  <c r="BO414" i="6"/>
  <c r="BN415" i="6" s="1"/>
  <c r="AH212" i="6"/>
  <c r="BF212" i="6"/>
  <c r="V213" i="6" s="1"/>
  <c r="AQ1267" i="6"/>
  <c r="AM1267" i="6"/>
  <c r="AL1267" i="6"/>
  <c r="AR1267" i="6"/>
  <c r="AM1273" i="6"/>
  <c r="AL1273" i="6"/>
  <c r="AN1090" i="6"/>
  <c r="AU1090" i="6" s="1"/>
  <c r="BE83" i="6"/>
  <c r="U83" i="6"/>
  <c r="AQ1483" i="6"/>
  <c r="AV194" i="6"/>
  <c r="L195" i="6" s="1"/>
  <c r="AV195" i="6" s="1"/>
  <c r="L196" i="6" s="1"/>
  <c r="AV196" i="6" s="1"/>
  <c r="L197" i="6" s="1"/>
  <c r="AV197" i="6" s="1"/>
  <c r="L198" i="6" s="1"/>
  <c r="AV198" i="6" s="1"/>
  <c r="AF194" i="6"/>
  <c r="BG554" i="6"/>
  <c r="W555" i="6" s="1"/>
  <c r="BF248" i="6"/>
  <c r="V249" i="6" s="1"/>
  <c r="AH248" i="6"/>
  <c r="BG1310" i="6"/>
  <c r="W1311" i="6" s="1"/>
  <c r="AH1220" i="6"/>
  <c r="BF1220" i="6"/>
  <c r="V1221" i="6" s="1"/>
  <c r="BE696" i="6"/>
  <c r="U696" i="6"/>
  <c r="AF914" i="6"/>
  <c r="AV914" i="6"/>
  <c r="L915" i="6" s="1"/>
  <c r="AV915" i="6" s="1"/>
  <c r="L916" i="6" s="1"/>
  <c r="AV916" i="6" s="1"/>
  <c r="L917" i="6" s="1"/>
  <c r="AV917" i="6" s="1"/>
  <c r="L918" i="6" s="1"/>
  <c r="AV918" i="6" s="1"/>
  <c r="BF1508" i="6"/>
  <c r="V1509" i="6" s="1"/>
  <c r="AH1508" i="6"/>
  <c r="BE155" i="6"/>
  <c r="U155" i="6"/>
  <c r="AN619" i="6"/>
  <c r="BF1400" i="6"/>
  <c r="V1401" i="6" s="1"/>
  <c r="AH1400" i="6"/>
  <c r="BD912" i="6"/>
  <c r="T913" i="6" s="1"/>
  <c r="AP912" i="6"/>
  <c r="BA1129" i="6"/>
  <c r="Q1130" i="6" s="1"/>
  <c r="AQ1091" i="6"/>
  <c r="AS1091" i="6" s="1"/>
  <c r="N1129" i="6"/>
  <c r="AX1129" i="6" s="1"/>
  <c r="N1130" i="6" s="1"/>
  <c r="AX1130" i="6" s="1"/>
  <c r="N1131" i="6" s="1"/>
  <c r="AX1131" i="6" s="1"/>
  <c r="N1132" i="6" s="1"/>
  <c r="AX1132" i="6" s="1"/>
  <c r="N1133" i="6" s="1"/>
  <c r="AX1133" i="6" s="1"/>
  <c r="N1134" i="6" s="1"/>
  <c r="AX1134" i="6" s="1"/>
  <c r="BF1040" i="6"/>
  <c r="V1041" i="6" s="1"/>
  <c r="AH1040" i="6"/>
  <c r="AR763" i="6"/>
  <c r="AM763" i="6"/>
  <c r="AQ763" i="6"/>
  <c r="AL763" i="6"/>
  <c r="BO463" i="6"/>
  <c r="BN464" i="6" s="1"/>
  <c r="BA1314" i="6"/>
  <c r="Q1315" i="6" s="1"/>
  <c r="AG1314" i="6"/>
  <c r="AL371" i="6"/>
  <c r="AN371" i="6" s="1"/>
  <c r="AR1374" i="6"/>
  <c r="AQ1374" i="6"/>
  <c r="AM1374" i="6"/>
  <c r="AL1374" i="6"/>
  <c r="BO1634" i="6"/>
  <c r="BN1635" i="6" s="1"/>
  <c r="BE1307" i="6"/>
  <c r="U1307" i="6"/>
  <c r="AL946" i="6"/>
  <c r="AM946" i="6"/>
  <c r="AR911" i="6"/>
  <c r="AS911" i="6" s="1"/>
  <c r="AU911" i="6" s="1"/>
  <c r="BO125" i="6"/>
  <c r="BN126" i="6" s="1"/>
  <c r="AK125" i="6"/>
  <c r="BA1454" i="6"/>
  <c r="Q1455" i="6" s="1"/>
  <c r="BE731" i="6"/>
  <c r="U731" i="6"/>
  <c r="BA1023" i="6"/>
  <c r="Q1024" i="6" s="1"/>
  <c r="AG1023" i="6"/>
  <c r="AU1160" i="6"/>
  <c r="AN334" i="6"/>
  <c r="AN978" i="6"/>
  <c r="AS333" i="6"/>
  <c r="BG1604" i="6"/>
  <c r="W1605" i="6" s="1"/>
  <c r="AH1604" i="6"/>
  <c r="BG443" i="6"/>
  <c r="W444" i="6" s="1"/>
  <c r="AH443" i="6"/>
  <c r="BO1380" i="6"/>
  <c r="BN1381" i="6" s="1"/>
  <c r="AK1380" i="6"/>
  <c r="AR1380" i="6" s="1"/>
  <c r="AW158" i="6"/>
  <c r="M159" i="6" s="1"/>
  <c r="AW159" i="6" s="1"/>
  <c r="M160" i="6" s="1"/>
  <c r="AW160" i="6" s="1"/>
  <c r="M161" i="6" s="1"/>
  <c r="AW161" i="6" s="1"/>
  <c r="M162" i="6" s="1"/>
  <c r="AW162" i="6" s="1"/>
  <c r="BD1380" i="6"/>
  <c r="T1381" i="6" s="1"/>
  <c r="AP1380" i="6"/>
  <c r="AF1526" i="6"/>
  <c r="AV1526" i="6"/>
  <c r="L1527" i="6" s="1"/>
  <c r="AV1527" i="6" s="1"/>
  <c r="L1528" i="6" s="1"/>
  <c r="AV1528" i="6" s="1"/>
  <c r="L1529" i="6" s="1"/>
  <c r="AV1529" i="6" s="1"/>
  <c r="L1530" i="6" s="1"/>
  <c r="AV1530" i="6" s="1"/>
  <c r="AN547" i="6"/>
  <c r="AU547" i="6" s="1"/>
  <c r="BD1272" i="6"/>
  <c r="T1273" i="6" s="1"/>
  <c r="AP1272" i="6"/>
  <c r="AQ1272" i="6" s="1"/>
  <c r="BD228" i="6"/>
  <c r="T229" i="6" s="1"/>
  <c r="AP228" i="6"/>
  <c r="BG876" i="6"/>
  <c r="W877" i="6" s="1"/>
  <c r="AH876" i="6"/>
  <c r="AZ80" i="6"/>
  <c r="P81" i="6" s="1"/>
  <c r="AG80" i="6"/>
  <c r="AK80" i="6"/>
  <c r="AR80" i="6" s="1"/>
  <c r="AS80" i="6" s="1"/>
  <c r="BF1292" i="6"/>
  <c r="V1293" i="6" s="1"/>
  <c r="AH1292" i="6"/>
  <c r="BA1165" i="6"/>
  <c r="Q1166" i="6" s="1"/>
  <c r="AG1165" i="6"/>
  <c r="BA1344" i="6"/>
  <c r="Q1345" i="6" s="1"/>
  <c r="AG1344" i="6"/>
  <c r="BD156" i="6"/>
  <c r="T157" i="6" s="1"/>
  <c r="AP156" i="6"/>
  <c r="BD1020" i="6"/>
  <c r="T1021" i="6" s="1"/>
  <c r="AP1020" i="6"/>
  <c r="BG1132" i="6"/>
  <c r="W1133" i="6" s="1"/>
  <c r="AH1132" i="6"/>
  <c r="AN1304" i="6"/>
  <c r="BG479" i="6"/>
  <c r="W480" i="6" s="1"/>
  <c r="AH479" i="6"/>
  <c r="AN1020" i="6"/>
  <c r="AQ83" i="6"/>
  <c r="BO662" i="6"/>
  <c r="BN663" i="6" s="1"/>
  <c r="BO1214" i="6"/>
  <c r="BN1215" i="6" s="1"/>
  <c r="AK1214" i="6"/>
  <c r="AR767" i="6"/>
  <c r="AQ767" i="6"/>
  <c r="AM767" i="6"/>
  <c r="AL767" i="6"/>
  <c r="AF266" i="6"/>
  <c r="AG266" i="6"/>
  <c r="AV266" i="6"/>
  <c r="L267" i="6" s="1"/>
  <c r="AV267" i="6" s="1"/>
  <c r="L268" i="6" s="1"/>
  <c r="AV268" i="6" s="1"/>
  <c r="L269" i="6" s="1"/>
  <c r="AV269" i="6" s="1"/>
  <c r="L270" i="6" s="1"/>
  <c r="AV270" i="6" s="1"/>
  <c r="BH1136" i="6"/>
  <c r="X1137" i="6" s="1"/>
  <c r="AD1136" i="6"/>
  <c r="U1380" i="6"/>
  <c r="BE1380" i="6"/>
  <c r="AN910" i="6"/>
  <c r="AZ1124" i="6"/>
  <c r="P1125" i="6" s="1"/>
  <c r="AG1124" i="6"/>
  <c r="AK1124" i="6"/>
  <c r="AR1124" i="6" s="1"/>
  <c r="AS1124" i="6" s="1"/>
  <c r="BO230" i="6"/>
  <c r="BN231" i="6" s="1"/>
  <c r="AK230" i="6"/>
  <c r="BF1616" i="6"/>
  <c r="V1617" i="6" s="1"/>
  <c r="AH1616" i="6"/>
  <c r="N373" i="6"/>
  <c r="AX373" i="6" s="1"/>
  <c r="N374" i="6" s="1"/>
  <c r="AX374" i="6" s="1"/>
  <c r="N375" i="6" s="1"/>
  <c r="AX375" i="6" s="1"/>
  <c r="N376" i="6" s="1"/>
  <c r="AX376" i="6" s="1"/>
  <c r="N377" i="6" s="1"/>
  <c r="AX377" i="6" s="1"/>
  <c r="N378" i="6" s="1"/>
  <c r="AX378" i="6" s="1"/>
  <c r="AS335" i="6"/>
  <c r="BF1076" i="6"/>
  <c r="V1077" i="6" s="1"/>
  <c r="AH1076" i="6"/>
  <c r="BE263" i="6"/>
  <c r="U263" i="6"/>
  <c r="BF824" i="6"/>
  <c r="V825" i="6" s="1"/>
  <c r="AH824" i="6"/>
  <c r="AZ189" i="6"/>
  <c r="P190" i="6" s="1"/>
  <c r="AK189" i="6"/>
  <c r="AR189" i="6" s="1"/>
  <c r="AS189" i="6" s="1"/>
  <c r="AG189" i="6"/>
  <c r="BF356" i="6"/>
  <c r="V357" i="6" s="1"/>
  <c r="AH356" i="6"/>
  <c r="AZ32" i="6"/>
  <c r="P33" i="6" s="1"/>
  <c r="AK32" i="6"/>
  <c r="BO1244" i="6"/>
  <c r="BN1245" i="6" s="1"/>
  <c r="BG336" i="6"/>
  <c r="W337" i="6" s="1"/>
  <c r="AH336" i="6"/>
  <c r="AM336" i="6" s="1"/>
  <c r="BG983" i="6"/>
  <c r="W984" i="6" s="1"/>
  <c r="AH983" i="6"/>
  <c r="BE805" i="6"/>
  <c r="U805" i="6"/>
  <c r="AS6" i="6"/>
  <c r="AN1015" i="6"/>
  <c r="AQ659" i="6"/>
  <c r="AN1196" i="6"/>
  <c r="BA1201" i="6"/>
  <c r="Q1202" i="6" s="1"/>
  <c r="AG1201" i="6"/>
  <c r="BG947" i="6"/>
  <c r="W948" i="6" s="1"/>
  <c r="AH947" i="6"/>
  <c r="AS7" i="6"/>
  <c r="BG1238" i="6"/>
  <c r="W1239" i="6" s="1"/>
  <c r="AN588" i="6"/>
  <c r="AS259" i="6"/>
  <c r="BA734" i="6"/>
  <c r="Q735" i="6" s="1"/>
  <c r="BE1055" i="6"/>
  <c r="U1055" i="6"/>
  <c r="BF428" i="6"/>
  <c r="V429" i="6" s="1"/>
  <c r="AH428" i="6"/>
  <c r="BE1487" i="6"/>
  <c r="U1487" i="6"/>
  <c r="BG696" i="6"/>
  <c r="W697" i="6" s="1"/>
  <c r="AH696" i="6"/>
  <c r="BF1112" i="6"/>
  <c r="V1113" i="6" s="1"/>
  <c r="AH1112" i="6"/>
  <c r="AN370" i="6"/>
  <c r="AN1194" i="6"/>
  <c r="AU1194" i="6" s="1"/>
  <c r="BA271" i="6"/>
  <c r="Q272" i="6" s="1"/>
  <c r="AG271" i="6"/>
  <c r="N481" i="6"/>
  <c r="AX481" i="6" s="1"/>
  <c r="N482" i="6" s="1"/>
  <c r="AX482" i="6" s="1"/>
  <c r="N483" i="6" s="1"/>
  <c r="AX483" i="6" s="1"/>
  <c r="N484" i="6" s="1"/>
  <c r="AX484" i="6" s="1"/>
  <c r="N485" i="6" s="1"/>
  <c r="AX485" i="6" s="1"/>
  <c r="N486" i="6" s="1"/>
  <c r="AX486" i="6" s="1"/>
  <c r="N157" i="6"/>
  <c r="AX157" i="6" s="1"/>
  <c r="N158" i="6" s="1"/>
  <c r="AX158" i="6" s="1"/>
  <c r="N159" i="6" s="1"/>
  <c r="AX159" i="6" s="1"/>
  <c r="N160" i="6" s="1"/>
  <c r="AX160" i="6" s="1"/>
  <c r="N161" i="6" s="1"/>
  <c r="AX161" i="6" s="1"/>
  <c r="N162" i="6" s="1"/>
  <c r="AX162" i="6" s="1"/>
  <c r="BD481" i="6"/>
  <c r="T482" i="6" s="1"/>
  <c r="AP481" i="6"/>
  <c r="BG1378" i="6"/>
  <c r="W1379" i="6" s="1"/>
  <c r="AH1378" i="6"/>
  <c r="AR873" i="6"/>
  <c r="AS873" i="6" s="1"/>
  <c r="AN873" i="6"/>
  <c r="AN330" i="6"/>
  <c r="BO573" i="6"/>
  <c r="BN574" i="6" s="1"/>
  <c r="AS1304" i="6"/>
  <c r="AS583" i="6"/>
  <c r="AU583" i="6" s="1"/>
  <c r="BF536" i="6"/>
  <c r="V537" i="6" s="1"/>
  <c r="AH536" i="6"/>
  <c r="BD84" i="6"/>
  <c r="T85" i="6" s="1"/>
  <c r="AP84" i="6"/>
  <c r="L337" i="6"/>
  <c r="AV337" i="6" s="1"/>
  <c r="L338" i="6" s="1"/>
  <c r="AW338" i="6" s="1"/>
  <c r="M339" i="6" s="1"/>
  <c r="AW339" i="6" s="1"/>
  <c r="M340" i="6" s="1"/>
  <c r="AW340" i="6" s="1"/>
  <c r="M341" i="6" s="1"/>
  <c r="AW341" i="6" s="1"/>
  <c r="M342" i="6" s="1"/>
  <c r="AW342" i="6" s="1"/>
  <c r="BA663" i="6"/>
  <c r="Q664" i="6" s="1"/>
  <c r="AR765" i="6"/>
  <c r="AL765" i="6"/>
  <c r="AQ765" i="6"/>
  <c r="AM765" i="6"/>
  <c r="BO1037" i="6"/>
  <c r="BN1038" i="6" s="1"/>
  <c r="AK1037" i="6"/>
  <c r="AW266" i="6"/>
  <c r="M267" i="6" s="1"/>
  <c r="AW267" i="6" s="1"/>
  <c r="M268" i="6" s="1"/>
  <c r="AW268" i="6" s="1"/>
  <c r="M269" i="6" s="1"/>
  <c r="AW269" i="6" s="1"/>
  <c r="M270" i="6" s="1"/>
  <c r="AW270" i="6" s="1"/>
  <c r="AN799" i="6"/>
  <c r="BA337" i="6"/>
  <c r="Q338" i="6" s="1"/>
  <c r="AG337" i="6"/>
  <c r="BO193" i="6"/>
  <c r="BN194" i="6" s="1"/>
  <c r="BG1346" i="6"/>
  <c r="W1347" i="6" s="1"/>
  <c r="AH1346" i="6"/>
  <c r="BG1201" i="6"/>
  <c r="W1202" i="6" s="1"/>
  <c r="AH1201" i="6"/>
  <c r="BF464" i="6"/>
  <c r="V465" i="6" s="1"/>
  <c r="AH464" i="6"/>
  <c r="BA164" i="6"/>
  <c r="Q165" i="6" s="1"/>
  <c r="AG164" i="6"/>
  <c r="BO1294" i="6"/>
  <c r="BN1295" i="6" s="1"/>
  <c r="AK1294" i="6"/>
  <c r="BD265" i="6"/>
  <c r="T266" i="6" s="1"/>
  <c r="AP265" i="6"/>
  <c r="L1057" i="6"/>
  <c r="AV1057" i="6" s="1"/>
  <c r="L1058" i="6" s="1"/>
  <c r="AL1446" i="6"/>
  <c r="AN1446" i="6" s="1"/>
  <c r="AU1446" i="6" s="1"/>
  <c r="BG914" i="6"/>
  <c r="W915" i="6" s="1"/>
  <c r="AH914" i="6"/>
  <c r="U1019" i="6"/>
  <c r="BE1019" i="6"/>
  <c r="AN1305" i="6"/>
  <c r="BA527" i="6"/>
  <c r="Q528" i="6" s="1"/>
  <c r="BO68" i="6"/>
  <c r="BN69" i="6" s="1"/>
  <c r="BA17" i="6"/>
  <c r="Q18" i="6" s="1"/>
  <c r="AG17" i="6"/>
  <c r="BD1416" i="6"/>
  <c r="T1417" i="6" s="1"/>
  <c r="AP1416" i="6"/>
  <c r="BA235" i="6"/>
  <c r="Q236" i="6" s="1"/>
  <c r="AG235" i="6"/>
  <c r="BD1596" i="6"/>
  <c r="T1597" i="6" s="1"/>
  <c r="AP1596" i="6"/>
  <c r="BD444" i="6"/>
  <c r="T445" i="6" s="1"/>
  <c r="AP444" i="6"/>
  <c r="AL913" i="6"/>
  <c r="AN913" i="6" s="1"/>
  <c r="BO524" i="6"/>
  <c r="BN525" i="6" s="1"/>
  <c r="AR1166" i="6"/>
  <c r="AQ1166" i="6"/>
  <c r="AS403" i="6"/>
  <c r="AL336" i="6"/>
  <c r="AL589" i="6"/>
  <c r="AN589" i="6" s="1"/>
  <c r="BG298" i="6"/>
  <c r="W299" i="6" s="1"/>
  <c r="AH298" i="6"/>
  <c r="BE372" i="6"/>
  <c r="U372" i="6"/>
  <c r="BD1452" i="6"/>
  <c r="T1453" i="6" s="1"/>
  <c r="AP1452" i="6"/>
  <c r="AP1128" i="6"/>
  <c r="BD1128" i="6"/>
  <c r="T1129" i="6" s="1"/>
  <c r="AZ453" i="6"/>
  <c r="P454" i="6" s="1"/>
  <c r="AK453" i="6"/>
  <c r="AL43" i="6"/>
  <c r="BE1162" i="6"/>
  <c r="U1162" i="6"/>
  <c r="AQ1380" i="6"/>
  <c r="AL188" i="6"/>
  <c r="AN188" i="6" s="1"/>
  <c r="AV410" i="6"/>
  <c r="L411" i="6" s="1"/>
  <c r="AV411" i="6" s="1"/>
  <c r="L412" i="6" s="1"/>
  <c r="AV412" i="6" s="1"/>
  <c r="L413" i="6" s="1"/>
  <c r="AV413" i="6" s="1"/>
  <c r="L414" i="6" s="1"/>
  <c r="AV414" i="6" s="1"/>
  <c r="AF410" i="6"/>
  <c r="BD1561" i="6"/>
  <c r="T1562" i="6" s="1"/>
  <c r="AP1561" i="6"/>
  <c r="AQ1561" i="6" s="1"/>
  <c r="AH752" i="6"/>
  <c r="BF752" i="6"/>
  <c r="V753" i="6" s="1"/>
  <c r="AR1272" i="6"/>
  <c r="AM1272" i="6"/>
  <c r="AL1272" i="6"/>
  <c r="BG1054" i="6"/>
  <c r="W1055" i="6" s="1"/>
  <c r="AH1054" i="6"/>
  <c r="AS801" i="6"/>
  <c r="AR1379" i="6"/>
  <c r="AQ1379" i="6"/>
  <c r="AL1375" i="6"/>
  <c r="AR1375" i="6"/>
  <c r="AQ1375" i="6"/>
  <c r="AM1375" i="6"/>
  <c r="AN1338" i="6"/>
  <c r="AU1338" i="6" s="1"/>
  <c r="AS1019" i="6"/>
  <c r="AU1019" i="6" s="1"/>
  <c r="N265" i="6"/>
  <c r="AX265" i="6" s="1"/>
  <c r="N266" i="6" s="1"/>
  <c r="AX266" i="6" s="1"/>
  <c r="N267" i="6" s="1"/>
  <c r="AX267" i="6" s="1"/>
  <c r="N268" i="6" s="1"/>
  <c r="AX268" i="6" s="1"/>
  <c r="N269" i="6" s="1"/>
  <c r="AX269" i="6" s="1"/>
  <c r="N270" i="6" s="1"/>
  <c r="AX270" i="6" s="1"/>
  <c r="AN1518" i="6"/>
  <c r="AU1518" i="6" s="1"/>
  <c r="BE408" i="6"/>
  <c r="U408" i="6"/>
  <c r="AM1309" i="6"/>
  <c r="AN1309" i="6" s="1"/>
  <c r="AU1309" i="6" s="1"/>
  <c r="BA1057" i="6"/>
  <c r="Q1058" i="6" s="1"/>
  <c r="BD1200" i="6"/>
  <c r="T1201" i="6" s="1"/>
  <c r="AP1200" i="6"/>
  <c r="AS551" i="6"/>
  <c r="BF1004" i="6"/>
  <c r="V1005" i="6" s="1"/>
  <c r="AH1004" i="6"/>
  <c r="AS1523" i="6"/>
  <c r="BD336" i="6"/>
  <c r="T337" i="6" s="1"/>
  <c r="AP336" i="6"/>
  <c r="AZ1592" i="6"/>
  <c r="P1593" i="6" s="1"/>
  <c r="AK1592" i="6"/>
  <c r="AR1592" i="6" s="1"/>
  <c r="AS1592" i="6" s="1"/>
  <c r="AG1592" i="6"/>
  <c r="AN872" i="6"/>
  <c r="AQ1557" i="6"/>
  <c r="AZ1411" i="6"/>
  <c r="P1412" i="6" s="1"/>
  <c r="AG1411" i="6"/>
  <c r="AK1411" i="6"/>
  <c r="AR1411" i="6" s="1"/>
  <c r="AS1411" i="6" s="1"/>
  <c r="BF968" i="6"/>
  <c r="V969" i="6" s="1"/>
  <c r="AH968" i="6"/>
  <c r="AN116" i="6"/>
  <c r="BD624" i="6"/>
  <c r="T625" i="6" s="1"/>
  <c r="AP624" i="6"/>
  <c r="AZ836" i="6"/>
  <c r="P837" i="6" s="1"/>
  <c r="AG836" i="6"/>
  <c r="AK836" i="6"/>
  <c r="AR836" i="6" s="1"/>
  <c r="AS836" i="6" s="1"/>
  <c r="N1057" i="6"/>
  <c r="AX1057" i="6" s="1"/>
  <c r="N1058" i="6" s="1"/>
  <c r="AX1058" i="6" s="1"/>
  <c r="N1059" i="6" s="1"/>
  <c r="AX1059" i="6" s="1"/>
  <c r="N1060" i="6" s="1"/>
  <c r="AX1060" i="6" s="1"/>
  <c r="N1061" i="6" s="1"/>
  <c r="AX1061" i="6" s="1"/>
  <c r="N1062" i="6" s="1"/>
  <c r="AX1062" i="6" s="1"/>
  <c r="BA50" i="6"/>
  <c r="Q51" i="6" s="1"/>
  <c r="AN981" i="6"/>
  <c r="M91" i="6"/>
  <c r="AW91" i="6" s="1"/>
  <c r="M92" i="6" s="1"/>
  <c r="AW92" i="6" s="1"/>
  <c r="M93" i="6" s="1"/>
  <c r="AW93" i="6" s="1"/>
  <c r="M94" i="6" s="1"/>
  <c r="AW94" i="6" s="1"/>
  <c r="M95" i="6" s="1"/>
  <c r="AW95" i="6" s="1"/>
  <c r="M96" i="6" s="1"/>
  <c r="AW96" i="6" s="1"/>
  <c r="M97" i="6" s="1"/>
  <c r="AW97" i="6" s="1"/>
  <c r="M98" i="6" s="1"/>
  <c r="BA805" i="6"/>
  <c r="Q806" i="6" s="1"/>
  <c r="AG805" i="6"/>
  <c r="AN6" i="6"/>
  <c r="AW194" i="6"/>
  <c r="M195" i="6" s="1"/>
  <c r="AW195" i="6" s="1"/>
  <c r="M196" i="6" s="1"/>
  <c r="AW196" i="6" s="1"/>
  <c r="M197" i="6" s="1"/>
  <c r="AW197" i="6" s="1"/>
  <c r="M198" i="6" s="1"/>
  <c r="AW198" i="6" s="1"/>
  <c r="AS1015" i="6"/>
  <c r="BE550" i="6"/>
  <c r="U550" i="6"/>
  <c r="L769" i="6"/>
  <c r="AV769" i="6" s="1"/>
  <c r="L770" i="6" s="1"/>
  <c r="AW770" i="6" s="1"/>
  <c r="M771" i="6" s="1"/>
  <c r="AW771" i="6" s="1"/>
  <c r="M772" i="6" s="1"/>
  <c r="AW772" i="6" s="1"/>
  <c r="M773" i="6" s="1"/>
  <c r="AW773" i="6" s="1"/>
  <c r="M774" i="6" s="1"/>
  <c r="AW774" i="6" s="1"/>
  <c r="AF1346" i="6"/>
  <c r="AV1346" i="6"/>
  <c r="L1347" i="6" s="1"/>
  <c r="AV1347" i="6" s="1"/>
  <c r="L1348" i="6" s="1"/>
  <c r="AV1348" i="6" s="1"/>
  <c r="L1349" i="6" s="1"/>
  <c r="AV1349" i="6" s="1"/>
  <c r="L1350" i="6" s="1"/>
  <c r="AV1350" i="6" s="1"/>
  <c r="BD1167" i="6"/>
  <c r="T1168" i="6" s="1"/>
  <c r="AP1167" i="6"/>
  <c r="BD372" i="6"/>
  <c r="T373" i="6" s="1"/>
  <c r="AP372" i="6"/>
  <c r="BO1076" i="6"/>
  <c r="BN1077" i="6" s="1"/>
  <c r="AL117" i="6"/>
  <c r="AR117" i="6"/>
  <c r="AQ117" i="6"/>
  <c r="AM117" i="6"/>
  <c r="BG803" i="6"/>
  <c r="W804" i="6" s="1"/>
  <c r="AH803" i="6"/>
  <c r="AL295" i="6"/>
  <c r="AM295" i="6"/>
  <c r="BO640" i="6"/>
  <c r="BN641" i="6" s="1"/>
  <c r="AK640" i="6"/>
  <c r="BA415" i="6"/>
  <c r="Q416" i="6" s="1"/>
  <c r="AS978" i="6"/>
  <c r="AS370" i="6"/>
  <c r="AN333" i="6"/>
  <c r="AG986" i="6"/>
  <c r="BD12" i="6"/>
  <c r="T13" i="6" s="1"/>
  <c r="AP12" i="6"/>
  <c r="BF716" i="6"/>
  <c r="V717" i="6" s="1"/>
  <c r="AH716" i="6"/>
  <c r="AV590" i="6"/>
  <c r="L591" i="6" s="1"/>
  <c r="AV591" i="6" s="1"/>
  <c r="L592" i="6" s="1"/>
  <c r="AV592" i="6" s="1"/>
  <c r="L593" i="6" s="1"/>
  <c r="AV593" i="6" s="1"/>
  <c r="L594" i="6" s="1"/>
  <c r="AV594" i="6" s="1"/>
  <c r="BO1535" i="6"/>
  <c r="BN1536" i="6" s="1"/>
  <c r="AK1535" i="6"/>
  <c r="AZ1325" i="6"/>
  <c r="P1326" i="6" s="1"/>
  <c r="AK1325" i="6"/>
  <c r="BG372" i="6"/>
  <c r="W373" i="6" s="1"/>
  <c r="AH372" i="6"/>
  <c r="BE589" i="6"/>
  <c r="U589" i="6"/>
  <c r="BD660" i="6"/>
  <c r="T661" i="6" s="1"/>
  <c r="AP660" i="6"/>
  <c r="AH1364" i="6"/>
  <c r="BF1364" i="6"/>
  <c r="V1365" i="6" s="1"/>
  <c r="AZ691" i="6"/>
  <c r="P692" i="6" s="1"/>
  <c r="AG691" i="6"/>
  <c r="AK691" i="6"/>
  <c r="AR691" i="6" s="1"/>
  <c r="AS691" i="6" s="1"/>
  <c r="BF1544" i="6"/>
  <c r="V1545" i="6" s="1"/>
  <c r="AH1544" i="6"/>
  <c r="BA1093" i="6"/>
  <c r="Q1094" i="6" s="1"/>
  <c r="AG1093" i="6"/>
  <c r="BO1567" i="6"/>
  <c r="BN1568" i="6" s="1"/>
  <c r="BE119" i="6"/>
  <c r="U119" i="6"/>
  <c r="BO1134" i="6"/>
  <c r="BN1135" i="6" s="1"/>
  <c r="AQ517" i="6"/>
  <c r="AL875" i="6"/>
  <c r="AN875" i="6" s="1"/>
  <c r="BO266" i="6"/>
  <c r="BN267" i="6" s="1"/>
  <c r="AK266" i="6"/>
  <c r="BF32" i="6"/>
  <c r="V33" i="6" s="1"/>
  <c r="AH32" i="6"/>
  <c r="AZ1052" i="6"/>
  <c r="P1053" i="6" s="1"/>
  <c r="AG1052" i="6"/>
  <c r="AK1052" i="6"/>
  <c r="AR1052" i="6" s="1"/>
  <c r="AS1052" i="6" s="1"/>
  <c r="AV122" i="6"/>
  <c r="L123" i="6" s="1"/>
  <c r="AV123" i="6" s="1"/>
  <c r="L124" i="6" s="1"/>
  <c r="AV124" i="6" s="1"/>
  <c r="L125" i="6" s="1"/>
  <c r="AV125" i="6" s="1"/>
  <c r="L126" i="6" s="1"/>
  <c r="AV126" i="6" s="1"/>
  <c r="AF122" i="6"/>
  <c r="AG122" i="6"/>
  <c r="AZ44" i="6"/>
  <c r="P45" i="6" s="1"/>
  <c r="AG44" i="6"/>
  <c r="AK44" i="6"/>
  <c r="AR44" i="6" s="1"/>
  <c r="AS44" i="6" s="1"/>
  <c r="AM511" i="6"/>
  <c r="AL511" i="6"/>
  <c r="BD1311" i="6"/>
  <c r="T1312" i="6" s="1"/>
  <c r="AP1311" i="6"/>
  <c r="AN1016" i="6"/>
  <c r="AW122" i="6"/>
  <c r="M123" i="6" s="1"/>
  <c r="AW123" i="6" s="1"/>
  <c r="M124" i="6" s="1"/>
  <c r="AW124" i="6" s="1"/>
  <c r="M125" i="6" s="1"/>
  <c r="AW125" i="6" s="1"/>
  <c r="M126" i="6" s="1"/>
  <c r="AW126" i="6" s="1"/>
  <c r="AZ405" i="6"/>
  <c r="P406" i="6" s="1"/>
  <c r="AK405" i="6"/>
  <c r="AR405" i="6" s="1"/>
  <c r="AS405" i="6" s="1"/>
  <c r="AG405" i="6"/>
  <c r="AL1591" i="6"/>
  <c r="AN1591" i="6" s="1"/>
  <c r="AQ1416" i="6"/>
  <c r="AL403" i="6"/>
  <c r="U767" i="6"/>
  <c r="BE767" i="6"/>
  <c r="BD768" i="6"/>
  <c r="T769" i="6" s="1"/>
  <c r="AP768" i="6"/>
  <c r="AR768" i="6" s="1"/>
  <c r="BE1450" i="6"/>
  <c r="U1450" i="6"/>
  <c r="BH1360" i="6"/>
  <c r="X1361" i="6" s="1"/>
  <c r="AD1360" i="6"/>
  <c r="AH46" i="6"/>
  <c r="BG46" i="6"/>
  <c r="W47" i="6" s="1"/>
  <c r="AS43" i="6"/>
  <c r="BO1099" i="6"/>
  <c r="BN1100" i="6" s="1"/>
  <c r="AK1099" i="6"/>
  <c r="AP303" i="6"/>
  <c r="BD303" i="6"/>
  <c r="T304" i="6" s="1"/>
  <c r="BE838" i="6"/>
  <c r="U838" i="6"/>
  <c r="BA987" i="6"/>
  <c r="Q988" i="6" s="1"/>
  <c r="AG987" i="6"/>
  <c r="AW410" i="6"/>
  <c r="M411" i="6" s="1"/>
  <c r="AW411" i="6" s="1"/>
  <c r="M412" i="6" s="1"/>
  <c r="AW412" i="6" s="1"/>
  <c r="M413" i="6" s="1"/>
  <c r="AW413" i="6" s="1"/>
  <c r="M414" i="6" s="1"/>
  <c r="AW414" i="6" s="1"/>
  <c r="AF1022" i="6"/>
  <c r="AV1022" i="6"/>
  <c r="L1023" i="6" s="1"/>
  <c r="AV1023" i="6" s="1"/>
  <c r="L1024" i="6" s="1"/>
  <c r="AV1024" i="6" s="1"/>
  <c r="L1025" i="6" s="1"/>
  <c r="AV1025" i="6" s="1"/>
  <c r="L1026" i="6" s="1"/>
  <c r="AV1026" i="6" s="1"/>
  <c r="BO774" i="6"/>
  <c r="BN775" i="6" s="1"/>
  <c r="AK774" i="6"/>
  <c r="BG155" i="6"/>
  <c r="W156" i="6" s="1"/>
  <c r="AH155" i="6"/>
  <c r="AN802" i="6"/>
  <c r="AR1268" i="6"/>
  <c r="AQ1268" i="6"/>
  <c r="AM1268" i="6"/>
  <c r="AL1268" i="6"/>
  <c r="N697" i="6"/>
  <c r="AX697" i="6" s="1"/>
  <c r="N698" i="6" s="1"/>
  <c r="AX698" i="6" s="1"/>
  <c r="N699" i="6" s="1"/>
  <c r="AX699" i="6" s="1"/>
  <c r="N700" i="6" s="1"/>
  <c r="AX700" i="6" s="1"/>
  <c r="N701" i="6" s="1"/>
  <c r="AX701" i="6" s="1"/>
  <c r="N702" i="6" s="1"/>
  <c r="AX702" i="6" s="1"/>
  <c r="BA1489" i="6"/>
  <c r="Q1490" i="6" s="1"/>
  <c r="AS330" i="6"/>
  <c r="AQ951" i="6"/>
  <c r="AZ475" i="6"/>
  <c r="P476" i="6" s="1"/>
  <c r="AK475" i="6"/>
  <c r="AR475" i="6" s="1"/>
  <c r="AS475" i="6" s="1"/>
  <c r="AG475" i="6"/>
  <c r="AF1598" i="6"/>
  <c r="AV1598" i="6"/>
  <c r="L1599" i="6" s="1"/>
  <c r="AV1599" i="6" s="1"/>
  <c r="L1600" i="6" s="1"/>
  <c r="AV1600" i="6" s="1"/>
  <c r="L1601" i="6" s="1"/>
  <c r="AV1601" i="6" s="1"/>
  <c r="L1602" i="6" s="1"/>
  <c r="AV1602" i="6" s="1"/>
  <c r="AH1598" i="6"/>
  <c r="BG1633" i="6"/>
  <c r="W1634" i="6" s="1"/>
  <c r="AH1633" i="6"/>
  <c r="BO951" i="6"/>
  <c r="BN952" i="6" s="1"/>
  <c r="AK951" i="6"/>
  <c r="AR951" i="6" s="1"/>
  <c r="AQ1376" i="6"/>
  <c r="AM1376" i="6"/>
  <c r="AL1376" i="6"/>
  <c r="AR1376" i="6"/>
  <c r="AS798" i="6"/>
  <c r="AU798" i="6" s="1"/>
  <c r="BO505" i="6"/>
  <c r="BN506" i="6" s="1"/>
  <c r="BO321" i="6"/>
  <c r="BN322" i="6" s="1"/>
  <c r="BA697" i="6"/>
  <c r="Q698" i="6" s="1"/>
  <c r="BH1002" i="6"/>
  <c r="X1003" i="6" s="1"/>
  <c r="AD1002" i="6"/>
  <c r="BF392" i="6"/>
  <c r="V393" i="6" s="1"/>
  <c r="AH392" i="6"/>
  <c r="BO342" i="6"/>
  <c r="BN343" i="6" s="1"/>
  <c r="AK342" i="6"/>
  <c r="BG118" i="6"/>
  <c r="W119" i="6" s="1"/>
  <c r="AH118" i="6"/>
  <c r="AQ191" i="6"/>
  <c r="AS116" i="6"/>
  <c r="AZ1556" i="6"/>
  <c r="P1557" i="6" s="1"/>
  <c r="AG1556" i="6"/>
  <c r="AK1556" i="6"/>
  <c r="AR1556" i="6" s="1"/>
  <c r="AS474" i="6"/>
  <c r="BO1328" i="6"/>
  <c r="BN1329" i="6" s="1"/>
  <c r="BD518" i="6"/>
  <c r="T519" i="6" s="1"/>
  <c r="AP518" i="6"/>
  <c r="AS1341" i="6"/>
  <c r="AL1555" i="6"/>
  <c r="AN1555" i="6" s="1"/>
  <c r="BA590" i="6"/>
  <c r="Q591" i="6" s="1"/>
  <c r="AG590" i="6"/>
  <c r="AZ512" i="6"/>
  <c r="P513" i="6" s="1"/>
  <c r="AG512" i="6"/>
  <c r="AK512" i="6"/>
  <c r="AR512" i="6" s="1"/>
  <c r="AS512" i="6" s="1"/>
  <c r="AQ1412" i="6"/>
  <c r="AS1016" i="6"/>
  <c r="BF680" i="6"/>
  <c r="V681" i="6" s="1"/>
  <c r="AH680" i="6"/>
  <c r="AS981" i="6"/>
  <c r="AN1198" i="6"/>
  <c r="AN1087" i="6"/>
  <c r="AZ656" i="6"/>
  <c r="P657" i="6" s="1"/>
  <c r="AK656" i="6"/>
  <c r="AR656" i="6" s="1"/>
  <c r="AS656" i="6" s="1"/>
  <c r="AG656" i="6"/>
  <c r="AS1308" i="6"/>
  <c r="N1237" i="6"/>
  <c r="AX1237" i="6" s="1"/>
  <c r="N1238" i="6" s="1"/>
  <c r="AX1238" i="6" s="1"/>
  <c r="N1239" i="6" s="1"/>
  <c r="AX1239" i="6" s="1"/>
  <c r="N1240" i="6" s="1"/>
  <c r="AX1240" i="6" s="1"/>
  <c r="N1241" i="6" s="1"/>
  <c r="AX1241" i="6" s="1"/>
  <c r="N1242" i="6" s="1"/>
  <c r="AX1242" i="6" s="1"/>
  <c r="N769" i="6"/>
  <c r="AX769" i="6" s="1"/>
  <c r="N770" i="6" s="1"/>
  <c r="AX770" i="6" s="1"/>
  <c r="N771" i="6" s="1"/>
  <c r="AX771" i="6" s="1"/>
  <c r="N772" i="6" s="1"/>
  <c r="AX772" i="6" s="1"/>
  <c r="N773" i="6" s="1"/>
  <c r="AX773" i="6" s="1"/>
  <c r="N774" i="6" s="1"/>
  <c r="AX774" i="6" s="1"/>
  <c r="BF284" i="6"/>
  <c r="V285" i="6" s="1"/>
  <c r="AH284" i="6"/>
  <c r="AQ1413" i="6"/>
  <c r="BE1091" i="6"/>
  <c r="U1091" i="6"/>
  <c r="BA555" i="6"/>
  <c r="Q556" i="6" s="1"/>
  <c r="AG555" i="6"/>
  <c r="AM404" i="6"/>
  <c r="AN404" i="6" s="1"/>
  <c r="AN1270" i="6"/>
  <c r="AU1270" i="6" s="1"/>
  <c r="AN187" i="6"/>
  <c r="AU187" i="6" s="1"/>
  <c r="L1561" i="6"/>
  <c r="AV1561" i="6" s="1"/>
  <c r="L1562" i="6" s="1"/>
  <c r="AW1562" i="6" s="1"/>
  <c r="M1563" i="6" s="1"/>
  <c r="AW1563" i="6" s="1"/>
  <c r="M1564" i="6" s="1"/>
  <c r="AW1564" i="6" s="1"/>
  <c r="M1565" i="6" s="1"/>
  <c r="AW1565" i="6" s="1"/>
  <c r="M1566" i="6" s="1"/>
  <c r="AW1566" i="6" s="1"/>
  <c r="AZ296" i="6"/>
  <c r="P297" i="6" s="1"/>
  <c r="AK296" i="6"/>
  <c r="AR296" i="6" s="1"/>
  <c r="AS296" i="6" s="1"/>
  <c r="AG296" i="6"/>
  <c r="AN1266" i="6"/>
  <c r="AU1266" i="6" s="1"/>
  <c r="BE1235" i="6"/>
  <c r="U1235" i="6"/>
  <c r="AQ302" i="6"/>
  <c r="AL1231" i="6"/>
  <c r="AN1231" i="6" s="1"/>
  <c r="AS586" i="6"/>
  <c r="BA626" i="6"/>
  <c r="Q627" i="6" s="1"/>
  <c r="BA486" i="6"/>
  <c r="Q487" i="6" s="1"/>
  <c r="BG1165" i="6"/>
  <c r="W1166" i="6" s="1"/>
  <c r="AH1165" i="6"/>
  <c r="BA1526" i="6"/>
  <c r="Q1527" i="6" s="1"/>
  <c r="AG1526" i="6"/>
  <c r="BD408" i="6"/>
  <c r="T409" i="6" s="1"/>
  <c r="AP408" i="6"/>
  <c r="AQ1415" i="6"/>
  <c r="BE480" i="6"/>
  <c r="U480" i="6"/>
  <c r="BG659" i="6"/>
  <c r="W660" i="6" s="1"/>
  <c r="AH659" i="6"/>
  <c r="AF806" i="6"/>
  <c r="AV806" i="6"/>
  <c r="L807" i="6" s="1"/>
  <c r="AV807" i="6" s="1"/>
  <c r="L808" i="6" s="1"/>
  <c r="AV808" i="6" s="1"/>
  <c r="L809" i="6" s="1"/>
  <c r="AV809" i="6" s="1"/>
  <c r="L810" i="6" s="1"/>
  <c r="AV810" i="6" s="1"/>
  <c r="AS1344" i="6"/>
  <c r="BG730" i="6"/>
  <c r="W731" i="6" s="1"/>
  <c r="AH730" i="6"/>
  <c r="AM1269" i="6"/>
  <c r="AL1269" i="6"/>
  <c r="AR1269" i="6"/>
  <c r="AQ1269" i="6"/>
  <c r="L697" i="6"/>
  <c r="AV697" i="6" s="1"/>
  <c r="L698" i="6" s="1"/>
  <c r="AW698" i="6" s="1"/>
  <c r="M699" i="6" s="1"/>
  <c r="AW699" i="6" s="1"/>
  <c r="M700" i="6" s="1"/>
  <c r="AW700" i="6" s="1"/>
  <c r="M701" i="6" s="1"/>
  <c r="AW701" i="6" s="1"/>
  <c r="M702" i="6" s="1"/>
  <c r="AW702" i="6" s="1"/>
  <c r="AS1089" i="6"/>
  <c r="BD952" i="6"/>
  <c r="T953" i="6" s="1"/>
  <c r="AP952" i="6"/>
  <c r="AN151" i="6"/>
  <c r="BO746" i="6"/>
  <c r="BN747" i="6" s="1"/>
  <c r="BE1127" i="6"/>
  <c r="U1127" i="6"/>
  <c r="AL1343" i="6"/>
  <c r="AN1343" i="6" s="1"/>
  <c r="AU1343" i="6" s="1"/>
  <c r="AS1447" i="6"/>
  <c r="BE982" i="6"/>
  <c r="U982" i="6"/>
  <c r="AS225" i="6"/>
  <c r="AF1274" i="6"/>
  <c r="AV1274" i="6"/>
  <c r="L1275" i="6" s="1"/>
  <c r="AV1275" i="6" s="1"/>
  <c r="L1276" i="6" s="1"/>
  <c r="AV1276" i="6" s="1"/>
  <c r="L1277" i="6" s="1"/>
  <c r="AV1277" i="6" s="1"/>
  <c r="L1278" i="6" s="1"/>
  <c r="AV1278" i="6" s="1"/>
  <c r="AS622" i="6"/>
  <c r="AW230" i="6"/>
  <c r="M231" i="6" s="1"/>
  <c r="AW231" i="6" s="1"/>
  <c r="M232" i="6" s="1"/>
  <c r="AW232" i="6" s="1"/>
  <c r="M233" i="6" s="1"/>
  <c r="AW233" i="6" s="1"/>
  <c r="M234" i="6" s="1"/>
  <c r="AW234" i="6" s="1"/>
  <c r="AM546" i="6"/>
  <c r="AL546" i="6"/>
  <c r="AR546" i="6"/>
  <c r="AQ546" i="6"/>
  <c r="AL154" i="6"/>
  <c r="AN154" i="6" s="1"/>
  <c r="AN980" i="6"/>
  <c r="AS1197" i="6"/>
  <c r="BE299" i="6"/>
  <c r="U299" i="6"/>
  <c r="AN153" i="6"/>
  <c r="AU153" i="6" s="1"/>
  <c r="AN912" i="6"/>
  <c r="BF1580" i="6"/>
  <c r="V1581" i="6" s="1"/>
  <c r="AH1580" i="6"/>
  <c r="AS1230" i="6"/>
  <c r="BO1499" i="6"/>
  <c r="BN1500" i="6" s="1"/>
  <c r="BA379" i="6"/>
  <c r="Q380" i="6" s="1"/>
  <c r="AG379" i="6"/>
  <c r="BO608" i="6"/>
  <c r="BN609" i="6" s="1"/>
  <c r="AK608" i="6"/>
  <c r="AS42" i="6"/>
  <c r="BA312" i="6"/>
  <c r="Q313" i="6" s="1"/>
  <c r="AZ1628" i="6"/>
  <c r="P1629" i="6" s="1"/>
  <c r="AK1628" i="6"/>
  <c r="AR1628" i="6" s="1"/>
  <c r="AS1628" i="6" s="1"/>
  <c r="AG1628" i="6"/>
  <c r="BG408" i="6"/>
  <c r="W409" i="6" s="1"/>
  <c r="AH408" i="6"/>
  <c r="BE623" i="6"/>
  <c r="U623" i="6"/>
  <c r="AS618" i="6"/>
  <c r="BF572" i="6"/>
  <c r="V573" i="6" s="1"/>
  <c r="AH572" i="6"/>
  <c r="BF1148" i="6"/>
  <c r="V1149" i="6" s="1"/>
  <c r="AH1148" i="6"/>
  <c r="AG125" i="6"/>
  <c r="BA125" i="6"/>
  <c r="Q126" i="6" s="1"/>
  <c r="M1387" i="6"/>
  <c r="AW1387" i="6" s="1"/>
  <c r="M1388" i="6" s="1"/>
  <c r="AW1388" i="6" s="1"/>
  <c r="M1389" i="6" s="1"/>
  <c r="AW1389" i="6" s="1"/>
  <c r="M1390" i="6" s="1"/>
  <c r="AW1390" i="6" s="1"/>
  <c r="M1391" i="6" s="1"/>
  <c r="AW1391" i="6" s="1"/>
  <c r="M1392" i="6" s="1"/>
  <c r="AW1392" i="6" s="1"/>
  <c r="M1393" i="6" s="1"/>
  <c r="AW1393" i="6" s="1"/>
  <c r="M1394" i="6" s="1"/>
  <c r="BD840" i="6"/>
  <c r="T841" i="6" s="1"/>
  <c r="AP840" i="6"/>
  <c r="L1237" i="6"/>
  <c r="AV1237" i="6" s="1"/>
  <c r="L1238" i="6" s="1"/>
  <c r="AH1238" i="6" s="1"/>
  <c r="AS1591" i="6"/>
  <c r="AS950" i="6"/>
  <c r="AU1519" i="6"/>
  <c r="AS404" i="6"/>
  <c r="BO863" i="6"/>
  <c r="BN864" i="6" s="1"/>
  <c r="BE11" i="6"/>
  <c r="U11" i="6"/>
  <c r="BO1176" i="6"/>
  <c r="BN1177" i="6" s="1"/>
  <c r="AK1176" i="6"/>
  <c r="AN114" i="6"/>
  <c r="AU114" i="6" s="1"/>
  <c r="AL1051" i="6"/>
  <c r="AS1307" i="6"/>
  <c r="L841" i="6"/>
  <c r="AV841" i="6" s="1"/>
  <c r="L842" i="6" s="1"/>
  <c r="AW842" i="6" s="1"/>
  <c r="M843" i="6" s="1"/>
  <c r="AW843" i="6" s="1"/>
  <c r="M844" i="6" s="1"/>
  <c r="AW844" i="6" s="1"/>
  <c r="M845" i="6" s="1"/>
  <c r="AW845" i="6" s="1"/>
  <c r="M846" i="6" s="1"/>
  <c r="AW846" i="6" s="1"/>
  <c r="BA881" i="6"/>
  <c r="Q882" i="6" s="1"/>
  <c r="AG881" i="6"/>
  <c r="BD804" i="6"/>
  <c r="T805" i="6" s="1"/>
  <c r="AP804" i="6"/>
  <c r="AW1022" i="6"/>
  <c r="M1023" i="6" s="1"/>
  <c r="AW1023" i="6" s="1"/>
  <c r="M1024" i="6" s="1"/>
  <c r="AW1024" i="6" s="1"/>
  <c r="M1025" i="6" s="1"/>
  <c r="AW1025" i="6" s="1"/>
  <c r="M1026" i="6" s="1"/>
  <c r="AW1026" i="6" s="1"/>
  <c r="AM1271" i="6"/>
  <c r="AL1271" i="6"/>
  <c r="AR1271" i="6"/>
  <c r="AQ1271" i="6"/>
  <c r="BE659" i="6"/>
  <c r="U659" i="6"/>
  <c r="BE444" i="6"/>
  <c r="U444" i="6"/>
  <c r="AZ568" i="6"/>
  <c r="P569" i="6" s="1"/>
  <c r="AK568" i="6"/>
  <c r="BG83" i="6"/>
  <c r="W84" i="6" s="1"/>
  <c r="AH83" i="6"/>
  <c r="AS155" i="6"/>
  <c r="BG768" i="6"/>
  <c r="W769" i="6" s="1"/>
  <c r="AH768" i="6"/>
  <c r="AM768" i="6" s="1"/>
  <c r="AF230" i="6"/>
  <c r="AV230" i="6"/>
  <c r="L231" i="6" s="1"/>
  <c r="AV231" i="6" s="1"/>
  <c r="L232" i="6" s="1"/>
  <c r="AV232" i="6" s="1"/>
  <c r="L233" i="6" s="1"/>
  <c r="AV233" i="6" s="1"/>
  <c r="L234" i="6" s="1"/>
  <c r="AV234" i="6" s="1"/>
  <c r="AG230" i="6"/>
  <c r="BA846" i="6"/>
  <c r="Q847" i="6" s="1"/>
  <c r="AM548" i="6"/>
  <c r="AL548" i="6"/>
  <c r="AR548" i="6"/>
  <c r="AQ548" i="6"/>
  <c r="AR549" i="6"/>
  <c r="AQ549" i="6"/>
  <c r="AM549" i="6"/>
  <c r="AL549" i="6"/>
  <c r="AS1554" i="6"/>
  <c r="AM1522" i="6"/>
  <c r="AN1522" i="6" s="1"/>
  <c r="AU1522" i="6" s="1"/>
  <c r="BE1198" i="6"/>
  <c r="U1198" i="6"/>
  <c r="BF1652" i="6"/>
  <c r="V1653" i="6" s="1"/>
  <c r="AH1652" i="6"/>
  <c r="BF608" i="6"/>
  <c r="V609" i="6" s="1"/>
  <c r="AH608" i="6"/>
  <c r="AZ1483" i="6"/>
  <c r="P1484" i="6" s="1"/>
  <c r="AG1483" i="6"/>
  <c r="AK1483" i="6"/>
  <c r="AR1483" i="6" s="1"/>
  <c r="AL474" i="6"/>
  <c r="BE1271" i="6"/>
  <c r="U1271" i="6"/>
  <c r="BE1523" i="6"/>
  <c r="U1523" i="6"/>
  <c r="BA914" i="6"/>
  <c r="Q915" i="6" s="1"/>
  <c r="AG914" i="6"/>
  <c r="BA85" i="6"/>
  <c r="Q86" i="6" s="1"/>
  <c r="U515" i="6"/>
  <c r="BE515" i="6"/>
  <c r="BG1559" i="6"/>
  <c r="W1560" i="6" s="1"/>
  <c r="AH1559" i="6"/>
  <c r="BH869" i="6"/>
  <c r="AD869" i="6"/>
  <c r="BG626" i="6"/>
  <c r="W627" i="6" s="1"/>
  <c r="AG1385" i="6"/>
  <c r="BA1385" i="6"/>
  <c r="Q1386" i="6" s="1"/>
  <c r="BF932" i="6"/>
  <c r="V933" i="6" s="1"/>
  <c r="AH932" i="6"/>
  <c r="AM727" i="6"/>
  <c r="AL727" i="6"/>
  <c r="BD588" i="6"/>
  <c r="T589" i="6" s="1"/>
  <c r="AP588" i="6"/>
  <c r="BE47" i="6"/>
  <c r="U47" i="6"/>
  <c r="AS1231" i="6"/>
  <c r="AV1094" i="6"/>
  <c r="L1095" i="6" s="1"/>
  <c r="AV1095" i="6" s="1"/>
  <c r="L1096" i="6" s="1"/>
  <c r="AV1096" i="6" s="1"/>
  <c r="L1097" i="6" s="1"/>
  <c r="AV1097" i="6" s="1"/>
  <c r="L1098" i="6" s="1"/>
  <c r="AV1098" i="6" s="1"/>
  <c r="AF1094" i="6"/>
  <c r="AH1094" i="6"/>
  <c r="BD120" i="6"/>
  <c r="T121" i="6" s="1"/>
  <c r="AP120" i="6"/>
  <c r="BG262" i="6"/>
  <c r="W263" i="6" s="1"/>
  <c r="AH262" i="6"/>
  <c r="AF734" i="6"/>
  <c r="AV734" i="6"/>
  <c r="L735" i="6" s="1"/>
  <c r="AV735" i="6" s="1"/>
  <c r="L736" i="6" s="1"/>
  <c r="AV736" i="6" s="1"/>
  <c r="L737" i="6" s="1"/>
  <c r="AV737" i="6" s="1"/>
  <c r="L738" i="6" s="1"/>
  <c r="AV738" i="6" s="1"/>
  <c r="AW1130" i="6"/>
  <c r="M1131" i="6" s="1"/>
  <c r="AW1131" i="6" s="1"/>
  <c r="M1132" i="6" s="1"/>
  <c r="AW1132" i="6" s="1"/>
  <c r="M1133" i="6" s="1"/>
  <c r="AW1133" i="6" s="1"/>
  <c r="M1134" i="6" s="1"/>
  <c r="AW1134" i="6" s="1"/>
  <c r="BE911" i="6"/>
  <c r="U911" i="6"/>
  <c r="AQ1558" i="6"/>
  <c r="AQ766" i="6"/>
  <c r="AR766" i="6"/>
  <c r="AM766" i="6"/>
  <c r="AL766" i="6"/>
  <c r="BF320" i="6"/>
  <c r="V321" i="6" s="1"/>
  <c r="AH320" i="6"/>
  <c r="AN441" i="6"/>
  <c r="AN1050" i="6"/>
  <c r="BE948" i="6"/>
  <c r="U948" i="6"/>
  <c r="BO1601" i="6"/>
  <c r="BN1602" i="6" s="1"/>
  <c r="AH644" i="6"/>
  <c r="BF644" i="6"/>
  <c r="V645" i="6" s="1"/>
  <c r="AS151" i="6"/>
  <c r="BG1417" i="6"/>
  <c r="W1418" i="6" s="1"/>
  <c r="AH1417" i="6"/>
  <c r="BA961" i="6"/>
  <c r="Q962" i="6" s="1"/>
  <c r="AG961" i="6"/>
  <c r="BE191" i="6"/>
  <c r="U191" i="6"/>
  <c r="AN764" i="6"/>
  <c r="AU764" i="6" s="1"/>
  <c r="AS1014" i="6"/>
  <c r="AU1014" i="6" s="1"/>
  <c r="AN438" i="6"/>
  <c r="AS584" i="6"/>
  <c r="AU584" i="6" s="1"/>
  <c r="AS620" i="6"/>
  <c r="AU620" i="6" s="1"/>
  <c r="AN1520" i="6"/>
  <c r="AQ733" i="6"/>
  <c r="BO378" i="6"/>
  <c r="BN379" i="6" s="1"/>
  <c r="AK378" i="6"/>
  <c r="BG1021" i="6"/>
  <c r="W1022" i="6" s="1"/>
  <c r="AH1021" i="6"/>
  <c r="N1309" i="6"/>
  <c r="AX1309" i="6" s="1"/>
  <c r="N1310" i="6" s="1"/>
  <c r="AX1310" i="6" s="1"/>
  <c r="N1311" i="6" s="1"/>
  <c r="AX1311" i="6" s="1"/>
  <c r="N1312" i="6" s="1"/>
  <c r="AX1312" i="6" s="1"/>
  <c r="N1313" i="6" s="1"/>
  <c r="AX1313" i="6" s="1"/>
  <c r="N1314" i="6" s="1"/>
  <c r="AX1314" i="6" s="1"/>
  <c r="AN654" i="6"/>
  <c r="AU654" i="6" s="1"/>
  <c r="AS1123" i="6"/>
  <c r="N229" i="6"/>
  <c r="AX229" i="6" s="1"/>
  <c r="N230" i="6" s="1"/>
  <c r="AX230" i="6" s="1"/>
  <c r="N231" i="6" s="1"/>
  <c r="AX231" i="6" s="1"/>
  <c r="N232" i="6" s="1"/>
  <c r="AX232" i="6" s="1"/>
  <c r="N233" i="6" s="1"/>
  <c r="AX233" i="6" s="1"/>
  <c r="N234" i="6" s="1"/>
  <c r="AX234" i="6" s="1"/>
  <c r="AM553" i="6"/>
  <c r="AL553" i="6"/>
  <c r="AN1554" i="6"/>
  <c r="AS154" i="6"/>
  <c r="BD1345" i="6"/>
  <c r="T1346" i="6" s="1"/>
  <c r="AP1345" i="6"/>
  <c r="AS1017" i="6"/>
  <c r="AU1017" i="6" s="1"/>
  <c r="AN258" i="6"/>
  <c r="AS982" i="6"/>
  <c r="L625" i="6"/>
  <c r="AV625" i="6" s="1"/>
  <c r="L626" i="6" s="1"/>
  <c r="AW626" i="6" s="1"/>
  <c r="M627" i="6" s="1"/>
  <c r="AW627" i="6" s="1"/>
  <c r="M628" i="6" s="1"/>
  <c r="AW628" i="6" s="1"/>
  <c r="M629" i="6" s="1"/>
  <c r="AW629" i="6" s="1"/>
  <c r="M630" i="6" s="1"/>
  <c r="AW630" i="6" s="1"/>
  <c r="AW914" i="6"/>
  <c r="M915" i="6" s="1"/>
  <c r="AW915" i="6" s="1"/>
  <c r="M916" i="6" s="1"/>
  <c r="AW916" i="6" s="1"/>
  <c r="M917" i="6" s="1"/>
  <c r="AW917" i="6" s="1"/>
  <c r="M918" i="6" s="1"/>
  <c r="AW918" i="6" s="1"/>
  <c r="AN402" i="6"/>
  <c r="AU402" i="6" s="1"/>
  <c r="BD552" i="6"/>
  <c r="T553" i="6" s="1"/>
  <c r="AP552" i="6"/>
  <c r="AR552" i="6" s="1"/>
  <c r="AN1230" i="6"/>
  <c r="BH918" i="6"/>
  <c r="X919" i="6" s="1"/>
  <c r="AD918" i="6"/>
  <c r="AZ1232" i="6"/>
  <c r="P1233" i="6" s="1"/>
  <c r="AK1232" i="6"/>
  <c r="AR1232" i="6" s="1"/>
  <c r="AS1232" i="6" s="1"/>
  <c r="AG1232" i="6"/>
  <c r="AS1086" i="6"/>
  <c r="AS1018" i="6"/>
  <c r="AN1341" i="6"/>
  <c r="AS1525" i="6"/>
  <c r="AW986" i="6"/>
  <c r="M987" i="6" s="1"/>
  <c r="AW987" i="6" s="1"/>
  <c r="M988" i="6" s="1"/>
  <c r="AW988" i="6" s="1"/>
  <c r="M989" i="6" s="1"/>
  <c r="AW989" i="6" s="1"/>
  <c r="M990" i="6" s="1"/>
  <c r="AW990" i="6" s="1"/>
  <c r="BD984" i="6"/>
  <c r="T985" i="6" s="1"/>
  <c r="AP984" i="6"/>
  <c r="BG514" i="6"/>
  <c r="W515" i="6" s="1"/>
  <c r="AH514" i="6"/>
  <c r="AN618" i="6"/>
  <c r="AZ996" i="6"/>
  <c r="P997" i="6" s="1"/>
  <c r="AK996" i="6"/>
  <c r="AS1087" i="6"/>
  <c r="AS442" i="6"/>
  <c r="BO885" i="6"/>
  <c r="BN886" i="6" s="1"/>
  <c r="AK885" i="6"/>
  <c r="AH10" i="6"/>
  <c r="BG10" i="6"/>
  <c r="W11" i="6" s="1"/>
  <c r="AS186" i="6"/>
  <c r="BF140" i="6"/>
  <c r="V141" i="6" s="1"/>
  <c r="AH140" i="6"/>
  <c r="BE335" i="6"/>
  <c r="U335" i="6"/>
  <c r="U1631" i="6"/>
  <c r="BE1631" i="6"/>
  <c r="BF1328" i="6"/>
  <c r="V1329" i="6" s="1"/>
  <c r="AH1328" i="6"/>
  <c r="BG839" i="6"/>
  <c r="W840" i="6" s="1"/>
  <c r="AH839" i="6"/>
  <c r="L1165" i="6"/>
  <c r="AV1165" i="6" s="1"/>
  <c r="L1166" i="6" s="1"/>
  <c r="AW1166" i="6" s="1"/>
  <c r="M1167" i="6" s="1"/>
  <c r="AW1167" i="6" s="1"/>
  <c r="M1168" i="6" s="1"/>
  <c r="AW1168" i="6" s="1"/>
  <c r="M1169" i="6" s="1"/>
  <c r="AW1169" i="6" s="1"/>
  <c r="M1170" i="6" s="1"/>
  <c r="AW1170" i="6" s="1"/>
  <c r="AS226" i="6"/>
  <c r="L1201" i="6"/>
  <c r="AV1201" i="6" s="1"/>
  <c r="L1202" i="6" s="1"/>
  <c r="AW1202" i="6" s="1"/>
  <c r="M1203" i="6" s="1"/>
  <c r="AW1203" i="6" s="1"/>
  <c r="M1204" i="6" s="1"/>
  <c r="AW1204" i="6" s="1"/>
  <c r="M1205" i="6" s="1"/>
  <c r="AW1205" i="6" s="1"/>
  <c r="M1206" i="6" s="1"/>
  <c r="AW1206" i="6" s="1"/>
  <c r="BA199" i="6"/>
  <c r="Q200" i="6" s="1"/>
  <c r="BE1414" i="6"/>
  <c r="U1414" i="6"/>
  <c r="AS1051" i="6"/>
  <c r="L1453" i="6"/>
  <c r="AV1453" i="6" s="1"/>
  <c r="L1454" i="6" s="1"/>
  <c r="N841" i="6"/>
  <c r="AX841" i="6" s="1"/>
  <c r="N842" i="6" s="1"/>
  <c r="AX842" i="6" s="1"/>
  <c r="N843" i="6" s="1"/>
  <c r="AX843" i="6" s="1"/>
  <c r="N844" i="6" s="1"/>
  <c r="AX844" i="6" s="1"/>
  <c r="N845" i="6" s="1"/>
  <c r="AX845" i="6" s="1"/>
  <c r="N846" i="6" s="1"/>
  <c r="AX846" i="6" s="1"/>
  <c r="AF1490" i="6"/>
  <c r="AV1490" i="6"/>
  <c r="L1491" i="6" s="1"/>
  <c r="AV1491" i="6" s="1"/>
  <c r="L1492" i="6" s="1"/>
  <c r="AV1492" i="6" s="1"/>
  <c r="L1493" i="6" s="1"/>
  <c r="AV1493" i="6" s="1"/>
  <c r="L1494" i="6" s="1"/>
  <c r="AV1494" i="6" s="1"/>
  <c r="AH1490" i="6"/>
  <c r="AU982" i="6" l="1"/>
  <c r="AN1267" i="6"/>
  <c r="AN1374" i="6"/>
  <c r="AU551" i="6"/>
  <c r="AU1196" i="6"/>
  <c r="AU9" i="6"/>
  <c r="AN1051" i="6"/>
  <c r="AU1305" i="6"/>
  <c r="AU1342" i="6"/>
  <c r="AU582" i="6"/>
  <c r="AU1091" i="6"/>
  <c r="AU802" i="6"/>
  <c r="AU586" i="6"/>
  <c r="AU369" i="6"/>
  <c r="AU906" i="6"/>
  <c r="AU1308" i="6"/>
  <c r="AU800" i="6"/>
  <c r="AU150" i="6"/>
  <c r="AU1198" i="6"/>
  <c r="AN1272" i="6"/>
  <c r="AU1307" i="6"/>
  <c r="AU1374" i="6"/>
  <c r="AU260" i="6"/>
  <c r="AN474" i="6"/>
  <c r="AU474" i="6" s="1"/>
  <c r="AN1268" i="6"/>
  <c r="AS1374" i="6"/>
  <c r="AU1521" i="6"/>
  <c r="AU1123" i="6"/>
  <c r="AU619" i="6"/>
  <c r="AU1088" i="6"/>
  <c r="AN1271" i="6"/>
  <c r="AU1195" i="6"/>
  <c r="AU909" i="6"/>
  <c r="AU258" i="6"/>
  <c r="AU622" i="6"/>
  <c r="AU1089" i="6"/>
  <c r="AU1122" i="6"/>
  <c r="AU332" i="6"/>
  <c r="AU438" i="6"/>
  <c r="AU188" i="6"/>
  <c r="AU186" i="6"/>
  <c r="AU1230" i="6"/>
  <c r="AU1520" i="6"/>
  <c r="AU333" i="6"/>
  <c r="AN766" i="6"/>
  <c r="AU766" i="6" s="1"/>
  <c r="AS548" i="6"/>
  <c r="AU334" i="6"/>
  <c r="AU261" i="6"/>
  <c r="AN1376" i="6"/>
  <c r="AU910" i="6"/>
  <c r="AU980" i="6"/>
  <c r="AU872" i="6"/>
  <c r="AS1379" i="6"/>
  <c r="AS546" i="6"/>
  <c r="AS117" i="6"/>
  <c r="AU1590" i="6"/>
  <c r="AU371" i="6"/>
  <c r="AN553" i="6"/>
  <c r="AU1018" i="6"/>
  <c r="AU1050" i="6"/>
  <c r="AS1410" i="6"/>
  <c r="AS115" i="6"/>
  <c r="AU908" i="6"/>
  <c r="AU259" i="6"/>
  <c r="AU979" i="6"/>
  <c r="AU42" i="6"/>
  <c r="AN43" i="6"/>
  <c r="AU43" i="6" s="1"/>
  <c r="M55" i="6"/>
  <c r="AW55" i="6" s="1"/>
  <c r="M56" i="6" s="1"/>
  <c r="AW56" i="6" s="1"/>
  <c r="M57" i="6" s="1"/>
  <c r="AW57" i="6" s="1"/>
  <c r="M58" i="6" s="1"/>
  <c r="AW58" i="6" s="1"/>
  <c r="M59" i="6" s="1"/>
  <c r="AW59" i="6" s="1"/>
  <c r="M60" i="6" s="1"/>
  <c r="AW60" i="6" s="1"/>
  <c r="M61" i="6" s="1"/>
  <c r="AW61" i="6" s="1"/>
  <c r="M62" i="6" s="1"/>
  <c r="M451" i="6"/>
  <c r="AW451" i="6" s="1"/>
  <c r="M452" i="6" s="1"/>
  <c r="AW452" i="6" s="1"/>
  <c r="M453" i="6" s="1"/>
  <c r="AW453" i="6" s="1"/>
  <c r="M454" i="6" s="1"/>
  <c r="AW454" i="6" s="1"/>
  <c r="M455" i="6" s="1"/>
  <c r="AW455" i="6" s="1"/>
  <c r="M456" i="6" s="1"/>
  <c r="AW456" i="6" s="1"/>
  <c r="M457" i="6" s="1"/>
  <c r="AW457" i="6" s="1"/>
  <c r="M458" i="6" s="1"/>
  <c r="AW518" i="6"/>
  <c r="M519" i="6" s="1"/>
  <c r="AW519" i="6" s="1"/>
  <c r="M520" i="6" s="1"/>
  <c r="AW520" i="6" s="1"/>
  <c r="M521" i="6" s="1"/>
  <c r="AW521" i="6" s="1"/>
  <c r="M522" i="6" s="1"/>
  <c r="AW522" i="6" s="1"/>
  <c r="AG878" i="6"/>
  <c r="AH1310" i="6"/>
  <c r="AU801" i="6"/>
  <c r="AV1418" i="6"/>
  <c r="L1419" i="6" s="1"/>
  <c r="AV1419" i="6" s="1"/>
  <c r="L1420" i="6" s="1"/>
  <c r="AV1420" i="6" s="1"/>
  <c r="L1421" i="6" s="1"/>
  <c r="AV1421" i="6" s="1"/>
  <c r="L1422" i="6" s="1"/>
  <c r="AV1422" i="6" s="1"/>
  <c r="M1423" i="6" s="1"/>
  <c r="AW1423" i="6" s="1"/>
  <c r="M1424" i="6" s="1"/>
  <c r="AW1424" i="6" s="1"/>
  <c r="M1425" i="6" s="1"/>
  <c r="AW1425" i="6" s="1"/>
  <c r="M1426" i="6" s="1"/>
  <c r="AW1426" i="6" s="1"/>
  <c r="M1427" i="6" s="1"/>
  <c r="AW1427" i="6" s="1"/>
  <c r="M1428" i="6" s="1"/>
  <c r="AW1428" i="6" s="1"/>
  <c r="M1429" i="6" s="1"/>
  <c r="AW1429" i="6" s="1"/>
  <c r="M1430" i="6" s="1"/>
  <c r="AG1310" i="6"/>
  <c r="AF1418" i="6"/>
  <c r="AF302" i="6"/>
  <c r="AF590" i="6"/>
  <c r="AL590" i="6" s="1"/>
  <c r="AW590" i="6"/>
  <c r="M591" i="6" s="1"/>
  <c r="AW591" i="6" s="1"/>
  <c r="M592" i="6" s="1"/>
  <c r="AW592" i="6" s="1"/>
  <c r="M593" i="6" s="1"/>
  <c r="AW593" i="6" s="1"/>
  <c r="M594" i="6" s="1"/>
  <c r="AW594" i="6" s="1"/>
  <c r="AW302" i="6"/>
  <c r="M303" i="6" s="1"/>
  <c r="AW303" i="6" s="1"/>
  <c r="M304" i="6" s="1"/>
  <c r="AW304" i="6" s="1"/>
  <c r="M305" i="6" s="1"/>
  <c r="AW305" i="6" s="1"/>
  <c r="M306" i="6" s="1"/>
  <c r="AW306" i="6" s="1"/>
  <c r="M307" i="6" s="1"/>
  <c r="AW307" i="6" s="1"/>
  <c r="M308" i="6" s="1"/>
  <c r="AW308" i="6" s="1"/>
  <c r="M309" i="6" s="1"/>
  <c r="AW309" i="6" s="1"/>
  <c r="M310" i="6" s="1"/>
  <c r="AW310" i="6" s="1"/>
  <c r="M311" i="6" s="1"/>
  <c r="AW311" i="6" s="1"/>
  <c r="M312" i="6" s="1"/>
  <c r="AW312" i="6" s="1"/>
  <c r="M313" i="6" s="1"/>
  <c r="AW313" i="6" s="1"/>
  <c r="M314" i="6" s="1"/>
  <c r="AV662" i="6"/>
  <c r="L663" i="6" s="1"/>
  <c r="AV663" i="6" s="1"/>
  <c r="L664" i="6" s="1"/>
  <c r="AV664" i="6" s="1"/>
  <c r="L665" i="6" s="1"/>
  <c r="AV665" i="6" s="1"/>
  <c r="L666" i="6" s="1"/>
  <c r="AV666" i="6" s="1"/>
  <c r="AV518" i="6"/>
  <c r="L519" i="6" s="1"/>
  <c r="AV519" i="6" s="1"/>
  <c r="L520" i="6" s="1"/>
  <c r="AV520" i="6" s="1"/>
  <c r="L521" i="6" s="1"/>
  <c r="AV521" i="6" s="1"/>
  <c r="L522" i="6" s="1"/>
  <c r="AV522" i="6" s="1"/>
  <c r="M523" i="6" s="1"/>
  <c r="AW523" i="6" s="1"/>
  <c r="M524" i="6" s="1"/>
  <c r="AW524" i="6" s="1"/>
  <c r="M525" i="6" s="1"/>
  <c r="AW525" i="6" s="1"/>
  <c r="M526" i="6" s="1"/>
  <c r="AW526" i="6" s="1"/>
  <c r="M527" i="6" s="1"/>
  <c r="AW527" i="6" s="1"/>
  <c r="M528" i="6" s="1"/>
  <c r="AW528" i="6" s="1"/>
  <c r="M529" i="6" s="1"/>
  <c r="AW529" i="6" s="1"/>
  <c r="M530" i="6" s="1"/>
  <c r="AW1238" i="6"/>
  <c r="M1239" i="6" s="1"/>
  <c r="AW1239" i="6" s="1"/>
  <c r="M1240" i="6" s="1"/>
  <c r="AW1240" i="6" s="1"/>
  <c r="M1241" i="6" s="1"/>
  <c r="AW1241" i="6" s="1"/>
  <c r="M1242" i="6" s="1"/>
  <c r="AW1242" i="6" s="1"/>
  <c r="AW950" i="6"/>
  <c r="M951" i="6" s="1"/>
  <c r="AW951" i="6" s="1"/>
  <c r="M952" i="6" s="1"/>
  <c r="AW952" i="6" s="1"/>
  <c r="M953" i="6" s="1"/>
  <c r="AW953" i="6" s="1"/>
  <c r="M954" i="6" s="1"/>
  <c r="AW954" i="6" s="1"/>
  <c r="AW1634" i="6"/>
  <c r="M1635" i="6" s="1"/>
  <c r="AW1635" i="6" s="1"/>
  <c r="M1636" i="6" s="1"/>
  <c r="AW1636" i="6" s="1"/>
  <c r="M1637" i="6" s="1"/>
  <c r="AW1637" i="6" s="1"/>
  <c r="M1638" i="6" s="1"/>
  <c r="AW1638" i="6" s="1"/>
  <c r="M1639" i="6" s="1"/>
  <c r="AW1639" i="6" s="1"/>
  <c r="M1640" i="6" s="1"/>
  <c r="AW1640" i="6" s="1"/>
  <c r="M1641" i="6" s="1"/>
  <c r="AW1641" i="6" s="1"/>
  <c r="M1642" i="6" s="1"/>
  <c r="AW1642" i="6" s="1"/>
  <c r="M1643" i="6" s="1"/>
  <c r="AW1643" i="6" s="1"/>
  <c r="M1644" i="6" s="1"/>
  <c r="AW1644" i="6" s="1"/>
  <c r="M1645" i="6" s="1"/>
  <c r="AW1645" i="6" s="1"/>
  <c r="M1646" i="6" s="1"/>
  <c r="AH554" i="6"/>
  <c r="AV554" i="6"/>
  <c r="L555" i="6" s="1"/>
  <c r="AV555" i="6" s="1"/>
  <c r="L556" i="6" s="1"/>
  <c r="AV556" i="6" s="1"/>
  <c r="L557" i="6" s="1"/>
  <c r="AV557" i="6" s="1"/>
  <c r="L558" i="6" s="1"/>
  <c r="AV558" i="6" s="1"/>
  <c r="M559" i="6" s="1"/>
  <c r="AF554" i="6"/>
  <c r="AG950" i="6"/>
  <c r="AG554" i="6"/>
  <c r="AW1310" i="6"/>
  <c r="M1311" i="6" s="1"/>
  <c r="AW1311" i="6" s="1"/>
  <c r="M1312" i="6" s="1"/>
  <c r="AW1312" i="6" s="1"/>
  <c r="M1313" i="6" s="1"/>
  <c r="AW1313" i="6" s="1"/>
  <c r="M1314" i="6" s="1"/>
  <c r="AW1314" i="6" s="1"/>
  <c r="AV950" i="6"/>
  <c r="L951" i="6" s="1"/>
  <c r="AV951" i="6" s="1"/>
  <c r="L952" i="6" s="1"/>
  <c r="AV952" i="6" s="1"/>
  <c r="L953" i="6" s="1"/>
  <c r="AV953" i="6" s="1"/>
  <c r="L954" i="6" s="1"/>
  <c r="AV954" i="6" s="1"/>
  <c r="AF1634" i="6"/>
  <c r="AV1310" i="6"/>
  <c r="L1311" i="6" s="1"/>
  <c r="AV1311" i="6" s="1"/>
  <c r="L1312" i="6" s="1"/>
  <c r="AV1312" i="6" s="1"/>
  <c r="L1313" i="6" s="1"/>
  <c r="AV1313" i="6" s="1"/>
  <c r="L1314" i="6" s="1"/>
  <c r="AV1314" i="6" s="1"/>
  <c r="AN767" i="6"/>
  <c r="AS766" i="6"/>
  <c r="AN552" i="6"/>
  <c r="AU441" i="6"/>
  <c r="AU587" i="6"/>
  <c r="AU618" i="6"/>
  <c r="AU152" i="6"/>
  <c r="AU871" i="6"/>
  <c r="AN763" i="6"/>
  <c r="AU1626" i="6"/>
  <c r="AU151" i="6"/>
  <c r="AU6" i="6"/>
  <c r="AM1556" i="6"/>
  <c r="AN765" i="6"/>
  <c r="AS763" i="6"/>
  <c r="AU366" i="6"/>
  <c r="AS1272" i="6"/>
  <c r="AN115" i="6"/>
  <c r="AU1197" i="6"/>
  <c r="AM1483" i="6"/>
  <c r="AS549" i="6"/>
  <c r="AN403" i="6"/>
  <c r="AU403" i="6" s="1"/>
  <c r="AU907" i="6"/>
  <c r="AU404" i="6"/>
  <c r="AU1555" i="6"/>
  <c r="AU799" i="6"/>
  <c r="AU550" i="6"/>
  <c r="L55" i="6"/>
  <c r="AV55" i="6" s="1"/>
  <c r="L56" i="6" s="1"/>
  <c r="AV56" i="6" s="1"/>
  <c r="L57" i="6" s="1"/>
  <c r="AV57" i="6" s="1"/>
  <c r="L58" i="6" s="1"/>
  <c r="AV58" i="6" s="1"/>
  <c r="L59" i="6" s="1"/>
  <c r="AV59" i="6" s="1"/>
  <c r="L60" i="6" s="1"/>
  <c r="AV60" i="6" s="1"/>
  <c r="L61" i="6" s="1"/>
  <c r="AV61" i="6" s="1"/>
  <c r="L62" i="6" s="1"/>
  <c r="AW62" i="6" s="1"/>
  <c r="M63" i="6" s="1"/>
  <c r="AW63" i="6" s="1"/>
  <c r="M64" i="6" s="1"/>
  <c r="AW64" i="6" s="1"/>
  <c r="M65" i="6" s="1"/>
  <c r="AW65" i="6" s="1"/>
  <c r="M66" i="6" s="1"/>
  <c r="AW66" i="6" s="1"/>
  <c r="M67" i="6" s="1"/>
  <c r="AW67" i="6" s="1"/>
  <c r="M68" i="6" s="1"/>
  <c r="AW68" i="6" s="1"/>
  <c r="M69" i="6" s="1"/>
  <c r="AW69" i="6" s="1"/>
  <c r="M70" i="6" s="1"/>
  <c r="AW70" i="6" s="1"/>
  <c r="M71" i="6" s="1"/>
  <c r="AW71" i="6" s="1"/>
  <c r="M72" i="6" s="1"/>
  <c r="AW72" i="6" s="1"/>
  <c r="M73" i="6" s="1"/>
  <c r="AW73" i="6" s="1"/>
  <c r="M74" i="6" s="1"/>
  <c r="AW74" i="6" s="1"/>
  <c r="M75" i="6" s="1"/>
  <c r="AW75" i="6" s="1"/>
  <c r="M76" i="6" s="1"/>
  <c r="AW76" i="6" s="1"/>
  <c r="M77" i="6" s="1"/>
  <c r="AW77" i="6" s="1"/>
  <c r="L19" i="6"/>
  <c r="AV19" i="6" s="1"/>
  <c r="L20" i="6" s="1"/>
  <c r="AV20" i="6" s="1"/>
  <c r="L21" i="6" s="1"/>
  <c r="AV21" i="6" s="1"/>
  <c r="L22" i="6" s="1"/>
  <c r="AV22" i="6" s="1"/>
  <c r="L23" i="6" s="1"/>
  <c r="AV23" i="6" s="1"/>
  <c r="L24" i="6" s="1"/>
  <c r="AV24" i="6" s="1"/>
  <c r="L25" i="6" s="1"/>
  <c r="AV25" i="6" s="1"/>
  <c r="L26" i="6" s="1"/>
  <c r="AF26" i="6" s="1"/>
  <c r="AN549" i="6"/>
  <c r="AW878" i="6"/>
  <c r="M879" i="6" s="1"/>
  <c r="AW879" i="6" s="1"/>
  <c r="M880" i="6" s="1"/>
  <c r="AW880" i="6" s="1"/>
  <c r="M881" i="6" s="1"/>
  <c r="AW881" i="6" s="1"/>
  <c r="M882" i="6" s="1"/>
  <c r="AW882" i="6" s="1"/>
  <c r="AF662" i="6"/>
  <c r="L451" i="6"/>
  <c r="AV451" i="6" s="1"/>
  <c r="L452" i="6" s="1"/>
  <c r="AV452" i="6" s="1"/>
  <c r="L453" i="6" s="1"/>
  <c r="AV453" i="6" s="1"/>
  <c r="L454" i="6" s="1"/>
  <c r="AV454" i="6" s="1"/>
  <c r="L455" i="6" s="1"/>
  <c r="AV455" i="6" s="1"/>
  <c r="L456" i="6" s="1"/>
  <c r="AV456" i="6" s="1"/>
  <c r="L457" i="6" s="1"/>
  <c r="AV457" i="6" s="1"/>
  <c r="L458" i="6" s="1"/>
  <c r="AF458" i="6" s="1"/>
  <c r="AV878" i="6"/>
  <c r="L879" i="6" s="1"/>
  <c r="AV879" i="6" s="1"/>
  <c r="L880" i="6" s="1"/>
  <c r="AV880" i="6" s="1"/>
  <c r="L881" i="6" s="1"/>
  <c r="AV881" i="6" s="1"/>
  <c r="L882" i="6" s="1"/>
  <c r="AV882" i="6" s="1"/>
  <c r="L1387" i="6"/>
  <c r="AV1387" i="6" s="1"/>
  <c r="L1388" i="6" s="1"/>
  <c r="AV1388" i="6" s="1"/>
  <c r="L1389" i="6" s="1"/>
  <c r="AV1389" i="6" s="1"/>
  <c r="L1390" i="6" s="1"/>
  <c r="AV1390" i="6" s="1"/>
  <c r="L1391" i="6" s="1"/>
  <c r="AV1391" i="6" s="1"/>
  <c r="L1392" i="6" s="1"/>
  <c r="AV1392" i="6" s="1"/>
  <c r="L1393" i="6" s="1"/>
  <c r="AV1393" i="6" s="1"/>
  <c r="L1394" i="6" s="1"/>
  <c r="AW1394" i="6" s="1"/>
  <c r="M1395" i="6" s="1"/>
  <c r="AW1395" i="6" s="1"/>
  <c r="M1396" i="6" s="1"/>
  <c r="AW1396" i="6" s="1"/>
  <c r="M1397" i="6" s="1"/>
  <c r="AW1397" i="6" s="1"/>
  <c r="M1398" i="6" s="1"/>
  <c r="AW1398" i="6" s="1"/>
  <c r="M1399" i="6" s="1"/>
  <c r="AW1399" i="6" s="1"/>
  <c r="M1400" i="6" s="1"/>
  <c r="AW1400" i="6" s="1"/>
  <c r="M1401" i="6" s="1"/>
  <c r="AW1401" i="6" s="1"/>
  <c r="M1402" i="6" s="1"/>
  <c r="AW1402" i="6" s="1"/>
  <c r="M1403" i="6" s="1"/>
  <c r="AW1403" i="6" s="1"/>
  <c r="M1404" i="6" s="1"/>
  <c r="AW1404" i="6" s="1"/>
  <c r="M1405" i="6" s="1"/>
  <c r="AW1405" i="6" s="1"/>
  <c r="M1406" i="6" s="1"/>
  <c r="AW1406" i="6" s="1"/>
  <c r="M1407" i="6" s="1"/>
  <c r="AW1407" i="6" s="1"/>
  <c r="M1408" i="6" s="1"/>
  <c r="AW1408" i="6" s="1"/>
  <c r="M1409" i="6" s="1"/>
  <c r="AW1409" i="6" s="1"/>
  <c r="BG769" i="6"/>
  <c r="W770" i="6" s="1"/>
  <c r="AH769" i="6"/>
  <c r="AQ804" i="6"/>
  <c r="AR804" i="6"/>
  <c r="BE12" i="6"/>
  <c r="U12" i="6"/>
  <c r="BD841" i="6"/>
  <c r="T842" i="6" s="1"/>
  <c r="AP841" i="6"/>
  <c r="BO747" i="6"/>
  <c r="BN748" i="6" s="1"/>
  <c r="AN1269" i="6"/>
  <c r="BA627" i="6"/>
  <c r="Q628" i="6" s="1"/>
  <c r="AG627" i="6"/>
  <c r="AZ297" i="6"/>
  <c r="P298" i="6" s="1"/>
  <c r="AG297" i="6"/>
  <c r="AK297" i="6"/>
  <c r="AR297" i="6" s="1"/>
  <c r="AS297" i="6" s="1"/>
  <c r="BA556" i="6"/>
  <c r="Q557" i="6" s="1"/>
  <c r="AG556" i="6"/>
  <c r="BF285" i="6"/>
  <c r="V286" i="6" s="1"/>
  <c r="AH285" i="6"/>
  <c r="BF681" i="6"/>
  <c r="V682" i="6" s="1"/>
  <c r="AH681" i="6"/>
  <c r="BO506" i="6"/>
  <c r="BN507" i="6" s="1"/>
  <c r="M1603" i="6"/>
  <c r="AW1603" i="6" s="1"/>
  <c r="M1604" i="6" s="1"/>
  <c r="AW1604" i="6" s="1"/>
  <c r="M1605" i="6" s="1"/>
  <c r="AW1605" i="6" s="1"/>
  <c r="M1606" i="6" s="1"/>
  <c r="AW1606" i="6" s="1"/>
  <c r="M1607" i="6" s="1"/>
  <c r="AW1607" i="6" s="1"/>
  <c r="M1608" i="6" s="1"/>
  <c r="AW1608" i="6" s="1"/>
  <c r="M1609" i="6" s="1"/>
  <c r="AW1609" i="6" s="1"/>
  <c r="M1610" i="6" s="1"/>
  <c r="AZ1053" i="6"/>
  <c r="P1054" i="6" s="1"/>
  <c r="AK1053" i="6"/>
  <c r="AR1053" i="6" s="1"/>
  <c r="AG1053" i="6"/>
  <c r="BE120" i="6"/>
  <c r="U120" i="6"/>
  <c r="BF717" i="6"/>
  <c r="V718" i="6" s="1"/>
  <c r="AH717" i="6"/>
  <c r="AM836" i="6"/>
  <c r="AL836" i="6"/>
  <c r="AM1411" i="6"/>
  <c r="AL1411" i="6"/>
  <c r="AM1201" i="6"/>
  <c r="AL1201" i="6"/>
  <c r="BF357" i="6"/>
  <c r="V358" i="6" s="1"/>
  <c r="AH357" i="6"/>
  <c r="BO1215" i="6"/>
  <c r="BN1216" i="6" s="1"/>
  <c r="AK1215" i="6"/>
  <c r="BD1021" i="6"/>
  <c r="T1022" i="6" s="1"/>
  <c r="AP1021" i="6"/>
  <c r="BF1293" i="6"/>
  <c r="V1294" i="6" s="1"/>
  <c r="AH1293" i="6"/>
  <c r="AM80" i="6"/>
  <c r="AL80" i="6"/>
  <c r="AU978" i="6"/>
  <c r="BA1024" i="6"/>
  <c r="Q1025" i="6" s="1"/>
  <c r="AG1024" i="6"/>
  <c r="U697" i="6"/>
  <c r="BE697" i="6"/>
  <c r="M199" i="6"/>
  <c r="AW199" i="6" s="1"/>
  <c r="M200" i="6" s="1"/>
  <c r="AW200" i="6" s="1"/>
  <c r="M201" i="6" s="1"/>
  <c r="AW201" i="6" s="1"/>
  <c r="M202" i="6" s="1"/>
  <c r="AW202" i="6" s="1"/>
  <c r="M203" i="6" s="1"/>
  <c r="AW203" i="6" s="1"/>
  <c r="M204" i="6" s="1"/>
  <c r="AW204" i="6" s="1"/>
  <c r="M205" i="6" s="1"/>
  <c r="AW205" i="6" s="1"/>
  <c r="M206" i="6" s="1"/>
  <c r="AW206" i="6" s="1"/>
  <c r="M207" i="6" s="1"/>
  <c r="AW207" i="6" s="1"/>
  <c r="M208" i="6" s="1"/>
  <c r="AW208" i="6" s="1"/>
  <c r="M209" i="6" s="1"/>
  <c r="AW209" i="6" s="1"/>
  <c r="M210" i="6" s="1"/>
  <c r="AW210" i="6" s="1"/>
  <c r="M211" i="6" s="1"/>
  <c r="AW211" i="6" s="1"/>
  <c r="M212" i="6" s="1"/>
  <c r="AW212" i="6" s="1"/>
  <c r="M213" i="6" s="1"/>
  <c r="AW213" i="6" s="1"/>
  <c r="M214" i="6" s="1"/>
  <c r="AW214" i="6" s="1"/>
  <c r="M215" i="6" s="1"/>
  <c r="AW215" i="6" s="1"/>
  <c r="M216" i="6" s="1"/>
  <c r="AW216" i="6" s="1"/>
  <c r="M217" i="6" s="1"/>
  <c r="AW217" i="6" s="1"/>
  <c r="M218" i="6" s="1"/>
  <c r="AW218" i="6" s="1"/>
  <c r="M219" i="6" s="1"/>
  <c r="AW219" i="6" s="1"/>
  <c r="M220" i="6" s="1"/>
  <c r="AW220" i="6" s="1"/>
  <c r="M221" i="6" s="1"/>
  <c r="AW221" i="6" s="1"/>
  <c r="L199" i="6"/>
  <c r="AV199" i="6" s="1"/>
  <c r="L200" i="6" s="1"/>
  <c r="AV200" i="6" s="1"/>
  <c r="L201" i="6" s="1"/>
  <c r="AV201" i="6" s="1"/>
  <c r="L202" i="6" s="1"/>
  <c r="AV202" i="6" s="1"/>
  <c r="L203" i="6" s="1"/>
  <c r="AV203" i="6" s="1"/>
  <c r="L204" i="6" s="1"/>
  <c r="AV204" i="6" s="1"/>
  <c r="L205" i="6" s="1"/>
  <c r="AV205" i="6" s="1"/>
  <c r="L206" i="6" s="1"/>
  <c r="N199" i="6"/>
  <c r="AX199" i="6" s="1"/>
  <c r="N200" i="6" s="1"/>
  <c r="AX200" i="6" s="1"/>
  <c r="N201" i="6" s="1"/>
  <c r="AX201" i="6" s="1"/>
  <c r="N202" i="6" s="1"/>
  <c r="AX202" i="6" s="1"/>
  <c r="N203" i="6" s="1"/>
  <c r="AX203" i="6" s="1"/>
  <c r="N204" i="6" s="1"/>
  <c r="AX204" i="6" s="1"/>
  <c r="N205" i="6" s="1"/>
  <c r="AX205" i="6" s="1"/>
  <c r="N206" i="6" s="1"/>
  <c r="AX206" i="6" s="1"/>
  <c r="N207" i="6" s="1"/>
  <c r="AX207" i="6" s="1"/>
  <c r="N208" i="6" s="1"/>
  <c r="AX208" i="6" s="1"/>
  <c r="N209" i="6" s="1"/>
  <c r="AX209" i="6" s="1"/>
  <c r="N210" i="6" s="1"/>
  <c r="AX210" i="6" s="1"/>
  <c r="N211" i="6" s="1"/>
  <c r="AX211" i="6" s="1"/>
  <c r="N212" i="6" s="1"/>
  <c r="AX212" i="6" s="1"/>
  <c r="N213" i="6" s="1"/>
  <c r="AX213" i="6" s="1"/>
  <c r="N214" i="6" s="1"/>
  <c r="AX214" i="6" s="1"/>
  <c r="N215" i="6" s="1"/>
  <c r="AX215" i="6" s="1"/>
  <c r="N216" i="6" s="1"/>
  <c r="AX216" i="6" s="1"/>
  <c r="N217" i="6" s="1"/>
  <c r="AX217" i="6" s="1"/>
  <c r="N218" i="6" s="1"/>
  <c r="AX218" i="6" s="1"/>
  <c r="N219" i="6" s="1"/>
  <c r="AX219" i="6" s="1"/>
  <c r="N220" i="6" s="1"/>
  <c r="AX220" i="6" s="1"/>
  <c r="N221" i="6" s="1"/>
  <c r="AX221" i="6" s="1"/>
  <c r="AS762" i="6"/>
  <c r="BA770" i="6"/>
  <c r="Q771" i="6" s="1"/>
  <c r="AG770" i="6"/>
  <c r="AQ1054" i="6"/>
  <c r="BD698" i="6"/>
  <c r="T699" i="6" s="1"/>
  <c r="AP698" i="6"/>
  <c r="BO1353" i="6"/>
  <c r="BN1354" i="6" s="1"/>
  <c r="AK1353" i="6"/>
  <c r="AM1447" i="6"/>
  <c r="AL1447" i="6"/>
  <c r="BG1524" i="6"/>
  <c r="W1525" i="6" s="1"/>
  <c r="AH1524" i="6"/>
  <c r="AQ552" i="6"/>
  <c r="AS552" i="6" s="1"/>
  <c r="BA451" i="6"/>
  <c r="Q452" i="6" s="1"/>
  <c r="AG451" i="6"/>
  <c r="BF69" i="6"/>
  <c r="V70" i="6" s="1"/>
  <c r="AH69" i="6"/>
  <c r="AL1556" i="6"/>
  <c r="AQ734" i="6"/>
  <c r="BF501" i="6"/>
  <c r="V502" i="6" s="1"/>
  <c r="AH501" i="6"/>
  <c r="BG1274" i="6"/>
  <c r="W1275" i="6" s="1"/>
  <c r="AH1274" i="6"/>
  <c r="AL1274" i="6" s="1"/>
  <c r="BG191" i="6"/>
  <c r="W192" i="6" s="1"/>
  <c r="AH191" i="6"/>
  <c r="AQ660" i="6"/>
  <c r="AZ837" i="6"/>
  <c r="P838" i="6" s="1"/>
  <c r="AG837" i="6"/>
  <c r="AK837" i="6"/>
  <c r="AR837" i="6" s="1"/>
  <c r="AS837" i="6" s="1"/>
  <c r="U1488" i="6"/>
  <c r="BE1488" i="6"/>
  <c r="BD1273" i="6"/>
  <c r="T1274" i="6" s="1"/>
  <c r="AP1273" i="6"/>
  <c r="AQ192" i="6"/>
  <c r="BD985" i="6"/>
  <c r="T986" i="6" s="1"/>
  <c r="AP985" i="6"/>
  <c r="BG263" i="6"/>
  <c r="W264" i="6" s="1"/>
  <c r="AH263" i="6"/>
  <c r="BG627" i="6"/>
  <c r="W628" i="6" s="1"/>
  <c r="AH627" i="6"/>
  <c r="N1387" i="6"/>
  <c r="AX1387" i="6" s="1"/>
  <c r="N1388" i="6" s="1"/>
  <c r="AX1388" i="6" s="1"/>
  <c r="N1389" i="6" s="1"/>
  <c r="AX1389" i="6" s="1"/>
  <c r="N1390" i="6" s="1"/>
  <c r="AX1390" i="6" s="1"/>
  <c r="N1391" i="6" s="1"/>
  <c r="AX1391" i="6" s="1"/>
  <c r="N1392" i="6" s="1"/>
  <c r="AX1392" i="6" s="1"/>
  <c r="N1393" i="6" s="1"/>
  <c r="AX1393" i="6" s="1"/>
  <c r="N1394" i="6" s="1"/>
  <c r="AX1394" i="6" s="1"/>
  <c r="N1395" i="6" s="1"/>
  <c r="AX1395" i="6" s="1"/>
  <c r="N1396" i="6" s="1"/>
  <c r="AX1396" i="6" s="1"/>
  <c r="N1397" i="6" s="1"/>
  <c r="AX1397" i="6" s="1"/>
  <c r="N1398" i="6" s="1"/>
  <c r="AX1398" i="6" s="1"/>
  <c r="N1399" i="6" s="1"/>
  <c r="AX1399" i="6" s="1"/>
  <c r="N1400" i="6" s="1"/>
  <c r="AX1400" i="6" s="1"/>
  <c r="N1401" i="6" s="1"/>
  <c r="AX1401" i="6" s="1"/>
  <c r="N1402" i="6" s="1"/>
  <c r="AX1402" i="6" s="1"/>
  <c r="N1403" i="6" s="1"/>
  <c r="AX1403" i="6" s="1"/>
  <c r="N1404" i="6" s="1"/>
  <c r="AX1404" i="6" s="1"/>
  <c r="N1405" i="6" s="1"/>
  <c r="AX1405" i="6" s="1"/>
  <c r="N1406" i="6" s="1"/>
  <c r="AX1406" i="6" s="1"/>
  <c r="N1407" i="6" s="1"/>
  <c r="AX1407" i="6" s="1"/>
  <c r="N1408" i="6" s="1"/>
  <c r="AX1408" i="6" s="1"/>
  <c r="N1409" i="6" s="1"/>
  <c r="AX1409" i="6" s="1"/>
  <c r="AQ952" i="6"/>
  <c r="BE1092" i="6"/>
  <c r="U1092" i="6"/>
  <c r="AM118" i="6"/>
  <c r="AL118" i="6"/>
  <c r="AM475" i="6"/>
  <c r="AL475" i="6"/>
  <c r="BE768" i="6"/>
  <c r="U768" i="6"/>
  <c r="AH33" i="6"/>
  <c r="BF33" i="6"/>
  <c r="V34" i="6" s="1"/>
  <c r="AQ768" i="6"/>
  <c r="AS768" i="6" s="1"/>
  <c r="BD661" i="6"/>
  <c r="T662" i="6" s="1"/>
  <c r="AP661" i="6"/>
  <c r="BD13" i="6"/>
  <c r="T14" i="6" s="1"/>
  <c r="AP13" i="6"/>
  <c r="L91" i="6"/>
  <c r="AV91" i="6" s="1"/>
  <c r="L92" i="6" s="1"/>
  <c r="AV92" i="6" s="1"/>
  <c r="L93" i="6" s="1"/>
  <c r="AV93" i="6" s="1"/>
  <c r="L94" i="6" s="1"/>
  <c r="AV94" i="6" s="1"/>
  <c r="L95" i="6" s="1"/>
  <c r="AV95" i="6" s="1"/>
  <c r="L96" i="6" s="1"/>
  <c r="AV96" i="6" s="1"/>
  <c r="L97" i="6" s="1"/>
  <c r="AV97" i="6" s="1"/>
  <c r="L98" i="6" s="1"/>
  <c r="AR624" i="6"/>
  <c r="AQ624" i="6"/>
  <c r="BE409" i="6"/>
  <c r="U409" i="6"/>
  <c r="BD1129" i="6"/>
  <c r="T1130" i="6" s="1"/>
  <c r="AP1129" i="6"/>
  <c r="AV1058" i="6"/>
  <c r="L1059" i="6" s="1"/>
  <c r="AV1059" i="6" s="1"/>
  <c r="L1060" i="6" s="1"/>
  <c r="AV1060" i="6" s="1"/>
  <c r="L1061" i="6" s="1"/>
  <c r="AV1061" i="6" s="1"/>
  <c r="L1062" i="6" s="1"/>
  <c r="AV1062" i="6" s="1"/>
  <c r="AF1058" i="6"/>
  <c r="BG1379" i="6"/>
  <c r="W1380" i="6" s="1"/>
  <c r="AH1379" i="6"/>
  <c r="AL983" i="6"/>
  <c r="AM983" i="6"/>
  <c r="BE1381" i="6"/>
  <c r="U1381" i="6"/>
  <c r="BO663" i="6"/>
  <c r="BN664" i="6" s="1"/>
  <c r="BG480" i="6"/>
  <c r="W481" i="6" s="1"/>
  <c r="AH480" i="6"/>
  <c r="BD157" i="6"/>
  <c r="T158" i="6" s="1"/>
  <c r="AP157" i="6"/>
  <c r="AM443" i="6"/>
  <c r="AL443" i="6"/>
  <c r="BE732" i="6"/>
  <c r="U732" i="6"/>
  <c r="AN946" i="6"/>
  <c r="AU946" i="6" s="1"/>
  <c r="BF1221" i="6"/>
  <c r="V1222" i="6" s="1"/>
  <c r="AH1221" i="6"/>
  <c r="AL1483" i="6"/>
  <c r="AN762" i="6"/>
  <c r="BO721" i="6"/>
  <c r="BN722" i="6" s="1"/>
  <c r="BO170" i="6"/>
  <c r="BN171" i="6" s="1"/>
  <c r="AK170" i="6"/>
  <c r="BA1276" i="6"/>
  <c r="Q1277" i="6" s="1"/>
  <c r="AG1276" i="6"/>
  <c r="BD193" i="6"/>
  <c r="T194" i="6" s="1"/>
  <c r="AP193" i="6"/>
  <c r="BA1602" i="6"/>
  <c r="Q1603" i="6" s="1"/>
  <c r="BE228" i="6"/>
  <c r="U228" i="6"/>
  <c r="BA1490" i="6"/>
  <c r="Q1491" i="6" s="1"/>
  <c r="BG1347" i="6"/>
  <c r="W1348" i="6" s="1"/>
  <c r="AH1347" i="6"/>
  <c r="BG1311" i="6"/>
  <c r="W1312" i="6" s="1"/>
  <c r="AH1311" i="6"/>
  <c r="AZ1448" i="6"/>
  <c r="P1449" i="6" s="1"/>
  <c r="AG1448" i="6"/>
  <c r="AK1448" i="6"/>
  <c r="AR1448" i="6" s="1"/>
  <c r="AS1448" i="6" s="1"/>
  <c r="AZ997" i="6"/>
  <c r="P998" i="6" s="1"/>
  <c r="AK997" i="6"/>
  <c r="BA962" i="6"/>
  <c r="Q963" i="6" s="1"/>
  <c r="AL1021" i="6"/>
  <c r="AM1021" i="6"/>
  <c r="BE949" i="6"/>
  <c r="U949" i="6"/>
  <c r="U912" i="6"/>
  <c r="BE912" i="6"/>
  <c r="AG882" i="6"/>
  <c r="BA882" i="6"/>
  <c r="Q883" i="6" s="1"/>
  <c r="BD953" i="6"/>
  <c r="T954" i="6" s="1"/>
  <c r="AP953" i="6"/>
  <c r="AU1231" i="6"/>
  <c r="BG119" i="6"/>
  <c r="W120" i="6" s="1"/>
  <c r="AH119" i="6"/>
  <c r="BF393" i="6"/>
  <c r="V394" i="6" s="1"/>
  <c r="AH393" i="6"/>
  <c r="BO1568" i="6"/>
  <c r="BN1569" i="6" s="1"/>
  <c r="BO1536" i="6"/>
  <c r="BN1537" i="6" s="1"/>
  <c r="AK1536" i="6"/>
  <c r="BO641" i="6"/>
  <c r="BN642" i="6" s="1"/>
  <c r="AK641" i="6"/>
  <c r="AW98" i="6"/>
  <c r="M99" i="6" s="1"/>
  <c r="AW99" i="6" s="1"/>
  <c r="M100" i="6" s="1"/>
  <c r="AW100" i="6" s="1"/>
  <c r="M101" i="6" s="1"/>
  <c r="AW101" i="6" s="1"/>
  <c r="M102" i="6" s="1"/>
  <c r="AW102" i="6" s="1"/>
  <c r="M103" i="6" s="1"/>
  <c r="AW103" i="6" s="1"/>
  <c r="M104" i="6" s="1"/>
  <c r="AW104" i="6" s="1"/>
  <c r="M105" i="6" s="1"/>
  <c r="AW105" i="6" s="1"/>
  <c r="M106" i="6" s="1"/>
  <c r="AW106" i="6" s="1"/>
  <c r="M107" i="6" s="1"/>
  <c r="AW107" i="6" s="1"/>
  <c r="M108" i="6" s="1"/>
  <c r="AW108" i="6" s="1"/>
  <c r="M109" i="6" s="1"/>
  <c r="AW109" i="6" s="1"/>
  <c r="M110" i="6" s="1"/>
  <c r="AW110" i="6" s="1"/>
  <c r="M111" i="6" s="1"/>
  <c r="AW111" i="6" s="1"/>
  <c r="M112" i="6" s="1"/>
  <c r="AW112" i="6" s="1"/>
  <c r="M113" i="6" s="1"/>
  <c r="AW113" i="6" s="1"/>
  <c r="BD625" i="6"/>
  <c r="T626" i="6" s="1"/>
  <c r="AP625" i="6"/>
  <c r="BF753" i="6"/>
  <c r="V754" i="6" s="1"/>
  <c r="AH753" i="6"/>
  <c r="AQ1128" i="6"/>
  <c r="AQ444" i="6"/>
  <c r="AR444" i="6"/>
  <c r="BA528" i="6"/>
  <c r="Q529" i="6" s="1"/>
  <c r="BA664" i="6"/>
  <c r="Q665" i="6" s="1"/>
  <c r="AH429" i="6"/>
  <c r="BF429" i="6"/>
  <c r="V430" i="6" s="1"/>
  <c r="BG1239" i="6"/>
  <c r="W1240" i="6" s="1"/>
  <c r="AH1239" i="6"/>
  <c r="BG984" i="6"/>
  <c r="W985" i="6" s="1"/>
  <c r="AH984" i="6"/>
  <c r="AZ190" i="6"/>
  <c r="P191" i="6" s="1"/>
  <c r="AG190" i="6"/>
  <c r="AK190" i="6"/>
  <c r="AR190" i="6" s="1"/>
  <c r="AS190" i="6" s="1"/>
  <c r="AU1304" i="6"/>
  <c r="M1531" i="6"/>
  <c r="AW1531" i="6" s="1"/>
  <c r="M1532" i="6" s="1"/>
  <c r="AW1532" i="6" s="1"/>
  <c r="M1533" i="6" s="1"/>
  <c r="AW1533" i="6" s="1"/>
  <c r="M1534" i="6" s="1"/>
  <c r="AW1534" i="6" s="1"/>
  <c r="M1535" i="6" s="1"/>
  <c r="AW1535" i="6" s="1"/>
  <c r="M1536" i="6" s="1"/>
  <c r="AW1536" i="6" s="1"/>
  <c r="M1537" i="6" s="1"/>
  <c r="AW1537" i="6" s="1"/>
  <c r="M1538" i="6" s="1"/>
  <c r="BG444" i="6"/>
  <c r="W445" i="6" s="1"/>
  <c r="AH444" i="6"/>
  <c r="AQ912" i="6"/>
  <c r="AR912" i="6"/>
  <c r="BF249" i="6"/>
  <c r="V250" i="6" s="1"/>
  <c r="AH249" i="6"/>
  <c r="AS1267" i="6"/>
  <c r="AU1267" i="6" s="1"/>
  <c r="AU7" i="6"/>
  <c r="AF1130" i="6"/>
  <c r="AV1130" i="6"/>
  <c r="L1131" i="6" s="1"/>
  <c r="AV1131" i="6" s="1"/>
  <c r="L1132" i="6" s="1"/>
  <c r="AV1132" i="6" s="1"/>
  <c r="L1133" i="6" s="1"/>
  <c r="AV1133" i="6" s="1"/>
  <c r="L1134" i="6" s="1"/>
  <c r="AV1134" i="6" s="1"/>
  <c r="AH1130" i="6"/>
  <c r="AH105" i="6"/>
  <c r="BF105" i="6"/>
  <c r="V106" i="6" s="1"/>
  <c r="BG1494" i="6"/>
  <c r="W1495" i="6" s="1"/>
  <c r="AH1494" i="6"/>
  <c r="AN79" i="6"/>
  <c r="AU79" i="6" s="1"/>
  <c r="AQ984" i="6"/>
  <c r="AR984" i="6"/>
  <c r="BD805" i="6"/>
  <c r="T806" i="6" s="1"/>
  <c r="AP805" i="6"/>
  <c r="AZ454" i="6"/>
  <c r="P455" i="6" s="1"/>
  <c r="AK454" i="6"/>
  <c r="BH1301" i="6"/>
  <c r="AD1301" i="6"/>
  <c r="U1632" i="6"/>
  <c r="BE1632" i="6"/>
  <c r="AH1022" i="6"/>
  <c r="AM1022" i="6" s="1"/>
  <c r="BG1022" i="6"/>
  <c r="W1023" i="6" s="1"/>
  <c r="M235" i="6"/>
  <c r="AW235" i="6" s="1"/>
  <c r="M236" i="6" s="1"/>
  <c r="AW236" i="6" s="1"/>
  <c r="M237" i="6" s="1"/>
  <c r="AW237" i="6" s="1"/>
  <c r="M238" i="6" s="1"/>
  <c r="AW238" i="6" s="1"/>
  <c r="M239" i="6" s="1"/>
  <c r="AW239" i="6" s="1"/>
  <c r="M240" i="6" s="1"/>
  <c r="AW240" i="6" s="1"/>
  <c r="M241" i="6" s="1"/>
  <c r="AW241" i="6" s="1"/>
  <c r="M242" i="6" s="1"/>
  <c r="L235" i="6"/>
  <c r="AV235" i="6" s="1"/>
  <c r="L236" i="6" s="1"/>
  <c r="AV236" i="6" s="1"/>
  <c r="L237" i="6" s="1"/>
  <c r="AV237" i="6" s="1"/>
  <c r="L238" i="6" s="1"/>
  <c r="AV238" i="6" s="1"/>
  <c r="L239" i="6" s="1"/>
  <c r="AV239" i="6" s="1"/>
  <c r="L240" i="6" s="1"/>
  <c r="AV240" i="6" s="1"/>
  <c r="L241" i="6" s="1"/>
  <c r="AV241" i="6" s="1"/>
  <c r="L242" i="6" s="1"/>
  <c r="BE445" i="6"/>
  <c r="U445" i="6"/>
  <c r="BE624" i="6"/>
  <c r="U624" i="6"/>
  <c r="BO609" i="6"/>
  <c r="BN610" i="6" s="1"/>
  <c r="AK609" i="6"/>
  <c r="BG660" i="6"/>
  <c r="W661" i="6" s="1"/>
  <c r="AH660" i="6"/>
  <c r="AM656" i="6"/>
  <c r="AL656" i="6"/>
  <c r="AQ518" i="6"/>
  <c r="AZ476" i="6"/>
  <c r="P477" i="6" s="1"/>
  <c r="AG476" i="6"/>
  <c r="AK476" i="6"/>
  <c r="AR476" i="6" s="1"/>
  <c r="AS476" i="6" s="1"/>
  <c r="M1027" i="6"/>
  <c r="AW1027" i="6" s="1"/>
  <c r="M1028" i="6" s="1"/>
  <c r="AW1028" i="6" s="1"/>
  <c r="M1029" i="6" s="1"/>
  <c r="AW1029" i="6" s="1"/>
  <c r="M1030" i="6" s="1"/>
  <c r="AW1030" i="6" s="1"/>
  <c r="M1031" i="6" s="1"/>
  <c r="AW1031" i="6" s="1"/>
  <c r="M1032" i="6" s="1"/>
  <c r="AW1032" i="6" s="1"/>
  <c r="M1033" i="6" s="1"/>
  <c r="AW1033" i="6" s="1"/>
  <c r="M1034" i="6" s="1"/>
  <c r="AL768" i="6"/>
  <c r="AN768" i="6" s="1"/>
  <c r="AR372" i="6"/>
  <c r="AQ372" i="6"/>
  <c r="N91" i="6"/>
  <c r="AX91" i="6" s="1"/>
  <c r="N92" i="6" s="1"/>
  <c r="AX92" i="6" s="1"/>
  <c r="N93" i="6" s="1"/>
  <c r="AX93" i="6" s="1"/>
  <c r="N94" i="6" s="1"/>
  <c r="AX94" i="6" s="1"/>
  <c r="N95" i="6" s="1"/>
  <c r="AX95" i="6" s="1"/>
  <c r="N96" i="6" s="1"/>
  <c r="AX96" i="6" s="1"/>
  <c r="N97" i="6" s="1"/>
  <c r="AX97" i="6" s="1"/>
  <c r="N98" i="6" s="1"/>
  <c r="AX98" i="6" s="1"/>
  <c r="N99" i="6" s="1"/>
  <c r="AX99" i="6" s="1"/>
  <c r="N100" i="6" s="1"/>
  <c r="AX100" i="6" s="1"/>
  <c r="N101" i="6" s="1"/>
  <c r="AX101" i="6" s="1"/>
  <c r="N102" i="6" s="1"/>
  <c r="AX102" i="6" s="1"/>
  <c r="N103" i="6" s="1"/>
  <c r="AX103" i="6" s="1"/>
  <c r="N104" i="6" s="1"/>
  <c r="AX104" i="6" s="1"/>
  <c r="N105" i="6" s="1"/>
  <c r="AX105" i="6" s="1"/>
  <c r="N106" i="6" s="1"/>
  <c r="AX106" i="6" s="1"/>
  <c r="N107" i="6" s="1"/>
  <c r="AX107" i="6" s="1"/>
  <c r="N108" i="6" s="1"/>
  <c r="AX108" i="6" s="1"/>
  <c r="N109" i="6" s="1"/>
  <c r="AX109" i="6" s="1"/>
  <c r="N110" i="6" s="1"/>
  <c r="AX110" i="6" s="1"/>
  <c r="N111" i="6" s="1"/>
  <c r="AX111" i="6" s="1"/>
  <c r="N112" i="6" s="1"/>
  <c r="AX112" i="6" s="1"/>
  <c r="N113" i="6" s="1"/>
  <c r="AX113" i="6" s="1"/>
  <c r="AU116" i="6"/>
  <c r="AS1375" i="6"/>
  <c r="AQ1452" i="6"/>
  <c r="BD445" i="6"/>
  <c r="T446" i="6" s="1"/>
  <c r="AP445" i="6"/>
  <c r="AQ265" i="6"/>
  <c r="AR265" i="6"/>
  <c r="BF465" i="6"/>
  <c r="V466" i="6" s="1"/>
  <c r="AH465" i="6"/>
  <c r="BO194" i="6"/>
  <c r="BN195" i="6" s="1"/>
  <c r="BA272" i="6"/>
  <c r="Q273" i="6" s="1"/>
  <c r="AG272" i="6"/>
  <c r="BE1308" i="6"/>
  <c r="U1308" i="6"/>
  <c r="BA1315" i="6"/>
  <c r="Q1316" i="6" s="1"/>
  <c r="AG1315" i="6"/>
  <c r="AH1041" i="6"/>
  <c r="BF1041" i="6"/>
  <c r="V1042" i="6" s="1"/>
  <c r="BD913" i="6"/>
  <c r="T914" i="6" s="1"/>
  <c r="AP913" i="6"/>
  <c r="AH1509" i="6"/>
  <c r="BF1509" i="6"/>
  <c r="V1510" i="6" s="1"/>
  <c r="AS1483" i="6"/>
  <c r="BF213" i="6"/>
  <c r="V214" i="6" s="1"/>
  <c r="AH213" i="6"/>
  <c r="AN1410" i="6"/>
  <c r="AU1410" i="6" s="1"/>
  <c r="BA1569" i="6"/>
  <c r="Q1570" i="6" s="1"/>
  <c r="AU1086" i="6"/>
  <c r="AQ1092" i="6"/>
  <c r="AR1092" i="6"/>
  <c r="BE1559" i="6"/>
  <c r="U1559" i="6"/>
  <c r="AQ1488" i="6"/>
  <c r="BA200" i="6"/>
  <c r="Q201" i="6" s="1"/>
  <c r="AF626" i="6"/>
  <c r="AV626" i="6"/>
  <c r="L627" i="6" s="1"/>
  <c r="AV627" i="6" s="1"/>
  <c r="L628" i="6" s="1"/>
  <c r="AV628" i="6" s="1"/>
  <c r="L629" i="6" s="1"/>
  <c r="AV629" i="6" s="1"/>
  <c r="L630" i="6" s="1"/>
  <c r="AV630" i="6" s="1"/>
  <c r="M811" i="6"/>
  <c r="AW811" i="6" s="1"/>
  <c r="M812" i="6" s="1"/>
  <c r="AW812" i="6" s="1"/>
  <c r="M813" i="6" s="1"/>
  <c r="AW813" i="6" s="1"/>
  <c r="M814" i="6" s="1"/>
  <c r="AW814" i="6" s="1"/>
  <c r="M815" i="6" s="1"/>
  <c r="AW815" i="6" s="1"/>
  <c r="M816" i="6" s="1"/>
  <c r="AW816" i="6" s="1"/>
  <c r="M817" i="6" s="1"/>
  <c r="AW817" i="6" s="1"/>
  <c r="M818" i="6" s="1"/>
  <c r="AZ1326" i="6"/>
  <c r="P1327" i="6" s="1"/>
  <c r="AK1326" i="6"/>
  <c r="BO69" i="6"/>
  <c r="BN70" i="6" s="1"/>
  <c r="AL1378" i="6"/>
  <c r="AM1378" i="6"/>
  <c r="BE806" i="6"/>
  <c r="U806" i="6"/>
  <c r="M1495" i="6"/>
  <c r="AW1495" i="6" s="1"/>
  <c r="M1496" i="6" s="1"/>
  <c r="AW1496" i="6" s="1"/>
  <c r="M1497" i="6" s="1"/>
  <c r="AW1497" i="6" s="1"/>
  <c r="M1498" i="6" s="1"/>
  <c r="AW1498" i="6" s="1"/>
  <c r="M1499" i="6" s="1"/>
  <c r="AW1499" i="6" s="1"/>
  <c r="M1500" i="6" s="1"/>
  <c r="AW1500" i="6" s="1"/>
  <c r="M1501" i="6" s="1"/>
  <c r="AW1501" i="6" s="1"/>
  <c r="M1502" i="6" s="1"/>
  <c r="AV1394" i="6"/>
  <c r="L1395" i="6" s="1"/>
  <c r="AV1395" i="6" s="1"/>
  <c r="L1396" i="6" s="1"/>
  <c r="AV1396" i="6" s="1"/>
  <c r="L1397" i="6" s="1"/>
  <c r="AV1397" i="6" s="1"/>
  <c r="L1398" i="6" s="1"/>
  <c r="AV1398" i="6" s="1"/>
  <c r="L1399" i="6" s="1"/>
  <c r="AV1399" i="6" s="1"/>
  <c r="L1400" i="6" s="1"/>
  <c r="AV1400" i="6" s="1"/>
  <c r="L1401" i="6" s="1"/>
  <c r="AV1401" i="6" s="1"/>
  <c r="L1402" i="6" s="1"/>
  <c r="AV1402" i="6" s="1"/>
  <c r="L1403" i="6" s="1"/>
  <c r="AV1403" i="6" s="1"/>
  <c r="L1404" i="6" s="1"/>
  <c r="AV1404" i="6" s="1"/>
  <c r="L1405" i="6" s="1"/>
  <c r="AV1405" i="6" s="1"/>
  <c r="L1406" i="6" s="1"/>
  <c r="AV1406" i="6" s="1"/>
  <c r="L1407" i="6" s="1"/>
  <c r="AV1407" i="6" s="1"/>
  <c r="L1408" i="6" s="1"/>
  <c r="AV1408" i="6" s="1"/>
  <c r="L1409" i="6" s="1"/>
  <c r="AV1409" i="6" s="1"/>
  <c r="AP121" i="6"/>
  <c r="BD121" i="6"/>
  <c r="T122" i="6" s="1"/>
  <c r="BF933" i="6"/>
  <c r="V934" i="6" s="1"/>
  <c r="AH933" i="6"/>
  <c r="BE1524" i="6"/>
  <c r="U1524" i="6"/>
  <c r="BF609" i="6"/>
  <c r="V610" i="6" s="1"/>
  <c r="AH609" i="6"/>
  <c r="AF842" i="6"/>
  <c r="AV842" i="6"/>
  <c r="L843" i="6" s="1"/>
  <c r="AV843" i="6" s="1"/>
  <c r="L844" i="6" s="1"/>
  <c r="AV844" i="6" s="1"/>
  <c r="L845" i="6" s="1"/>
  <c r="AV845" i="6" s="1"/>
  <c r="L846" i="6" s="1"/>
  <c r="AV846" i="6" s="1"/>
  <c r="BD519" i="6"/>
  <c r="T520" i="6" s="1"/>
  <c r="AP519" i="6"/>
  <c r="BO343" i="6"/>
  <c r="BN344" i="6" s="1"/>
  <c r="AK343" i="6"/>
  <c r="BH1003" i="6"/>
  <c r="X1004" i="6" s="1"/>
  <c r="AD1003" i="6"/>
  <c r="AS1268" i="6"/>
  <c r="N19" i="6"/>
  <c r="AX19" i="6" s="1"/>
  <c r="N20" i="6" s="1"/>
  <c r="AX20" i="6" s="1"/>
  <c r="N21" i="6" s="1"/>
  <c r="AX21" i="6" s="1"/>
  <c r="N22" i="6" s="1"/>
  <c r="AX22" i="6" s="1"/>
  <c r="N23" i="6" s="1"/>
  <c r="AX23" i="6" s="1"/>
  <c r="N24" i="6" s="1"/>
  <c r="AX24" i="6" s="1"/>
  <c r="N25" i="6" s="1"/>
  <c r="AX25" i="6" s="1"/>
  <c r="N26" i="6" s="1"/>
  <c r="AX26" i="6" s="1"/>
  <c r="N27" i="6" s="1"/>
  <c r="AX27" i="6" s="1"/>
  <c r="N28" i="6" s="1"/>
  <c r="AX28" i="6" s="1"/>
  <c r="N29" i="6" s="1"/>
  <c r="AX29" i="6" s="1"/>
  <c r="N30" i="6" s="1"/>
  <c r="AX30" i="6" s="1"/>
  <c r="N31" i="6" s="1"/>
  <c r="AX31" i="6" s="1"/>
  <c r="N32" i="6" s="1"/>
  <c r="AX32" i="6" s="1"/>
  <c r="N33" i="6" s="1"/>
  <c r="AX33" i="6" s="1"/>
  <c r="N34" i="6" s="1"/>
  <c r="AX34" i="6" s="1"/>
  <c r="N35" i="6" s="1"/>
  <c r="AX35" i="6" s="1"/>
  <c r="N36" i="6" s="1"/>
  <c r="AX36" i="6" s="1"/>
  <c r="N37" i="6" s="1"/>
  <c r="AX37" i="6" s="1"/>
  <c r="N38" i="6" s="1"/>
  <c r="AX38" i="6" s="1"/>
  <c r="N39" i="6" s="1"/>
  <c r="AX39" i="6" s="1"/>
  <c r="N40" i="6" s="1"/>
  <c r="AX40" i="6" s="1"/>
  <c r="N41" i="6" s="1"/>
  <c r="AX41" i="6" s="1"/>
  <c r="BG47" i="6"/>
  <c r="W48" i="6" s="1"/>
  <c r="AH47" i="6"/>
  <c r="AM44" i="6"/>
  <c r="AL44" i="6"/>
  <c r="BO267" i="6"/>
  <c r="BN268" i="6" s="1"/>
  <c r="AK267" i="6"/>
  <c r="AN295" i="6"/>
  <c r="AU295" i="6" s="1"/>
  <c r="BD373" i="6"/>
  <c r="T374" i="6" s="1"/>
  <c r="AP373" i="6"/>
  <c r="AU981" i="6"/>
  <c r="BD1453" i="6"/>
  <c r="T1454" i="6" s="1"/>
  <c r="AP1453" i="6"/>
  <c r="BG299" i="6"/>
  <c r="W300" i="6" s="1"/>
  <c r="AH299" i="6"/>
  <c r="BE1020" i="6"/>
  <c r="U1020" i="6"/>
  <c r="BD266" i="6"/>
  <c r="T267" i="6" s="1"/>
  <c r="AP266" i="6"/>
  <c r="BO1038" i="6"/>
  <c r="BN1039" i="6" s="1"/>
  <c r="AK1038" i="6"/>
  <c r="BE1056" i="6"/>
  <c r="U1056" i="6"/>
  <c r="AM947" i="6"/>
  <c r="AL947" i="6"/>
  <c r="AW1058" i="6"/>
  <c r="M1059" i="6" s="1"/>
  <c r="AW1059" i="6" s="1"/>
  <c r="M1060" i="6" s="1"/>
  <c r="AW1060" i="6" s="1"/>
  <c r="M1061" i="6" s="1"/>
  <c r="AW1061" i="6" s="1"/>
  <c r="M1062" i="6" s="1"/>
  <c r="AW1062" i="6" s="1"/>
  <c r="BH1137" i="6"/>
  <c r="X1138" i="6" s="1"/>
  <c r="AD1137" i="6"/>
  <c r="AS767" i="6"/>
  <c r="AH1605" i="6"/>
  <c r="BG1605" i="6"/>
  <c r="W1606" i="6" s="1"/>
  <c r="BA1455" i="6"/>
  <c r="Q1456" i="6" s="1"/>
  <c r="M919" i="6"/>
  <c r="AW919" i="6" s="1"/>
  <c r="M920" i="6" s="1"/>
  <c r="AW920" i="6" s="1"/>
  <c r="M921" i="6" s="1"/>
  <c r="AW921" i="6" s="1"/>
  <c r="M922" i="6" s="1"/>
  <c r="AW922" i="6" s="1"/>
  <c r="M923" i="6" s="1"/>
  <c r="AW923" i="6" s="1"/>
  <c r="M924" i="6" s="1"/>
  <c r="AW924" i="6" s="1"/>
  <c r="M925" i="6" s="1"/>
  <c r="AW925" i="6" s="1"/>
  <c r="M926" i="6" s="1"/>
  <c r="BG555" i="6"/>
  <c r="W556" i="6" s="1"/>
  <c r="AH555" i="6"/>
  <c r="AR1527" i="6"/>
  <c r="AQ1527" i="6"/>
  <c r="BO1422" i="6"/>
  <c r="BN1423" i="6" s="1"/>
  <c r="BF897" i="6"/>
  <c r="V898" i="6" s="1"/>
  <c r="AH897" i="6"/>
  <c r="AP1093" i="6"/>
  <c r="BD1093" i="6"/>
  <c r="T1094" i="6" s="1"/>
  <c r="BD1489" i="6"/>
  <c r="T1490" i="6" s="1"/>
  <c r="AP1489" i="6"/>
  <c r="BF1473" i="6"/>
  <c r="V1474" i="6" s="1"/>
  <c r="AH1473" i="6"/>
  <c r="BF861" i="6"/>
  <c r="V862" i="6" s="1"/>
  <c r="AH861" i="6"/>
  <c r="BE983" i="6"/>
  <c r="U983" i="6"/>
  <c r="BA806" i="6"/>
  <c r="Q807" i="6" s="1"/>
  <c r="AG806" i="6"/>
  <c r="AL189" i="6"/>
  <c r="AM189" i="6"/>
  <c r="AZ81" i="6"/>
  <c r="P82" i="6" s="1"/>
  <c r="AG81" i="6"/>
  <c r="AK81" i="6"/>
  <c r="AR81" i="6" s="1"/>
  <c r="AS81" i="6" s="1"/>
  <c r="BD735" i="6"/>
  <c r="T736" i="6" s="1"/>
  <c r="AP735" i="6"/>
  <c r="AH1329" i="6"/>
  <c r="BF1329" i="6"/>
  <c r="V1330" i="6" s="1"/>
  <c r="BG11" i="6"/>
  <c r="W12" i="6" s="1"/>
  <c r="AH11" i="6"/>
  <c r="AQ120" i="6"/>
  <c r="AR120" i="6"/>
  <c r="U48" i="6"/>
  <c r="BE48" i="6"/>
  <c r="AZ1484" i="6"/>
  <c r="P1485" i="6" s="1"/>
  <c r="AG1484" i="6"/>
  <c r="AK1484" i="6"/>
  <c r="AR1484" i="6" s="1"/>
  <c r="AS1484" i="6" s="1"/>
  <c r="AM10" i="6"/>
  <c r="AL10" i="6"/>
  <c r="BD553" i="6"/>
  <c r="T554" i="6" s="1"/>
  <c r="AP553" i="6"/>
  <c r="AH1418" i="6"/>
  <c r="BG1418" i="6"/>
  <c r="W1419" i="6" s="1"/>
  <c r="AV1454" i="6"/>
  <c r="L1455" i="6" s="1"/>
  <c r="AV1455" i="6" s="1"/>
  <c r="L1456" i="6" s="1"/>
  <c r="AV1456" i="6" s="1"/>
  <c r="L1457" i="6" s="1"/>
  <c r="AV1457" i="6" s="1"/>
  <c r="L1458" i="6" s="1"/>
  <c r="AV1458" i="6" s="1"/>
  <c r="AF1454" i="6"/>
  <c r="AH1454" i="6"/>
  <c r="AU1341" i="6"/>
  <c r="AR1345" i="6"/>
  <c r="AQ1345" i="6"/>
  <c r="BO379" i="6"/>
  <c r="BN380" i="6" s="1"/>
  <c r="AK379" i="6"/>
  <c r="BF645" i="6"/>
  <c r="V646" i="6" s="1"/>
  <c r="AH645" i="6"/>
  <c r="BG1560" i="6"/>
  <c r="W1561" i="6" s="1"/>
  <c r="AH1560" i="6"/>
  <c r="BG84" i="6"/>
  <c r="W85" i="6" s="1"/>
  <c r="AH84" i="6"/>
  <c r="BE660" i="6"/>
  <c r="U660" i="6"/>
  <c r="U1128" i="6"/>
  <c r="BE1128" i="6"/>
  <c r="BE481" i="6"/>
  <c r="U481" i="6"/>
  <c r="AQ408" i="6"/>
  <c r="BA1527" i="6"/>
  <c r="Q1528" i="6" s="1"/>
  <c r="AG1527" i="6"/>
  <c r="AZ657" i="6"/>
  <c r="P658" i="6" s="1"/>
  <c r="AK657" i="6"/>
  <c r="AR657" i="6" s="1"/>
  <c r="AS657" i="6" s="1"/>
  <c r="AG657" i="6"/>
  <c r="AS1376" i="6"/>
  <c r="AS951" i="6"/>
  <c r="AL155" i="6"/>
  <c r="AM155" i="6"/>
  <c r="AU1591" i="6"/>
  <c r="AZ45" i="6"/>
  <c r="P46" i="6" s="1"/>
  <c r="AG45" i="6"/>
  <c r="AK45" i="6"/>
  <c r="AR45" i="6" s="1"/>
  <c r="AS45" i="6" s="1"/>
  <c r="BO1135" i="6"/>
  <c r="BN1136" i="6" s="1"/>
  <c r="BF1545" i="6"/>
  <c r="V1546" i="6" s="1"/>
  <c r="AH1545" i="6"/>
  <c r="AM803" i="6"/>
  <c r="AL803" i="6"/>
  <c r="AR1167" i="6"/>
  <c r="AQ1167" i="6"/>
  <c r="AF770" i="6"/>
  <c r="AV770" i="6"/>
  <c r="L771" i="6" s="1"/>
  <c r="AV771" i="6" s="1"/>
  <c r="L772" i="6" s="1"/>
  <c r="AV772" i="6" s="1"/>
  <c r="L773" i="6" s="1"/>
  <c r="AV773" i="6" s="1"/>
  <c r="L774" i="6" s="1"/>
  <c r="AV774" i="6" s="1"/>
  <c r="BF969" i="6"/>
  <c r="V970" i="6" s="1"/>
  <c r="AH969" i="6"/>
  <c r="BF1005" i="6"/>
  <c r="V1006" i="6" s="1"/>
  <c r="AH1005" i="6"/>
  <c r="AN1375" i="6"/>
  <c r="BD1562" i="6"/>
  <c r="T1563" i="6" s="1"/>
  <c r="AP1562" i="6"/>
  <c r="BE1163" i="6"/>
  <c r="U1163" i="6"/>
  <c r="AQ1596" i="6"/>
  <c r="BA236" i="6"/>
  <c r="Q237" i="6" s="1"/>
  <c r="AG236" i="6"/>
  <c r="BG1202" i="6"/>
  <c r="W1203" i="6" s="1"/>
  <c r="AH1202" i="6"/>
  <c r="AL337" i="6"/>
  <c r="AM337" i="6"/>
  <c r="BG948" i="6"/>
  <c r="W949" i="6" s="1"/>
  <c r="AH948" i="6"/>
  <c r="AH337" i="6"/>
  <c r="BG337" i="6"/>
  <c r="W338" i="6" s="1"/>
  <c r="BO231" i="6"/>
  <c r="BN232" i="6" s="1"/>
  <c r="AK231" i="6"/>
  <c r="AL876" i="6"/>
  <c r="AM876" i="6"/>
  <c r="BD1381" i="6"/>
  <c r="T1382" i="6" s="1"/>
  <c r="AP1381" i="6"/>
  <c r="BO1635" i="6"/>
  <c r="BN1636" i="6" s="1"/>
  <c r="BO464" i="6"/>
  <c r="BN465" i="6" s="1"/>
  <c r="AM914" i="6"/>
  <c r="AL914" i="6"/>
  <c r="BE84" i="6"/>
  <c r="U84" i="6"/>
  <c r="BD1528" i="6"/>
  <c r="T1529" i="6" s="1"/>
  <c r="AP1528" i="6"/>
  <c r="AV158" i="6"/>
  <c r="L159" i="6" s="1"/>
  <c r="AV159" i="6" s="1"/>
  <c r="L160" i="6" s="1"/>
  <c r="AV160" i="6" s="1"/>
  <c r="L161" i="6" s="1"/>
  <c r="AV161" i="6" s="1"/>
  <c r="L162" i="6" s="1"/>
  <c r="AV162" i="6" s="1"/>
  <c r="AF158" i="6"/>
  <c r="AG158" i="6"/>
  <c r="BF177" i="6"/>
  <c r="V178" i="6" s="1"/>
  <c r="AH177" i="6"/>
  <c r="M667" i="6"/>
  <c r="AW667" i="6" s="1"/>
  <c r="M668" i="6" s="1"/>
  <c r="AW668" i="6" s="1"/>
  <c r="M669" i="6" s="1"/>
  <c r="AW669" i="6" s="1"/>
  <c r="M670" i="6" s="1"/>
  <c r="AW670" i="6" s="1"/>
  <c r="M671" i="6" s="1"/>
  <c r="AW671" i="6" s="1"/>
  <c r="M672" i="6" s="1"/>
  <c r="AW672" i="6" s="1"/>
  <c r="M673" i="6" s="1"/>
  <c r="AW673" i="6" s="1"/>
  <c r="M674" i="6" s="1"/>
  <c r="AQ49" i="6"/>
  <c r="BA1238" i="6"/>
  <c r="Q1239" i="6" s="1"/>
  <c r="AF1202" i="6"/>
  <c r="AV1202" i="6"/>
  <c r="L1203" i="6" s="1"/>
  <c r="AV1203" i="6" s="1"/>
  <c r="L1204" i="6" s="1"/>
  <c r="AV1204" i="6" s="1"/>
  <c r="L1205" i="6" s="1"/>
  <c r="AV1205" i="6" s="1"/>
  <c r="L1206" i="6" s="1"/>
  <c r="AV1206" i="6" s="1"/>
  <c r="BH919" i="6"/>
  <c r="X920" i="6" s="1"/>
  <c r="AD919" i="6"/>
  <c r="AM262" i="6"/>
  <c r="AL262" i="6"/>
  <c r="BA915" i="6"/>
  <c r="Q916" i="6" s="1"/>
  <c r="AG915" i="6"/>
  <c r="BF573" i="6"/>
  <c r="V574" i="6" s="1"/>
  <c r="AH573" i="6"/>
  <c r="BF537" i="6"/>
  <c r="V538" i="6" s="1"/>
  <c r="AH537" i="6"/>
  <c r="AR156" i="6"/>
  <c r="AQ156" i="6"/>
  <c r="BE336" i="6"/>
  <c r="U336" i="6"/>
  <c r="BD1346" i="6"/>
  <c r="T1347" i="6" s="1"/>
  <c r="AP1346" i="6"/>
  <c r="U516" i="6"/>
  <c r="BE516" i="6"/>
  <c r="U1272" i="6"/>
  <c r="BE1272" i="6"/>
  <c r="AN548" i="6"/>
  <c r="AS1271" i="6"/>
  <c r="AU1271" i="6" s="1"/>
  <c r="AU1051" i="6"/>
  <c r="M1279" i="6"/>
  <c r="AW1279" i="6" s="1"/>
  <c r="M1280" i="6" s="1"/>
  <c r="AW1280" i="6" s="1"/>
  <c r="M1281" i="6" s="1"/>
  <c r="AW1281" i="6" s="1"/>
  <c r="M1282" i="6" s="1"/>
  <c r="AW1282" i="6" s="1"/>
  <c r="M1283" i="6" s="1"/>
  <c r="AW1283" i="6" s="1"/>
  <c r="M1284" i="6" s="1"/>
  <c r="AW1284" i="6" s="1"/>
  <c r="M1285" i="6" s="1"/>
  <c r="AW1285" i="6" s="1"/>
  <c r="M1286" i="6" s="1"/>
  <c r="BG731" i="6"/>
  <c r="W732" i="6" s="1"/>
  <c r="AH731" i="6"/>
  <c r="BD409" i="6"/>
  <c r="T410" i="6" s="1"/>
  <c r="AP409" i="6"/>
  <c r="U1236" i="6"/>
  <c r="BE1236" i="6"/>
  <c r="AL512" i="6"/>
  <c r="AM512" i="6"/>
  <c r="BO1329" i="6"/>
  <c r="BN1330" i="6" s="1"/>
  <c r="BA698" i="6"/>
  <c r="Q699" i="6" s="1"/>
  <c r="BG156" i="6"/>
  <c r="W157" i="6" s="1"/>
  <c r="AH156" i="6"/>
  <c r="BD304" i="6"/>
  <c r="T305" i="6" s="1"/>
  <c r="AP304" i="6"/>
  <c r="AU1016" i="6"/>
  <c r="BG804" i="6"/>
  <c r="W805" i="6" s="1"/>
  <c r="AH804" i="6"/>
  <c r="BD1168" i="6"/>
  <c r="T1169" i="6" s="1"/>
  <c r="AP1168" i="6"/>
  <c r="BA51" i="6"/>
  <c r="Q52" i="6" s="1"/>
  <c r="AM1592" i="6"/>
  <c r="AL1592" i="6"/>
  <c r="BD1597" i="6"/>
  <c r="T1598" i="6" s="1"/>
  <c r="AP1597" i="6"/>
  <c r="BO1295" i="6"/>
  <c r="BN1296" i="6" s="1"/>
  <c r="AK1295" i="6"/>
  <c r="BA338" i="6"/>
  <c r="Q339" i="6" s="1"/>
  <c r="AG338" i="6"/>
  <c r="AQ481" i="6"/>
  <c r="AU370" i="6"/>
  <c r="BF825" i="6"/>
  <c r="V826" i="6" s="1"/>
  <c r="AH825" i="6"/>
  <c r="AM1344" i="6"/>
  <c r="AL1344" i="6"/>
  <c r="AH877" i="6"/>
  <c r="BG877" i="6"/>
  <c r="W878" i="6" s="1"/>
  <c r="BO126" i="6"/>
  <c r="BN127" i="6" s="1"/>
  <c r="AK126" i="6"/>
  <c r="AF482" i="6"/>
  <c r="AV482" i="6"/>
  <c r="L483" i="6" s="1"/>
  <c r="AV483" i="6" s="1"/>
  <c r="L484" i="6" s="1"/>
  <c r="AV484" i="6" s="1"/>
  <c r="L485" i="6" s="1"/>
  <c r="AV485" i="6" s="1"/>
  <c r="L486" i="6" s="1"/>
  <c r="AV486" i="6" s="1"/>
  <c r="AQ874" i="6"/>
  <c r="AR874" i="6"/>
  <c r="AQ1633" i="6"/>
  <c r="BG591" i="6"/>
  <c r="W592" i="6" s="1"/>
  <c r="AH591" i="6"/>
  <c r="BE1344" i="6"/>
  <c r="U1344" i="6"/>
  <c r="AW1454" i="6"/>
  <c r="M1455" i="6" s="1"/>
  <c r="AW1455" i="6" s="1"/>
  <c r="M1456" i="6" s="1"/>
  <c r="AW1456" i="6" s="1"/>
  <c r="M1457" i="6" s="1"/>
  <c r="AW1457" i="6" s="1"/>
  <c r="M1458" i="6" s="1"/>
  <c r="AW1458" i="6" s="1"/>
  <c r="AL728" i="6"/>
  <c r="AM728" i="6"/>
  <c r="BD50" i="6"/>
  <c r="T51" i="6" s="1"/>
  <c r="AP50" i="6"/>
  <c r="M991" i="6"/>
  <c r="AW991" i="6" s="1"/>
  <c r="M992" i="6" s="1"/>
  <c r="AW992" i="6" s="1"/>
  <c r="M993" i="6" s="1"/>
  <c r="AW993" i="6" s="1"/>
  <c r="M994" i="6" s="1"/>
  <c r="AW994" i="6" s="1"/>
  <c r="M995" i="6" s="1"/>
  <c r="AW995" i="6" s="1"/>
  <c r="M996" i="6" s="1"/>
  <c r="AW996" i="6" s="1"/>
  <c r="M997" i="6" s="1"/>
  <c r="AW997" i="6" s="1"/>
  <c r="M998" i="6" s="1"/>
  <c r="AH626" i="6"/>
  <c r="BD769" i="6"/>
  <c r="T770" i="6" s="1"/>
  <c r="AP769" i="6"/>
  <c r="AR12" i="6"/>
  <c r="AQ12" i="6"/>
  <c r="AZ1412" i="6"/>
  <c r="P1413" i="6" s="1"/>
  <c r="AK1412" i="6"/>
  <c r="AR1412" i="6" s="1"/>
  <c r="AS1412" i="6" s="1"/>
  <c r="AG1412" i="6"/>
  <c r="BA1202" i="6"/>
  <c r="Q1203" i="6" s="1"/>
  <c r="AG1202" i="6"/>
  <c r="BO1381" i="6"/>
  <c r="BN1382" i="6" s="1"/>
  <c r="AK1381" i="6"/>
  <c r="BE192" i="6"/>
  <c r="U192" i="6"/>
  <c r="BF321" i="6"/>
  <c r="V322" i="6" s="1"/>
  <c r="AH321" i="6"/>
  <c r="AR588" i="6"/>
  <c r="AQ588" i="6"/>
  <c r="BO864" i="6"/>
  <c r="BN865" i="6" s="1"/>
  <c r="AG126" i="6"/>
  <c r="BA126" i="6"/>
  <c r="Q127" i="6" s="1"/>
  <c r="BG409" i="6"/>
  <c r="W410" i="6" s="1"/>
  <c r="AH409" i="6"/>
  <c r="BA380" i="6"/>
  <c r="Q381" i="6" s="1"/>
  <c r="AG380" i="6"/>
  <c r="AU154" i="6"/>
  <c r="BG1166" i="6"/>
  <c r="W1167" i="6" s="1"/>
  <c r="AH1166" i="6"/>
  <c r="AU1087" i="6"/>
  <c r="AZ513" i="6"/>
  <c r="P514" i="6" s="1"/>
  <c r="AG513" i="6"/>
  <c r="AK513" i="6"/>
  <c r="AR513" i="6" s="1"/>
  <c r="AS513" i="6" s="1"/>
  <c r="BO952" i="6"/>
  <c r="BN953" i="6" s="1"/>
  <c r="AK952" i="6"/>
  <c r="AR952" i="6" s="1"/>
  <c r="AQ303" i="6"/>
  <c r="BH1361" i="6"/>
  <c r="X1362" i="6" s="1"/>
  <c r="AD1361" i="6"/>
  <c r="AL405" i="6"/>
  <c r="AM405" i="6"/>
  <c r="AR1311" i="6"/>
  <c r="AQ1311" i="6"/>
  <c r="AM691" i="6"/>
  <c r="AL691" i="6"/>
  <c r="BE590" i="6"/>
  <c r="U590" i="6"/>
  <c r="M1351" i="6"/>
  <c r="AW1351" i="6" s="1"/>
  <c r="M1352" i="6" s="1"/>
  <c r="AW1352" i="6" s="1"/>
  <c r="M1353" i="6" s="1"/>
  <c r="AW1353" i="6" s="1"/>
  <c r="M1354" i="6" s="1"/>
  <c r="AW1354" i="6" s="1"/>
  <c r="M1355" i="6" s="1"/>
  <c r="AW1355" i="6" s="1"/>
  <c r="M1356" i="6" s="1"/>
  <c r="AW1356" i="6" s="1"/>
  <c r="M1357" i="6" s="1"/>
  <c r="AW1357" i="6" s="1"/>
  <c r="M1358" i="6" s="1"/>
  <c r="BE551" i="6"/>
  <c r="U551" i="6"/>
  <c r="AR1200" i="6"/>
  <c r="AQ1200" i="6"/>
  <c r="AH1055" i="6"/>
  <c r="BG1055" i="6"/>
  <c r="W1056" i="6" s="1"/>
  <c r="M415" i="6"/>
  <c r="AW415" i="6" s="1"/>
  <c r="M416" i="6" s="1"/>
  <c r="AW416" i="6" s="1"/>
  <c r="M417" i="6" s="1"/>
  <c r="AW417" i="6" s="1"/>
  <c r="M418" i="6" s="1"/>
  <c r="AW418" i="6" s="1"/>
  <c r="M419" i="6" s="1"/>
  <c r="AW419" i="6" s="1"/>
  <c r="M420" i="6" s="1"/>
  <c r="AW420" i="6" s="1"/>
  <c r="M421" i="6" s="1"/>
  <c r="AW421" i="6" s="1"/>
  <c r="M422" i="6" s="1"/>
  <c r="BD1417" i="6"/>
  <c r="T1418" i="6" s="1"/>
  <c r="AP1417" i="6"/>
  <c r="BG915" i="6"/>
  <c r="W916" i="6" s="1"/>
  <c r="AH915" i="6"/>
  <c r="AV338" i="6"/>
  <c r="L339" i="6" s="1"/>
  <c r="AV339" i="6" s="1"/>
  <c r="L340" i="6" s="1"/>
  <c r="AV340" i="6" s="1"/>
  <c r="L341" i="6" s="1"/>
  <c r="AV341" i="6" s="1"/>
  <c r="L342" i="6" s="1"/>
  <c r="AV342" i="6" s="1"/>
  <c r="AF338" i="6"/>
  <c r="BD482" i="6"/>
  <c r="T483" i="6" s="1"/>
  <c r="AP482" i="6"/>
  <c r="AU1015" i="6"/>
  <c r="BO1245" i="6"/>
  <c r="BN1246" i="6" s="1"/>
  <c r="M271" i="6"/>
  <c r="AW271" i="6" s="1"/>
  <c r="M272" i="6" s="1"/>
  <c r="AW272" i="6" s="1"/>
  <c r="M273" i="6" s="1"/>
  <c r="AW273" i="6" s="1"/>
  <c r="M274" i="6" s="1"/>
  <c r="AW274" i="6" s="1"/>
  <c r="M275" i="6" s="1"/>
  <c r="AW275" i="6" s="1"/>
  <c r="M276" i="6" s="1"/>
  <c r="AW276" i="6" s="1"/>
  <c r="M277" i="6" s="1"/>
  <c r="AW277" i="6" s="1"/>
  <c r="M278" i="6" s="1"/>
  <c r="AW278" i="6" s="1"/>
  <c r="M279" i="6" s="1"/>
  <c r="AW279" i="6" s="1"/>
  <c r="M280" i="6" s="1"/>
  <c r="AW280" i="6" s="1"/>
  <c r="M281" i="6" s="1"/>
  <c r="AW281" i="6" s="1"/>
  <c r="M282" i="6" s="1"/>
  <c r="AW282" i="6" s="1"/>
  <c r="M283" i="6" s="1"/>
  <c r="AW283" i="6" s="1"/>
  <c r="M284" i="6" s="1"/>
  <c r="AW284" i="6" s="1"/>
  <c r="M285" i="6" s="1"/>
  <c r="AW285" i="6" s="1"/>
  <c r="M286" i="6" s="1"/>
  <c r="AW286" i="6" s="1"/>
  <c r="M287" i="6" s="1"/>
  <c r="AW287" i="6" s="1"/>
  <c r="M288" i="6" s="1"/>
  <c r="AW288" i="6" s="1"/>
  <c r="M289" i="6" s="1"/>
  <c r="AW289" i="6" s="1"/>
  <c r="M290" i="6" s="1"/>
  <c r="AW290" i="6" s="1"/>
  <c r="M291" i="6" s="1"/>
  <c r="AW291" i="6" s="1"/>
  <c r="M292" i="6" s="1"/>
  <c r="AW292" i="6" s="1"/>
  <c r="M293" i="6" s="1"/>
  <c r="AW293" i="6" s="1"/>
  <c r="L271" i="6"/>
  <c r="AV271" i="6" s="1"/>
  <c r="L272" i="6" s="1"/>
  <c r="AV272" i="6" s="1"/>
  <c r="L273" i="6" s="1"/>
  <c r="AV273" i="6" s="1"/>
  <c r="L274" i="6" s="1"/>
  <c r="AV274" i="6" s="1"/>
  <c r="L275" i="6" s="1"/>
  <c r="AV275" i="6" s="1"/>
  <c r="L276" i="6" s="1"/>
  <c r="AV276" i="6" s="1"/>
  <c r="L277" i="6" s="1"/>
  <c r="AV277" i="6" s="1"/>
  <c r="L278" i="6" s="1"/>
  <c r="N271" i="6"/>
  <c r="AX271" i="6" s="1"/>
  <c r="N272" i="6" s="1"/>
  <c r="AX272" i="6" s="1"/>
  <c r="N273" i="6" s="1"/>
  <c r="AX273" i="6" s="1"/>
  <c r="N274" i="6" s="1"/>
  <c r="AX274" i="6" s="1"/>
  <c r="N275" i="6" s="1"/>
  <c r="AX275" i="6" s="1"/>
  <c r="N276" i="6" s="1"/>
  <c r="AX276" i="6" s="1"/>
  <c r="N277" i="6" s="1"/>
  <c r="AX277" i="6" s="1"/>
  <c r="N278" i="6" s="1"/>
  <c r="AX278" i="6" s="1"/>
  <c r="N279" i="6" s="1"/>
  <c r="AX279" i="6" s="1"/>
  <c r="N280" i="6" s="1"/>
  <c r="AX280" i="6" s="1"/>
  <c r="N281" i="6" s="1"/>
  <c r="AX281" i="6" s="1"/>
  <c r="N282" i="6" s="1"/>
  <c r="AX282" i="6" s="1"/>
  <c r="N283" i="6" s="1"/>
  <c r="AX283" i="6" s="1"/>
  <c r="N284" i="6" s="1"/>
  <c r="AX284" i="6" s="1"/>
  <c r="N285" i="6" s="1"/>
  <c r="AX285" i="6" s="1"/>
  <c r="N286" i="6" s="1"/>
  <c r="AX286" i="6" s="1"/>
  <c r="N287" i="6" s="1"/>
  <c r="AX287" i="6" s="1"/>
  <c r="N288" i="6" s="1"/>
  <c r="AX288" i="6" s="1"/>
  <c r="N289" i="6" s="1"/>
  <c r="AX289" i="6" s="1"/>
  <c r="N290" i="6" s="1"/>
  <c r="AX290" i="6" s="1"/>
  <c r="N291" i="6" s="1"/>
  <c r="AX291" i="6" s="1"/>
  <c r="N292" i="6" s="1"/>
  <c r="AX292" i="6" s="1"/>
  <c r="N293" i="6" s="1"/>
  <c r="AX293" i="6" s="1"/>
  <c r="BA1345" i="6"/>
  <c r="Q1346" i="6" s="1"/>
  <c r="AG1345" i="6"/>
  <c r="AN1273" i="6"/>
  <c r="AS1482" i="6"/>
  <c r="BD875" i="6"/>
  <c r="T876" i="6" s="1"/>
  <c r="AP875" i="6"/>
  <c r="BF1437" i="6"/>
  <c r="V1438" i="6" s="1"/>
  <c r="AH1437" i="6"/>
  <c r="AU335" i="6"/>
  <c r="BD1634" i="6"/>
  <c r="T1635" i="6" s="1"/>
  <c r="AP1634" i="6"/>
  <c r="BA1419" i="6"/>
  <c r="Q1420" i="6" s="1"/>
  <c r="AZ729" i="6"/>
  <c r="P730" i="6" s="1"/>
  <c r="AG729" i="6"/>
  <c r="AK729" i="6"/>
  <c r="AR729" i="6" s="1"/>
  <c r="AS729" i="6" s="1"/>
  <c r="BG1097" i="6"/>
  <c r="W1098" i="6" s="1"/>
  <c r="AH1097" i="6"/>
  <c r="AM1232" i="6"/>
  <c r="AL1232" i="6"/>
  <c r="AU1554" i="6"/>
  <c r="BO1602" i="6"/>
  <c r="BN1603" i="6" s="1"/>
  <c r="BE1199" i="6"/>
  <c r="U1199" i="6"/>
  <c r="BA988" i="6"/>
  <c r="Q989" i="6" s="1"/>
  <c r="AG988" i="6"/>
  <c r="AP1312" i="6"/>
  <c r="BD1312" i="6"/>
  <c r="T1313" i="6" s="1"/>
  <c r="M127" i="6"/>
  <c r="AW127" i="6" s="1"/>
  <c r="M128" i="6" s="1"/>
  <c r="AW128" i="6" s="1"/>
  <c r="M129" i="6" s="1"/>
  <c r="AW129" i="6" s="1"/>
  <c r="M130" i="6" s="1"/>
  <c r="AW130" i="6" s="1"/>
  <c r="M131" i="6" s="1"/>
  <c r="AW131" i="6" s="1"/>
  <c r="M132" i="6" s="1"/>
  <c r="AW132" i="6" s="1"/>
  <c r="M133" i="6" s="1"/>
  <c r="AW133" i="6" s="1"/>
  <c r="M134" i="6" s="1"/>
  <c r="N127" i="6"/>
  <c r="AX127" i="6" s="1"/>
  <c r="N128" i="6" s="1"/>
  <c r="AX128" i="6" s="1"/>
  <c r="N129" i="6" s="1"/>
  <c r="AX129" i="6" s="1"/>
  <c r="N130" i="6" s="1"/>
  <c r="AX130" i="6" s="1"/>
  <c r="N131" i="6" s="1"/>
  <c r="AX131" i="6" s="1"/>
  <c r="N132" i="6" s="1"/>
  <c r="AX132" i="6" s="1"/>
  <c r="N133" i="6" s="1"/>
  <c r="AX133" i="6" s="1"/>
  <c r="N134" i="6" s="1"/>
  <c r="AX134" i="6" s="1"/>
  <c r="N135" i="6" s="1"/>
  <c r="AX135" i="6" s="1"/>
  <c r="N136" i="6" s="1"/>
  <c r="AX136" i="6" s="1"/>
  <c r="N137" i="6" s="1"/>
  <c r="AX137" i="6" s="1"/>
  <c r="N138" i="6" s="1"/>
  <c r="AX138" i="6" s="1"/>
  <c r="N139" i="6" s="1"/>
  <c r="AX139" i="6" s="1"/>
  <c r="N140" i="6" s="1"/>
  <c r="AX140" i="6" s="1"/>
  <c r="N141" i="6" s="1"/>
  <c r="AX141" i="6" s="1"/>
  <c r="N142" i="6" s="1"/>
  <c r="AX142" i="6" s="1"/>
  <c r="N143" i="6" s="1"/>
  <c r="AX143" i="6" s="1"/>
  <c r="N144" i="6" s="1"/>
  <c r="AX144" i="6" s="1"/>
  <c r="N145" i="6" s="1"/>
  <c r="AX145" i="6" s="1"/>
  <c r="N146" i="6" s="1"/>
  <c r="AX146" i="6" s="1"/>
  <c r="N147" i="6" s="1"/>
  <c r="AX147" i="6" s="1"/>
  <c r="N148" i="6" s="1"/>
  <c r="AX148" i="6" s="1"/>
  <c r="N149" i="6" s="1"/>
  <c r="AX149" i="6" s="1"/>
  <c r="AZ692" i="6"/>
  <c r="P693" i="6" s="1"/>
  <c r="AG692" i="6"/>
  <c r="AK692" i="6"/>
  <c r="AR692" i="6" s="1"/>
  <c r="AS692" i="6" s="1"/>
  <c r="AM372" i="6"/>
  <c r="AL372" i="6"/>
  <c r="M595" i="6"/>
  <c r="AW595" i="6" s="1"/>
  <c r="M596" i="6" s="1"/>
  <c r="AW596" i="6" s="1"/>
  <c r="M597" i="6" s="1"/>
  <c r="AW597" i="6" s="1"/>
  <c r="M598" i="6" s="1"/>
  <c r="AW598" i="6" s="1"/>
  <c r="M599" i="6" s="1"/>
  <c r="AW599" i="6" s="1"/>
  <c r="M600" i="6" s="1"/>
  <c r="AW600" i="6" s="1"/>
  <c r="M601" i="6" s="1"/>
  <c r="AW601" i="6" s="1"/>
  <c r="M602" i="6" s="1"/>
  <c r="AZ1593" i="6"/>
  <c r="P1594" i="6" s="1"/>
  <c r="AG1593" i="6"/>
  <c r="AK1593" i="6"/>
  <c r="AR1593" i="6" s="1"/>
  <c r="AS1593" i="6" s="1"/>
  <c r="BD1201" i="6"/>
  <c r="T1202" i="6" s="1"/>
  <c r="AP1201" i="6"/>
  <c r="AU1272" i="6"/>
  <c r="AN336" i="6"/>
  <c r="BA165" i="6"/>
  <c r="Q166" i="6" s="1"/>
  <c r="AG165" i="6"/>
  <c r="BO574" i="6"/>
  <c r="BN575" i="6" s="1"/>
  <c r="AH1113" i="6"/>
  <c r="BF1113" i="6"/>
  <c r="V1114" i="6" s="1"/>
  <c r="BE264" i="6"/>
  <c r="U264" i="6"/>
  <c r="AM1124" i="6"/>
  <c r="AL1124" i="6"/>
  <c r="BG1133" i="6"/>
  <c r="W1134" i="6" s="1"/>
  <c r="AH1133" i="6"/>
  <c r="AM1165" i="6"/>
  <c r="AL1165" i="6"/>
  <c r="AL225" i="6"/>
  <c r="AM225" i="6"/>
  <c r="AS1053" i="6"/>
  <c r="AV374" i="6"/>
  <c r="L375" i="6" s="1"/>
  <c r="AV375" i="6" s="1"/>
  <c r="L376" i="6" s="1"/>
  <c r="AV376" i="6" s="1"/>
  <c r="L377" i="6" s="1"/>
  <c r="AV377" i="6" s="1"/>
  <c r="L378" i="6" s="1"/>
  <c r="AV378" i="6" s="1"/>
  <c r="AF374" i="6"/>
  <c r="AG374" i="6"/>
  <c r="AS1556" i="6"/>
  <c r="BF1185" i="6"/>
  <c r="V1186" i="6" s="1"/>
  <c r="AH1185" i="6"/>
  <c r="BO1458" i="6"/>
  <c r="BN1459" i="6" s="1"/>
  <c r="BA1635" i="6"/>
  <c r="Q1636" i="6" s="1"/>
  <c r="BG840" i="6"/>
  <c r="W841" i="6" s="1"/>
  <c r="AH840" i="6"/>
  <c r="BF1581" i="6"/>
  <c r="V1582" i="6" s="1"/>
  <c r="AH1581" i="6"/>
  <c r="AF1562" i="6"/>
  <c r="AV1562" i="6"/>
  <c r="L1563" i="6" s="1"/>
  <c r="AV1563" i="6" s="1"/>
  <c r="L1564" i="6" s="1"/>
  <c r="AV1564" i="6" s="1"/>
  <c r="L1565" i="6" s="1"/>
  <c r="AV1565" i="6" s="1"/>
  <c r="L1566" i="6" s="1"/>
  <c r="AV1566" i="6" s="1"/>
  <c r="AH141" i="6"/>
  <c r="BF141" i="6"/>
  <c r="V142" i="6" s="1"/>
  <c r="BD589" i="6"/>
  <c r="T590" i="6" s="1"/>
  <c r="AP589" i="6"/>
  <c r="AM1628" i="6"/>
  <c r="AL1628" i="6"/>
  <c r="AF698" i="6"/>
  <c r="AV698" i="6"/>
  <c r="L699" i="6" s="1"/>
  <c r="AV699" i="6" s="1"/>
  <c r="L700" i="6" s="1"/>
  <c r="AV700" i="6" s="1"/>
  <c r="L701" i="6" s="1"/>
  <c r="AV701" i="6" s="1"/>
  <c r="L702" i="6" s="1"/>
  <c r="AV702" i="6" s="1"/>
  <c r="BE1415" i="6"/>
  <c r="U1415" i="6"/>
  <c r="BO886" i="6"/>
  <c r="BN887" i="6" s="1"/>
  <c r="AK886" i="6"/>
  <c r="AN727" i="6"/>
  <c r="AU727" i="6" s="1"/>
  <c r="BA847" i="6"/>
  <c r="Q848" i="6" s="1"/>
  <c r="AZ569" i="6"/>
  <c r="P570" i="6" s="1"/>
  <c r="AK569" i="6"/>
  <c r="BO1177" i="6"/>
  <c r="BN1178" i="6" s="1"/>
  <c r="AK1177" i="6"/>
  <c r="AF1238" i="6"/>
  <c r="AV1238" i="6"/>
  <c r="L1239" i="6" s="1"/>
  <c r="AV1239" i="6" s="1"/>
  <c r="L1240" i="6" s="1"/>
  <c r="AV1240" i="6" s="1"/>
  <c r="L1241" i="6" s="1"/>
  <c r="AV1241" i="6" s="1"/>
  <c r="L1242" i="6" s="1"/>
  <c r="AV1242" i="6" s="1"/>
  <c r="BO1500" i="6"/>
  <c r="BN1501" i="6" s="1"/>
  <c r="AS1269" i="6"/>
  <c r="BA487" i="6"/>
  <c r="Q488" i="6" s="1"/>
  <c r="AL296" i="6"/>
  <c r="AM296" i="6"/>
  <c r="BO322" i="6"/>
  <c r="BN323" i="6" s="1"/>
  <c r="BG1634" i="6"/>
  <c r="W1635" i="6" s="1"/>
  <c r="AH1634" i="6"/>
  <c r="BO775" i="6"/>
  <c r="BN776" i="6" s="1"/>
  <c r="AK775" i="6"/>
  <c r="BO1100" i="6"/>
  <c r="BN1101" i="6" s="1"/>
  <c r="AK1100" i="6"/>
  <c r="AZ406" i="6"/>
  <c r="P407" i="6" s="1"/>
  <c r="AK406" i="6"/>
  <c r="AR406" i="6" s="1"/>
  <c r="AS406" i="6" s="1"/>
  <c r="AG406" i="6"/>
  <c r="AN511" i="6"/>
  <c r="AU511" i="6" s="1"/>
  <c r="AL1093" i="6"/>
  <c r="AM1093" i="6"/>
  <c r="BF1365" i="6"/>
  <c r="V1366" i="6" s="1"/>
  <c r="AH1365" i="6"/>
  <c r="BG373" i="6"/>
  <c r="W374" i="6" s="1"/>
  <c r="AH373" i="6"/>
  <c r="AM590" i="6"/>
  <c r="BA416" i="6"/>
  <c r="Q417" i="6" s="1"/>
  <c r="BO1077" i="6"/>
  <c r="BN1078" i="6" s="1"/>
  <c r="AR336" i="6"/>
  <c r="AQ336" i="6"/>
  <c r="AS1380" i="6"/>
  <c r="BO525" i="6"/>
  <c r="BN526" i="6" s="1"/>
  <c r="BA18" i="6"/>
  <c r="Q19" i="6" s="1"/>
  <c r="AG18" i="6"/>
  <c r="AQ84" i="6"/>
  <c r="AU330" i="6"/>
  <c r="AZ33" i="6"/>
  <c r="P34" i="6" s="1"/>
  <c r="AK33" i="6"/>
  <c r="AZ1125" i="6"/>
  <c r="P1126" i="6" s="1"/>
  <c r="AG1125" i="6"/>
  <c r="AK1125" i="6"/>
  <c r="AR1125" i="6" s="1"/>
  <c r="AS1125" i="6" s="1"/>
  <c r="BA1166" i="6"/>
  <c r="Q1167" i="6" s="1"/>
  <c r="AG1166" i="6"/>
  <c r="AR228" i="6"/>
  <c r="AQ228" i="6"/>
  <c r="N451" i="6"/>
  <c r="AX451" i="6" s="1"/>
  <c r="N452" i="6" s="1"/>
  <c r="AX452" i="6" s="1"/>
  <c r="N453" i="6" s="1"/>
  <c r="AX453" i="6" s="1"/>
  <c r="N454" i="6" s="1"/>
  <c r="AX454" i="6" s="1"/>
  <c r="N455" i="6" s="1"/>
  <c r="AX455" i="6" s="1"/>
  <c r="N456" i="6" s="1"/>
  <c r="AX456" i="6" s="1"/>
  <c r="N457" i="6" s="1"/>
  <c r="AX457" i="6" s="1"/>
  <c r="N458" i="6" s="1"/>
  <c r="AX458" i="6" s="1"/>
  <c r="N459" i="6" s="1"/>
  <c r="AX459" i="6" s="1"/>
  <c r="N460" i="6" s="1"/>
  <c r="AX460" i="6" s="1"/>
  <c r="N461" i="6" s="1"/>
  <c r="AX461" i="6" s="1"/>
  <c r="N462" i="6" s="1"/>
  <c r="AX462" i="6" s="1"/>
  <c r="N463" i="6" s="1"/>
  <c r="AX463" i="6" s="1"/>
  <c r="N464" i="6" s="1"/>
  <c r="AX464" i="6" s="1"/>
  <c r="N465" i="6" s="1"/>
  <c r="AX465" i="6" s="1"/>
  <c r="N466" i="6" s="1"/>
  <c r="AX466" i="6" s="1"/>
  <c r="N467" i="6" s="1"/>
  <c r="AX467" i="6" s="1"/>
  <c r="N468" i="6" s="1"/>
  <c r="AX468" i="6" s="1"/>
  <c r="N469" i="6" s="1"/>
  <c r="AX469" i="6" s="1"/>
  <c r="N470" i="6" s="1"/>
  <c r="AX470" i="6" s="1"/>
  <c r="N471" i="6" s="1"/>
  <c r="AX471" i="6" s="1"/>
  <c r="N472" i="6" s="1"/>
  <c r="AX472" i="6" s="1"/>
  <c r="N473" i="6" s="1"/>
  <c r="AX473" i="6" s="1"/>
  <c r="BA1130" i="6"/>
  <c r="Q1131" i="6" s="1"/>
  <c r="BF1401" i="6"/>
  <c r="V1402" i="6" s="1"/>
  <c r="AH1401" i="6"/>
  <c r="BO415" i="6"/>
  <c r="BN416" i="6" s="1"/>
  <c r="BF1257" i="6"/>
  <c r="V1258" i="6" s="1"/>
  <c r="AH1257" i="6"/>
  <c r="AN1482" i="6"/>
  <c r="BG226" i="6"/>
  <c r="W227" i="6" s="1"/>
  <c r="AH226" i="6"/>
  <c r="BG1459" i="6"/>
  <c r="W1460" i="6" s="1"/>
  <c r="AH1459" i="6"/>
  <c r="AN1164" i="6"/>
  <c r="AU1164" i="6" s="1"/>
  <c r="BE875" i="6"/>
  <c r="U875" i="6"/>
  <c r="BH1191" i="6"/>
  <c r="X1192" i="6" s="1"/>
  <c r="AD1191" i="6"/>
  <c r="BE1595" i="6"/>
  <c r="U1595" i="6"/>
  <c r="AU1199" i="6"/>
  <c r="BO919" i="6"/>
  <c r="BN920" i="6" s="1"/>
  <c r="AK919" i="6"/>
  <c r="BO818" i="6"/>
  <c r="BN819" i="6" s="1"/>
  <c r="AK818" i="6"/>
  <c r="BA313" i="6"/>
  <c r="Q314" i="6" s="1"/>
  <c r="AF1166" i="6"/>
  <c r="AV1166" i="6"/>
  <c r="L1167" i="6" s="1"/>
  <c r="AV1167" i="6" s="1"/>
  <c r="L1168" i="6" s="1"/>
  <c r="AV1168" i="6" s="1"/>
  <c r="L1169" i="6" s="1"/>
  <c r="AV1169" i="6" s="1"/>
  <c r="L1170" i="6" s="1"/>
  <c r="AV1170" i="6" s="1"/>
  <c r="BG515" i="6"/>
  <c r="W516" i="6" s="1"/>
  <c r="AH515" i="6"/>
  <c r="AZ1233" i="6"/>
  <c r="P1234" i="6" s="1"/>
  <c r="AG1233" i="6"/>
  <c r="AK1233" i="6"/>
  <c r="AR1233" i="6" s="1"/>
  <c r="AS1233" i="6" s="1"/>
  <c r="M739" i="6"/>
  <c r="AW739" i="6" s="1"/>
  <c r="M740" i="6" s="1"/>
  <c r="AW740" i="6" s="1"/>
  <c r="M741" i="6" s="1"/>
  <c r="AW741" i="6" s="1"/>
  <c r="M742" i="6" s="1"/>
  <c r="AW742" i="6" s="1"/>
  <c r="M743" i="6" s="1"/>
  <c r="AW743" i="6" s="1"/>
  <c r="M744" i="6" s="1"/>
  <c r="AW744" i="6" s="1"/>
  <c r="M745" i="6" s="1"/>
  <c r="AW745" i="6" s="1"/>
  <c r="M746" i="6" s="1"/>
  <c r="M1099" i="6"/>
  <c r="AW1099" i="6" s="1"/>
  <c r="M1100" i="6" s="1"/>
  <c r="AW1100" i="6" s="1"/>
  <c r="M1101" i="6" s="1"/>
  <c r="AW1101" i="6" s="1"/>
  <c r="M1102" i="6" s="1"/>
  <c r="AW1102" i="6" s="1"/>
  <c r="M1103" i="6" s="1"/>
  <c r="AW1103" i="6" s="1"/>
  <c r="M1104" i="6" s="1"/>
  <c r="AW1104" i="6" s="1"/>
  <c r="M1105" i="6" s="1"/>
  <c r="AW1105" i="6" s="1"/>
  <c r="M1106" i="6" s="1"/>
  <c r="BA1386" i="6"/>
  <c r="Q1387" i="6" s="1"/>
  <c r="AG1386" i="6"/>
  <c r="BA86" i="6"/>
  <c r="Q87" i="6" s="1"/>
  <c r="BF1653" i="6"/>
  <c r="V1654" i="6" s="1"/>
  <c r="AH1653" i="6"/>
  <c r="AQ840" i="6"/>
  <c r="BF1149" i="6"/>
  <c r="V1150" i="6" s="1"/>
  <c r="AH1149" i="6"/>
  <c r="AZ1629" i="6"/>
  <c r="P1630" i="6" s="1"/>
  <c r="AG1629" i="6"/>
  <c r="AK1629" i="6"/>
  <c r="AR1629" i="6" s="1"/>
  <c r="AS1629" i="6" s="1"/>
  <c r="BE300" i="6"/>
  <c r="U300" i="6"/>
  <c r="AN546" i="6"/>
  <c r="AG626" i="6"/>
  <c r="AM555" i="6"/>
  <c r="AL555" i="6"/>
  <c r="BA591" i="6"/>
  <c r="Q592" i="6" s="1"/>
  <c r="AG591" i="6"/>
  <c r="AZ1557" i="6"/>
  <c r="P1558" i="6" s="1"/>
  <c r="AG1557" i="6"/>
  <c r="AK1557" i="6"/>
  <c r="AR1557" i="6" s="1"/>
  <c r="AS1557" i="6" s="1"/>
  <c r="BE839" i="6"/>
  <c r="U839" i="6"/>
  <c r="BE1451" i="6"/>
  <c r="U1451" i="6"/>
  <c r="AM1052" i="6"/>
  <c r="AL1052" i="6"/>
  <c r="BA1094" i="6"/>
  <c r="Q1095" i="6" s="1"/>
  <c r="AG1094" i="6"/>
  <c r="AM1094" i="6" s="1"/>
  <c r="AN117" i="6"/>
  <c r="BD337" i="6"/>
  <c r="T338" i="6" s="1"/>
  <c r="AP337" i="6"/>
  <c r="BA1058" i="6"/>
  <c r="Q1059" i="6" s="1"/>
  <c r="BE373" i="6"/>
  <c r="U373" i="6"/>
  <c r="AS1166" i="6"/>
  <c r="AS765" i="6"/>
  <c r="BD85" i="6"/>
  <c r="T86" i="6" s="1"/>
  <c r="AP85" i="6"/>
  <c r="AU873" i="6"/>
  <c r="AH697" i="6"/>
  <c r="BG697" i="6"/>
  <c r="W698" i="6" s="1"/>
  <c r="BA735" i="6"/>
  <c r="Q736" i="6" s="1"/>
  <c r="BF1077" i="6"/>
  <c r="V1078" i="6" s="1"/>
  <c r="AH1077" i="6"/>
  <c r="BF1617" i="6"/>
  <c r="V1618" i="6" s="1"/>
  <c r="AH1617" i="6"/>
  <c r="AR1020" i="6"/>
  <c r="AQ1020" i="6"/>
  <c r="BD229" i="6"/>
  <c r="T230" i="6" s="1"/>
  <c r="AP229" i="6"/>
  <c r="AW482" i="6"/>
  <c r="M483" i="6" s="1"/>
  <c r="AW483" i="6" s="1"/>
  <c r="M484" i="6" s="1"/>
  <c r="AW484" i="6" s="1"/>
  <c r="M485" i="6" s="1"/>
  <c r="AW485" i="6" s="1"/>
  <c r="M486" i="6" s="1"/>
  <c r="AW486" i="6" s="1"/>
  <c r="BE156" i="6"/>
  <c r="U156" i="6"/>
  <c r="BD1055" i="6"/>
  <c r="T1056" i="6" s="1"/>
  <c r="AP1055" i="6"/>
  <c r="AQ697" i="6"/>
  <c r="AM1523" i="6"/>
  <c r="AL1523" i="6"/>
  <c r="AH789" i="6"/>
  <c r="BF789" i="6"/>
  <c r="V790" i="6" s="1"/>
  <c r="AU442" i="6"/>
  <c r="AU546" i="6" l="1"/>
  <c r="AU552" i="6"/>
  <c r="AU117" i="6"/>
  <c r="N1351" i="6"/>
  <c r="AX1351" i="6" s="1"/>
  <c r="N1352" i="6" s="1"/>
  <c r="AX1352" i="6" s="1"/>
  <c r="N1353" i="6" s="1"/>
  <c r="AX1353" i="6" s="1"/>
  <c r="N1354" i="6" s="1"/>
  <c r="AX1354" i="6" s="1"/>
  <c r="N1355" i="6" s="1"/>
  <c r="AX1355" i="6" s="1"/>
  <c r="N1356" i="6" s="1"/>
  <c r="AX1356" i="6" s="1"/>
  <c r="N1357" i="6" s="1"/>
  <c r="AX1357" i="6" s="1"/>
  <c r="N1358" i="6" s="1"/>
  <c r="AX1358" i="6" s="1"/>
  <c r="N1359" i="6" s="1"/>
  <c r="AX1359" i="6" s="1"/>
  <c r="N1360" i="6" s="1"/>
  <c r="AX1360" i="6" s="1"/>
  <c r="N1361" i="6" s="1"/>
  <c r="AX1361" i="6" s="1"/>
  <c r="N1362" i="6" s="1"/>
  <c r="AX1362" i="6" s="1"/>
  <c r="N1363" i="6" s="1"/>
  <c r="AX1363" i="6" s="1"/>
  <c r="N1364" i="6" s="1"/>
  <c r="AX1364" i="6" s="1"/>
  <c r="N1365" i="6" s="1"/>
  <c r="AX1365" i="6" s="1"/>
  <c r="N1366" i="6" s="1"/>
  <c r="AX1366" i="6" s="1"/>
  <c r="N1367" i="6" s="1"/>
  <c r="AX1367" i="6" s="1"/>
  <c r="N1368" i="6" s="1"/>
  <c r="AX1368" i="6" s="1"/>
  <c r="N1369" i="6" s="1"/>
  <c r="AX1369" i="6" s="1"/>
  <c r="N1370" i="6" s="1"/>
  <c r="AX1370" i="6" s="1"/>
  <c r="N1371" i="6" s="1"/>
  <c r="AX1371" i="6" s="1"/>
  <c r="N1372" i="6" s="1"/>
  <c r="AX1372" i="6" s="1"/>
  <c r="N1373" i="6" s="1"/>
  <c r="AX1373" i="6" s="1"/>
  <c r="L919" i="6"/>
  <c r="AV919" i="6" s="1"/>
  <c r="L920" i="6" s="1"/>
  <c r="AV920" i="6" s="1"/>
  <c r="L921" i="6" s="1"/>
  <c r="AV921" i="6" s="1"/>
  <c r="L922" i="6" s="1"/>
  <c r="AV922" i="6" s="1"/>
  <c r="L923" i="6" s="1"/>
  <c r="AV923" i="6" s="1"/>
  <c r="L924" i="6" s="1"/>
  <c r="AV924" i="6" s="1"/>
  <c r="L925" i="6" s="1"/>
  <c r="AV925" i="6" s="1"/>
  <c r="L926" i="6" s="1"/>
  <c r="L415" i="6"/>
  <c r="AV415" i="6" s="1"/>
  <c r="L416" i="6" s="1"/>
  <c r="AV416" i="6" s="1"/>
  <c r="L417" i="6" s="1"/>
  <c r="AV417" i="6" s="1"/>
  <c r="L418" i="6" s="1"/>
  <c r="AV418" i="6" s="1"/>
  <c r="L419" i="6" s="1"/>
  <c r="AV419" i="6" s="1"/>
  <c r="L420" i="6" s="1"/>
  <c r="AV420" i="6" s="1"/>
  <c r="L421" i="6" s="1"/>
  <c r="AV421" i="6" s="1"/>
  <c r="L422" i="6" s="1"/>
  <c r="M955" i="6"/>
  <c r="AW955" i="6" s="1"/>
  <c r="M956" i="6" s="1"/>
  <c r="AW956" i="6" s="1"/>
  <c r="M957" i="6" s="1"/>
  <c r="AW957" i="6" s="1"/>
  <c r="M958" i="6" s="1"/>
  <c r="AW958" i="6" s="1"/>
  <c r="M959" i="6" s="1"/>
  <c r="AW959" i="6" s="1"/>
  <c r="M960" i="6" s="1"/>
  <c r="AW960" i="6" s="1"/>
  <c r="M961" i="6" s="1"/>
  <c r="AW961" i="6" s="1"/>
  <c r="M962" i="6" s="1"/>
  <c r="AF1394" i="6"/>
  <c r="AL1310" i="6"/>
  <c r="N55" i="6"/>
  <c r="AX55" i="6" s="1"/>
  <c r="N56" i="6" s="1"/>
  <c r="AX56" i="6" s="1"/>
  <c r="N57" i="6" s="1"/>
  <c r="AX57" i="6" s="1"/>
  <c r="N58" i="6" s="1"/>
  <c r="AX58" i="6" s="1"/>
  <c r="N59" i="6" s="1"/>
  <c r="AX59" i="6" s="1"/>
  <c r="N60" i="6" s="1"/>
  <c r="AX60" i="6" s="1"/>
  <c r="N61" i="6" s="1"/>
  <c r="AX61" i="6" s="1"/>
  <c r="N62" i="6" s="1"/>
  <c r="AX62" i="6" s="1"/>
  <c r="N63" i="6" s="1"/>
  <c r="AX63" i="6" s="1"/>
  <c r="N64" i="6" s="1"/>
  <c r="AX64" i="6" s="1"/>
  <c r="N65" i="6" s="1"/>
  <c r="AX65" i="6" s="1"/>
  <c r="N66" i="6" s="1"/>
  <c r="AX66" i="6" s="1"/>
  <c r="N67" i="6" s="1"/>
  <c r="AX67" i="6" s="1"/>
  <c r="N68" i="6" s="1"/>
  <c r="AX68" i="6" s="1"/>
  <c r="N69" i="6" s="1"/>
  <c r="AX69" i="6" s="1"/>
  <c r="N70" i="6" s="1"/>
  <c r="AX70" i="6" s="1"/>
  <c r="N71" i="6" s="1"/>
  <c r="AX71" i="6" s="1"/>
  <c r="N72" i="6" s="1"/>
  <c r="AX72" i="6" s="1"/>
  <c r="N73" i="6" s="1"/>
  <c r="AX73" i="6" s="1"/>
  <c r="N74" i="6" s="1"/>
  <c r="AX74" i="6" s="1"/>
  <c r="N75" i="6" s="1"/>
  <c r="AX75" i="6" s="1"/>
  <c r="N76" i="6" s="1"/>
  <c r="AX76" i="6" s="1"/>
  <c r="N77" i="6" s="1"/>
  <c r="AX77" i="6" s="1"/>
  <c r="AU1376" i="6"/>
  <c r="AN1344" i="6"/>
  <c r="AU1344" i="6" s="1"/>
  <c r="AU1375" i="6"/>
  <c r="AS265" i="6"/>
  <c r="AS1345" i="6"/>
  <c r="AU1268" i="6"/>
  <c r="AU548" i="6"/>
  <c r="AN1556" i="6"/>
  <c r="AN1201" i="6"/>
  <c r="AU767" i="6"/>
  <c r="AS444" i="6"/>
  <c r="AU762" i="6"/>
  <c r="AU763" i="6"/>
  <c r="AS1020" i="6"/>
  <c r="AU1020" i="6" s="1"/>
  <c r="AN512" i="6"/>
  <c r="AU512" i="6" s="1"/>
  <c r="AS624" i="6"/>
  <c r="AU624" i="6" s="1"/>
  <c r="AN475" i="6"/>
  <c r="AU475" i="6" s="1"/>
  <c r="AU115" i="6"/>
  <c r="AN155" i="6"/>
  <c r="AU155" i="6" s="1"/>
  <c r="AS156" i="6"/>
  <c r="AM1310" i="6"/>
  <c r="AN1310" i="6" s="1"/>
  <c r="AU1310" i="6" s="1"/>
  <c r="AU765" i="6"/>
  <c r="AN1124" i="6"/>
  <c r="AU1124" i="6" s="1"/>
  <c r="M1315" i="6"/>
  <c r="AW1315" i="6" s="1"/>
  <c r="M1316" i="6" s="1"/>
  <c r="AW1316" i="6" s="1"/>
  <c r="M1317" i="6" s="1"/>
  <c r="AW1317" i="6" s="1"/>
  <c r="M1318" i="6" s="1"/>
  <c r="AW1318" i="6" s="1"/>
  <c r="M1319" i="6" s="1"/>
  <c r="AW1319" i="6" s="1"/>
  <c r="M1320" i="6" s="1"/>
  <c r="AW1320" i="6" s="1"/>
  <c r="M1321" i="6" s="1"/>
  <c r="AW1321" i="6" s="1"/>
  <c r="M1322" i="6" s="1"/>
  <c r="AV62" i="6"/>
  <c r="L63" i="6" s="1"/>
  <c r="AV63" i="6" s="1"/>
  <c r="L64" i="6" s="1"/>
  <c r="AV64" i="6" s="1"/>
  <c r="L65" i="6" s="1"/>
  <c r="AV65" i="6" s="1"/>
  <c r="L66" i="6" s="1"/>
  <c r="AV66" i="6" s="1"/>
  <c r="L67" i="6" s="1"/>
  <c r="AV67" i="6" s="1"/>
  <c r="L68" i="6" s="1"/>
  <c r="AV68" i="6" s="1"/>
  <c r="L69" i="6" s="1"/>
  <c r="AV69" i="6" s="1"/>
  <c r="L70" i="6" s="1"/>
  <c r="AV70" i="6" s="1"/>
  <c r="L71" i="6" s="1"/>
  <c r="AV71" i="6" s="1"/>
  <c r="L72" i="6" s="1"/>
  <c r="AV72" i="6" s="1"/>
  <c r="L73" i="6" s="1"/>
  <c r="AV73" i="6" s="1"/>
  <c r="L74" i="6" s="1"/>
  <c r="AV74" i="6" s="1"/>
  <c r="L75" i="6" s="1"/>
  <c r="AV75" i="6" s="1"/>
  <c r="L76" i="6" s="1"/>
  <c r="AV76" i="6" s="1"/>
  <c r="L77" i="6" s="1"/>
  <c r="AV77" i="6" s="1"/>
  <c r="AF62" i="6"/>
  <c r="AW26" i="6"/>
  <c r="M27" i="6" s="1"/>
  <c r="AW27" i="6" s="1"/>
  <c r="M28" i="6" s="1"/>
  <c r="AW28" i="6" s="1"/>
  <c r="M29" i="6" s="1"/>
  <c r="AW29" i="6" s="1"/>
  <c r="M30" i="6" s="1"/>
  <c r="AW30" i="6" s="1"/>
  <c r="M31" i="6" s="1"/>
  <c r="AW31" i="6" s="1"/>
  <c r="M32" i="6" s="1"/>
  <c r="AW32" i="6" s="1"/>
  <c r="M33" i="6" s="1"/>
  <c r="AW33" i="6" s="1"/>
  <c r="M34" i="6" s="1"/>
  <c r="AW34" i="6" s="1"/>
  <c r="M35" i="6" s="1"/>
  <c r="AW35" i="6" s="1"/>
  <c r="M36" i="6" s="1"/>
  <c r="AW36" i="6" s="1"/>
  <c r="M37" i="6" s="1"/>
  <c r="AW37" i="6" s="1"/>
  <c r="M38" i="6" s="1"/>
  <c r="AW38" i="6" s="1"/>
  <c r="M39" i="6" s="1"/>
  <c r="AW39" i="6" s="1"/>
  <c r="M40" i="6" s="1"/>
  <c r="AW40" i="6" s="1"/>
  <c r="M41" i="6" s="1"/>
  <c r="AW41" i="6" s="1"/>
  <c r="AM554" i="6"/>
  <c r="AL1022" i="6"/>
  <c r="AN1022" i="6" s="1"/>
  <c r="AV26" i="6"/>
  <c r="L27" i="6" s="1"/>
  <c r="AV27" i="6" s="1"/>
  <c r="L28" i="6" s="1"/>
  <c r="AV28" i="6" s="1"/>
  <c r="L29" i="6" s="1"/>
  <c r="AV29" i="6" s="1"/>
  <c r="L30" i="6" s="1"/>
  <c r="AV30" i="6" s="1"/>
  <c r="L31" i="6" s="1"/>
  <c r="AV31" i="6" s="1"/>
  <c r="L32" i="6" s="1"/>
  <c r="AV32" i="6" s="1"/>
  <c r="L33" i="6" s="1"/>
  <c r="AV33" i="6" s="1"/>
  <c r="L34" i="6" s="1"/>
  <c r="AV34" i="6" s="1"/>
  <c r="L35" i="6" s="1"/>
  <c r="AV35" i="6" s="1"/>
  <c r="L36" i="6" s="1"/>
  <c r="AV36" i="6" s="1"/>
  <c r="L37" i="6" s="1"/>
  <c r="AV37" i="6" s="1"/>
  <c r="L38" i="6" s="1"/>
  <c r="AV38" i="6" s="1"/>
  <c r="L39" i="6" s="1"/>
  <c r="AV39" i="6" s="1"/>
  <c r="L40" i="6" s="1"/>
  <c r="AV40" i="6" s="1"/>
  <c r="L41" i="6" s="1"/>
  <c r="AV41" i="6" s="1"/>
  <c r="M883" i="6"/>
  <c r="AW883" i="6" s="1"/>
  <c r="M884" i="6" s="1"/>
  <c r="AW884" i="6" s="1"/>
  <c r="M885" i="6" s="1"/>
  <c r="AW885" i="6" s="1"/>
  <c r="M886" i="6" s="1"/>
  <c r="AW886" i="6" s="1"/>
  <c r="M887" i="6" s="1"/>
  <c r="AW887" i="6" s="1"/>
  <c r="M888" i="6" s="1"/>
  <c r="AW888" i="6" s="1"/>
  <c r="M889" i="6" s="1"/>
  <c r="AW889" i="6" s="1"/>
  <c r="M890" i="6" s="1"/>
  <c r="AW559" i="6"/>
  <c r="M560" i="6" s="1"/>
  <c r="AW560" i="6" s="1"/>
  <c r="M561" i="6" s="1"/>
  <c r="AW561" i="6" s="1"/>
  <c r="M562" i="6" s="1"/>
  <c r="AW562" i="6" s="1"/>
  <c r="M563" i="6" s="1"/>
  <c r="AW563" i="6" s="1"/>
  <c r="M564" i="6" s="1"/>
  <c r="AW564" i="6" s="1"/>
  <c r="M565" i="6" s="1"/>
  <c r="AW565" i="6" s="1"/>
  <c r="M566" i="6" s="1"/>
  <c r="L559" i="6"/>
  <c r="AV559" i="6" s="1"/>
  <c r="L560" i="6" s="1"/>
  <c r="AV560" i="6" s="1"/>
  <c r="L561" i="6" s="1"/>
  <c r="AV561" i="6" s="1"/>
  <c r="L562" i="6" s="1"/>
  <c r="AV562" i="6" s="1"/>
  <c r="L563" i="6" s="1"/>
  <c r="AV563" i="6" s="1"/>
  <c r="L564" i="6" s="1"/>
  <c r="AV564" i="6" s="1"/>
  <c r="L565" i="6" s="1"/>
  <c r="AV565" i="6" s="1"/>
  <c r="L566" i="6" s="1"/>
  <c r="AF566" i="6" s="1"/>
  <c r="AW458" i="6"/>
  <c r="M459" i="6" s="1"/>
  <c r="AW459" i="6" s="1"/>
  <c r="M460" i="6" s="1"/>
  <c r="AW460" i="6" s="1"/>
  <c r="M461" i="6" s="1"/>
  <c r="AW461" i="6" s="1"/>
  <c r="M462" i="6" s="1"/>
  <c r="AW462" i="6" s="1"/>
  <c r="M463" i="6" s="1"/>
  <c r="AW463" i="6" s="1"/>
  <c r="M464" i="6" s="1"/>
  <c r="AW464" i="6" s="1"/>
  <c r="M465" i="6" s="1"/>
  <c r="AW465" i="6" s="1"/>
  <c r="M466" i="6" s="1"/>
  <c r="AW466" i="6" s="1"/>
  <c r="M467" i="6" s="1"/>
  <c r="AW467" i="6" s="1"/>
  <c r="M468" i="6" s="1"/>
  <c r="AW468" i="6" s="1"/>
  <c r="M469" i="6" s="1"/>
  <c r="AW469" i="6" s="1"/>
  <c r="M470" i="6" s="1"/>
  <c r="AW470" i="6" s="1"/>
  <c r="M471" i="6" s="1"/>
  <c r="AW471" i="6" s="1"/>
  <c r="M472" i="6" s="1"/>
  <c r="AW472" i="6" s="1"/>
  <c r="M473" i="6" s="1"/>
  <c r="AW473" i="6" s="1"/>
  <c r="N1279" i="6"/>
  <c r="AX1279" i="6" s="1"/>
  <c r="N1280" i="6" s="1"/>
  <c r="AX1280" i="6" s="1"/>
  <c r="N1281" i="6" s="1"/>
  <c r="AX1281" i="6" s="1"/>
  <c r="N1282" i="6" s="1"/>
  <c r="AX1282" i="6" s="1"/>
  <c r="N1283" i="6" s="1"/>
  <c r="AX1283" i="6" s="1"/>
  <c r="N1284" i="6" s="1"/>
  <c r="AX1284" i="6" s="1"/>
  <c r="N1285" i="6" s="1"/>
  <c r="AX1285" i="6" s="1"/>
  <c r="N1286" i="6" s="1"/>
  <c r="AX1286" i="6" s="1"/>
  <c r="N1287" i="6" s="1"/>
  <c r="AX1287" i="6" s="1"/>
  <c r="N1288" i="6" s="1"/>
  <c r="AX1288" i="6" s="1"/>
  <c r="N1289" i="6" s="1"/>
  <c r="AX1289" i="6" s="1"/>
  <c r="N1290" i="6" s="1"/>
  <c r="AX1290" i="6" s="1"/>
  <c r="N1291" i="6" s="1"/>
  <c r="AX1291" i="6" s="1"/>
  <c r="N1292" i="6" s="1"/>
  <c r="AX1292" i="6" s="1"/>
  <c r="N1293" i="6" s="1"/>
  <c r="AX1293" i="6" s="1"/>
  <c r="N1294" i="6" s="1"/>
  <c r="AX1294" i="6" s="1"/>
  <c r="N1295" i="6" s="1"/>
  <c r="AX1295" i="6" s="1"/>
  <c r="N1296" i="6" s="1"/>
  <c r="AX1296" i="6" s="1"/>
  <c r="N1297" i="6" s="1"/>
  <c r="AX1297" i="6" s="1"/>
  <c r="N1298" i="6" s="1"/>
  <c r="AX1298" i="6" s="1"/>
  <c r="N1299" i="6" s="1"/>
  <c r="AX1299" i="6" s="1"/>
  <c r="N1300" i="6" s="1"/>
  <c r="AX1300" i="6" s="1"/>
  <c r="N1301" i="6" s="1"/>
  <c r="AX1301" i="6" s="1"/>
  <c r="L307" i="6"/>
  <c r="AV307" i="6" s="1"/>
  <c r="L308" i="6" s="1"/>
  <c r="AV308" i="6" s="1"/>
  <c r="L309" i="6" s="1"/>
  <c r="AV309" i="6" s="1"/>
  <c r="L310" i="6" s="1"/>
  <c r="AV310" i="6" s="1"/>
  <c r="L311" i="6" s="1"/>
  <c r="AV311" i="6" s="1"/>
  <c r="L312" i="6" s="1"/>
  <c r="AV312" i="6" s="1"/>
  <c r="L313" i="6" s="1"/>
  <c r="AV313" i="6" s="1"/>
  <c r="L314" i="6" s="1"/>
  <c r="AF314" i="6" s="1"/>
  <c r="AL554" i="6"/>
  <c r="L739" i="6"/>
  <c r="AV739" i="6" s="1"/>
  <c r="L740" i="6" s="1"/>
  <c r="AV740" i="6" s="1"/>
  <c r="L741" i="6" s="1"/>
  <c r="AV741" i="6" s="1"/>
  <c r="L742" i="6" s="1"/>
  <c r="AV742" i="6" s="1"/>
  <c r="L743" i="6" s="1"/>
  <c r="AV743" i="6" s="1"/>
  <c r="L744" i="6" s="1"/>
  <c r="AV744" i="6" s="1"/>
  <c r="L745" i="6" s="1"/>
  <c r="AV745" i="6" s="1"/>
  <c r="L746" i="6" s="1"/>
  <c r="AW746" i="6" s="1"/>
  <c r="M747" i="6" s="1"/>
  <c r="AW747" i="6" s="1"/>
  <c r="M748" i="6" s="1"/>
  <c r="AW748" i="6" s="1"/>
  <c r="M749" i="6" s="1"/>
  <c r="AW749" i="6" s="1"/>
  <c r="M750" i="6" s="1"/>
  <c r="AW750" i="6" s="1"/>
  <c r="M751" i="6" s="1"/>
  <c r="AW751" i="6" s="1"/>
  <c r="M752" i="6" s="1"/>
  <c r="AW752" i="6" s="1"/>
  <c r="M753" i="6" s="1"/>
  <c r="AW753" i="6" s="1"/>
  <c r="M754" i="6" s="1"/>
  <c r="AW754" i="6" s="1"/>
  <c r="M755" i="6" s="1"/>
  <c r="AW755" i="6" s="1"/>
  <c r="M756" i="6" s="1"/>
  <c r="AW756" i="6" s="1"/>
  <c r="M757" i="6" s="1"/>
  <c r="AW757" i="6" s="1"/>
  <c r="M758" i="6" s="1"/>
  <c r="AW758" i="6" s="1"/>
  <c r="M759" i="6" s="1"/>
  <c r="AW759" i="6" s="1"/>
  <c r="M760" i="6" s="1"/>
  <c r="AW760" i="6" s="1"/>
  <c r="M761" i="6" s="1"/>
  <c r="AW761" i="6" s="1"/>
  <c r="N739" i="6"/>
  <c r="AX739" i="6" s="1"/>
  <c r="N740" i="6" s="1"/>
  <c r="AX740" i="6" s="1"/>
  <c r="N741" i="6" s="1"/>
  <c r="AX741" i="6" s="1"/>
  <c r="N742" i="6" s="1"/>
  <c r="AX742" i="6" s="1"/>
  <c r="N743" i="6" s="1"/>
  <c r="AX743" i="6" s="1"/>
  <c r="N744" i="6" s="1"/>
  <c r="AX744" i="6" s="1"/>
  <c r="N745" i="6" s="1"/>
  <c r="AX745" i="6" s="1"/>
  <c r="N746" i="6" s="1"/>
  <c r="AX746" i="6" s="1"/>
  <c r="N747" i="6" s="1"/>
  <c r="AX747" i="6" s="1"/>
  <c r="N748" i="6" s="1"/>
  <c r="AX748" i="6" s="1"/>
  <c r="N749" i="6" s="1"/>
  <c r="AX749" i="6" s="1"/>
  <c r="N750" i="6" s="1"/>
  <c r="AX750" i="6" s="1"/>
  <c r="N751" i="6" s="1"/>
  <c r="AX751" i="6" s="1"/>
  <c r="N752" i="6" s="1"/>
  <c r="AX752" i="6" s="1"/>
  <c r="N753" i="6" s="1"/>
  <c r="AX753" i="6" s="1"/>
  <c r="N754" i="6" s="1"/>
  <c r="AX754" i="6" s="1"/>
  <c r="N755" i="6" s="1"/>
  <c r="AX755" i="6" s="1"/>
  <c r="N756" i="6" s="1"/>
  <c r="AX756" i="6" s="1"/>
  <c r="N757" i="6" s="1"/>
  <c r="AX757" i="6" s="1"/>
  <c r="N758" i="6" s="1"/>
  <c r="AX758" i="6" s="1"/>
  <c r="N759" i="6" s="1"/>
  <c r="AX759" i="6" s="1"/>
  <c r="N760" i="6" s="1"/>
  <c r="AX760" i="6" s="1"/>
  <c r="N761" i="6" s="1"/>
  <c r="AX761" i="6" s="1"/>
  <c r="AV458" i="6"/>
  <c r="L459" i="6" s="1"/>
  <c r="AV459" i="6" s="1"/>
  <c r="L460" i="6" s="1"/>
  <c r="AV460" i="6" s="1"/>
  <c r="L461" i="6" s="1"/>
  <c r="AV461" i="6" s="1"/>
  <c r="L462" i="6" s="1"/>
  <c r="AV462" i="6" s="1"/>
  <c r="L463" i="6" s="1"/>
  <c r="AV463" i="6" s="1"/>
  <c r="L464" i="6" s="1"/>
  <c r="AV464" i="6" s="1"/>
  <c r="L465" i="6" s="1"/>
  <c r="AV465" i="6" s="1"/>
  <c r="L466" i="6" s="1"/>
  <c r="AV466" i="6" s="1"/>
  <c r="L467" i="6" s="1"/>
  <c r="AV467" i="6" s="1"/>
  <c r="L468" i="6" s="1"/>
  <c r="AV468" i="6" s="1"/>
  <c r="L469" i="6" s="1"/>
  <c r="AV469" i="6" s="1"/>
  <c r="L470" i="6" s="1"/>
  <c r="AV470" i="6" s="1"/>
  <c r="L471" i="6" s="1"/>
  <c r="AV471" i="6" s="1"/>
  <c r="L472" i="6" s="1"/>
  <c r="AV472" i="6" s="1"/>
  <c r="L473" i="6" s="1"/>
  <c r="AV473" i="6" s="1"/>
  <c r="L991" i="6"/>
  <c r="AV991" i="6" s="1"/>
  <c r="L992" i="6" s="1"/>
  <c r="AV992" i="6" s="1"/>
  <c r="L993" i="6" s="1"/>
  <c r="AV993" i="6" s="1"/>
  <c r="L994" i="6" s="1"/>
  <c r="AV994" i="6" s="1"/>
  <c r="L995" i="6" s="1"/>
  <c r="AV995" i="6" s="1"/>
  <c r="L996" i="6" s="1"/>
  <c r="AV996" i="6" s="1"/>
  <c r="L997" i="6" s="1"/>
  <c r="AV997" i="6" s="1"/>
  <c r="L998" i="6" s="1"/>
  <c r="AF998" i="6" s="1"/>
  <c r="L1495" i="6"/>
  <c r="AV1495" i="6" s="1"/>
  <c r="L1496" i="6" s="1"/>
  <c r="AV1496" i="6" s="1"/>
  <c r="L1497" i="6" s="1"/>
  <c r="AV1497" i="6" s="1"/>
  <c r="L1498" i="6" s="1"/>
  <c r="AV1498" i="6" s="1"/>
  <c r="L1499" i="6" s="1"/>
  <c r="AV1499" i="6" s="1"/>
  <c r="L1500" i="6" s="1"/>
  <c r="AV1500" i="6" s="1"/>
  <c r="L1501" i="6" s="1"/>
  <c r="AV1501" i="6" s="1"/>
  <c r="L1502" i="6" s="1"/>
  <c r="AW1502" i="6" s="1"/>
  <c r="M1503" i="6" s="1"/>
  <c r="AW1503" i="6" s="1"/>
  <c r="M1504" i="6" s="1"/>
  <c r="AW1504" i="6" s="1"/>
  <c r="M1505" i="6" s="1"/>
  <c r="AW1505" i="6" s="1"/>
  <c r="M1506" i="6" s="1"/>
  <c r="AW1506" i="6" s="1"/>
  <c r="M1507" i="6" s="1"/>
  <c r="AW1507" i="6" s="1"/>
  <c r="M1508" i="6" s="1"/>
  <c r="AW1508" i="6" s="1"/>
  <c r="M1509" i="6" s="1"/>
  <c r="AW1509" i="6" s="1"/>
  <c r="M1510" i="6" s="1"/>
  <c r="AW1510" i="6" s="1"/>
  <c r="M1511" i="6" s="1"/>
  <c r="AW1511" i="6" s="1"/>
  <c r="M1512" i="6" s="1"/>
  <c r="AW1512" i="6" s="1"/>
  <c r="M1513" i="6" s="1"/>
  <c r="AW1513" i="6" s="1"/>
  <c r="M1514" i="6" s="1"/>
  <c r="AW1514" i="6" s="1"/>
  <c r="M1515" i="6" s="1"/>
  <c r="AW1515" i="6" s="1"/>
  <c r="M1516" i="6" s="1"/>
  <c r="AW1516" i="6" s="1"/>
  <c r="M1517" i="6" s="1"/>
  <c r="AW1517" i="6" s="1"/>
  <c r="L1423" i="6"/>
  <c r="AV1423" i="6" s="1"/>
  <c r="L1424" i="6" s="1"/>
  <c r="AV1424" i="6" s="1"/>
  <c r="L1425" i="6" s="1"/>
  <c r="AV1425" i="6" s="1"/>
  <c r="L1426" i="6" s="1"/>
  <c r="AV1426" i="6" s="1"/>
  <c r="L1427" i="6" s="1"/>
  <c r="AV1427" i="6" s="1"/>
  <c r="L1428" i="6" s="1"/>
  <c r="AV1428" i="6" s="1"/>
  <c r="L1429" i="6" s="1"/>
  <c r="AV1429" i="6" s="1"/>
  <c r="L1430" i="6" s="1"/>
  <c r="AW1430" i="6" s="1"/>
  <c r="M1431" i="6" s="1"/>
  <c r="AW1431" i="6" s="1"/>
  <c r="M1432" i="6" s="1"/>
  <c r="AW1432" i="6" s="1"/>
  <c r="M1433" i="6" s="1"/>
  <c r="AW1433" i="6" s="1"/>
  <c r="M1434" i="6" s="1"/>
  <c r="AW1434" i="6" s="1"/>
  <c r="M1435" i="6" s="1"/>
  <c r="AW1435" i="6" s="1"/>
  <c r="M1436" i="6" s="1"/>
  <c r="AW1436" i="6" s="1"/>
  <c r="M1437" i="6" s="1"/>
  <c r="AW1437" i="6" s="1"/>
  <c r="M1438" i="6" s="1"/>
  <c r="AW1438" i="6" s="1"/>
  <c r="M1439" i="6" s="1"/>
  <c r="AW1439" i="6" s="1"/>
  <c r="M1440" i="6" s="1"/>
  <c r="AW1440" i="6" s="1"/>
  <c r="M1441" i="6" s="1"/>
  <c r="AW1441" i="6" s="1"/>
  <c r="M1442" i="6" s="1"/>
  <c r="AW1442" i="6" s="1"/>
  <c r="M1443" i="6" s="1"/>
  <c r="AW1443" i="6" s="1"/>
  <c r="M1444" i="6" s="1"/>
  <c r="AW1444" i="6" s="1"/>
  <c r="M1445" i="6" s="1"/>
  <c r="AW1445" i="6" s="1"/>
  <c r="L1603" i="6"/>
  <c r="AV1603" i="6" s="1"/>
  <c r="L1604" i="6" s="1"/>
  <c r="AV1604" i="6" s="1"/>
  <c r="L1605" i="6" s="1"/>
  <c r="AV1605" i="6" s="1"/>
  <c r="L1606" i="6" s="1"/>
  <c r="AV1606" i="6" s="1"/>
  <c r="L1607" i="6" s="1"/>
  <c r="AV1607" i="6" s="1"/>
  <c r="L1608" i="6" s="1"/>
  <c r="AV1608" i="6" s="1"/>
  <c r="L1609" i="6" s="1"/>
  <c r="AV1609" i="6" s="1"/>
  <c r="L1610" i="6" s="1"/>
  <c r="AW1610" i="6" s="1"/>
  <c r="M1611" i="6" s="1"/>
  <c r="AW1611" i="6" s="1"/>
  <c r="M1612" i="6" s="1"/>
  <c r="AW1612" i="6" s="1"/>
  <c r="M1613" i="6" s="1"/>
  <c r="AW1613" i="6" s="1"/>
  <c r="M1614" i="6" s="1"/>
  <c r="AW1614" i="6" s="1"/>
  <c r="M1615" i="6" s="1"/>
  <c r="AW1615" i="6" s="1"/>
  <c r="M1616" i="6" s="1"/>
  <c r="AW1616" i="6" s="1"/>
  <c r="M1617" i="6" s="1"/>
  <c r="AW1617" i="6" s="1"/>
  <c r="M1618" i="6" s="1"/>
  <c r="AW1618" i="6" s="1"/>
  <c r="M1619" i="6" s="1"/>
  <c r="AW1619" i="6" s="1"/>
  <c r="M1620" i="6" s="1"/>
  <c r="AW1620" i="6" s="1"/>
  <c r="M1621" i="6" s="1"/>
  <c r="AW1621" i="6" s="1"/>
  <c r="M1622" i="6" s="1"/>
  <c r="AW1622" i="6" s="1"/>
  <c r="M1623" i="6" s="1"/>
  <c r="AW1623" i="6" s="1"/>
  <c r="M1624" i="6" s="1"/>
  <c r="AW1624" i="6" s="1"/>
  <c r="M1625" i="6" s="1"/>
  <c r="AW1625" i="6" s="1"/>
  <c r="AN44" i="6"/>
  <c r="AU44" i="6" s="1"/>
  <c r="AN1093" i="6"/>
  <c r="AS120" i="6"/>
  <c r="AU549" i="6"/>
  <c r="AN443" i="6"/>
  <c r="AU443" i="6" s="1"/>
  <c r="AN983" i="6"/>
  <c r="AU983" i="6" s="1"/>
  <c r="AU1482" i="6"/>
  <c r="AN337" i="6"/>
  <c r="AS372" i="6"/>
  <c r="AS804" i="6"/>
  <c r="AN555" i="6"/>
  <c r="AN10" i="6"/>
  <c r="AU10" i="6" s="1"/>
  <c r="AS1527" i="6"/>
  <c r="AS984" i="6"/>
  <c r="AN876" i="6"/>
  <c r="AN1021" i="6"/>
  <c r="AN1483" i="6"/>
  <c r="AU1483" i="6" s="1"/>
  <c r="AN728" i="6"/>
  <c r="AU728" i="6" s="1"/>
  <c r="AN836" i="6"/>
  <c r="AU836" i="6" s="1"/>
  <c r="L1099" i="6"/>
  <c r="AV1099" i="6" s="1"/>
  <c r="L1100" i="6" s="1"/>
  <c r="AV1100" i="6" s="1"/>
  <c r="L1101" i="6" s="1"/>
  <c r="AV1101" i="6" s="1"/>
  <c r="L1102" i="6" s="1"/>
  <c r="AV1102" i="6" s="1"/>
  <c r="L1103" i="6" s="1"/>
  <c r="AV1103" i="6" s="1"/>
  <c r="L1104" i="6" s="1"/>
  <c r="AV1104" i="6" s="1"/>
  <c r="L1105" i="6" s="1"/>
  <c r="AV1105" i="6" s="1"/>
  <c r="L1106" i="6" s="1"/>
  <c r="AW1106" i="6" s="1"/>
  <c r="M1107" i="6" s="1"/>
  <c r="AW1107" i="6" s="1"/>
  <c r="M1108" i="6" s="1"/>
  <c r="AW1108" i="6" s="1"/>
  <c r="M1109" i="6" s="1"/>
  <c r="AW1109" i="6" s="1"/>
  <c r="M1110" i="6" s="1"/>
  <c r="AW1110" i="6" s="1"/>
  <c r="M1111" i="6" s="1"/>
  <c r="AW1111" i="6" s="1"/>
  <c r="M1112" i="6" s="1"/>
  <c r="AW1112" i="6" s="1"/>
  <c r="M1113" i="6" s="1"/>
  <c r="AW1113" i="6" s="1"/>
  <c r="M1114" i="6" s="1"/>
  <c r="AW1114" i="6" s="1"/>
  <c r="M1115" i="6" s="1"/>
  <c r="AW1115" i="6" s="1"/>
  <c r="M1116" i="6" s="1"/>
  <c r="AW1116" i="6" s="1"/>
  <c r="M1117" i="6" s="1"/>
  <c r="AW1117" i="6" s="1"/>
  <c r="M1118" i="6" s="1"/>
  <c r="AW1118" i="6" s="1"/>
  <c r="M1119" i="6" s="1"/>
  <c r="AW1119" i="6" s="1"/>
  <c r="M1120" i="6" s="1"/>
  <c r="AW1120" i="6" s="1"/>
  <c r="M1121" i="6" s="1"/>
  <c r="AW1121" i="6" s="1"/>
  <c r="AW422" i="6"/>
  <c r="M423" i="6" s="1"/>
  <c r="AW423" i="6" s="1"/>
  <c r="M424" i="6" s="1"/>
  <c r="AW424" i="6" s="1"/>
  <c r="M425" i="6" s="1"/>
  <c r="AW425" i="6" s="1"/>
  <c r="M426" i="6" s="1"/>
  <c r="AW426" i="6" s="1"/>
  <c r="M427" i="6" s="1"/>
  <c r="AW427" i="6" s="1"/>
  <c r="M428" i="6" s="1"/>
  <c r="AW428" i="6" s="1"/>
  <c r="M429" i="6" s="1"/>
  <c r="AW429" i="6" s="1"/>
  <c r="M430" i="6" s="1"/>
  <c r="AW430" i="6" s="1"/>
  <c r="M431" i="6" s="1"/>
  <c r="AW431" i="6" s="1"/>
  <c r="M432" i="6" s="1"/>
  <c r="AW432" i="6" s="1"/>
  <c r="M433" i="6" s="1"/>
  <c r="AW433" i="6" s="1"/>
  <c r="M434" i="6" s="1"/>
  <c r="AW434" i="6" s="1"/>
  <c r="M435" i="6" s="1"/>
  <c r="AW435" i="6" s="1"/>
  <c r="M436" i="6" s="1"/>
  <c r="AW436" i="6" s="1"/>
  <c r="M437" i="6" s="1"/>
  <c r="AW437" i="6" s="1"/>
  <c r="L883" i="6"/>
  <c r="AV883" i="6" s="1"/>
  <c r="L884" i="6" s="1"/>
  <c r="AV884" i="6" s="1"/>
  <c r="L885" i="6" s="1"/>
  <c r="AV885" i="6" s="1"/>
  <c r="L886" i="6" s="1"/>
  <c r="AV886" i="6" s="1"/>
  <c r="L887" i="6" s="1"/>
  <c r="AV887" i="6" s="1"/>
  <c r="L888" i="6" s="1"/>
  <c r="AV888" i="6" s="1"/>
  <c r="L889" i="6" s="1"/>
  <c r="AV889" i="6" s="1"/>
  <c r="L890" i="6" s="1"/>
  <c r="AW890" i="6" s="1"/>
  <c r="M891" i="6" s="1"/>
  <c r="AW891" i="6" s="1"/>
  <c r="M892" i="6" s="1"/>
  <c r="AW892" i="6" s="1"/>
  <c r="M893" i="6" s="1"/>
  <c r="AW893" i="6" s="1"/>
  <c r="M894" i="6" s="1"/>
  <c r="AW894" i="6" s="1"/>
  <c r="M895" i="6" s="1"/>
  <c r="AW895" i="6" s="1"/>
  <c r="M896" i="6" s="1"/>
  <c r="AW896" i="6" s="1"/>
  <c r="M897" i="6" s="1"/>
  <c r="AW897" i="6" s="1"/>
  <c r="M898" i="6" s="1"/>
  <c r="AW898" i="6" s="1"/>
  <c r="M899" i="6" s="1"/>
  <c r="AW899" i="6" s="1"/>
  <c r="M900" i="6" s="1"/>
  <c r="AW900" i="6" s="1"/>
  <c r="M901" i="6" s="1"/>
  <c r="AW901" i="6" s="1"/>
  <c r="M902" i="6" s="1"/>
  <c r="AW902" i="6" s="1"/>
  <c r="M903" i="6" s="1"/>
  <c r="AW903" i="6" s="1"/>
  <c r="M904" i="6" s="1"/>
  <c r="AW904" i="6" s="1"/>
  <c r="M905" i="6" s="1"/>
  <c r="AW905" i="6" s="1"/>
  <c r="N1495" i="6"/>
  <c r="AX1495" i="6" s="1"/>
  <c r="N1496" i="6" s="1"/>
  <c r="AX1496" i="6" s="1"/>
  <c r="N1497" i="6" s="1"/>
  <c r="AX1497" i="6" s="1"/>
  <c r="N1498" i="6" s="1"/>
  <c r="AX1498" i="6" s="1"/>
  <c r="N1499" i="6" s="1"/>
  <c r="AX1499" i="6" s="1"/>
  <c r="N1500" i="6" s="1"/>
  <c r="AX1500" i="6" s="1"/>
  <c r="N1501" i="6" s="1"/>
  <c r="AX1501" i="6" s="1"/>
  <c r="N1502" i="6" s="1"/>
  <c r="AX1502" i="6" s="1"/>
  <c r="N1503" i="6" s="1"/>
  <c r="AX1503" i="6" s="1"/>
  <c r="N1504" i="6" s="1"/>
  <c r="AX1504" i="6" s="1"/>
  <c r="N1505" i="6" s="1"/>
  <c r="AX1505" i="6" s="1"/>
  <c r="N1506" i="6" s="1"/>
  <c r="AX1506" i="6" s="1"/>
  <c r="N1507" i="6" s="1"/>
  <c r="AX1507" i="6" s="1"/>
  <c r="N1508" i="6" s="1"/>
  <c r="AX1508" i="6" s="1"/>
  <c r="N1509" i="6" s="1"/>
  <c r="AX1509" i="6" s="1"/>
  <c r="N1510" i="6" s="1"/>
  <c r="AX1510" i="6" s="1"/>
  <c r="N1511" i="6" s="1"/>
  <c r="AX1511" i="6" s="1"/>
  <c r="N1512" i="6" s="1"/>
  <c r="AX1512" i="6" s="1"/>
  <c r="N1513" i="6" s="1"/>
  <c r="AX1513" i="6" s="1"/>
  <c r="N1514" i="6" s="1"/>
  <c r="AX1514" i="6" s="1"/>
  <c r="N1515" i="6" s="1"/>
  <c r="AX1515" i="6" s="1"/>
  <c r="N1516" i="6" s="1"/>
  <c r="AX1516" i="6" s="1"/>
  <c r="N1517" i="6" s="1"/>
  <c r="AX1517" i="6" s="1"/>
  <c r="AW314" i="6"/>
  <c r="M315" i="6" s="1"/>
  <c r="AW315" i="6" s="1"/>
  <c r="M316" i="6" s="1"/>
  <c r="AW316" i="6" s="1"/>
  <c r="M317" i="6" s="1"/>
  <c r="AW317" i="6" s="1"/>
  <c r="M318" i="6" s="1"/>
  <c r="AW318" i="6" s="1"/>
  <c r="M319" i="6" s="1"/>
  <c r="AW319" i="6" s="1"/>
  <c r="M320" i="6" s="1"/>
  <c r="AW320" i="6" s="1"/>
  <c r="M321" i="6" s="1"/>
  <c r="AW321" i="6" s="1"/>
  <c r="M322" i="6" s="1"/>
  <c r="AW322" i="6" s="1"/>
  <c r="M323" i="6" s="1"/>
  <c r="AW323" i="6" s="1"/>
  <c r="M324" i="6" s="1"/>
  <c r="AW324" i="6" s="1"/>
  <c r="M325" i="6" s="1"/>
  <c r="AW325" i="6" s="1"/>
  <c r="M326" i="6" s="1"/>
  <c r="AW326" i="6" s="1"/>
  <c r="M327" i="6" s="1"/>
  <c r="AW327" i="6" s="1"/>
  <c r="M328" i="6" s="1"/>
  <c r="AW328" i="6" s="1"/>
  <c r="M329" i="6" s="1"/>
  <c r="AW329" i="6" s="1"/>
  <c r="N1603" i="6"/>
  <c r="AX1603" i="6" s="1"/>
  <c r="N1604" i="6" s="1"/>
  <c r="AX1604" i="6" s="1"/>
  <c r="N1605" i="6" s="1"/>
  <c r="AX1605" i="6" s="1"/>
  <c r="N1606" i="6" s="1"/>
  <c r="AX1606" i="6" s="1"/>
  <c r="N1607" i="6" s="1"/>
  <c r="AX1607" i="6" s="1"/>
  <c r="N1608" i="6" s="1"/>
  <c r="AX1608" i="6" s="1"/>
  <c r="N1609" i="6" s="1"/>
  <c r="AX1609" i="6" s="1"/>
  <c r="N1610" i="6" s="1"/>
  <c r="AX1610" i="6" s="1"/>
  <c r="N1611" i="6" s="1"/>
  <c r="AX1611" i="6" s="1"/>
  <c r="N1612" i="6" s="1"/>
  <c r="AX1612" i="6" s="1"/>
  <c r="N1613" i="6" s="1"/>
  <c r="AX1613" i="6" s="1"/>
  <c r="N1614" i="6" s="1"/>
  <c r="AX1614" i="6" s="1"/>
  <c r="N1615" i="6" s="1"/>
  <c r="AX1615" i="6" s="1"/>
  <c r="N1616" i="6" s="1"/>
  <c r="AX1616" i="6" s="1"/>
  <c r="N1617" i="6" s="1"/>
  <c r="AX1617" i="6" s="1"/>
  <c r="N1618" i="6" s="1"/>
  <c r="AX1618" i="6" s="1"/>
  <c r="N1619" i="6" s="1"/>
  <c r="AX1619" i="6" s="1"/>
  <c r="N1620" i="6" s="1"/>
  <c r="AX1620" i="6" s="1"/>
  <c r="N1621" i="6" s="1"/>
  <c r="AX1621" i="6" s="1"/>
  <c r="N1622" i="6" s="1"/>
  <c r="AX1622" i="6" s="1"/>
  <c r="N1623" i="6" s="1"/>
  <c r="AX1623" i="6" s="1"/>
  <c r="N1624" i="6" s="1"/>
  <c r="AX1624" i="6" s="1"/>
  <c r="N1625" i="6" s="1"/>
  <c r="AX1625" i="6" s="1"/>
  <c r="L1279" i="6"/>
  <c r="AV1279" i="6" s="1"/>
  <c r="L1280" i="6" s="1"/>
  <c r="AV1280" i="6" s="1"/>
  <c r="L1281" i="6" s="1"/>
  <c r="AV1281" i="6" s="1"/>
  <c r="L1282" i="6" s="1"/>
  <c r="AV1282" i="6" s="1"/>
  <c r="L1283" i="6" s="1"/>
  <c r="AV1283" i="6" s="1"/>
  <c r="L1284" i="6" s="1"/>
  <c r="AV1284" i="6" s="1"/>
  <c r="L1285" i="6" s="1"/>
  <c r="AV1285" i="6" s="1"/>
  <c r="L1286" i="6" s="1"/>
  <c r="AW1286" i="6" s="1"/>
  <c r="M1287" i="6" s="1"/>
  <c r="AW1287" i="6" s="1"/>
  <c r="M1288" i="6" s="1"/>
  <c r="AW1288" i="6" s="1"/>
  <c r="M1289" i="6" s="1"/>
  <c r="AW1289" i="6" s="1"/>
  <c r="M1290" i="6" s="1"/>
  <c r="AW1290" i="6" s="1"/>
  <c r="M1291" i="6" s="1"/>
  <c r="AW1291" i="6" s="1"/>
  <c r="M1292" i="6" s="1"/>
  <c r="AW1292" i="6" s="1"/>
  <c r="M1293" i="6" s="1"/>
  <c r="AW1293" i="6" s="1"/>
  <c r="M1294" i="6" s="1"/>
  <c r="AW1294" i="6" s="1"/>
  <c r="M1295" i="6" s="1"/>
  <c r="AW1295" i="6" s="1"/>
  <c r="M1296" i="6" s="1"/>
  <c r="AW1296" i="6" s="1"/>
  <c r="M1297" i="6" s="1"/>
  <c r="AW1297" i="6" s="1"/>
  <c r="M1298" i="6" s="1"/>
  <c r="AW1298" i="6" s="1"/>
  <c r="M1299" i="6" s="1"/>
  <c r="AW1299" i="6" s="1"/>
  <c r="M1300" i="6" s="1"/>
  <c r="AW1300" i="6" s="1"/>
  <c r="M1301" i="6" s="1"/>
  <c r="AW1301" i="6" s="1"/>
  <c r="L1531" i="6"/>
  <c r="AV1531" i="6" s="1"/>
  <c r="L1532" i="6" s="1"/>
  <c r="AV1532" i="6" s="1"/>
  <c r="L1533" i="6" s="1"/>
  <c r="AV1533" i="6" s="1"/>
  <c r="L1534" i="6" s="1"/>
  <c r="AV1534" i="6" s="1"/>
  <c r="L1535" i="6" s="1"/>
  <c r="AV1535" i="6" s="1"/>
  <c r="L1536" i="6" s="1"/>
  <c r="AV1536" i="6" s="1"/>
  <c r="L1537" i="6" s="1"/>
  <c r="AV1537" i="6" s="1"/>
  <c r="L1538" i="6" s="1"/>
  <c r="AW1538" i="6" s="1"/>
  <c r="M1539" i="6" s="1"/>
  <c r="AW1539" i="6" s="1"/>
  <c r="M1540" i="6" s="1"/>
  <c r="AW1540" i="6" s="1"/>
  <c r="M1541" i="6" s="1"/>
  <c r="AW1541" i="6" s="1"/>
  <c r="M1542" i="6" s="1"/>
  <c r="AW1542" i="6" s="1"/>
  <c r="M1543" i="6" s="1"/>
  <c r="AW1543" i="6" s="1"/>
  <c r="M1544" i="6" s="1"/>
  <c r="AW1544" i="6" s="1"/>
  <c r="M1545" i="6" s="1"/>
  <c r="AW1545" i="6" s="1"/>
  <c r="M1546" i="6" s="1"/>
  <c r="AW1546" i="6" s="1"/>
  <c r="M1547" i="6" s="1"/>
  <c r="AW1547" i="6" s="1"/>
  <c r="M1548" i="6" s="1"/>
  <c r="AW1548" i="6" s="1"/>
  <c r="M1549" i="6" s="1"/>
  <c r="AW1549" i="6" s="1"/>
  <c r="M1550" i="6" s="1"/>
  <c r="AW1550" i="6" s="1"/>
  <c r="M1551" i="6" s="1"/>
  <c r="AW1551" i="6" s="1"/>
  <c r="M1552" i="6" s="1"/>
  <c r="AW1552" i="6" s="1"/>
  <c r="M1553" i="6" s="1"/>
  <c r="AW1553" i="6" s="1"/>
  <c r="L523" i="6"/>
  <c r="AV523" i="6" s="1"/>
  <c r="L524" i="6" s="1"/>
  <c r="AV524" i="6" s="1"/>
  <c r="L525" i="6" s="1"/>
  <c r="AV525" i="6" s="1"/>
  <c r="L526" i="6" s="1"/>
  <c r="AV526" i="6" s="1"/>
  <c r="L527" i="6" s="1"/>
  <c r="AV527" i="6" s="1"/>
  <c r="L528" i="6" s="1"/>
  <c r="AV528" i="6" s="1"/>
  <c r="L529" i="6" s="1"/>
  <c r="AV529" i="6" s="1"/>
  <c r="L530" i="6" s="1"/>
  <c r="AF530" i="6" s="1"/>
  <c r="L595" i="6"/>
  <c r="AV595" i="6" s="1"/>
  <c r="L596" i="6" s="1"/>
  <c r="AV596" i="6" s="1"/>
  <c r="L597" i="6" s="1"/>
  <c r="AV597" i="6" s="1"/>
  <c r="L598" i="6" s="1"/>
  <c r="AV598" i="6" s="1"/>
  <c r="L599" i="6" s="1"/>
  <c r="AV599" i="6" s="1"/>
  <c r="L600" i="6" s="1"/>
  <c r="AV600" i="6" s="1"/>
  <c r="L601" i="6" s="1"/>
  <c r="AV601" i="6" s="1"/>
  <c r="L602" i="6" s="1"/>
  <c r="AW602" i="6" s="1"/>
  <c r="M603" i="6" s="1"/>
  <c r="AW603" i="6" s="1"/>
  <c r="M604" i="6" s="1"/>
  <c r="AW604" i="6" s="1"/>
  <c r="M605" i="6" s="1"/>
  <c r="AW605" i="6" s="1"/>
  <c r="M606" i="6" s="1"/>
  <c r="AW606" i="6" s="1"/>
  <c r="M607" i="6" s="1"/>
  <c r="AW607" i="6" s="1"/>
  <c r="M608" i="6" s="1"/>
  <c r="AW608" i="6" s="1"/>
  <c r="M609" i="6" s="1"/>
  <c r="AW609" i="6" s="1"/>
  <c r="M610" i="6" s="1"/>
  <c r="AW610" i="6" s="1"/>
  <c r="M611" i="6" s="1"/>
  <c r="AW611" i="6" s="1"/>
  <c r="M612" i="6" s="1"/>
  <c r="AW612" i="6" s="1"/>
  <c r="M613" i="6" s="1"/>
  <c r="AW613" i="6" s="1"/>
  <c r="M614" i="6" s="1"/>
  <c r="AW614" i="6" s="1"/>
  <c r="M615" i="6" s="1"/>
  <c r="AW615" i="6" s="1"/>
  <c r="M616" i="6" s="1"/>
  <c r="AW616" i="6" s="1"/>
  <c r="M617" i="6" s="1"/>
  <c r="AW617" i="6" s="1"/>
  <c r="AW926" i="6"/>
  <c r="M927" i="6" s="1"/>
  <c r="AW927" i="6" s="1"/>
  <c r="M928" i="6" s="1"/>
  <c r="AW928" i="6" s="1"/>
  <c r="M929" i="6" s="1"/>
  <c r="AW929" i="6" s="1"/>
  <c r="M930" i="6" s="1"/>
  <c r="AW930" i="6" s="1"/>
  <c r="M931" i="6" s="1"/>
  <c r="AW931" i="6" s="1"/>
  <c r="M932" i="6" s="1"/>
  <c r="AW932" i="6" s="1"/>
  <c r="M933" i="6" s="1"/>
  <c r="AW933" i="6" s="1"/>
  <c r="M934" i="6" s="1"/>
  <c r="AW934" i="6" s="1"/>
  <c r="M935" i="6" s="1"/>
  <c r="AW935" i="6" s="1"/>
  <c r="M936" i="6" s="1"/>
  <c r="AW936" i="6" s="1"/>
  <c r="M937" i="6" s="1"/>
  <c r="AW937" i="6" s="1"/>
  <c r="M938" i="6" s="1"/>
  <c r="AW938" i="6" s="1"/>
  <c r="M939" i="6" s="1"/>
  <c r="AW939" i="6" s="1"/>
  <c r="M940" i="6" s="1"/>
  <c r="AW940" i="6" s="1"/>
  <c r="M941" i="6" s="1"/>
  <c r="AW941" i="6" s="1"/>
  <c r="L1027" i="6"/>
  <c r="AV1027" i="6" s="1"/>
  <c r="L1028" i="6" s="1"/>
  <c r="AV1028" i="6" s="1"/>
  <c r="L1029" i="6" s="1"/>
  <c r="AV1029" i="6" s="1"/>
  <c r="L1030" i="6" s="1"/>
  <c r="AV1030" i="6" s="1"/>
  <c r="L1031" i="6" s="1"/>
  <c r="AV1031" i="6" s="1"/>
  <c r="L1032" i="6" s="1"/>
  <c r="AV1032" i="6" s="1"/>
  <c r="L1033" i="6" s="1"/>
  <c r="AV1033" i="6" s="1"/>
  <c r="L1034" i="6" s="1"/>
  <c r="AF1034" i="6" s="1"/>
  <c r="L1315" i="6"/>
  <c r="AV1315" i="6" s="1"/>
  <c r="L1316" i="6" s="1"/>
  <c r="AV1316" i="6" s="1"/>
  <c r="L1317" i="6" s="1"/>
  <c r="AV1317" i="6" s="1"/>
  <c r="L1318" i="6" s="1"/>
  <c r="AV1318" i="6" s="1"/>
  <c r="L1319" i="6" s="1"/>
  <c r="AV1319" i="6" s="1"/>
  <c r="L1320" i="6" s="1"/>
  <c r="AV1320" i="6" s="1"/>
  <c r="L1321" i="6" s="1"/>
  <c r="AV1321" i="6" s="1"/>
  <c r="L1322" i="6" s="1"/>
  <c r="AW1322" i="6" s="1"/>
  <c r="M1323" i="6" s="1"/>
  <c r="AW1323" i="6" s="1"/>
  <c r="M1324" i="6" s="1"/>
  <c r="AW1324" i="6" s="1"/>
  <c r="M1325" i="6" s="1"/>
  <c r="AW1325" i="6" s="1"/>
  <c r="M1326" i="6" s="1"/>
  <c r="AW1326" i="6" s="1"/>
  <c r="M1327" i="6" s="1"/>
  <c r="AW1327" i="6" s="1"/>
  <c r="M1328" i="6" s="1"/>
  <c r="AW1328" i="6" s="1"/>
  <c r="M1329" i="6" s="1"/>
  <c r="AW1329" i="6" s="1"/>
  <c r="M1330" i="6" s="1"/>
  <c r="AW1330" i="6" s="1"/>
  <c r="M1331" i="6" s="1"/>
  <c r="AW1331" i="6" s="1"/>
  <c r="M1332" i="6" s="1"/>
  <c r="AW1332" i="6" s="1"/>
  <c r="M1333" i="6" s="1"/>
  <c r="AW1333" i="6" s="1"/>
  <c r="M1334" i="6" s="1"/>
  <c r="AW1334" i="6" s="1"/>
  <c r="M1335" i="6" s="1"/>
  <c r="AW1335" i="6" s="1"/>
  <c r="M1336" i="6" s="1"/>
  <c r="AW1336" i="6" s="1"/>
  <c r="M1337" i="6" s="1"/>
  <c r="AW1337" i="6" s="1"/>
  <c r="N1531" i="6"/>
  <c r="AX1531" i="6" s="1"/>
  <c r="N1532" i="6" s="1"/>
  <c r="AX1532" i="6" s="1"/>
  <c r="N1533" i="6" s="1"/>
  <c r="AX1533" i="6" s="1"/>
  <c r="N1534" i="6" s="1"/>
  <c r="AX1534" i="6" s="1"/>
  <c r="N1535" i="6" s="1"/>
  <c r="AX1535" i="6" s="1"/>
  <c r="N1536" i="6" s="1"/>
  <c r="AX1536" i="6" s="1"/>
  <c r="N1537" i="6" s="1"/>
  <c r="AX1537" i="6" s="1"/>
  <c r="N1538" i="6" s="1"/>
  <c r="AX1538" i="6" s="1"/>
  <c r="N1539" i="6" s="1"/>
  <c r="AX1539" i="6" s="1"/>
  <c r="N1540" i="6" s="1"/>
  <c r="AX1540" i="6" s="1"/>
  <c r="N1541" i="6" s="1"/>
  <c r="AX1541" i="6" s="1"/>
  <c r="N1542" i="6" s="1"/>
  <c r="AX1542" i="6" s="1"/>
  <c r="N1543" i="6" s="1"/>
  <c r="AX1543" i="6" s="1"/>
  <c r="N1544" i="6" s="1"/>
  <c r="AX1544" i="6" s="1"/>
  <c r="N1545" i="6" s="1"/>
  <c r="AX1545" i="6" s="1"/>
  <c r="N1546" i="6" s="1"/>
  <c r="AX1546" i="6" s="1"/>
  <c r="N1547" i="6" s="1"/>
  <c r="AX1547" i="6" s="1"/>
  <c r="N1548" i="6" s="1"/>
  <c r="AX1548" i="6" s="1"/>
  <c r="N1549" i="6" s="1"/>
  <c r="AX1549" i="6" s="1"/>
  <c r="N1550" i="6" s="1"/>
  <c r="AX1550" i="6" s="1"/>
  <c r="N1551" i="6" s="1"/>
  <c r="AX1551" i="6" s="1"/>
  <c r="N1552" i="6" s="1"/>
  <c r="AX1552" i="6" s="1"/>
  <c r="N1553" i="6" s="1"/>
  <c r="AX1553" i="6" s="1"/>
  <c r="N1315" i="6"/>
  <c r="AX1315" i="6" s="1"/>
  <c r="N1316" i="6" s="1"/>
  <c r="AX1316" i="6" s="1"/>
  <c r="N1317" i="6" s="1"/>
  <c r="AX1317" i="6" s="1"/>
  <c r="N1318" i="6" s="1"/>
  <c r="AX1318" i="6" s="1"/>
  <c r="N1319" i="6" s="1"/>
  <c r="AX1319" i="6" s="1"/>
  <c r="N1320" i="6" s="1"/>
  <c r="AX1320" i="6" s="1"/>
  <c r="N1321" i="6" s="1"/>
  <c r="AX1321" i="6" s="1"/>
  <c r="N1322" i="6" s="1"/>
  <c r="AX1322" i="6" s="1"/>
  <c r="N1323" i="6" s="1"/>
  <c r="AX1323" i="6" s="1"/>
  <c r="N1324" i="6" s="1"/>
  <c r="AX1324" i="6" s="1"/>
  <c r="N1325" i="6" s="1"/>
  <c r="AX1325" i="6" s="1"/>
  <c r="N1326" i="6" s="1"/>
  <c r="AX1326" i="6" s="1"/>
  <c r="N1327" i="6" s="1"/>
  <c r="AX1327" i="6" s="1"/>
  <c r="N1328" i="6" s="1"/>
  <c r="AX1328" i="6" s="1"/>
  <c r="N1329" i="6" s="1"/>
  <c r="AX1329" i="6" s="1"/>
  <c r="N1330" i="6" s="1"/>
  <c r="AX1330" i="6" s="1"/>
  <c r="N1331" i="6" s="1"/>
  <c r="AX1331" i="6" s="1"/>
  <c r="N1332" i="6" s="1"/>
  <c r="AX1332" i="6" s="1"/>
  <c r="N1333" i="6" s="1"/>
  <c r="AX1333" i="6" s="1"/>
  <c r="N1334" i="6" s="1"/>
  <c r="AX1334" i="6" s="1"/>
  <c r="N1335" i="6" s="1"/>
  <c r="AX1335" i="6" s="1"/>
  <c r="N1336" i="6" s="1"/>
  <c r="AX1336" i="6" s="1"/>
  <c r="N1337" i="6" s="1"/>
  <c r="AX1337" i="6" s="1"/>
  <c r="N595" i="6"/>
  <c r="AX595" i="6" s="1"/>
  <c r="N596" i="6" s="1"/>
  <c r="AX596" i="6" s="1"/>
  <c r="N597" i="6" s="1"/>
  <c r="AX597" i="6" s="1"/>
  <c r="N598" i="6" s="1"/>
  <c r="AX598" i="6" s="1"/>
  <c r="N599" i="6" s="1"/>
  <c r="AX599" i="6" s="1"/>
  <c r="N600" i="6" s="1"/>
  <c r="AX600" i="6" s="1"/>
  <c r="N601" i="6" s="1"/>
  <c r="AX601" i="6" s="1"/>
  <c r="N602" i="6" s="1"/>
  <c r="AX602" i="6" s="1"/>
  <c r="N603" i="6" s="1"/>
  <c r="AX603" i="6" s="1"/>
  <c r="N604" i="6" s="1"/>
  <c r="AX604" i="6" s="1"/>
  <c r="N605" i="6" s="1"/>
  <c r="AX605" i="6" s="1"/>
  <c r="N606" i="6" s="1"/>
  <c r="AX606" i="6" s="1"/>
  <c r="N607" i="6" s="1"/>
  <c r="AX607" i="6" s="1"/>
  <c r="N608" i="6" s="1"/>
  <c r="AX608" i="6" s="1"/>
  <c r="N609" i="6" s="1"/>
  <c r="AX609" i="6" s="1"/>
  <c r="N610" i="6" s="1"/>
  <c r="AX610" i="6" s="1"/>
  <c r="N611" i="6" s="1"/>
  <c r="AX611" i="6" s="1"/>
  <c r="N612" i="6" s="1"/>
  <c r="AX612" i="6" s="1"/>
  <c r="N613" i="6" s="1"/>
  <c r="AX613" i="6" s="1"/>
  <c r="N614" i="6" s="1"/>
  <c r="AX614" i="6" s="1"/>
  <c r="N615" i="6" s="1"/>
  <c r="AX615" i="6" s="1"/>
  <c r="N616" i="6" s="1"/>
  <c r="AX616" i="6" s="1"/>
  <c r="N617" i="6" s="1"/>
  <c r="AX617" i="6" s="1"/>
  <c r="L955" i="6"/>
  <c r="AV955" i="6" s="1"/>
  <c r="L956" i="6" s="1"/>
  <c r="AV956" i="6" s="1"/>
  <c r="L957" i="6" s="1"/>
  <c r="AV957" i="6" s="1"/>
  <c r="L958" i="6" s="1"/>
  <c r="AV958" i="6" s="1"/>
  <c r="L959" i="6" s="1"/>
  <c r="AV959" i="6" s="1"/>
  <c r="L960" i="6" s="1"/>
  <c r="AV960" i="6" s="1"/>
  <c r="L961" i="6" s="1"/>
  <c r="AV961" i="6" s="1"/>
  <c r="L962" i="6" s="1"/>
  <c r="AV962" i="6" s="1"/>
  <c r="L963" i="6" s="1"/>
  <c r="AV963" i="6" s="1"/>
  <c r="L964" i="6" s="1"/>
  <c r="AV964" i="6" s="1"/>
  <c r="L965" i="6" s="1"/>
  <c r="AV965" i="6" s="1"/>
  <c r="L966" i="6" s="1"/>
  <c r="AV966" i="6" s="1"/>
  <c r="L967" i="6" s="1"/>
  <c r="AV967" i="6" s="1"/>
  <c r="L968" i="6" s="1"/>
  <c r="AV968" i="6" s="1"/>
  <c r="L969" i="6" s="1"/>
  <c r="AV969" i="6" s="1"/>
  <c r="L970" i="6" s="1"/>
  <c r="AV970" i="6" s="1"/>
  <c r="L971" i="6" s="1"/>
  <c r="AV971" i="6" s="1"/>
  <c r="L972" i="6" s="1"/>
  <c r="AV972" i="6" s="1"/>
  <c r="L973" i="6" s="1"/>
  <c r="AV973" i="6" s="1"/>
  <c r="L974" i="6" s="1"/>
  <c r="AV974" i="6" s="1"/>
  <c r="L975" i="6" s="1"/>
  <c r="AV975" i="6" s="1"/>
  <c r="L976" i="6" s="1"/>
  <c r="AV976" i="6" s="1"/>
  <c r="L977" i="6" s="1"/>
  <c r="AV977" i="6" s="1"/>
  <c r="L1351" i="6"/>
  <c r="AV1351" i="6" s="1"/>
  <c r="L1352" i="6" s="1"/>
  <c r="AV1352" i="6" s="1"/>
  <c r="L1353" i="6" s="1"/>
  <c r="AV1353" i="6" s="1"/>
  <c r="L1354" i="6" s="1"/>
  <c r="AV1354" i="6" s="1"/>
  <c r="L1355" i="6" s="1"/>
  <c r="AV1355" i="6" s="1"/>
  <c r="L1356" i="6" s="1"/>
  <c r="AV1356" i="6" s="1"/>
  <c r="L1357" i="6" s="1"/>
  <c r="AV1357" i="6" s="1"/>
  <c r="L1358" i="6" s="1"/>
  <c r="AW1358" i="6" s="1"/>
  <c r="M1359" i="6" s="1"/>
  <c r="AW1359" i="6" s="1"/>
  <c r="M1360" i="6" s="1"/>
  <c r="AW1360" i="6" s="1"/>
  <c r="M1361" i="6" s="1"/>
  <c r="AW1361" i="6" s="1"/>
  <c r="M1362" i="6" s="1"/>
  <c r="AW1362" i="6" s="1"/>
  <c r="M1363" i="6" s="1"/>
  <c r="AW1363" i="6" s="1"/>
  <c r="M1364" i="6" s="1"/>
  <c r="AW1364" i="6" s="1"/>
  <c r="M1365" i="6" s="1"/>
  <c r="AW1365" i="6" s="1"/>
  <c r="M1366" i="6" s="1"/>
  <c r="AW1366" i="6" s="1"/>
  <c r="M1367" i="6" s="1"/>
  <c r="AW1367" i="6" s="1"/>
  <c r="M1368" i="6" s="1"/>
  <c r="AW1368" i="6" s="1"/>
  <c r="M1369" i="6" s="1"/>
  <c r="AW1369" i="6" s="1"/>
  <c r="M1370" i="6" s="1"/>
  <c r="AW1370" i="6" s="1"/>
  <c r="M1371" i="6" s="1"/>
  <c r="AW1371" i="6" s="1"/>
  <c r="M1372" i="6" s="1"/>
  <c r="AW1372" i="6" s="1"/>
  <c r="M1373" i="6" s="1"/>
  <c r="AW1373" i="6" s="1"/>
  <c r="AN914" i="6"/>
  <c r="L1639" i="6"/>
  <c r="AV1639" i="6" s="1"/>
  <c r="L1640" i="6" s="1"/>
  <c r="AV1640" i="6" s="1"/>
  <c r="L1641" i="6" s="1"/>
  <c r="AV1641" i="6" s="1"/>
  <c r="L1642" i="6" s="1"/>
  <c r="AV1642" i="6" s="1"/>
  <c r="L1643" i="6" s="1"/>
  <c r="AV1643" i="6" s="1"/>
  <c r="L1644" i="6" s="1"/>
  <c r="AV1644" i="6" s="1"/>
  <c r="L1645" i="6" s="1"/>
  <c r="AV1645" i="6" s="1"/>
  <c r="L1646" i="6" s="1"/>
  <c r="AV1646" i="6" s="1"/>
  <c r="L1647" i="6" s="1"/>
  <c r="AV1647" i="6" s="1"/>
  <c r="L1648" i="6" s="1"/>
  <c r="AV1648" i="6" s="1"/>
  <c r="L1649" i="6" s="1"/>
  <c r="AV1649" i="6" s="1"/>
  <c r="L1650" i="6" s="1"/>
  <c r="AV1650" i="6" s="1"/>
  <c r="L1651" i="6" s="1"/>
  <c r="AV1651" i="6" s="1"/>
  <c r="L1652" i="6" s="1"/>
  <c r="AV1652" i="6" s="1"/>
  <c r="L1653" i="6" s="1"/>
  <c r="AV1653" i="6" s="1"/>
  <c r="L1654" i="6" s="1"/>
  <c r="AV1654" i="6" s="1"/>
  <c r="L1655" i="6" s="1"/>
  <c r="AV1655" i="6" s="1"/>
  <c r="L1656" i="6" s="1"/>
  <c r="AV1656" i="6" s="1"/>
  <c r="L1657" i="6" s="1"/>
  <c r="AV1657" i="6" s="1"/>
  <c r="L1658" i="6" s="1"/>
  <c r="AV1658" i="6" s="1"/>
  <c r="L1659" i="6" s="1"/>
  <c r="AV1659" i="6" s="1"/>
  <c r="L1660" i="6" s="1"/>
  <c r="AV1660" i="6" s="1"/>
  <c r="L1661" i="6" s="1"/>
  <c r="AV1661" i="6" s="1"/>
  <c r="L667" i="6"/>
  <c r="AV667" i="6" s="1"/>
  <c r="L668" i="6" s="1"/>
  <c r="AV668" i="6" s="1"/>
  <c r="L669" i="6" s="1"/>
  <c r="AV669" i="6" s="1"/>
  <c r="L670" i="6" s="1"/>
  <c r="AV670" i="6" s="1"/>
  <c r="L671" i="6" s="1"/>
  <c r="AV671" i="6" s="1"/>
  <c r="L672" i="6" s="1"/>
  <c r="AV672" i="6" s="1"/>
  <c r="L673" i="6" s="1"/>
  <c r="AV673" i="6" s="1"/>
  <c r="L674" i="6" s="1"/>
  <c r="AW674" i="6" s="1"/>
  <c r="M675" i="6" s="1"/>
  <c r="AW675" i="6" s="1"/>
  <c r="M676" i="6" s="1"/>
  <c r="AW676" i="6" s="1"/>
  <c r="M677" i="6" s="1"/>
  <c r="AW677" i="6" s="1"/>
  <c r="M678" i="6" s="1"/>
  <c r="AW678" i="6" s="1"/>
  <c r="M679" i="6" s="1"/>
  <c r="AW679" i="6" s="1"/>
  <c r="M680" i="6" s="1"/>
  <c r="AW680" i="6" s="1"/>
  <c r="M681" i="6" s="1"/>
  <c r="AW681" i="6" s="1"/>
  <c r="M682" i="6" s="1"/>
  <c r="AW682" i="6" s="1"/>
  <c r="M683" i="6" s="1"/>
  <c r="AW683" i="6" s="1"/>
  <c r="M684" i="6" s="1"/>
  <c r="AW684" i="6" s="1"/>
  <c r="M685" i="6" s="1"/>
  <c r="AW685" i="6" s="1"/>
  <c r="M686" i="6" s="1"/>
  <c r="AW686" i="6" s="1"/>
  <c r="M687" i="6" s="1"/>
  <c r="AW687" i="6" s="1"/>
  <c r="M688" i="6" s="1"/>
  <c r="AW688" i="6" s="1"/>
  <c r="M689" i="6" s="1"/>
  <c r="AW689" i="6" s="1"/>
  <c r="L811" i="6"/>
  <c r="AV811" i="6" s="1"/>
  <c r="L812" i="6" s="1"/>
  <c r="AV812" i="6" s="1"/>
  <c r="L813" i="6" s="1"/>
  <c r="AV813" i="6" s="1"/>
  <c r="L814" i="6" s="1"/>
  <c r="AV814" i="6" s="1"/>
  <c r="L815" i="6" s="1"/>
  <c r="AV815" i="6" s="1"/>
  <c r="L816" i="6" s="1"/>
  <c r="AV816" i="6" s="1"/>
  <c r="L817" i="6" s="1"/>
  <c r="AV817" i="6" s="1"/>
  <c r="L818" i="6" s="1"/>
  <c r="AW818" i="6" s="1"/>
  <c r="M819" i="6" s="1"/>
  <c r="AW819" i="6" s="1"/>
  <c r="M820" i="6" s="1"/>
  <c r="AW820" i="6" s="1"/>
  <c r="M821" i="6" s="1"/>
  <c r="AW821" i="6" s="1"/>
  <c r="M822" i="6" s="1"/>
  <c r="AW822" i="6" s="1"/>
  <c r="M823" i="6" s="1"/>
  <c r="AW823" i="6" s="1"/>
  <c r="M824" i="6" s="1"/>
  <c r="AW824" i="6" s="1"/>
  <c r="M825" i="6" s="1"/>
  <c r="AW825" i="6" s="1"/>
  <c r="M826" i="6" s="1"/>
  <c r="AW826" i="6" s="1"/>
  <c r="M827" i="6" s="1"/>
  <c r="AW827" i="6" s="1"/>
  <c r="M828" i="6" s="1"/>
  <c r="AW828" i="6" s="1"/>
  <c r="M829" i="6" s="1"/>
  <c r="AW829" i="6" s="1"/>
  <c r="M830" i="6" s="1"/>
  <c r="AW830" i="6" s="1"/>
  <c r="M831" i="6" s="1"/>
  <c r="AW831" i="6" s="1"/>
  <c r="M832" i="6" s="1"/>
  <c r="AW832" i="6" s="1"/>
  <c r="M833" i="6" s="1"/>
  <c r="AW833" i="6" s="1"/>
  <c r="BE337" i="6"/>
  <c r="U337" i="6"/>
  <c r="AR553" i="6"/>
  <c r="AQ553" i="6"/>
  <c r="BO776" i="6"/>
  <c r="BN777" i="6" s="1"/>
  <c r="AK776" i="6"/>
  <c r="BF1618" i="6"/>
  <c r="V1619" i="6" s="1"/>
  <c r="AH1618" i="6"/>
  <c r="BE374" i="6"/>
  <c r="U374" i="6"/>
  <c r="AL1629" i="6"/>
  <c r="AM1629" i="6"/>
  <c r="AM1166" i="6"/>
  <c r="AL1166" i="6"/>
  <c r="BO920" i="6"/>
  <c r="BN921" i="6" s="1"/>
  <c r="AK920" i="6"/>
  <c r="AM226" i="6"/>
  <c r="AL226" i="6"/>
  <c r="AS228" i="6"/>
  <c r="BA417" i="6"/>
  <c r="Q418" i="6" s="1"/>
  <c r="M703" i="6"/>
  <c r="AW703" i="6" s="1"/>
  <c r="M704" i="6" s="1"/>
  <c r="AW704" i="6" s="1"/>
  <c r="M705" i="6" s="1"/>
  <c r="AW705" i="6" s="1"/>
  <c r="M706" i="6" s="1"/>
  <c r="AW706" i="6" s="1"/>
  <c r="M707" i="6" s="1"/>
  <c r="AW707" i="6" s="1"/>
  <c r="M708" i="6" s="1"/>
  <c r="AW708" i="6" s="1"/>
  <c r="M709" i="6" s="1"/>
  <c r="AW709" i="6" s="1"/>
  <c r="M710" i="6" s="1"/>
  <c r="L703" i="6"/>
  <c r="AV703" i="6" s="1"/>
  <c r="L704" i="6" s="1"/>
  <c r="AV704" i="6" s="1"/>
  <c r="L705" i="6" s="1"/>
  <c r="AV705" i="6" s="1"/>
  <c r="L706" i="6" s="1"/>
  <c r="AV706" i="6" s="1"/>
  <c r="L707" i="6" s="1"/>
  <c r="AV707" i="6" s="1"/>
  <c r="L708" i="6" s="1"/>
  <c r="AV708" i="6" s="1"/>
  <c r="L709" i="6" s="1"/>
  <c r="AV709" i="6" s="1"/>
  <c r="L710" i="6" s="1"/>
  <c r="BA166" i="6"/>
  <c r="Q167" i="6" s="1"/>
  <c r="AG166" i="6"/>
  <c r="BD1313" i="6"/>
  <c r="T1314" i="6" s="1"/>
  <c r="AP1313" i="6"/>
  <c r="BO1603" i="6"/>
  <c r="BN1604" i="6" s="1"/>
  <c r="M343" i="6"/>
  <c r="AW343" i="6" s="1"/>
  <c r="M344" i="6" s="1"/>
  <c r="AW344" i="6" s="1"/>
  <c r="M345" i="6" s="1"/>
  <c r="AW345" i="6" s="1"/>
  <c r="M346" i="6" s="1"/>
  <c r="AW346" i="6" s="1"/>
  <c r="M347" i="6" s="1"/>
  <c r="AW347" i="6" s="1"/>
  <c r="M348" i="6" s="1"/>
  <c r="AW348" i="6" s="1"/>
  <c r="M349" i="6" s="1"/>
  <c r="AW349" i="6" s="1"/>
  <c r="M350" i="6" s="1"/>
  <c r="AS1200" i="6"/>
  <c r="AU1200" i="6" s="1"/>
  <c r="AG127" i="6"/>
  <c r="BA127" i="6"/>
  <c r="Q128" i="6" s="1"/>
  <c r="AS12" i="6"/>
  <c r="M487" i="6"/>
  <c r="AW487" i="6" s="1"/>
  <c r="M488" i="6" s="1"/>
  <c r="AW488" i="6" s="1"/>
  <c r="M489" i="6" s="1"/>
  <c r="AW489" i="6" s="1"/>
  <c r="M490" i="6" s="1"/>
  <c r="AW490" i="6" s="1"/>
  <c r="M491" i="6" s="1"/>
  <c r="AW491" i="6" s="1"/>
  <c r="M492" i="6" s="1"/>
  <c r="AW492" i="6" s="1"/>
  <c r="M493" i="6" s="1"/>
  <c r="AW493" i="6" s="1"/>
  <c r="M494" i="6" s="1"/>
  <c r="AR1346" i="6"/>
  <c r="AQ1346" i="6"/>
  <c r="AL1202" i="6"/>
  <c r="AM1202" i="6"/>
  <c r="BG949" i="6"/>
  <c r="W950" i="6" s="1"/>
  <c r="AH949" i="6"/>
  <c r="AS1167" i="6"/>
  <c r="U482" i="6"/>
  <c r="BE482" i="6"/>
  <c r="BO380" i="6"/>
  <c r="BN381" i="6" s="1"/>
  <c r="AK380" i="6"/>
  <c r="AQ735" i="6"/>
  <c r="U1057" i="6"/>
  <c r="BE1057" i="6"/>
  <c r="BD1454" i="6"/>
  <c r="T1455" i="6" s="1"/>
  <c r="AP1454" i="6"/>
  <c r="M847" i="6"/>
  <c r="AW847" i="6" s="1"/>
  <c r="M848" i="6" s="1"/>
  <c r="AW848" i="6" s="1"/>
  <c r="M849" i="6" s="1"/>
  <c r="AW849" i="6" s="1"/>
  <c r="M850" i="6" s="1"/>
  <c r="AW850" i="6" s="1"/>
  <c r="M851" i="6" s="1"/>
  <c r="AW851" i="6" s="1"/>
  <c r="M852" i="6" s="1"/>
  <c r="AW852" i="6" s="1"/>
  <c r="M853" i="6" s="1"/>
  <c r="AW853" i="6" s="1"/>
  <c r="M854" i="6" s="1"/>
  <c r="BE1560" i="6"/>
  <c r="U1560" i="6"/>
  <c r="AQ913" i="6"/>
  <c r="AR913" i="6"/>
  <c r="M1135" i="6"/>
  <c r="AW1135" i="6" s="1"/>
  <c r="M1136" i="6" s="1"/>
  <c r="AW1136" i="6" s="1"/>
  <c r="M1137" i="6" s="1"/>
  <c r="AW1137" i="6" s="1"/>
  <c r="M1138" i="6" s="1"/>
  <c r="AW1138" i="6" s="1"/>
  <c r="M1139" i="6" s="1"/>
  <c r="AW1139" i="6" s="1"/>
  <c r="M1140" i="6" s="1"/>
  <c r="AW1140" i="6" s="1"/>
  <c r="M1141" i="6" s="1"/>
  <c r="AW1141" i="6" s="1"/>
  <c r="M1142" i="6" s="1"/>
  <c r="BG985" i="6"/>
  <c r="W986" i="6" s="1"/>
  <c r="AH985" i="6"/>
  <c r="BO642" i="6"/>
  <c r="BN643" i="6" s="1"/>
  <c r="AK642" i="6"/>
  <c r="BA963" i="6"/>
  <c r="Q964" i="6" s="1"/>
  <c r="AG963" i="6"/>
  <c r="BG1348" i="6"/>
  <c r="W1349" i="6" s="1"/>
  <c r="AH1348" i="6"/>
  <c r="BD1130" i="6"/>
  <c r="T1131" i="6" s="1"/>
  <c r="AP1130" i="6"/>
  <c r="AP662" i="6"/>
  <c r="BD662" i="6"/>
  <c r="T663" i="6" s="1"/>
  <c r="BG264" i="6"/>
  <c r="W265" i="6" s="1"/>
  <c r="AH264" i="6"/>
  <c r="AN1447" i="6"/>
  <c r="AU1447" i="6" s="1"/>
  <c r="AG1025" i="6"/>
  <c r="BA1025" i="6"/>
  <c r="Q1026" i="6" s="1"/>
  <c r="BF358" i="6"/>
  <c r="V359" i="6" s="1"/>
  <c r="AH358" i="6"/>
  <c r="AM627" i="6"/>
  <c r="AL627" i="6"/>
  <c r="BG770" i="6"/>
  <c r="W771" i="6" s="1"/>
  <c r="AH770" i="6"/>
  <c r="AL770" i="6" s="1"/>
  <c r="AZ1630" i="6"/>
  <c r="P1631" i="6" s="1"/>
  <c r="AG1630" i="6"/>
  <c r="AK1630" i="6"/>
  <c r="AR1630" i="6" s="1"/>
  <c r="AS1630" i="6" s="1"/>
  <c r="BA488" i="6"/>
  <c r="Q489" i="6" s="1"/>
  <c r="AL513" i="6"/>
  <c r="AM513" i="6"/>
  <c r="AH826" i="6"/>
  <c r="BF826" i="6"/>
  <c r="V827" i="6" s="1"/>
  <c r="BO1330" i="6"/>
  <c r="BN1331" i="6" s="1"/>
  <c r="BD1347" i="6"/>
  <c r="T1348" i="6" s="1"/>
  <c r="AP1347" i="6"/>
  <c r="BE1164" i="6"/>
  <c r="U1164" i="6"/>
  <c r="U1129" i="6"/>
  <c r="BE1129" i="6"/>
  <c r="BG1419" i="6"/>
  <c r="W1420" i="6" s="1"/>
  <c r="AH1419" i="6"/>
  <c r="BD736" i="6"/>
  <c r="T737" i="6" s="1"/>
  <c r="AP736" i="6"/>
  <c r="BF898" i="6"/>
  <c r="V899" i="6" s="1"/>
  <c r="AH898" i="6"/>
  <c r="BA1456" i="6"/>
  <c r="Q1457" i="6" s="1"/>
  <c r="AZ1327" i="6"/>
  <c r="P1328" i="6" s="1"/>
  <c r="AK1327" i="6"/>
  <c r="BD914" i="6"/>
  <c r="T915" i="6" s="1"/>
  <c r="AP914" i="6"/>
  <c r="AR445" i="6"/>
  <c r="AQ445" i="6"/>
  <c r="AQ953" i="6"/>
  <c r="AR985" i="6"/>
  <c r="AQ985" i="6"/>
  <c r="BA736" i="6"/>
  <c r="Q737" i="6" s="1"/>
  <c r="BA1420" i="6"/>
  <c r="Q1421" i="6" s="1"/>
  <c r="BF322" i="6"/>
  <c r="V323" i="6" s="1"/>
  <c r="AH322" i="6"/>
  <c r="M163" i="6"/>
  <c r="AW163" i="6" s="1"/>
  <c r="M164" i="6" s="1"/>
  <c r="AW164" i="6" s="1"/>
  <c r="M165" i="6" s="1"/>
  <c r="AW165" i="6" s="1"/>
  <c r="M166" i="6" s="1"/>
  <c r="AW166" i="6" s="1"/>
  <c r="M167" i="6" s="1"/>
  <c r="AW167" i="6" s="1"/>
  <c r="M168" i="6" s="1"/>
  <c r="AW168" i="6" s="1"/>
  <c r="M169" i="6" s="1"/>
  <c r="AW169" i="6" s="1"/>
  <c r="M170" i="6" s="1"/>
  <c r="L163" i="6"/>
  <c r="AV163" i="6" s="1"/>
  <c r="L164" i="6" s="1"/>
  <c r="AV164" i="6" s="1"/>
  <c r="L165" i="6" s="1"/>
  <c r="AV165" i="6" s="1"/>
  <c r="L166" i="6" s="1"/>
  <c r="AV166" i="6" s="1"/>
  <c r="L167" i="6" s="1"/>
  <c r="AV167" i="6" s="1"/>
  <c r="L168" i="6" s="1"/>
  <c r="AV168" i="6" s="1"/>
  <c r="L169" i="6" s="1"/>
  <c r="AV169" i="6" s="1"/>
  <c r="L170" i="6" s="1"/>
  <c r="N163" i="6"/>
  <c r="AX163" i="6" s="1"/>
  <c r="N164" i="6" s="1"/>
  <c r="AX164" i="6" s="1"/>
  <c r="N165" i="6" s="1"/>
  <c r="AX165" i="6" s="1"/>
  <c r="N166" i="6" s="1"/>
  <c r="AX166" i="6" s="1"/>
  <c r="N167" i="6" s="1"/>
  <c r="AX167" i="6" s="1"/>
  <c r="N168" i="6" s="1"/>
  <c r="AX168" i="6" s="1"/>
  <c r="N169" i="6" s="1"/>
  <c r="AX169" i="6" s="1"/>
  <c r="N170" i="6" s="1"/>
  <c r="AX170" i="6" s="1"/>
  <c r="N171" i="6" s="1"/>
  <c r="AX171" i="6" s="1"/>
  <c r="N172" i="6" s="1"/>
  <c r="AX172" i="6" s="1"/>
  <c r="N173" i="6" s="1"/>
  <c r="AX173" i="6" s="1"/>
  <c r="N174" i="6" s="1"/>
  <c r="AX174" i="6" s="1"/>
  <c r="N175" i="6" s="1"/>
  <c r="AX175" i="6" s="1"/>
  <c r="N176" i="6" s="1"/>
  <c r="AX176" i="6" s="1"/>
  <c r="N177" i="6" s="1"/>
  <c r="AX177" i="6" s="1"/>
  <c r="N178" i="6" s="1"/>
  <c r="AX178" i="6" s="1"/>
  <c r="N179" i="6" s="1"/>
  <c r="AX179" i="6" s="1"/>
  <c r="N180" i="6" s="1"/>
  <c r="AX180" i="6" s="1"/>
  <c r="N181" i="6" s="1"/>
  <c r="AX181" i="6" s="1"/>
  <c r="N182" i="6" s="1"/>
  <c r="AX182" i="6" s="1"/>
  <c r="N183" i="6" s="1"/>
  <c r="AX183" i="6" s="1"/>
  <c r="N184" i="6" s="1"/>
  <c r="AX184" i="6" s="1"/>
  <c r="N185" i="6" s="1"/>
  <c r="AX185" i="6" s="1"/>
  <c r="AM444" i="6"/>
  <c r="AL444" i="6"/>
  <c r="BO664" i="6"/>
  <c r="BN665" i="6" s="1"/>
  <c r="BE1093" i="6"/>
  <c r="U1093" i="6"/>
  <c r="AM837" i="6"/>
  <c r="AL837" i="6"/>
  <c r="BF502" i="6"/>
  <c r="V503" i="6" s="1"/>
  <c r="AH502" i="6"/>
  <c r="BA771" i="6"/>
  <c r="Q772" i="6" s="1"/>
  <c r="AG771" i="6"/>
  <c r="BA628" i="6"/>
  <c r="Q629" i="6" s="1"/>
  <c r="AG628" i="6"/>
  <c r="BD1056" i="6"/>
  <c r="T1057" i="6" s="1"/>
  <c r="AP1056" i="6"/>
  <c r="AP230" i="6"/>
  <c r="BD230" i="6"/>
  <c r="T231" i="6" s="1"/>
  <c r="BG698" i="6"/>
  <c r="W699" i="6" s="1"/>
  <c r="AH698" i="6"/>
  <c r="BA1059" i="6"/>
  <c r="Q1060" i="6" s="1"/>
  <c r="BA1095" i="6"/>
  <c r="Q1096" i="6" s="1"/>
  <c r="AG1095" i="6"/>
  <c r="AZ1558" i="6"/>
  <c r="P1559" i="6" s="1"/>
  <c r="AG1558" i="6"/>
  <c r="AK1558" i="6"/>
  <c r="AR1558" i="6" s="1"/>
  <c r="AS1558" i="6" s="1"/>
  <c r="N1099" i="6"/>
  <c r="AX1099" i="6" s="1"/>
  <c r="N1100" i="6" s="1"/>
  <c r="AX1100" i="6" s="1"/>
  <c r="N1101" i="6" s="1"/>
  <c r="AX1101" i="6" s="1"/>
  <c r="N1102" i="6" s="1"/>
  <c r="AX1102" i="6" s="1"/>
  <c r="N1103" i="6" s="1"/>
  <c r="AX1103" i="6" s="1"/>
  <c r="N1104" i="6" s="1"/>
  <c r="AX1104" i="6" s="1"/>
  <c r="N1105" i="6" s="1"/>
  <c r="AX1105" i="6" s="1"/>
  <c r="N1106" i="6" s="1"/>
  <c r="AX1106" i="6" s="1"/>
  <c r="N1107" i="6" s="1"/>
  <c r="AX1107" i="6" s="1"/>
  <c r="N1108" i="6" s="1"/>
  <c r="AX1108" i="6" s="1"/>
  <c r="N1109" i="6" s="1"/>
  <c r="AX1109" i="6" s="1"/>
  <c r="N1110" i="6" s="1"/>
  <c r="AX1110" i="6" s="1"/>
  <c r="N1111" i="6" s="1"/>
  <c r="AX1111" i="6" s="1"/>
  <c r="N1112" i="6" s="1"/>
  <c r="AX1112" i="6" s="1"/>
  <c r="N1113" i="6" s="1"/>
  <c r="AX1113" i="6" s="1"/>
  <c r="N1114" i="6" s="1"/>
  <c r="AX1114" i="6" s="1"/>
  <c r="N1115" i="6" s="1"/>
  <c r="AX1115" i="6" s="1"/>
  <c r="N1116" i="6" s="1"/>
  <c r="AX1116" i="6" s="1"/>
  <c r="N1117" i="6" s="1"/>
  <c r="AX1117" i="6" s="1"/>
  <c r="N1118" i="6" s="1"/>
  <c r="AX1118" i="6" s="1"/>
  <c r="N1119" i="6" s="1"/>
  <c r="AX1119" i="6" s="1"/>
  <c r="N1120" i="6" s="1"/>
  <c r="AX1120" i="6" s="1"/>
  <c r="N1121" i="6" s="1"/>
  <c r="AX1121" i="6" s="1"/>
  <c r="AN590" i="6"/>
  <c r="AL1094" i="6"/>
  <c r="AN1094" i="6" s="1"/>
  <c r="AN1628" i="6"/>
  <c r="AU1628" i="6" s="1"/>
  <c r="BG1134" i="6"/>
  <c r="W1135" i="6" s="1"/>
  <c r="AH1134" i="6"/>
  <c r="AN1232" i="6"/>
  <c r="AU1232" i="6" s="1"/>
  <c r="AQ1634" i="6"/>
  <c r="BA1346" i="6"/>
  <c r="Q1347" i="6" s="1"/>
  <c r="AG1346" i="6"/>
  <c r="AN405" i="6"/>
  <c r="AU405" i="6" s="1"/>
  <c r="AZ514" i="6"/>
  <c r="P515" i="6" s="1"/>
  <c r="AG514" i="6"/>
  <c r="AK514" i="6"/>
  <c r="AR514" i="6" s="1"/>
  <c r="AS514" i="6" s="1"/>
  <c r="AQ769" i="6"/>
  <c r="AR769" i="6"/>
  <c r="BF538" i="6"/>
  <c r="V539" i="6" s="1"/>
  <c r="AH538" i="6"/>
  <c r="BA1239" i="6"/>
  <c r="Q1240" i="6" s="1"/>
  <c r="AR1528" i="6"/>
  <c r="AQ1528" i="6"/>
  <c r="AR1381" i="6"/>
  <c r="AQ1381" i="6"/>
  <c r="AQ1562" i="6"/>
  <c r="AN803" i="6"/>
  <c r="AU803" i="6" s="1"/>
  <c r="AH862" i="6"/>
  <c r="BF862" i="6"/>
  <c r="V863" i="6" s="1"/>
  <c r="BO1039" i="6"/>
  <c r="BN1040" i="6" s="1"/>
  <c r="AK1039" i="6"/>
  <c r="AF818" i="6"/>
  <c r="AV818" i="6"/>
  <c r="L819" i="6" s="1"/>
  <c r="AV819" i="6" s="1"/>
  <c r="L820" i="6" s="1"/>
  <c r="AV820" i="6" s="1"/>
  <c r="L821" i="6" s="1"/>
  <c r="AV821" i="6" s="1"/>
  <c r="L822" i="6" s="1"/>
  <c r="AV822" i="6" s="1"/>
  <c r="L823" i="6" s="1"/>
  <c r="AV823" i="6" s="1"/>
  <c r="L824" i="6" s="1"/>
  <c r="AV824" i="6" s="1"/>
  <c r="L825" i="6" s="1"/>
  <c r="AV825" i="6" s="1"/>
  <c r="L826" i="6" s="1"/>
  <c r="AV826" i="6" s="1"/>
  <c r="L827" i="6" s="1"/>
  <c r="AV827" i="6" s="1"/>
  <c r="L828" i="6" s="1"/>
  <c r="AV828" i="6" s="1"/>
  <c r="L829" i="6" s="1"/>
  <c r="AV829" i="6" s="1"/>
  <c r="L830" i="6" s="1"/>
  <c r="AV830" i="6" s="1"/>
  <c r="L831" i="6" s="1"/>
  <c r="AV831" i="6" s="1"/>
  <c r="L832" i="6" s="1"/>
  <c r="AV832" i="6" s="1"/>
  <c r="L833" i="6" s="1"/>
  <c r="AV833" i="6" s="1"/>
  <c r="AS1092" i="6"/>
  <c r="AU1092" i="6" s="1"/>
  <c r="AH1042" i="6"/>
  <c r="BF1042" i="6"/>
  <c r="V1043" i="6" s="1"/>
  <c r="BD446" i="6"/>
  <c r="T447" i="6" s="1"/>
  <c r="AP446" i="6"/>
  <c r="N1027" i="6"/>
  <c r="AX1027" i="6" s="1"/>
  <c r="N1028" i="6" s="1"/>
  <c r="AX1028" i="6" s="1"/>
  <c r="N1029" i="6" s="1"/>
  <c r="AX1029" i="6" s="1"/>
  <c r="N1030" i="6" s="1"/>
  <c r="AX1030" i="6" s="1"/>
  <c r="N1031" i="6" s="1"/>
  <c r="AX1031" i="6" s="1"/>
  <c r="N1032" i="6" s="1"/>
  <c r="AX1032" i="6" s="1"/>
  <c r="N1033" i="6" s="1"/>
  <c r="AX1033" i="6" s="1"/>
  <c r="N1034" i="6" s="1"/>
  <c r="AX1034" i="6" s="1"/>
  <c r="N1035" i="6" s="1"/>
  <c r="AX1035" i="6" s="1"/>
  <c r="N1036" i="6" s="1"/>
  <c r="AX1036" i="6" s="1"/>
  <c r="N1037" i="6" s="1"/>
  <c r="AX1037" i="6" s="1"/>
  <c r="N1038" i="6" s="1"/>
  <c r="AX1038" i="6" s="1"/>
  <c r="N1039" i="6" s="1"/>
  <c r="AX1039" i="6" s="1"/>
  <c r="N1040" i="6" s="1"/>
  <c r="AX1040" i="6" s="1"/>
  <c r="N1041" i="6" s="1"/>
  <c r="AX1041" i="6" s="1"/>
  <c r="N1042" i="6" s="1"/>
  <c r="AX1042" i="6" s="1"/>
  <c r="N1043" i="6" s="1"/>
  <c r="AX1043" i="6" s="1"/>
  <c r="N1044" i="6" s="1"/>
  <c r="AX1044" i="6" s="1"/>
  <c r="N1045" i="6" s="1"/>
  <c r="AX1045" i="6" s="1"/>
  <c r="N1046" i="6" s="1"/>
  <c r="AX1046" i="6" s="1"/>
  <c r="N1047" i="6" s="1"/>
  <c r="AX1047" i="6" s="1"/>
  <c r="N1048" i="6" s="1"/>
  <c r="AX1048" i="6" s="1"/>
  <c r="N1049" i="6" s="1"/>
  <c r="AX1049" i="6" s="1"/>
  <c r="AN656" i="6"/>
  <c r="AU656" i="6" s="1"/>
  <c r="N235" i="6"/>
  <c r="AX235" i="6" s="1"/>
  <c r="N236" i="6" s="1"/>
  <c r="AX236" i="6" s="1"/>
  <c r="N237" i="6" s="1"/>
  <c r="AX237" i="6" s="1"/>
  <c r="N238" i="6" s="1"/>
  <c r="AX238" i="6" s="1"/>
  <c r="N239" i="6" s="1"/>
  <c r="AX239" i="6" s="1"/>
  <c r="N240" i="6" s="1"/>
  <c r="AX240" i="6" s="1"/>
  <c r="N241" i="6" s="1"/>
  <c r="AX241" i="6" s="1"/>
  <c r="N242" i="6" s="1"/>
  <c r="AX242" i="6" s="1"/>
  <c r="N243" i="6" s="1"/>
  <c r="AX243" i="6" s="1"/>
  <c r="N244" i="6" s="1"/>
  <c r="AX244" i="6" s="1"/>
  <c r="N245" i="6" s="1"/>
  <c r="AX245" i="6" s="1"/>
  <c r="N246" i="6" s="1"/>
  <c r="AX246" i="6" s="1"/>
  <c r="N247" i="6" s="1"/>
  <c r="AX247" i="6" s="1"/>
  <c r="N248" i="6" s="1"/>
  <c r="AX248" i="6" s="1"/>
  <c r="N249" i="6" s="1"/>
  <c r="AX249" i="6" s="1"/>
  <c r="N250" i="6" s="1"/>
  <c r="AX250" i="6" s="1"/>
  <c r="N251" i="6" s="1"/>
  <c r="AX251" i="6" s="1"/>
  <c r="N252" i="6" s="1"/>
  <c r="AX252" i="6" s="1"/>
  <c r="N253" i="6" s="1"/>
  <c r="AX253" i="6" s="1"/>
  <c r="N254" i="6" s="1"/>
  <c r="AX254" i="6" s="1"/>
  <c r="N255" i="6" s="1"/>
  <c r="AX255" i="6" s="1"/>
  <c r="N256" i="6" s="1"/>
  <c r="AX256" i="6" s="1"/>
  <c r="N257" i="6" s="1"/>
  <c r="AX257" i="6" s="1"/>
  <c r="BG445" i="6"/>
  <c r="W446" i="6" s="1"/>
  <c r="AH445" i="6"/>
  <c r="BG1240" i="6"/>
  <c r="W1241" i="6" s="1"/>
  <c r="AH1240" i="6"/>
  <c r="BO1537" i="6"/>
  <c r="BN1538" i="6" s="1"/>
  <c r="AK1537" i="6"/>
  <c r="BD954" i="6"/>
  <c r="T955" i="6" s="1"/>
  <c r="AP954" i="6"/>
  <c r="AZ998" i="6"/>
  <c r="P999" i="6" s="1"/>
  <c r="AK998" i="6"/>
  <c r="BA1603" i="6"/>
  <c r="Q1604" i="6" s="1"/>
  <c r="BF1222" i="6"/>
  <c r="V1223" i="6" s="1"/>
  <c r="AH1222" i="6"/>
  <c r="BF34" i="6"/>
  <c r="V35" i="6" s="1"/>
  <c r="AH34" i="6"/>
  <c r="BD986" i="6"/>
  <c r="T987" i="6" s="1"/>
  <c r="AP986" i="6"/>
  <c r="AZ838" i="6"/>
  <c r="P839" i="6" s="1"/>
  <c r="AG838" i="6"/>
  <c r="AK838" i="6"/>
  <c r="AR838" i="6" s="1"/>
  <c r="AS838" i="6" s="1"/>
  <c r="AN80" i="6"/>
  <c r="AU80" i="6" s="1"/>
  <c r="BF718" i="6"/>
  <c r="V719" i="6" s="1"/>
  <c r="AH718" i="6"/>
  <c r="BO507" i="6"/>
  <c r="BN508" i="6" s="1"/>
  <c r="AU1269" i="6"/>
  <c r="AM1557" i="6"/>
  <c r="AL1557" i="6"/>
  <c r="AZ407" i="6"/>
  <c r="P408" i="6" s="1"/>
  <c r="AG407" i="6"/>
  <c r="AK407" i="6"/>
  <c r="AR407" i="6" s="1"/>
  <c r="AS407" i="6" s="1"/>
  <c r="AM591" i="6"/>
  <c r="AL591" i="6"/>
  <c r="BD1529" i="6"/>
  <c r="T1530" i="6" s="1"/>
  <c r="AP1529" i="6"/>
  <c r="AZ455" i="6"/>
  <c r="P456" i="6" s="1"/>
  <c r="AK455" i="6"/>
  <c r="AH430" i="6"/>
  <c r="BF430" i="6"/>
  <c r="V431" i="6" s="1"/>
  <c r="BA883" i="6"/>
  <c r="Q884" i="6" s="1"/>
  <c r="AG883" i="6"/>
  <c r="AQ193" i="6"/>
  <c r="BE1382" i="6"/>
  <c r="U1382" i="6"/>
  <c r="BD338" i="6"/>
  <c r="T339" i="6" s="1"/>
  <c r="AP338" i="6"/>
  <c r="AN1052" i="6"/>
  <c r="AU1052" i="6" s="1"/>
  <c r="BA592" i="6"/>
  <c r="Q593" i="6" s="1"/>
  <c r="AG592" i="6"/>
  <c r="BF1258" i="6"/>
  <c r="V1259" i="6" s="1"/>
  <c r="AH1258" i="6"/>
  <c r="BG374" i="6"/>
  <c r="W375" i="6" s="1"/>
  <c r="AH374" i="6"/>
  <c r="AM374" i="6" s="1"/>
  <c r="BO1501" i="6"/>
  <c r="BN1502" i="6" s="1"/>
  <c r="AN372" i="6"/>
  <c r="AU372" i="6" s="1"/>
  <c r="N955" i="6"/>
  <c r="AX955" i="6" s="1"/>
  <c r="N956" i="6" s="1"/>
  <c r="AX956" i="6" s="1"/>
  <c r="N957" i="6" s="1"/>
  <c r="AX957" i="6" s="1"/>
  <c r="N958" i="6" s="1"/>
  <c r="AX958" i="6" s="1"/>
  <c r="N959" i="6" s="1"/>
  <c r="AX959" i="6" s="1"/>
  <c r="N960" i="6" s="1"/>
  <c r="AX960" i="6" s="1"/>
  <c r="N961" i="6" s="1"/>
  <c r="AX961" i="6" s="1"/>
  <c r="N962" i="6" s="1"/>
  <c r="AX962" i="6" s="1"/>
  <c r="N963" i="6" s="1"/>
  <c r="AX963" i="6" s="1"/>
  <c r="N964" i="6" s="1"/>
  <c r="AX964" i="6" s="1"/>
  <c r="N965" i="6" s="1"/>
  <c r="AX965" i="6" s="1"/>
  <c r="N966" i="6" s="1"/>
  <c r="AX966" i="6" s="1"/>
  <c r="N967" i="6" s="1"/>
  <c r="AX967" i="6" s="1"/>
  <c r="N968" i="6" s="1"/>
  <c r="AX968" i="6" s="1"/>
  <c r="N969" i="6" s="1"/>
  <c r="AX969" i="6" s="1"/>
  <c r="N970" i="6" s="1"/>
  <c r="AX970" i="6" s="1"/>
  <c r="N971" i="6" s="1"/>
  <c r="AX971" i="6" s="1"/>
  <c r="N972" i="6" s="1"/>
  <c r="AX972" i="6" s="1"/>
  <c r="N973" i="6" s="1"/>
  <c r="AX973" i="6" s="1"/>
  <c r="N974" i="6" s="1"/>
  <c r="AX974" i="6" s="1"/>
  <c r="N975" i="6" s="1"/>
  <c r="AX975" i="6" s="1"/>
  <c r="N976" i="6" s="1"/>
  <c r="AX976" i="6" s="1"/>
  <c r="N977" i="6" s="1"/>
  <c r="AX977" i="6" s="1"/>
  <c r="AF278" i="6"/>
  <c r="AV278" i="6"/>
  <c r="L279" i="6" s="1"/>
  <c r="AV279" i="6" s="1"/>
  <c r="L280" i="6" s="1"/>
  <c r="AV280" i="6" s="1"/>
  <c r="L281" i="6" s="1"/>
  <c r="AV281" i="6" s="1"/>
  <c r="L282" i="6" s="1"/>
  <c r="AV282" i="6" s="1"/>
  <c r="L283" i="6" s="1"/>
  <c r="AV283" i="6" s="1"/>
  <c r="L284" i="6" s="1"/>
  <c r="AV284" i="6" s="1"/>
  <c r="L285" i="6" s="1"/>
  <c r="AV285" i="6" s="1"/>
  <c r="L286" i="6" s="1"/>
  <c r="AV286" i="6" s="1"/>
  <c r="L287" i="6" s="1"/>
  <c r="AV287" i="6" s="1"/>
  <c r="L288" i="6" s="1"/>
  <c r="AV288" i="6" s="1"/>
  <c r="L289" i="6" s="1"/>
  <c r="AV289" i="6" s="1"/>
  <c r="L290" i="6" s="1"/>
  <c r="AV290" i="6" s="1"/>
  <c r="L291" i="6" s="1"/>
  <c r="AV291" i="6" s="1"/>
  <c r="L292" i="6" s="1"/>
  <c r="AV292" i="6" s="1"/>
  <c r="L293" i="6" s="1"/>
  <c r="AV293" i="6" s="1"/>
  <c r="BG916" i="6"/>
  <c r="W917" i="6" s="1"/>
  <c r="AH916" i="6"/>
  <c r="BH1362" i="6"/>
  <c r="X1363" i="6" s="1"/>
  <c r="AD1362" i="6"/>
  <c r="BE1345" i="6"/>
  <c r="U1345" i="6"/>
  <c r="AN1592" i="6"/>
  <c r="AU1592" i="6" s="1"/>
  <c r="BE1237" i="6"/>
  <c r="U1237" i="6"/>
  <c r="BF574" i="6"/>
  <c r="V575" i="6" s="1"/>
  <c r="AH574" i="6"/>
  <c r="AL657" i="6"/>
  <c r="AM657" i="6"/>
  <c r="BE661" i="6"/>
  <c r="U661" i="6"/>
  <c r="BD554" i="6"/>
  <c r="T555" i="6" s="1"/>
  <c r="AP554" i="6"/>
  <c r="AM81" i="6"/>
  <c r="AL81" i="6"/>
  <c r="BF1474" i="6"/>
  <c r="V1475" i="6" s="1"/>
  <c r="AH1474" i="6"/>
  <c r="BO1423" i="6"/>
  <c r="BN1424" i="6" s="1"/>
  <c r="BD267" i="6"/>
  <c r="T268" i="6" s="1"/>
  <c r="AP267" i="6"/>
  <c r="BD374" i="6"/>
  <c r="T375" i="6" s="1"/>
  <c r="AP374" i="6"/>
  <c r="N811" i="6"/>
  <c r="AX811" i="6" s="1"/>
  <c r="N812" i="6" s="1"/>
  <c r="AX812" i="6" s="1"/>
  <c r="N813" i="6" s="1"/>
  <c r="AX813" i="6" s="1"/>
  <c r="N814" i="6" s="1"/>
  <c r="AX814" i="6" s="1"/>
  <c r="N815" i="6" s="1"/>
  <c r="AX815" i="6" s="1"/>
  <c r="N816" i="6" s="1"/>
  <c r="AX816" i="6" s="1"/>
  <c r="N817" i="6" s="1"/>
  <c r="AX817" i="6" s="1"/>
  <c r="N818" i="6" s="1"/>
  <c r="AX818" i="6" s="1"/>
  <c r="N819" i="6" s="1"/>
  <c r="AX819" i="6" s="1"/>
  <c r="N820" i="6" s="1"/>
  <c r="AX820" i="6" s="1"/>
  <c r="N821" i="6" s="1"/>
  <c r="AX821" i="6" s="1"/>
  <c r="N822" i="6" s="1"/>
  <c r="AX822" i="6" s="1"/>
  <c r="N823" i="6" s="1"/>
  <c r="AX823" i="6" s="1"/>
  <c r="N824" i="6" s="1"/>
  <c r="AX824" i="6" s="1"/>
  <c r="N825" i="6" s="1"/>
  <c r="AX825" i="6" s="1"/>
  <c r="N826" i="6" s="1"/>
  <c r="AX826" i="6" s="1"/>
  <c r="N827" i="6" s="1"/>
  <c r="AX827" i="6" s="1"/>
  <c r="N828" i="6" s="1"/>
  <c r="AX828" i="6" s="1"/>
  <c r="N829" i="6" s="1"/>
  <c r="AX829" i="6" s="1"/>
  <c r="N830" i="6" s="1"/>
  <c r="AX830" i="6" s="1"/>
  <c r="N831" i="6" s="1"/>
  <c r="AX831" i="6" s="1"/>
  <c r="N832" i="6" s="1"/>
  <c r="AX832" i="6" s="1"/>
  <c r="N833" i="6" s="1"/>
  <c r="AX833" i="6" s="1"/>
  <c r="BA1570" i="6"/>
  <c r="Q1571" i="6" s="1"/>
  <c r="AW242" i="6"/>
  <c r="M243" i="6" s="1"/>
  <c r="AW243" i="6" s="1"/>
  <c r="M244" i="6" s="1"/>
  <c r="AW244" i="6" s="1"/>
  <c r="M245" i="6" s="1"/>
  <c r="AW245" i="6" s="1"/>
  <c r="M246" i="6" s="1"/>
  <c r="AW246" i="6" s="1"/>
  <c r="M247" i="6" s="1"/>
  <c r="AW247" i="6" s="1"/>
  <c r="M248" i="6" s="1"/>
  <c r="AW248" i="6" s="1"/>
  <c r="M249" i="6" s="1"/>
  <c r="AW249" i="6" s="1"/>
  <c r="M250" i="6" s="1"/>
  <c r="AW250" i="6" s="1"/>
  <c r="M251" i="6" s="1"/>
  <c r="AW251" i="6" s="1"/>
  <c r="M252" i="6" s="1"/>
  <c r="AW252" i="6" s="1"/>
  <c r="M253" i="6" s="1"/>
  <c r="AW253" i="6" s="1"/>
  <c r="M254" i="6" s="1"/>
  <c r="AW254" i="6" s="1"/>
  <c r="M255" i="6" s="1"/>
  <c r="AW255" i="6" s="1"/>
  <c r="M256" i="6" s="1"/>
  <c r="AW256" i="6" s="1"/>
  <c r="M257" i="6" s="1"/>
  <c r="AW257" i="6" s="1"/>
  <c r="N1639" i="6"/>
  <c r="AX1639" i="6" s="1"/>
  <c r="N1640" i="6" s="1"/>
  <c r="AX1640" i="6" s="1"/>
  <c r="N1641" i="6" s="1"/>
  <c r="AX1641" i="6" s="1"/>
  <c r="N1642" i="6" s="1"/>
  <c r="AX1642" i="6" s="1"/>
  <c r="N1643" i="6" s="1"/>
  <c r="AX1643" i="6" s="1"/>
  <c r="N1644" i="6" s="1"/>
  <c r="AX1644" i="6" s="1"/>
  <c r="N1645" i="6" s="1"/>
  <c r="AX1645" i="6" s="1"/>
  <c r="N1646" i="6" s="1"/>
  <c r="AX1646" i="6" s="1"/>
  <c r="N1647" i="6" s="1"/>
  <c r="AX1647" i="6" s="1"/>
  <c r="N1648" i="6" s="1"/>
  <c r="AX1648" i="6" s="1"/>
  <c r="N1649" i="6" s="1"/>
  <c r="AX1649" i="6" s="1"/>
  <c r="N1650" i="6" s="1"/>
  <c r="AX1650" i="6" s="1"/>
  <c r="N1651" i="6" s="1"/>
  <c r="AX1651" i="6" s="1"/>
  <c r="N1652" i="6" s="1"/>
  <c r="AX1652" i="6" s="1"/>
  <c r="N1653" i="6" s="1"/>
  <c r="AX1653" i="6" s="1"/>
  <c r="N1654" i="6" s="1"/>
  <c r="AX1654" i="6" s="1"/>
  <c r="N1655" i="6" s="1"/>
  <c r="AX1655" i="6" s="1"/>
  <c r="N1656" i="6" s="1"/>
  <c r="AX1656" i="6" s="1"/>
  <c r="N1657" i="6" s="1"/>
  <c r="AX1657" i="6" s="1"/>
  <c r="N1658" i="6" s="1"/>
  <c r="AX1658" i="6" s="1"/>
  <c r="N1659" i="6" s="1"/>
  <c r="AX1659" i="6" s="1"/>
  <c r="N1660" i="6" s="1"/>
  <c r="AX1660" i="6" s="1"/>
  <c r="N1661" i="6" s="1"/>
  <c r="AX1661" i="6" s="1"/>
  <c r="BG1495" i="6"/>
  <c r="W1496" i="6" s="1"/>
  <c r="AH1495" i="6"/>
  <c r="BF754" i="6"/>
  <c r="V755" i="6" s="1"/>
  <c r="AH754" i="6"/>
  <c r="BO1569" i="6"/>
  <c r="BN1570" i="6" s="1"/>
  <c r="AM1448" i="6"/>
  <c r="AL1448" i="6"/>
  <c r="BA1491" i="6"/>
  <c r="Q1492" i="6" s="1"/>
  <c r="BD194" i="6"/>
  <c r="T195" i="6" s="1"/>
  <c r="AP194" i="6"/>
  <c r="AS952" i="6"/>
  <c r="AU1556" i="6"/>
  <c r="AF206" i="6"/>
  <c r="AV206" i="6"/>
  <c r="L207" i="6" s="1"/>
  <c r="AV207" i="6" s="1"/>
  <c r="L208" i="6" s="1"/>
  <c r="AV208" i="6" s="1"/>
  <c r="L209" i="6" s="1"/>
  <c r="AV209" i="6" s="1"/>
  <c r="L210" i="6" s="1"/>
  <c r="AV210" i="6" s="1"/>
  <c r="L211" i="6" s="1"/>
  <c r="AV211" i="6" s="1"/>
  <c r="L212" i="6" s="1"/>
  <c r="AV212" i="6" s="1"/>
  <c r="L213" i="6" s="1"/>
  <c r="AV213" i="6" s="1"/>
  <c r="L214" i="6" s="1"/>
  <c r="AV214" i="6" s="1"/>
  <c r="L215" i="6" s="1"/>
  <c r="AV215" i="6" s="1"/>
  <c r="L216" i="6" s="1"/>
  <c r="AV216" i="6" s="1"/>
  <c r="L217" i="6" s="1"/>
  <c r="AV217" i="6" s="1"/>
  <c r="L218" i="6" s="1"/>
  <c r="AV218" i="6" s="1"/>
  <c r="L219" i="6" s="1"/>
  <c r="AV219" i="6" s="1"/>
  <c r="L220" i="6" s="1"/>
  <c r="AV220" i="6" s="1"/>
  <c r="L221" i="6" s="1"/>
  <c r="AV221" i="6" s="1"/>
  <c r="AN1411" i="6"/>
  <c r="AU1411" i="6" s="1"/>
  <c r="BF682" i="6"/>
  <c r="V683" i="6" s="1"/>
  <c r="AH682" i="6"/>
  <c r="BO748" i="6"/>
  <c r="BN749" i="6" s="1"/>
  <c r="AR337" i="6"/>
  <c r="AQ337" i="6"/>
  <c r="BG1606" i="6"/>
  <c r="W1607" i="6" s="1"/>
  <c r="AH1606" i="6"/>
  <c r="AR589" i="6"/>
  <c r="AQ589" i="6"/>
  <c r="BA1636" i="6"/>
  <c r="Q1637" i="6" s="1"/>
  <c r="M379" i="6"/>
  <c r="AW379" i="6" s="1"/>
  <c r="M380" i="6" s="1"/>
  <c r="AW380" i="6" s="1"/>
  <c r="M381" i="6" s="1"/>
  <c r="AW381" i="6" s="1"/>
  <c r="M382" i="6" s="1"/>
  <c r="AW382" i="6" s="1"/>
  <c r="M383" i="6" s="1"/>
  <c r="AW383" i="6" s="1"/>
  <c r="M384" i="6" s="1"/>
  <c r="AW384" i="6" s="1"/>
  <c r="M385" i="6" s="1"/>
  <c r="AW385" i="6" s="1"/>
  <c r="M386" i="6" s="1"/>
  <c r="BG1098" i="6"/>
  <c r="W1099" i="6" s="1"/>
  <c r="AH1098" i="6"/>
  <c r="AQ1417" i="6"/>
  <c r="AL915" i="6"/>
  <c r="AM915" i="6"/>
  <c r="BE85" i="6"/>
  <c r="U85" i="6"/>
  <c r="BF1546" i="6"/>
  <c r="V1547" i="6" s="1"/>
  <c r="AH1546" i="6"/>
  <c r="AM11" i="6"/>
  <c r="AL11" i="6"/>
  <c r="AZ82" i="6"/>
  <c r="P83" i="6" s="1"/>
  <c r="AK82" i="6"/>
  <c r="AR82" i="6" s="1"/>
  <c r="AS82" i="6" s="1"/>
  <c r="AG82" i="6"/>
  <c r="BH1004" i="6"/>
  <c r="X1005" i="6" s="1"/>
  <c r="AD1004" i="6"/>
  <c r="BF610" i="6"/>
  <c r="V611" i="6" s="1"/>
  <c r="AH610" i="6"/>
  <c r="M631" i="6"/>
  <c r="AW631" i="6" s="1"/>
  <c r="M632" i="6" s="1"/>
  <c r="AW632" i="6" s="1"/>
  <c r="M633" i="6" s="1"/>
  <c r="AW633" i="6" s="1"/>
  <c r="M634" i="6" s="1"/>
  <c r="AW634" i="6" s="1"/>
  <c r="M635" i="6" s="1"/>
  <c r="AW635" i="6" s="1"/>
  <c r="M636" i="6" s="1"/>
  <c r="AW636" i="6" s="1"/>
  <c r="M637" i="6" s="1"/>
  <c r="AW637" i="6" s="1"/>
  <c r="M638" i="6" s="1"/>
  <c r="BA1316" i="6"/>
  <c r="Q1317" i="6" s="1"/>
  <c r="AG1316" i="6"/>
  <c r="AL476" i="6"/>
  <c r="AM476" i="6"/>
  <c r="BG661" i="6"/>
  <c r="W662" i="6" s="1"/>
  <c r="AH661" i="6"/>
  <c r="AH106" i="6"/>
  <c r="BF106" i="6"/>
  <c r="V107" i="6" s="1"/>
  <c r="AH250" i="6"/>
  <c r="BF250" i="6"/>
  <c r="V251" i="6" s="1"/>
  <c r="U913" i="6"/>
  <c r="BE913" i="6"/>
  <c r="AZ1449" i="6"/>
  <c r="P1450" i="6" s="1"/>
  <c r="AG1449" i="6"/>
  <c r="AK1449" i="6"/>
  <c r="AR1449" i="6" s="1"/>
  <c r="AS1449" i="6" s="1"/>
  <c r="BE733" i="6"/>
  <c r="U733" i="6"/>
  <c r="BE410" i="6"/>
  <c r="U410" i="6"/>
  <c r="BE769" i="6"/>
  <c r="U769" i="6"/>
  <c r="AR1273" i="6"/>
  <c r="AQ1273" i="6"/>
  <c r="BF1294" i="6"/>
  <c r="V1295" i="6" s="1"/>
  <c r="AH1294" i="6"/>
  <c r="BE121" i="6"/>
  <c r="U121" i="6"/>
  <c r="AQ841" i="6"/>
  <c r="AF242" i="6"/>
  <c r="AV242" i="6"/>
  <c r="L243" i="6" s="1"/>
  <c r="AV243" i="6" s="1"/>
  <c r="L244" i="6" s="1"/>
  <c r="AV244" i="6" s="1"/>
  <c r="L245" i="6" s="1"/>
  <c r="AV245" i="6" s="1"/>
  <c r="L246" i="6" s="1"/>
  <c r="AV246" i="6" s="1"/>
  <c r="L247" i="6" s="1"/>
  <c r="AV247" i="6" s="1"/>
  <c r="L248" i="6" s="1"/>
  <c r="AV248" i="6" s="1"/>
  <c r="L249" i="6" s="1"/>
  <c r="AV249" i="6" s="1"/>
  <c r="L250" i="6" s="1"/>
  <c r="AV250" i="6" s="1"/>
  <c r="L251" i="6" s="1"/>
  <c r="AV251" i="6" s="1"/>
  <c r="L252" i="6" s="1"/>
  <c r="AV252" i="6" s="1"/>
  <c r="L253" i="6" s="1"/>
  <c r="AV253" i="6" s="1"/>
  <c r="L254" i="6" s="1"/>
  <c r="AV254" i="6" s="1"/>
  <c r="L255" i="6" s="1"/>
  <c r="AV255" i="6" s="1"/>
  <c r="L256" i="6" s="1"/>
  <c r="AV256" i="6" s="1"/>
  <c r="L257" i="6" s="1"/>
  <c r="AV257" i="6" s="1"/>
  <c r="BD86" i="6"/>
  <c r="T87" i="6" s="1"/>
  <c r="AP86" i="6"/>
  <c r="BD590" i="6"/>
  <c r="T591" i="6" s="1"/>
  <c r="AP590" i="6"/>
  <c r="BE265" i="6"/>
  <c r="U265" i="6"/>
  <c r="AW962" i="6"/>
  <c r="M963" i="6" s="1"/>
  <c r="AW963" i="6" s="1"/>
  <c r="M964" i="6" s="1"/>
  <c r="AW964" i="6" s="1"/>
  <c r="M965" i="6" s="1"/>
  <c r="AW965" i="6" s="1"/>
  <c r="M966" i="6" s="1"/>
  <c r="AW966" i="6" s="1"/>
  <c r="M967" i="6" s="1"/>
  <c r="AW967" i="6" s="1"/>
  <c r="M968" i="6" s="1"/>
  <c r="AW968" i="6" s="1"/>
  <c r="M969" i="6" s="1"/>
  <c r="AW969" i="6" s="1"/>
  <c r="M970" i="6" s="1"/>
  <c r="AW970" i="6" s="1"/>
  <c r="M971" i="6" s="1"/>
  <c r="AW971" i="6" s="1"/>
  <c r="M972" i="6" s="1"/>
  <c r="AW972" i="6" s="1"/>
  <c r="M973" i="6" s="1"/>
  <c r="AW973" i="6" s="1"/>
  <c r="M974" i="6" s="1"/>
  <c r="AW974" i="6" s="1"/>
  <c r="M975" i="6" s="1"/>
  <c r="AW975" i="6" s="1"/>
  <c r="M976" i="6" s="1"/>
  <c r="AW976" i="6" s="1"/>
  <c r="M977" i="6" s="1"/>
  <c r="AW977" i="6" s="1"/>
  <c r="BF1438" i="6"/>
  <c r="V1439" i="6" s="1"/>
  <c r="AH1438" i="6"/>
  <c r="BD1418" i="6"/>
  <c r="T1419" i="6" s="1"/>
  <c r="AP1418" i="6"/>
  <c r="AZ658" i="6"/>
  <c r="P659" i="6" s="1"/>
  <c r="AG658" i="6"/>
  <c r="AK658" i="6"/>
  <c r="AR658" i="6" s="1"/>
  <c r="AS658" i="6" s="1"/>
  <c r="BG85" i="6"/>
  <c r="W86" i="6" s="1"/>
  <c r="AH85" i="6"/>
  <c r="BG12" i="6"/>
  <c r="W13" i="6" s="1"/>
  <c r="AH12" i="6"/>
  <c r="AQ1489" i="6"/>
  <c r="BE1021" i="6"/>
  <c r="U1021" i="6"/>
  <c r="AL626" i="6"/>
  <c r="AM626" i="6"/>
  <c r="BA273" i="6"/>
  <c r="Q274" i="6" s="1"/>
  <c r="AG273" i="6"/>
  <c r="AZ477" i="6"/>
  <c r="P478" i="6" s="1"/>
  <c r="AG477" i="6"/>
  <c r="AK477" i="6"/>
  <c r="AR477" i="6" s="1"/>
  <c r="AS477" i="6" s="1"/>
  <c r="AR805" i="6"/>
  <c r="AQ805" i="6"/>
  <c r="AL1311" i="6"/>
  <c r="AM1311" i="6"/>
  <c r="BA1277" i="6"/>
  <c r="Q1278" i="6" s="1"/>
  <c r="AG1277" i="6"/>
  <c r="AM1379" i="6"/>
  <c r="AL1379" i="6"/>
  <c r="BD1274" i="6"/>
  <c r="T1275" i="6" s="1"/>
  <c r="AP1274" i="6"/>
  <c r="BF70" i="6"/>
  <c r="V71" i="6" s="1"/>
  <c r="AH70" i="6"/>
  <c r="BE698" i="6"/>
  <c r="U698" i="6"/>
  <c r="AR1021" i="6"/>
  <c r="AQ1021" i="6"/>
  <c r="AL1053" i="6"/>
  <c r="AM1053" i="6"/>
  <c r="BF286" i="6"/>
  <c r="V287" i="6" s="1"/>
  <c r="AH286" i="6"/>
  <c r="BD842" i="6"/>
  <c r="T843" i="6" s="1"/>
  <c r="AP842" i="6"/>
  <c r="AL1345" i="6"/>
  <c r="AM1345" i="6"/>
  <c r="BO865" i="6"/>
  <c r="BN866" i="6" s="1"/>
  <c r="BD1563" i="6"/>
  <c r="T1564" i="6" s="1"/>
  <c r="AP1563" i="6"/>
  <c r="AF1502" i="6"/>
  <c r="AQ85" i="6"/>
  <c r="AH1366" i="6"/>
  <c r="BF1366" i="6"/>
  <c r="V1367" i="6" s="1"/>
  <c r="AR1201" i="6"/>
  <c r="AQ1201" i="6"/>
  <c r="BG1167" i="6"/>
  <c r="W1168" i="6" s="1"/>
  <c r="AH1167" i="6"/>
  <c r="BO1382" i="6"/>
  <c r="BN1383" i="6" s="1"/>
  <c r="AK1382" i="6"/>
  <c r="BA52" i="6"/>
  <c r="Q53" i="6" s="1"/>
  <c r="AQ304" i="6"/>
  <c r="AQ409" i="6"/>
  <c r="AG916" i="6"/>
  <c r="BA916" i="6"/>
  <c r="Q917" i="6" s="1"/>
  <c r="BF1006" i="6"/>
  <c r="V1007" i="6" s="1"/>
  <c r="AH1006" i="6"/>
  <c r="BE1452" i="6"/>
  <c r="U1452" i="6"/>
  <c r="AH1654" i="6"/>
  <c r="BF1654" i="6"/>
  <c r="V1655" i="6" s="1"/>
  <c r="AM1233" i="6"/>
  <c r="AL1233" i="6"/>
  <c r="BA314" i="6"/>
  <c r="Q315" i="6" s="1"/>
  <c r="BE876" i="6"/>
  <c r="U876" i="6"/>
  <c r="AM1125" i="6"/>
  <c r="AL1125" i="6"/>
  <c r="AS336" i="6"/>
  <c r="AU336" i="6" s="1"/>
  <c r="BG1635" i="6"/>
  <c r="W1636" i="6" s="1"/>
  <c r="AH1635" i="6"/>
  <c r="U1416" i="6"/>
  <c r="BE1416" i="6"/>
  <c r="BO1459" i="6"/>
  <c r="BN1460" i="6" s="1"/>
  <c r="BF1114" i="6"/>
  <c r="V1115" i="6" s="1"/>
  <c r="AH1114" i="6"/>
  <c r="BD1202" i="6"/>
  <c r="T1203" i="6" s="1"/>
  <c r="AP1202" i="6"/>
  <c r="AM692" i="6"/>
  <c r="AL692" i="6"/>
  <c r="AQ875" i="6"/>
  <c r="AR875" i="6"/>
  <c r="BO1246" i="6"/>
  <c r="BN1247" i="6" s="1"/>
  <c r="AF422" i="6"/>
  <c r="AV422" i="6"/>
  <c r="L423" i="6" s="1"/>
  <c r="AV423" i="6" s="1"/>
  <c r="L424" i="6" s="1"/>
  <c r="AV424" i="6" s="1"/>
  <c r="L425" i="6" s="1"/>
  <c r="AV425" i="6" s="1"/>
  <c r="L426" i="6" s="1"/>
  <c r="AV426" i="6" s="1"/>
  <c r="L427" i="6" s="1"/>
  <c r="AV427" i="6" s="1"/>
  <c r="L428" i="6" s="1"/>
  <c r="AV428" i="6" s="1"/>
  <c r="L429" i="6" s="1"/>
  <c r="AV429" i="6" s="1"/>
  <c r="L430" i="6" s="1"/>
  <c r="AV430" i="6" s="1"/>
  <c r="L431" i="6" s="1"/>
  <c r="AV431" i="6" s="1"/>
  <c r="L432" i="6" s="1"/>
  <c r="AV432" i="6" s="1"/>
  <c r="L433" i="6" s="1"/>
  <c r="AV433" i="6" s="1"/>
  <c r="L434" i="6" s="1"/>
  <c r="AV434" i="6" s="1"/>
  <c r="L435" i="6" s="1"/>
  <c r="AV435" i="6" s="1"/>
  <c r="L436" i="6" s="1"/>
  <c r="AV436" i="6" s="1"/>
  <c r="L437" i="6" s="1"/>
  <c r="AV437" i="6" s="1"/>
  <c r="AS588" i="6"/>
  <c r="AU588" i="6" s="1"/>
  <c r="N991" i="6"/>
  <c r="AX991" i="6" s="1"/>
  <c r="N992" i="6" s="1"/>
  <c r="AX992" i="6" s="1"/>
  <c r="N993" i="6" s="1"/>
  <c r="AX993" i="6" s="1"/>
  <c r="N994" i="6" s="1"/>
  <c r="AX994" i="6" s="1"/>
  <c r="N995" i="6" s="1"/>
  <c r="AX995" i="6" s="1"/>
  <c r="N996" i="6" s="1"/>
  <c r="AX996" i="6" s="1"/>
  <c r="N997" i="6" s="1"/>
  <c r="AX997" i="6" s="1"/>
  <c r="N998" i="6" s="1"/>
  <c r="AX998" i="6" s="1"/>
  <c r="N999" i="6" s="1"/>
  <c r="AX999" i="6" s="1"/>
  <c r="N1000" i="6" s="1"/>
  <c r="AX1000" i="6" s="1"/>
  <c r="N1001" i="6" s="1"/>
  <c r="AX1001" i="6" s="1"/>
  <c r="N1002" i="6" s="1"/>
  <c r="AX1002" i="6" s="1"/>
  <c r="N1003" i="6" s="1"/>
  <c r="AX1003" i="6" s="1"/>
  <c r="N1004" i="6" s="1"/>
  <c r="AX1004" i="6" s="1"/>
  <c r="N1005" i="6" s="1"/>
  <c r="AX1005" i="6" s="1"/>
  <c r="N1006" i="6" s="1"/>
  <c r="AX1006" i="6" s="1"/>
  <c r="N1007" i="6" s="1"/>
  <c r="AX1007" i="6" s="1"/>
  <c r="N1008" i="6" s="1"/>
  <c r="AX1008" i="6" s="1"/>
  <c r="N1009" i="6" s="1"/>
  <c r="AX1009" i="6" s="1"/>
  <c r="N1010" i="6" s="1"/>
  <c r="AX1010" i="6" s="1"/>
  <c r="N1011" i="6" s="1"/>
  <c r="AX1011" i="6" s="1"/>
  <c r="N1012" i="6" s="1"/>
  <c r="AX1012" i="6" s="1"/>
  <c r="N1013" i="6" s="1"/>
  <c r="AX1013" i="6" s="1"/>
  <c r="BG592" i="6"/>
  <c r="W593" i="6" s="1"/>
  <c r="AH592" i="6"/>
  <c r="BO127" i="6"/>
  <c r="BN128" i="6" s="1"/>
  <c r="AK127" i="6"/>
  <c r="BA339" i="6"/>
  <c r="Q340" i="6" s="1"/>
  <c r="AG339" i="6"/>
  <c r="BD305" i="6"/>
  <c r="T306" i="6" s="1"/>
  <c r="AP305" i="6"/>
  <c r="BD410" i="6"/>
  <c r="T411" i="6" s="1"/>
  <c r="AP410" i="6"/>
  <c r="AN262" i="6"/>
  <c r="AU262" i="6" s="1"/>
  <c r="N667" i="6"/>
  <c r="AX667" i="6" s="1"/>
  <c r="N668" i="6" s="1"/>
  <c r="AX668" i="6" s="1"/>
  <c r="N669" i="6" s="1"/>
  <c r="AX669" i="6" s="1"/>
  <c r="N670" i="6" s="1"/>
  <c r="AX670" i="6" s="1"/>
  <c r="N671" i="6" s="1"/>
  <c r="AX671" i="6" s="1"/>
  <c r="N672" i="6" s="1"/>
  <c r="AX672" i="6" s="1"/>
  <c r="N673" i="6" s="1"/>
  <c r="AX673" i="6" s="1"/>
  <c r="N674" i="6" s="1"/>
  <c r="AX674" i="6" s="1"/>
  <c r="N675" i="6" s="1"/>
  <c r="AX675" i="6" s="1"/>
  <c r="N676" i="6" s="1"/>
  <c r="AX676" i="6" s="1"/>
  <c r="N677" i="6" s="1"/>
  <c r="AX677" i="6" s="1"/>
  <c r="N678" i="6" s="1"/>
  <c r="AX678" i="6" s="1"/>
  <c r="N679" i="6" s="1"/>
  <c r="AX679" i="6" s="1"/>
  <c r="N680" i="6" s="1"/>
  <c r="AX680" i="6" s="1"/>
  <c r="N681" i="6" s="1"/>
  <c r="AX681" i="6" s="1"/>
  <c r="N682" i="6" s="1"/>
  <c r="AX682" i="6" s="1"/>
  <c r="N683" i="6" s="1"/>
  <c r="AX683" i="6" s="1"/>
  <c r="N684" i="6" s="1"/>
  <c r="AX684" i="6" s="1"/>
  <c r="N685" i="6" s="1"/>
  <c r="AX685" i="6" s="1"/>
  <c r="N686" i="6" s="1"/>
  <c r="AX686" i="6" s="1"/>
  <c r="N687" i="6" s="1"/>
  <c r="AX687" i="6" s="1"/>
  <c r="N688" i="6" s="1"/>
  <c r="AX688" i="6" s="1"/>
  <c r="N689" i="6" s="1"/>
  <c r="AX689" i="6" s="1"/>
  <c r="BO232" i="6"/>
  <c r="BN233" i="6" s="1"/>
  <c r="AK232" i="6"/>
  <c r="BG1203" i="6"/>
  <c r="W1204" i="6" s="1"/>
  <c r="AH1203" i="6"/>
  <c r="BO1136" i="6"/>
  <c r="BN1137" i="6" s="1"/>
  <c r="BF1330" i="6"/>
  <c r="V1331" i="6" s="1"/>
  <c r="AH1330" i="6"/>
  <c r="AN189" i="6"/>
  <c r="AU189" i="6" s="1"/>
  <c r="BD1490" i="6"/>
  <c r="T1491" i="6" s="1"/>
  <c r="AP1490" i="6"/>
  <c r="BH1138" i="6"/>
  <c r="X1139" i="6" s="1"/>
  <c r="AD1138" i="6"/>
  <c r="BO268" i="6"/>
  <c r="BN269" i="6" s="1"/>
  <c r="AK268" i="6"/>
  <c r="BO344" i="6"/>
  <c r="BN345" i="6" s="1"/>
  <c r="AK344" i="6"/>
  <c r="BE1525" i="6"/>
  <c r="U1525" i="6"/>
  <c r="BE807" i="6"/>
  <c r="U807" i="6"/>
  <c r="BO610" i="6"/>
  <c r="BN611" i="6" s="1"/>
  <c r="AK610" i="6"/>
  <c r="BG1023" i="6"/>
  <c r="W1024" i="6" s="1"/>
  <c r="AH1023" i="6"/>
  <c r="BD806" i="6"/>
  <c r="T807" i="6" s="1"/>
  <c r="AP806" i="6"/>
  <c r="AS912" i="6"/>
  <c r="AU912" i="6" s="1"/>
  <c r="BG1312" i="6"/>
  <c r="W1313" i="6" s="1"/>
  <c r="AH1312" i="6"/>
  <c r="BE229" i="6"/>
  <c r="U229" i="6"/>
  <c r="BG1380" i="6"/>
  <c r="W1381" i="6" s="1"/>
  <c r="AH1380" i="6"/>
  <c r="BE1489" i="6"/>
  <c r="U1489" i="6"/>
  <c r="BO1354" i="6"/>
  <c r="BN1355" i="6" s="1"/>
  <c r="AK1354" i="6"/>
  <c r="BD1022" i="6"/>
  <c r="T1023" i="6" s="1"/>
  <c r="AP1022" i="6"/>
  <c r="AM556" i="6"/>
  <c r="AQ1055" i="6"/>
  <c r="BF1582" i="6"/>
  <c r="V1583" i="6" s="1"/>
  <c r="AH1582" i="6"/>
  <c r="BH1192" i="6"/>
  <c r="X1193" i="6" s="1"/>
  <c r="AD1192" i="6"/>
  <c r="BO887" i="6"/>
  <c r="BN888" i="6" s="1"/>
  <c r="AK887" i="6"/>
  <c r="BE157" i="6"/>
  <c r="U157" i="6"/>
  <c r="BE591" i="6"/>
  <c r="U591" i="6"/>
  <c r="BA1203" i="6"/>
  <c r="Q1204" i="6" s="1"/>
  <c r="AG1203" i="6"/>
  <c r="AL156" i="6"/>
  <c r="AM156" i="6"/>
  <c r="AQ519" i="6"/>
  <c r="BA201" i="6"/>
  <c r="Q202" i="6" s="1"/>
  <c r="AH214" i="6"/>
  <c r="BF214" i="6"/>
  <c r="V215" i="6" s="1"/>
  <c r="BO195" i="6"/>
  <c r="BN196" i="6" s="1"/>
  <c r="BA665" i="6"/>
  <c r="Q666" i="6" s="1"/>
  <c r="AQ625" i="6"/>
  <c r="AR625" i="6"/>
  <c r="U950" i="6"/>
  <c r="BE950" i="6"/>
  <c r="N1423" i="6"/>
  <c r="AX1423" i="6" s="1"/>
  <c r="N1424" i="6" s="1"/>
  <c r="AX1424" i="6" s="1"/>
  <c r="N1425" i="6" s="1"/>
  <c r="AX1425" i="6" s="1"/>
  <c r="N1426" i="6" s="1"/>
  <c r="AX1426" i="6" s="1"/>
  <c r="N1427" i="6" s="1"/>
  <c r="AX1427" i="6" s="1"/>
  <c r="N1428" i="6" s="1"/>
  <c r="AX1428" i="6" s="1"/>
  <c r="N1429" i="6" s="1"/>
  <c r="AX1429" i="6" s="1"/>
  <c r="N1430" i="6" s="1"/>
  <c r="AX1430" i="6" s="1"/>
  <c r="N1431" i="6" s="1"/>
  <c r="AX1431" i="6" s="1"/>
  <c r="N1432" i="6" s="1"/>
  <c r="AX1432" i="6" s="1"/>
  <c r="N1433" i="6" s="1"/>
  <c r="AX1433" i="6" s="1"/>
  <c r="N1434" i="6" s="1"/>
  <c r="AX1434" i="6" s="1"/>
  <c r="N1435" i="6" s="1"/>
  <c r="AX1435" i="6" s="1"/>
  <c r="N1436" i="6" s="1"/>
  <c r="AX1436" i="6" s="1"/>
  <c r="N1437" i="6" s="1"/>
  <c r="AX1437" i="6" s="1"/>
  <c r="N1438" i="6" s="1"/>
  <c r="AX1438" i="6" s="1"/>
  <c r="N1439" i="6" s="1"/>
  <c r="AX1439" i="6" s="1"/>
  <c r="N1440" i="6" s="1"/>
  <c r="AX1440" i="6" s="1"/>
  <c r="N1441" i="6" s="1"/>
  <c r="AX1441" i="6" s="1"/>
  <c r="N1442" i="6" s="1"/>
  <c r="AX1442" i="6" s="1"/>
  <c r="N1443" i="6" s="1"/>
  <c r="AX1443" i="6" s="1"/>
  <c r="N1444" i="6" s="1"/>
  <c r="AX1444" i="6" s="1"/>
  <c r="N1445" i="6" s="1"/>
  <c r="AX1445" i="6" s="1"/>
  <c r="BO171" i="6"/>
  <c r="BN172" i="6" s="1"/>
  <c r="AK171" i="6"/>
  <c r="AQ157" i="6"/>
  <c r="AR157" i="6"/>
  <c r="AV98" i="6"/>
  <c r="L99" i="6" s="1"/>
  <c r="AV99" i="6" s="1"/>
  <c r="L100" i="6" s="1"/>
  <c r="AV100" i="6" s="1"/>
  <c r="L101" i="6" s="1"/>
  <c r="AV101" i="6" s="1"/>
  <c r="L102" i="6" s="1"/>
  <c r="AV102" i="6" s="1"/>
  <c r="L103" i="6" s="1"/>
  <c r="AV103" i="6" s="1"/>
  <c r="L104" i="6" s="1"/>
  <c r="AV104" i="6" s="1"/>
  <c r="L105" i="6" s="1"/>
  <c r="AV105" i="6" s="1"/>
  <c r="L106" i="6" s="1"/>
  <c r="AV106" i="6" s="1"/>
  <c r="L107" i="6" s="1"/>
  <c r="AV107" i="6" s="1"/>
  <c r="L108" i="6" s="1"/>
  <c r="AV108" i="6" s="1"/>
  <c r="L109" i="6" s="1"/>
  <c r="AV109" i="6" s="1"/>
  <c r="L110" i="6" s="1"/>
  <c r="AV110" i="6" s="1"/>
  <c r="L111" i="6" s="1"/>
  <c r="AV111" i="6" s="1"/>
  <c r="L112" i="6" s="1"/>
  <c r="AV112" i="6" s="1"/>
  <c r="L113" i="6" s="1"/>
  <c r="AV113" i="6" s="1"/>
  <c r="AF98" i="6"/>
  <c r="BA452" i="6"/>
  <c r="Q453" i="6" s="1"/>
  <c r="AG452" i="6"/>
  <c r="AQ698" i="6"/>
  <c r="AZ1054" i="6"/>
  <c r="P1055" i="6" s="1"/>
  <c r="AG1054" i="6"/>
  <c r="AK1054" i="6"/>
  <c r="AR1054" i="6" s="1"/>
  <c r="AS1054" i="6" s="1"/>
  <c r="BA557" i="6"/>
  <c r="Q558" i="6" s="1"/>
  <c r="AG557" i="6"/>
  <c r="BE13" i="6"/>
  <c r="U13" i="6"/>
  <c r="BF1150" i="6"/>
  <c r="V1151" i="6" s="1"/>
  <c r="AH1150" i="6"/>
  <c r="BE1596" i="6"/>
  <c r="U1596" i="6"/>
  <c r="BA1167" i="6"/>
  <c r="Q1168" i="6" s="1"/>
  <c r="AG1167" i="6"/>
  <c r="BA19" i="6"/>
  <c r="Q20" i="6" s="1"/>
  <c r="AG19" i="6"/>
  <c r="BO1101" i="6"/>
  <c r="BN1102" i="6" s="1"/>
  <c r="AK1101" i="6"/>
  <c r="BG841" i="6"/>
  <c r="W842" i="6" s="1"/>
  <c r="AH841" i="6"/>
  <c r="AG989" i="6"/>
  <c r="BA989" i="6"/>
  <c r="Q990" i="6" s="1"/>
  <c r="BD1635" i="6"/>
  <c r="T1636" i="6" s="1"/>
  <c r="AP1635" i="6"/>
  <c r="BE552" i="6"/>
  <c r="U552" i="6"/>
  <c r="AP770" i="6"/>
  <c r="BD770" i="6"/>
  <c r="T771" i="6" s="1"/>
  <c r="AR373" i="6"/>
  <c r="AQ373" i="6"/>
  <c r="AZ1234" i="6"/>
  <c r="P1235" i="6" s="1"/>
  <c r="AG1234" i="6"/>
  <c r="AK1234" i="6"/>
  <c r="AR1234" i="6" s="1"/>
  <c r="AS1234" i="6" s="1"/>
  <c r="BG878" i="6"/>
  <c r="W879" i="6" s="1"/>
  <c r="AH878" i="6"/>
  <c r="AQ1168" i="6"/>
  <c r="AR1168" i="6"/>
  <c r="BE1273" i="6"/>
  <c r="U1273" i="6"/>
  <c r="BG338" i="6"/>
  <c r="W339" i="6" s="1"/>
  <c r="AH338" i="6"/>
  <c r="AM338" i="6" s="1"/>
  <c r="BA1528" i="6"/>
  <c r="Q1529" i="6" s="1"/>
  <c r="AG1528" i="6"/>
  <c r="BG1561" i="6"/>
  <c r="W1562" i="6" s="1"/>
  <c r="AH1561" i="6"/>
  <c r="AM1484" i="6"/>
  <c r="AL1484" i="6"/>
  <c r="BG556" i="6"/>
  <c r="W557" i="6" s="1"/>
  <c r="AH556" i="6"/>
  <c r="AL556" i="6" s="1"/>
  <c r="AN1523" i="6"/>
  <c r="AU1523" i="6" s="1"/>
  <c r="BE840" i="6"/>
  <c r="U840" i="6"/>
  <c r="BA87" i="6"/>
  <c r="Q88" i="6" s="1"/>
  <c r="BO1078" i="6"/>
  <c r="BN1079" i="6" s="1"/>
  <c r="BO323" i="6"/>
  <c r="BN324" i="6" s="1"/>
  <c r="BF1186" i="6"/>
  <c r="V1187" i="6" s="1"/>
  <c r="AH1186" i="6"/>
  <c r="AN225" i="6"/>
  <c r="AU225" i="6" s="1"/>
  <c r="AL1593" i="6"/>
  <c r="AM1593" i="6"/>
  <c r="L127" i="6"/>
  <c r="AV127" i="6" s="1"/>
  <c r="L128" i="6" s="1"/>
  <c r="AV128" i="6" s="1"/>
  <c r="L129" i="6" s="1"/>
  <c r="AV129" i="6" s="1"/>
  <c r="L130" i="6" s="1"/>
  <c r="AV130" i="6" s="1"/>
  <c r="L131" i="6" s="1"/>
  <c r="AV131" i="6" s="1"/>
  <c r="L132" i="6" s="1"/>
  <c r="AV132" i="6" s="1"/>
  <c r="L133" i="6" s="1"/>
  <c r="AV133" i="6" s="1"/>
  <c r="L134" i="6" s="1"/>
  <c r="AL729" i="6"/>
  <c r="AM729" i="6"/>
  <c r="AQ482" i="6"/>
  <c r="N415" i="6"/>
  <c r="AX415" i="6" s="1"/>
  <c r="N416" i="6" s="1"/>
  <c r="AX416" i="6" s="1"/>
  <c r="N417" i="6" s="1"/>
  <c r="AX417" i="6" s="1"/>
  <c r="N418" i="6" s="1"/>
  <c r="AX418" i="6" s="1"/>
  <c r="N419" i="6" s="1"/>
  <c r="AX419" i="6" s="1"/>
  <c r="N420" i="6" s="1"/>
  <c r="AX420" i="6" s="1"/>
  <c r="N421" i="6" s="1"/>
  <c r="AX421" i="6" s="1"/>
  <c r="N422" i="6" s="1"/>
  <c r="AX422" i="6" s="1"/>
  <c r="N423" i="6" s="1"/>
  <c r="AX423" i="6" s="1"/>
  <c r="N424" i="6" s="1"/>
  <c r="AX424" i="6" s="1"/>
  <c r="N425" i="6" s="1"/>
  <c r="AX425" i="6" s="1"/>
  <c r="N426" i="6" s="1"/>
  <c r="AX426" i="6" s="1"/>
  <c r="N427" i="6" s="1"/>
  <c r="AX427" i="6" s="1"/>
  <c r="N428" i="6" s="1"/>
  <c r="AX428" i="6" s="1"/>
  <c r="N429" i="6" s="1"/>
  <c r="AX429" i="6" s="1"/>
  <c r="N430" i="6" s="1"/>
  <c r="AX430" i="6" s="1"/>
  <c r="N431" i="6" s="1"/>
  <c r="AX431" i="6" s="1"/>
  <c r="N432" i="6" s="1"/>
  <c r="AX432" i="6" s="1"/>
  <c r="N433" i="6" s="1"/>
  <c r="AX433" i="6" s="1"/>
  <c r="N434" i="6" s="1"/>
  <c r="AX434" i="6" s="1"/>
  <c r="N435" i="6" s="1"/>
  <c r="AX435" i="6" s="1"/>
  <c r="N436" i="6" s="1"/>
  <c r="AX436" i="6" s="1"/>
  <c r="N437" i="6" s="1"/>
  <c r="AX437" i="6" s="1"/>
  <c r="AN691" i="6"/>
  <c r="AU691" i="6" s="1"/>
  <c r="AG381" i="6"/>
  <c r="BA381" i="6"/>
  <c r="Q382" i="6" s="1"/>
  <c r="AM1412" i="6"/>
  <c r="AL1412" i="6"/>
  <c r="AL877" i="6"/>
  <c r="AM877" i="6"/>
  <c r="BO1296" i="6"/>
  <c r="BN1297" i="6" s="1"/>
  <c r="AK1296" i="6"/>
  <c r="BD1169" i="6"/>
  <c r="T1170" i="6" s="1"/>
  <c r="AP1169" i="6"/>
  <c r="BG157" i="6"/>
  <c r="W158" i="6" s="1"/>
  <c r="AH157" i="6"/>
  <c r="BG732" i="6"/>
  <c r="W733" i="6" s="1"/>
  <c r="AH732" i="6"/>
  <c r="BO465" i="6"/>
  <c r="BN466" i="6" s="1"/>
  <c r="AG237" i="6"/>
  <c r="BA237" i="6"/>
  <c r="Q238" i="6" s="1"/>
  <c r="BF970" i="6"/>
  <c r="V971" i="6" s="1"/>
  <c r="AH970" i="6"/>
  <c r="AM45" i="6"/>
  <c r="AL45" i="6"/>
  <c r="M1459" i="6"/>
  <c r="AW1459" i="6" s="1"/>
  <c r="M1460" i="6" s="1"/>
  <c r="AW1460" i="6" s="1"/>
  <c r="M1461" i="6" s="1"/>
  <c r="AW1461" i="6" s="1"/>
  <c r="M1462" i="6" s="1"/>
  <c r="AW1462" i="6" s="1"/>
  <c r="M1463" i="6" s="1"/>
  <c r="AW1463" i="6" s="1"/>
  <c r="M1464" i="6" s="1"/>
  <c r="AW1464" i="6" s="1"/>
  <c r="M1465" i="6" s="1"/>
  <c r="AW1465" i="6" s="1"/>
  <c r="M1466" i="6" s="1"/>
  <c r="AZ1485" i="6"/>
  <c r="P1486" i="6" s="1"/>
  <c r="AG1485" i="6"/>
  <c r="AK1485" i="6"/>
  <c r="AR1485" i="6" s="1"/>
  <c r="AS1485" i="6" s="1"/>
  <c r="BA807" i="6"/>
  <c r="Q808" i="6" s="1"/>
  <c r="AG807" i="6"/>
  <c r="AF926" i="6"/>
  <c r="AV926" i="6"/>
  <c r="L927" i="6" s="1"/>
  <c r="AV927" i="6" s="1"/>
  <c r="L928" i="6" s="1"/>
  <c r="AV928" i="6" s="1"/>
  <c r="L929" i="6" s="1"/>
  <c r="AV929" i="6" s="1"/>
  <c r="L930" i="6" s="1"/>
  <c r="AV930" i="6" s="1"/>
  <c r="L931" i="6" s="1"/>
  <c r="AV931" i="6" s="1"/>
  <c r="L932" i="6" s="1"/>
  <c r="AV932" i="6" s="1"/>
  <c r="L933" i="6" s="1"/>
  <c r="AV933" i="6" s="1"/>
  <c r="L934" i="6" s="1"/>
  <c r="AV934" i="6" s="1"/>
  <c r="L935" i="6" s="1"/>
  <c r="AV935" i="6" s="1"/>
  <c r="L936" i="6" s="1"/>
  <c r="AV936" i="6" s="1"/>
  <c r="L937" i="6" s="1"/>
  <c r="AV937" i="6" s="1"/>
  <c r="L938" i="6" s="1"/>
  <c r="AV938" i="6" s="1"/>
  <c r="L939" i="6" s="1"/>
  <c r="AV939" i="6" s="1"/>
  <c r="L940" i="6" s="1"/>
  <c r="AV940" i="6" s="1"/>
  <c r="L941" i="6" s="1"/>
  <c r="AV941" i="6" s="1"/>
  <c r="AN947" i="6"/>
  <c r="AU947" i="6" s="1"/>
  <c r="BD520" i="6"/>
  <c r="T521" i="6" s="1"/>
  <c r="AP520" i="6"/>
  <c r="BF934" i="6"/>
  <c r="V935" i="6" s="1"/>
  <c r="AH934" i="6"/>
  <c r="AN1378" i="6"/>
  <c r="AU1378" i="6" s="1"/>
  <c r="BE1309" i="6"/>
  <c r="U1309" i="6"/>
  <c r="BE625" i="6"/>
  <c r="U625" i="6"/>
  <c r="BE1633" i="6"/>
  <c r="U1633" i="6"/>
  <c r="N307" i="6"/>
  <c r="AX307" i="6" s="1"/>
  <c r="N308" i="6" s="1"/>
  <c r="AX308" i="6" s="1"/>
  <c r="N309" i="6" s="1"/>
  <c r="AX309" i="6" s="1"/>
  <c r="N310" i="6" s="1"/>
  <c r="AX310" i="6" s="1"/>
  <c r="N311" i="6" s="1"/>
  <c r="AX311" i="6" s="1"/>
  <c r="N312" i="6" s="1"/>
  <c r="AX312" i="6" s="1"/>
  <c r="N313" i="6" s="1"/>
  <c r="AX313" i="6" s="1"/>
  <c r="N314" i="6" s="1"/>
  <c r="AX314" i="6" s="1"/>
  <c r="N315" i="6" s="1"/>
  <c r="AX315" i="6" s="1"/>
  <c r="N316" i="6" s="1"/>
  <c r="AX316" i="6" s="1"/>
  <c r="N317" i="6" s="1"/>
  <c r="AX317" i="6" s="1"/>
  <c r="N318" i="6" s="1"/>
  <c r="AX318" i="6" s="1"/>
  <c r="N319" i="6" s="1"/>
  <c r="AX319" i="6" s="1"/>
  <c r="N320" i="6" s="1"/>
  <c r="AX320" i="6" s="1"/>
  <c r="N321" i="6" s="1"/>
  <c r="AX321" i="6" s="1"/>
  <c r="N322" i="6" s="1"/>
  <c r="AX322" i="6" s="1"/>
  <c r="N323" i="6" s="1"/>
  <c r="AX323" i="6" s="1"/>
  <c r="N324" i="6" s="1"/>
  <c r="AX324" i="6" s="1"/>
  <c r="N325" i="6" s="1"/>
  <c r="AX325" i="6" s="1"/>
  <c r="N326" i="6" s="1"/>
  <c r="AX326" i="6" s="1"/>
  <c r="N327" i="6" s="1"/>
  <c r="AX327" i="6" s="1"/>
  <c r="N328" i="6" s="1"/>
  <c r="AX328" i="6" s="1"/>
  <c r="N329" i="6" s="1"/>
  <c r="AX329" i="6" s="1"/>
  <c r="AM190" i="6"/>
  <c r="AL190" i="6"/>
  <c r="BD626" i="6"/>
  <c r="T627" i="6" s="1"/>
  <c r="AP626" i="6"/>
  <c r="BF394" i="6"/>
  <c r="V395" i="6" s="1"/>
  <c r="AH394" i="6"/>
  <c r="AF1430" i="6"/>
  <c r="AV1430" i="6"/>
  <c r="L1431" i="6" s="1"/>
  <c r="AV1431" i="6" s="1"/>
  <c r="L1432" i="6" s="1"/>
  <c r="AV1432" i="6" s="1"/>
  <c r="L1433" i="6" s="1"/>
  <c r="AV1433" i="6" s="1"/>
  <c r="L1434" i="6" s="1"/>
  <c r="AV1434" i="6" s="1"/>
  <c r="L1435" i="6" s="1"/>
  <c r="AV1435" i="6" s="1"/>
  <c r="L1436" i="6" s="1"/>
  <c r="AV1436" i="6" s="1"/>
  <c r="L1437" i="6" s="1"/>
  <c r="AV1437" i="6" s="1"/>
  <c r="L1438" i="6" s="1"/>
  <c r="AV1438" i="6" s="1"/>
  <c r="L1439" i="6" s="1"/>
  <c r="AV1439" i="6" s="1"/>
  <c r="L1440" i="6" s="1"/>
  <c r="AV1440" i="6" s="1"/>
  <c r="L1441" i="6" s="1"/>
  <c r="AV1441" i="6" s="1"/>
  <c r="L1442" i="6" s="1"/>
  <c r="AV1442" i="6" s="1"/>
  <c r="L1443" i="6" s="1"/>
  <c r="AV1443" i="6" s="1"/>
  <c r="L1444" i="6" s="1"/>
  <c r="AV1444" i="6" s="1"/>
  <c r="L1445" i="6" s="1"/>
  <c r="AV1445" i="6" s="1"/>
  <c r="BD158" i="6"/>
  <c r="T159" i="6" s="1"/>
  <c r="AP158" i="6"/>
  <c r="M1063" i="6"/>
  <c r="AW1063" i="6" s="1"/>
  <c r="M1064" i="6" s="1"/>
  <c r="AW1064" i="6" s="1"/>
  <c r="M1065" i="6" s="1"/>
  <c r="AW1065" i="6" s="1"/>
  <c r="M1066" i="6" s="1"/>
  <c r="AW1066" i="6" s="1"/>
  <c r="M1067" i="6" s="1"/>
  <c r="AW1067" i="6" s="1"/>
  <c r="M1068" i="6" s="1"/>
  <c r="AW1068" i="6" s="1"/>
  <c r="M1069" i="6" s="1"/>
  <c r="AW1069" i="6" s="1"/>
  <c r="M1070" i="6" s="1"/>
  <c r="AR13" i="6"/>
  <c r="AQ13" i="6"/>
  <c r="AN118" i="6"/>
  <c r="AU118" i="6" s="1"/>
  <c r="BG192" i="6"/>
  <c r="W193" i="6" s="1"/>
  <c r="AH192" i="6"/>
  <c r="AP699" i="6"/>
  <c r="BD699" i="6"/>
  <c r="T700" i="6" s="1"/>
  <c r="BO1216" i="6"/>
  <c r="BN1217" i="6" s="1"/>
  <c r="AK1216" i="6"/>
  <c r="AM1274" i="6"/>
  <c r="AN1274" i="6" s="1"/>
  <c r="BE193" i="6"/>
  <c r="U193" i="6"/>
  <c r="BD1382" i="6"/>
  <c r="T1383" i="6" s="1"/>
  <c r="AP1382" i="6"/>
  <c r="BO526" i="6"/>
  <c r="BN527" i="6" s="1"/>
  <c r="BF1402" i="6"/>
  <c r="V1403" i="6" s="1"/>
  <c r="AH1402" i="6"/>
  <c r="BO1178" i="6"/>
  <c r="BN1179" i="6" s="1"/>
  <c r="AK1178" i="6"/>
  <c r="BF142" i="6"/>
  <c r="V143" i="6" s="1"/>
  <c r="AH142" i="6"/>
  <c r="BE301" i="6"/>
  <c r="U301" i="6"/>
  <c r="BG516" i="6"/>
  <c r="W517" i="6" s="1"/>
  <c r="AH516" i="6"/>
  <c r="BG1460" i="6"/>
  <c r="W1461" i="6" s="1"/>
  <c r="AH1460" i="6"/>
  <c r="AZ34" i="6"/>
  <c r="P35" i="6" s="1"/>
  <c r="AK34" i="6"/>
  <c r="BO575" i="6"/>
  <c r="BN576" i="6" s="1"/>
  <c r="BE1200" i="6"/>
  <c r="U1200" i="6"/>
  <c r="AZ730" i="6"/>
  <c r="P731" i="6" s="1"/>
  <c r="AG730" i="6"/>
  <c r="AK730" i="6"/>
  <c r="AR730" i="6" s="1"/>
  <c r="AS730" i="6" s="1"/>
  <c r="BD483" i="6"/>
  <c r="T484" i="6" s="1"/>
  <c r="AP483" i="6"/>
  <c r="BG1056" i="6"/>
  <c r="W1057" i="6" s="1"/>
  <c r="AH1056" i="6"/>
  <c r="AQ50" i="6"/>
  <c r="AQ1597" i="6"/>
  <c r="AL804" i="6"/>
  <c r="AM804" i="6"/>
  <c r="AV1286" i="6"/>
  <c r="L1287" i="6" s="1"/>
  <c r="AV1287" i="6" s="1"/>
  <c r="L1288" i="6" s="1"/>
  <c r="AV1288" i="6" s="1"/>
  <c r="L1289" i="6" s="1"/>
  <c r="AV1289" i="6" s="1"/>
  <c r="L1290" i="6" s="1"/>
  <c r="AV1290" i="6" s="1"/>
  <c r="L1291" i="6" s="1"/>
  <c r="AV1291" i="6" s="1"/>
  <c r="L1292" i="6" s="1"/>
  <c r="AV1292" i="6" s="1"/>
  <c r="L1293" i="6" s="1"/>
  <c r="AV1293" i="6" s="1"/>
  <c r="L1294" i="6" s="1"/>
  <c r="AV1294" i="6" s="1"/>
  <c r="L1295" i="6" s="1"/>
  <c r="AV1295" i="6" s="1"/>
  <c r="L1296" i="6" s="1"/>
  <c r="AV1296" i="6" s="1"/>
  <c r="L1297" i="6" s="1"/>
  <c r="AV1297" i="6" s="1"/>
  <c r="L1298" i="6" s="1"/>
  <c r="AV1298" i="6" s="1"/>
  <c r="L1299" i="6" s="1"/>
  <c r="AV1299" i="6" s="1"/>
  <c r="L1300" i="6" s="1"/>
  <c r="AV1300" i="6" s="1"/>
  <c r="L1301" i="6" s="1"/>
  <c r="AV1301" i="6" s="1"/>
  <c r="BE517" i="6"/>
  <c r="U517" i="6"/>
  <c r="BH920" i="6"/>
  <c r="X921" i="6" s="1"/>
  <c r="AD920" i="6"/>
  <c r="BF178" i="6"/>
  <c r="V179" i="6" s="1"/>
  <c r="AH178" i="6"/>
  <c r="M775" i="6"/>
  <c r="AW775" i="6" s="1"/>
  <c r="M776" i="6" s="1"/>
  <c r="AW776" i="6" s="1"/>
  <c r="M777" i="6" s="1"/>
  <c r="AW777" i="6" s="1"/>
  <c r="M778" i="6" s="1"/>
  <c r="AW778" i="6" s="1"/>
  <c r="M779" i="6" s="1"/>
  <c r="AW779" i="6" s="1"/>
  <c r="M780" i="6" s="1"/>
  <c r="AW780" i="6" s="1"/>
  <c r="M781" i="6" s="1"/>
  <c r="AW781" i="6" s="1"/>
  <c r="M782" i="6" s="1"/>
  <c r="AZ46" i="6"/>
  <c r="P47" i="6" s="1"/>
  <c r="AG46" i="6"/>
  <c r="AK46" i="6"/>
  <c r="AR46" i="6" s="1"/>
  <c r="AS46" i="6" s="1"/>
  <c r="BF646" i="6"/>
  <c r="V647" i="6" s="1"/>
  <c r="AH646" i="6"/>
  <c r="BE49" i="6"/>
  <c r="U49" i="6"/>
  <c r="BD1094" i="6"/>
  <c r="T1095" i="6" s="1"/>
  <c r="AP1094" i="6"/>
  <c r="BG300" i="6"/>
  <c r="W301" i="6" s="1"/>
  <c r="AH300" i="6"/>
  <c r="BD122" i="6"/>
  <c r="T123" i="6" s="1"/>
  <c r="AP122" i="6"/>
  <c r="BF1510" i="6"/>
  <c r="V1511" i="6" s="1"/>
  <c r="AH1510" i="6"/>
  <c r="BF466" i="6"/>
  <c r="V467" i="6" s="1"/>
  <c r="AH466" i="6"/>
  <c r="AU768" i="6"/>
  <c r="AZ191" i="6"/>
  <c r="P192" i="6" s="1"/>
  <c r="AG191" i="6"/>
  <c r="AK191" i="6"/>
  <c r="AR191" i="6" s="1"/>
  <c r="AS191" i="6" s="1"/>
  <c r="BA529" i="6"/>
  <c r="Q530" i="6" s="1"/>
  <c r="AM119" i="6"/>
  <c r="AL119" i="6"/>
  <c r="BO722" i="6"/>
  <c r="BN723" i="6" s="1"/>
  <c r="BD14" i="6"/>
  <c r="T15" i="6" s="1"/>
  <c r="AP14" i="6"/>
  <c r="BG628" i="6"/>
  <c r="W629" i="6" s="1"/>
  <c r="AH628" i="6"/>
  <c r="AM1524" i="6"/>
  <c r="AL1524" i="6"/>
  <c r="AV1610" i="6"/>
  <c r="L1611" i="6" s="1"/>
  <c r="AV1611" i="6" s="1"/>
  <c r="L1612" i="6" s="1"/>
  <c r="AV1612" i="6" s="1"/>
  <c r="L1613" i="6" s="1"/>
  <c r="AV1613" i="6" s="1"/>
  <c r="L1614" i="6" s="1"/>
  <c r="AV1614" i="6" s="1"/>
  <c r="L1615" i="6" s="1"/>
  <c r="AV1615" i="6" s="1"/>
  <c r="L1616" i="6" s="1"/>
  <c r="AV1616" i="6" s="1"/>
  <c r="L1617" i="6" s="1"/>
  <c r="AV1617" i="6" s="1"/>
  <c r="L1618" i="6" s="1"/>
  <c r="AV1618" i="6" s="1"/>
  <c r="L1619" i="6" s="1"/>
  <c r="AV1619" i="6" s="1"/>
  <c r="L1620" i="6" s="1"/>
  <c r="AV1620" i="6" s="1"/>
  <c r="L1621" i="6" s="1"/>
  <c r="AV1621" i="6" s="1"/>
  <c r="L1622" i="6" s="1"/>
  <c r="AV1622" i="6" s="1"/>
  <c r="L1623" i="6" s="1"/>
  <c r="AV1623" i="6" s="1"/>
  <c r="L1624" i="6" s="1"/>
  <c r="AV1624" i="6" s="1"/>
  <c r="L1625" i="6" s="1"/>
  <c r="AV1625" i="6" s="1"/>
  <c r="AM297" i="6"/>
  <c r="AL297" i="6"/>
  <c r="AR229" i="6"/>
  <c r="AQ229" i="6"/>
  <c r="BG227" i="6"/>
  <c r="W228" i="6" s="1"/>
  <c r="AH227" i="6"/>
  <c r="AQ1312" i="6"/>
  <c r="AR1312" i="6"/>
  <c r="AM373" i="6"/>
  <c r="AL373" i="6"/>
  <c r="AQ266" i="6"/>
  <c r="AR266" i="6"/>
  <c r="M1243" i="6"/>
  <c r="AW1243" i="6" s="1"/>
  <c r="M1244" i="6" s="1"/>
  <c r="AW1244" i="6" s="1"/>
  <c r="M1245" i="6" s="1"/>
  <c r="AW1245" i="6" s="1"/>
  <c r="M1246" i="6" s="1"/>
  <c r="AW1246" i="6" s="1"/>
  <c r="M1247" i="6" s="1"/>
  <c r="AW1247" i="6" s="1"/>
  <c r="M1248" i="6" s="1"/>
  <c r="AW1248" i="6" s="1"/>
  <c r="M1249" i="6" s="1"/>
  <c r="AW1249" i="6" s="1"/>
  <c r="M1250" i="6" s="1"/>
  <c r="AH790" i="6"/>
  <c r="BF790" i="6"/>
  <c r="V791" i="6" s="1"/>
  <c r="BO416" i="6"/>
  <c r="BN417" i="6" s="1"/>
  <c r="AZ1126" i="6"/>
  <c r="P1127" i="6" s="1"/>
  <c r="AG1126" i="6"/>
  <c r="AK1126" i="6"/>
  <c r="AR1126" i="6" s="1"/>
  <c r="AS1126" i="6" s="1"/>
  <c r="AZ693" i="6"/>
  <c r="P694" i="6" s="1"/>
  <c r="AG693" i="6"/>
  <c r="AK693" i="6"/>
  <c r="AR693" i="6" s="1"/>
  <c r="AS693" i="6" s="1"/>
  <c r="BD876" i="6"/>
  <c r="T877" i="6" s="1"/>
  <c r="AP876" i="6"/>
  <c r="BF1078" i="6"/>
  <c r="V1079" i="6" s="1"/>
  <c r="AH1078" i="6"/>
  <c r="BO819" i="6"/>
  <c r="BN820" i="6" s="1"/>
  <c r="AK819" i="6"/>
  <c r="BA1131" i="6"/>
  <c r="Q1132" i="6" s="1"/>
  <c r="AZ570" i="6"/>
  <c r="P571" i="6" s="1"/>
  <c r="AK570" i="6"/>
  <c r="M1567" i="6"/>
  <c r="AW1567" i="6" s="1"/>
  <c r="M1568" i="6" s="1"/>
  <c r="AW1568" i="6" s="1"/>
  <c r="M1569" i="6" s="1"/>
  <c r="AW1569" i="6" s="1"/>
  <c r="M1570" i="6" s="1"/>
  <c r="AW1570" i="6" s="1"/>
  <c r="M1571" i="6" s="1"/>
  <c r="AW1571" i="6" s="1"/>
  <c r="M1572" i="6" s="1"/>
  <c r="AW1572" i="6" s="1"/>
  <c r="M1573" i="6" s="1"/>
  <c r="AW1573" i="6" s="1"/>
  <c r="M1574" i="6" s="1"/>
  <c r="AZ1594" i="6"/>
  <c r="P1595" i="6" s="1"/>
  <c r="AG1594" i="6"/>
  <c r="AK1594" i="6"/>
  <c r="AR1594" i="6" s="1"/>
  <c r="AS1594" i="6" s="1"/>
  <c r="BA1387" i="6"/>
  <c r="Q1388" i="6" s="1"/>
  <c r="AG1387" i="6"/>
  <c r="M1171" i="6"/>
  <c r="AW1171" i="6" s="1"/>
  <c r="M1172" i="6" s="1"/>
  <c r="AW1172" i="6" s="1"/>
  <c r="M1173" i="6" s="1"/>
  <c r="AW1173" i="6" s="1"/>
  <c r="M1174" i="6" s="1"/>
  <c r="AW1174" i="6" s="1"/>
  <c r="M1175" i="6" s="1"/>
  <c r="AW1175" i="6" s="1"/>
  <c r="M1176" i="6" s="1"/>
  <c r="AW1176" i="6" s="1"/>
  <c r="M1177" i="6" s="1"/>
  <c r="AW1177" i="6" s="1"/>
  <c r="M1178" i="6" s="1"/>
  <c r="AM406" i="6"/>
  <c r="AL406" i="6"/>
  <c r="AN296" i="6"/>
  <c r="AU296" i="6" s="1"/>
  <c r="BA848" i="6"/>
  <c r="Q849" i="6" s="1"/>
  <c r="AN1165" i="6"/>
  <c r="AU1165" i="6" s="1"/>
  <c r="AW134" i="6"/>
  <c r="M135" i="6" s="1"/>
  <c r="AW135" i="6" s="1"/>
  <c r="M136" i="6" s="1"/>
  <c r="AW136" i="6" s="1"/>
  <c r="M137" i="6" s="1"/>
  <c r="AW137" i="6" s="1"/>
  <c r="M138" i="6" s="1"/>
  <c r="AW138" i="6" s="1"/>
  <c r="M139" i="6" s="1"/>
  <c r="AW139" i="6" s="1"/>
  <c r="M140" i="6" s="1"/>
  <c r="AW140" i="6" s="1"/>
  <c r="M141" i="6" s="1"/>
  <c r="AW141" i="6" s="1"/>
  <c r="M142" i="6" s="1"/>
  <c r="AW142" i="6" s="1"/>
  <c r="M143" i="6" s="1"/>
  <c r="AW143" i="6" s="1"/>
  <c r="M144" i="6" s="1"/>
  <c r="AW144" i="6" s="1"/>
  <c r="M145" i="6" s="1"/>
  <c r="AW145" i="6" s="1"/>
  <c r="M146" i="6" s="1"/>
  <c r="AW146" i="6" s="1"/>
  <c r="M147" i="6" s="1"/>
  <c r="AW147" i="6" s="1"/>
  <c r="M148" i="6" s="1"/>
  <c r="AW148" i="6" s="1"/>
  <c r="M149" i="6" s="1"/>
  <c r="AW149" i="6" s="1"/>
  <c r="AS1311" i="6"/>
  <c r="BO953" i="6"/>
  <c r="BN954" i="6" s="1"/>
  <c r="AK953" i="6"/>
  <c r="AR953" i="6" s="1"/>
  <c r="BG410" i="6"/>
  <c r="W411" i="6" s="1"/>
  <c r="AH410" i="6"/>
  <c r="AZ1413" i="6"/>
  <c r="P1414" i="6" s="1"/>
  <c r="AK1413" i="6"/>
  <c r="AR1413" i="6" s="1"/>
  <c r="AS1413" i="6" s="1"/>
  <c r="AG1413" i="6"/>
  <c r="BD51" i="6"/>
  <c r="T52" i="6" s="1"/>
  <c r="AP51" i="6"/>
  <c r="AS874" i="6"/>
  <c r="AU874" i="6" s="1"/>
  <c r="BD1598" i="6"/>
  <c r="T1599" i="6" s="1"/>
  <c r="AP1598" i="6"/>
  <c r="BG805" i="6"/>
  <c r="W806" i="6" s="1"/>
  <c r="AH805" i="6"/>
  <c r="BA699" i="6"/>
  <c r="Q700" i="6" s="1"/>
  <c r="M1207" i="6"/>
  <c r="AW1207" i="6" s="1"/>
  <c r="M1208" i="6" s="1"/>
  <c r="AW1208" i="6" s="1"/>
  <c r="M1209" i="6" s="1"/>
  <c r="AW1209" i="6" s="1"/>
  <c r="M1210" i="6" s="1"/>
  <c r="AW1210" i="6" s="1"/>
  <c r="M1211" i="6" s="1"/>
  <c r="AW1211" i="6" s="1"/>
  <c r="M1212" i="6" s="1"/>
  <c r="AW1212" i="6" s="1"/>
  <c r="M1213" i="6" s="1"/>
  <c r="AW1213" i="6" s="1"/>
  <c r="M1214" i="6" s="1"/>
  <c r="L1207" i="6"/>
  <c r="AV1207" i="6" s="1"/>
  <c r="L1208" i="6" s="1"/>
  <c r="AV1208" i="6" s="1"/>
  <c r="L1209" i="6" s="1"/>
  <c r="AV1209" i="6" s="1"/>
  <c r="L1210" i="6" s="1"/>
  <c r="AV1210" i="6" s="1"/>
  <c r="L1211" i="6" s="1"/>
  <c r="AV1211" i="6" s="1"/>
  <c r="L1212" i="6" s="1"/>
  <c r="AV1212" i="6" s="1"/>
  <c r="L1213" i="6" s="1"/>
  <c r="AV1213" i="6" s="1"/>
  <c r="L1214" i="6" s="1"/>
  <c r="BO1636" i="6"/>
  <c r="BN1637" i="6" s="1"/>
  <c r="AL948" i="6"/>
  <c r="AM948" i="6"/>
  <c r="BE984" i="6"/>
  <c r="U984" i="6"/>
  <c r="AR1093" i="6"/>
  <c r="AQ1093" i="6"/>
  <c r="N919" i="6"/>
  <c r="AX919" i="6" s="1"/>
  <c r="N920" i="6" s="1"/>
  <c r="AX920" i="6" s="1"/>
  <c r="N921" i="6" s="1"/>
  <c r="AX921" i="6" s="1"/>
  <c r="N922" i="6" s="1"/>
  <c r="AX922" i="6" s="1"/>
  <c r="N923" i="6" s="1"/>
  <c r="AX923" i="6" s="1"/>
  <c r="N924" i="6" s="1"/>
  <c r="AX924" i="6" s="1"/>
  <c r="N925" i="6" s="1"/>
  <c r="AX925" i="6" s="1"/>
  <c r="N926" i="6" s="1"/>
  <c r="AX926" i="6" s="1"/>
  <c r="N927" i="6" s="1"/>
  <c r="AX927" i="6" s="1"/>
  <c r="N928" i="6" s="1"/>
  <c r="AX928" i="6" s="1"/>
  <c r="N929" i="6" s="1"/>
  <c r="AX929" i="6" s="1"/>
  <c r="N930" i="6" s="1"/>
  <c r="AX930" i="6" s="1"/>
  <c r="N931" i="6" s="1"/>
  <c r="AX931" i="6" s="1"/>
  <c r="N932" i="6" s="1"/>
  <c r="AX932" i="6" s="1"/>
  <c r="N933" i="6" s="1"/>
  <c r="AX933" i="6" s="1"/>
  <c r="N934" i="6" s="1"/>
  <c r="AX934" i="6" s="1"/>
  <c r="N935" i="6" s="1"/>
  <c r="AX935" i="6" s="1"/>
  <c r="N936" i="6" s="1"/>
  <c r="AX936" i="6" s="1"/>
  <c r="N937" i="6" s="1"/>
  <c r="AX937" i="6" s="1"/>
  <c r="N938" i="6" s="1"/>
  <c r="AX938" i="6" s="1"/>
  <c r="N939" i="6" s="1"/>
  <c r="AX939" i="6" s="1"/>
  <c r="N940" i="6" s="1"/>
  <c r="AX940" i="6" s="1"/>
  <c r="N941" i="6" s="1"/>
  <c r="AX941" i="6" s="1"/>
  <c r="AQ1453" i="6"/>
  <c r="BG48" i="6"/>
  <c r="W49" i="6" s="1"/>
  <c r="AH48" i="6"/>
  <c r="AQ121" i="6"/>
  <c r="AR121" i="6"/>
  <c r="BO70" i="6"/>
  <c r="BN71" i="6" s="1"/>
  <c r="BE446" i="6"/>
  <c r="U446" i="6"/>
  <c r="N559" i="6"/>
  <c r="AX559" i="6" s="1"/>
  <c r="N560" i="6" s="1"/>
  <c r="AX560" i="6" s="1"/>
  <c r="N561" i="6" s="1"/>
  <c r="AX561" i="6" s="1"/>
  <c r="N562" i="6" s="1"/>
  <c r="AX562" i="6" s="1"/>
  <c r="N563" i="6" s="1"/>
  <c r="AX563" i="6" s="1"/>
  <c r="N564" i="6" s="1"/>
  <c r="AX564" i="6" s="1"/>
  <c r="N565" i="6" s="1"/>
  <c r="AX565" i="6" s="1"/>
  <c r="N566" i="6" s="1"/>
  <c r="AX566" i="6" s="1"/>
  <c r="N567" i="6" s="1"/>
  <c r="AX567" i="6" s="1"/>
  <c r="N568" i="6" s="1"/>
  <c r="AX568" i="6" s="1"/>
  <c r="N569" i="6" s="1"/>
  <c r="AX569" i="6" s="1"/>
  <c r="N570" i="6" s="1"/>
  <c r="AX570" i="6" s="1"/>
  <c r="N571" i="6" s="1"/>
  <c r="AX571" i="6" s="1"/>
  <c r="N572" i="6" s="1"/>
  <c r="AX572" i="6" s="1"/>
  <c r="N573" i="6" s="1"/>
  <c r="AX573" i="6" s="1"/>
  <c r="N574" i="6" s="1"/>
  <c r="AX574" i="6" s="1"/>
  <c r="N575" i="6" s="1"/>
  <c r="AX575" i="6" s="1"/>
  <c r="N576" i="6" s="1"/>
  <c r="AX576" i="6" s="1"/>
  <c r="N577" i="6" s="1"/>
  <c r="AX577" i="6" s="1"/>
  <c r="N578" i="6" s="1"/>
  <c r="AX578" i="6" s="1"/>
  <c r="N579" i="6" s="1"/>
  <c r="AX579" i="6" s="1"/>
  <c r="N580" i="6" s="1"/>
  <c r="AX580" i="6" s="1"/>
  <c r="N581" i="6" s="1"/>
  <c r="AX581" i="6" s="1"/>
  <c r="AM984" i="6"/>
  <c r="AL984" i="6"/>
  <c r="AH120" i="6"/>
  <c r="BG120" i="6"/>
  <c r="W121" i="6" s="1"/>
  <c r="BG481" i="6"/>
  <c r="W482" i="6" s="1"/>
  <c r="AH481" i="6"/>
  <c r="AQ1129" i="6"/>
  <c r="AQ661" i="6"/>
  <c r="AL263" i="6"/>
  <c r="AM263" i="6"/>
  <c r="AH1275" i="6"/>
  <c r="BG1275" i="6"/>
  <c r="W1276" i="6" s="1"/>
  <c r="BG1525" i="6"/>
  <c r="W1526" i="6" s="1"/>
  <c r="AH1525" i="6"/>
  <c r="N523" i="6"/>
  <c r="AX523" i="6" s="1"/>
  <c r="N524" i="6" s="1"/>
  <c r="AX524" i="6" s="1"/>
  <c r="N525" i="6" s="1"/>
  <c r="AX525" i="6" s="1"/>
  <c r="N526" i="6" s="1"/>
  <c r="AX526" i="6" s="1"/>
  <c r="N527" i="6" s="1"/>
  <c r="AX527" i="6" s="1"/>
  <c r="N528" i="6" s="1"/>
  <c r="AX528" i="6" s="1"/>
  <c r="N529" i="6" s="1"/>
  <c r="AX529" i="6" s="1"/>
  <c r="N530" i="6" s="1"/>
  <c r="AX530" i="6" s="1"/>
  <c r="N531" i="6" s="1"/>
  <c r="AX531" i="6" s="1"/>
  <c r="N532" i="6" s="1"/>
  <c r="AX532" i="6" s="1"/>
  <c r="N533" i="6" s="1"/>
  <c r="AX533" i="6" s="1"/>
  <c r="N534" i="6" s="1"/>
  <c r="AX534" i="6" s="1"/>
  <c r="N535" i="6" s="1"/>
  <c r="AX535" i="6" s="1"/>
  <c r="N536" i="6" s="1"/>
  <c r="AX536" i="6" s="1"/>
  <c r="N537" i="6" s="1"/>
  <c r="AX537" i="6" s="1"/>
  <c r="N538" i="6" s="1"/>
  <c r="AX538" i="6" s="1"/>
  <c r="N539" i="6" s="1"/>
  <c r="AX539" i="6" s="1"/>
  <c r="N540" i="6" s="1"/>
  <c r="AX540" i="6" s="1"/>
  <c r="N541" i="6" s="1"/>
  <c r="AX541" i="6" s="1"/>
  <c r="N542" i="6" s="1"/>
  <c r="AX542" i="6" s="1"/>
  <c r="N543" i="6" s="1"/>
  <c r="AX543" i="6" s="1"/>
  <c r="N544" i="6" s="1"/>
  <c r="AX544" i="6" s="1"/>
  <c r="N545" i="6" s="1"/>
  <c r="AX545" i="6" s="1"/>
  <c r="AZ298" i="6"/>
  <c r="P299" i="6" s="1"/>
  <c r="AG298" i="6"/>
  <c r="AK298" i="6"/>
  <c r="AR298" i="6" s="1"/>
  <c r="AS298" i="6" s="1"/>
  <c r="AL769" i="6"/>
  <c r="AM769" i="6"/>
  <c r="AN226" i="6" l="1"/>
  <c r="AU226" i="6" s="1"/>
  <c r="AS1381" i="6"/>
  <c r="AS266" i="6"/>
  <c r="L343" i="6"/>
  <c r="AV343" i="6" s="1"/>
  <c r="L344" i="6" s="1"/>
  <c r="AV344" i="6" s="1"/>
  <c r="L345" i="6" s="1"/>
  <c r="AV345" i="6" s="1"/>
  <c r="L346" i="6" s="1"/>
  <c r="AV346" i="6" s="1"/>
  <c r="L347" i="6" s="1"/>
  <c r="AV347" i="6" s="1"/>
  <c r="L348" i="6" s="1"/>
  <c r="AV348" i="6" s="1"/>
  <c r="L349" i="6" s="1"/>
  <c r="AV349" i="6" s="1"/>
  <c r="L350" i="6" s="1"/>
  <c r="AV890" i="6"/>
  <c r="L891" i="6" s="1"/>
  <c r="AV891" i="6" s="1"/>
  <c r="L892" i="6" s="1"/>
  <c r="AV892" i="6" s="1"/>
  <c r="L893" i="6" s="1"/>
  <c r="AV893" i="6" s="1"/>
  <c r="L894" i="6" s="1"/>
  <c r="AV894" i="6" s="1"/>
  <c r="L895" i="6" s="1"/>
  <c r="AV895" i="6" s="1"/>
  <c r="L896" i="6" s="1"/>
  <c r="AV896" i="6" s="1"/>
  <c r="L897" i="6" s="1"/>
  <c r="AV897" i="6" s="1"/>
  <c r="L898" i="6" s="1"/>
  <c r="AV898" i="6" s="1"/>
  <c r="L899" i="6" s="1"/>
  <c r="AV899" i="6" s="1"/>
  <c r="L900" i="6" s="1"/>
  <c r="AV900" i="6" s="1"/>
  <c r="L901" i="6" s="1"/>
  <c r="AV901" i="6" s="1"/>
  <c r="L902" i="6" s="1"/>
  <c r="AV902" i="6" s="1"/>
  <c r="L903" i="6" s="1"/>
  <c r="AV903" i="6" s="1"/>
  <c r="L904" i="6" s="1"/>
  <c r="AV904" i="6" s="1"/>
  <c r="L905" i="6" s="1"/>
  <c r="AV905" i="6" s="1"/>
  <c r="AF890" i="6"/>
  <c r="AN1345" i="6"/>
  <c r="AU1345" i="6" s="1"/>
  <c r="AS1168" i="6"/>
  <c r="AN1524" i="6"/>
  <c r="AU1524" i="6" s="1"/>
  <c r="AS1273" i="6"/>
  <c r="AU1273" i="6" s="1"/>
  <c r="AN915" i="6"/>
  <c r="AN769" i="6"/>
  <c r="AN190" i="6"/>
  <c r="AU190" i="6" s="1"/>
  <c r="AN1311" i="6"/>
  <c r="AS1093" i="6"/>
  <c r="AU1093" i="6" s="1"/>
  <c r="AS805" i="6"/>
  <c r="AN444" i="6"/>
  <c r="AU444" i="6" s="1"/>
  <c r="AS445" i="6"/>
  <c r="AV1538" i="6"/>
  <c r="L1539" i="6" s="1"/>
  <c r="AV1539" i="6" s="1"/>
  <c r="L1540" i="6" s="1"/>
  <c r="AV1540" i="6" s="1"/>
  <c r="L1541" i="6" s="1"/>
  <c r="AV1541" i="6" s="1"/>
  <c r="L1542" i="6" s="1"/>
  <c r="AV1542" i="6" s="1"/>
  <c r="L1543" i="6" s="1"/>
  <c r="AV1543" i="6" s="1"/>
  <c r="L1544" i="6" s="1"/>
  <c r="AV1544" i="6" s="1"/>
  <c r="L1545" i="6" s="1"/>
  <c r="AV1545" i="6" s="1"/>
  <c r="L1546" i="6" s="1"/>
  <c r="AV1546" i="6" s="1"/>
  <c r="L1547" i="6" s="1"/>
  <c r="AV1547" i="6" s="1"/>
  <c r="L1548" i="6" s="1"/>
  <c r="AV1548" i="6" s="1"/>
  <c r="L1549" i="6" s="1"/>
  <c r="AV1549" i="6" s="1"/>
  <c r="L1550" i="6" s="1"/>
  <c r="AV1550" i="6" s="1"/>
  <c r="L1551" i="6" s="1"/>
  <c r="AV1551" i="6" s="1"/>
  <c r="L1552" i="6" s="1"/>
  <c r="AV1552" i="6" s="1"/>
  <c r="L1553" i="6" s="1"/>
  <c r="AV1553" i="6" s="1"/>
  <c r="AW566" i="6"/>
  <c r="M567" i="6" s="1"/>
  <c r="AW567" i="6" s="1"/>
  <c r="M568" i="6" s="1"/>
  <c r="AW568" i="6" s="1"/>
  <c r="M569" i="6" s="1"/>
  <c r="AW569" i="6" s="1"/>
  <c r="M570" i="6" s="1"/>
  <c r="AW570" i="6" s="1"/>
  <c r="M571" i="6" s="1"/>
  <c r="AW571" i="6" s="1"/>
  <c r="M572" i="6" s="1"/>
  <c r="AW572" i="6" s="1"/>
  <c r="M573" i="6" s="1"/>
  <c r="AW573" i="6" s="1"/>
  <c r="M574" i="6" s="1"/>
  <c r="AW574" i="6" s="1"/>
  <c r="M575" i="6" s="1"/>
  <c r="AW575" i="6" s="1"/>
  <c r="M576" i="6" s="1"/>
  <c r="AW576" i="6" s="1"/>
  <c r="M577" i="6" s="1"/>
  <c r="AW577" i="6" s="1"/>
  <c r="M578" i="6" s="1"/>
  <c r="AW578" i="6" s="1"/>
  <c r="M579" i="6" s="1"/>
  <c r="AW579" i="6" s="1"/>
  <c r="M580" i="6" s="1"/>
  <c r="AW580" i="6" s="1"/>
  <c r="M581" i="6" s="1"/>
  <c r="AW581" i="6" s="1"/>
  <c r="AF1538" i="6"/>
  <c r="AF674" i="6"/>
  <c r="AL338" i="6"/>
  <c r="AN338" i="6" s="1"/>
  <c r="AF1610" i="6"/>
  <c r="AV314" i="6"/>
  <c r="L315" i="6" s="1"/>
  <c r="AV315" i="6" s="1"/>
  <c r="L316" i="6" s="1"/>
  <c r="AV316" i="6" s="1"/>
  <c r="L317" i="6" s="1"/>
  <c r="AV317" i="6" s="1"/>
  <c r="L318" i="6" s="1"/>
  <c r="AV318" i="6" s="1"/>
  <c r="L319" i="6" s="1"/>
  <c r="AV319" i="6" s="1"/>
  <c r="L320" i="6" s="1"/>
  <c r="AV320" i="6" s="1"/>
  <c r="L321" i="6" s="1"/>
  <c r="AV321" i="6" s="1"/>
  <c r="L322" i="6" s="1"/>
  <c r="AV322" i="6" s="1"/>
  <c r="L323" i="6" s="1"/>
  <c r="AV323" i="6" s="1"/>
  <c r="L324" i="6" s="1"/>
  <c r="AV324" i="6" s="1"/>
  <c r="L325" i="6" s="1"/>
  <c r="AV325" i="6" s="1"/>
  <c r="L326" i="6" s="1"/>
  <c r="AV326" i="6" s="1"/>
  <c r="L327" i="6" s="1"/>
  <c r="AV327" i="6" s="1"/>
  <c r="L328" i="6" s="1"/>
  <c r="AV328" i="6" s="1"/>
  <c r="L329" i="6" s="1"/>
  <c r="AV329" i="6" s="1"/>
  <c r="AL374" i="6"/>
  <c r="AN374" i="6" s="1"/>
  <c r="AW1646" i="6"/>
  <c r="M1647" i="6" s="1"/>
  <c r="AW1647" i="6" s="1"/>
  <c r="M1648" i="6" s="1"/>
  <c r="AW1648" i="6" s="1"/>
  <c r="M1649" i="6" s="1"/>
  <c r="AW1649" i="6" s="1"/>
  <c r="M1650" i="6" s="1"/>
  <c r="AW1650" i="6" s="1"/>
  <c r="M1651" i="6" s="1"/>
  <c r="AW1651" i="6" s="1"/>
  <c r="M1652" i="6" s="1"/>
  <c r="AW1652" i="6" s="1"/>
  <c r="M1653" i="6" s="1"/>
  <c r="AW1653" i="6" s="1"/>
  <c r="M1654" i="6" s="1"/>
  <c r="AW1654" i="6" s="1"/>
  <c r="M1655" i="6" s="1"/>
  <c r="AW1655" i="6" s="1"/>
  <c r="M1656" i="6" s="1"/>
  <c r="AW1656" i="6" s="1"/>
  <c r="M1657" i="6" s="1"/>
  <c r="AW1657" i="6" s="1"/>
  <c r="M1658" i="6" s="1"/>
  <c r="AW1658" i="6" s="1"/>
  <c r="M1659" i="6" s="1"/>
  <c r="AW1659" i="6" s="1"/>
  <c r="M1660" i="6" s="1"/>
  <c r="AW1660" i="6" s="1"/>
  <c r="M1661" i="6" s="1"/>
  <c r="AW1661" i="6" s="1"/>
  <c r="AV1358" i="6"/>
  <c r="L1359" i="6" s="1"/>
  <c r="AV1359" i="6" s="1"/>
  <c r="L1360" i="6" s="1"/>
  <c r="AV1360" i="6" s="1"/>
  <c r="L1361" i="6" s="1"/>
  <c r="AV1361" i="6" s="1"/>
  <c r="L1362" i="6" s="1"/>
  <c r="AV1362" i="6" s="1"/>
  <c r="L1363" i="6" s="1"/>
  <c r="AV1363" i="6" s="1"/>
  <c r="L1364" i="6" s="1"/>
  <c r="AV1364" i="6" s="1"/>
  <c r="L1365" i="6" s="1"/>
  <c r="AV1365" i="6" s="1"/>
  <c r="L1366" i="6" s="1"/>
  <c r="AV1366" i="6" s="1"/>
  <c r="L1367" i="6" s="1"/>
  <c r="AV1367" i="6" s="1"/>
  <c r="L1368" i="6" s="1"/>
  <c r="AV1368" i="6" s="1"/>
  <c r="L1369" i="6" s="1"/>
  <c r="AV1369" i="6" s="1"/>
  <c r="L1370" i="6" s="1"/>
  <c r="AV1370" i="6" s="1"/>
  <c r="L1371" i="6" s="1"/>
  <c r="AV1371" i="6" s="1"/>
  <c r="L1372" i="6" s="1"/>
  <c r="AV1372" i="6" s="1"/>
  <c r="L1373" i="6" s="1"/>
  <c r="AV1373" i="6" s="1"/>
  <c r="AV1106" i="6"/>
  <c r="L1107" i="6" s="1"/>
  <c r="AV1107" i="6" s="1"/>
  <c r="L1108" i="6" s="1"/>
  <c r="AV1108" i="6" s="1"/>
  <c r="L1109" i="6" s="1"/>
  <c r="AV1109" i="6" s="1"/>
  <c r="L1110" i="6" s="1"/>
  <c r="AV1110" i="6" s="1"/>
  <c r="L1111" i="6" s="1"/>
  <c r="AV1111" i="6" s="1"/>
  <c r="L1112" i="6" s="1"/>
  <c r="AV1112" i="6" s="1"/>
  <c r="L1113" i="6" s="1"/>
  <c r="AV1113" i="6" s="1"/>
  <c r="L1114" i="6" s="1"/>
  <c r="AV1114" i="6" s="1"/>
  <c r="L1115" i="6" s="1"/>
  <c r="AV1115" i="6" s="1"/>
  <c r="L1116" i="6" s="1"/>
  <c r="AV1116" i="6" s="1"/>
  <c r="L1117" i="6" s="1"/>
  <c r="AV1117" i="6" s="1"/>
  <c r="L1118" i="6" s="1"/>
  <c r="AV1118" i="6" s="1"/>
  <c r="L1119" i="6" s="1"/>
  <c r="AV1119" i="6" s="1"/>
  <c r="L1120" i="6" s="1"/>
  <c r="AV1120" i="6" s="1"/>
  <c r="L1121" i="6" s="1"/>
  <c r="AV1121" i="6" s="1"/>
  <c r="AG962" i="6"/>
  <c r="AW1034" i="6"/>
  <c r="M1035" i="6" s="1"/>
  <c r="AW1035" i="6" s="1"/>
  <c r="M1036" i="6" s="1"/>
  <c r="AW1036" i="6" s="1"/>
  <c r="M1037" i="6" s="1"/>
  <c r="AW1037" i="6" s="1"/>
  <c r="M1038" i="6" s="1"/>
  <c r="AW1038" i="6" s="1"/>
  <c r="M1039" i="6" s="1"/>
  <c r="AW1039" i="6" s="1"/>
  <c r="M1040" i="6" s="1"/>
  <c r="AW1040" i="6" s="1"/>
  <c r="M1041" i="6" s="1"/>
  <c r="AW1041" i="6" s="1"/>
  <c r="M1042" i="6" s="1"/>
  <c r="AW1042" i="6" s="1"/>
  <c r="M1043" i="6" s="1"/>
  <c r="AW1043" i="6" s="1"/>
  <c r="M1044" i="6" s="1"/>
  <c r="AW1044" i="6" s="1"/>
  <c r="M1045" i="6" s="1"/>
  <c r="AW1045" i="6" s="1"/>
  <c r="M1046" i="6" s="1"/>
  <c r="AW1046" i="6" s="1"/>
  <c r="M1047" i="6" s="1"/>
  <c r="AW1047" i="6" s="1"/>
  <c r="M1048" i="6" s="1"/>
  <c r="AW1048" i="6" s="1"/>
  <c r="M1049" i="6" s="1"/>
  <c r="AW1049" i="6" s="1"/>
  <c r="AF1106" i="6"/>
  <c r="AV566" i="6"/>
  <c r="L567" i="6" s="1"/>
  <c r="AV567" i="6" s="1"/>
  <c r="L568" i="6" s="1"/>
  <c r="AV568" i="6" s="1"/>
  <c r="L569" i="6" s="1"/>
  <c r="AV569" i="6" s="1"/>
  <c r="L570" i="6" s="1"/>
  <c r="AV570" i="6" s="1"/>
  <c r="L571" i="6" s="1"/>
  <c r="AV571" i="6" s="1"/>
  <c r="L572" i="6" s="1"/>
  <c r="AV572" i="6" s="1"/>
  <c r="L573" i="6" s="1"/>
  <c r="AV573" i="6" s="1"/>
  <c r="L574" i="6" s="1"/>
  <c r="AV574" i="6" s="1"/>
  <c r="L575" i="6" s="1"/>
  <c r="AV575" i="6" s="1"/>
  <c r="L576" i="6" s="1"/>
  <c r="AV576" i="6" s="1"/>
  <c r="L577" i="6" s="1"/>
  <c r="AV577" i="6" s="1"/>
  <c r="L578" i="6" s="1"/>
  <c r="AV578" i="6" s="1"/>
  <c r="L579" i="6" s="1"/>
  <c r="AV579" i="6" s="1"/>
  <c r="L580" i="6" s="1"/>
  <c r="AV580" i="6" s="1"/>
  <c r="L581" i="6" s="1"/>
  <c r="AV581" i="6" s="1"/>
  <c r="AF1358" i="6"/>
  <c r="AM770" i="6"/>
  <c r="AN770" i="6" s="1"/>
  <c r="AF962" i="6"/>
  <c r="AN554" i="6"/>
  <c r="AV1034" i="6"/>
  <c r="L1035" i="6" s="1"/>
  <c r="AV1035" i="6" s="1"/>
  <c r="L1036" i="6" s="1"/>
  <c r="AV1036" i="6" s="1"/>
  <c r="L1037" i="6" s="1"/>
  <c r="AV1037" i="6" s="1"/>
  <c r="L1038" i="6" s="1"/>
  <c r="AV1038" i="6" s="1"/>
  <c r="L1039" i="6" s="1"/>
  <c r="AV1039" i="6" s="1"/>
  <c r="L1040" i="6" s="1"/>
  <c r="AV1040" i="6" s="1"/>
  <c r="L1041" i="6" s="1"/>
  <c r="AV1041" i="6" s="1"/>
  <c r="L1042" i="6" s="1"/>
  <c r="AV1042" i="6" s="1"/>
  <c r="L1043" i="6" s="1"/>
  <c r="AV1043" i="6" s="1"/>
  <c r="L1044" i="6" s="1"/>
  <c r="AV1044" i="6" s="1"/>
  <c r="L1045" i="6" s="1"/>
  <c r="AV1045" i="6" s="1"/>
  <c r="L1046" i="6" s="1"/>
  <c r="AV1046" i="6" s="1"/>
  <c r="L1047" i="6" s="1"/>
  <c r="AV1047" i="6" s="1"/>
  <c r="L1048" i="6" s="1"/>
  <c r="AV1048" i="6" s="1"/>
  <c r="L1049" i="6" s="1"/>
  <c r="AV1049" i="6" s="1"/>
  <c r="AV674" i="6"/>
  <c r="L675" i="6" s="1"/>
  <c r="AV675" i="6" s="1"/>
  <c r="L676" i="6" s="1"/>
  <c r="AV676" i="6" s="1"/>
  <c r="L677" i="6" s="1"/>
  <c r="AV677" i="6" s="1"/>
  <c r="L678" i="6" s="1"/>
  <c r="AV678" i="6" s="1"/>
  <c r="L679" i="6" s="1"/>
  <c r="AV679" i="6" s="1"/>
  <c r="L680" i="6" s="1"/>
  <c r="AV680" i="6" s="1"/>
  <c r="L681" i="6" s="1"/>
  <c r="AV681" i="6" s="1"/>
  <c r="L682" i="6" s="1"/>
  <c r="AV682" i="6" s="1"/>
  <c r="L683" i="6" s="1"/>
  <c r="AV683" i="6" s="1"/>
  <c r="L684" i="6" s="1"/>
  <c r="AV684" i="6" s="1"/>
  <c r="L685" i="6" s="1"/>
  <c r="AV685" i="6" s="1"/>
  <c r="L686" i="6" s="1"/>
  <c r="AV686" i="6" s="1"/>
  <c r="L687" i="6" s="1"/>
  <c r="AV687" i="6" s="1"/>
  <c r="L688" i="6" s="1"/>
  <c r="AV688" i="6" s="1"/>
  <c r="L689" i="6" s="1"/>
  <c r="AV689" i="6" s="1"/>
  <c r="AV746" i="6"/>
  <c r="L747" i="6" s="1"/>
  <c r="AV747" i="6" s="1"/>
  <c r="L748" i="6" s="1"/>
  <c r="AV748" i="6" s="1"/>
  <c r="L749" i="6" s="1"/>
  <c r="AV749" i="6" s="1"/>
  <c r="L750" i="6" s="1"/>
  <c r="AV750" i="6" s="1"/>
  <c r="L751" i="6" s="1"/>
  <c r="AV751" i="6" s="1"/>
  <c r="L752" i="6" s="1"/>
  <c r="AV752" i="6" s="1"/>
  <c r="L753" i="6" s="1"/>
  <c r="AV753" i="6" s="1"/>
  <c r="L754" i="6" s="1"/>
  <c r="AV754" i="6" s="1"/>
  <c r="L755" i="6" s="1"/>
  <c r="AV755" i="6" s="1"/>
  <c r="L756" i="6" s="1"/>
  <c r="AV756" i="6" s="1"/>
  <c r="L757" i="6" s="1"/>
  <c r="AV757" i="6" s="1"/>
  <c r="L758" i="6" s="1"/>
  <c r="AV758" i="6" s="1"/>
  <c r="L759" i="6" s="1"/>
  <c r="AV759" i="6" s="1"/>
  <c r="L760" i="6" s="1"/>
  <c r="AV760" i="6" s="1"/>
  <c r="L761" i="6" s="1"/>
  <c r="AV761" i="6" s="1"/>
  <c r="AV602" i="6"/>
  <c r="L603" i="6" s="1"/>
  <c r="AV603" i="6" s="1"/>
  <c r="L604" i="6" s="1"/>
  <c r="AV604" i="6" s="1"/>
  <c r="L605" i="6" s="1"/>
  <c r="AV605" i="6" s="1"/>
  <c r="L606" i="6" s="1"/>
  <c r="AV606" i="6" s="1"/>
  <c r="L607" i="6" s="1"/>
  <c r="AV607" i="6" s="1"/>
  <c r="L608" i="6" s="1"/>
  <c r="AV608" i="6" s="1"/>
  <c r="L609" i="6" s="1"/>
  <c r="AV609" i="6" s="1"/>
  <c r="L610" i="6" s="1"/>
  <c r="AV610" i="6" s="1"/>
  <c r="L611" i="6" s="1"/>
  <c r="AV611" i="6" s="1"/>
  <c r="L612" i="6" s="1"/>
  <c r="AV612" i="6" s="1"/>
  <c r="L613" i="6" s="1"/>
  <c r="AV613" i="6" s="1"/>
  <c r="L614" i="6" s="1"/>
  <c r="AV614" i="6" s="1"/>
  <c r="L615" i="6" s="1"/>
  <c r="AV615" i="6" s="1"/>
  <c r="L616" i="6" s="1"/>
  <c r="AV616" i="6" s="1"/>
  <c r="L617" i="6" s="1"/>
  <c r="AV617" i="6" s="1"/>
  <c r="AF746" i="6"/>
  <c r="AF602" i="6"/>
  <c r="N883" i="6"/>
  <c r="AX883" i="6" s="1"/>
  <c r="N884" i="6" s="1"/>
  <c r="AX884" i="6" s="1"/>
  <c r="N885" i="6" s="1"/>
  <c r="AX885" i="6" s="1"/>
  <c r="N886" i="6" s="1"/>
  <c r="AX886" i="6" s="1"/>
  <c r="N887" i="6" s="1"/>
  <c r="AX887" i="6" s="1"/>
  <c r="N888" i="6" s="1"/>
  <c r="AX888" i="6" s="1"/>
  <c r="N889" i="6" s="1"/>
  <c r="AX889" i="6" s="1"/>
  <c r="N890" i="6" s="1"/>
  <c r="AX890" i="6" s="1"/>
  <c r="N891" i="6" s="1"/>
  <c r="AX891" i="6" s="1"/>
  <c r="N892" i="6" s="1"/>
  <c r="AX892" i="6" s="1"/>
  <c r="N893" i="6" s="1"/>
  <c r="AX893" i="6" s="1"/>
  <c r="N894" i="6" s="1"/>
  <c r="AX894" i="6" s="1"/>
  <c r="N895" i="6" s="1"/>
  <c r="AX895" i="6" s="1"/>
  <c r="N896" i="6" s="1"/>
  <c r="AX896" i="6" s="1"/>
  <c r="N897" i="6" s="1"/>
  <c r="AX897" i="6" s="1"/>
  <c r="N898" i="6" s="1"/>
  <c r="AX898" i="6" s="1"/>
  <c r="N899" i="6" s="1"/>
  <c r="AX899" i="6" s="1"/>
  <c r="N900" i="6" s="1"/>
  <c r="AX900" i="6" s="1"/>
  <c r="N901" i="6" s="1"/>
  <c r="AX901" i="6" s="1"/>
  <c r="N902" i="6" s="1"/>
  <c r="AX902" i="6" s="1"/>
  <c r="N903" i="6" s="1"/>
  <c r="AX903" i="6" s="1"/>
  <c r="N904" i="6" s="1"/>
  <c r="AX904" i="6" s="1"/>
  <c r="N905" i="6" s="1"/>
  <c r="AX905" i="6" s="1"/>
  <c r="N631" i="6"/>
  <c r="AX631" i="6" s="1"/>
  <c r="N632" i="6" s="1"/>
  <c r="AX632" i="6" s="1"/>
  <c r="N633" i="6" s="1"/>
  <c r="AX633" i="6" s="1"/>
  <c r="N634" i="6" s="1"/>
  <c r="AX634" i="6" s="1"/>
  <c r="N635" i="6" s="1"/>
  <c r="AX635" i="6" s="1"/>
  <c r="N636" i="6" s="1"/>
  <c r="AX636" i="6" s="1"/>
  <c r="N637" i="6" s="1"/>
  <c r="AX637" i="6" s="1"/>
  <c r="N638" i="6" s="1"/>
  <c r="AX638" i="6" s="1"/>
  <c r="N639" i="6" s="1"/>
  <c r="AX639" i="6" s="1"/>
  <c r="N640" i="6" s="1"/>
  <c r="AX640" i="6" s="1"/>
  <c r="N641" i="6" s="1"/>
  <c r="AX641" i="6" s="1"/>
  <c r="N642" i="6" s="1"/>
  <c r="AX642" i="6" s="1"/>
  <c r="N643" i="6" s="1"/>
  <c r="AX643" i="6" s="1"/>
  <c r="N644" i="6" s="1"/>
  <c r="AX644" i="6" s="1"/>
  <c r="N645" i="6" s="1"/>
  <c r="AX645" i="6" s="1"/>
  <c r="N646" i="6" s="1"/>
  <c r="AX646" i="6" s="1"/>
  <c r="N647" i="6" s="1"/>
  <c r="AX647" i="6" s="1"/>
  <c r="N648" i="6" s="1"/>
  <c r="AX648" i="6" s="1"/>
  <c r="N649" i="6" s="1"/>
  <c r="AX649" i="6" s="1"/>
  <c r="N650" i="6" s="1"/>
  <c r="AX650" i="6" s="1"/>
  <c r="N651" i="6" s="1"/>
  <c r="AX651" i="6" s="1"/>
  <c r="N652" i="6" s="1"/>
  <c r="AX652" i="6" s="1"/>
  <c r="N653" i="6" s="1"/>
  <c r="AX653" i="6" s="1"/>
  <c r="AV1322" i="6"/>
  <c r="L1323" i="6" s="1"/>
  <c r="AV1323" i="6" s="1"/>
  <c r="L1324" i="6" s="1"/>
  <c r="AV1324" i="6" s="1"/>
  <c r="L1325" i="6" s="1"/>
  <c r="AV1325" i="6" s="1"/>
  <c r="L1326" i="6" s="1"/>
  <c r="AV1326" i="6" s="1"/>
  <c r="L1327" i="6" s="1"/>
  <c r="AV1327" i="6" s="1"/>
  <c r="L1328" i="6" s="1"/>
  <c r="AV1328" i="6" s="1"/>
  <c r="L1329" i="6" s="1"/>
  <c r="AV1329" i="6" s="1"/>
  <c r="L1330" i="6" s="1"/>
  <c r="AV1330" i="6" s="1"/>
  <c r="L1331" i="6" s="1"/>
  <c r="AV1331" i="6" s="1"/>
  <c r="L1332" i="6" s="1"/>
  <c r="AV1332" i="6" s="1"/>
  <c r="L1333" i="6" s="1"/>
  <c r="AV1333" i="6" s="1"/>
  <c r="L1334" i="6" s="1"/>
  <c r="AV1334" i="6" s="1"/>
  <c r="L1335" i="6" s="1"/>
  <c r="AV1335" i="6" s="1"/>
  <c r="L1336" i="6" s="1"/>
  <c r="AV1336" i="6" s="1"/>
  <c r="L1337" i="6" s="1"/>
  <c r="AV1337" i="6" s="1"/>
  <c r="AW530" i="6"/>
  <c r="M531" i="6" s="1"/>
  <c r="AW531" i="6" s="1"/>
  <c r="M532" i="6" s="1"/>
  <c r="AW532" i="6" s="1"/>
  <c r="M533" i="6" s="1"/>
  <c r="AW533" i="6" s="1"/>
  <c r="M534" i="6" s="1"/>
  <c r="AW534" i="6" s="1"/>
  <c r="M535" i="6" s="1"/>
  <c r="AW535" i="6" s="1"/>
  <c r="M536" i="6" s="1"/>
  <c r="AW536" i="6" s="1"/>
  <c r="M537" i="6" s="1"/>
  <c r="AW537" i="6" s="1"/>
  <c r="M538" i="6" s="1"/>
  <c r="AW538" i="6" s="1"/>
  <c r="M539" i="6" s="1"/>
  <c r="AW539" i="6" s="1"/>
  <c r="M540" i="6" s="1"/>
  <c r="AW540" i="6" s="1"/>
  <c r="M541" i="6" s="1"/>
  <c r="AW541" i="6" s="1"/>
  <c r="M542" i="6" s="1"/>
  <c r="AW542" i="6" s="1"/>
  <c r="M543" i="6" s="1"/>
  <c r="AW543" i="6" s="1"/>
  <c r="M544" i="6" s="1"/>
  <c r="AW544" i="6" s="1"/>
  <c r="M545" i="6" s="1"/>
  <c r="AW545" i="6" s="1"/>
  <c r="AF1322" i="6"/>
  <c r="L1567" i="6"/>
  <c r="AV1567" i="6" s="1"/>
  <c r="L1568" i="6" s="1"/>
  <c r="AV1568" i="6" s="1"/>
  <c r="L1569" i="6" s="1"/>
  <c r="AV1569" i="6" s="1"/>
  <c r="L1570" i="6" s="1"/>
  <c r="AV1570" i="6" s="1"/>
  <c r="L1571" i="6" s="1"/>
  <c r="AV1571" i="6" s="1"/>
  <c r="L1572" i="6" s="1"/>
  <c r="AV1572" i="6" s="1"/>
  <c r="L1573" i="6" s="1"/>
  <c r="AV1573" i="6" s="1"/>
  <c r="L1574" i="6" s="1"/>
  <c r="AV1574" i="6" s="1"/>
  <c r="L1575" i="6" s="1"/>
  <c r="AV1575" i="6" s="1"/>
  <c r="L1576" i="6" s="1"/>
  <c r="AV1576" i="6" s="1"/>
  <c r="L1577" i="6" s="1"/>
  <c r="AV1577" i="6" s="1"/>
  <c r="L1578" i="6" s="1"/>
  <c r="AV1578" i="6" s="1"/>
  <c r="L1579" i="6" s="1"/>
  <c r="AV1579" i="6" s="1"/>
  <c r="L1580" i="6" s="1"/>
  <c r="AV1580" i="6" s="1"/>
  <c r="L1581" i="6" s="1"/>
  <c r="AV1581" i="6" s="1"/>
  <c r="L1582" i="6" s="1"/>
  <c r="AV1582" i="6" s="1"/>
  <c r="L1583" i="6" s="1"/>
  <c r="AV1583" i="6" s="1"/>
  <c r="L1584" i="6" s="1"/>
  <c r="AV1584" i="6" s="1"/>
  <c r="L1585" i="6" s="1"/>
  <c r="AV1585" i="6" s="1"/>
  <c r="L1586" i="6" s="1"/>
  <c r="AV1586" i="6" s="1"/>
  <c r="L1587" i="6" s="1"/>
  <c r="AV1587" i="6" s="1"/>
  <c r="L1588" i="6" s="1"/>
  <c r="AV1588" i="6" s="1"/>
  <c r="L1589" i="6" s="1"/>
  <c r="AV1589" i="6" s="1"/>
  <c r="AF1646" i="6"/>
  <c r="L1171" i="6"/>
  <c r="AV1171" i="6" s="1"/>
  <c r="L1172" i="6" s="1"/>
  <c r="AV1172" i="6" s="1"/>
  <c r="L1173" i="6" s="1"/>
  <c r="AV1173" i="6" s="1"/>
  <c r="L1174" i="6" s="1"/>
  <c r="AV1174" i="6" s="1"/>
  <c r="L1175" i="6" s="1"/>
  <c r="AV1175" i="6" s="1"/>
  <c r="L1176" i="6" s="1"/>
  <c r="AV1176" i="6" s="1"/>
  <c r="L1177" i="6" s="1"/>
  <c r="AV1177" i="6" s="1"/>
  <c r="L1178" i="6" s="1"/>
  <c r="AW1178" i="6" s="1"/>
  <c r="M1179" i="6" s="1"/>
  <c r="AW1179" i="6" s="1"/>
  <c r="M1180" i="6" s="1"/>
  <c r="AW1180" i="6" s="1"/>
  <c r="M1181" i="6" s="1"/>
  <c r="AW1181" i="6" s="1"/>
  <c r="M1182" i="6" s="1"/>
  <c r="AW1182" i="6" s="1"/>
  <c r="M1183" i="6" s="1"/>
  <c r="AW1183" i="6" s="1"/>
  <c r="M1184" i="6" s="1"/>
  <c r="AW1184" i="6" s="1"/>
  <c r="M1185" i="6" s="1"/>
  <c r="AW1185" i="6" s="1"/>
  <c r="M1186" i="6" s="1"/>
  <c r="AW1186" i="6" s="1"/>
  <c r="M1187" i="6" s="1"/>
  <c r="AW1187" i="6" s="1"/>
  <c r="M1188" i="6" s="1"/>
  <c r="AW1188" i="6" s="1"/>
  <c r="M1189" i="6" s="1"/>
  <c r="AW1189" i="6" s="1"/>
  <c r="M1190" i="6" s="1"/>
  <c r="AW1190" i="6" s="1"/>
  <c r="M1191" i="6" s="1"/>
  <c r="AW1191" i="6" s="1"/>
  <c r="M1192" i="6" s="1"/>
  <c r="AW1192" i="6" s="1"/>
  <c r="M1193" i="6" s="1"/>
  <c r="AW1193" i="6" s="1"/>
  <c r="N1135" i="6"/>
  <c r="AX1135" i="6" s="1"/>
  <c r="N1136" i="6" s="1"/>
  <c r="AX1136" i="6" s="1"/>
  <c r="N1137" i="6" s="1"/>
  <c r="AX1137" i="6" s="1"/>
  <c r="N1138" i="6" s="1"/>
  <c r="AX1138" i="6" s="1"/>
  <c r="N1139" i="6" s="1"/>
  <c r="AX1139" i="6" s="1"/>
  <c r="N1140" i="6" s="1"/>
  <c r="AX1140" i="6" s="1"/>
  <c r="N1141" i="6" s="1"/>
  <c r="AX1141" i="6" s="1"/>
  <c r="N1142" i="6" s="1"/>
  <c r="AX1142" i="6" s="1"/>
  <c r="N1143" i="6" s="1"/>
  <c r="AX1143" i="6" s="1"/>
  <c r="N1144" i="6" s="1"/>
  <c r="AX1144" i="6" s="1"/>
  <c r="N1145" i="6" s="1"/>
  <c r="AX1145" i="6" s="1"/>
  <c r="N1146" i="6" s="1"/>
  <c r="AX1146" i="6" s="1"/>
  <c r="N1147" i="6" s="1"/>
  <c r="AX1147" i="6" s="1"/>
  <c r="N1148" i="6" s="1"/>
  <c r="AX1148" i="6" s="1"/>
  <c r="N1149" i="6" s="1"/>
  <c r="AX1149" i="6" s="1"/>
  <c r="N1150" i="6" s="1"/>
  <c r="AX1150" i="6" s="1"/>
  <c r="N1151" i="6" s="1"/>
  <c r="AX1151" i="6" s="1"/>
  <c r="N1152" i="6" s="1"/>
  <c r="AX1152" i="6" s="1"/>
  <c r="N1153" i="6" s="1"/>
  <c r="AX1153" i="6" s="1"/>
  <c r="N1154" i="6" s="1"/>
  <c r="AX1154" i="6" s="1"/>
  <c r="N1155" i="6" s="1"/>
  <c r="AX1155" i="6" s="1"/>
  <c r="N1156" i="6" s="1"/>
  <c r="AX1156" i="6" s="1"/>
  <c r="N1157" i="6" s="1"/>
  <c r="AX1157" i="6" s="1"/>
  <c r="N847" i="6"/>
  <c r="AX847" i="6" s="1"/>
  <c r="N848" i="6" s="1"/>
  <c r="AX848" i="6" s="1"/>
  <c r="N849" i="6" s="1"/>
  <c r="AX849" i="6" s="1"/>
  <c r="N850" i="6" s="1"/>
  <c r="AX850" i="6" s="1"/>
  <c r="N851" i="6" s="1"/>
  <c r="AX851" i="6" s="1"/>
  <c r="N852" i="6" s="1"/>
  <c r="AX852" i="6" s="1"/>
  <c r="N853" i="6" s="1"/>
  <c r="AX853" i="6" s="1"/>
  <c r="N854" i="6" s="1"/>
  <c r="AX854" i="6" s="1"/>
  <c r="N855" i="6" s="1"/>
  <c r="AX855" i="6" s="1"/>
  <c r="N856" i="6" s="1"/>
  <c r="AX856" i="6" s="1"/>
  <c r="N857" i="6" s="1"/>
  <c r="AX857" i="6" s="1"/>
  <c r="N858" i="6" s="1"/>
  <c r="AX858" i="6" s="1"/>
  <c r="N859" i="6" s="1"/>
  <c r="AX859" i="6" s="1"/>
  <c r="N860" i="6" s="1"/>
  <c r="AX860" i="6" s="1"/>
  <c r="N861" i="6" s="1"/>
  <c r="AX861" i="6" s="1"/>
  <c r="N862" i="6" s="1"/>
  <c r="AX862" i="6" s="1"/>
  <c r="N863" i="6" s="1"/>
  <c r="AX863" i="6" s="1"/>
  <c r="N864" i="6" s="1"/>
  <c r="AX864" i="6" s="1"/>
  <c r="N865" i="6" s="1"/>
  <c r="AX865" i="6" s="1"/>
  <c r="N866" i="6" s="1"/>
  <c r="AX866" i="6" s="1"/>
  <c r="N867" i="6" s="1"/>
  <c r="AX867" i="6" s="1"/>
  <c r="N868" i="6" s="1"/>
  <c r="AX868" i="6" s="1"/>
  <c r="N869" i="6" s="1"/>
  <c r="AX869" i="6" s="1"/>
  <c r="AW998" i="6"/>
  <c r="M999" i="6" s="1"/>
  <c r="AW999" i="6" s="1"/>
  <c r="M1000" i="6" s="1"/>
  <c r="AW1000" i="6" s="1"/>
  <c r="M1001" i="6" s="1"/>
  <c r="AW1001" i="6" s="1"/>
  <c r="M1002" i="6" s="1"/>
  <c r="AW1002" i="6" s="1"/>
  <c r="M1003" i="6" s="1"/>
  <c r="AW1003" i="6" s="1"/>
  <c r="M1004" i="6" s="1"/>
  <c r="AW1004" i="6" s="1"/>
  <c r="M1005" i="6" s="1"/>
  <c r="AW1005" i="6" s="1"/>
  <c r="M1006" i="6" s="1"/>
  <c r="AW1006" i="6" s="1"/>
  <c r="M1007" i="6" s="1"/>
  <c r="AW1007" i="6" s="1"/>
  <c r="M1008" i="6" s="1"/>
  <c r="AW1008" i="6" s="1"/>
  <c r="M1009" i="6" s="1"/>
  <c r="AW1009" i="6" s="1"/>
  <c r="M1010" i="6" s="1"/>
  <c r="AW1010" i="6" s="1"/>
  <c r="M1011" i="6" s="1"/>
  <c r="AW1011" i="6" s="1"/>
  <c r="M1012" i="6" s="1"/>
  <c r="AW1012" i="6" s="1"/>
  <c r="M1013" i="6" s="1"/>
  <c r="AW1013" i="6" s="1"/>
  <c r="AV530" i="6"/>
  <c r="L531" i="6" s="1"/>
  <c r="AV531" i="6" s="1"/>
  <c r="L532" i="6" s="1"/>
  <c r="AV532" i="6" s="1"/>
  <c r="L533" i="6" s="1"/>
  <c r="AV533" i="6" s="1"/>
  <c r="L534" i="6" s="1"/>
  <c r="AV534" i="6" s="1"/>
  <c r="L535" i="6" s="1"/>
  <c r="AV535" i="6" s="1"/>
  <c r="L536" i="6" s="1"/>
  <c r="AV536" i="6" s="1"/>
  <c r="L537" i="6" s="1"/>
  <c r="AV537" i="6" s="1"/>
  <c r="L538" i="6" s="1"/>
  <c r="AV538" i="6" s="1"/>
  <c r="L539" i="6" s="1"/>
  <c r="AV539" i="6" s="1"/>
  <c r="L540" i="6" s="1"/>
  <c r="AV540" i="6" s="1"/>
  <c r="L541" i="6" s="1"/>
  <c r="AV541" i="6" s="1"/>
  <c r="L542" i="6" s="1"/>
  <c r="AV542" i="6" s="1"/>
  <c r="L543" i="6" s="1"/>
  <c r="AV543" i="6" s="1"/>
  <c r="L544" i="6" s="1"/>
  <c r="AV544" i="6" s="1"/>
  <c r="L545" i="6" s="1"/>
  <c r="AV545" i="6" s="1"/>
  <c r="AV998" i="6"/>
  <c r="L999" i="6" s="1"/>
  <c r="AV999" i="6" s="1"/>
  <c r="L1000" i="6" s="1"/>
  <c r="AV1000" i="6" s="1"/>
  <c r="L1001" i="6" s="1"/>
  <c r="AV1001" i="6" s="1"/>
  <c r="L1002" i="6" s="1"/>
  <c r="AV1002" i="6" s="1"/>
  <c r="L1003" i="6" s="1"/>
  <c r="AV1003" i="6" s="1"/>
  <c r="L1004" i="6" s="1"/>
  <c r="AV1004" i="6" s="1"/>
  <c r="L1005" i="6" s="1"/>
  <c r="AV1005" i="6" s="1"/>
  <c r="L1006" i="6" s="1"/>
  <c r="AV1006" i="6" s="1"/>
  <c r="L1007" i="6" s="1"/>
  <c r="AV1007" i="6" s="1"/>
  <c r="L1008" i="6" s="1"/>
  <c r="AV1008" i="6" s="1"/>
  <c r="L1009" i="6" s="1"/>
  <c r="AV1009" i="6" s="1"/>
  <c r="L1010" i="6" s="1"/>
  <c r="AV1010" i="6" s="1"/>
  <c r="L1011" i="6" s="1"/>
  <c r="AV1011" i="6" s="1"/>
  <c r="L1012" i="6" s="1"/>
  <c r="AV1012" i="6" s="1"/>
  <c r="L1013" i="6" s="1"/>
  <c r="AV1013" i="6" s="1"/>
  <c r="L1135" i="6"/>
  <c r="AV1135" i="6" s="1"/>
  <c r="L1136" i="6" s="1"/>
  <c r="AV1136" i="6" s="1"/>
  <c r="L1137" i="6" s="1"/>
  <c r="AV1137" i="6" s="1"/>
  <c r="L1138" i="6" s="1"/>
  <c r="AV1138" i="6" s="1"/>
  <c r="L1139" i="6" s="1"/>
  <c r="AV1139" i="6" s="1"/>
  <c r="L1140" i="6" s="1"/>
  <c r="AV1140" i="6" s="1"/>
  <c r="L1141" i="6" s="1"/>
  <c r="AV1141" i="6" s="1"/>
  <c r="L1142" i="6" s="1"/>
  <c r="AW1142" i="6" s="1"/>
  <c r="M1143" i="6" s="1"/>
  <c r="AW1143" i="6" s="1"/>
  <c r="M1144" i="6" s="1"/>
  <c r="AW1144" i="6" s="1"/>
  <c r="M1145" i="6" s="1"/>
  <c r="AW1145" i="6" s="1"/>
  <c r="M1146" i="6" s="1"/>
  <c r="AW1146" i="6" s="1"/>
  <c r="M1147" i="6" s="1"/>
  <c r="AW1147" i="6" s="1"/>
  <c r="M1148" i="6" s="1"/>
  <c r="AW1148" i="6" s="1"/>
  <c r="M1149" i="6" s="1"/>
  <c r="AW1149" i="6" s="1"/>
  <c r="M1150" i="6" s="1"/>
  <c r="AW1150" i="6" s="1"/>
  <c r="M1151" i="6" s="1"/>
  <c r="AW1151" i="6" s="1"/>
  <c r="M1152" i="6" s="1"/>
  <c r="AW1152" i="6" s="1"/>
  <c r="M1153" i="6" s="1"/>
  <c r="AW1153" i="6" s="1"/>
  <c r="M1154" i="6" s="1"/>
  <c r="AW1154" i="6" s="1"/>
  <c r="M1155" i="6" s="1"/>
  <c r="AW1155" i="6" s="1"/>
  <c r="M1156" i="6" s="1"/>
  <c r="AW1156" i="6" s="1"/>
  <c r="M1157" i="6" s="1"/>
  <c r="AW1157" i="6" s="1"/>
  <c r="L1243" i="6"/>
  <c r="AV1243" i="6" s="1"/>
  <c r="L1244" i="6" s="1"/>
  <c r="AV1244" i="6" s="1"/>
  <c r="L1245" i="6" s="1"/>
  <c r="AV1245" i="6" s="1"/>
  <c r="L1246" i="6" s="1"/>
  <c r="AV1246" i="6" s="1"/>
  <c r="L1247" i="6" s="1"/>
  <c r="AV1247" i="6" s="1"/>
  <c r="L1248" i="6" s="1"/>
  <c r="AV1248" i="6" s="1"/>
  <c r="L1249" i="6" s="1"/>
  <c r="AV1249" i="6" s="1"/>
  <c r="L1250" i="6" s="1"/>
  <c r="AF1250" i="6" s="1"/>
  <c r="AV1502" i="6"/>
  <c r="L1503" i="6" s="1"/>
  <c r="AV1503" i="6" s="1"/>
  <c r="L1504" i="6" s="1"/>
  <c r="AV1504" i="6" s="1"/>
  <c r="L1505" i="6" s="1"/>
  <c r="AV1505" i="6" s="1"/>
  <c r="L1506" i="6" s="1"/>
  <c r="AV1506" i="6" s="1"/>
  <c r="L1507" i="6" s="1"/>
  <c r="AV1507" i="6" s="1"/>
  <c r="L1508" i="6" s="1"/>
  <c r="AV1508" i="6" s="1"/>
  <c r="L1509" i="6" s="1"/>
  <c r="AV1509" i="6" s="1"/>
  <c r="L1510" i="6" s="1"/>
  <c r="AV1510" i="6" s="1"/>
  <c r="L1511" i="6" s="1"/>
  <c r="AV1511" i="6" s="1"/>
  <c r="L1512" i="6" s="1"/>
  <c r="AV1512" i="6" s="1"/>
  <c r="L1513" i="6" s="1"/>
  <c r="AV1513" i="6" s="1"/>
  <c r="L1514" i="6" s="1"/>
  <c r="AV1514" i="6" s="1"/>
  <c r="L1515" i="6" s="1"/>
  <c r="AV1515" i="6" s="1"/>
  <c r="L1516" i="6" s="1"/>
  <c r="AV1516" i="6" s="1"/>
  <c r="L1517" i="6" s="1"/>
  <c r="AV1517" i="6" s="1"/>
  <c r="AN263" i="6"/>
  <c r="AU263" i="6" s="1"/>
  <c r="AS229" i="6"/>
  <c r="AN1166" i="6"/>
  <c r="AU1166" i="6" s="1"/>
  <c r="AS1021" i="6"/>
  <c r="AU1021" i="6" s="1"/>
  <c r="AS157" i="6"/>
  <c r="AS121" i="6"/>
  <c r="AN948" i="6"/>
  <c r="AU948" i="6" s="1"/>
  <c r="AN373" i="6"/>
  <c r="AS373" i="6"/>
  <c r="AN156" i="6"/>
  <c r="AU156" i="6" s="1"/>
  <c r="AS13" i="6"/>
  <c r="AS1201" i="6"/>
  <c r="AU1201" i="6" s="1"/>
  <c r="AN877" i="6"/>
  <c r="AN556" i="6"/>
  <c r="AS985" i="6"/>
  <c r="AN1202" i="6"/>
  <c r="AN1448" i="6"/>
  <c r="AU1448" i="6" s="1"/>
  <c r="AN513" i="6"/>
  <c r="AU513" i="6" s="1"/>
  <c r="AF1286" i="6"/>
  <c r="L1459" i="6"/>
  <c r="AV1459" i="6" s="1"/>
  <c r="L1460" i="6" s="1"/>
  <c r="AV1460" i="6" s="1"/>
  <c r="L1461" i="6" s="1"/>
  <c r="AV1461" i="6" s="1"/>
  <c r="L1462" i="6" s="1"/>
  <c r="AV1462" i="6" s="1"/>
  <c r="L1463" i="6" s="1"/>
  <c r="AV1463" i="6" s="1"/>
  <c r="L1464" i="6" s="1"/>
  <c r="AV1464" i="6" s="1"/>
  <c r="L1465" i="6" s="1"/>
  <c r="AV1465" i="6" s="1"/>
  <c r="L1466" i="6" s="1"/>
  <c r="AW1466" i="6" s="1"/>
  <c r="M1467" i="6" s="1"/>
  <c r="AW1467" i="6" s="1"/>
  <c r="M1468" i="6" s="1"/>
  <c r="AW1468" i="6" s="1"/>
  <c r="M1469" i="6" s="1"/>
  <c r="AW1469" i="6" s="1"/>
  <c r="M1470" i="6" s="1"/>
  <c r="AW1470" i="6" s="1"/>
  <c r="M1471" i="6" s="1"/>
  <c r="AW1471" i="6" s="1"/>
  <c r="M1472" i="6" s="1"/>
  <c r="AW1472" i="6" s="1"/>
  <c r="M1473" i="6" s="1"/>
  <c r="AW1473" i="6" s="1"/>
  <c r="M1474" i="6" s="1"/>
  <c r="AW1474" i="6" s="1"/>
  <c r="M1475" i="6" s="1"/>
  <c r="AW1475" i="6" s="1"/>
  <c r="M1476" i="6" s="1"/>
  <c r="AW1476" i="6" s="1"/>
  <c r="M1477" i="6" s="1"/>
  <c r="AW1477" i="6" s="1"/>
  <c r="M1478" i="6" s="1"/>
  <c r="AW1478" i="6" s="1"/>
  <c r="M1479" i="6" s="1"/>
  <c r="AW1479" i="6" s="1"/>
  <c r="M1480" i="6" s="1"/>
  <c r="AW1480" i="6" s="1"/>
  <c r="M1481" i="6" s="1"/>
  <c r="AW1481" i="6" s="1"/>
  <c r="AN297" i="6"/>
  <c r="AU297" i="6" s="1"/>
  <c r="L631" i="6"/>
  <c r="AV631" i="6" s="1"/>
  <c r="L632" i="6" s="1"/>
  <c r="AV632" i="6" s="1"/>
  <c r="L633" i="6" s="1"/>
  <c r="AV633" i="6" s="1"/>
  <c r="L634" i="6" s="1"/>
  <c r="AV634" i="6" s="1"/>
  <c r="L635" i="6" s="1"/>
  <c r="AV635" i="6" s="1"/>
  <c r="L636" i="6" s="1"/>
  <c r="AV636" i="6" s="1"/>
  <c r="L637" i="6" s="1"/>
  <c r="AV637" i="6" s="1"/>
  <c r="L638" i="6" s="1"/>
  <c r="AW638" i="6" s="1"/>
  <c r="M639" i="6" s="1"/>
  <c r="AW639" i="6" s="1"/>
  <c r="M640" i="6" s="1"/>
  <c r="AW640" i="6" s="1"/>
  <c r="M641" i="6" s="1"/>
  <c r="AW641" i="6" s="1"/>
  <c r="M642" i="6" s="1"/>
  <c r="AW642" i="6" s="1"/>
  <c r="M643" i="6" s="1"/>
  <c r="AW643" i="6" s="1"/>
  <c r="M644" i="6" s="1"/>
  <c r="AW644" i="6" s="1"/>
  <c r="M645" i="6" s="1"/>
  <c r="AW645" i="6" s="1"/>
  <c r="M646" i="6" s="1"/>
  <c r="AW646" i="6" s="1"/>
  <c r="M647" i="6" s="1"/>
  <c r="AW647" i="6" s="1"/>
  <c r="M648" i="6" s="1"/>
  <c r="AW648" i="6" s="1"/>
  <c r="M649" i="6" s="1"/>
  <c r="AW649" i="6" s="1"/>
  <c r="M650" i="6" s="1"/>
  <c r="AW650" i="6" s="1"/>
  <c r="M651" i="6" s="1"/>
  <c r="AW651" i="6" s="1"/>
  <c r="M652" i="6" s="1"/>
  <c r="AW652" i="6" s="1"/>
  <c r="M653" i="6" s="1"/>
  <c r="AW653" i="6" s="1"/>
  <c r="L775" i="6"/>
  <c r="AV775" i="6" s="1"/>
  <c r="L776" i="6" s="1"/>
  <c r="AV776" i="6" s="1"/>
  <c r="L777" i="6" s="1"/>
  <c r="AV777" i="6" s="1"/>
  <c r="L778" i="6" s="1"/>
  <c r="AV778" i="6" s="1"/>
  <c r="L779" i="6" s="1"/>
  <c r="AV779" i="6" s="1"/>
  <c r="L780" i="6" s="1"/>
  <c r="AV780" i="6" s="1"/>
  <c r="L781" i="6" s="1"/>
  <c r="AV781" i="6" s="1"/>
  <c r="L782" i="6" s="1"/>
  <c r="AW782" i="6" s="1"/>
  <c r="M783" i="6" s="1"/>
  <c r="AW783" i="6" s="1"/>
  <c r="M784" i="6" s="1"/>
  <c r="AW784" i="6" s="1"/>
  <c r="M785" i="6" s="1"/>
  <c r="AW785" i="6" s="1"/>
  <c r="M786" i="6" s="1"/>
  <c r="AW786" i="6" s="1"/>
  <c r="M787" i="6" s="1"/>
  <c r="AW787" i="6" s="1"/>
  <c r="M788" i="6" s="1"/>
  <c r="AW788" i="6" s="1"/>
  <c r="M789" i="6" s="1"/>
  <c r="AW789" i="6" s="1"/>
  <c r="M790" i="6" s="1"/>
  <c r="AW790" i="6" s="1"/>
  <c r="M791" i="6" s="1"/>
  <c r="AW791" i="6" s="1"/>
  <c r="M792" i="6" s="1"/>
  <c r="AW792" i="6" s="1"/>
  <c r="M793" i="6" s="1"/>
  <c r="AW793" i="6" s="1"/>
  <c r="M794" i="6" s="1"/>
  <c r="AW794" i="6" s="1"/>
  <c r="M795" i="6" s="1"/>
  <c r="AW795" i="6" s="1"/>
  <c r="M796" i="6" s="1"/>
  <c r="AW796" i="6" s="1"/>
  <c r="M797" i="6" s="1"/>
  <c r="AW797" i="6" s="1"/>
  <c r="N1063" i="6"/>
  <c r="AX1063" i="6" s="1"/>
  <c r="N1064" i="6" s="1"/>
  <c r="AX1064" i="6" s="1"/>
  <c r="N1065" i="6" s="1"/>
  <c r="AX1065" i="6" s="1"/>
  <c r="N1066" i="6" s="1"/>
  <c r="AX1066" i="6" s="1"/>
  <c r="N1067" i="6" s="1"/>
  <c r="AX1067" i="6" s="1"/>
  <c r="N1068" i="6" s="1"/>
  <c r="AX1068" i="6" s="1"/>
  <c r="N1069" i="6" s="1"/>
  <c r="AX1069" i="6" s="1"/>
  <c r="N1070" i="6" s="1"/>
  <c r="AX1070" i="6" s="1"/>
  <c r="N1071" i="6" s="1"/>
  <c r="AX1071" i="6" s="1"/>
  <c r="N1072" i="6" s="1"/>
  <c r="AX1072" i="6" s="1"/>
  <c r="N1073" i="6" s="1"/>
  <c r="AX1073" i="6" s="1"/>
  <c r="N1074" i="6" s="1"/>
  <c r="AX1074" i="6" s="1"/>
  <c r="N1075" i="6" s="1"/>
  <c r="AX1075" i="6" s="1"/>
  <c r="N1076" i="6" s="1"/>
  <c r="AX1076" i="6" s="1"/>
  <c r="N1077" i="6" s="1"/>
  <c r="AX1077" i="6" s="1"/>
  <c r="N1078" i="6" s="1"/>
  <c r="AX1078" i="6" s="1"/>
  <c r="N1079" i="6" s="1"/>
  <c r="AX1079" i="6" s="1"/>
  <c r="N1080" i="6" s="1"/>
  <c r="AX1080" i="6" s="1"/>
  <c r="N1081" i="6" s="1"/>
  <c r="AX1081" i="6" s="1"/>
  <c r="N1082" i="6" s="1"/>
  <c r="AX1082" i="6" s="1"/>
  <c r="N1083" i="6" s="1"/>
  <c r="AX1083" i="6" s="1"/>
  <c r="N1084" i="6" s="1"/>
  <c r="AX1084" i="6" s="1"/>
  <c r="N1085" i="6" s="1"/>
  <c r="AX1085" i="6" s="1"/>
  <c r="L379" i="6"/>
  <c r="AV379" i="6" s="1"/>
  <c r="L380" i="6" s="1"/>
  <c r="AV380" i="6" s="1"/>
  <c r="L381" i="6" s="1"/>
  <c r="AV381" i="6" s="1"/>
  <c r="L382" i="6" s="1"/>
  <c r="AV382" i="6" s="1"/>
  <c r="L383" i="6" s="1"/>
  <c r="AV383" i="6" s="1"/>
  <c r="L384" i="6" s="1"/>
  <c r="AV384" i="6" s="1"/>
  <c r="L385" i="6" s="1"/>
  <c r="AV385" i="6" s="1"/>
  <c r="L386" i="6" s="1"/>
  <c r="AW386" i="6" s="1"/>
  <c r="M387" i="6" s="1"/>
  <c r="AW387" i="6" s="1"/>
  <c r="M388" i="6" s="1"/>
  <c r="AW388" i="6" s="1"/>
  <c r="M389" i="6" s="1"/>
  <c r="AW389" i="6" s="1"/>
  <c r="M390" i="6" s="1"/>
  <c r="AW390" i="6" s="1"/>
  <c r="M391" i="6" s="1"/>
  <c r="AW391" i="6" s="1"/>
  <c r="M392" i="6" s="1"/>
  <c r="AW392" i="6" s="1"/>
  <c r="M393" i="6" s="1"/>
  <c r="AW393" i="6" s="1"/>
  <c r="M394" i="6" s="1"/>
  <c r="AW394" i="6" s="1"/>
  <c r="M395" i="6" s="1"/>
  <c r="AW395" i="6" s="1"/>
  <c r="M396" i="6" s="1"/>
  <c r="AW396" i="6" s="1"/>
  <c r="M397" i="6" s="1"/>
  <c r="AW397" i="6" s="1"/>
  <c r="M398" i="6" s="1"/>
  <c r="AW398" i="6" s="1"/>
  <c r="M399" i="6" s="1"/>
  <c r="AW399" i="6" s="1"/>
  <c r="M400" i="6" s="1"/>
  <c r="AW400" i="6" s="1"/>
  <c r="M401" i="6" s="1"/>
  <c r="AW401" i="6" s="1"/>
  <c r="L487" i="6"/>
  <c r="AV487" i="6" s="1"/>
  <c r="L488" i="6" s="1"/>
  <c r="AV488" i="6" s="1"/>
  <c r="L489" i="6" s="1"/>
  <c r="AV489" i="6" s="1"/>
  <c r="L490" i="6" s="1"/>
  <c r="AV490" i="6" s="1"/>
  <c r="L491" i="6" s="1"/>
  <c r="AV491" i="6" s="1"/>
  <c r="L492" i="6" s="1"/>
  <c r="AV492" i="6" s="1"/>
  <c r="L493" i="6" s="1"/>
  <c r="AV493" i="6" s="1"/>
  <c r="L494" i="6" s="1"/>
  <c r="AV494" i="6" s="1"/>
  <c r="L495" i="6" s="1"/>
  <c r="AV495" i="6" s="1"/>
  <c r="L496" i="6" s="1"/>
  <c r="AV496" i="6" s="1"/>
  <c r="L497" i="6" s="1"/>
  <c r="AV497" i="6" s="1"/>
  <c r="L498" i="6" s="1"/>
  <c r="AV498" i="6" s="1"/>
  <c r="L499" i="6" s="1"/>
  <c r="AV499" i="6" s="1"/>
  <c r="L500" i="6" s="1"/>
  <c r="AV500" i="6" s="1"/>
  <c r="L501" i="6" s="1"/>
  <c r="AV501" i="6" s="1"/>
  <c r="L502" i="6" s="1"/>
  <c r="AV502" i="6" s="1"/>
  <c r="L503" i="6" s="1"/>
  <c r="AV503" i="6" s="1"/>
  <c r="L504" i="6" s="1"/>
  <c r="AV504" i="6" s="1"/>
  <c r="L505" i="6" s="1"/>
  <c r="AV505" i="6" s="1"/>
  <c r="L506" i="6" s="1"/>
  <c r="AV506" i="6" s="1"/>
  <c r="L507" i="6" s="1"/>
  <c r="AV507" i="6" s="1"/>
  <c r="L508" i="6" s="1"/>
  <c r="AV508" i="6" s="1"/>
  <c r="L509" i="6" s="1"/>
  <c r="AV509" i="6" s="1"/>
  <c r="N775" i="6"/>
  <c r="AX775" i="6" s="1"/>
  <c r="N776" i="6" s="1"/>
  <c r="AX776" i="6" s="1"/>
  <c r="N777" i="6" s="1"/>
  <c r="AX777" i="6" s="1"/>
  <c r="N778" i="6" s="1"/>
  <c r="AX778" i="6" s="1"/>
  <c r="N779" i="6" s="1"/>
  <c r="AX779" i="6" s="1"/>
  <c r="N780" i="6" s="1"/>
  <c r="AX780" i="6" s="1"/>
  <c r="N781" i="6" s="1"/>
  <c r="AX781" i="6" s="1"/>
  <c r="N782" i="6" s="1"/>
  <c r="AX782" i="6" s="1"/>
  <c r="N783" i="6" s="1"/>
  <c r="AX783" i="6" s="1"/>
  <c r="N784" i="6" s="1"/>
  <c r="AX784" i="6" s="1"/>
  <c r="N785" i="6" s="1"/>
  <c r="AX785" i="6" s="1"/>
  <c r="N786" i="6" s="1"/>
  <c r="AX786" i="6" s="1"/>
  <c r="N787" i="6" s="1"/>
  <c r="AX787" i="6" s="1"/>
  <c r="N788" i="6" s="1"/>
  <c r="AX788" i="6" s="1"/>
  <c r="N789" i="6" s="1"/>
  <c r="AX789" i="6" s="1"/>
  <c r="N790" i="6" s="1"/>
  <c r="AX790" i="6" s="1"/>
  <c r="N791" i="6" s="1"/>
  <c r="AX791" i="6" s="1"/>
  <c r="N792" i="6" s="1"/>
  <c r="AX792" i="6" s="1"/>
  <c r="N793" i="6" s="1"/>
  <c r="AX793" i="6" s="1"/>
  <c r="N794" i="6" s="1"/>
  <c r="AX794" i="6" s="1"/>
  <c r="N795" i="6" s="1"/>
  <c r="AX795" i="6" s="1"/>
  <c r="N796" i="6" s="1"/>
  <c r="AX796" i="6" s="1"/>
  <c r="N797" i="6" s="1"/>
  <c r="AX797" i="6" s="1"/>
  <c r="L1063" i="6"/>
  <c r="AV1063" i="6" s="1"/>
  <c r="L1064" i="6" s="1"/>
  <c r="AV1064" i="6" s="1"/>
  <c r="L1065" i="6" s="1"/>
  <c r="AV1065" i="6" s="1"/>
  <c r="L1066" i="6" s="1"/>
  <c r="AV1066" i="6" s="1"/>
  <c r="L1067" i="6" s="1"/>
  <c r="AV1067" i="6" s="1"/>
  <c r="L1068" i="6" s="1"/>
  <c r="AV1068" i="6" s="1"/>
  <c r="L1069" i="6" s="1"/>
  <c r="AV1069" i="6" s="1"/>
  <c r="L1070" i="6" s="1"/>
  <c r="AV1070" i="6" s="1"/>
  <c r="L1071" i="6" s="1"/>
  <c r="AV1071" i="6" s="1"/>
  <c r="L1072" i="6" s="1"/>
  <c r="AV1072" i="6" s="1"/>
  <c r="L1073" i="6" s="1"/>
  <c r="AV1073" i="6" s="1"/>
  <c r="L1074" i="6" s="1"/>
  <c r="AV1074" i="6" s="1"/>
  <c r="L1075" i="6" s="1"/>
  <c r="AV1075" i="6" s="1"/>
  <c r="L1076" i="6" s="1"/>
  <c r="AV1076" i="6" s="1"/>
  <c r="L1077" i="6" s="1"/>
  <c r="AV1077" i="6" s="1"/>
  <c r="L1078" i="6" s="1"/>
  <c r="AV1078" i="6" s="1"/>
  <c r="L1079" i="6" s="1"/>
  <c r="AV1079" i="6" s="1"/>
  <c r="L1080" i="6" s="1"/>
  <c r="AV1080" i="6" s="1"/>
  <c r="L1081" i="6" s="1"/>
  <c r="AV1081" i="6" s="1"/>
  <c r="L1082" i="6" s="1"/>
  <c r="AV1082" i="6" s="1"/>
  <c r="L1083" i="6" s="1"/>
  <c r="AV1083" i="6" s="1"/>
  <c r="L1084" i="6" s="1"/>
  <c r="AV1084" i="6" s="1"/>
  <c r="L1085" i="6" s="1"/>
  <c r="AV1085" i="6" s="1"/>
  <c r="AN729" i="6"/>
  <c r="AU729" i="6" s="1"/>
  <c r="AW710" i="6"/>
  <c r="M711" i="6" s="1"/>
  <c r="AW711" i="6" s="1"/>
  <c r="M712" i="6" s="1"/>
  <c r="AW712" i="6" s="1"/>
  <c r="M713" i="6" s="1"/>
  <c r="AW713" i="6" s="1"/>
  <c r="M714" i="6" s="1"/>
  <c r="AW714" i="6" s="1"/>
  <c r="M715" i="6" s="1"/>
  <c r="AW715" i="6" s="1"/>
  <c r="M716" i="6" s="1"/>
  <c r="AW716" i="6" s="1"/>
  <c r="M717" i="6" s="1"/>
  <c r="AW717" i="6" s="1"/>
  <c r="M718" i="6" s="1"/>
  <c r="AW718" i="6" s="1"/>
  <c r="M719" i="6" s="1"/>
  <c r="AW719" i="6" s="1"/>
  <c r="M720" i="6" s="1"/>
  <c r="AW720" i="6" s="1"/>
  <c r="M721" i="6" s="1"/>
  <c r="AW721" i="6" s="1"/>
  <c r="M722" i="6" s="1"/>
  <c r="AW722" i="6" s="1"/>
  <c r="M723" i="6" s="1"/>
  <c r="AW723" i="6" s="1"/>
  <c r="M724" i="6" s="1"/>
  <c r="AW724" i="6" s="1"/>
  <c r="M725" i="6" s="1"/>
  <c r="AW725" i="6" s="1"/>
  <c r="AN1629" i="6"/>
  <c r="AU1629" i="6" s="1"/>
  <c r="N1207" i="6"/>
  <c r="AX1207" i="6" s="1"/>
  <c r="N1208" i="6" s="1"/>
  <c r="AX1208" i="6" s="1"/>
  <c r="N1209" i="6" s="1"/>
  <c r="AX1209" i="6" s="1"/>
  <c r="N1210" i="6" s="1"/>
  <c r="AX1210" i="6" s="1"/>
  <c r="N1211" i="6" s="1"/>
  <c r="AX1211" i="6" s="1"/>
  <c r="N1212" i="6" s="1"/>
  <c r="AX1212" i="6" s="1"/>
  <c r="N1213" i="6" s="1"/>
  <c r="AX1213" i="6" s="1"/>
  <c r="N1214" i="6" s="1"/>
  <c r="AX1214" i="6" s="1"/>
  <c r="N1215" i="6" s="1"/>
  <c r="AX1215" i="6" s="1"/>
  <c r="N1216" i="6" s="1"/>
  <c r="AX1216" i="6" s="1"/>
  <c r="N1217" i="6" s="1"/>
  <c r="AX1217" i="6" s="1"/>
  <c r="N1218" i="6" s="1"/>
  <c r="AX1218" i="6" s="1"/>
  <c r="N1219" i="6" s="1"/>
  <c r="AX1219" i="6" s="1"/>
  <c r="N1220" i="6" s="1"/>
  <c r="AX1220" i="6" s="1"/>
  <c r="N1221" i="6" s="1"/>
  <c r="AX1221" i="6" s="1"/>
  <c r="N1222" i="6" s="1"/>
  <c r="AX1222" i="6" s="1"/>
  <c r="N1223" i="6" s="1"/>
  <c r="AX1223" i="6" s="1"/>
  <c r="N1224" i="6" s="1"/>
  <c r="AX1224" i="6" s="1"/>
  <c r="N1225" i="6" s="1"/>
  <c r="AX1225" i="6" s="1"/>
  <c r="N1226" i="6" s="1"/>
  <c r="AX1226" i="6" s="1"/>
  <c r="N1227" i="6" s="1"/>
  <c r="AX1227" i="6" s="1"/>
  <c r="N1228" i="6" s="1"/>
  <c r="AX1228" i="6" s="1"/>
  <c r="N1229" i="6" s="1"/>
  <c r="AX1229" i="6" s="1"/>
  <c r="AN1125" i="6"/>
  <c r="AU1125" i="6" s="1"/>
  <c r="AN837" i="6"/>
  <c r="AU837" i="6" s="1"/>
  <c r="AN1053" i="6"/>
  <c r="AU1053" i="6" s="1"/>
  <c r="L847" i="6"/>
  <c r="AV847" i="6" s="1"/>
  <c r="L848" i="6" s="1"/>
  <c r="AV848" i="6" s="1"/>
  <c r="L849" i="6" s="1"/>
  <c r="AV849" i="6" s="1"/>
  <c r="L850" i="6" s="1"/>
  <c r="AV850" i="6" s="1"/>
  <c r="L851" i="6" s="1"/>
  <c r="AV851" i="6" s="1"/>
  <c r="L852" i="6" s="1"/>
  <c r="AV852" i="6" s="1"/>
  <c r="L853" i="6" s="1"/>
  <c r="AV853" i="6" s="1"/>
  <c r="L854" i="6" s="1"/>
  <c r="AV854" i="6" s="1"/>
  <c r="L855" i="6" s="1"/>
  <c r="AV855" i="6" s="1"/>
  <c r="L856" i="6" s="1"/>
  <c r="AV856" i="6" s="1"/>
  <c r="L857" i="6" s="1"/>
  <c r="AV857" i="6" s="1"/>
  <c r="L858" i="6" s="1"/>
  <c r="AV858" i="6" s="1"/>
  <c r="L859" i="6" s="1"/>
  <c r="AV859" i="6" s="1"/>
  <c r="L860" i="6" s="1"/>
  <c r="AV860" i="6" s="1"/>
  <c r="L861" i="6" s="1"/>
  <c r="AV861" i="6" s="1"/>
  <c r="L862" i="6" s="1"/>
  <c r="AV862" i="6" s="1"/>
  <c r="L863" i="6" s="1"/>
  <c r="AV863" i="6" s="1"/>
  <c r="L864" i="6" s="1"/>
  <c r="AV864" i="6" s="1"/>
  <c r="L865" i="6" s="1"/>
  <c r="AV865" i="6" s="1"/>
  <c r="L866" i="6" s="1"/>
  <c r="AV866" i="6" s="1"/>
  <c r="L867" i="6" s="1"/>
  <c r="AV867" i="6" s="1"/>
  <c r="L868" i="6" s="1"/>
  <c r="AV868" i="6" s="1"/>
  <c r="L869" i="6" s="1"/>
  <c r="AV869" i="6" s="1"/>
  <c r="BD15" i="6"/>
  <c r="T16" i="6" s="1"/>
  <c r="AP15" i="6"/>
  <c r="BE50" i="6"/>
  <c r="U50" i="6"/>
  <c r="BE1201" i="6"/>
  <c r="U1201" i="6"/>
  <c r="AH1403" i="6"/>
  <c r="BF1403" i="6"/>
  <c r="V1404" i="6" s="1"/>
  <c r="AZ1486" i="6"/>
  <c r="P1487" i="6" s="1"/>
  <c r="AG1486" i="6"/>
  <c r="AK1486" i="6"/>
  <c r="AR1486" i="6" s="1"/>
  <c r="AS1486" i="6" s="1"/>
  <c r="BA88" i="6"/>
  <c r="Q89" i="6" s="1"/>
  <c r="BG879" i="6"/>
  <c r="W880" i="6" s="1"/>
  <c r="AH879" i="6"/>
  <c r="AQ770" i="6"/>
  <c r="AR770" i="6"/>
  <c r="AG20" i="6"/>
  <c r="BA20" i="6"/>
  <c r="Q21" i="6" s="1"/>
  <c r="AH215" i="6"/>
  <c r="BF215" i="6"/>
  <c r="V216" i="6" s="1"/>
  <c r="BA1204" i="6"/>
  <c r="Q1205" i="6" s="1"/>
  <c r="AG1204" i="6"/>
  <c r="BF1583" i="6"/>
  <c r="V1584" i="6" s="1"/>
  <c r="AH1583" i="6"/>
  <c r="BO345" i="6"/>
  <c r="BN346" i="6" s="1"/>
  <c r="AK345" i="6"/>
  <c r="AQ305" i="6"/>
  <c r="BO1460" i="6"/>
  <c r="BN1461" i="6" s="1"/>
  <c r="AN1233" i="6"/>
  <c r="AU1233" i="6" s="1"/>
  <c r="AU1311" i="6"/>
  <c r="BD1419" i="6"/>
  <c r="T1420" i="6" s="1"/>
  <c r="AP1419" i="6"/>
  <c r="AN11" i="6"/>
  <c r="AU11" i="6" s="1"/>
  <c r="BF755" i="6"/>
  <c r="V756" i="6" s="1"/>
  <c r="AH755" i="6"/>
  <c r="AN81" i="6"/>
  <c r="AU81" i="6" s="1"/>
  <c r="AN1557" i="6"/>
  <c r="AU1557" i="6" s="1"/>
  <c r="AR986" i="6"/>
  <c r="AQ986" i="6"/>
  <c r="BO1040" i="6"/>
  <c r="BN1041" i="6" s="1"/>
  <c r="AK1040" i="6"/>
  <c r="BA1240" i="6"/>
  <c r="Q1241" i="6" s="1"/>
  <c r="BA1060" i="6"/>
  <c r="Q1061" i="6" s="1"/>
  <c r="BG265" i="6"/>
  <c r="W266" i="6" s="1"/>
  <c r="AH265" i="6"/>
  <c r="AM985" i="6"/>
  <c r="AL985" i="6"/>
  <c r="AS913" i="6"/>
  <c r="AU913" i="6" s="1"/>
  <c r="AS1346" i="6"/>
  <c r="N343" i="6"/>
  <c r="AX343" i="6" s="1"/>
  <c r="N344" i="6" s="1"/>
  <c r="AX344" i="6" s="1"/>
  <c r="N345" i="6" s="1"/>
  <c r="AX345" i="6" s="1"/>
  <c r="N346" i="6" s="1"/>
  <c r="AX346" i="6" s="1"/>
  <c r="N347" i="6" s="1"/>
  <c r="AX347" i="6" s="1"/>
  <c r="N348" i="6" s="1"/>
  <c r="AX348" i="6" s="1"/>
  <c r="N349" i="6" s="1"/>
  <c r="AX349" i="6" s="1"/>
  <c r="N350" i="6" s="1"/>
  <c r="AX350" i="6" s="1"/>
  <c r="N351" i="6" s="1"/>
  <c r="AX351" i="6" s="1"/>
  <c r="N352" i="6" s="1"/>
  <c r="AX352" i="6" s="1"/>
  <c r="N353" i="6" s="1"/>
  <c r="AX353" i="6" s="1"/>
  <c r="N354" i="6" s="1"/>
  <c r="AX354" i="6" s="1"/>
  <c r="N355" i="6" s="1"/>
  <c r="AX355" i="6" s="1"/>
  <c r="N356" i="6" s="1"/>
  <c r="AX356" i="6" s="1"/>
  <c r="N357" i="6" s="1"/>
  <c r="AX357" i="6" s="1"/>
  <c r="N358" i="6" s="1"/>
  <c r="AX358" i="6" s="1"/>
  <c r="N359" i="6" s="1"/>
  <c r="AX359" i="6" s="1"/>
  <c r="N360" i="6" s="1"/>
  <c r="AX360" i="6" s="1"/>
  <c r="N361" i="6" s="1"/>
  <c r="AX361" i="6" s="1"/>
  <c r="N362" i="6" s="1"/>
  <c r="AX362" i="6" s="1"/>
  <c r="N363" i="6" s="1"/>
  <c r="AX363" i="6" s="1"/>
  <c r="N364" i="6" s="1"/>
  <c r="AX364" i="6" s="1"/>
  <c r="N365" i="6" s="1"/>
  <c r="AX365" i="6" s="1"/>
  <c r="BE338" i="6"/>
  <c r="U338" i="6"/>
  <c r="AM1054" i="6"/>
  <c r="AL1054" i="6"/>
  <c r="BE1417" i="6"/>
  <c r="U1417" i="6"/>
  <c r="BO1331" i="6"/>
  <c r="BN1332" i="6" s="1"/>
  <c r="BD663" i="6"/>
  <c r="T664" i="6" s="1"/>
  <c r="AP663" i="6"/>
  <c r="AH179" i="6"/>
  <c r="BF179" i="6"/>
  <c r="V180" i="6" s="1"/>
  <c r="BE302" i="6"/>
  <c r="U302" i="6"/>
  <c r="U1383" i="6"/>
  <c r="BE1383" i="6"/>
  <c r="BO1538" i="6"/>
  <c r="BN1539" i="6" s="1"/>
  <c r="AK1538" i="6"/>
  <c r="N1567" i="6"/>
  <c r="AX1567" i="6" s="1"/>
  <c r="N1568" i="6" s="1"/>
  <c r="AX1568" i="6" s="1"/>
  <c r="N1569" i="6" s="1"/>
  <c r="AX1569" i="6" s="1"/>
  <c r="N1570" i="6" s="1"/>
  <c r="AX1570" i="6" s="1"/>
  <c r="N1571" i="6" s="1"/>
  <c r="AX1571" i="6" s="1"/>
  <c r="N1572" i="6" s="1"/>
  <c r="AX1572" i="6" s="1"/>
  <c r="N1573" i="6" s="1"/>
  <c r="AX1573" i="6" s="1"/>
  <c r="N1574" i="6" s="1"/>
  <c r="AX1574" i="6" s="1"/>
  <c r="N1575" i="6" s="1"/>
  <c r="AX1575" i="6" s="1"/>
  <c r="N1576" i="6" s="1"/>
  <c r="AX1576" i="6" s="1"/>
  <c r="N1577" i="6" s="1"/>
  <c r="AX1577" i="6" s="1"/>
  <c r="N1578" i="6" s="1"/>
  <c r="AX1578" i="6" s="1"/>
  <c r="N1579" i="6" s="1"/>
  <c r="AX1579" i="6" s="1"/>
  <c r="N1580" i="6" s="1"/>
  <c r="AX1580" i="6" s="1"/>
  <c r="N1581" i="6" s="1"/>
  <c r="AX1581" i="6" s="1"/>
  <c r="N1582" i="6" s="1"/>
  <c r="AX1582" i="6" s="1"/>
  <c r="N1583" i="6" s="1"/>
  <c r="AX1583" i="6" s="1"/>
  <c r="N1584" i="6" s="1"/>
  <c r="AX1584" i="6" s="1"/>
  <c r="N1585" i="6" s="1"/>
  <c r="AX1585" i="6" s="1"/>
  <c r="N1586" i="6" s="1"/>
  <c r="AX1586" i="6" s="1"/>
  <c r="N1587" i="6" s="1"/>
  <c r="AX1587" i="6" s="1"/>
  <c r="N1588" i="6" s="1"/>
  <c r="AX1588" i="6" s="1"/>
  <c r="N1589" i="6" s="1"/>
  <c r="AX1589" i="6" s="1"/>
  <c r="BD877" i="6"/>
  <c r="T878" i="6" s="1"/>
  <c r="AP877" i="6"/>
  <c r="BO417" i="6"/>
  <c r="BN418" i="6" s="1"/>
  <c r="BO723" i="6"/>
  <c r="BN724" i="6" s="1"/>
  <c r="BF467" i="6"/>
  <c r="V468" i="6" s="1"/>
  <c r="AH467" i="6"/>
  <c r="BO576" i="6"/>
  <c r="BN577" i="6" s="1"/>
  <c r="BO527" i="6"/>
  <c r="BN528" i="6" s="1"/>
  <c r="BD159" i="6"/>
  <c r="T160" i="6" s="1"/>
  <c r="AP159" i="6"/>
  <c r="BF935" i="6"/>
  <c r="V936" i="6" s="1"/>
  <c r="AH935" i="6"/>
  <c r="N1459" i="6"/>
  <c r="AX1459" i="6" s="1"/>
  <c r="N1460" i="6" s="1"/>
  <c r="AX1460" i="6" s="1"/>
  <c r="N1461" i="6" s="1"/>
  <c r="AX1461" i="6" s="1"/>
  <c r="N1462" i="6" s="1"/>
  <c r="AX1462" i="6" s="1"/>
  <c r="N1463" i="6" s="1"/>
  <c r="AX1463" i="6" s="1"/>
  <c r="N1464" i="6" s="1"/>
  <c r="AX1464" i="6" s="1"/>
  <c r="N1465" i="6" s="1"/>
  <c r="AX1465" i="6" s="1"/>
  <c r="N1466" i="6" s="1"/>
  <c r="AX1466" i="6" s="1"/>
  <c r="N1467" i="6" s="1"/>
  <c r="AX1467" i="6" s="1"/>
  <c r="N1468" i="6" s="1"/>
  <c r="AX1468" i="6" s="1"/>
  <c r="N1469" i="6" s="1"/>
  <c r="AX1469" i="6" s="1"/>
  <c r="N1470" i="6" s="1"/>
  <c r="AX1470" i="6" s="1"/>
  <c r="N1471" i="6" s="1"/>
  <c r="AX1471" i="6" s="1"/>
  <c r="N1472" i="6" s="1"/>
  <c r="AX1472" i="6" s="1"/>
  <c r="N1473" i="6" s="1"/>
  <c r="AX1473" i="6" s="1"/>
  <c r="N1474" i="6" s="1"/>
  <c r="AX1474" i="6" s="1"/>
  <c r="N1475" i="6" s="1"/>
  <c r="AX1475" i="6" s="1"/>
  <c r="N1476" i="6" s="1"/>
  <c r="AX1476" i="6" s="1"/>
  <c r="N1477" i="6" s="1"/>
  <c r="AX1477" i="6" s="1"/>
  <c r="N1478" i="6" s="1"/>
  <c r="AX1478" i="6" s="1"/>
  <c r="N1479" i="6" s="1"/>
  <c r="AX1479" i="6" s="1"/>
  <c r="N1480" i="6" s="1"/>
  <c r="AX1480" i="6" s="1"/>
  <c r="N1481" i="6" s="1"/>
  <c r="AX1481" i="6" s="1"/>
  <c r="AV134" i="6"/>
  <c r="L135" i="6" s="1"/>
  <c r="AV135" i="6" s="1"/>
  <c r="L136" i="6" s="1"/>
  <c r="AV136" i="6" s="1"/>
  <c r="L137" i="6" s="1"/>
  <c r="AV137" i="6" s="1"/>
  <c r="L138" i="6" s="1"/>
  <c r="AV138" i="6" s="1"/>
  <c r="L139" i="6" s="1"/>
  <c r="AV139" i="6" s="1"/>
  <c r="L140" i="6" s="1"/>
  <c r="AV140" i="6" s="1"/>
  <c r="L141" i="6" s="1"/>
  <c r="AV141" i="6" s="1"/>
  <c r="L142" i="6" s="1"/>
  <c r="AV142" i="6" s="1"/>
  <c r="L143" i="6" s="1"/>
  <c r="AV143" i="6" s="1"/>
  <c r="L144" i="6" s="1"/>
  <c r="AV144" i="6" s="1"/>
  <c r="L145" i="6" s="1"/>
  <c r="AV145" i="6" s="1"/>
  <c r="L146" i="6" s="1"/>
  <c r="AV146" i="6" s="1"/>
  <c r="L147" i="6" s="1"/>
  <c r="AV147" i="6" s="1"/>
  <c r="L148" i="6" s="1"/>
  <c r="AV148" i="6" s="1"/>
  <c r="L149" i="6" s="1"/>
  <c r="AV149" i="6" s="1"/>
  <c r="AF134" i="6"/>
  <c r="BG1562" i="6"/>
  <c r="W1563" i="6" s="1"/>
  <c r="AH1562" i="6"/>
  <c r="BE553" i="6"/>
  <c r="U553" i="6"/>
  <c r="BA1168" i="6"/>
  <c r="Q1169" i="6" s="1"/>
  <c r="AG1168" i="6"/>
  <c r="AZ1055" i="6"/>
  <c r="P1056" i="6" s="1"/>
  <c r="AK1055" i="6"/>
  <c r="AR1055" i="6" s="1"/>
  <c r="AS1055" i="6" s="1"/>
  <c r="AG1055" i="6"/>
  <c r="BO172" i="6"/>
  <c r="BN173" i="6" s="1"/>
  <c r="AK172" i="6"/>
  <c r="BA202" i="6"/>
  <c r="Q203" i="6" s="1"/>
  <c r="BE592" i="6"/>
  <c r="U592" i="6"/>
  <c r="AP807" i="6"/>
  <c r="BD807" i="6"/>
  <c r="T808" i="6" s="1"/>
  <c r="BO269" i="6"/>
  <c r="BN270" i="6" s="1"/>
  <c r="AK269" i="6"/>
  <c r="BO1247" i="6"/>
  <c r="BN1248" i="6" s="1"/>
  <c r="BF1655" i="6"/>
  <c r="V1656" i="6" s="1"/>
  <c r="AH1655" i="6"/>
  <c r="BF1367" i="6"/>
  <c r="V1368" i="6" s="1"/>
  <c r="AH1367" i="6"/>
  <c r="AH1439" i="6"/>
  <c r="BF1439" i="6"/>
  <c r="V1440" i="6" s="1"/>
  <c r="AS589" i="6"/>
  <c r="AU589" i="6" s="1"/>
  <c r="BD195" i="6"/>
  <c r="T196" i="6" s="1"/>
  <c r="AP195" i="6"/>
  <c r="AR554" i="6"/>
  <c r="AQ554" i="6"/>
  <c r="AZ456" i="6"/>
  <c r="P457" i="6" s="1"/>
  <c r="AK456" i="6"/>
  <c r="AR446" i="6"/>
  <c r="AQ446" i="6"/>
  <c r="BG699" i="6"/>
  <c r="W700" i="6" s="1"/>
  <c r="AH699" i="6"/>
  <c r="BA772" i="6"/>
  <c r="Q773" i="6" s="1"/>
  <c r="AG772" i="6"/>
  <c r="AQ736" i="6"/>
  <c r="AH827" i="6"/>
  <c r="BF827" i="6"/>
  <c r="V828" i="6" s="1"/>
  <c r="AN627" i="6"/>
  <c r="AQ662" i="6"/>
  <c r="BE1561" i="6"/>
  <c r="U1561" i="6"/>
  <c r="BO381" i="6"/>
  <c r="BN382" i="6" s="1"/>
  <c r="AK381" i="6"/>
  <c r="BF1079" i="6"/>
  <c r="V1080" i="6" s="1"/>
  <c r="AH1079" i="6"/>
  <c r="AQ158" i="6"/>
  <c r="AR158" i="6"/>
  <c r="BE699" i="6"/>
  <c r="U699" i="6"/>
  <c r="BE411" i="6"/>
  <c r="U411" i="6"/>
  <c r="AQ194" i="6"/>
  <c r="BF899" i="6"/>
  <c r="V900" i="6" s="1"/>
  <c r="AH899" i="6"/>
  <c r="BE1490" i="6"/>
  <c r="U1490" i="6"/>
  <c r="AL1023" i="6"/>
  <c r="AM1023" i="6"/>
  <c r="BA340" i="6"/>
  <c r="Q341" i="6" s="1"/>
  <c r="AG340" i="6"/>
  <c r="AQ842" i="6"/>
  <c r="BF71" i="6"/>
  <c r="V72" i="6" s="1"/>
  <c r="AH71" i="6"/>
  <c r="AM12" i="6"/>
  <c r="AL12" i="6"/>
  <c r="BE734" i="6"/>
  <c r="U734" i="6"/>
  <c r="BF611" i="6"/>
  <c r="V612" i="6" s="1"/>
  <c r="AH611" i="6"/>
  <c r="BA1492" i="6"/>
  <c r="Q1493" i="6" s="1"/>
  <c r="BG1496" i="6"/>
  <c r="W1497" i="6" s="1"/>
  <c r="AH1496" i="6"/>
  <c r="BD555" i="6"/>
  <c r="T556" i="6" s="1"/>
  <c r="AP555" i="6"/>
  <c r="BE1346" i="6"/>
  <c r="U1346" i="6"/>
  <c r="AR1529" i="6"/>
  <c r="AQ1529" i="6"/>
  <c r="BF35" i="6"/>
  <c r="V36" i="6" s="1"/>
  <c r="AH35" i="6"/>
  <c r="AH1241" i="6"/>
  <c r="BG1241" i="6"/>
  <c r="W1242" i="6" s="1"/>
  <c r="BD447" i="6"/>
  <c r="T448" i="6" s="1"/>
  <c r="AP447" i="6"/>
  <c r="AH539" i="6"/>
  <c r="BF539" i="6"/>
  <c r="V540" i="6" s="1"/>
  <c r="BD231" i="6"/>
  <c r="T232" i="6" s="1"/>
  <c r="AP231" i="6"/>
  <c r="AR914" i="6"/>
  <c r="AQ914" i="6"/>
  <c r="BD737" i="6"/>
  <c r="T738" i="6" s="1"/>
  <c r="AP737" i="6"/>
  <c r="AQ1130" i="6"/>
  <c r="BE483" i="6"/>
  <c r="U483" i="6"/>
  <c r="AF494" i="6"/>
  <c r="BE375" i="6"/>
  <c r="U375" i="6"/>
  <c r="BG806" i="6"/>
  <c r="W807" i="6" s="1"/>
  <c r="AH806" i="6"/>
  <c r="BD1599" i="6"/>
  <c r="T1600" i="6" s="1"/>
  <c r="AP1599" i="6"/>
  <c r="AQ876" i="6"/>
  <c r="AR876" i="6"/>
  <c r="AM1167" i="6"/>
  <c r="AL1167" i="6"/>
  <c r="AH863" i="6"/>
  <c r="BF863" i="6"/>
  <c r="V864" i="6" s="1"/>
  <c r="BG482" i="6"/>
  <c r="W483" i="6" s="1"/>
  <c r="AH482" i="6"/>
  <c r="BO1637" i="6"/>
  <c r="BN1638" i="6" s="1"/>
  <c r="BD52" i="6"/>
  <c r="T53" i="6" s="1"/>
  <c r="AP52" i="6"/>
  <c r="BE841" i="6"/>
  <c r="U841" i="6"/>
  <c r="AQ1635" i="6"/>
  <c r="AH1526" i="6"/>
  <c r="BG1526" i="6"/>
  <c r="W1527" i="6" s="1"/>
  <c r="BE447" i="6"/>
  <c r="U447" i="6"/>
  <c r="AF1214" i="6"/>
  <c r="AV1214" i="6"/>
  <c r="L1215" i="6" s="1"/>
  <c r="AV1215" i="6" s="1"/>
  <c r="L1216" i="6" s="1"/>
  <c r="AV1216" i="6" s="1"/>
  <c r="L1217" i="6" s="1"/>
  <c r="AV1217" i="6" s="1"/>
  <c r="L1218" i="6" s="1"/>
  <c r="AV1218" i="6" s="1"/>
  <c r="L1219" i="6" s="1"/>
  <c r="AV1219" i="6" s="1"/>
  <c r="L1220" i="6" s="1"/>
  <c r="AV1220" i="6" s="1"/>
  <c r="L1221" i="6" s="1"/>
  <c r="AV1221" i="6" s="1"/>
  <c r="L1222" i="6" s="1"/>
  <c r="AV1222" i="6" s="1"/>
  <c r="L1223" i="6" s="1"/>
  <c r="AV1223" i="6" s="1"/>
  <c r="L1224" i="6" s="1"/>
  <c r="AV1224" i="6" s="1"/>
  <c r="L1225" i="6" s="1"/>
  <c r="AV1225" i="6" s="1"/>
  <c r="L1226" i="6" s="1"/>
  <c r="AV1226" i="6" s="1"/>
  <c r="L1227" i="6" s="1"/>
  <c r="AV1227" i="6" s="1"/>
  <c r="L1228" i="6" s="1"/>
  <c r="AV1228" i="6" s="1"/>
  <c r="L1229" i="6" s="1"/>
  <c r="AV1229" i="6" s="1"/>
  <c r="AL1413" i="6"/>
  <c r="AM1413" i="6"/>
  <c r="AZ571" i="6"/>
  <c r="P572" i="6" s="1"/>
  <c r="AK571" i="6"/>
  <c r="AM693" i="6"/>
  <c r="AL693" i="6"/>
  <c r="BF1511" i="6"/>
  <c r="V1512" i="6" s="1"/>
  <c r="AH1511" i="6"/>
  <c r="BG1057" i="6"/>
  <c r="W1058" i="6" s="1"/>
  <c r="AH1057" i="6"/>
  <c r="AQ699" i="6"/>
  <c r="BD521" i="6"/>
  <c r="T522" i="6" s="1"/>
  <c r="AP521" i="6"/>
  <c r="AN45" i="6"/>
  <c r="AU45" i="6" s="1"/>
  <c r="AN1412" i="6"/>
  <c r="AU1412" i="6" s="1"/>
  <c r="AN1593" i="6"/>
  <c r="AU1593" i="6" s="1"/>
  <c r="AG1529" i="6"/>
  <c r="BA1529" i="6"/>
  <c r="Q1530" i="6" s="1"/>
  <c r="AZ1235" i="6"/>
  <c r="P1236" i="6" s="1"/>
  <c r="AK1235" i="6"/>
  <c r="AR1235" i="6" s="1"/>
  <c r="AS1235" i="6" s="1"/>
  <c r="AG1235" i="6"/>
  <c r="BD1636" i="6"/>
  <c r="T1637" i="6" s="1"/>
  <c r="AP1636" i="6"/>
  <c r="BE1597" i="6"/>
  <c r="U1597" i="6"/>
  <c r="BE951" i="6"/>
  <c r="U951" i="6"/>
  <c r="BE158" i="6"/>
  <c r="U158" i="6"/>
  <c r="AM1380" i="6"/>
  <c r="AL1380" i="6"/>
  <c r="BG1024" i="6"/>
  <c r="W1025" i="6" s="1"/>
  <c r="AH1024" i="6"/>
  <c r="BH1139" i="6"/>
  <c r="X1140" i="6" s="1"/>
  <c r="AD1139" i="6"/>
  <c r="BG1204" i="6"/>
  <c r="W1205" i="6" s="1"/>
  <c r="AH1204" i="6"/>
  <c r="AS875" i="6"/>
  <c r="AU875" i="6" s="1"/>
  <c r="BG1636" i="6"/>
  <c r="W1637" i="6" s="1"/>
  <c r="AH1636" i="6"/>
  <c r="BA53" i="6"/>
  <c r="Q54" i="6" s="1"/>
  <c r="BD843" i="6"/>
  <c r="T844" i="6" s="1"/>
  <c r="AP843" i="6"/>
  <c r="AQ1274" i="6"/>
  <c r="AR1274" i="6"/>
  <c r="BG13" i="6"/>
  <c r="W14" i="6" s="1"/>
  <c r="AH13" i="6"/>
  <c r="BG662" i="6"/>
  <c r="W663" i="6" s="1"/>
  <c r="AH662" i="6"/>
  <c r="AH1547" i="6"/>
  <c r="BF1547" i="6"/>
  <c r="V1548" i="6" s="1"/>
  <c r="BO749" i="6"/>
  <c r="BN750" i="6" s="1"/>
  <c r="AR374" i="6"/>
  <c r="AQ374" i="6"/>
  <c r="AM592" i="6"/>
  <c r="AL592" i="6"/>
  <c r="BD1530" i="6"/>
  <c r="T1531" i="6" s="1"/>
  <c r="AP1530" i="6"/>
  <c r="BO508" i="6"/>
  <c r="BN509" i="6" s="1"/>
  <c r="AM445" i="6"/>
  <c r="AL445" i="6"/>
  <c r="BF1043" i="6"/>
  <c r="V1044" i="6" s="1"/>
  <c r="AH1043" i="6"/>
  <c r="AQ230" i="6"/>
  <c r="AR230" i="6"/>
  <c r="BF503" i="6"/>
  <c r="V504" i="6" s="1"/>
  <c r="AH503" i="6"/>
  <c r="AV170" i="6"/>
  <c r="L171" i="6" s="1"/>
  <c r="AV171" i="6" s="1"/>
  <c r="L172" i="6" s="1"/>
  <c r="AV172" i="6" s="1"/>
  <c r="L173" i="6" s="1"/>
  <c r="AV173" i="6" s="1"/>
  <c r="L174" i="6" s="1"/>
  <c r="AV174" i="6" s="1"/>
  <c r="L175" i="6" s="1"/>
  <c r="AV175" i="6" s="1"/>
  <c r="L176" i="6" s="1"/>
  <c r="AV176" i="6" s="1"/>
  <c r="L177" i="6" s="1"/>
  <c r="AV177" i="6" s="1"/>
  <c r="L178" i="6" s="1"/>
  <c r="AV178" i="6" s="1"/>
  <c r="L179" i="6" s="1"/>
  <c r="AV179" i="6" s="1"/>
  <c r="L180" i="6" s="1"/>
  <c r="AV180" i="6" s="1"/>
  <c r="L181" i="6" s="1"/>
  <c r="AV181" i="6" s="1"/>
  <c r="L182" i="6" s="1"/>
  <c r="AV182" i="6" s="1"/>
  <c r="L183" i="6" s="1"/>
  <c r="AV183" i="6" s="1"/>
  <c r="L184" i="6" s="1"/>
  <c r="AV184" i="6" s="1"/>
  <c r="L185" i="6" s="1"/>
  <c r="AV185" i="6" s="1"/>
  <c r="AF170" i="6"/>
  <c r="BD915" i="6"/>
  <c r="T916" i="6" s="1"/>
  <c r="AP915" i="6"/>
  <c r="BD1131" i="6"/>
  <c r="T1132" i="6" s="1"/>
  <c r="AP1131" i="6"/>
  <c r="BO1604" i="6"/>
  <c r="BN1605" i="6" s="1"/>
  <c r="BO1137" i="6"/>
  <c r="BN1138" i="6" s="1"/>
  <c r="BA1421" i="6"/>
  <c r="Q1422" i="6" s="1"/>
  <c r="AQ51" i="6"/>
  <c r="BF791" i="6"/>
  <c r="V792" i="6" s="1"/>
  <c r="AH791" i="6"/>
  <c r="AQ520" i="6"/>
  <c r="AL1234" i="6"/>
  <c r="AM1234" i="6"/>
  <c r="BG1276" i="6"/>
  <c r="W1277" i="6" s="1"/>
  <c r="AH1276" i="6"/>
  <c r="U985" i="6"/>
  <c r="BE985" i="6"/>
  <c r="AW1214" i="6"/>
  <c r="M1215" i="6" s="1"/>
  <c r="AW1215" i="6" s="1"/>
  <c r="M1216" i="6" s="1"/>
  <c r="AW1216" i="6" s="1"/>
  <c r="M1217" i="6" s="1"/>
  <c r="AW1217" i="6" s="1"/>
  <c r="M1218" i="6" s="1"/>
  <c r="AW1218" i="6" s="1"/>
  <c r="M1219" i="6" s="1"/>
  <c r="AW1219" i="6" s="1"/>
  <c r="M1220" i="6" s="1"/>
  <c r="AW1220" i="6" s="1"/>
  <c r="M1221" i="6" s="1"/>
  <c r="AW1221" i="6" s="1"/>
  <c r="M1222" i="6" s="1"/>
  <c r="AW1222" i="6" s="1"/>
  <c r="M1223" i="6" s="1"/>
  <c r="AW1223" i="6" s="1"/>
  <c r="M1224" i="6" s="1"/>
  <c r="AW1224" i="6" s="1"/>
  <c r="M1225" i="6" s="1"/>
  <c r="AW1225" i="6" s="1"/>
  <c r="M1226" i="6" s="1"/>
  <c r="AW1226" i="6" s="1"/>
  <c r="M1227" i="6" s="1"/>
  <c r="AW1227" i="6" s="1"/>
  <c r="M1228" i="6" s="1"/>
  <c r="AW1228" i="6" s="1"/>
  <c r="M1229" i="6" s="1"/>
  <c r="AW1229" i="6" s="1"/>
  <c r="N1171" i="6"/>
  <c r="AX1171" i="6" s="1"/>
  <c r="N1172" i="6" s="1"/>
  <c r="AX1172" i="6" s="1"/>
  <c r="N1173" i="6" s="1"/>
  <c r="AX1173" i="6" s="1"/>
  <c r="N1174" i="6" s="1"/>
  <c r="AX1174" i="6" s="1"/>
  <c r="N1175" i="6" s="1"/>
  <c r="AX1175" i="6" s="1"/>
  <c r="N1176" i="6" s="1"/>
  <c r="AX1176" i="6" s="1"/>
  <c r="N1177" i="6" s="1"/>
  <c r="AX1177" i="6" s="1"/>
  <c r="N1178" i="6" s="1"/>
  <c r="AX1178" i="6" s="1"/>
  <c r="N1179" i="6" s="1"/>
  <c r="AX1179" i="6" s="1"/>
  <c r="N1180" i="6" s="1"/>
  <c r="AX1180" i="6" s="1"/>
  <c r="N1181" i="6" s="1"/>
  <c r="AX1181" i="6" s="1"/>
  <c r="N1182" i="6" s="1"/>
  <c r="AX1182" i="6" s="1"/>
  <c r="N1183" i="6" s="1"/>
  <c r="AX1183" i="6" s="1"/>
  <c r="N1184" i="6" s="1"/>
  <c r="AX1184" i="6" s="1"/>
  <c r="N1185" i="6" s="1"/>
  <c r="AX1185" i="6" s="1"/>
  <c r="N1186" i="6" s="1"/>
  <c r="AX1186" i="6" s="1"/>
  <c r="N1187" i="6" s="1"/>
  <c r="AX1187" i="6" s="1"/>
  <c r="N1188" i="6" s="1"/>
  <c r="AX1188" i="6" s="1"/>
  <c r="N1189" i="6" s="1"/>
  <c r="AX1189" i="6" s="1"/>
  <c r="N1190" i="6" s="1"/>
  <c r="AX1190" i="6" s="1"/>
  <c r="N1191" i="6" s="1"/>
  <c r="AX1191" i="6" s="1"/>
  <c r="N1192" i="6" s="1"/>
  <c r="AX1192" i="6" s="1"/>
  <c r="N1193" i="6" s="1"/>
  <c r="AX1193" i="6" s="1"/>
  <c r="AZ694" i="6"/>
  <c r="P695" i="6" s="1"/>
  <c r="AG694" i="6"/>
  <c r="AK694" i="6"/>
  <c r="AR694" i="6" s="1"/>
  <c r="AS694" i="6" s="1"/>
  <c r="AN119" i="6"/>
  <c r="AU119" i="6" s="1"/>
  <c r="AQ122" i="6"/>
  <c r="AR122" i="6"/>
  <c r="BE518" i="6"/>
  <c r="U518" i="6"/>
  <c r="AQ483" i="6"/>
  <c r="AR1382" i="6"/>
  <c r="AQ1382" i="6"/>
  <c r="AH733" i="6"/>
  <c r="BG733" i="6"/>
  <c r="W734" i="6" s="1"/>
  <c r="BA990" i="6"/>
  <c r="Q991" i="6" s="1"/>
  <c r="AG990" i="6"/>
  <c r="BG1381" i="6"/>
  <c r="W1382" i="6" s="1"/>
  <c r="AH1381" i="6"/>
  <c r="AQ1490" i="6"/>
  <c r="BO128" i="6"/>
  <c r="BN129" i="6" s="1"/>
  <c r="AK128" i="6"/>
  <c r="AN692" i="6"/>
  <c r="AU692" i="6" s="1"/>
  <c r="U1453" i="6"/>
  <c r="BE1453" i="6"/>
  <c r="BD1275" i="6"/>
  <c r="T1276" i="6" s="1"/>
  <c r="AP1275" i="6"/>
  <c r="BE266" i="6"/>
  <c r="U266" i="6"/>
  <c r="BE122" i="6"/>
  <c r="U122" i="6"/>
  <c r="BH1005" i="6"/>
  <c r="X1006" i="6" s="1"/>
  <c r="AD1005" i="6"/>
  <c r="BG1099" i="6"/>
  <c r="W1100" i="6" s="1"/>
  <c r="AH1099" i="6"/>
  <c r="BG1607" i="6"/>
  <c r="W1608" i="6" s="1"/>
  <c r="AH1607" i="6"/>
  <c r="BD375" i="6"/>
  <c r="T376" i="6" s="1"/>
  <c r="AP375" i="6"/>
  <c r="BE662" i="6"/>
  <c r="U662" i="6"/>
  <c r="BH1363" i="6"/>
  <c r="X1364" i="6" s="1"/>
  <c r="AD1363" i="6"/>
  <c r="BO1502" i="6"/>
  <c r="BN1503" i="6" s="1"/>
  <c r="BA593" i="6"/>
  <c r="Q594" i="6" s="1"/>
  <c r="AG593" i="6"/>
  <c r="BF1223" i="6"/>
  <c r="V1224" i="6" s="1"/>
  <c r="AH1223" i="6"/>
  <c r="BG446" i="6"/>
  <c r="W447" i="6" s="1"/>
  <c r="AH446" i="6"/>
  <c r="AS769" i="6"/>
  <c r="AQ1056" i="6"/>
  <c r="AW170" i="6"/>
  <c r="M171" i="6" s="1"/>
  <c r="AW171" i="6" s="1"/>
  <c r="M172" i="6" s="1"/>
  <c r="AW172" i="6" s="1"/>
  <c r="M173" i="6" s="1"/>
  <c r="AW173" i="6" s="1"/>
  <c r="M174" i="6" s="1"/>
  <c r="AW174" i="6" s="1"/>
  <c r="M175" i="6" s="1"/>
  <c r="AW175" i="6" s="1"/>
  <c r="M176" i="6" s="1"/>
  <c r="AW176" i="6" s="1"/>
  <c r="M177" i="6" s="1"/>
  <c r="AW177" i="6" s="1"/>
  <c r="M178" i="6" s="1"/>
  <c r="AW178" i="6" s="1"/>
  <c r="M179" i="6" s="1"/>
  <c r="AW179" i="6" s="1"/>
  <c r="M180" i="6" s="1"/>
  <c r="AW180" i="6" s="1"/>
  <c r="M181" i="6" s="1"/>
  <c r="AW181" i="6" s="1"/>
  <c r="M182" i="6" s="1"/>
  <c r="AW182" i="6" s="1"/>
  <c r="M183" i="6" s="1"/>
  <c r="AW183" i="6" s="1"/>
  <c r="M184" i="6" s="1"/>
  <c r="AW184" i="6" s="1"/>
  <c r="M185" i="6" s="1"/>
  <c r="AW185" i="6" s="1"/>
  <c r="BA737" i="6"/>
  <c r="Q738" i="6" s="1"/>
  <c r="AH1420" i="6"/>
  <c r="BG1420" i="6"/>
  <c r="W1421" i="6" s="1"/>
  <c r="AV1142" i="6"/>
  <c r="L1143" i="6" s="1"/>
  <c r="AV1143" i="6" s="1"/>
  <c r="L1144" i="6" s="1"/>
  <c r="AV1144" i="6" s="1"/>
  <c r="L1145" i="6" s="1"/>
  <c r="AV1145" i="6" s="1"/>
  <c r="L1146" i="6" s="1"/>
  <c r="AV1146" i="6" s="1"/>
  <c r="L1147" i="6" s="1"/>
  <c r="AV1147" i="6" s="1"/>
  <c r="L1148" i="6" s="1"/>
  <c r="AV1148" i="6" s="1"/>
  <c r="L1149" i="6" s="1"/>
  <c r="AV1149" i="6" s="1"/>
  <c r="L1150" i="6" s="1"/>
  <c r="AV1150" i="6" s="1"/>
  <c r="L1151" i="6" s="1"/>
  <c r="AV1151" i="6" s="1"/>
  <c r="L1152" i="6" s="1"/>
  <c r="AV1152" i="6" s="1"/>
  <c r="L1153" i="6" s="1"/>
  <c r="AV1153" i="6" s="1"/>
  <c r="L1154" i="6" s="1"/>
  <c r="AV1154" i="6" s="1"/>
  <c r="L1155" i="6" s="1"/>
  <c r="AV1155" i="6" s="1"/>
  <c r="L1156" i="6" s="1"/>
  <c r="AV1156" i="6" s="1"/>
  <c r="L1157" i="6" s="1"/>
  <c r="AV1157" i="6" s="1"/>
  <c r="AF1142" i="6"/>
  <c r="N487" i="6"/>
  <c r="AX487" i="6" s="1"/>
  <c r="N488" i="6" s="1"/>
  <c r="AX488" i="6" s="1"/>
  <c r="N489" i="6" s="1"/>
  <c r="AX489" i="6" s="1"/>
  <c r="N490" i="6" s="1"/>
  <c r="AX490" i="6" s="1"/>
  <c r="N491" i="6" s="1"/>
  <c r="AX491" i="6" s="1"/>
  <c r="N492" i="6" s="1"/>
  <c r="AX492" i="6" s="1"/>
  <c r="N493" i="6" s="1"/>
  <c r="AX493" i="6" s="1"/>
  <c r="N494" i="6" s="1"/>
  <c r="AX494" i="6" s="1"/>
  <c r="N495" i="6" s="1"/>
  <c r="AX495" i="6" s="1"/>
  <c r="N496" i="6" s="1"/>
  <c r="AX496" i="6" s="1"/>
  <c r="N497" i="6" s="1"/>
  <c r="AX497" i="6" s="1"/>
  <c r="N498" i="6" s="1"/>
  <c r="AX498" i="6" s="1"/>
  <c r="N499" i="6" s="1"/>
  <c r="AX499" i="6" s="1"/>
  <c r="N500" i="6" s="1"/>
  <c r="AX500" i="6" s="1"/>
  <c r="N501" i="6" s="1"/>
  <c r="AX501" i="6" s="1"/>
  <c r="N502" i="6" s="1"/>
  <c r="AX502" i="6" s="1"/>
  <c r="N503" i="6" s="1"/>
  <c r="AX503" i="6" s="1"/>
  <c r="N504" i="6" s="1"/>
  <c r="AX504" i="6" s="1"/>
  <c r="N505" i="6" s="1"/>
  <c r="AX505" i="6" s="1"/>
  <c r="N506" i="6" s="1"/>
  <c r="AX506" i="6" s="1"/>
  <c r="N507" i="6" s="1"/>
  <c r="AX507" i="6" s="1"/>
  <c r="N508" i="6" s="1"/>
  <c r="AX508" i="6" s="1"/>
  <c r="N509" i="6" s="1"/>
  <c r="AX509" i="6" s="1"/>
  <c r="AR1313" i="6"/>
  <c r="AQ1313" i="6"/>
  <c r="BG49" i="6"/>
  <c r="W50" i="6" s="1"/>
  <c r="AH49" i="6"/>
  <c r="BO1217" i="6"/>
  <c r="BN1218" i="6" s="1"/>
  <c r="AK1217" i="6"/>
  <c r="BA418" i="6"/>
  <c r="Q419" i="6" s="1"/>
  <c r="AL1525" i="6"/>
  <c r="AM1525" i="6"/>
  <c r="BF647" i="6"/>
  <c r="V648" i="6" s="1"/>
  <c r="AH647" i="6"/>
  <c r="AL1275" i="6"/>
  <c r="AN1275" i="6" s="1"/>
  <c r="AM1275" i="6"/>
  <c r="BO71" i="6"/>
  <c r="BN72" i="6" s="1"/>
  <c r="BA1132" i="6"/>
  <c r="Q1133" i="6" s="1"/>
  <c r="BD484" i="6"/>
  <c r="T485" i="6" s="1"/>
  <c r="AP484" i="6"/>
  <c r="BG193" i="6"/>
  <c r="W194" i="6" s="1"/>
  <c r="AH193" i="6"/>
  <c r="AL157" i="6"/>
  <c r="AM157" i="6"/>
  <c r="BA382" i="6"/>
  <c r="Q383" i="6" s="1"/>
  <c r="AG382" i="6"/>
  <c r="BG339" i="6"/>
  <c r="W340" i="6" s="1"/>
  <c r="AH339" i="6"/>
  <c r="AL339" i="6" s="1"/>
  <c r="AH1151" i="6"/>
  <c r="BF1151" i="6"/>
  <c r="V1152" i="6" s="1"/>
  <c r="BA453" i="6"/>
  <c r="Q454" i="6" s="1"/>
  <c r="AG453" i="6"/>
  <c r="BO888" i="6"/>
  <c r="BN889" i="6" s="1"/>
  <c r="AK888" i="6"/>
  <c r="BO611" i="6"/>
  <c r="BN612" i="6" s="1"/>
  <c r="AK611" i="6"/>
  <c r="BD1491" i="6"/>
  <c r="T1492" i="6" s="1"/>
  <c r="AP1491" i="6"/>
  <c r="BO233" i="6"/>
  <c r="BN234" i="6" s="1"/>
  <c r="AK233" i="6"/>
  <c r="BO1383" i="6"/>
  <c r="BN1384" i="6" s="1"/>
  <c r="AK1383" i="6"/>
  <c r="AH287" i="6"/>
  <c r="BF287" i="6"/>
  <c r="V288" i="6" s="1"/>
  <c r="AN626" i="6"/>
  <c r="AR590" i="6"/>
  <c r="AQ590" i="6"/>
  <c r="AN476" i="6"/>
  <c r="AU476" i="6" s="1"/>
  <c r="BF683" i="6"/>
  <c r="V684" i="6" s="1"/>
  <c r="AH683" i="6"/>
  <c r="AQ267" i="6"/>
  <c r="AR267" i="6"/>
  <c r="BF719" i="6"/>
  <c r="V720" i="6" s="1"/>
  <c r="AH719" i="6"/>
  <c r="BA1604" i="6"/>
  <c r="Q1605" i="6" s="1"/>
  <c r="BD1057" i="6"/>
  <c r="T1058" i="6" s="1"/>
  <c r="AP1057" i="6"/>
  <c r="AZ1328" i="6"/>
  <c r="P1329" i="6" s="1"/>
  <c r="AK1328" i="6"/>
  <c r="BE1130" i="6"/>
  <c r="U1130" i="6"/>
  <c r="AQ1454" i="6"/>
  <c r="AM949" i="6"/>
  <c r="AL949" i="6"/>
  <c r="BD1314" i="6"/>
  <c r="T1315" i="6" s="1"/>
  <c r="AP1314" i="6"/>
  <c r="BF1619" i="6"/>
  <c r="V1620" i="6" s="1"/>
  <c r="AH1619" i="6"/>
  <c r="BD700" i="6"/>
  <c r="T701" i="6" s="1"/>
  <c r="AP700" i="6"/>
  <c r="AZ1414" i="6"/>
  <c r="P1415" i="6" s="1"/>
  <c r="AK1414" i="6"/>
  <c r="AR1414" i="6" s="1"/>
  <c r="AS1414" i="6" s="1"/>
  <c r="AG1414" i="6"/>
  <c r="BD123" i="6"/>
  <c r="T124" i="6" s="1"/>
  <c r="AP123" i="6"/>
  <c r="AL46" i="6"/>
  <c r="AM46" i="6"/>
  <c r="BD1383" i="6"/>
  <c r="T1384" i="6" s="1"/>
  <c r="AP1383" i="6"/>
  <c r="BE1634" i="6"/>
  <c r="U1634" i="6"/>
  <c r="BG121" i="6"/>
  <c r="W122" i="6" s="1"/>
  <c r="AH121" i="6"/>
  <c r="AM1126" i="6"/>
  <c r="AL1126" i="6"/>
  <c r="N1243" i="6"/>
  <c r="AX1243" i="6" s="1"/>
  <c r="N1244" i="6" s="1"/>
  <c r="AX1244" i="6" s="1"/>
  <c r="N1245" i="6" s="1"/>
  <c r="AX1245" i="6" s="1"/>
  <c r="N1246" i="6" s="1"/>
  <c r="AX1246" i="6" s="1"/>
  <c r="N1247" i="6" s="1"/>
  <c r="AX1247" i="6" s="1"/>
  <c r="N1248" i="6" s="1"/>
  <c r="AX1248" i="6" s="1"/>
  <c r="N1249" i="6" s="1"/>
  <c r="AX1249" i="6" s="1"/>
  <c r="N1250" i="6" s="1"/>
  <c r="AX1250" i="6" s="1"/>
  <c r="N1251" i="6" s="1"/>
  <c r="AX1251" i="6" s="1"/>
  <c r="N1252" i="6" s="1"/>
  <c r="AX1252" i="6" s="1"/>
  <c r="N1253" i="6" s="1"/>
  <c r="AX1253" i="6" s="1"/>
  <c r="N1254" i="6" s="1"/>
  <c r="AX1254" i="6" s="1"/>
  <c r="N1255" i="6" s="1"/>
  <c r="AX1255" i="6" s="1"/>
  <c r="N1256" i="6" s="1"/>
  <c r="AX1256" i="6" s="1"/>
  <c r="N1257" i="6" s="1"/>
  <c r="AX1257" i="6" s="1"/>
  <c r="N1258" i="6" s="1"/>
  <c r="AX1258" i="6" s="1"/>
  <c r="N1259" i="6" s="1"/>
  <c r="AX1259" i="6" s="1"/>
  <c r="N1260" i="6" s="1"/>
  <c r="AX1260" i="6" s="1"/>
  <c r="N1261" i="6" s="1"/>
  <c r="AX1261" i="6" s="1"/>
  <c r="N1262" i="6" s="1"/>
  <c r="AX1262" i="6" s="1"/>
  <c r="N1263" i="6" s="1"/>
  <c r="AX1263" i="6" s="1"/>
  <c r="N1264" i="6" s="1"/>
  <c r="AX1264" i="6" s="1"/>
  <c r="N1265" i="6" s="1"/>
  <c r="AX1265" i="6" s="1"/>
  <c r="AS1312" i="6"/>
  <c r="AZ47" i="6"/>
  <c r="P48" i="6" s="1"/>
  <c r="AG47" i="6"/>
  <c r="AK47" i="6"/>
  <c r="AR47" i="6" s="1"/>
  <c r="AS47" i="6" s="1"/>
  <c r="AZ35" i="6"/>
  <c r="P36" i="6" s="1"/>
  <c r="AK35" i="6"/>
  <c r="BF143" i="6"/>
  <c r="V144" i="6" s="1"/>
  <c r="AH143" i="6"/>
  <c r="BF395" i="6"/>
  <c r="V396" i="6" s="1"/>
  <c r="AH395" i="6"/>
  <c r="BF971" i="6"/>
  <c r="V972" i="6" s="1"/>
  <c r="AH971" i="6"/>
  <c r="BG158" i="6"/>
  <c r="W159" i="6" s="1"/>
  <c r="AH158" i="6"/>
  <c r="BF1187" i="6"/>
  <c r="V1188" i="6" s="1"/>
  <c r="AH1187" i="6"/>
  <c r="AS625" i="6"/>
  <c r="AU625" i="6" s="1"/>
  <c r="BE230" i="6"/>
  <c r="U230" i="6"/>
  <c r="BG593" i="6"/>
  <c r="W594" i="6" s="1"/>
  <c r="AH593" i="6"/>
  <c r="AR1202" i="6"/>
  <c r="AQ1202" i="6"/>
  <c r="BF1007" i="6"/>
  <c r="V1008" i="6" s="1"/>
  <c r="AH1007" i="6"/>
  <c r="AN1379" i="6"/>
  <c r="AU1379" i="6" s="1"/>
  <c r="BG86" i="6"/>
  <c r="W87" i="6" s="1"/>
  <c r="AH86" i="6"/>
  <c r="BD591" i="6"/>
  <c r="T592" i="6" s="1"/>
  <c r="AP591" i="6"/>
  <c r="BF1295" i="6"/>
  <c r="V1296" i="6" s="1"/>
  <c r="AH1295" i="6"/>
  <c r="AM1449" i="6"/>
  <c r="AL1449" i="6"/>
  <c r="AS337" i="6"/>
  <c r="AU337" i="6" s="1"/>
  <c r="BD268" i="6"/>
  <c r="T269" i="6" s="1"/>
  <c r="AP268" i="6"/>
  <c r="AN657" i="6"/>
  <c r="AU657" i="6" s="1"/>
  <c r="BG375" i="6"/>
  <c r="W376" i="6" s="1"/>
  <c r="AH375" i="6"/>
  <c r="AR338" i="6"/>
  <c r="AQ338" i="6"/>
  <c r="AN591" i="6"/>
  <c r="AM514" i="6"/>
  <c r="AL514" i="6"/>
  <c r="BG1135" i="6"/>
  <c r="W1136" i="6" s="1"/>
  <c r="AH1135" i="6"/>
  <c r="AM1558" i="6"/>
  <c r="AL1558" i="6"/>
  <c r="AM628" i="6"/>
  <c r="AL628" i="6"/>
  <c r="BF359" i="6"/>
  <c r="V360" i="6" s="1"/>
  <c r="AH359" i="6"/>
  <c r="BG1349" i="6"/>
  <c r="W1350" i="6" s="1"/>
  <c r="AH1349" i="6"/>
  <c r="BD1455" i="6"/>
  <c r="T1456" i="6" s="1"/>
  <c r="AP1455" i="6"/>
  <c r="BG950" i="6"/>
  <c r="W951" i="6" s="1"/>
  <c r="AH950" i="6"/>
  <c r="BA128" i="6"/>
  <c r="Q129" i="6" s="1"/>
  <c r="AG128" i="6"/>
  <c r="BO921" i="6"/>
  <c r="BN922" i="6" s="1"/>
  <c r="AK921" i="6"/>
  <c r="BD306" i="6"/>
  <c r="T307" i="6" s="1"/>
  <c r="AP306" i="6"/>
  <c r="BG986" i="6"/>
  <c r="W987" i="6" s="1"/>
  <c r="AH986" i="6"/>
  <c r="BH921" i="6"/>
  <c r="X922" i="6" s="1"/>
  <c r="AD921" i="6"/>
  <c r="AM298" i="6"/>
  <c r="AL298" i="6"/>
  <c r="BG411" i="6"/>
  <c r="W412" i="6" s="1"/>
  <c r="AH411" i="6"/>
  <c r="BA1388" i="6"/>
  <c r="Q1389" i="6" s="1"/>
  <c r="AG1388" i="6"/>
  <c r="AZ1127" i="6"/>
  <c r="P1128" i="6" s="1"/>
  <c r="AG1127" i="6"/>
  <c r="AK1127" i="6"/>
  <c r="AR1127" i="6" s="1"/>
  <c r="AS1127" i="6" s="1"/>
  <c r="BE194" i="6"/>
  <c r="U194" i="6"/>
  <c r="AQ626" i="6"/>
  <c r="AR626" i="6"/>
  <c r="BE626" i="6"/>
  <c r="U626" i="6"/>
  <c r="BA238" i="6"/>
  <c r="Q239" i="6" s="1"/>
  <c r="AG238" i="6"/>
  <c r="BG557" i="6"/>
  <c r="W558" i="6" s="1"/>
  <c r="AH557" i="6"/>
  <c r="BG842" i="6"/>
  <c r="W843" i="6" s="1"/>
  <c r="AH842" i="6"/>
  <c r="BH1193" i="6"/>
  <c r="AD1193" i="6"/>
  <c r="AQ1022" i="6"/>
  <c r="AR1022" i="6"/>
  <c r="AL1312" i="6"/>
  <c r="AM1312" i="6"/>
  <c r="BE808" i="6"/>
  <c r="U808" i="6"/>
  <c r="BD1203" i="6"/>
  <c r="T1204" i="6" s="1"/>
  <c r="AP1203" i="6"/>
  <c r="BG1168" i="6"/>
  <c r="W1169" i="6" s="1"/>
  <c r="AH1168" i="6"/>
  <c r="AQ1563" i="6"/>
  <c r="BE1022" i="6"/>
  <c r="U1022" i="6"/>
  <c r="AQ86" i="6"/>
  <c r="AZ1450" i="6"/>
  <c r="P1451" i="6" s="1"/>
  <c r="AG1450" i="6"/>
  <c r="AK1450" i="6"/>
  <c r="AR1450" i="6" s="1"/>
  <c r="AS1450" i="6" s="1"/>
  <c r="BE86" i="6"/>
  <c r="U86" i="6"/>
  <c r="BD339" i="6"/>
  <c r="T340" i="6" s="1"/>
  <c r="AP339" i="6"/>
  <c r="BA884" i="6"/>
  <c r="Q885" i="6" s="1"/>
  <c r="AG884" i="6"/>
  <c r="AZ515" i="6"/>
  <c r="P516" i="6" s="1"/>
  <c r="AG515" i="6"/>
  <c r="AK515" i="6"/>
  <c r="AR515" i="6" s="1"/>
  <c r="AS515" i="6" s="1"/>
  <c r="AZ1559" i="6"/>
  <c r="P1560" i="6" s="1"/>
  <c r="AG1559" i="6"/>
  <c r="AK1559" i="6"/>
  <c r="AR1559" i="6" s="1"/>
  <c r="AS1559" i="6" s="1"/>
  <c r="BA629" i="6"/>
  <c r="Q630" i="6" s="1"/>
  <c r="AG629" i="6"/>
  <c r="BE1094" i="6"/>
  <c r="U1094" i="6"/>
  <c r="BA489" i="6"/>
  <c r="Q490" i="6" s="1"/>
  <c r="BA1026" i="6"/>
  <c r="Q1027" i="6" s="1"/>
  <c r="AG1026" i="6"/>
  <c r="BE1058" i="6"/>
  <c r="U1058" i="6"/>
  <c r="BA167" i="6"/>
  <c r="Q168" i="6" s="1"/>
  <c r="AG167" i="6"/>
  <c r="BO777" i="6"/>
  <c r="BN778" i="6" s="1"/>
  <c r="AK777" i="6"/>
  <c r="AR806" i="6"/>
  <c r="AQ806" i="6"/>
  <c r="AG274" i="6"/>
  <c r="BA274" i="6"/>
  <c r="Q275" i="6" s="1"/>
  <c r="AH107" i="6"/>
  <c r="BF107" i="6"/>
  <c r="V108" i="6" s="1"/>
  <c r="BA1637" i="6"/>
  <c r="Q1638" i="6" s="1"/>
  <c r="BD987" i="6"/>
  <c r="T988" i="6" s="1"/>
  <c r="AP987" i="6"/>
  <c r="BG771" i="6"/>
  <c r="W772" i="6" s="1"/>
  <c r="AH771" i="6"/>
  <c r="AL771" i="6" s="1"/>
  <c r="AL120" i="6"/>
  <c r="AM120" i="6"/>
  <c r="BA700" i="6"/>
  <c r="Q701" i="6" s="1"/>
  <c r="BA849" i="6"/>
  <c r="Q850" i="6" s="1"/>
  <c r="BO820" i="6"/>
  <c r="BN821" i="6" s="1"/>
  <c r="AK820" i="6"/>
  <c r="AL227" i="6"/>
  <c r="AM227" i="6"/>
  <c r="BA530" i="6"/>
  <c r="Q531" i="6" s="1"/>
  <c r="BG301" i="6"/>
  <c r="W302" i="6" s="1"/>
  <c r="AH301" i="6"/>
  <c r="AR1169" i="6"/>
  <c r="AQ1169" i="6"/>
  <c r="BE1274" i="6"/>
  <c r="U1274" i="6"/>
  <c r="AZ299" i="6"/>
  <c r="P300" i="6" s="1"/>
  <c r="AG299" i="6"/>
  <c r="AK299" i="6"/>
  <c r="AR299" i="6" s="1"/>
  <c r="AS299" i="6" s="1"/>
  <c r="AN984" i="6"/>
  <c r="AU984" i="6" s="1"/>
  <c r="AM805" i="6"/>
  <c r="AL805" i="6"/>
  <c r="BG228" i="6"/>
  <c r="W229" i="6" s="1"/>
  <c r="AH228" i="6"/>
  <c r="AR1094" i="6"/>
  <c r="AQ1094" i="6"/>
  <c r="AN804" i="6"/>
  <c r="AU804" i="6" s="1"/>
  <c r="AM730" i="6"/>
  <c r="AL730" i="6"/>
  <c r="BG1461" i="6"/>
  <c r="W1462" i="6" s="1"/>
  <c r="AH1461" i="6"/>
  <c r="BO1179" i="6"/>
  <c r="BN1180" i="6" s="1"/>
  <c r="AK1179" i="6"/>
  <c r="BD627" i="6"/>
  <c r="T628" i="6" s="1"/>
  <c r="AP627" i="6"/>
  <c r="BA808" i="6"/>
  <c r="Q809" i="6" s="1"/>
  <c r="AG808" i="6"/>
  <c r="BD1170" i="6"/>
  <c r="T1171" i="6" s="1"/>
  <c r="AP1170" i="6"/>
  <c r="BO324" i="6"/>
  <c r="BN325" i="6" s="1"/>
  <c r="AN1484" i="6"/>
  <c r="AU1484" i="6" s="1"/>
  <c r="BE14" i="6"/>
  <c r="U14" i="6"/>
  <c r="BA666" i="6"/>
  <c r="Q667" i="6" s="1"/>
  <c r="BD1023" i="6"/>
  <c r="T1024" i="6" s="1"/>
  <c r="AP1023" i="6"/>
  <c r="BG1313" i="6"/>
  <c r="W1314" i="6" s="1"/>
  <c r="AH1313" i="6"/>
  <c r="AH1331" i="6"/>
  <c r="BF1331" i="6"/>
  <c r="V1332" i="6" s="1"/>
  <c r="BE877" i="6"/>
  <c r="U877" i="6"/>
  <c r="AG917" i="6"/>
  <c r="BA917" i="6"/>
  <c r="Q918" i="6" s="1"/>
  <c r="BD1564" i="6"/>
  <c r="T1565" i="6" s="1"/>
  <c r="AP1564" i="6"/>
  <c r="AM477" i="6"/>
  <c r="AL477" i="6"/>
  <c r="AM658" i="6"/>
  <c r="AL658" i="6"/>
  <c r="BD87" i="6"/>
  <c r="T88" i="6" s="1"/>
  <c r="AP87" i="6"/>
  <c r="U914" i="6"/>
  <c r="BE914" i="6"/>
  <c r="AL82" i="6"/>
  <c r="AM82" i="6"/>
  <c r="BA1571" i="6"/>
  <c r="Q1572" i="6" s="1"/>
  <c r="BO1424" i="6"/>
  <c r="BN1425" i="6" s="1"/>
  <c r="BF575" i="6"/>
  <c r="V576" i="6" s="1"/>
  <c r="AH575" i="6"/>
  <c r="BG917" i="6"/>
  <c r="W918" i="6" s="1"/>
  <c r="AH917" i="6"/>
  <c r="BF1259" i="6"/>
  <c r="V1260" i="6" s="1"/>
  <c r="AH1259" i="6"/>
  <c r="BF431" i="6"/>
  <c r="V432" i="6" s="1"/>
  <c r="AH431" i="6"/>
  <c r="AZ999" i="6"/>
  <c r="P1000" i="6" s="1"/>
  <c r="AF999" i="6"/>
  <c r="AI999" i="6"/>
  <c r="AK999" i="6"/>
  <c r="AL1095" i="6"/>
  <c r="AM1095" i="6"/>
  <c r="BF323" i="6"/>
  <c r="V324" i="6" s="1"/>
  <c r="AH323" i="6"/>
  <c r="AS953" i="6"/>
  <c r="BE1165" i="6"/>
  <c r="U1165" i="6"/>
  <c r="BA964" i="6"/>
  <c r="Q965" i="6" s="1"/>
  <c r="AG964" i="6"/>
  <c r="N703" i="6"/>
  <c r="AX703" i="6" s="1"/>
  <c r="N704" i="6" s="1"/>
  <c r="AX704" i="6" s="1"/>
  <c r="N705" i="6" s="1"/>
  <c r="AX705" i="6" s="1"/>
  <c r="N706" i="6" s="1"/>
  <c r="AX706" i="6" s="1"/>
  <c r="N707" i="6" s="1"/>
  <c r="AX707" i="6" s="1"/>
  <c r="N708" i="6" s="1"/>
  <c r="AX708" i="6" s="1"/>
  <c r="N709" i="6" s="1"/>
  <c r="AX709" i="6" s="1"/>
  <c r="N710" i="6" s="1"/>
  <c r="AX710" i="6" s="1"/>
  <c r="N711" i="6" s="1"/>
  <c r="AX711" i="6" s="1"/>
  <c r="N712" i="6" s="1"/>
  <c r="AX712" i="6" s="1"/>
  <c r="N713" i="6" s="1"/>
  <c r="AX713" i="6" s="1"/>
  <c r="N714" i="6" s="1"/>
  <c r="AX714" i="6" s="1"/>
  <c r="N715" i="6" s="1"/>
  <c r="AX715" i="6" s="1"/>
  <c r="N716" i="6" s="1"/>
  <c r="AX716" i="6" s="1"/>
  <c r="N717" i="6" s="1"/>
  <c r="AX717" i="6" s="1"/>
  <c r="N718" i="6" s="1"/>
  <c r="AX718" i="6" s="1"/>
  <c r="N719" i="6" s="1"/>
  <c r="AX719" i="6" s="1"/>
  <c r="N720" i="6" s="1"/>
  <c r="AX720" i="6" s="1"/>
  <c r="N721" i="6" s="1"/>
  <c r="AX721" i="6" s="1"/>
  <c r="N722" i="6" s="1"/>
  <c r="AX722" i="6" s="1"/>
  <c r="N723" i="6" s="1"/>
  <c r="AX723" i="6" s="1"/>
  <c r="N724" i="6" s="1"/>
  <c r="AX724" i="6" s="1"/>
  <c r="N725" i="6" s="1"/>
  <c r="AX725" i="6" s="1"/>
  <c r="AS553" i="6"/>
  <c r="AU553" i="6" s="1"/>
  <c r="BO954" i="6"/>
  <c r="BN955" i="6" s="1"/>
  <c r="AK954" i="6"/>
  <c r="AR954" i="6" s="1"/>
  <c r="AM1594" i="6"/>
  <c r="AL1594" i="6"/>
  <c r="AZ731" i="6"/>
  <c r="P732" i="6" s="1"/>
  <c r="AG731" i="6"/>
  <c r="AK731" i="6"/>
  <c r="AR731" i="6" s="1"/>
  <c r="AS731" i="6" s="1"/>
  <c r="BE1310" i="6"/>
  <c r="U1310" i="6"/>
  <c r="AM557" i="6"/>
  <c r="AL557" i="6"/>
  <c r="BE1526" i="6"/>
  <c r="U1526" i="6"/>
  <c r="AQ410" i="6"/>
  <c r="BF1115" i="6"/>
  <c r="V1116" i="6" s="1"/>
  <c r="AH1115" i="6"/>
  <c r="AL916" i="6"/>
  <c r="AM916" i="6"/>
  <c r="AG1278" i="6"/>
  <c r="BA1278" i="6"/>
  <c r="Q1279" i="6" s="1"/>
  <c r="AZ478" i="6"/>
  <c r="P479" i="6" s="1"/>
  <c r="AG478" i="6"/>
  <c r="AK478" i="6"/>
  <c r="AR478" i="6" s="1"/>
  <c r="AS478" i="6" s="1"/>
  <c r="AZ659" i="6"/>
  <c r="P660" i="6" s="1"/>
  <c r="AG659" i="6"/>
  <c r="AK659" i="6"/>
  <c r="AR659" i="6" s="1"/>
  <c r="AS659" i="6" s="1"/>
  <c r="BA1317" i="6"/>
  <c r="Q1318" i="6" s="1"/>
  <c r="AG1317" i="6"/>
  <c r="BO1570" i="6"/>
  <c r="BN1571" i="6" s="1"/>
  <c r="AM407" i="6"/>
  <c r="AL407" i="6"/>
  <c r="AM838" i="6"/>
  <c r="AL838" i="6"/>
  <c r="AQ954" i="6"/>
  <c r="AS1528" i="6"/>
  <c r="AL1346" i="6"/>
  <c r="AM1346" i="6"/>
  <c r="BA1096" i="6"/>
  <c r="Q1097" i="6" s="1"/>
  <c r="AG1096" i="6"/>
  <c r="BO665" i="6"/>
  <c r="BN666" i="6" s="1"/>
  <c r="AR1347" i="6"/>
  <c r="AQ1347" i="6"/>
  <c r="AM1630" i="6"/>
  <c r="AL1630" i="6"/>
  <c r="AW350" i="6"/>
  <c r="M351" i="6" s="1"/>
  <c r="AW351" i="6" s="1"/>
  <c r="M352" i="6" s="1"/>
  <c r="AW352" i="6" s="1"/>
  <c r="M353" i="6" s="1"/>
  <c r="AW353" i="6" s="1"/>
  <c r="M354" i="6" s="1"/>
  <c r="AW354" i="6" s="1"/>
  <c r="M355" i="6" s="1"/>
  <c r="AW355" i="6" s="1"/>
  <c r="M356" i="6" s="1"/>
  <c r="AW356" i="6" s="1"/>
  <c r="M357" i="6" s="1"/>
  <c r="AW357" i="6" s="1"/>
  <c r="M358" i="6" s="1"/>
  <c r="AW358" i="6" s="1"/>
  <c r="M359" i="6" s="1"/>
  <c r="AW359" i="6" s="1"/>
  <c r="M360" i="6" s="1"/>
  <c r="AW360" i="6" s="1"/>
  <c r="M361" i="6" s="1"/>
  <c r="AW361" i="6" s="1"/>
  <c r="M362" i="6" s="1"/>
  <c r="AW362" i="6" s="1"/>
  <c r="M363" i="6" s="1"/>
  <c r="AW363" i="6" s="1"/>
  <c r="M364" i="6" s="1"/>
  <c r="AW364" i="6" s="1"/>
  <c r="M365" i="6" s="1"/>
  <c r="AW365" i="6" s="1"/>
  <c r="AF710" i="6"/>
  <c r="AV710" i="6"/>
  <c r="L711" i="6" s="1"/>
  <c r="AV711" i="6" s="1"/>
  <c r="L712" i="6" s="1"/>
  <c r="AV712" i="6" s="1"/>
  <c r="L713" i="6" s="1"/>
  <c r="AV713" i="6" s="1"/>
  <c r="L714" i="6" s="1"/>
  <c r="AV714" i="6" s="1"/>
  <c r="L715" i="6" s="1"/>
  <c r="AV715" i="6" s="1"/>
  <c r="L716" i="6" s="1"/>
  <c r="AV716" i="6" s="1"/>
  <c r="L717" i="6" s="1"/>
  <c r="AV717" i="6" s="1"/>
  <c r="L718" i="6" s="1"/>
  <c r="AV718" i="6" s="1"/>
  <c r="L719" i="6" s="1"/>
  <c r="AV719" i="6" s="1"/>
  <c r="L720" i="6" s="1"/>
  <c r="AV720" i="6" s="1"/>
  <c r="L721" i="6" s="1"/>
  <c r="AV721" i="6" s="1"/>
  <c r="L722" i="6" s="1"/>
  <c r="AV722" i="6" s="1"/>
  <c r="L723" i="6" s="1"/>
  <c r="AV723" i="6" s="1"/>
  <c r="L724" i="6" s="1"/>
  <c r="AV724" i="6" s="1"/>
  <c r="L725" i="6" s="1"/>
  <c r="AV725" i="6" s="1"/>
  <c r="BG629" i="6"/>
  <c r="W630" i="6" s="1"/>
  <c r="AH629" i="6"/>
  <c r="AM191" i="6"/>
  <c r="AL191" i="6"/>
  <c r="BD1095" i="6"/>
  <c r="T1096" i="6" s="1"/>
  <c r="AP1095" i="6"/>
  <c r="BO1102" i="6"/>
  <c r="BN1103" i="6" s="1"/>
  <c r="AK1102" i="6"/>
  <c r="AQ1598" i="6"/>
  <c r="AN406" i="6"/>
  <c r="AU406" i="6" s="1"/>
  <c r="AZ1595" i="6"/>
  <c r="P1596" i="6" s="1"/>
  <c r="AG1595" i="6"/>
  <c r="AK1595" i="6"/>
  <c r="AR1595" i="6" s="1"/>
  <c r="AS1595" i="6" s="1"/>
  <c r="AR14" i="6"/>
  <c r="AQ14" i="6"/>
  <c r="AZ192" i="6"/>
  <c r="P193" i="6" s="1"/>
  <c r="AG192" i="6"/>
  <c r="AK192" i="6"/>
  <c r="AR192" i="6" s="1"/>
  <c r="AS192" i="6" s="1"/>
  <c r="AH517" i="6"/>
  <c r="BG517" i="6"/>
  <c r="W518" i="6" s="1"/>
  <c r="AM1485" i="6"/>
  <c r="AL1485" i="6"/>
  <c r="BO466" i="6"/>
  <c r="BN467" i="6" s="1"/>
  <c r="BO1297" i="6"/>
  <c r="BN1298" i="6" s="1"/>
  <c r="AK1297" i="6"/>
  <c r="BO1079" i="6"/>
  <c r="BN1080" i="6" s="1"/>
  <c r="AL878" i="6"/>
  <c r="AM878" i="6"/>
  <c r="BD771" i="6"/>
  <c r="T772" i="6" s="1"/>
  <c r="AP771" i="6"/>
  <c r="BA558" i="6"/>
  <c r="Q559" i="6" s="1"/>
  <c r="AG558" i="6"/>
  <c r="BO196" i="6"/>
  <c r="BN197" i="6" s="1"/>
  <c r="AL1203" i="6"/>
  <c r="AM1203" i="6"/>
  <c r="BO1355" i="6"/>
  <c r="BN1356" i="6" s="1"/>
  <c r="AK1355" i="6"/>
  <c r="BD411" i="6"/>
  <c r="T412" i="6" s="1"/>
  <c r="AP411" i="6"/>
  <c r="BA315" i="6"/>
  <c r="Q316" i="6" s="1"/>
  <c r="BO866" i="6"/>
  <c r="BN867" i="6" s="1"/>
  <c r="AQ1418" i="6"/>
  <c r="BE770" i="6"/>
  <c r="U770" i="6"/>
  <c r="AH251" i="6"/>
  <c r="BF251" i="6"/>
  <c r="V252" i="6" s="1"/>
  <c r="AZ83" i="6"/>
  <c r="P84" i="6" s="1"/>
  <c r="AK83" i="6"/>
  <c r="AR83" i="6" s="1"/>
  <c r="AS83" i="6" s="1"/>
  <c r="AG83" i="6"/>
  <c r="N379" i="6"/>
  <c r="AX379" i="6" s="1"/>
  <c r="N380" i="6" s="1"/>
  <c r="AX380" i="6" s="1"/>
  <c r="N381" i="6" s="1"/>
  <c r="AX381" i="6" s="1"/>
  <c r="N382" i="6" s="1"/>
  <c r="AX382" i="6" s="1"/>
  <c r="N383" i="6" s="1"/>
  <c r="AX383" i="6" s="1"/>
  <c r="N384" i="6" s="1"/>
  <c r="AX384" i="6" s="1"/>
  <c r="N385" i="6" s="1"/>
  <c r="AX385" i="6" s="1"/>
  <c r="N386" i="6" s="1"/>
  <c r="AX386" i="6" s="1"/>
  <c r="N387" i="6" s="1"/>
  <c r="AX387" i="6" s="1"/>
  <c r="N388" i="6" s="1"/>
  <c r="AX388" i="6" s="1"/>
  <c r="N389" i="6" s="1"/>
  <c r="AX389" i="6" s="1"/>
  <c r="N390" i="6" s="1"/>
  <c r="AX390" i="6" s="1"/>
  <c r="N391" i="6" s="1"/>
  <c r="AX391" i="6" s="1"/>
  <c r="N392" i="6" s="1"/>
  <c r="AX392" i="6" s="1"/>
  <c r="N393" i="6" s="1"/>
  <c r="AX393" i="6" s="1"/>
  <c r="N394" i="6" s="1"/>
  <c r="AX394" i="6" s="1"/>
  <c r="N395" i="6" s="1"/>
  <c r="AX395" i="6" s="1"/>
  <c r="N396" i="6" s="1"/>
  <c r="AX396" i="6" s="1"/>
  <c r="N397" i="6" s="1"/>
  <c r="AX397" i="6" s="1"/>
  <c r="N398" i="6" s="1"/>
  <c r="AX398" i="6" s="1"/>
  <c r="N399" i="6" s="1"/>
  <c r="AX399" i="6" s="1"/>
  <c r="N400" i="6" s="1"/>
  <c r="AX400" i="6" s="1"/>
  <c r="N401" i="6" s="1"/>
  <c r="AX401" i="6" s="1"/>
  <c r="BF1475" i="6"/>
  <c r="V1476" i="6" s="1"/>
  <c r="AH1475" i="6"/>
  <c r="BE1238" i="6"/>
  <c r="U1238" i="6"/>
  <c r="AZ408" i="6"/>
  <c r="P409" i="6" s="1"/>
  <c r="AG408" i="6"/>
  <c r="AK408" i="6"/>
  <c r="AR408" i="6" s="1"/>
  <c r="AS408" i="6" s="1"/>
  <c r="AZ839" i="6"/>
  <c r="P840" i="6" s="1"/>
  <c r="AG839" i="6"/>
  <c r="AK839" i="6"/>
  <c r="AR839" i="6" s="1"/>
  <c r="AS839" i="6" s="1"/>
  <c r="AP955" i="6"/>
  <c r="BD955" i="6"/>
  <c r="T956" i="6" s="1"/>
  <c r="BA1347" i="6"/>
  <c r="Q1348" i="6" s="1"/>
  <c r="AG1347" i="6"/>
  <c r="BA1457" i="6"/>
  <c r="Q1458" i="6" s="1"/>
  <c r="BD1348" i="6"/>
  <c r="T1349" i="6" s="1"/>
  <c r="AP1348" i="6"/>
  <c r="AZ1631" i="6"/>
  <c r="P1632" i="6" s="1"/>
  <c r="AG1631" i="6"/>
  <c r="AK1631" i="6"/>
  <c r="AR1631" i="6" s="1"/>
  <c r="AS1631" i="6" s="1"/>
  <c r="AM264" i="6"/>
  <c r="AL264" i="6"/>
  <c r="BO643" i="6"/>
  <c r="BN644" i="6" s="1"/>
  <c r="AK643" i="6"/>
  <c r="AV350" i="6"/>
  <c r="L351" i="6" s="1"/>
  <c r="AV351" i="6" s="1"/>
  <c r="L352" i="6" s="1"/>
  <c r="AV352" i="6" s="1"/>
  <c r="L353" i="6" s="1"/>
  <c r="AV353" i="6" s="1"/>
  <c r="L354" i="6" s="1"/>
  <c r="AV354" i="6" s="1"/>
  <c r="L355" i="6" s="1"/>
  <c r="AV355" i="6" s="1"/>
  <c r="L356" i="6" s="1"/>
  <c r="AV356" i="6" s="1"/>
  <c r="L357" i="6" s="1"/>
  <c r="AV357" i="6" s="1"/>
  <c r="L358" i="6" s="1"/>
  <c r="AV358" i="6" s="1"/>
  <c r="L359" i="6" s="1"/>
  <c r="AV359" i="6" s="1"/>
  <c r="L360" i="6" s="1"/>
  <c r="AV360" i="6" s="1"/>
  <c r="L361" i="6" s="1"/>
  <c r="AV361" i="6" s="1"/>
  <c r="L362" i="6" s="1"/>
  <c r="AV362" i="6" s="1"/>
  <c r="L363" i="6" s="1"/>
  <c r="AV363" i="6" s="1"/>
  <c r="L364" i="6" s="1"/>
  <c r="AV364" i="6" s="1"/>
  <c r="L365" i="6" s="1"/>
  <c r="AV365" i="6" s="1"/>
  <c r="AF350" i="6"/>
  <c r="AU769" i="6" l="1"/>
  <c r="AW1070" i="6"/>
  <c r="M1071" i="6" s="1"/>
  <c r="AW1071" i="6" s="1"/>
  <c r="M1072" i="6" s="1"/>
  <c r="AW1072" i="6" s="1"/>
  <c r="M1073" i="6" s="1"/>
  <c r="AW1073" i="6" s="1"/>
  <c r="M1074" i="6" s="1"/>
  <c r="AW1074" i="6" s="1"/>
  <c r="M1075" i="6" s="1"/>
  <c r="AW1075" i="6" s="1"/>
  <c r="M1076" i="6" s="1"/>
  <c r="AW1076" i="6" s="1"/>
  <c r="M1077" i="6" s="1"/>
  <c r="AW1077" i="6" s="1"/>
  <c r="M1078" i="6" s="1"/>
  <c r="AW1078" i="6" s="1"/>
  <c r="M1079" i="6" s="1"/>
  <c r="AW1079" i="6" s="1"/>
  <c r="M1080" i="6" s="1"/>
  <c r="AW1080" i="6" s="1"/>
  <c r="M1081" i="6" s="1"/>
  <c r="AW1081" i="6" s="1"/>
  <c r="M1082" i="6" s="1"/>
  <c r="AW1082" i="6" s="1"/>
  <c r="M1083" i="6" s="1"/>
  <c r="AW1083" i="6" s="1"/>
  <c r="M1084" i="6" s="1"/>
  <c r="AW1084" i="6" s="1"/>
  <c r="M1085" i="6" s="1"/>
  <c r="AW1085" i="6" s="1"/>
  <c r="AV1466" i="6"/>
  <c r="L1467" i="6" s="1"/>
  <c r="AV1467" i="6" s="1"/>
  <c r="L1468" i="6" s="1"/>
  <c r="AV1468" i="6" s="1"/>
  <c r="L1469" i="6" s="1"/>
  <c r="AV1469" i="6" s="1"/>
  <c r="L1470" i="6" s="1"/>
  <c r="AV1470" i="6" s="1"/>
  <c r="L1471" i="6" s="1"/>
  <c r="AV1471" i="6" s="1"/>
  <c r="L1472" i="6" s="1"/>
  <c r="AV1472" i="6" s="1"/>
  <c r="L1473" i="6" s="1"/>
  <c r="AV1473" i="6" s="1"/>
  <c r="L1474" i="6" s="1"/>
  <c r="AV1474" i="6" s="1"/>
  <c r="L1475" i="6" s="1"/>
  <c r="AV1475" i="6" s="1"/>
  <c r="L1476" i="6" s="1"/>
  <c r="AV1476" i="6" s="1"/>
  <c r="L1477" i="6" s="1"/>
  <c r="AV1477" i="6" s="1"/>
  <c r="L1478" i="6" s="1"/>
  <c r="AV1478" i="6" s="1"/>
  <c r="L1479" i="6" s="1"/>
  <c r="AV1479" i="6" s="1"/>
  <c r="L1480" i="6" s="1"/>
  <c r="AV1480" i="6" s="1"/>
  <c r="L1481" i="6" s="1"/>
  <c r="AV1481" i="6" s="1"/>
  <c r="AV386" i="6"/>
  <c r="L387" i="6" s="1"/>
  <c r="AV387" i="6" s="1"/>
  <c r="L388" i="6" s="1"/>
  <c r="AV388" i="6" s="1"/>
  <c r="L389" i="6" s="1"/>
  <c r="AV389" i="6" s="1"/>
  <c r="L390" i="6" s="1"/>
  <c r="AV390" i="6" s="1"/>
  <c r="L391" i="6" s="1"/>
  <c r="AV391" i="6" s="1"/>
  <c r="L392" i="6" s="1"/>
  <c r="AV392" i="6" s="1"/>
  <c r="L393" i="6" s="1"/>
  <c r="AV393" i="6" s="1"/>
  <c r="L394" i="6" s="1"/>
  <c r="AV394" i="6" s="1"/>
  <c r="L395" i="6" s="1"/>
  <c r="AV395" i="6" s="1"/>
  <c r="L396" i="6" s="1"/>
  <c r="AV396" i="6" s="1"/>
  <c r="L397" i="6" s="1"/>
  <c r="AV397" i="6" s="1"/>
  <c r="L398" i="6" s="1"/>
  <c r="AV398" i="6" s="1"/>
  <c r="L399" i="6" s="1"/>
  <c r="AV399" i="6" s="1"/>
  <c r="L400" i="6" s="1"/>
  <c r="AV400" i="6" s="1"/>
  <c r="L401" i="6" s="1"/>
  <c r="AV401" i="6" s="1"/>
  <c r="AN1312" i="6"/>
  <c r="AU1312" i="6" s="1"/>
  <c r="AN82" i="6"/>
  <c r="AU82" i="6" s="1"/>
  <c r="AN1630" i="6"/>
  <c r="AU1630" i="6" s="1"/>
  <c r="AS806" i="6"/>
  <c r="AS1313" i="6"/>
  <c r="AS267" i="6"/>
  <c r="AU373" i="6"/>
  <c r="AN191" i="6"/>
  <c r="AU191" i="6" s="1"/>
  <c r="AS590" i="6"/>
  <c r="AU590" i="6" s="1"/>
  <c r="AN1525" i="6"/>
  <c r="AU1525" i="6" s="1"/>
  <c r="AS338" i="6"/>
  <c r="AU338" i="6" s="1"/>
  <c r="AW494" i="6"/>
  <c r="M495" i="6" s="1"/>
  <c r="AW495" i="6" s="1"/>
  <c r="M496" i="6" s="1"/>
  <c r="AW496" i="6" s="1"/>
  <c r="M497" i="6" s="1"/>
  <c r="AW497" i="6" s="1"/>
  <c r="M498" i="6" s="1"/>
  <c r="AW498" i="6" s="1"/>
  <c r="M499" i="6" s="1"/>
  <c r="AW499" i="6" s="1"/>
  <c r="M500" i="6" s="1"/>
  <c r="AW500" i="6" s="1"/>
  <c r="M501" i="6" s="1"/>
  <c r="AW501" i="6" s="1"/>
  <c r="M502" i="6" s="1"/>
  <c r="AW502" i="6" s="1"/>
  <c r="M503" i="6" s="1"/>
  <c r="AW503" i="6" s="1"/>
  <c r="M504" i="6" s="1"/>
  <c r="AW504" i="6" s="1"/>
  <c r="M505" i="6" s="1"/>
  <c r="AW505" i="6" s="1"/>
  <c r="M506" i="6" s="1"/>
  <c r="AW506" i="6" s="1"/>
  <c r="M507" i="6" s="1"/>
  <c r="AW507" i="6" s="1"/>
  <c r="M508" i="6" s="1"/>
  <c r="AW508" i="6" s="1"/>
  <c r="M509" i="6" s="1"/>
  <c r="AW509" i="6" s="1"/>
  <c r="AF854" i="6"/>
  <c r="AV1178" i="6"/>
  <c r="L1179" i="6" s="1"/>
  <c r="AV1179" i="6" s="1"/>
  <c r="L1180" i="6" s="1"/>
  <c r="AV1180" i="6" s="1"/>
  <c r="L1181" i="6" s="1"/>
  <c r="AV1181" i="6" s="1"/>
  <c r="L1182" i="6" s="1"/>
  <c r="AV1182" i="6" s="1"/>
  <c r="L1183" i="6" s="1"/>
  <c r="AV1183" i="6" s="1"/>
  <c r="L1184" i="6" s="1"/>
  <c r="AV1184" i="6" s="1"/>
  <c r="L1185" i="6" s="1"/>
  <c r="AV1185" i="6" s="1"/>
  <c r="L1186" i="6" s="1"/>
  <c r="AV1186" i="6" s="1"/>
  <c r="L1187" i="6" s="1"/>
  <c r="AV1187" i="6" s="1"/>
  <c r="L1188" i="6" s="1"/>
  <c r="AV1188" i="6" s="1"/>
  <c r="L1189" i="6" s="1"/>
  <c r="AV1189" i="6" s="1"/>
  <c r="L1190" i="6" s="1"/>
  <c r="AV1190" i="6" s="1"/>
  <c r="L1191" i="6" s="1"/>
  <c r="AV1191" i="6" s="1"/>
  <c r="L1192" i="6" s="1"/>
  <c r="AV1192" i="6" s="1"/>
  <c r="L1193" i="6" s="1"/>
  <c r="AV1193" i="6" s="1"/>
  <c r="AF1178" i="6"/>
  <c r="AV782" i="6"/>
  <c r="L783" i="6" s="1"/>
  <c r="AV783" i="6" s="1"/>
  <c r="L784" i="6" s="1"/>
  <c r="AV784" i="6" s="1"/>
  <c r="L785" i="6" s="1"/>
  <c r="AV785" i="6" s="1"/>
  <c r="L786" i="6" s="1"/>
  <c r="AV786" i="6" s="1"/>
  <c r="L787" i="6" s="1"/>
  <c r="AV787" i="6" s="1"/>
  <c r="L788" i="6" s="1"/>
  <c r="AV788" i="6" s="1"/>
  <c r="L789" i="6" s="1"/>
  <c r="AV789" i="6" s="1"/>
  <c r="L790" i="6" s="1"/>
  <c r="AV790" i="6" s="1"/>
  <c r="L791" i="6" s="1"/>
  <c r="AV791" i="6" s="1"/>
  <c r="L792" i="6" s="1"/>
  <c r="AV792" i="6" s="1"/>
  <c r="L793" i="6" s="1"/>
  <c r="AV793" i="6" s="1"/>
  <c r="L794" i="6" s="1"/>
  <c r="AV794" i="6" s="1"/>
  <c r="L795" i="6" s="1"/>
  <c r="AV795" i="6" s="1"/>
  <c r="L796" i="6" s="1"/>
  <c r="AV796" i="6" s="1"/>
  <c r="L797" i="6" s="1"/>
  <c r="AV797" i="6" s="1"/>
  <c r="AW1250" i="6"/>
  <c r="M1251" i="6" s="1"/>
  <c r="AW1251" i="6" s="1"/>
  <c r="M1252" i="6" s="1"/>
  <c r="AW1252" i="6" s="1"/>
  <c r="M1253" i="6" s="1"/>
  <c r="AW1253" i="6" s="1"/>
  <c r="M1254" i="6" s="1"/>
  <c r="AW1254" i="6" s="1"/>
  <c r="M1255" i="6" s="1"/>
  <c r="AW1255" i="6" s="1"/>
  <c r="M1256" i="6" s="1"/>
  <c r="AW1256" i="6" s="1"/>
  <c r="M1257" i="6" s="1"/>
  <c r="AW1257" i="6" s="1"/>
  <c r="M1258" i="6" s="1"/>
  <c r="AW1258" i="6" s="1"/>
  <c r="M1259" i="6" s="1"/>
  <c r="AW1259" i="6" s="1"/>
  <c r="M1260" i="6" s="1"/>
  <c r="AW1260" i="6" s="1"/>
  <c r="M1261" i="6" s="1"/>
  <c r="AW1261" i="6" s="1"/>
  <c r="M1262" i="6" s="1"/>
  <c r="AW1262" i="6" s="1"/>
  <c r="M1263" i="6" s="1"/>
  <c r="AW1263" i="6" s="1"/>
  <c r="M1264" i="6" s="1"/>
  <c r="AW1264" i="6" s="1"/>
  <c r="M1265" i="6" s="1"/>
  <c r="AW1265" i="6" s="1"/>
  <c r="AF782" i="6"/>
  <c r="AW854" i="6"/>
  <c r="M855" i="6" s="1"/>
  <c r="AW855" i="6" s="1"/>
  <c r="M856" i="6" s="1"/>
  <c r="AW856" i="6" s="1"/>
  <c r="M857" i="6" s="1"/>
  <c r="AW857" i="6" s="1"/>
  <c r="M858" i="6" s="1"/>
  <c r="AW858" i="6" s="1"/>
  <c r="M859" i="6" s="1"/>
  <c r="AW859" i="6" s="1"/>
  <c r="M860" i="6" s="1"/>
  <c r="AW860" i="6" s="1"/>
  <c r="M861" i="6" s="1"/>
  <c r="AW861" i="6" s="1"/>
  <c r="M862" i="6" s="1"/>
  <c r="AW862" i="6" s="1"/>
  <c r="M863" i="6" s="1"/>
  <c r="AW863" i="6" s="1"/>
  <c r="M864" i="6" s="1"/>
  <c r="AW864" i="6" s="1"/>
  <c r="M865" i="6" s="1"/>
  <c r="AW865" i="6" s="1"/>
  <c r="M866" i="6" s="1"/>
  <c r="AW866" i="6" s="1"/>
  <c r="M867" i="6" s="1"/>
  <c r="AW867" i="6" s="1"/>
  <c r="M868" i="6" s="1"/>
  <c r="AW868" i="6" s="1"/>
  <c r="M869" i="6" s="1"/>
  <c r="AW869" i="6" s="1"/>
  <c r="AV638" i="6"/>
  <c r="L639" i="6" s="1"/>
  <c r="AV639" i="6" s="1"/>
  <c r="L640" i="6" s="1"/>
  <c r="AV640" i="6" s="1"/>
  <c r="L641" i="6" s="1"/>
  <c r="AV641" i="6" s="1"/>
  <c r="L642" i="6" s="1"/>
  <c r="AV642" i="6" s="1"/>
  <c r="L643" i="6" s="1"/>
  <c r="AV643" i="6" s="1"/>
  <c r="L644" i="6" s="1"/>
  <c r="AV644" i="6" s="1"/>
  <c r="L645" i="6" s="1"/>
  <c r="AV645" i="6" s="1"/>
  <c r="L646" i="6" s="1"/>
  <c r="AV646" i="6" s="1"/>
  <c r="L647" i="6" s="1"/>
  <c r="AV647" i="6" s="1"/>
  <c r="L648" i="6" s="1"/>
  <c r="AV648" i="6" s="1"/>
  <c r="L649" i="6" s="1"/>
  <c r="AV649" i="6" s="1"/>
  <c r="L650" i="6" s="1"/>
  <c r="AV650" i="6" s="1"/>
  <c r="L651" i="6" s="1"/>
  <c r="AV651" i="6" s="1"/>
  <c r="L652" i="6" s="1"/>
  <c r="AV652" i="6" s="1"/>
  <c r="L653" i="6" s="1"/>
  <c r="AV653" i="6" s="1"/>
  <c r="AF638" i="6"/>
  <c r="AW1574" i="6"/>
  <c r="M1575" i="6" s="1"/>
  <c r="AW1575" i="6" s="1"/>
  <c r="M1576" i="6" s="1"/>
  <c r="AW1576" i="6" s="1"/>
  <c r="M1577" i="6" s="1"/>
  <c r="AW1577" i="6" s="1"/>
  <c r="M1578" i="6" s="1"/>
  <c r="AW1578" i="6" s="1"/>
  <c r="M1579" i="6" s="1"/>
  <c r="AW1579" i="6" s="1"/>
  <c r="M1580" i="6" s="1"/>
  <c r="AW1580" i="6" s="1"/>
  <c r="M1581" i="6" s="1"/>
  <c r="AW1581" i="6" s="1"/>
  <c r="M1582" i="6" s="1"/>
  <c r="AW1582" i="6" s="1"/>
  <c r="M1583" i="6" s="1"/>
  <c r="AW1583" i="6" s="1"/>
  <c r="M1584" i="6" s="1"/>
  <c r="AW1584" i="6" s="1"/>
  <c r="M1585" i="6" s="1"/>
  <c r="AW1585" i="6" s="1"/>
  <c r="M1586" i="6" s="1"/>
  <c r="AW1586" i="6" s="1"/>
  <c r="M1587" i="6" s="1"/>
  <c r="AW1587" i="6" s="1"/>
  <c r="M1588" i="6" s="1"/>
  <c r="AW1588" i="6" s="1"/>
  <c r="M1589" i="6" s="1"/>
  <c r="AW1589" i="6" s="1"/>
  <c r="AF1574" i="6"/>
  <c r="AV1250" i="6"/>
  <c r="L1251" i="6" s="1"/>
  <c r="AV1251" i="6" s="1"/>
  <c r="L1252" i="6" s="1"/>
  <c r="AV1252" i="6" s="1"/>
  <c r="L1253" i="6" s="1"/>
  <c r="AV1253" i="6" s="1"/>
  <c r="L1254" i="6" s="1"/>
  <c r="AV1254" i="6" s="1"/>
  <c r="L1255" i="6" s="1"/>
  <c r="AV1255" i="6" s="1"/>
  <c r="L1256" i="6" s="1"/>
  <c r="AV1256" i="6" s="1"/>
  <c r="L1257" i="6" s="1"/>
  <c r="AV1257" i="6" s="1"/>
  <c r="L1258" i="6" s="1"/>
  <c r="AV1258" i="6" s="1"/>
  <c r="L1259" i="6" s="1"/>
  <c r="AV1259" i="6" s="1"/>
  <c r="L1260" i="6" s="1"/>
  <c r="AV1260" i="6" s="1"/>
  <c r="L1261" i="6" s="1"/>
  <c r="AV1261" i="6" s="1"/>
  <c r="L1262" i="6" s="1"/>
  <c r="AV1262" i="6" s="1"/>
  <c r="L1263" i="6" s="1"/>
  <c r="AV1263" i="6" s="1"/>
  <c r="L1264" i="6" s="1"/>
  <c r="AV1264" i="6" s="1"/>
  <c r="L1265" i="6" s="1"/>
  <c r="AV1265" i="6" s="1"/>
  <c r="AF1466" i="6"/>
  <c r="AF1070" i="6"/>
  <c r="AN46" i="6"/>
  <c r="AU46" i="6" s="1"/>
  <c r="AS158" i="6"/>
  <c r="AS770" i="6"/>
  <c r="AU770" i="6" s="1"/>
  <c r="AN916" i="6"/>
  <c r="AS914" i="6"/>
  <c r="AU914" i="6" s="1"/>
  <c r="AS1529" i="6"/>
  <c r="AS876" i="6"/>
  <c r="AU876" i="6" s="1"/>
  <c r="AN628" i="6"/>
  <c r="AS446" i="6"/>
  <c r="AN949" i="6"/>
  <c r="AU949" i="6" s="1"/>
  <c r="AN985" i="6"/>
  <c r="AU985" i="6" s="1"/>
  <c r="AN1023" i="6"/>
  <c r="AN1203" i="6"/>
  <c r="AS554" i="6"/>
  <c r="AU554" i="6" s="1"/>
  <c r="AN1485" i="6"/>
  <c r="AU1485" i="6" s="1"/>
  <c r="AF386" i="6"/>
  <c r="AN1449" i="6"/>
  <c r="AU1449" i="6" s="1"/>
  <c r="AN1413" i="6"/>
  <c r="AU1413" i="6" s="1"/>
  <c r="AN1346" i="6"/>
  <c r="AU1346" i="6" s="1"/>
  <c r="AH14" i="6"/>
  <c r="BG14" i="6"/>
  <c r="W15" i="6" s="1"/>
  <c r="BE412" i="6"/>
  <c r="U412" i="6"/>
  <c r="BA773" i="6"/>
  <c r="Q774" i="6" s="1"/>
  <c r="AG773" i="6"/>
  <c r="AH1656" i="6"/>
  <c r="BF1656" i="6"/>
  <c r="V1657" i="6" s="1"/>
  <c r="BA203" i="6"/>
  <c r="Q204" i="6" s="1"/>
  <c r="BD878" i="6"/>
  <c r="T879" i="6" s="1"/>
  <c r="AP878" i="6"/>
  <c r="U303" i="6"/>
  <c r="BE303" i="6"/>
  <c r="BG880" i="6"/>
  <c r="W881" i="6" s="1"/>
  <c r="AH880" i="6"/>
  <c r="BE1202" i="6"/>
  <c r="U1202" i="6"/>
  <c r="BH1364" i="6"/>
  <c r="X1365" i="6" s="1"/>
  <c r="AD1364" i="6"/>
  <c r="BO1138" i="6"/>
  <c r="BN1139" i="6" s="1"/>
  <c r="BG807" i="6"/>
  <c r="W808" i="6" s="1"/>
  <c r="AH807" i="6"/>
  <c r="BG1314" i="6"/>
  <c r="W1315" i="6" s="1"/>
  <c r="AH1314" i="6"/>
  <c r="BD1456" i="6"/>
  <c r="T1457" i="6" s="1"/>
  <c r="AP1456" i="6"/>
  <c r="BG87" i="6"/>
  <c r="W88" i="6" s="1"/>
  <c r="AH87" i="6"/>
  <c r="AL121" i="6"/>
  <c r="AM121" i="6"/>
  <c r="BO72" i="6"/>
  <c r="BN73" i="6" s="1"/>
  <c r="BA419" i="6"/>
  <c r="Q420" i="6" s="1"/>
  <c r="BE123" i="6"/>
  <c r="U123" i="6"/>
  <c r="AL1381" i="6"/>
  <c r="AM1381" i="6"/>
  <c r="BO509" i="6"/>
  <c r="U1598" i="6"/>
  <c r="BE1598" i="6"/>
  <c r="BD522" i="6"/>
  <c r="T523" i="6" s="1"/>
  <c r="AP522" i="6"/>
  <c r="BF864" i="6"/>
  <c r="V865" i="6" s="1"/>
  <c r="AH864" i="6"/>
  <c r="U735" i="6"/>
  <c r="BE735" i="6"/>
  <c r="BO382" i="6"/>
  <c r="BN383" i="6" s="1"/>
  <c r="AK382" i="6"/>
  <c r="BO1248" i="6"/>
  <c r="BN1249" i="6" s="1"/>
  <c r="AH180" i="6"/>
  <c r="BF180" i="6"/>
  <c r="V181" i="6" s="1"/>
  <c r="BA1061" i="6"/>
  <c r="Q1062" i="6" s="1"/>
  <c r="BG1205" i="6"/>
  <c r="W1206" i="6" s="1"/>
  <c r="AH1205" i="6"/>
  <c r="AM1559" i="6"/>
  <c r="AL1559" i="6"/>
  <c r="AQ411" i="6"/>
  <c r="AR771" i="6"/>
  <c r="AQ771" i="6"/>
  <c r="BA1318" i="6"/>
  <c r="Q1319" i="6" s="1"/>
  <c r="AG1318" i="6"/>
  <c r="AH1116" i="6"/>
  <c r="BF1116" i="6"/>
  <c r="V1117" i="6" s="1"/>
  <c r="BE1311" i="6"/>
  <c r="U1311" i="6"/>
  <c r="BO1425" i="6"/>
  <c r="BN1426" i="6" s="1"/>
  <c r="BD1565" i="6"/>
  <c r="T1566" i="6" s="1"/>
  <c r="AP1565" i="6"/>
  <c r="AQ1023" i="6"/>
  <c r="AR1023" i="6"/>
  <c r="U1275" i="6"/>
  <c r="BE1275" i="6"/>
  <c r="BG772" i="6"/>
  <c r="W773" i="6" s="1"/>
  <c r="AH772" i="6"/>
  <c r="AZ1560" i="6"/>
  <c r="P1561" i="6" s="1"/>
  <c r="AG1560" i="6"/>
  <c r="AK1560" i="6"/>
  <c r="AR1560" i="6" s="1"/>
  <c r="AS1560" i="6" s="1"/>
  <c r="BD340" i="6"/>
  <c r="T341" i="6" s="1"/>
  <c r="AP340" i="6"/>
  <c r="AS1022" i="6"/>
  <c r="AU1022" i="6" s="1"/>
  <c r="BA1389" i="6"/>
  <c r="Q1390" i="6" s="1"/>
  <c r="AG1389" i="6"/>
  <c r="AN514" i="6"/>
  <c r="AU514" i="6" s="1"/>
  <c r="BG122" i="6"/>
  <c r="W123" i="6" s="1"/>
  <c r="AH122" i="6"/>
  <c r="AZ1415" i="6"/>
  <c r="P1416" i="6" s="1"/>
  <c r="AK1415" i="6"/>
  <c r="AR1415" i="6" s="1"/>
  <c r="AS1415" i="6" s="1"/>
  <c r="AG1415" i="6"/>
  <c r="AH720" i="6"/>
  <c r="BF720" i="6"/>
  <c r="V721" i="6" s="1"/>
  <c r="BO889" i="6"/>
  <c r="BN890" i="6" s="1"/>
  <c r="AK889" i="6"/>
  <c r="AM771" i="6"/>
  <c r="AN771" i="6" s="1"/>
  <c r="BE663" i="6"/>
  <c r="U663" i="6"/>
  <c r="BG1382" i="6"/>
  <c r="W1383" i="6" s="1"/>
  <c r="AH1382" i="6"/>
  <c r="AS1382" i="6"/>
  <c r="AM694" i="6"/>
  <c r="AL694" i="6"/>
  <c r="AN1234" i="6"/>
  <c r="AU1234" i="6" s="1"/>
  <c r="BO750" i="6"/>
  <c r="BN751" i="6" s="1"/>
  <c r="AS1274" i="6"/>
  <c r="AU1274" i="6" s="1"/>
  <c r="BH1140" i="6"/>
  <c r="X1141" i="6" s="1"/>
  <c r="AD1140" i="6"/>
  <c r="AQ1636" i="6"/>
  <c r="AZ572" i="6"/>
  <c r="P573" i="6" s="1"/>
  <c r="AK572" i="6"/>
  <c r="AR231" i="6"/>
  <c r="AQ231" i="6"/>
  <c r="BG700" i="6"/>
  <c r="W701" i="6" s="1"/>
  <c r="AH700" i="6"/>
  <c r="AQ195" i="6"/>
  <c r="BO173" i="6"/>
  <c r="BN174" i="6" s="1"/>
  <c r="AK173" i="6"/>
  <c r="BF1584" i="6"/>
  <c r="V1585" i="6" s="1"/>
  <c r="AH1584" i="6"/>
  <c r="BA89" i="6"/>
  <c r="Q90" i="6" s="1"/>
  <c r="BE51" i="6"/>
  <c r="U51" i="6"/>
  <c r="AQ521" i="6"/>
  <c r="AN227" i="6"/>
  <c r="AU227" i="6" s="1"/>
  <c r="U1059" i="6"/>
  <c r="BE1059" i="6"/>
  <c r="BD307" i="6"/>
  <c r="T308" i="6" s="1"/>
  <c r="AP307" i="6"/>
  <c r="BG1136" i="6"/>
  <c r="W1137" i="6" s="1"/>
  <c r="AH1136" i="6"/>
  <c r="AZ36" i="6"/>
  <c r="P37" i="6" s="1"/>
  <c r="AK36" i="6"/>
  <c r="AM1347" i="6"/>
  <c r="AL1347" i="6"/>
  <c r="BD412" i="6"/>
  <c r="T413" i="6" s="1"/>
  <c r="AP412" i="6"/>
  <c r="AP772" i="6"/>
  <c r="BD772" i="6"/>
  <c r="T773" i="6" s="1"/>
  <c r="BG518" i="6"/>
  <c r="W519" i="6" s="1"/>
  <c r="AH518" i="6"/>
  <c r="BG630" i="6"/>
  <c r="W631" i="6" s="1"/>
  <c r="AH630" i="6"/>
  <c r="AS1347" i="6"/>
  <c r="AS954" i="6"/>
  <c r="AZ1000" i="6"/>
  <c r="P1001" i="6" s="1"/>
  <c r="AK1000" i="6"/>
  <c r="BE915" i="6"/>
  <c r="U915" i="6"/>
  <c r="BA918" i="6"/>
  <c r="Q919" i="6" s="1"/>
  <c r="AG918" i="6"/>
  <c r="BD1024" i="6"/>
  <c r="T1025" i="6" s="1"/>
  <c r="AP1024" i="6"/>
  <c r="AS1094" i="6"/>
  <c r="AU1094" i="6" s="1"/>
  <c r="AS1169" i="6"/>
  <c r="BO821" i="6"/>
  <c r="BN822" i="6" s="1"/>
  <c r="AK821" i="6"/>
  <c r="AR987" i="6"/>
  <c r="AQ987" i="6"/>
  <c r="BG1169" i="6"/>
  <c r="W1170" i="6" s="1"/>
  <c r="AH1169" i="6"/>
  <c r="BE627" i="6"/>
  <c r="U627" i="6"/>
  <c r="AQ268" i="6"/>
  <c r="AR268" i="6"/>
  <c r="BE231" i="6"/>
  <c r="U231" i="6"/>
  <c r="AM158" i="6"/>
  <c r="AL158" i="6"/>
  <c r="BF288" i="6"/>
  <c r="V289" i="6" s="1"/>
  <c r="AH288" i="6"/>
  <c r="AG383" i="6"/>
  <c r="BA383" i="6"/>
  <c r="Q384" i="6" s="1"/>
  <c r="AL446" i="6"/>
  <c r="AM446" i="6"/>
  <c r="AQ375" i="6"/>
  <c r="AR375" i="6"/>
  <c r="BE267" i="6"/>
  <c r="U267" i="6"/>
  <c r="AZ695" i="6"/>
  <c r="P696" i="6" s="1"/>
  <c r="AK695" i="6"/>
  <c r="AR695" i="6" s="1"/>
  <c r="AS695" i="6" s="1"/>
  <c r="AG695" i="6"/>
  <c r="BO1605" i="6"/>
  <c r="BN1606" i="6" s="1"/>
  <c r="BF504" i="6"/>
  <c r="V505" i="6" s="1"/>
  <c r="AH504" i="6"/>
  <c r="AR1530" i="6"/>
  <c r="AQ1530" i="6"/>
  <c r="BF1548" i="6"/>
  <c r="V1549" i="6" s="1"/>
  <c r="AH1548" i="6"/>
  <c r="AQ843" i="6"/>
  <c r="AL1024" i="6"/>
  <c r="AM1024" i="6"/>
  <c r="BD1637" i="6"/>
  <c r="T1638" i="6" s="1"/>
  <c r="AP1637" i="6"/>
  <c r="AN1167" i="6"/>
  <c r="AU1167" i="6" s="1"/>
  <c r="BE376" i="6"/>
  <c r="U376" i="6"/>
  <c r="BD232" i="6"/>
  <c r="T233" i="6" s="1"/>
  <c r="AP232" i="6"/>
  <c r="BE1347" i="6"/>
  <c r="U1347" i="6"/>
  <c r="AN12" i="6"/>
  <c r="AU12" i="6" s="1"/>
  <c r="BE700" i="6"/>
  <c r="U700" i="6"/>
  <c r="BE1562" i="6"/>
  <c r="U1562" i="6"/>
  <c r="AP196" i="6"/>
  <c r="BD196" i="6"/>
  <c r="T197" i="6" s="1"/>
  <c r="AM339" i="6"/>
  <c r="AN339" i="6" s="1"/>
  <c r="AM1055" i="6"/>
  <c r="AL1055" i="6"/>
  <c r="BO1539" i="6"/>
  <c r="BN1540" i="6" s="1"/>
  <c r="AK1539" i="6"/>
  <c r="BE339" i="6"/>
  <c r="U339" i="6"/>
  <c r="AL1204" i="6"/>
  <c r="AM1204" i="6"/>
  <c r="AZ409" i="6"/>
  <c r="P410" i="6" s="1"/>
  <c r="AK409" i="6"/>
  <c r="AR409" i="6" s="1"/>
  <c r="AS409" i="6" s="1"/>
  <c r="AG409" i="6"/>
  <c r="AQ306" i="6"/>
  <c r="BF1188" i="6"/>
  <c r="V1189" i="6" s="1"/>
  <c r="AH1188" i="6"/>
  <c r="AR339" i="6"/>
  <c r="AQ339" i="6"/>
  <c r="BA809" i="6"/>
  <c r="Q810" i="6" s="1"/>
  <c r="AG809" i="6"/>
  <c r="BD988" i="6"/>
  <c r="T989" i="6" s="1"/>
  <c r="AP988" i="6"/>
  <c r="U87" i="6"/>
  <c r="BE87" i="6"/>
  <c r="AQ1203" i="6"/>
  <c r="AR1203" i="6"/>
  <c r="BG412" i="6"/>
  <c r="W413" i="6" s="1"/>
  <c r="AH412" i="6"/>
  <c r="BD269" i="6"/>
  <c r="T270" i="6" s="1"/>
  <c r="AP269" i="6"/>
  <c r="BG159" i="6"/>
  <c r="W160" i="6" s="1"/>
  <c r="AH159" i="6"/>
  <c r="BE1635" i="6"/>
  <c r="U1635" i="6"/>
  <c r="AG454" i="6"/>
  <c r="BA454" i="6"/>
  <c r="Q455" i="6" s="1"/>
  <c r="BG1421" i="6"/>
  <c r="W1422" i="6" s="1"/>
  <c r="AH1421" i="6"/>
  <c r="BG447" i="6"/>
  <c r="W448" i="6" s="1"/>
  <c r="AH447" i="6"/>
  <c r="BD376" i="6"/>
  <c r="T377" i="6" s="1"/>
  <c r="AP376" i="6"/>
  <c r="AR1275" i="6"/>
  <c r="AQ1275" i="6"/>
  <c r="BD1531" i="6"/>
  <c r="T1532" i="6" s="1"/>
  <c r="AP1531" i="6"/>
  <c r="BD844" i="6"/>
  <c r="T845" i="6" s="1"/>
  <c r="AP844" i="6"/>
  <c r="AH1025" i="6"/>
  <c r="BG1025" i="6"/>
  <c r="W1026" i="6" s="1"/>
  <c r="AL1235" i="6"/>
  <c r="AM1235" i="6"/>
  <c r="BE842" i="6"/>
  <c r="U842" i="6"/>
  <c r="BF540" i="6"/>
  <c r="V541" i="6" s="1"/>
  <c r="AH540" i="6"/>
  <c r="AR555" i="6"/>
  <c r="AQ555" i="6"/>
  <c r="BF936" i="6"/>
  <c r="V937" i="6" s="1"/>
  <c r="AH936" i="6"/>
  <c r="BE1384" i="6"/>
  <c r="U1384" i="6"/>
  <c r="BA1241" i="6"/>
  <c r="Q1242" i="6" s="1"/>
  <c r="BO1461" i="6"/>
  <c r="BN1462" i="6" s="1"/>
  <c r="BA1205" i="6"/>
  <c r="Q1206" i="6" s="1"/>
  <c r="AG1205" i="6"/>
  <c r="AL1486" i="6"/>
  <c r="AM1486" i="6"/>
  <c r="AR15" i="6"/>
  <c r="AQ15" i="6"/>
  <c r="BO955" i="6"/>
  <c r="BN956" i="6" s="1"/>
  <c r="AK955" i="6"/>
  <c r="AR955" i="6" s="1"/>
  <c r="AZ300" i="6"/>
  <c r="P301" i="6" s="1"/>
  <c r="AG300" i="6"/>
  <c r="AK300" i="6"/>
  <c r="AR300" i="6" s="1"/>
  <c r="AS300" i="6" s="1"/>
  <c r="AL1414" i="6"/>
  <c r="AM1414" i="6"/>
  <c r="BO644" i="6"/>
  <c r="BN645" i="6" s="1"/>
  <c r="AK644" i="6"/>
  <c r="AL659" i="6"/>
  <c r="AM659" i="6"/>
  <c r="BA1572" i="6"/>
  <c r="Q1573" i="6" s="1"/>
  <c r="AN264" i="6"/>
  <c r="AU264" i="6" s="1"/>
  <c r="BD956" i="6"/>
  <c r="T957" i="6" s="1"/>
  <c r="AP956" i="6"/>
  <c r="BO1356" i="6"/>
  <c r="BN1357" i="6" s="1"/>
  <c r="AK1356" i="6"/>
  <c r="AN878" i="6"/>
  <c r="AN838" i="6"/>
  <c r="AU838" i="6" s="1"/>
  <c r="AZ660" i="6"/>
  <c r="P661" i="6" s="1"/>
  <c r="AG660" i="6"/>
  <c r="AK660" i="6"/>
  <c r="AR660" i="6" s="1"/>
  <c r="AS660" i="6" s="1"/>
  <c r="BF324" i="6"/>
  <c r="V325" i="6" s="1"/>
  <c r="AH324" i="6"/>
  <c r="BF432" i="6"/>
  <c r="V433" i="6" s="1"/>
  <c r="AH432" i="6"/>
  <c r="AQ87" i="6"/>
  <c r="BA667" i="6"/>
  <c r="Q668" i="6" s="1"/>
  <c r="AQ627" i="6"/>
  <c r="AR627" i="6"/>
  <c r="AL228" i="6"/>
  <c r="AM228" i="6"/>
  <c r="BA850" i="6"/>
  <c r="Q851" i="6" s="1"/>
  <c r="BA1638" i="6"/>
  <c r="Q1639" i="6" s="1"/>
  <c r="BA1027" i="6"/>
  <c r="Q1028" i="6" s="1"/>
  <c r="AG1027" i="6"/>
  <c r="BD1204" i="6"/>
  <c r="T1205" i="6" s="1"/>
  <c r="AP1204" i="6"/>
  <c r="AS626" i="6"/>
  <c r="AU626" i="6" s="1"/>
  <c r="AN298" i="6"/>
  <c r="AU298" i="6" s="1"/>
  <c r="BO922" i="6"/>
  <c r="BN923" i="6" s="1"/>
  <c r="AK922" i="6"/>
  <c r="BG1350" i="6"/>
  <c r="W1351" i="6" s="1"/>
  <c r="AH1350" i="6"/>
  <c r="AM47" i="6"/>
  <c r="AL47" i="6"/>
  <c r="AQ1383" i="6"/>
  <c r="AR1383" i="6"/>
  <c r="AQ700" i="6"/>
  <c r="BE1131" i="6"/>
  <c r="U1131" i="6"/>
  <c r="AH1152" i="6"/>
  <c r="BF1152" i="6"/>
  <c r="V1153" i="6" s="1"/>
  <c r="AN157" i="6"/>
  <c r="AU157" i="6" s="1"/>
  <c r="BO1218" i="6"/>
  <c r="BN1219" i="6" s="1"/>
  <c r="AK1218" i="6"/>
  <c r="BD1276" i="6"/>
  <c r="T1277" i="6" s="1"/>
  <c r="AP1276" i="6"/>
  <c r="AS230" i="6"/>
  <c r="AN592" i="6"/>
  <c r="AN1380" i="6"/>
  <c r="AU1380" i="6" s="1"/>
  <c r="BD556" i="6"/>
  <c r="T557" i="6" s="1"/>
  <c r="AP556" i="6"/>
  <c r="AZ1056" i="6"/>
  <c r="P1057" i="6" s="1"/>
  <c r="AK1056" i="6"/>
  <c r="AR1056" i="6" s="1"/>
  <c r="AS1056" i="6" s="1"/>
  <c r="AG1056" i="6"/>
  <c r="AQ159" i="6"/>
  <c r="AR159" i="6"/>
  <c r="AQ663" i="6"/>
  <c r="BF216" i="6"/>
  <c r="V217" i="6" s="1"/>
  <c r="AH216" i="6"/>
  <c r="AZ1487" i="6"/>
  <c r="P1488" i="6" s="1"/>
  <c r="AK1487" i="6"/>
  <c r="AR1487" i="6" s="1"/>
  <c r="AS1487" i="6" s="1"/>
  <c r="AG1487" i="6"/>
  <c r="BD16" i="6"/>
  <c r="T17" i="6" s="1"/>
  <c r="AP16" i="6"/>
  <c r="BD1171" i="6"/>
  <c r="T1172" i="6" s="1"/>
  <c r="AP1171" i="6"/>
  <c r="BO612" i="6"/>
  <c r="BN613" i="6" s="1"/>
  <c r="AK612" i="6"/>
  <c r="BG483" i="6"/>
  <c r="W484" i="6" s="1"/>
  <c r="AH483" i="6"/>
  <c r="BA239" i="6"/>
  <c r="Q240" i="6" s="1"/>
  <c r="AG239" i="6"/>
  <c r="BA1348" i="6"/>
  <c r="Q1349" i="6" s="1"/>
  <c r="AG1348" i="6"/>
  <c r="BE1239" i="6"/>
  <c r="U1239" i="6"/>
  <c r="U771" i="6"/>
  <c r="BE771" i="6"/>
  <c r="AM917" i="6"/>
  <c r="AL917" i="6"/>
  <c r="AQ955" i="6"/>
  <c r="BF1476" i="6"/>
  <c r="V1477" i="6" s="1"/>
  <c r="AH1476" i="6"/>
  <c r="BO666" i="6"/>
  <c r="BN667" i="6" s="1"/>
  <c r="BE1527" i="6"/>
  <c r="U1527" i="6"/>
  <c r="BD88" i="6"/>
  <c r="T89" i="6" s="1"/>
  <c r="AP88" i="6"/>
  <c r="U878" i="6"/>
  <c r="BE878" i="6"/>
  <c r="BD628" i="6"/>
  <c r="T629" i="6" s="1"/>
  <c r="AP628" i="6"/>
  <c r="BG229" i="6"/>
  <c r="W230" i="6" s="1"/>
  <c r="AH229" i="6"/>
  <c r="BO778" i="6"/>
  <c r="BN779" i="6" s="1"/>
  <c r="AK778" i="6"/>
  <c r="AL1450" i="6"/>
  <c r="AM1450" i="6"/>
  <c r="BG843" i="6"/>
  <c r="W844" i="6" s="1"/>
  <c r="AH843" i="6"/>
  <c r="AH1008" i="6"/>
  <c r="BF1008" i="6"/>
  <c r="V1009" i="6" s="1"/>
  <c r="BF972" i="6"/>
  <c r="V973" i="6" s="1"/>
  <c r="AH972" i="6"/>
  <c r="AZ48" i="6"/>
  <c r="P49" i="6" s="1"/>
  <c r="AK48" i="6"/>
  <c r="AR48" i="6" s="1"/>
  <c r="AS48" i="6" s="1"/>
  <c r="AG48" i="6"/>
  <c r="BD1384" i="6"/>
  <c r="T1385" i="6" s="1"/>
  <c r="AP1384" i="6"/>
  <c r="BD701" i="6"/>
  <c r="T702" i="6" s="1"/>
  <c r="AP701" i="6"/>
  <c r="BO1384" i="6"/>
  <c r="BN1385" i="6" s="1"/>
  <c r="AK1384" i="6"/>
  <c r="BF1224" i="6"/>
  <c r="V1225" i="6" s="1"/>
  <c r="AH1224" i="6"/>
  <c r="BE1454" i="6"/>
  <c r="U1454" i="6"/>
  <c r="AG991" i="6"/>
  <c r="BA991" i="6"/>
  <c r="Q992" i="6" s="1"/>
  <c r="BF792" i="6"/>
  <c r="V793" i="6" s="1"/>
  <c r="AH792" i="6"/>
  <c r="AZ1236" i="6"/>
  <c r="P1237" i="6" s="1"/>
  <c r="AK1236" i="6"/>
  <c r="AR1236" i="6" s="1"/>
  <c r="AS1236" i="6" s="1"/>
  <c r="AG1236" i="6"/>
  <c r="AQ447" i="6"/>
  <c r="AR447" i="6"/>
  <c r="BF72" i="6"/>
  <c r="V73" i="6" s="1"/>
  <c r="AH72" i="6"/>
  <c r="BE1491" i="6"/>
  <c r="U1491" i="6"/>
  <c r="BO270" i="6"/>
  <c r="BN271" i="6" s="1"/>
  <c r="AK270" i="6"/>
  <c r="AM1168" i="6"/>
  <c r="AL1168" i="6"/>
  <c r="BD160" i="6"/>
  <c r="T161" i="6" s="1"/>
  <c r="AP160" i="6"/>
  <c r="BF468" i="6"/>
  <c r="V469" i="6" s="1"/>
  <c r="AH468" i="6"/>
  <c r="BD664" i="6"/>
  <c r="T665" i="6" s="1"/>
  <c r="AP664" i="6"/>
  <c r="BO1041" i="6"/>
  <c r="BN1042" i="6" s="1"/>
  <c r="AK1041" i="6"/>
  <c r="BF756" i="6"/>
  <c r="V757" i="6" s="1"/>
  <c r="AH756" i="6"/>
  <c r="AZ1128" i="6"/>
  <c r="P1129" i="6" s="1"/>
  <c r="AK1128" i="6"/>
  <c r="AR1128" i="6" s="1"/>
  <c r="AS1128" i="6" s="1"/>
  <c r="AG1128" i="6"/>
  <c r="BA1605" i="6"/>
  <c r="Q1606" i="6" s="1"/>
  <c r="BA316" i="6"/>
  <c r="Q317" i="6" s="1"/>
  <c r="BO1080" i="6"/>
  <c r="BN1081" i="6" s="1"/>
  <c r="AL192" i="6"/>
  <c r="AM192" i="6"/>
  <c r="AM1096" i="6"/>
  <c r="AL1096" i="6"/>
  <c r="AN407" i="6"/>
  <c r="AU407" i="6" s="1"/>
  <c r="AM478" i="6"/>
  <c r="AL478" i="6"/>
  <c r="AM731" i="6"/>
  <c r="AL731" i="6"/>
  <c r="AN1095" i="6"/>
  <c r="AN658" i="6"/>
  <c r="AU658" i="6" s="1"/>
  <c r="BE15" i="6"/>
  <c r="U15" i="6"/>
  <c r="AN805" i="6"/>
  <c r="AU805" i="6" s="1"/>
  <c r="BA701" i="6"/>
  <c r="Q702" i="6" s="1"/>
  <c r="BF108" i="6"/>
  <c r="V109" i="6" s="1"/>
  <c r="AH108" i="6"/>
  <c r="BA490" i="6"/>
  <c r="Q491" i="6" s="1"/>
  <c r="AM515" i="6"/>
  <c r="AL515" i="6"/>
  <c r="AZ1451" i="6"/>
  <c r="P1452" i="6" s="1"/>
  <c r="AG1451" i="6"/>
  <c r="AK1451" i="6"/>
  <c r="AR1451" i="6" s="1"/>
  <c r="AS1451" i="6" s="1"/>
  <c r="U195" i="6"/>
  <c r="BE195" i="6"/>
  <c r="BF360" i="6"/>
  <c r="V361" i="6" s="1"/>
  <c r="AH360" i="6"/>
  <c r="AS1202" i="6"/>
  <c r="AU1202" i="6" s="1"/>
  <c r="AZ1329" i="6"/>
  <c r="P1330" i="6" s="1"/>
  <c r="AK1329" i="6"/>
  <c r="BG194" i="6"/>
  <c r="W195" i="6" s="1"/>
  <c r="AH194" i="6"/>
  <c r="BF648" i="6"/>
  <c r="V649" i="6" s="1"/>
  <c r="AH648" i="6"/>
  <c r="AH50" i="6"/>
  <c r="BG50" i="6"/>
  <c r="W51" i="6" s="1"/>
  <c r="BA738" i="6"/>
  <c r="Q739" i="6" s="1"/>
  <c r="AM593" i="6"/>
  <c r="AL593" i="6"/>
  <c r="BG1608" i="6"/>
  <c r="W1609" i="6" s="1"/>
  <c r="AH1608" i="6"/>
  <c r="U519" i="6"/>
  <c r="BE519" i="6"/>
  <c r="BE986" i="6"/>
  <c r="U986" i="6"/>
  <c r="AQ1131" i="6"/>
  <c r="BA54" i="6"/>
  <c r="Q55" i="6" s="1"/>
  <c r="AG1530" i="6"/>
  <c r="BA1530" i="6"/>
  <c r="Q1531" i="6" s="1"/>
  <c r="BG1058" i="6"/>
  <c r="W1059" i="6" s="1"/>
  <c r="AH1058" i="6"/>
  <c r="AQ52" i="6"/>
  <c r="AQ1599" i="6"/>
  <c r="BE484" i="6"/>
  <c r="U484" i="6"/>
  <c r="BD448" i="6"/>
  <c r="T449" i="6" s="1"/>
  <c r="AP448" i="6"/>
  <c r="BG1497" i="6"/>
  <c r="W1498" i="6" s="1"/>
  <c r="AH1497" i="6"/>
  <c r="BF828" i="6"/>
  <c r="V829" i="6" s="1"/>
  <c r="AH828" i="6"/>
  <c r="BF1440" i="6"/>
  <c r="V1441" i="6" s="1"/>
  <c r="AH1440" i="6"/>
  <c r="BD808" i="6"/>
  <c r="T809" i="6" s="1"/>
  <c r="AP808" i="6"/>
  <c r="AG1169" i="6"/>
  <c r="BA1169" i="6"/>
  <c r="Q1170" i="6" s="1"/>
  <c r="BA21" i="6"/>
  <c r="Q22" i="6" s="1"/>
  <c r="AG21" i="6"/>
  <c r="BA1458" i="6"/>
  <c r="Q1459" i="6" s="1"/>
  <c r="AZ1596" i="6"/>
  <c r="P1597" i="6" s="1"/>
  <c r="AG1596" i="6"/>
  <c r="AK1596" i="6"/>
  <c r="AR1596" i="6" s="1"/>
  <c r="AS1596" i="6" s="1"/>
  <c r="AM1631" i="6"/>
  <c r="AL1631" i="6"/>
  <c r="BO1103" i="6"/>
  <c r="BN1104" i="6" s="1"/>
  <c r="AK1103" i="6"/>
  <c r="BH922" i="6"/>
  <c r="X923" i="6" s="1"/>
  <c r="AD922" i="6"/>
  <c r="BF396" i="6"/>
  <c r="V397" i="6" s="1"/>
  <c r="AH396" i="6"/>
  <c r="AQ1057" i="6"/>
  <c r="BF684" i="6"/>
  <c r="V685" i="6" s="1"/>
  <c r="AH684" i="6"/>
  <c r="BO234" i="6"/>
  <c r="BN235" i="6" s="1"/>
  <c r="AK234" i="6"/>
  <c r="AQ484" i="6"/>
  <c r="BA594" i="6"/>
  <c r="Q595" i="6" s="1"/>
  <c r="AG594" i="6"/>
  <c r="AP1132" i="6"/>
  <c r="BD1132" i="6"/>
  <c r="T1133" i="6" s="1"/>
  <c r="BE159" i="6"/>
  <c r="U159" i="6"/>
  <c r="BD53" i="6"/>
  <c r="T54" i="6" s="1"/>
  <c r="AP53" i="6"/>
  <c r="AP1600" i="6"/>
  <c r="BD1600" i="6"/>
  <c r="T1601" i="6" s="1"/>
  <c r="BG1242" i="6"/>
  <c r="W1243" i="6" s="1"/>
  <c r="AH1242" i="6"/>
  <c r="BF900" i="6"/>
  <c r="V901" i="6" s="1"/>
  <c r="AH900" i="6"/>
  <c r="BF1080" i="6"/>
  <c r="V1081" i="6" s="1"/>
  <c r="AH1080" i="6"/>
  <c r="AQ807" i="6"/>
  <c r="AR807" i="6"/>
  <c r="BO528" i="6"/>
  <c r="BN529" i="6" s="1"/>
  <c r="BO724" i="6"/>
  <c r="BN725" i="6" s="1"/>
  <c r="BO1332" i="6"/>
  <c r="BN1333" i="6" s="1"/>
  <c r="AL1595" i="6"/>
  <c r="AM1595" i="6"/>
  <c r="AM1313" i="6"/>
  <c r="AL1313" i="6"/>
  <c r="AQ1455" i="6"/>
  <c r="BE1166" i="6"/>
  <c r="U1166" i="6"/>
  <c r="AZ516" i="6"/>
  <c r="P517" i="6" s="1"/>
  <c r="AG516" i="6"/>
  <c r="AK516" i="6"/>
  <c r="AR516" i="6" s="1"/>
  <c r="AS516" i="6" s="1"/>
  <c r="BG558" i="6"/>
  <c r="W559" i="6" s="1"/>
  <c r="AH558" i="6"/>
  <c r="AL558" i="6" s="1"/>
  <c r="AZ1632" i="6"/>
  <c r="P1633" i="6" s="1"/>
  <c r="AG1632" i="6"/>
  <c r="AK1632" i="6"/>
  <c r="AR1632" i="6" s="1"/>
  <c r="AS1632" i="6" s="1"/>
  <c r="AZ840" i="6"/>
  <c r="P841" i="6" s="1"/>
  <c r="AG840" i="6"/>
  <c r="AK840" i="6"/>
  <c r="AR840" i="6" s="1"/>
  <c r="AS840" i="6" s="1"/>
  <c r="BO197" i="6"/>
  <c r="BN198" i="6" s="1"/>
  <c r="BO1298" i="6"/>
  <c r="BN1299" i="6" s="1"/>
  <c r="AK1298" i="6"/>
  <c r="AS14" i="6"/>
  <c r="BA1279" i="6"/>
  <c r="Q1280" i="6" s="1"/>
  <c r="AG1279" i="6"/>
  <c r="AN1594" i="6"/>
  <c r="AU1594" i="6" s="1"/>
  <c r="BA965" i="6"/>
  <c r="Q966" i="6" s="1"/>
  <c r="AG965" i="6"/>
  <c r="AN477" i="6"/>
  <c r="AU477" i="6" s="1"/>
  <c r="AN120" i="6"/>
  <c r="AU120" i="6" s="1"/>
  <c r="BA275" i="6"/>
  <c r="Q276" i="6" s="1"/>
  <c r="AG275" i="6"/>
  <c r="BA168" i="6"/>
  <c r="Q169" i="6" s="1"/>
  <c r="AG168" i="6"/>
  <c r="U1095" i="6"/>
  <c r="BE1095" i="6"/>
  <c r="BA129" i="6"/>
  <c r="Q130" i="6" s="1"/>
  <c r="AG129" i="6"/>
  <c r="BF1296" i="6"/>
  <c r="V1297" i="6" s="1"/>
  <c r="AH1296" i="6"/>
  <c r="AN1126" i="6"/>
  <c r="AU1126" i="6" s="1"/>
  <c r="AR123" i="6"/>
  <c r="AQ123" i="6"/>
  <c r="BF1620" i="6"/>
  <c r="V1621" i="6" s="1"/>
  <c r="AH1620" i="6"/>
  <c r="BD1058" i="6"/>
  <c r="T1059" i="6" s="1"/>
  <c r="AP1058" i="6"/>
  <c r="AQ1491" i="6"/>
  <c r="BD485" i="6"/>
  <c r="T486" i="6" s="1"/>
  <c r="AP485" i="6"/>
  <c r="BG1100" i="6"/>
  <c r="W1101" i="6" s="1"/>
  <c r="AH1100" i="6"/>
  <c r="AS122" i="6"/>
  <c r="BG1637" i="6"/>
  <c r="W1638" i="6" s="1"/>
  <c r="AH1637" i="6"/>
  <c r="AH1512" i="6"/>
  <c r="BF1512" i="6"/>
  <c r="V1513" i="6" s="1"/>
  <c r="BA1493" i="6"/>
  <c r="Q1494" i="6" s="1"/>
  <c r="AZ457" i="6"/>
  <c r="P458" i="6" s="1"/>
  <c r="AK457" i="6"/>
  <c r="BE554" i="6"/>
  <c r="U554" i="6"/>
  <c r="AQ1419" i="6"/>
  <c r="BF1404" i="6"/>
  <c r="V1405" i="6" s="1"/>
  <c r="AH1404" i="6"/>
  <c r="AL839" i="6"/>
  <c r="AM839" i="6"/>
  <c r="AZ193" i="6"/>
  <c r="P194" i="6" s="1"/>
  <c r="AG193" i="6"/>
  <c r="AK193" i="6"/>
  <c r="AR193" i="6" s="1"/>
  <c r="AS193" i="6" s="1"/>
  <c r="BA1097" i="6"/>
  <c r="Q1098" i="6" s="1"/>
  <c r="AG1097" i="6"/>
  <c r="AZ479" i="6"/>
  <c r="P480" i="6" s="1"/>
  <c r="AG479" i="6"/>
  <c r="AK479" i="6"/>
  <c r="AR479" i="6" s="1"/>
  <c r="AS479" i="6" s="1"/>
  <c r="AZ732" i="6"/>
  <c r="P733" i="6" s="1"/>
  <c r="AK732" i="6"/>
  <c r="AR732" i="6" s="1"/>
  <c r="AS732" i="6" s="1"/>
  <c r="AG732" i="6"/>
  <c r="BF1260" i="6"/>
  <c r="V1261" i="6" s="1"/>
  <c r="AH1260" i="6"/>
  <c r="BO1180" i="6"/>
  <c r="BN1181" i="6" s="1"/>
  <c r="AK1180" i="6"/>
  <c r="BG302" i="6"/>
  <c r="W303" i="6" s="1"/>
  <c r="AH302" i="6"/>
  <c r="AR1348" i="6"/>
  <c r="AQ1348" i="6"/>
  <c r="AZ84" i="6"/>
  <c r="P85" i="6" s="1"/>
  <c r="AK84" i="6"/>
  <c r="AR84" i="6" s="1"/>
  <c r="AS84" i="6" s="1"/>
  <c r="AG84" i="6"/>
  <c r="BO867" i="6"/>
  <c r="BN868" i="6" s="1"/>
  <c r="AM558" i="6"/>
  <c r="AR1095" i="6"/>
  <c r="AQ1095" i="6"/>
  <c r="AH918" i="6"/>
  <c r="BG918" i="6"/>
  <c r="W919" i="6" s="1"/>
  <c r="AH1332" i="6"/>
  <c r="BF1332" i="6"/>
  <c r="V1333" i="6" s="1"/>
  <c r="BO325" i="6"/>
  <c r="BN326" i="6" s="1"/>
  <c r="BG1462" i="6"/>
  <c r="W1463" i="6" s="1"/>
  <c r="AH1462" i="6"/>
  <c r="BA531" i="6"/>
  <c r="Q532" i="6" s="1"/>
  <c r="AM629" i="6"/>
  <c r="AL629" i="6"/>
  <c r="BE809" i="6"/>
  <c r="U809" i="6"/>
  <c r="AM986" i="6"/>
  <c r="AL986" i="6"/>
  <c r="AM950" i="6"/>
  <c r="AL950" i="6"/>
  <c r="AN1558" i="6"/>
  <c r="AU1558" i="6" s="1"/>
  <c r="AL375" i="6"/>
  <c r="AM375" i="6"/>
  <c r="AQ591" i="6"/>
  <c r="AR591" i="6"/>
  <c r="BG594" i="6"/>
  <c r="W595" i="6" s="1"/>
  <c r="AH594" i="6"/>
  <c r="BD124" i="6"/>
  <c r="T125" i="6" s="1"/>
  <c r="AP124" i="6"/>
  <c r="AR1314" i="6"/>
  <c r="AQ1314" i="6"/>
  <c r="BD1492" i="6"/>
  <c r="T1493" i="6" s="1"/>
  <c r="AP1492" i="6"/>
  <c r="BO1503" i="6"/>
  <c r="BN1504" i="6" s="1"/>
  <c r="BO129" i="6"/>
  <c r="BN130" i="6" s="1"/>
  <c r="AK129" i="6"/>
  <c r="BG734" i="6"/>
  <c r="W735" i="6" s="1"/>
  <c r="AH734" i="6"/>
  <c r="AM1276" i="6"/>
  <c r="AL1276" i="6"/>
  <c r="BA1422" i="6"/>
  <c r="Q1423" i="6" s="1"/>
  <c r="AR915" i="6"/>
  <c r="AQ915" i="6"/>
  <c r="BF1044" i="6"/>
  <c r="V1045" i="6" s="1"/>
  <c r="AH1044" i="6"/>
  <c r="AH663" i="6"/>
  <c r="BG663" i="6"/>
  <c r="W664" i="6" s="1"/>
  <c r="BE448" i="6"/>
  <c r="U448" i="6"/>
  <c r="BO1638" i="6"/>
  <c r="BN1639" i="6" s="1"/>
  <c r="AQ737" i="6"/>
  <c r="BA341" i="6"/>
  <c r="Q342" i="6" s="1"/>
  <c r="AG341" i="6"/>
  <c r="AH1368" i="6"/>
  <c r="BF1368" i="6"/>
  <c r="V1369" i="6" s="1"/>
  <c r="BE593" i="6"/>
  <c r="U593" i="6"/>
  <c r="BO418" i="6"/>
  <c r="BN419" i="6" s="1"/>
  <c r="BE1418" i="6"/>
  <c r="U1418" i="6"/>
  <c r="AM265" i="6"/>
  <c r="AL265" i="6"/>
  <c r="AS986" i="6"/>
  <c r="BD1420" i="6"/>
  <c r="T1421" i="6" s="1"/>
  <c r="AP1420" i="6"/>
  <c r="BO346" i="6"/>
  <c r="BN347" i="6" s="1"/>
  <c r="AK346" i="6"/>
  <c r="BF576" i="6"/>
  <c r="V577" i="6" s="1"/>
  <c r="AH576" i="6"/>
  <c r="BA885" i="6"/>
  <c r="Q886" i="6" s="1"/>
  <c r="AG885" i="6"/>
  <c r="AL1526" i="6"/>
  <c r="AM1526" i="6"/>
  <c r="AH252" i="6"/>
  <c r="BF252" i="6"/>
  <c r="V253" i="6" s="1"/>
  <c r="AQ1564" i="6"/>
  <c r="AM83" i="6"/>
  <c r="AL83" i="6"/>
  <c r="BD1349" i="6"/>
  <c r="T1350" i="6" s="1"/>
  <c r="AP1349" i="6"/>
  <c r="AM408" i="6"/>
  <c r="AL408" i="6"/>
  <c r="AN408" i="6" s="1"/>
  <c r="AU408" i="6" s="1"/>
  <c r="BA559" i="6"/>
  <c r="Q560" i="6" s="1"/>
  <c r="AG559" i="6"/>
  <c r="BO467" i="6"/>
  <c r="BN468" i="6" s="1"/>
  <c r="BD1096" i="6"/>
  <c r="T1097" i="6" s="1"/>
  <c r="AP1096" i="6"/>
  <c r="BO1571" i="6"/>
  <c r="BN1572" i="6" s="1"/>
  <c r="AN557" i="6"/>
  <c r="AR1170" i="6"/>
  <c r="AQ1170" i="6"/>
  <c r="AN730" i="6"/>
  <c r="AU730" i="6" s="1"/>
  <c r="AM299" i="6"/>
  <c r="AL299" i="6"/>
  <c r="BA630" i="6"/>
  <c r="Q631" i="6" s="1"/>
  <c r="AG630" i="6"/>
  <c r="BE1023" i="6"/>
  <c r="U1023" i="6"/>
  <c r="AL1127" i="6"/>
  <c r="AM1127" i="6"/>
  <c r="BG987" i="6"/>
  <c r="W988" i="6" s="1"/>
  <c r="AH987" i="6"/>
  <c r="BG951" i="6"/>
  <c r="W952" i="6" s="1"/>
  <c r="AH951" i="6"/>
  <c r="BG376" i="6"/>
  <c r="W377" i="6" s="1"/>
  <c r="AH376" i="6"/>
  <c r="BD592" i="6"/>
  <c r="T593" i="6" s="1"/>
  <c r="AP592" i="6"/>
  <c r="AH144" i="6"/>
  <c r="BF144" i="6"/>
  <c r="V145" i="6" s="1"/>
  <c r="BD1315" i="6"/>
  <c r="T1316" i="6" s="1"/>
  <c r="AP1315" i="6"/>
  <c r="BG340" i="6"/>
  <c r="W341" i="6" s="1"/>
  <c r="AH340" i="6"/>
  <c r="AL340" i="6" s="1"/>
  <c r="BA1133" i="6"/>
  <c r="Q1134" i="6" s="1"/>
  <c r="AD1006" i="6"/>
  <c r="BH1006" i="6"/>
  <c r="X1007" i="6" s="1"/>
  <c r="BG1277" i="6"/>
  <c r="W1278" i="6" s="1"/>
  <c r="AH1277" i="6"/>
  <c r="BD916" i="6"/>
  <c r="T917" i="6" s="1"/>
  <c r="AP916" i="6"/>
  <c r="AN445" i="6"/>
  <c r="AU445" i="6" s="1"/>
  <c r="AS374" i="6"/>
  <c r="AU374" i="6" s="1"/>
  <c r="AL13" i="6"/>
  <c r="AM13" i="6"/>
  <c r="BE952" i="6"/>
  <c r="U952" i="6"/>
  <c r="AN693" i="6"/>
  <c r="AU693" i="6" s="1"/>
  <c r="BG1527" i="6"/>
  <c r="W1528" i="6" s="1"/>
  <c r="AH1527" i="6"/>
  <c r="AM806" i="6"/>
  <c r="AL806" i="6"/>
  <c r="BD738" i="6"/>
  <c r="T739" i="6" s="1"/>
  <c r="AP738" i="6"/>
  <c r="BF36" i="6"/>
  <c r="V37" i="6" s="1"/>
  <c r="AH36" i="6"/>
  <c r="BF612" i="6"/>
  <c r="V613" i="6" s="1"/>
  <c r="AH612" i="6"/>
  <c r="AM772" i="6"/>
  <c r="AL772" i="6"/>
  <c r="BG1563" i="6"/>
  <c r="W1564" i="6" s="1"/>
  <c r="AH1563" i="6"/>
  <c r="BO577" i="6"/>
  <c r="BN578" i="6" s="1"/>
  <c r="AR877" i="6"/>
  <c r="AQ877" i="6"/>
  <c r="AN1054" i="6"/>
  <c r="AU1054" i="6" s="1"/>
  <c r="BG266" i="6"/>
  <c r="W267" i="6" s="1"/>
  <c r="AH266" i="6"/>
  <c r="AM879" i="6"/>
  <c r="AL879" i="6"/>
  <c r="AS1095" i="6" l="1"/>
  <c r="AN515" i="6"/>
  <c r="AU515" i="6" s="1"/>
  <c r="AN1414" i="6"/>
  <c r="AU1414" i="6" s="1"/>
  <c r="AS1275" i="6"/>
  <c r="AU1275" i="6" s="1"/>
  <c r="AN558" i="6"/>
  <c r="AS1170" i="6"/>
  <c r="AN13" i="6"/>
  <c r="AU13" i="6" s="1"/>
  <c r="AN228" i="6"/>
  <c r="AU228" i="6" s="1"/>
  <c r="AS375" i="6"/>
  <c r="AS268" i="6"/>
  <c r="AS627" i="6"/>
  <c r="AU627" i="6" s="1"/>
  <c r="AN1450" i="6"/>
  <c r="AU1450" i="6" s="1"/>
  <c r="AS771" i="6"/>
  <c r="AN121" i="6"/>
  <c r="AU121" i="6" s="1"/>
  <c r="AN1313" i="6"/>
  <c r="AU1313" i="6" s="1"/>
  <c r="AN593" i="6"/>
  <c r="AN47" i="6"/>
  <c r="AU47" i="6" s="1"/>
  <c r="AS339" i="6"/>
  <c r="AU339" i="6" s="1"/>
  <c r="AN986" i="6"/>
  <c r="AU986" i="6" s="1"/>
  <c r="AS231" i="6"/>
  <c r="AN1127" i="6"/>
  <c r="AU1127" i="6" s="1"/>
  <c r="AS987" i="6"/>
  <c r="AN1096" i="6"/>
  <c r="AS15" i="6"/>
  <c r="AN1204" i="6"/>
  <c r="AU771" i="6"/>
  <c r="AN659" i="6"/>
  <c r="AU659" i="6" s="1"/>
  <c r="AN1024" i="6"/>
  <c r="AN1526" i="6"/>
  <c r="AU1526" i="6" s="1"/>
  <c r="AQ88" i="6"/>
  <c r="AM266" i="6"/>
  <c r="AL266" i="6"/>
  <c r="BH1007" i="6"/>
  <c r="X1008" i="6" s="1"/>
  <c r="AD1007" i="6"/>
  <c r="BG952" i="6"/>
  <c r="W953" i="6" s="1"/>
  <c r="AH952" i="6"/>
  <c r="BO130" i="6"/>
  <c r="BN131" i="6" s="1"/>
  <c r="AK130" i="6"/>
  <c r="BD125" i="6"/>
  <c r="T126" i="6" s="1"/>
  <c r="AP125" i="6"/>
  <c r="BF1333" i="6"/>
  <c r="V1334" i="6" s="1"/>
  <c r="AH1333" i="6"/>
  <c r="BO868" i="6"/>
  <c r="BN869" i="6" s="1"/>
  <c r="AL732" i="6"/>
  <c r="AM732" i="6"/>
  <c r="AZ194" i="6"/>
  <c r="P195" i="6" s="1"/>
  <c r="AG194" i="6"/>
  <c r="AK194" i="6"/>
  <c r="AR194" i="6" s="1"/>
  <c r="AS194" i="6" s="1"/>
  <c r="AZ458" i="6"/>
  <c r="P459" i="6" s="1"/>
  <c r="AK458" i="6"/>
  <c r="BA169" i="6"/>
  <c r="Q170" i="6" s="1"/>
  <c r="AG169" i="6"/>
  <c r="BA1280" i="6"/>
  <c r="Q1281" i="6" s="1"/>
  <c r="AG1280" i="6"/>
  <c r="BF1081" i="6"/>
  <c r="V1082" i="6" s="1"/>
  <c r="AH1081" i="6"/>
  <c r="BO235" i="6"/>
  <c r="BN236" i="6" s="1"/>
  <c r="AK235" i="6"/>
  <c r="AZ1597" i="6"/>
  <c r="P1598" i="6" s="1"/>
  <c r="AG1597" i="6"/>
  <c r="AK1597" i="6"/>
  <c r="AR1597" i="6" s="1"/>
  <c r="AS1597" i="6" s="1"/>
  <c r="AR808" i="6"/>
  <c r="AQ808" i="6"/>
  <c r="BE485" i="6"/>
  <c r="U485" i="6"/>
  <c r="BA491" i="6"/>
  <c r="Q492" i="6" s="1"/>
  <c r="AN731" i="6"/>
  <c r="AU731" i="6" s="1"/>
  <c r="AZ1237" i="6"/>
  <c r="P1238" i="6" s="1"/>
  <c r="AK1237" i="6"/>
  <c r="AR1237" i="6" s="1"/>
  <c r="AS1237" i="6" s="1"/>
  <c r="AG1237" i="6"/>
  <c r="BE1132" i="6"/>
  <c r="U1132" i="6"/>
  <c r="BO956" i="6"/>
  <c r="BN957" i="6" s="1"/>
  <c r="AK956" i="6"/>
  <c r="AR956" i="6" s="1"/>
  <c r="AH541" i="6"/>
  <c r="BF541" i="6"/>
  <c r="V542" i="6" s="1"/>
  <c r="BD1532" i="6"/>
  <c r="T1533" i="6" s="1"/>
  <c r="AP1532" i="6"/>
  <c r="BE1636" i="6"/>
  <c r="U1636" i="6"/>
  <c r="BF1189" i="6"/>
  <c r="V1190" i="6" s="1"/>
  <c r="AH1189" i="6"/>
  <c r="AZ696" i="6"/>
  <c r="P697" i="6" s="1"/>
  <c r="AK696" i="6"/>
  <c r="AR696" i="6" s="1"/>
  <c r="AS696" i="6" s="1"/>
  <c r="AG696" i="6"/>
  <c r="AN1347" i="6"/>
  <c r="AU1347" i="6" s="1"/>
  <c r="BO174" i="6"/>
  <c r="BN175" i="6" s="1"/>
  <c r="AK174" i="6"/>
  <c r="BE664" i="6"/>
  <c r="U664" i="6"/>
  <c r="AZ1416" i="6"/>
  <c r="P1417" i="6" s="1"/>
  <c r="AG1416" i="6"/>
  <c r="AK1416" i="6"/>
  <c r="AR1416" i="6" s="1"/>
  <c r="AS1416" i="6" s="1"/>
  <c r="BA420" i="6"/>
  <c r="Q421" i="6" s="1"/>
  <c r="BG1315" i="6"/>
  <c r="W1316" i="6" s="1"/>
  <c r="AH1315" i="6"/>
  <c r="U304" i="6"/>
  <c r="BE304" i="6"/>
  <c r="BA774" i="6"/>
  <c r="Q775" i="6" s="1"/>
  <c r="AG774" i="6"/>
  <c r="AL84" i="6"/>
  <c r="AM84" i="6"/>
  <c r="BO1385" i="6"/>
  <c r="BN1386" i="6" s="1"/>
  <c r="AK1385" i="6"/>
  <c r="U772" i="6"/>
  <c r="BE772" i="6"/>
  <c r="BG988" i="6"/>
  <c r="W989" i="6" s="1"/>
  <c r="AH988" i="6"/>
  <c r="BE1419" i="6"/>
  <c r="U1419" i="6"/>
  <c r="AS915" i="6"/>
  <c r="AU915" i="6" s="1"/>
  <c r="BG595" i="6"/>
  <c r="W596" i="6" s="1"/>
  <c r="AH595" i="6"/>
  <c r="AN629" i="6"/>
  <c r="BG919" i="6"/>
  <c r="W920" i="6" s="1"/>
  <c r="AH919" i="6"/>
  <c r="AZ733" i="6"/>
  <c r="P734" i="6" s="1"/>
  <c r="AK733" i="6"/>
  <c r="AR733" i="6" s="1"/>
  <c r="AS733" i="6" s="1"/>
  <c r="AG733" i="6"/>
  <c r="AN839" i="6"/>
  <c r="AU839" i="6" s="1"/>
  <c r="AM340" i="6"/>
  <c r="AN340" i="6" s="1"/>
  <c r="BG1101" i="6"/>
  <c r="W1102" i="6" s="1"/>
  <c r="AH1101" i="6"/>
  <c r="BA276" i="6"/>
  <c r="Q277" i="6" s="1"/>
  <c r="AG276" i="6"/>
  <c r="BF901" i="6"/>
  <c r="V902" i="6" s="1"/>
  <c r="AH901" i="6"/>
  <c r="BF685" i="6"/>
  <c r="V686" i="6" s="1"/>
  <c r="AH685" i="6"/>
  <c r="BA1459" i="6"/>
  <c r="Q1460" i="6" s="1"/>
  <c r="BF109" i="6"/>
  <c r="V110" i="6" s="1"/>
  <c r="AH109" i="6"/>
  <c r="AN478" i="6"/>
  <c r="AU478" i="6" s="1"/>
  <c r="BA317" i="6"/>
  <c r="Q318" i="6" s="1"/>
  <c r="AQ664" i="6"/>
  <c r="BE1492" i="6"/>
  <c r="U1492" i="6"/>
  <c r="AQ701" i="6"/>
  <c r="AH844" i="6"/>
  <c r="BG844" i="6"/>
  <c r="W845" i="6" s="1"/>
  <c r="BD89" i="6"/>
  <c r="T90" i="6" s="1"/>
  <c r="AP89" i="6"/>
  <c r="AR1171" i="6"/>
  <c r="AQ1171" i="6"/>
  <c r="AS159" i="6"/>
  <c r="AZ661" i="6"/>
  <c r="P662" i="6" s="1"/>
  <c r="AG661" i="6"/>
  <c r="AK661" i="6"/>
  <c r="AR661" i="6" s="1"/>
  <c r="AS661" i="6" s="1"/>
  <c r="BA1242" i="6"/>
  <c r="Q1243" i="6" s="1"/>
  <c r="BE843" i="6"/>
  <c r="U843" i="6"/>
  <c r="BG160" i="6"/>
  <c r="W161" i="6" s="1"/>
  <c r="AH160" i="6"/>
  <c r="BD989" i="6"/>
  <c r="T990" i="6" s="1"/>
  <c r="AP989" i="6"/>
  <c r="AN1055" i="6"/>
  <c r="AU1055" i="6" s="1"/>
  <c r="AR232" i="6"/>
  <c r="AQ232" i="6"/>
  <c r="AH1549" i="6"/>
  <c r="BF1549" i="6"/>
  <c r="V1550" i="6" s="1"/>
  <c r="BE268" i="6"/>
  <c r="U268" i="6"/>
  <c r="AN158" i="6"/>
  <c r="AU158" i="6" s="1"/>
  <c r="BD1025" i="6"/>
  <c r="T1026" i="6" s="1"/>
  <c r="AP1025" i="6"/>
  <c r="BG123" i="6"/>
  <c r="W124" i="6" s="1"/>
  <c r="AH123" i="6"/>
  <c r="BE1276" i="6"/>
  <c r="U1276" i="6"/>
  <c r="BF1117" i="6"/>
  <c r="V1118" i="6" s="1"/>
  <c r="AH1117" i="6"/>
  <c r="AH1206" i="6"/>
  <c r="BG1206" i="6"/>
  <c r="W1207" i="6" s="1"/>
  <c r="BO73" i="6"/>
  <c r="BN74" i="6" s="1"/>
  <c r="AH808" i="6"/>
  <c r="BG808" i="6"/>
  <c r="W809" i="6" s="1"/>
  <c r="AQ878" i="6"/>
  <c r="AR878" i="6"/>
  <c r="BE413" i="6"/>
  <c r="U413" i="6"/>
  <c r="AM987" i="6"/>
  <c r="AL987" i="6"/>
  <c r="BG559" i="6"/>
  <c r="W560" i="6" s="1"/>
  <c r="AH559" i="6"/>
  <c r="AM559" i="6" s="1"/>
  <c r="AM660" i="6"/>
  <c r="AL660" i="6"/>
  <c r="AR988" i="6"/>
  <c r="AQ988" i="6"/>
  <c r="AR1024" i="6"/>
  <c r="AQ1024" i="6"/>
  <c r="AM122" i="6"/>
  <c r="AL122" i="6"/>
  <c r="U1312" i="6"/>
  <c r="BE1312" i="6"/>
  <c r="AS877" i="6"/>
  <c r="AU877" i="6" s="1"/>
  <c r="BF37" i="6"/>
  <c r="V38" i="6" s="1"/>
  <c r="AH37" i="6"/>
  <c r="BE953" i="6"/>
  <c r="U953" i="6"/>
  <c r="AR1315" i="6"/>
  <c r="AQ1315" i="6"/>
  <c r="BA886" i="6"/>
  <c r="Q887" i="6" s="1"/>
  <c r="AG886" i="6"/>
  <c r="BO1639" i="6"/>
  <c r="BN1640" i="6" s="1"/>
  <c r="AZ85" i="6"/>
  <c r="P86" i="6" s="1"/>
  <c r="AK85" i="6"/>
  <c r="AR85" i="6" s="1"/>
  <c r="AS85" i="6" s="1"/>
  <c r="AG85" i="6"/>
  <c r="AQ485" i="6"/>
  <c r="BF1297" i="6"/>
  <c r="V1298" i="6" s="1"/>
  <c r="AH1297" i="6"/>
  <c r="BO1299" i="6"/>
  <c r="BN1300" i="6" s="1"/>
  <c r="AK1299" i="6"/>
  <c r="AM516" i="6"/>
  <c r="AL516" i="6"/>
  <c r="BE160" i="6"/>
  <c r="U160" i="6"/>
  <c r="BH923" i="6"/>
  <c r="X924" i="6" s="1"/>
  <c r="AD923" i="6"/>
  <c r="BF1441" i="6"/>
  <c r="V1442" i="6" s="1"/>
  <c r="AH1441" i="6"/>
  <c r="BA1606" i="6"/>
  <c r="Q1607" i="6" s="1"/>
  <c r="BD665" i="6"/>
  <c r="T666" i="6" s="1"/>
  <c r="AP665" i="6"/>
  <c r="BD702" i="6"/>
  <c r="T703" i="6" s="1"/>
  <c r="AP702" i="6"/>
  <c r="BD1172" i="6"/>
  <c r="T1173" i="6" s="1"/>
  <c r="AP1172" i="6"/>
  <c r="AM1056" i="6"/>
  <c r="AL1056" i="6"/>
  <c r="AR376" i="6"/>
  <c r="AQ376" i="6"/>
  <c r="AR269" i="6"/>
  <c r="AQ269" i="6"/>
  <c r="AM409" i="6"/>
  <c r="AL409" i="6"/>
  <c r="BD233" i="6"/>
  <c r="T234" i="6" s="1"/>
  <c r="AP233" i="6"/>
  <c r="AS1530" i="6"/>
  <c r="BG1170" i="6"/>
  <c r="W1171" i="6" s="1"/>
  <c r="AH1170" i="6"/>
  <c r="AM918" i="6"/>
  <c r="AL918" i="6"/>
  <c r="AZ37" i="6"/>
  <c r="P38" i="6" s="1"/>
  <c r="AK37" i="6"/>
  <c r="BO383" i="6"/>
  <c r="BN384" i="6" s="1"/>
  <c r="AK383" i="6"/>
  <c r="BD879" i="6"/>
  <c r="T880" i="6" s="1"/>
  <c r="AP879" i="6"/>
  <c r="BG15" i="6"/>
  <c r="W16" i="6" s="1"/>
  <c r="AH15" i="6"/>
  <c r="BF613" i="6"/>
  <c r="V614" i="6" s="1"/>
  <c r="AH613" i="6"/>
  <c r="BO613" i="6"/>
  <c r="BN614" i="6" s="1"/>
  <c r="AK613" i="6"/>
  <c r="BO923" i="6"/>
  <c r="BN924" i="6" s="1"/>
  <c r="AK923" i="6"/>
  <c r="AM159" i="6"/>
  <c r="AL159" i="6"/>
  <c r="AN159" i="6" s="1"/>
  <c r="BO1540" i="6"/>
  <c r="BN1541" i="6" s="1"/>
  <c r="AK1540" i="6"/>
  <c r="U1348" i="6"/>
  <c r="BE1348" i="6"/>
  <c r="BH1141" i="6"/>
  <c r="X1142" i="6" s="1"/>
  <c r="AD1141" i="6"/>
  <c r="AQ738" i="6"/>
  <c r="BD1316" i="6"/>
  <c r="T1317" i="6" s="1"/>
  <c r="AP1316" i="6"/>
  <c r="AR1349" i="6"/>
  <c r="AQ1349" i="6"/>
  <c r="BO419" i="6"/>
  <c r="BN420" i="6" s="1"/>
  <c r="AS591" i="6"/>
  <c r="AU591" i="6" s="1"/>
  <c r="AS1348" i="6"/>
  <c r="AM479" i="6"/>
  <c r="AL479" i="6"/>
  <c r="BD486" i="6"/>
  <c r="T487" i="6" s="1"/>
  <c r="AP486" i="6"/>
  <c r="AZ517" i="6"/>
  <c r="P518" i="6" s="1"/>
  <c r="AG517" i="6"/>
  <c r="AK517" i="6"/>
  <c r="AR517" i="6" s="1"/>
  <c r="AS517" i="6" s="1"/>
  <c r="BO1333" i="6"/>
  <c r="BN1334" i="6" s="1"/>
  <c r="BG1243" i="6"/>
  <c r="W1244" i="6" s="1"/>
  <c r="AH1243" i="6"/>
  <c r="BD1133" i="6"/>
  <c r="T1134" i="6" s="1"/>
  <c r="AP1133" i="6"/>
  <c r="BE987" i="6"/>
  <c r="U987" i="6"/>
  <c r="BF649" i="6"/>
  <c r="V650" i="6" s="1"/>
  <c r="AH649" i="6"/>
  <c r="BE196" i="6"/>
  <c r="U196" i="6"/>
  <c r="BA702" i="6"/>
  <c r="Q703" i="6" s="1"/>
  <c r="BF73" i="6"/>
  <c r="V74" i="6" s="1"/>
  <c r="AH73" i="6"/>
  <c r="AR1384" i="6"/>
  <c r="AQ1384" i="6"/>
  <c r="BE1528" i="6"/>
  <c r="U1528" i="6"/>
  <c r="BE1240" i="6"/>
  <c r="U1240" i="6"/>
  <c r="AQ16" i="6"/>
  <c r="AR16" i="6"/>
  <c r="AR1276" i="6"/>
  <c r="AQ1276" i="6"/>
  <c r="AS1383" i="6"/>
  <c r="AQ1204" i="6"/>
  <c r="AR1204" i="6"/>
  <c r="AK645" i="6"/>
  <c r="BO645" i="6"/>
  <c r="BN646" i="6" s="1"/>
  <c r="BE1385" i="6"/>
  <c r="U1385" i="6"/>
  <c r="BD377" i="6"/>
  <c r="T378" i="6" s="1"/>
  <c r="AP377" i="6"/>
  <c r="BD270" i="6"/>
  <c r="T271" i="6" s="1"/>
  <c r="AP270" i="6"/>
  <c r="BA810" i="6"/>
  <c r="Q811" i="6" s="1"/>
  <c r="AG810" i="6"/>
  <c r="BA919" i="6"/>
  <c r="Q920" i="6" s="1"/>
  <c r="AG919" i="6"/>
  <c r="BG701" i="6"/>
  <c r="W702" i="6" s="1"/>
  <c r="AH701" i="6"/>
  <c r="BO751" i="6"/>
  <c r="BN752" i="6" s="1"/>
  <c r="BE736" i="6"/>
  <c r="U736" i="6"/>
  <c r="BO1139" i="6"/>
  <c r="BN1140" i="6" s="1"/>
  <c r="AM14" i="6"/>
  <c r="AL14" i="6"/>
  <c r="BG773" i="6"/>
  <c r="W774" i="6" s="1"/>
  <c r="AH773" i="6"/>
  <c r="AH577" i="6"/>
  <c r="BF577" i="6"/>
  <c r="V578" i="6" s="1"/>
  <c r="U449" i="6"/>
  <c r="BE449" i="6"/>
  <c r="AZ480" i="6"/>
  <c r="P481" i="6" s="1"/>
  <c r="AK480" i="6"/>
  <c r="AR480" i="6" s="1"/>
  <c r="AS480" i="6" s="1"/>
  <c r="AG480" i="6"/>
  <c r="BA1494" i="6"/>
  <c r="Q1495" i="6" s="1"/>
  <c r="BA130" i="6"/>
  <c r="Q131" i="6" s="1"/>
  <c r="AG130" i="6"/>
  <c r="BO198" i="6"/>
  <c r="BN199" i="6" s="1"/>
  <c r="AQ1132" i="6"/>
  <c r="BF829" i="6"/>
  <c r="V830" i="6" s="1"/>
  <c r="AH829" i="6"/>
  <c r="BE520" i="6"/>
  <c r="U520" i="6"/>
  <c r="AM1128" i="6"/>
  <c r="AL1128" i="6"/>
  <c r="BF469" i="6"/>
  <c r="V470" i="6" s="1"/>
  <c r="AH469" i="6"/>
  <c r="BF793" i="6"/>
  <c r="V794" i="6" s="1"/>
  <c r="AH793" i="6"/>
  <c r="BD1385" i="6"/>
  <c r="T1386" i="6" s="1"/>
  <c r="AP1385" i="6"/>
  <c r="AL1348" i="6"/>
  <c r="AM1348" i="6"/>
  <c r="BD17" i="6"/>
  <c r="T18" i="6" s="1"/>
  <c r="AP17" i="6"/>
  <c r="AZ1057" i="6"/>
  <c r="P1058" i="6" s="1"/>
  <c r="AK1057" i="6"/>
  <c r="AR1057" i="6" s="1"/>
  <c r="AS1057" i="6" s="1"/>
  <c r="AG1057" i="6"/>
  <c r="BD1277" i="6"/>
  <c r="T1278" i="6" s="1"/>
  <c r="AP1277" i="6"/>
  <c r="BD1205" i="6"/>
  <c r="T1206" i="6" s="1"/>
  <c r="AP1205" i="6"/>
  <c r="BA668" i="6"/>
  <c r="Q669" i="6" s="1"/>
  <c r="AM447" i="6"/>
  <c r="AL447" i="6"/>
  <c r="AN447" i="6" s="1"/>
  <c r="AZ410" i="6"/>
  <c r="P411" i="6" s="1"/>
  <c r="AK410" i="6"/>
  <c r="AR410" i="6" s="1"/>
  <c r="AS410" i="6" s="1"/>
  <c r="AG410" i="6"/>
  <c r="BD197" i="6"/>
  <c r="T198" i="6" s="1"/>
  <c r="AP197" i="6"/>
  <c r="BE377" i="6"/>
  <c r="U377" i="6"/>
  <c r="BE232" i="6"/>
  <c r="U232" i="6"/>
  <c r="BG631" i="6"/>
  <c r="W632" i="6" s="1"/>
  <c r="AH631" i="6"/>
  <c r="BO890" i="6"/>
  <c r="BN891" i="6" s="1"/>
  <c r="AK890" i="6"/>
  <c r="BA1390" i="6"/>
  <c r="Q1391" i="6" s="1"/>
  <c r="AG1390" i="6"/>
  <c r="AS1023" i="6"/>
  <c r="AU1023" i="6" s="1"/>
  <c r="BA1319" i="6"/>
  <c r="Q1320" i="6" s="1"/>
  <c r="AG1319" i="6"/>
  <c r="BA560" i="6"/>
  <c r="Q561" i="6" s="1"/>
  <c r="AG560" i="6"/>
  <c r="BF1045" i="6"/>
  <c r="V1046" i="6" s="1"/>
  <c r="AH1045" i="6"/>
  <c r="BE810" i="6"/>
  <c r="U810" i="6"/>
  <c r="BG51" i="6"/>
  <c r="W52" i="6" s="1"/>
  <c r="AH51" i="6"/>
  <c r="BA1423" i="6"/>
  <c r="Q1424" i="6" s="1"/>
  <c r="BO578" i="6"/>
  <c r="BN579" i="6" s="1"/>
  <c r="AN806" i="6"/>
  <c r="AU806" i="6" s="1"/>
  <c r="BE1024" i="6"/>
  <c r="U1024" i="6"/>
  <c r="AN83" i="6"/>
  <c r="AU83" i="6" s="1"/>
  <c r="BE594" i="6"/>
  <c r="U594" i="6"/>
  <c r="AN1276" i="6"/>
  <c r="BO1504" i="6"/>
  <c r="BN1505" i="6" s="1"/>
  <c r="AN375" i="6"/>
  <c r="AM1097" i="6"/>
  <c r="AL1097" i="6"/>
  <c r="BF1405" i="6"/>
  <c r="V1406" i="6" s="1"/>
  <c r="AH1405" i="6"/>
  <c r="BF1513" i="6"/>
  <c r="V1514" i="6" s="1"/>
  <c r="AH1513" i="6"/>
  <c r="AN1595" i="6"/>
  <c r="AU1595" i="6" s="1"/>
  <c r="BO725" i="6"/>
  <c r="BD1601" i="6"/>
  <c r="T1602" i="6" s="1"/>
  <c r="AP1601" i="6"/>
  <c r="BG1059" i="6"/>
  <c r="W1060" i="6" s="1"/>
  <c r="AH1059" i="6"/>
  <c r="BG195" i="6"/>
  <c r="W196" i="6" s="1"/>
  <c r="AH195" i="6"/>
  <c r="AR160" i="6"/>
  <c r="AQ160" i="6"/>
  <c r="AS447" i="6"/>
  <c r="BA992" i="6"/>
  <c r="Q993" i="6" s="1"/>
  <c r="AG992" i="6"/>
  <c r="AL48" i="6"/>
  <c r="AM48" i="6"/>
  <c r="BO779" i="6"/>
  <c r="BN780" i="6" s="1"/>
  <c r="AK779" i="6"/>
  <c r="BO667" i="6"/>
  <c r="BN668" i="6" s="1"/>
  <c r="AG1349" i="6"/>
  <c r="BA1349" i="6"/>
  <c r="Q1350" i="6" s="1"/>
  <c r="AM1487" i="6"/>
  <c r="AL1487" i="6"/>
  <c r="AQ556" i="6"/>
  <c r="AR556" i="6"/>
  <c r="AK1357" i="6"/>
  <c r="BO1357" i="6"/>
  <c r="BN1358" i="6" s="1"/>
  <c r="AN1486" i="6"/>
  <c r="AU1486" i="6" s="1"/>
  <c r="BF937" i="6"/>
  <c r="V938" i="6" s="1"/>
  <c r="AH937" i="6"/>
  <c r="AN1235" i="6"/>
  <c r="AU1235" i="6" s="1"/>
  <c r="BG448" i="6"/>
  <c r="W449" i="6" s="1"/>
  <c r="AH448" i="6"/>
  <c r="BG413" i="6"/>
  <c r="W414" i="6" s="1"/>
  <c r="AH413" i="6"/>
  <c r="AQ196" i="6"/>
  <c r="BF505" i="6"/>
  <c r="V506" i="6" s="1"/>
  <c r="AH505" i="6"/>
  <c r="AN446" i="6"/>
  <c r="AU446" i="6" s="1"/>
  <c r="BE916" i="6"/>
  <c r="U916" i="6"/>
  <c r="BG1137" i="6"/>
  <c r="W1138" i="6" s="1"/>
  <c r="AH1137" i="6"/>
  <c r="BE52" i="6"/>
  <c r="U52" i="6"/>
  <c r="AN694" i="6"/>
  <c r="AU694" i="6" s="1"/>
  <c r="AQ1565" i="6"/>
  <c r="AH88" i="6"/>
  <c r="BG88" i="6"/>
  <c r="W89" i="6" s="1"/>
  <c r="BH1365" i="6"/>
  <c r="X1366" i="6" s="1"/>
  <c r="AD1365" i="6"/>
  <c r="BA204" i="6"/>
  <c r="Q205" i="6" s="1"/>
  <c r="BF145" i="6"/>
  <c r="V146" i="6" s="1"/>
  <c r="AH145" i="6"/>
  <c r="BF1369" i="6"/>
  <c r="V1370" i="6" s="1"/>
  <c r="AH1369" i="6"/>
  <c r="BA1098" i="6"/>
  <c r="Q1099" i="6" s="1"/>
  <c r="AG1098" i="6"/>
  <c r="AQ1058" i="6"/>
  <c r="AQ1600" i="6"/>
  <c r="AM594" i="6"/>
  <c r="AL594" i="6"/>
  <c r="BF397" i="6"/>
  <c r="V398" i="6" s="1"/>
  <c r="AH397" i="6"/>
  <c r="BO1104" i="6"/>
  <c r="BN1105" i="6" s="1"/>
  <c r="AK1104" i="6"/>
  <c r="AG22" i="6"/>
  <c r="BA22" i="6"/>
  <c r="Q23" i="6" s="1"/>
  <c r="BA1531" i="6"/>
  <c r="Q1532" i="6" s="1"/>
  <c r="AG1531" i="6"/>
  <c r="AL1451" i="6"/>
  <c r="AM1451" i="6"/>
  <c r="U16" i="6"/>
  <c r="BE16" i="6"/>
  <c r="AZ1129" i="6"/>
  <c r="P1130" i="6" s="1"/>
  <c r="AK1129" i="6"/>
  <c r="AR1129" i="6" s="1"/>
  <c r="AS1129" i="6" s="1"/>
  <c r="AG1129" i="6"/>
  <c r="BD161" i="6"/>
  <c r="T162" i="6" s="1"/>
  <c r="AP161" i="6"/>
  <c r="AL229" i="6"/>
  <c r="AM229" i="6"/>
  <c r="BD557" i="6"/>
  <c r="T558" i="6" s="1"/>
  <c r="AP557" i="6"/>
  <c r="BO1219" i="6"/>
  <c r="BN1220" i="6" s="1"/>
  <c r="AK1219" i="6"/>
  <c r="BA1028" i="6"/>
  <c r="Q1029" i="6" s="1"/>
  <c r="AG1028" i="6"/>
  <c r="AQ956" i="6"/>
  <c r="AL1205" i="6"/>
  <c r="AM1205" i="6"/>
  <c r="BG1026" i="6"/>
  <c r="W1027" i="6" s="1"/>
  <c r="AH1026" i="6"/>
  <c r="AQ1637" i="6"/>
  <c r="BG519" i="6"/>
  <c r="W520" i="6" s="1"/>
  <c r="AH519" i="6"/>
  <c r="AQ307" i="6"/>
  <c r="BF721" i="6"/>
  <c r="V722" i="6" s="1"/>
  <c r="AH721" i="6"/>
  <c r="AQ340" i="6"/>
  <c r="AR340" i="6"/>
  <c r="BD1566" i="6"/>
  <c r="T1567" i="6" s="1"/>
  <c r="AP1566" i="6"/>
  <c r="AH865" i="6"/>
  <c r="BF865" i="6"/>
  <c r="V866" i="6" s="1"/>
  <c r="AQ1456" i="6"/>
  <c r="BD809" i="6"/>
  <c r="T810" i="6" s="1"/>
  <c r="AP809" i="6"/>
  <c r="BO1042" i="6"/>
  <c r="BN1043" i="6" s="1"/>
  <c r="AK1042" i="6"/>
  <c r="BO1572" i="6"/>
  <c r="BN1573" i="6" s="1"/>
  <c r="BA532" i="6"/>
  <c r="Q533" i="6" s="1"/>
  <c r="BG303" i="6"/>
  <c r="W304" i="6" s="1"/>
  <c r="AH303" i="6"/>
  <c r="AL840" i="6"/>
  <c r="AM840" i="6"/>
  <c r="AH1564" i="6"/>
  <c r="BG1564" i="6"/>
  <c r="W1565" i="6" s="1"/>
  <c r="AM1527" i="6"/>
  <c r="AL1527" i="6"/>
  <c r="AR916" i="6"/>
  <c r="AQ916" i="6"/>
  <c r="BA1134" i="6"/>
  <c r="Q1135" i="6" s="1"/>
  <c r="BD593" i="6"/>
  <c r="T594" i="6" s="1"/>
  <c r="AP593" i="6"/>
  <c r="AQ1096" i="6"/>
  <c r="AR1096" i="6"/>
  <c r="AQ1420" i="6"/>
  <c r="BD1493" i="6"/>
  <c r="T1494" i="6" s="1"/>
  <c r="AP1493" i="6"/>
  <c r="AN950" i="6"/>
  <c r="AU950" i="6" s="1"/>
  <c r="BD1059" i="6"/>
  <c r="T1060" i="6" s="1"/>
  <c r="AP1059" i="6"/>
  <c r="AL965" i="6"/>
  <c r="AZ841" i="6"/>
  <c r="P842" i="6" s="1"/>
  <c r="AG841" i="6"/>
  <c r="AK841" i="6"/>
  <c r="AR841" i="6" s="1"/>
  <c r="AS841" i="6" s="1"/>
  <c r="BO529" i="6"/>
  <c r="BN530" i="6" s="1"/>
  <c r="AQ53" i="6"/>
  <c r="BA595" i="6"/>
  <c r="Q596" i="6" s="1"/>
  <c r="AG595" i="6"/>
  <c r="AN1631" i="6"/>
  <c r="AU1631" i="6" s="1"/>
  <c r="BG1498" i="6"/>
  <c r="W1499" i="6" s="1"/>
  <c r="AH1498" i="6"/>
  <c r="BG1609" i="6"/>
  <c r="W1610" i="6" s="1"/>
  <c r="AH1609" i="6"/>
  <c r="AZ1330" i="6"/>
  <c r="P1331" i="6" s="1"/>
  <c r="AK1330" i="6"/>
  <c r="AZ1452" i="6"/>
  <c r="P1453" i="6" s="1"/>
  <c r="AK1452" i="6"/>
  <c r="AR1452" i="6" s="1"/>
  <c r="AS1452" i="6" s="1"/>
  <c r="AG1452" i="6"/>
  <c r="AN192" i="6"/>
  <c r="AU192" i="6" s="1"/>
  <c r="AN1168" i="6"/>
  <c r="AU1168" i="6" s="1"/>
  <c r="AZ49" i="6"/>
  <c r="P50" i="6" s="1"/>
  <c r="AK49" i="6"/>
  <c r="AR49" i="6" s="1"/>
  <c r="AS49" i="6" s="1"/>
  <c r="AG49" i="6"/>
  <c r="BG230" i="6"/>
  <c r="W231" i="6" s="1"/>
  <c r="AH230" i="6"/>
  <c r="BF1477" i="6"/>
  <c r="V1478" i="6" s="1"/>
  <c r="AH1477" i="6"/>
  <c r="BA240" i="6"/>
  <c r="Q241" i="6" s="1"/>
  <c r="AG240" i="6"/>
  <c r="AZ1488" i="6"/>
  <c r="P1489" i="6" s="1"/>
  <c r="AK1488" i="6"/>
  <c r="AR1488" i="6" s="1"/>
  <c r="AS1488" i="6" s="1"/>
  <c r="AG1488" i="6"/>
  <c r="BD957" i="6"/>
  <c r="T958" i="6" s="1"/>
  <c r="AP957" i="6"/>
  <c r="BA1206" i="6"/>
  <c r="Q1207" i="6" s="1"/>
  <c r="AG1206" i="6"/>
  <c r="AL1025" i="6"/>
  <c r="AM1025" i="6"/>
  <c r="BG1422" i="6"/>
  <c r="W1423" i="6" s="1"/>
  <c r="AH1422" i="6"/>
  <c r="AS1203" i="6"/>
  <c r="AU1203" i="6" s="1"/>
  <c r="BE1563" i="6"/>
  <c r="U1563" i="6"/>
  <c r="BD1638" i="6"/>
  <c r="T1639" i="6" s="1"/>
  <c r="AP1638" i="6"/>
  <c r="BO1606" i="6"/>
  <c r="BN1607" i="6" s="1"/>
  <c r="BA384" i="6"/>
  <c r="Q385" i="6" s="1"/>
  <c r="AG384" i="6"/>
  <c r="BO822" i="6"/>
  <c r="BN823" i="6" s="1"/>
  <c r="AK822" i="6"/>
  <c r="AZ1001" i="6"/>
  <c r="P1002" i="6" s="1"/>
  <c r="AK1001" i="6"/>
  <c r="BD773" i="6"/>
  <c r="T774" i="6" s="1"/>
  <c r="AP773" i="6"/>
  <c r="BD308" i="6"/>
  <c r="T309" i="6" s="1"/>
  <c r="AP308" i="6"/>
  <c r="BA90" i="6"/>
  <c r="Q91" i="6" s="1"/>
  <c r="AZ573" i="6"/>
  <c r="P574" i="6" s="1"/>
  <c r="AK573" i="6"/>
  <c r="BD341" i="6"/>
  <c r="T342" i="6" s="1"/>
  <c r="AP341" i="6"/>
  <c r="AN1381" i="6"/>
  <c r="AU1381" i="6" s="1"/>
  <c r="BD1457" i="6"/>
  <c r="T1458" i="6" s="1"/>
  <c r="AP1457" i="6"/>
  <c r="U1203" i="6"/>
  <c r="BE1203" i="6"/>
  <c r="AH1657" i="6"/>
  <c r="BF1657" i="6"/>
  <c r="V1658" i="6" s="1"/>
  <c r="BF289" i="6"/>
  <c r="V290" i="6" s="1"/>
  <c r="AH289" i="6"/>
  <c r="BO1249" i="6"/>
  <c r="BN1250" i="6" s="1"/>
  <c r="BD1350" i="6"/>
  <c r="T1351" i="6" s="1"/>
  <c r="AP1350" i="6"/>
  <c r="AR592" i="6"/>
  <c r="AQ592" i="6"/>
  <c r="BO347" i="6"/>
  <c r="BN348" i="6" s="1"/>
  <c r="AK347" i="6"/>
  <c r="AQ1492" i="6"/>
  <c r="BG1528" i="6"/>
  <c r="W1529" i="6" s="1"/>
  <c r="AH1528" i="6"/>
  <c r="BD917" i="6"/>
  <c r="T918" i="6" s="1"/>
  <c r="AP917" i="6"/>
  <c r="AL376" i="6"/>
  <c r="AM376" i="6"/>
  <c r="AM630" i="6"/>
  <c r="AL630" i="6"/>
  <c r="AP1097" i="6"/>
  <c r="BD1097" i="6"/>
  <c r="T1098" i="6" s="1"/>
  <c r="BD1421" i="6"/>
  <c r="T1422" i="6" s="1"/>
  <c r="AP1421" i="6"/>
  <c r="AS1314" i="6"/>
  <c r="BG1463" i="6"/>
  <c r="W1464" i="6" s="1"/>
  <c r="AH1463" i="6"/>
  <c r="BO1181" i="6"/>
  <c r="BN1182" i="6" s="1"/>
  <c r="AK1181" i="6"/>
  <c r="U1096" i="6"/>
  <c r="BE1096" i="6"/>
  <c r="BA966" i="6"/>
  <c r="Q967" i="6" s="1"/>
  <c r="AG966" i="6"/>
  <c r="BD54" i="6"/>
  <c r="T55" i="6" s="1"/>
  <c r="AP54" i="6"/>
  <c r="AQ448" i="6"/>
  <c r="AR448" i="6"/>
  <c r="BE1455" i="6"/>
  <c r="U1455" i="6"/>
  <c r="AQ628" i="6"/>
  <c r="AR628" i="6"/>
  <c r="AS955" i="6"/>
  <c r="BF1153" i="6"/>
  <c r="V1154" i="6" s="1"/>
  <c r="AH1153" i="6"/>
  <c r="BA1639" i="6"/>
  <c r="Q1640" i="6" s="1"/>
  <c r="BF433" i="6"/>
  <c r="V434" i="6" s="1"/>
  <c r="AH433" i="6"/>
  <c r="AL300" i="6"/>
  <c r="AM300" i="6"/>
  <c r="AS555" i="6"/>
  <c r="AU555" i="6" s="1"/>
  <c r="AQ844" i="6"/>
  <c r="BA455" i="6"/>
  <c r="Q456" i="6" s="1"/>
  <c r="AG455" i="6"/>
  <c r="BE88" i="6"/>
  <c r="U88" i="6"/>
  <c r="BE340" i="6"/>
  <c r="U340" i="6"/>
  <c r="BE628" i="6"/>
  <c r="U628" i="6"/>
  <c r="AQ772" i="6"/>
  <c r="AR772" i="6"/>
  <c r="AM1382" i="6"/>
  <c r="AL1382" i="6"/>
  <c r="BO1426" i="6"/>
  <c r="BN1427" i="6" s="1"/>
  <c r="BA1062" i="6"/>
  <c r="Q1063" i="6" s="1"/>
  <c r="AQ522" i="6"/>
  <c r="AL880" i="6"/>
  <c r="AM880" i="6"/>
  <c r="AM807" i="6"/>
  <c r="AL807" i="6"/>
  <c r="AN879" i="6"/>
  <c r="AN772" i="6"/>
  <c r="AL1277" i="6"/>
  <c r="AM1277" i="6"/>
  <c r="BG377" i="6"/>
  <c r="W378" i="6" s="1"/>
  <c r="AH377" i="6"/>
  <c r="BA631" i="6"/>
  <c r="Q632" i="6" s="1"/>
  <c r="AG631" i="6"/>
  <c r="BF253" i="6"/>
  <c r="V254" i="6" s="1"/>
  <c r="AH253" i="6"/>
  <c r="BG664" i="6"/>
  <c r="W665" i="6" s="1"/>
  <c r="AH664" i="6"/>
  <c r="BG735" i="6"/>
  <c r="W736" i="6" s="1"/>
  <c r="AH735" i="6"/>
  <c r="BE555" i="6"/>
  <c r="U555" i="6"/>
  <c r="AH1621" i="6"/>
  <c r="BF1621" i="6"/>
  <c r="V1622" i="6" s="1"/>
  <c r="AL1632" i="6"/>
  <c r="AM1632" i="6"/>
  <c r="AS807" i="6"/>
  <c r="BA1170" i="6"/>
  <c r="Q1171" i="6" s="1"/>
  <c r="AG1170" i="6"/>
  <c r="BD449" i="6"/>
  <c r="T450" i="6" s="1"/>
  <c r="AP449" i="6"/>
  <c r="BA55" i="6"/>
  <c r="Q56" i="6" s="1"/>
  <c r="BO1081" i="6"/>
  <c r="BN1082" i="6" s="1"/>
  <c r="AM1236" i="6"/>
  <c r="AL1236" i="6"/>
  <c r="BF973" i="6"/>
  <c r="V974" i="6" s="1"/>
  <c r="AH973" i="6"/>
  <c r="BD629" i="6"/>
  <c r="T630" i="6" s="1"/>
  <c r="AP629" i="6"/>
  <c r="BG484" i="6"/>
  <c r="W485" i="6" s="1"/>
  <c r="AH484" i="6"/>
  <c r="AH217" i="6"/>
  <c r="BF217" i="6"/>
  <c r="V218" i="6" s="1"/>
  <c r="BA1573" i="6"/>
  <c r="Q1574" i="6" s="1"/>
  <c r="AZ301" i="6"/>
  <c r="P302" i="6" s="1"/>
  <c r="AG301" i="6"/>
  <c r="AK301" i="6"/>
  <c r="AR301" i="6" s="1"/>
  <c r="AS301" i="6" s="1"/>
  <c r="BO1462" i="6"/>
  <c r="BN1463" i="6" s="1"/>
  <c r="BD845" i="6"/>
  <c r="T846" i="6" s="1"/>
  <c r="AP845" i="6"/>
  <c r="BE701" i="6"/>
  <c r="U701" i="6"/>
  <c r="AL695" i="6"/>
  <c r="AM695" i="6"/>
  <c r="AQ412" i="6"/>
  <c r="BE1060" i="6"/>
  <c r="U1060" i="6"/>
  <c r="AH1585" i="6"/>
  <c r="BF1585" i="6"/>
  <c r="V1586" i="6" s="1"/>
  <c r="AH1383" i="6"/>
  <c r="BG1383" i="6"/>
  <c r="W1384" i="6" s="1"/>
  <c r="AM1415" i="6"/>
  <c r="AL1415" i="6"/>
  <c r="AL1560" i="6"/>
  <c r="AM1560" i="6"/>
  <c r="BF181" i="6"/>
  <c r="V182" i="6" s="1"/>
  <c r="AH181" i="6"/>
  <c r="BD523" i="6"/>
  <c r="T524" i="6" s="1"/>
  <c r="AP523" i="6"/>
  <c r="BE124" i="6"/>
  <c r="U124" i="6"/>
  <c r="BG881" i="6"/>
  <c r="W882" i="6" s="1"/>
  <c r="AH881" i="6"/>
  <c r="BG267" i="6"/>
  <c r="W268" i="6" s="1"/>
  <c r="AH267" i="6"/>
  <c r="BD739" i="6"/>
  <c r="T740" i="6" s="1"/>
  <c r="AP739" i="6"/>
  <c r="BG1278" i="6"/>
  <c r="W1279" i="6" s="1"/>
  <c r="AH1278" i="6"/>
  <c r="BG341" i="6"/>
  <c r="W342" i="6" s="1"/>
  <c r="AH341" i="6"/>
  <c r="AL341" i="6" s="1"/>
  <c r="AM951" i="6"/>
  <c r="AL951" i="6"/>
  <c r="AN299" i="6"/>
  <c r="AU299" i="6" s="1"/>
  <c r="BO468" i="6"/>
  <c r="BN469" i="6" s="1"/>
  <c r="AN265" i="6"/>
  <c r="AU265" i="6" s="1"/>
  <c r="BA342" i="6"/>
  <c r="Q343" i="6" s="1"/>
  <c r="AG342" i="6"/>
  <c r="AQ124" i="6"/>
  <c r="AR124" i="6"/>
  <c r="BO326" i="6"/>
  <c r="BN327" i="6" s="1"/>
  <c r="BF1261" i="6"/>
  <c r="V1262" i="6" s="1"/>
  <c r="AH1261" i="6"/>
  <c r="AM193" i="6"/>
  <c r="AL193" i="6"/>
  <c r="BG1638" i="6"/>
  <c r="W1639" i="6" s="1"/>
  <c r="AH1638" i="6"/>
  <c r="AS123" i="6"/>
  <c r="AZ1633" i="6"/>
  <c r="P1634" i="6" s="1"/>
  <c r="AG1633" i="6"/>
  <c r="AK1633" i="6"/>
  <c r="AR1633" i="6" s="1"/>
  <c r="AS1633" i="6" s="1"/>
  <c r="BE1167" i="6"/>
  <c r="U1167" i="6"/>
  <c r="AM1596" i="6"/>
  <c r="AL1596" i="6"/>
  <c r="AM1169" i="6"/>
  <c r="AL1169" i="6"/>
  <c r="BA739" i="6"/>
  <c r="Q740" i="6" s="1"/>
  <c r="BF361" i="6"/>
  <c r="V362" i="6" s="1"/>
  <c r="AH361" i="6"/>
  <c r="AU1095" i="6"/>
  <c r="BF757" i="6"/>
  <c r="V758" i="6" s="1"/>
  <c r="AH757" i="6"/>
  <c r="BO271" i="6"/>
  <c r="BN272" i="6" s="1"/>
  <c r="AK271" i="6"/>
  <c r="BF1225" i="6"/>
  <c r="V1226" i="6" s="1"/>
  <c r="AH1225" i="6"/>
  <c r="BF1009" i="6"/>
  <c r="V1010" i="6" s="1"/>
  <c r="AH1009" i="6"/>
  <c r="BE879" i="6"/>
  <c r="U879" i="6"/>
  <c r="AN917" i="6"/>
  <c r="BG1351" i="6"/>
  <c r="W1352" i="6" s="1"/>
  <c r="AH1351" i="6"/>
  <c r="BA851" i="6"/>
  <c r="Q852" i="6" s="1"/>
  <c r="BF325" i="6"/>
  <c r="V326" i="6" s="1"/>
  <c r="AH325" i="6"/>
  <c r="AQ1531" i="6"/>
  <c r="AS1531" i="6" s="1"/>
  <c r="AR1531" i="6"/>
  <c r="BD413" i="6"/>
  <c r="T414" i="6" s="1"/>
  <c r="AP413" i="6"/>
  <c r="AZ1561" i="6"/>
  <c r="P1562" i="6" s="1"/>
  <c r="AG1561" i="6"/>
  <c r="AK1561" i="6"/>
  <c r="AR1561" i="6" s="1"/>
  <c r="AS1561" i="6" s="1"/>
  <c r="AN1559" i="6"/>
  <c r="AU1559" i="6" s="1"/>
  <c r="BE1599" i="6"/>
  <c r="U1599" i="6"/>
  <c r="AM1314" i="6"/>
  <c r="AL1314" i="6"/>
  <c r="AL773" i="6"/>
  <c r="AM773" i="6"/>
  <c r="AN1128" i="6" l="1"/>
  <c r="AU1128" i="6" s="1"/>
  <c r="AS1349" i="6"/>
  <c r="AN1415" i="6"/>
  <c r="AU1415" i="6" s="1"/>
  <c r="AS1315" i="6"/>
  <c r="AU375" i="6"/>
  <c r="AN1205" i="6"/>
  <c r="AN773" i="6"/>
  <c r="AN880" i="6"/>
  <c r="AN1025" i="6"/>
  <c r="AN594" i="6"/>
  <c r="AN1451" i="6"/>
  <c r="AU1451" i="6" s="1"/>
  <c r="AN479" i="6"/>
  <c r="AU479" i="6" s="1"/>
  <c r="AN516" i="6"/>
  <c r="AU516" i="6" s="1"/>
  <c r="AN1097" i="6"/>
  <c r="AS772" i="6"/>
  <c r="AU772" i="6" s="1"/>
  <c r="AS448" i="6"/>
  <c r="AS1384" i="6"/>
  <c r="AN409" i="6"/>
  <c r="AU409" i="6" s="1"/>
  <c r="AN48" i="6"/>
  <c r="AU48" i="6" s="1"/>
  <c r="AN630" i="6"/>
  <c r="AN1632" i="6"/>
  <c r="AU1632" i="6" s="1"/>
  <c r="AN987" i="6"/>
  <c r="AU987" i="6" s="1"/>
  <c r="AN1169" i="6"/>
  <c r="AU1169" i="6" s="1"/>
  <c r="AN193" i="6"/>
  <c r="AU193" i="6" s="1"/>
  <c r="AS160" i="6"/>
  <c r="AS1171" i="6"/>
  <c r="AS878" i="6"/>
  <c r="AU878" i="6" s="1"/>
  <c r="AN732" i="6"/>
  <c r="AU732" i="6" s="1"/>
  <c r="AU447" i="6"/>
  <c r="AS124" i="6"/>
  <c r="AN807" i="6"/>
  <c r="AU807" i="6" s="1"/>
  <c r="AU159" i="6"/>
  <c r="AN660" i="6"/>
  <c r="AU660" i="6" s="1"/>
  <c r="AS592" i="6"/>
  <c r="AU592" i="6" s="1"/>
  <c r="AZ1634" i="6"/>
  <c r="P1635" i="6" s="1"/>
  <c r="AG1634" i="6"/>
  <c r="AK1634" i="6"/>
  <c r="AR1634" i="6" s="1"/>
  <c r="AS1634" i="6" s="1"/>
  <c r="BF1586" i="6"/>
  <c r="V1587" i="6" s="1"/>
  <c r="AH1586" i="6"/>
  <c r="BE702" i="6"/>
  <c r="U702" i="6"/>
  <c r="BA456" i="6"/>
  <c r="Q457" i="6" s="1"/>
  <c r="AG456" i="6"/>
  <c r="BA1640" i="6"/>
  <c r="Q1641" i="6" s="1"/>
  <c r="AQ1421" i="6"/>
  <c r="AZ574" i="6"/>
  <c r="P575" i="6" s="1"/>
  <c r="AK574" i="6"/>
  <c r="BA385" i="6"/>
  <c r="Q386" i="6" s="1"/>
  <c r="AG385" i="6"/>
  <c r="AL1206" i="6"/>
  <c r="AM1206" i="6"/>
  <c r="BF1478" i="6"/>
  <c r="V1479" i="6" s="1"/>
  <c r="AH1478" i="6"/>
  <c r="AQ1493" i="6"/>
  <c r="AR161" i="6"/>
  <c r="AQ161" i="6"/>
  <c r="BA1099" i="6"/>
  <c r="Q1100" i="6" s="1"/>
  <c r="AG1099" i="6"/>
  <c r="BA205" i="6"/>
  <c r="Q206" i="6" s="1"/>
  <c r="BE53" i="6"/>
  <c r="U53" i="6"/>
  <c r="BG414" i="6"/>
  <c r="W415" i="6" s="1"/>
  <c r="AH414" i="6"/>
  <c r="BD1602" i="6"/>
  <c r="T1603" i="6" s="1"/>
  <c r="AP1602" i="6"/>
  <c r="BA1424" i="6"/>
  <c r="Q1425" i="6" s="1"/>
  <c r="AM410" i="6"/>
  <c r="AL410" i="6"/>
  <c r="BA131" i="6"/>
  <c r="Q132" i="6" s="1"/>
  <c r="AG131" i="6"/>
  <c r="AN14" i="6"/>
  <c r="AU14" i="6" s="1"/>
  <c r="BO752" i="6"/>
  <c r="BN753" i="6" s="1"/>
  <c r="BE1386" i="6"/>
  <c r="U1386" i="6"/>
  <c r="BE1241" i="6"/>
  <c r="U1241" i="6"/>
  <c r="BE1349" i="6"/>
  <c r="U1349" i="6"/>
  <c r="AL15" i="6"/>
  <c r="AM15" i="6"/>
  <c r="AS376" i="6"/>
  <c r="BD666" i="6"/>
  <c r="T667" i="6" s="1"/>
  <c r="AP666" i="6"/>
  <c r="BO1300" i="6"/>
  <c r="BN1301" i="6" s="1"/>
  <c r="AK1300" i="6"/>
  <c r="BA887" i="6"/>
  <c r="Q888" i="6" s="1"/>
  <c r="AG887" i="6"/>
  <c r="AS1024" i="6"/>
  <c r="AU1024" i="6" s="1"/>
  <c r="AM123" i="6"/>
  <c r="AL123" i="6"/>
  <c r="AZ662" i="6"/>
  <c r="P663" i="6" s="1"/>
  <c r="AG662" i="6"/>
  <c r="AK662" i="6"/>
  <c r="AR662" i="6" s="1"/>
  <c r="AS662" i="6" s="1"/>
  <c r="BE1493" i="6"/>
  <c r="U1493" i="6"/>
  <c r="AM733" i="6"/>
  <c r="AL733" i="6"/>
  <c r="AL1416" i="6"/>
  <c r="AM1416" i="6"/>
  <c r="AM696" i="6"/>
  <c r="AL696" i="6"/>
  <c r="BO957" i="6"/>
  <c r="BN958" i="6" s="1"/>
  <c r="AK957" i="6"/>
  <c r="AR957" i="6" s="1"/>
  <c r="BA1281" i="6"/>
  <c r="Q1282" i="6" s="1"/>
  <c r="AG1281" i="6"/>
  <c r="BH1008" i="6"/>
  <c r="X1009" i="6" s="1"/>
  <c r="AD1008" i="6"/>
  <c r="BA56" i="6"/>
  <c r="Q57" i="6" s="1"/>
  <c r="AQ1638" i="6"/>
  <c r="BF362" i="6"/>
  <c r="V363" i="6" s="1"/>
  <c r="AH362" i="6"/>
  <c r="AN1314" i="6"/>
  <c r="AU1314" i="6" s="1"/>
  <c r="U880" i="6"/>
  <c r="BE880" i="6"/>
  <c r="BA740" i="6"/>
  <c r="Q741" i="6" s="1"/>
  <c r="BO327" i="6"/>
  <c r="BN328" i="6" s="1"/>
  <c r="BG342" i="6"/>
  <c r="W343" i="6" s="1"/>
  <c r="AH342" i="6"/>
  <c r="BE125" i="6"/>
  <c r="U125" i="6"/>
  <c r="BO1082" i="6"/>
  <c r="BN1083" i="6" s="1"/>
  <c r="BF1622" i="6"/>
  <c r="V1623" i="6" s="1"/>
  <c r="AH1622" i="6"/>
  <c r="BF254" i="6"/>
  <c r="V255" i="6" s="1"/>
  <c r="AH254" i="6"/>
  <c r="AQ54" i="6"/>
  <c r="BD1422" i="6"/>
  <c r="T1423" i="6" s="1"/>
  <c r="AP1422" i="6"/>
  <c r="AG1207" i="6"/>
  <c r="BA1207" i="6"/>
  <c r="Q1208" i="6" s="1"/>
  <c r="AL230" i="6"/>
  <c r="AM230" i="6"/>
  <c r="AZ1331" i="6"/>
  <c r="P1332" i="6" s="1"/>
  <c r="AK1331" i="6"/>
  <c r="BD1494" i="6"/>
  <c r="T1495" i="6" s="1"/>
  <c r="AP1494" i="6"/>
  <c r="AN1527" i="6"/>
  <c r="AU1527" i="6" s="1"/>
  <c r="BO1573" i="6"/>
  <c r="BN1574" i="6" s="1"/>
  <c r="BG520" i="6"/>
  <c r="W521" i="6" s="1"/>
  <c r="AH520" i="6"/>
  <c r="AG1029" i="6"/>
  <c r="BA1029" i="6"/>
  <c r="Q1030" i="6" s="1"/>
  <c r="BD162" i="6"/>
  <c r="T163" i="6" s="1"/>
  <c r="AP162" i="6"/>
  <c r="AM448" i="6"/>
  <c r="AL448" i="6"/>
  <c r="AS556" i="6"/>
  <c r="AU556" i="6" s="1"/>
  <c r="BA993" i="6"/>
  <c r="Q994" i="6" s="1"/>
  <c r="AG993" i="6"/>
  <c r="BO1505" i="6"/>
  <c r="BN1506" i="6" s="1"/>
  <c r="BO891" i="6"/>
  <c r="BN892" i="6" s="1"/>
  <c r="AK891" i="6"/>
  <c r="AZ1058" i="6"/>
  <c r="P1059" i="6" s="1"/>
  <c r="AK1058" i="6"/>
  <c r="AR1058" i="6" s="1"/>
  <c r="AG1058" i="6"/>
  <c r="BA1495" i="6"/>
  <c r="Q1496" i="6" s="1"/>
  <c r="BO646" i="6"/>
  <c r="BN647" i="6" s="1"/>
  <c r="AK646" i="6"/>
  <c r="BE197" i="6"/>
  <c r="U197" i="6"/>
  <c r="BO1334" i="6"/>
  <c r="BN1335" i="6" s="1"/>
  <c r="BG16" i="6"/>
  <c r="W17" i="6" s="1"/>
  <c r="AH16" i="6"/>
  <c r="BA1607" i="6"/>
  <c r="Q1608" i="6" s="1"/>
  <c r="BG124" i="6"/>
  <c r="W125" i="6" s="1"/>
  <c r="AH124" i="6"/>
  <c r="AZ1417" i="6"/>
  <c r="P1418" i="6" s="1"/>
  <c r="AK1417" i="6"/>
  <c r="AR1417" i="6" s="1"/>
  <c r="AS1417" i="6" s="1"/>
  <c r="AG1417" i="6"/>
  <c r="BE486" i="6"/>
  <c r="U486" i="6"/>
  <c r="BF1334" i="6"/>
  <c r="V1335" i="6" s="1"/>
  <c r="AH1334" i="6"/>
  <c r="AN266" i="6"/>
  <c r="AU266" i="6" s="1"/>
  <c r="BO348" i="6"/>
  <c r="BN349" i="6" s="1"/>
  <c r="AK348" i="6"/>
  <c r="BG1610" i="6"/>
  <c r="W1611" i="6" s="1"/>
  <c r="AH1610" i="6"/>
  <c r="BO1220" i="6"/>
  <c r="BN1221" i="6" s="1"/>
  <c r="AK1220" i="6"/>
  <c r="AM1278" i="6"/>
  <c r="AL1278" i="6"/>
  <c r="AQ523" i="6"/>
  <c r="BF218" i="6"/>
  <c r="V219" i="6" s="1"/>
  <c r="AH218" i="6"/>
  <c r="AM631" i="6"/>
  <c r="AL631" i="6"/>
  <c r="BF1154" i="6"/>
  <c r="V1155" i="6" s="1"/>
  <c r="AH1154" i="6"/>
  <c r="BD55" i="6"/>
  <c r="T56" i="6" s="1"/>
  <c r="AP55" i="6"/>
  <c r="BD1098" i="6"/>
  <c r="T1099" i="6" s="1"/>
  <c r="AP1098" i="6"/>
  <c r="BF1658" i="6"/>
  <c r="V1659" i="6" s="1"/>
  <c r="AH1658" i="6"/>
  <c r="BA91" i="6"/>
  <c r="Q92" i="6" s="1"/>
  <c r="BO1607" i="6"/>
  <c r="BN1608" i="6" s="1"/>
  <c r="AQ957" i="6"/>
  <c r="BG231" i="6"/>
  <c r="W232" i="6" s="1"/>
  <c r="AH231" i="6"/>
  <c r="BO530" i="6"/>
  <c r="BN531" i="6" s="1"/>
  <c r="BF866" i="6"/>
  <c r="V867" i="6" s="1"/>
  <c r="AH866" i="6"/>
  <c r="AM1129" i="6"/>
  <c r="AL1129" i="6"/>
  <c r="BO1105" i="6"/>
  <c r="BN1106" i="6" s="1"/>
  <c r="AK1105" i="6"/>
  <c r="BF1370" i="6"/>
  <c r="V1371" i="6" s="1"/>
  <c r="AH1370" i="6"/>
  <c r="BH1366" i="6"/>
  <c r="X1367" i="6" s="1"/>
  <c r="AD1366" i="6"/>
  <c r="BG1138" i="6"/>
  <c r="W1139" i="6" s="1"/>
  <c r="AH1138" i="6"/>
  <c r="BG449" i="6"/>
  <c r="W450" i="6" s="1"/>
  <c r="AH449" i="6"/>
  <c r="AN1487" i="6"/>
  <c r="AU1487" i="6" s="1"/>
  <c r="AZ411" i="6"/>
  <c r="P412" i="6" s="1"/>
  <c r="AG411" i="6"/>
  <c r="AK411" i="6"/>
  <c r="AR411" i="6" s="1"/>
  <c r="AS411" i="6" s="1"/>
  <c r="AR17" i="6"/>
  <c r="AQ17" i="6"/>
  <c r="AH702" i="6"/>
  <c r="BG702" i="6"/>
  <c r="W703" i="6" s="1"/>
  <c r="BE1529" i="6"/>
  <c r="U1529" i="6"/>
  <c r="AQ879" i="6"/>
  <c r="AR879" i="6"/>
  <c r="BG1171" i="6"/>
  <c r="W1172" i="6" s="1"/>
  <c r="AH1171" i="6"/>
  <c r="AS988" i="6"/>
  <c r="BG809" i="6"/>
  <c r="W810" i="6" s="1"/>
  <c r="AH809" i="6"/>
  <c r="AR989" i="6"/>
  <c r="AQ989" i="6"/>
  <c r="AZ734" i="6"/>
  <c r="P735" i="6" s="1"/>
  <c r="AK734" i="6"/>
  <c r="AR734" i="6" s="1"/>
  <c r="AS734" i="6" s="1"/>
  <c r="AG734" i="6"/>
  <c r="AM988" i="6"/>
  <c r="AL988" i="6"/>
  <c r="AN84" i="6"/>
  <c r="AU84" i="6" s="1"/>
  <c r="AZ697" i="6"/>
  <c r="P698" i="6" s="1"/>
  <c r="AK697" i="6"/>
  <c r="AR697" i="6" s="1"/>
  <c r="AS697" i="6" s="1"/>
  <c r="AG697" i="6"/>
  <c r="BE1133" i="6"/>
  <c r="U1133" i="6"/>
  <c r="AS808" i="6"/>
  <c r="BA170" i="6"/>
  <c r="Q171" i="6" s="1"/>
  <c r="AG170" i="6"/>
  <c r="AR125" i="6"/>
  <c r="AQ125" i="6"/>
  <c r="BG1279" i="6"/>
  <c r="W1280" i="6" s="1"/>
  <c r="AH1279" i="6"/>
  <c r="AQ308" i="6"/>
  <c r="BG1565" i="6"/>
  <c r="W1566" i="6" s="1"/>
  <c r="AH1565" i="6"/>
  <c r="BD18" i="6"/>
  <c r="T19" i="6" s="1"/>
  <c r="AP18" i="6"/>
  <c r="AM480" i="6"/>
  <c r="AL480" i="6"/>
  <c r="BO1140" i="6"/>
  <c r="BN1141" i="6" s="1"/>
  <c r="AL919" i="6"/>
  <c r="AM919" i="6"/>
  <c r="BF650" i="6"/>
  <c r="V651" i="6" s="1"/>
  <c r="AH650" i="6"/>
  <c r="AM517" i="6"/>
  <c r="AL517" i="6"/>
  <c r="BO420" i="6"/>
  <c r="BN421" i="6" s="1"/>
  <c r="BO1541" i="6"/>
  <c r="BN1542" i="6" s="1"/>
  <c r="AK1541" i="6"/>
  <c r="BD880" i="6"/>
  <c r="T881" i="6" s="1"/>
  <c r="AP880" i="6"/>
  <c r="BF1298" i="6"/>
  <c r="V1299" i="6" s="1"/>
  <c r="AH1298" i="6"/>
  <c r="AL808" i="6"/>
  <c r="AM808" i="6"/>
  <c r="BD990" i="6"/>
  <c r="T991" i="6" s="1"/>
  <c r="AP990" i="6"/>
  <c r="BF686" i="6"/>
  <c r="V687" i="6" s="1"/>
  <c r="AH686" i="6"/>
  <c r="BG989" i="6"/>
  <c r="W990" i="6" s="1"/>
  <c r="AH989" i="6"/>
  <c r="AL774" i="6"/>
  <c r="U665" i="6"/>
  <c r="BE665" i="6"/>
  <c r="BD126" i="6"/>
  <c r="T127" i="6" s="1"/>
  <c r="AP126" i="6"/>
  <c r="AR1097" i="6"/>
  <c r="AQ1097" i="6"/>
  <c r="BD846" i="6"/>
  <c r="T847" i="6" s="1"/>
  <c r="AP846" i="6"/>
  <c r="AL377" i="6"/>
  <c r="AM377" i="6"/>
  <c r="BA967" i="6"/>
  <c r="Q968" i="6" s="1"/>
  <c r="AG967" i="6"/>
  <c r="BD309" i="6"/>
  <c r="T310" i="6" s="1"/>
  <c r="AP309" i="6"/>
  <c r="BD1639" i="6"/>
  <c r="T1640" i="6" s="1"/>
  <c r="AP1639" i="6"/>
  <c r="AM841" i="6"/>
  <c r="AL841" i="6"/>
  <c r="AQ1566" i="6"/>
  <c r="AQ557" i="6"/>
  <c r="AR557" i="6"/>
  <c r="AZ1130" i="6"/>
  <c r="P1131" i="6" s="1"/>
  <c r="AK1130" i="6"/>
  <c r="AR1130" i="6" s="1"/>
  <c r="AS1130" i="6" s="1"/>
  <c r="AG1130" i="6"/>
  <c r="BF398" i="6"/>
  <c r="V399" i="6" s="1"/>
  <c r="AH398" i="6"/>
  <c r="U917" i="6"/>
  <c r="BE917" i="6"/>
  <c r="BA1350" i="6"/>
  <c r="Q1351" i="6" s="1"/>
  <c r="AG1350" i="6"/>
  <c r="BE595" i="6"/>
  <c r="U595" i="6"/>
  <c r="BE521" i="6"/>
  <c r="U521" i="6"/>
  <c r="BA920" i="6"/>
  <c r="Q921" i="6" s="1"/>
  <c r="AG920" i="6"/>
  <c r="AZ518" i="6"/>
  <c r="P519" i="6" s="1"/>
  <c r="AG518" i="6"/>
  <c r="AK518" i="6"/>
  <c r="AR518" i="6" s="1"/>
  <c r="AS518" i="6" s="1"/>
  <c r="AR233" i="6"/>
  <c r="AQ233" i="6"/>
  <c r="BF1442" i="6"/>
  <c r="V1443" i="6" s="1"/>
  <c r="AH1442" i="6"/>
  <c r="U954" i="6"/>
  <c r="BE954" i="6"/>
  <c r="AQ1025" i="6"/>
  <c r="AR1025" i="6"/>
  <c r="AM160" i="6"/>
  <c r="AL160" i="6"/>
  <c r="BA318" i="6"/>
  <c r="Q319" i="6" s="1"/>
  <c r="BG920" i="6"/>
  <c r="W921" i="6" s="1"/>
  <c r="AH920" i="6"/>
  <c r="BA775" i="6"/>
  <c r="Q776" i="6" s="1"/>
  <c r="AG775" i="6"/>
  <c r="BF1190" i="6"/>
  <c r="V1191" i="6" s="1"/>
  <c r="AH1190" i="6"/>
  <c r="AM1237" i="6"/>
  <c r="AL1237" i="6"/>
  <c r="AI459" i="6"/>
  <c r="AZ459" i="6"/>
  <c r="P460" i="6" s="1"/>
  <c r="AK459" i="6"/>
  <c r="AF459" i="6"/>
  <c r="AG632" i="6"/>
  <c r="BA632" i="6"/>
  <c r="Q633" i="6" s="1"/>
  <c r="BE1600" i="6"/>
  <c r="U1600" i="6"/>
  <c r="AQ739" i="6"/>
  <c r="AR449" i="6"/>
  <c r="AQ449" i="6"/>
  <c r="BE556" i="6"/>
  <c r="U556" i="6"/>
  <c r="BE629" i="6"/>
  <c r="U629" i="6"/>
  <c r="BE1204" i="6"/>
  <c r="U1204" i="6"/>
  <c r="BF326" i="6"/>
  <c r="V327" i="6" s="1"/>
  <c r="AH326" i="6"/>
  <c r="BF1226" i="6"/>
  <c r="V1227" i="6" s="1"/>
  <c r="AH1226" i="6"/>
  <c r="AN1596" i="6"/>
  <c r="AU1596" i="6" s="1"/>
  <c r="BA343" i="6"/>
  <c r="Q344" i="6" s="1"/>
  <c r="AG343" i="6"/>
  <c r="BD740" i="6"/>
  <c r="T741" i="6" s="1"/>
  <c r="AP740" i="6"/>
  <c r="BF182" i="6"/>
  <c r="V183" i="6" s="1"/>
  <c r="AH182" i="6"/>
  <c r="BG485" i="6"/>
  <c r="W486" i="6" s="1"/>
  <c r="AH485" i="6"/>
  <c r="BD450" i="6"/>
  <c r="T451" i="6" s="1"/>
  <c r="AP450" i="6"/>
  <c r="BG378" i="6"/>
  <c r="W379" i="6" s="1"/>
  <c r="AH378" i="6"/>
  <c r="AN300" i="6"/>
  <c r="AU300" i="6" s="1"/>
  <c r="AS628" i="6"/>
  <c r="AU628" i="6" s="1"/>
  <c r="BE1097" i="6"/>
  <c r="U1097" i="6"/>
  <c r="AQ773" i="6"/>
  <c r="AR773" i="6"/>
  <c r="AZ50" i="6"/>
  <c r="P51" i="6" s="1"/>
  <c r="AK50" i="6"/>
  <c r="AR50" i="6" s="1"/>
  <c r="AS50" i="6" s="1"/>
  <c r="AG50" i="6"/>
  <c r="AZ842" i="6"/>
  <c r="P843" i="6" s="1"/>
  <c r="AG842" i="6"/>
  <c r="AK842" i="6"/>
  <c r="AR842" i="6" s="1"/>
  <c r="AS842" i="6" s="1"/>
  <c r="BO1043" i="6"/>
  <c r="BN1044" i="6" s="1"/>
  <c r="AK1043" i="6"/>
  <c r="BD1567" i="6"/>
  <c r="T1568" i="6" s="1"/>
  <c r="AP1567" i="6"/>
  <c r="AL1026" i="6"/>
  <c r="AM1026" i="6"/>
  <c r="BD558" i="6"/>
  <c r="T559" i="6" s="1"/>
  <c r="AP558" i="6"/>
  <c r="BE17" i="6"/>
  <c r="U17" i="6"/>
  <c r="BF938" i="6"/>
  <c r="V939" i="6" s="1"/>
  <c r="AH938" i="6"/>
  <c r="AM1349" i="6"/>
  <c r="AL1349" i="6"/>
  <c r="BE811" i="6"/>
  <c r="U811" i="6"/>
  <c r="BG632" i="6"/>
  <c r="W633" i="6" s="1"/>
  <c r="AH632" i="6"/>
  <c r="AN1348" i="6"/>
  <c r="AU1348" i="6" s="1"/>
  <c r="AZ481" i="6"/>
  <c r="P482" i="6" s="1"/>
  <c r="AG481" i="6"/>
  <c r="AK481" i="6"/>
  <c r="AR481" i="6" s="1"/>
  <c r="AS481" i="6" s="1"/>
  <c r="AS1204" i="6"/>
  <c r="AU1204" i="6" s="1"/>
  <c r="BE988" i="6"/>
  <c r="U988" i="6"/>
  <c r="BO384" i="6"/>
  <c r="BN385" i="6" s="1"/>
  <c r="AK384" i="6"/>
  <c r="BD234" i="6"/>
  <c r="T235" i="6" s="1"/>
  <c r="AP234" i="6"/>
  <c r="AN1056" i="6"/>
  <c r="AU1056" i="6" s="1"/>
  <c r="BO74" i="6"/>
  <c r="BN75" i="6" s="1"/>
  <c r="BD1026" i="6"/>
  <c r="T1027" i="6" s="1"/>
  <c r="AP1026" i="6"/>
  <c r="BG161" i="6"/>
  <c r="W162" i="6" s="1"/>
  <c r="AH161" i="6"/>
  <c r="AQ89" i="6"/>
  <c r="BF902" i="6"/>
  <c r="V903" i="6" s="1"/>
  <c r="AH902" i="6"/>
  <c r="BE305" i="6"/>
  <c r="U305" i="6"/>
  <c r="AM1597" i="6"/>
  <c r="AL1597" i="6"/>
  <c r="BO131" i="6"/>
  <c r="BN132" i="6" s="1"/>
  <c r="AK131" i="6"/>
  <c r="AQ845" i="6"/>
  <c r="BO1463" i="6"/>
  <c r="BN1464" i="6" s="1"/>
  <c r="AR629" i="6"/>
  <c r="AQ629" i="6"/>
  <c r="AR1350" i="6"/>
  <c r="AQ1350" i="6"/>
  <c r="AQ1457" i="6"/>
  <c r="BD774" i="6"/>
  <c r="T775" i="6" s="1"/>
  <c r="AP774" i="6"/>
  <c r="BE1564" i="6"/>
  <c r="U1564" i="6"/>
  <c r="AM1488" i="6"/>
  <c r="AL1488" i="6"/>
  <c r="AN1488" i="6" s="1"/>
  <c r="AU1488" i="6" s="1"/>
  <c r="AS1096" i="6"/>
  <c r="AU1096" i="6" s="1"/>
  <c r="AN840" i="6"/>
  <c r="AU840" i="6" s="1"/>
  <c r="AR809" i="6"/>
  <c r="AQ809" i="6"/>
  <c r="BG1027" i="6"/>
  <c r="W1028" i="6" s="1"/>
  <c r="AH1027" i="6"/>
  <c r="BF146" i="6"/>
  <c r="V147" i="6" s="1"/>
  <c r="AH146" i="6"/>
  <c r="BG196" i="6"/>
  <c r="W197" i="6" s="1"/>
  <c r="AH196" i="6"/>
  <c r="BF1514" i="6"/>
  <c r="V1515" i="6" s="1"/>
  <c r="AH1514" i="6"/>
  <c r="BA669" i="6"/>
  <c r="Q670" i="6" s="1"/>
  <c r="AQ1385" i="6"/>
  <c r="AR1385" i="6"/>
  <c r="AH830" i="6"/>
  <c r="BF830" i="6"/>
  <c r="V831" i="6" s="1"/>
  <c r="BE450" i="6"/>
  <c r="U450" i="6"/>
  <c r="BE737" i="6"/>
  <c r="U737" i="6"/>
  <c r="BA811" i="6"/>
  <c r="Q812" i="6" s="1"/>
  <c r="AG811" i="6"/>
  <c r="AR1316" i="6"/>
  <c r="AQ1316" i="6"/>
  <c r="BH924" i="6"/>
  <c r="X925" i="6" s="1"/>
  <c r="AD924" i="6"/>
  <c r="AL85" i="6"/>
  <c r="AM85" i="6"/>
  <c r="BF38" i="6"/>
  <c r="V39" i="6" s="1"/>
  <c r="AH38" i="6"/>
  <c r="AH1207" i="6"/>
  <c r="BG1207" i="6"/>
  <c r="W1208" i="6" s="1"/>
  <c r="BD90" i="6"/>
  <c r="T91" i="6" s="1"/>
  <c r="AP90" i="6"/>
  <c r="U1637" i="6"/>
  <c r="BE1637" i="6"/>
  <c r="AZ1238" i="6"/>
  <c r="P1239" i="6" s="1"/>
  <c r="AK1238" i="6"/>
  <c r="AR1238" i="6" s="1"/>
  <c r="AS1238" i="6" s="1"/>
  <c r="AG1238" i="6"/>
  <c r="AZ1598" i="6"/>
  <c r="P1599" i="6" s="1"/>
  <c r="AK1598" i="6"/>
  <c r="AR1598" i="6" s="1"/>
  <c r="AS1598" i="6" s="1"/>
  <c r="AG1598" i="6"/>
  <c r="AL194" i="6"/>
  <c r="AM194" i="6"/>
  <c r="BF1010" i="6"/>
  <c r="V1011" i="6" s="1"/>
  <c r="AH1010" i="6"/>
  <c r="BE1061" i="6"/>
  <c r="U1061" i="6"/>
  <c r="AL1170" i="6"/>
  <c r="AM1170" i="6"/>
  <c r="AM1561" i="6"/>
  <c r="AL1561" i="6"/>
  <c r="BA852" i="6"/>
  <c r="Q853" i="6" s="1"/>
  <c r="AK272" i="6"/>
  <c r="BO272" i="6"/>
  <c r="BN273" i="6" s="1"/>
  <c r="BG1639" i="6"/>
  <c r="W1640" i="6" s="1"/>
  <c r="AH1639" i="6"/>
  <c r="AN1560" i="6"/>
  <c r="AU1560" i="6" s="1"/>
  <c r="BD630" i="6"/>
  <c r="T631" i="6" s="1"/>
  <c r="AP630" i="6"/>
  <c r="AG1171" i="6"/>
  <c r="BA1171" i="6"/>
  <c r="Q1172" i="6" s="1"/>
  <c r="BG736" i="6"/>
  <c r="W737" i="6" s="1"/>
  <c r="AH736" i="6"/>
  <c r="AN1277" i="6"/>
  <c r="BA1063" i="6"/>
  <c r="Q1064" i="6" s="1"/>
  <c r="BE1456" i="6"/>
  <c r="U1456" i="6"/>
  <c r="AN376" i="6"/>
  <c r="AU376" i="6" s="1"/>
  <c r="BD1351" i="6"/>
  <c r="T1352" i="6" s="1"/>
  <c r="AP1351" i="6"/>
  <c r="BD1458" i="6"/>
  <c r="T1459" i="6" s="1"/>
  <c r="AP1458" i="6"/>
  <c r="BG1499" i="6"/>
  <c r="W1500" i="6" s="1"/>
  <c r="AH1499" i="6"/>
  <c r="AR593" i="6"/>
  <c r="AQ593" i="6"/>
  <c r="BD810" i="6"/>
  <c r="T811" i="6" s="1"/>
  <c r="AP810" i="6"/>
  <c r="AS340" i="6"/>
  <c r="AU340" i="6" s="1"/>
  <c r="BF506" i="6"/>
  <c r="V507" i="6" s="1"/>
  <c r="AH506" i="6"/>
  <c r="BO1358" i="6"/>
  <c r="BN1359" i="6" s="1"/>
  <c r="AK1358" i="6"/>
  <c r="BO668" i="6"/>
  <c r="BN669" i="6" s="1"/>
  <c r="BE1025" i="6"/>
  <c r="U1025" i="6"/>
  <c r="BF1046" i="6"/>
  <c r="V1047" i="6" s="1"/>
  <c r="AH1046" i="6"/>
  <c r="U233" i="6"/>
  <c r="BE233" i="6"/>
  <c r="AR1205" i="6"/>
  <c r="AQ1205" i="6"/>
  <c r="BD1386" i="6"/>
  <c r="T1387" i="6" s="1"/>
  <c r="AP1386" i="6"/>
  <c r="AR270" i="6"/>
  <c r="AQ270" i="6"/>
  <c r="AS1276" i="6"/>
  <c r="AU1276" i="6" s="1"/>
  <c r="AQ486" i="6"/>
  <c r="BD1317" i="6"/>
  <c r="T1318" i="6" s="1"/>
  <c r="AP1317" i="6"/>
  <c r="BO924" i="6"/>
  <c r="BN925" i="6" s="1"/>
  <c r="AK924" i="6"/>
  <c r="AR1172" i="6"/>
  <c r="AQ1172" i="6"/>
  <c r="BG560" i="6"/>
  <c r="W561" i="6" s="1"/>
  <c r="AH560" i="6"/>
  <c r="AL560" i="6" s="1"/>
  <c r="BE844" i="6"/>
  <c r="U844" i="6"/>
  <c r="BG845" i="6"/>
  <c r="W846" i="6" s="1"/>
  <c r="AH845" i="6"/>
  <c r="AH110" i="6"/>
  <c r="BF110" i="6"/>
  <c r="V111" i="6" s="1"/>
  <c r="BA277" i="6"/>
  <c r="Q278" i="6" s="1"/>
  <c r="AG277" i="6"/>
  <c r="BG596" i="6"/>
  <c r="W597" i="6" s="1"/>
  <c r="AH596" i="6"/>
  <c r="BE773" i="6"/>
  <c r="U773" i="6"/>
  <c r="AM1315" i="6"/>
  <c r="AL1315" i="6"/>
  <c r="AQ1532" i="6"/>
  <c r="AR1532" i="6"/>
  <c r="AZ195" i="6"/>
  <c r="P196" i="6" s="1"/>
  <c r="AG195" i="6"/>
  <c r="AK195" i="6"/>
  <c r="AR195" i="6" s="1"/>
  <c r="AS195" i="6" s="1"/>
  <c r="AL559" i="6"/>
  <c r="AN559" i="6" s="1"/>
  <c r="BD958" i="6"/>
  <c r="T959" i="6" s="1"/>
  <c r="AP958" i="6"/>
  <c r="AL301" i="6"/>
  <c r="AM301" i="6"/>
  <c r="BE341" i="6"/>
  <c r="U341" i="6"/>
  <c r="BO1182" i="6"/>
  <c r="BN1183" i="6" s="1"/>
  <c r="AK1182" i="6"/>
  <c r="AQ917" i="6"/>
  <c r="AR917" i="6"/>
  <c r="AZ1002" i="6"/>
  <c r="P1003" i="6" s="1"/>
  <c r="AK1002" i="6"/>
  <c r="AZ1489" i="6"/>
  <c r="P1490" i="6" s="1"/>
  <c r="AK1489" i="6"/>
  <c r="AR1489" i="6" s="1"/>
  <c r="AS1489" i="6" s="1"/>
  <c r="AG1489" i="6"/>
  <c r="AQ1059" i="6"/>
  <c r="BD594" i="6"/>
  <c r="T595" i="6" s="1"/>
  <c r="AP594" i="6"/>
  <c r="BG304" i="6"/>
  <c r="W305" i="6" s="1"/>
  <c r="AH304" i="6"/>
  <c r="BG1060" i="6"/>
  <c r="W1061" i="6" s="1"/>
  <c r="AH1060" i="6"/>
  <c r="AH1406" i="6"/>
  <c r="BF1406" i="6"/>
  <c r="V1407" i="6" s="1"/>
  <c r="AM560" i="6"/>
  <c r="BA1320" i="6"/>
  <c r="Q1321" i="6" s="1"/>
  <c r="AG1320" i="6"/>
  <c r="BD1206" i="6"/>
  <c r="T1207" i="6" s="1"/>
  <c r="AP1206" i="6"/>
  <c r="AH578" i="6"/>
  <c r="BF578" i="6"/>
  <c r="V579" i="6" s="1"/>
  <c r="BD271" i="6"/>
  <c r="T272" i="6" s="1"/>
  <c r="AP271" i="6"/>
  <c r="AQ1133" i="6"/>
  <c r="BD487" i="6"/>
  <c r="T488" i="6" s="1"/>
  <c r="AP487" i="6"/>
  <c r="BD1173" i="6"/>
  <c r="T1174" i="6" s="1"/>
  <c r="AP1173" i="6"/>
  <c r="BE161" i="6"/>
  <c r="U161" i="6"/>
  <c r="AZ86" i="6"/>
  <c r="P87" i="6" s="1"/>
  <c r="AK86" i="6"/>
  <c r="AR86" i="6" s="1"/>
  <c r="AS86" i="6" s="1"/>
  <c r="AG86" i="6"/>
  <c r="BE1313" i="6"/>
  <c r="U1313" i="6"/>
  <c r="BE269" i="6"/>
  <c r="U269" i="6"/>
  <c r="BG1316" i="6"/>
  <c r="W1317" i="6" s="1"/>
  <c r="AH1316" i="6"/>
  <c r="BD1533" i="6"/>
  <c r="T1534" i="6" s="1"/>
  <c r="AP1533" i="6"/>
  <c r="BO236" i="6"/>
  <c r="BN237" i="6" s="1"/>
  <c r="AK236" i="6"/>
  <c r="AL49" i="6"/>
  <c r="AM49" i="6"/>
  <c r="BG52" i="6"/>
  <c r="W53" i="6" s="1"/>
  <c r="AH52" i="6"/>
  <c r="AZ1562" i="6"/>
  <c r="P1563" i="6" s="1"/>
  <c r="AK1562" i="6"/>
  <c r="AR1562" i="6" s="1"/>
  <c r="AS1562" i="6" s="1"/>
  <c r="AG1562" i="6"/>
  <c r="AL267" i="6"/>
  <c r="AM267" i="6"/>
  <c r="BG1352" i="6"/>
  <c r="W1353" i="6" s="1"/>
  <c r="AH1352" i="6"/>
  <c r="BE1168" i="6"/>
  <c r="U1168" i="6"/>
  <c r="AZ302" i="6"/>
  <c r="P303" i="6" s="1"/>
  <c r="AK302" i="6"/>
  <c r="AR302" i="6" s="1"/>
  <c r="AS302" i="6" s="1"/>
  <c r="AG302" i="6"/>
  <c r="BD918" i="6"/>
  <c r="T919" i="6" s="1"/>
  <c r="AP918" i="6"/>
  <c r="BO1250" i="6"/>
  <c r="BN1251" i="6" s="1"/>
  <c r="AR341" i="6"/>
  <c r="AQ341" i="6"/>
  <c r="BG1423" i="6"/>
  <c r="W1424" i="6" s="1"/>
  <c r="AH1423" i="6"/>
  <c r="AM1452" i="6"/>
  <c r="AL1452" i="6"/>
  <c r="AM595" i="6"/>
  <c r="AL595" i="6"/>
  <c r="BD1060" i="6"/>
  <c r="T1061" i="6" s="1"/>
  <c r="AP1060" i="6"/>
  <c r="BF722" i="6"/>
  <c r="V723" i="6" s="1"/>
  <c r="AH722" i="6"/>
  <c r="AN229" i="6"/>
  <c r="AU229" i="6" s="1"/>
  <c r="BO780" i="6"/>
  <c r="BN781" i="6" s="1"/>
  <c r="AK780" i="6"/>
  <c r="BA561" i="6"/>
  <c r="Q562" i="6" s="1"/>
  <c r="AG561" i="6"/>
  <c r="BE378" i="6"/>
  <c r="U378" i="6"/>
  <c r="AR1277" i="6"/>
  <c r="AQ1277" i="6"/>
  <c r="AH794" i="6"/>
  <c r="BF794" i="6"/>
  <c r="V795" i="6" s="1"/>
  <c r="AR377" i="6"/>
  <c r="AQ377" i="6"/>
  <c r="BF74" i="6"/>
  <c r="V75" i="6" s="1"/>
  <c r="AH74" i="6"/>
  <c r="AP1134" i="6"/>
  <c r="BD1134" i="6"/>
  <c r="T1135" i="6" s="1"/>
  <c r="BO614" i="6"/>
  <c r="BN615" i="6" s="1"/>
  <c r="AK614" i="6"/>
  <c r="AQ702" i="6"/>
  <c r="BF1118" i="6"/>
  <c r="V1119" i="6" s="1"/>
  <c r="AH1118" i="6"/>
  <c r="AH1550" i="6"/>
  <c r="BF1550" i="6"/>
  <c r="V1551" i="6" s="1"/>
  <c r="BA1243" i="6"/>
  <c r="Q1244" i="6" s="1"/>
  <c r="BA1460" i="6"/>
  <c r="Q1461" i="6" s="1"/>
  <c r="BG1102" i="6"/>
  <c r="W1103" i="6" s="1"/>
  <c r="AH1102" i="6"/>
  <c r="BO175" i="6"/>
  <c r="BN176" i="6" s="1"/>
  <c r="AK175" i="6"/>
  <c r="BF542" i="6"/>
  <c r="V543" i="6" s="1"/>
  <c r="AH542" i="6"/>
  <c r="AL952" i="6"/>
  <c r="AM952" i="6"/>
  <c r="BD524" i="6"/>
  <c r="T525" i="6" s="1"/>
  <c r="AP524" i="6"/>
  <c r="BF758" i="6"/>
  <c r="V759" i="6" s="1"/>
  <c r="AH758" i="6"/>
  <c r="BG268" i="6"/>
  <c r="W269" i="6" s="1"/>
  <c r="AH268" i="6"/>
  <c r="AN695" i="6"/>
  <c r="AU695" i="6" s="1"/>
  <c r="BF974" i="6"/>
  <c r="V975" i="6" s="1"/>
  <c r="AH974" i="6"/>
  <c r="BG665" i="6"/>
  <c r="W666" i="6" s="1"/>
  <c r="AH665" i="6"/>
  <c r="AQ413" i="6"/>
  <c r="AN951" i="6"/>
  <c r="AU951" i="6" s="1"/>
  <c r="AL881" i="6"/>
  <c r="AM881" i="6"/>
  <c r="AH1384" i="6"/>
  <c r="BG1384" i="6"/>
  <c r="W1385" i="6" s="1"/>
  <c r="AN1236" i="6"/>
  <c r="AU1236" i="6" s="1"/>
  <c r="AM341" i="6"/>
  <c r="AN341" i="6" s="1"/>
  <c r="BO1427" i="6"/>
  <c r="BN1428" i="6" s="1"/>
  <c r="BE89" i="6"/>
  <c r="U89" i="6"/>
  <c r="BF434" i="6"/>
  <c r="V435" i="6" s="1"/>
  <c r="AH434" i="6"/>
  <c r="BG1464" i="6"/>
  <c r="W1465" i="6" s="1"/>
  <c r="AH1464" i="6"/>
  <c r="AL1528" i="6"/>
  <c r="AM1528" i="6"/>
  <c r="BD342" i="6"/>
  <c r="T343" i="6" s="1"/>
  <c r="AP342" i="6"/>
  <c r="BO823" i="6"/>
  <c r="BN824" i="6" s="1"/>
  <c r="AK823" i="6"/>
  <c r="BA241" i="6"/>
  <c r="Q242" i="6" s="1"/>
  <c r="AG241" i="6"/>
  <c r="BA596" i="6"/>
  <c r="Q597" i="6" s="1"/>
  <c r="AG596" i="6"/>
  <c r="BA1135" i="6"/>
  <c r="Q1136" i="6" s="1"/>
  <c r="BA533" i="6"/>
  <c r="Q534" i="6" s="1"/>
  <c r="AS956" i="6"/>
  <c r="BA1532" i="6"/>
  <c r="Q1533" i="6" s="1"/>
  <c r="AG1532" i="6"/>
  <c r="AS1058" i="6"/>
  <c r="BO579" i="6"/>
  <c r="BN580" i="6" s="1"/>
  <c r="AQ197" i="6"/>
  <c r="BD1278" i="6"/>
  <c r="T1279" i="6" s="1"/>
  <c r="AP1278" i="6"/>
  <c r="BO199" i="6"/>
  <c r="BN200" i="6" s="1"/>
  <c r="BD378" i="6"/>
  <c r="T379" i="6" s="1"/>
  <c r="AP378" i="6"/>
  <c r="AS16" i="6"/>
  <c r="AZ38" i="6"/>
  <c r="P39" i="6" s="1"/>
  <c r="AK38" i="6"/>
  <c r="AS269" i="6"/>
  <c r="BD703" i="6"/>
  <c r="T704" i="6" s="1"/>
  <c r="AP703" i="6"/>
  <c r="BO1640" i="6"/>
  <c r="BN1641" i="6" s="1"/>
  <c r="AN122" i="6"/>
  <c r="AU122" i="6" s="1"/>
  <c r="U1420" i="6"/>
  <c r="BE1420" i="6"/>
  <c r="BO1386" i="6"/>
  <c r="BN1387" i="6" s="1"/>
  <c r="AK1386" i="6"/>
  <c r="BA421" i="6"/>
  <c r="Q422" i="6" s="1"/>
  <c r="BA492" i="6"/>
  <c r="Q493" i="6" s="1"/>
  <c r="AH1082" i="6"/>
  <c r="BF1082" i="6"/>
  <c r="V1083" i="6" s="1"/>
  <c r="BG953" i="6"/>
  <c r="W954" i="6" s="1"/>
  <c r="AH953" i="6"/>
  <c r="AL966" i="6"/>
  <c r="BG89" i="6"/>
  <c r="W90" i="6" s="1"/>
  <c r="AH89" i="6"/>
  <c r="AM342" i="6"/>
  <c r="AL342" i="6"/>
  <c r="BO469" i="6"/>
  <c r="BN470" i="6" s="1"/>
  <c r="BD414" i="6"/>
  <c r="T415" i="6" s="1"/>
  <c r="AP414" i="6"/>
  <c r="AM1633" i="6"/>
  <c r="AL1633" i="6"/>
  <c r="AH1262" i="6"/>
  <c r="BF1262" i="6"/>
  <c r="V1263" i="6" s="1"/>
  <c r="AH882" i="6"/>
  <c r="BG882" i="6"/>
  <c r="W883" i="6" s="1"/>
  <c r="AM1383" i="6"/>
  <c r="AL1383" i="6"/>
  <c r="BA1574" i="6"/>
  <c r="Q1575" i="6" s="1"/>
  <c r="AN1382" i="6"/>
  <c r="AU1382" i="6" s="1"/>
  <c r="AH1529" i="6"/>
  <c r="BG1529" i="6"/>
  <c r="W1530" i="6" s="1"/>
  <c r="BF290" i="6"/>
  <c r="V291" i="6" s="1"/>
  <c r="AH290" i="6"/>
  <c r="AZ1453" i="6"/>
  <c r="P1454" i="6" s="1"/>
  <c r="AK1453" i="6"/>
  <c r="AR1453" i="6" s="1"/>
  <c r="AS1453" i="6" s="1"/>
  <c r="AG1453" i="6"/>
  <c r="AS916" i="6"/>
  <c r="AU916" i="6" s="1"/>
  <c r="BA23" i="6"/>
  <c r="Q24" i="6" s="1"/>
  <c r="AG23" i="6"/>
  <c r="AL1098" i="6"/>
  <c r="AM1098" i="6"/>
  <c r="AQ1601" i="6"/>
  <c r="BA1391" i="6"/>
  <c r="Q1392" i="6" s="1"/>
  <c r="AG1391" i="6"/>
  <c r="BD198" i="6"/>
  <c r="T199" i="6" s="1"/>
  <c r="AP198" i="6"/>
  <c r="AL1057" i="6"/>
  <c r="AM1057" i="6"/>
  <c r="BF470" i="6"/>
  <c r="V471" i="6" s="1"/>
  <c r="AH470" i="6"/>
  <c r="BG774" i="6"/>
  <c r="W775" i="6" s="1"/>
  <c r="AH774" i="6"/>
  <c r="AM774" i="6" s="1"/>
  <c r="BA703" i="6"/>
  <c r="Q704" i="6" s="1"/>
  <c r="BG1244" i="6"/>
  <c r="W1245" i="6" s="1"/>
  <c r="AH1244" i="6"/>
  <c r="BH1142" i="6"/>
  <c r="X1143" i="6" s="1"/>
  <c r="AD1142" i="6"/>
  <c r="BF614" i="6"/>
  <c r="V615" i="6" s="1"/>
  <c r="AH614" i="6"/>
  <c r="AN918" i="6"/>
  <c r="AQ665" i="6"/>
  <c r="BE414" i="6"/>
  <c r="U414" i="6"/>
  <c r="U1277" i="6"/>
  <c r="BE1277" i="6"/>
  <c r="AS232" i="6"/>
  <c r="AM661" i="6"/>
  <c r="AL661" i="6"/>
  <c r="BO869" i="6"/>
  <c r="AN85" i="6" l="1"/>
  <c r="AU85" i="6" s="1"/>
  <c r="AN15" i="6"/>
  <c r="AU15" i="6" s="1"/>
  <c r="AN988" i="6"/>
  <c r="AS1172" i="6"/>
  <c r="AS809" i="6"/>
  <c r="AS270" i="6"/>
  <c r="AU988" i="6"/>
  <c r="AN1057" i="6"/>
  <c r="AU1057" i="6" s="1"/>
  <c r="AS341" i="6"/>
  <c r="AU341" i="6" s="1"/>
  <c r="AN919" i="6"/>
  <c r="AS1277" i="6"/>
  <c r="AU1277" i="6" s="1"/>
  <c r="AN123" i="6"/>
  <c r="AU123" i="6" s="1"/>
  <c r="AN841" i="6"/>
  <c r="AU841" i="6" s="1"/>
  <c r="AN1129" i="6"/>
  <c r="AU1129" i="6" s="1"/>
  <c r="AN560" i="6"/>
  <c r="AN808" i="6"/>
  <c r="AU808" i="6" s="1"/>
  <c r="AS125" i="6"/>
  <c r="AS377" i="6"/>
  <c r="AN267" i="6"/>
  <c r="AU267" i="6" s="1"/>
  <c r="AN194" i="6"/>
  <c r="AU194" i="6" s="1"/>
  <c r="AN160" i="6"/>
  <c r="AU160" i="6" s="1"/>
  <c r="AS989" i="6"/>
  <c r="AN410" i="6"/>
  <c r="AU410" i="6" s="1"/>
  <c r="AS161" i="6"/>
  <c r="AS957" i="6"/>
  <c r="AN230" i="6"/>
  <c r="AU230" i="6" s="1"/>
  <c r="BD235" i="6"/>
  <c r="T236" i="6" s="1"/>
  <c r="AP235" i="6"/>
  <c r="BE415" i="6"/>
  <c r="U415" i="6"/>
  <c r="AN1633" i="6"/>
  <c r="AU1633" i="6" s="1"/>
  <c r="BE1421" i="6"/>
  <c r="U1421" i="6"/>
  <c r="AL1384" i="6"/>
  <c r="AM1384" i="6"/>
  <c r="AL268" i="6"/>
  <c r="AM268" i="6"/>
  <c r="BF75" i="6"/>
  <c r="V76" i="6" s="1"/>
  <c r="AH75" i="6"/>
  <c r="BG53" i="6"/>
  <c r="W54" i="6" s="1"/>
  <c r="AH53" i="6"/>
  <c r="BD595" i="6"/>
  <c r="T596" i="6" s="1"/>
  <c r="AP595" i="6"/>
  <c r="AZ196" i="6"/>
  <c r="P197" i="6" s="1"/>
  <c r="AG196" i="6"/>
  <c r="AK196" i="6"/>
  <c r="AR196" i="6" s="1"/>
  <c r="AS196" i="6" s="1"/>
  <c r="AK1359" i="6"/>
  <c r="BO1359" i="6"/>
  <c r="BN1360" i="6" s="1"/>
  <c r="AQ1458" i="6"/>
  <c r="BG737" i="6"/>
  <c r="W738" i="6" s="1"/>
  <c r="AH737" i="6"/>
  <c r="AN1561" i="6"/>
  <c r="AU1561" i="6" s="1"/>
  <c r="AZ1599" i="6"/>
  <c r="P1600" i="6" s="1"/>
  <c r="AG1599" i="6"/>
  <c r="AK1599" i="6"/>
  <c r="AR1599" i="6" s="1"/>
  <c r="AS1599" i="6" s="1"/>
  <c r="BA812" i="6"/>
  <c r="Q813" i="6" s="1"/>
  <c r="AG812" i="6"/>
  <c r="BF1515" i="6"/>
  <c r="V1516" i="6" s="1"/>
  <c r="AH1515" i="6"/>
  <c r="AS1350" i="6"/>
  <c r="AN1597" i="6"/>
  <c r="AU1597" i="6" s="1"/>
  <c r="AM161" i="6"/>
  <c r="AL161" i="6"/>
  <c r="AR234" i="6"/>
  <c r="AQ234" i="6"/>
  <c r="AL842" i="6"/>
  <c r="AM842" i="6"/>
  <c r="AM378" i="6"/>
  <c r="AL378" i="6"/>
  <c r="AN378" i="6" s="1"/>
  <c r="BD741" i="6"/>
  <c r="T742" i="6" s="1"/>
  <c r="AP741" i="6"/>
  <c r="BE630" i="6"/>
  <c r="U630" i="6"/>
  <c r="AL632" i="6"/>
  <c r="AM632" i="6"/>
  <c r="AZ1131" i="6"/>
  <c r="P1132" i="6" s="1"/>
  <c r="AK1131" i="6"/>
  <c r="AR1131" i="6" s="1"/>
  <c r="AS1131" i="6" s="1"/>
  <c r="AG1131" i="6"/>
  <c r="BA968" i="6"/>
  <c r="Q969" i="6" s="1"/>
  <c r="AG968" i="6"/>
  <c r="AR880" i="6"/>
  <c r="AQ880" i="6"/>
  <c r="AM1279" i="6"/>
  <c r="AL1279" i="6"/>
  <c r="AZ412" i="6"/>
  <c r="P413" i="6" s="1"/>
  <c r="AK412" i="6"/>
  <c r="AR412" i="6" s="1"/>
  <c r="AS412" i="6" s="1"/>
  <c r="AG412" i="6"/>
  <c r="BO1106" i="6"/>
  <c r="BN1107" i="6" s="1"/>
  <c r="AK1106" i="6"/>
  <c r="AN631" i="6"/>
  <c r="AM124" i="6"/>
  <c r="AL124" i="6"/>
  <c r="BA994" i="6"/>
  <c r="Q995" i="6" s="1"/>
  <c r="AG994" i="6"/>
  <c r="AL1207" i="6"/>
  <c r="AM1207" i="6"/>
  <c r="BF363" i="6"/>
  <c r="V364" i="6" s="1"/>
  <c r="AH363" i="6"/>
  <c r="AM1099" i="6"/>
  <c r="AL1099" i="6"/>
  <c r="BF1479" i="6"/>
  <c r="V1480" i="6" s="1"/>
  <c r="AH1479" i="6"/>
  <c r="BA1136" i="6"/>
  <c r="Q1137" i="6" s="1"/>
  <c r="BO781" i="6"/>
  <c r="BN782" i="6" s="1"/>
  <c r="AK781" i="6"/>
  <c r="BE234" i="6"/>
  <c r="U234" i="6"/>
  <c r="AZ843" i="6"/>
  <c r="P844" i="6" s="1"/>
  <c r="AG843" i="6"/>
  <c r="AK843" i="6"/>
  <c r="AR843" i="6" s="1"/>
  <c r="AS843" i="6" s="1"/>
  <c r="BD881" i="6"/>
  <c r="T882" i="6" s="1"/>
  <c r="AP881" i="6"/>
  <c r="BG1280" i="6"/>
  <c r="W1281" i="6" s="1"/>
  <c r="AH1280" i="6"/>
  <c r="BG521" i="6"/>
  <c r="W522" i="6" s="1"/>
  <c r="AH521" i="6"/>
  <c r="BE126" i="6"/>
  <c r="U126" i="6"/>
  <c r="BA457" i="6"/>
  <c r="Q458" i="6" s="1"/>
  <c r="AG457" i="6"/>
  <c r="BO580" i="6"/>
  <c r="BN581" i="6" s="1"/>
  <c r="AM596" i="6"/>
  <c r="AL596" i="6"/>
  <c r="AN881" i="6"/>
  <c r="BF1119" i="6"/>
  <c r="V1120" i="6" s="1"/>
  <c r="AH1119" i="6"/>
  <c r="AN49" i="6"/>
  <c r="AU49" i="6" s="1"/>
  <c r="U1314" i="6"/>
  <c r="BE1314" i="6"/>
  <c r="AR271" i="6"/>
  <c r="AQ271" i="6"/>
  <c r="AS1532" i="6"/>
  <c r="BG846" i="6"/>
  <c r="W847" i="6" s="1"/>
  <c r="AH846" i="6"/>
  <c r="AR1317" i="6"/>
  <c r="AQ1317" i="6"/>
  <c r="BF507" i="6"/>
  <c r="V508" i="6" s="1"/>
  <c r="AH507" i="6"/>
  <c r="AR1351" i="6"/>
  <c r="AQ1351" i="6"/>
  <c r="AM1171" i="6"/>
  <c r="AL1171" i="6"/>
  <c r="BF39" i="6"/>
  <c r="V40" i="6" s="1"/>
  <c r="AH39" i="6"/>
  <c r="BE738" i="6"/>
  <c r="U738" i="6"/>
  <c r="BG197" i="6"/>
  <c r="W198" i="6" s="1"/>
  <c r="AH197" i="6"/>
  <c r="AQ1026" i="6"/>
  <c r="AR1026" i="6"/>
  <c r="BG633" i="6"/>
  <c r="W634" i="6" s="1"/>
  <c r="AH633" i="6"/>
  <c r="BE18" i="6"/>
  <c r="U18" i="6"/>
  <c r="AM50" i="6"/>
  <c r="AL50" i="6"/>
  <c r="BA344" i="6"/>
  <c r="Q345" i="6" s="1"/>
  <c r="AG344" i="6"/>
  <c r="BE557" i="6"/>
  <c r="U557" i="6"/>
  <c r="AH921" i="6"/>
  <c r="BG921" i="6"/>
  <c r="W922" i="6" s="1"/>
  <c r="BF1443" i="6"/>
  <c r="V1444" i="6" s="1"/>
  <c r="AH1443" i="6"/>
  <c r="AS557" i="6"/>
  <c r="AU557" i="6" s="1"/>
  <c r="AN377" i="6"/>
  <c r="AU377" i="6" s="1"/>
  <c r="AL989" i="6"/>
  <c r="AM989" i="6"/>
  <c r="BO1141" i="6"/>
  <c r="BN1142" i="6" s="1"/>
  <c r="BA92" i="6"/>
  <c r="Q93" i="6" s="1"/>
  <c r="AN448" i="6"/>
  <c r="AU448" i="6" s="1"/>
  <c r="BD1423" i="6"/>
  <c r="T1424" i="6" s="1"/>
  <c r="AP1423" i="6"/>
  <c r="AN1416" i="6"/>
  <c r="AU1416" i="6" s="1"/>
  <c r="BA888" i="6"/>
  <c r="Q889" i="6" s="1"/>
  <c r="AG888" i="6"/>
  <c r="AQ1602" i="6"/>
  <c r="AN1206" i="6"/>
  <c r="AL1238" i="6"/>
  <c r="AM1238" i="6"/>
  <c r="AN774" i="6"/>
  <c r="BG1172" i="6"/>
  <c r="W1173" i="6" s="1"/>
  <c r="AH1172" i="6"/>
  <c r="BO1608" i="6"/>
  <c r="BN1609" i="6" s="1"/>
  <c r="BO349" i="6"/>
  <c r="BN350" i="6" s="1"/>
  <c r="AK349" i="6"/>
  <c r="BG125" i="6"/>
  <c r="W126" i="6" s="1"/>
  <c r="AH125" i="6"/>
  <c r="BO647" i="6"/>
  <c r="BN648" i="6" s="1"/>
  <c r="AK647" i="6"/>
  <c r="AQ1422" i="6"/>
  <c r="BE1242" i="6"/>
  <c r="U1242" i="6"/>
  <c r="BA1425" i="6"/>
  <c r="Q1426" i="6" s="1"/>
  <c r="BA1100" i="6"/>
  <c r="Q1101" i="6" s="1"/>
  <c r="AG1100" i="6"/>
  <c r="AM953" i="6"/>
  <c r="AL953" i="6"/>
  <c r="BG775" i="6"/>
  <c r="W776" i="6" s="1"/>
  <c r="AH775" i="6"/>
  <c r="AZ1454" i="6"/>
  <c r="P1455" i="6" s="1"/>
  <c r="AK1454" i="6"/>
  <c r="AR1454" i="6" s="1"/>
  <c r="AS1454" i="6" s="1"/>
  <c r="AG1454" i="6"/>
  <c r="AQ414" i="6"/>
  <c r="AH954" i="6"/>
  <c r="BG954" i="6"/>
  <c r="W955" i="6" s="1"/>
  <c r="AR378" i="6"/>
  <c r="AQ378" i="6"/>
  <c r="BA597" i="6"/>
  <c r="Q598" i="6" s="1"/>
  <c r="AG597" i="6"/>
  <c r="BF435" i="6"/>
  <c r="V436" i="6" s="1"/>
  <c r="AH435" i="6"/>
  <c r="BF759" i="6"/>
  <c r="V760" i="6" s="1"/>
  <c r="AH759" i="6"/>
  <c r="BO176" i="6"/>
  <c r="BN177" i="6" s="1"/>
  <c r="AK176" i="6"/>
  <c r="BF795" i="6"/>
  <c r="V796" i="6" s="1"/>
  <c r="AH795" i="6"/>
  <c r="BE1169" i="6"/>
  <c r="U1169" i="6"/>
  <c r="AM86" i="6"/>
  <c r="AL86" i="6"/>
  <c r="BD272" i="6"/>
  <c r="T273" i="6" s="1"/>
  <c r="AP272" i="6"/>
  <c r="BF1407" i="6"/>
  <c r="V1408" i="6" s="1"/>
  <c r="AH1407" i="6"/>
  <c r="BE342" i="6"/>
  <c r="U342" i="6"/>
  <c r="AN1315" i="6"/>
  <c r="AU1315" i="6" s="1"/>
  <c r="BD1318" i="6"/>
  <c r="T1319" i="6" s="1"/>
  <c r="AP1318" i="6"/>
  <c r="BD1352" i="6"/>
  <c r="T1353" i="6" s="1"/>
  <c r="AP1352" i="6"/>
  <c r="AQ630" i="6"/>
  <c r="AR630" i="6"/>
  <c r="AN1170" i="6"/>
  <c r="AU1170" i="6" s="1"/>
  <c r="AZ1239" i="6"/>
  <c r="P1240" i="6" s="1"/>
  <c r="AK1239" i="6"/>
  <c r="AR1239" i="6" s="1"/>
  <c r="AS1239" i="6" s="1"/>
  <c r="AG1239" i="6"/>
  <c r="AS629" i="6"/>
  <c r="AU629" i="6" s="1"/>
  <c r="BE306" i="6"/>
  <c r="U306" i="6"/>
  <c r="BD1027" i="6"/>
  <c r="T1028" i="6" s="1"/>
  <c r="AP1027" i="6"/>
  <c r="BO385" i="6"/>
  <c r="BN386" i="6" s="1"/>
  <c r="AK385" i="6"/>
  <c r="AQ558" i="6"/>
  <c r="AR558" i="6"/>
  <c r="AS449" i="6"/>
  <c r="AS233" i="6"/>
  <c r="U596" i="6"/>
  <c r="BE596" i="6"/>
  <c r="AQ846" i="6"/>
  <c r="BG990" i="6"/>
  <c r="W991" i="6" s="1"/>
  <c r="AH990" i="6"/>
  <c r="BO1542" i="6"/>
  <c r="BN1543" i="6" s="1"/>
  <c r="AK1542" i="6"/>
  <c r="AN480" i="6"/>
  <c r="AU480" i="6" s="1"/>
  <c r="AM734" i="6"/>
  <c r="AL734" i="6"/>
  <c r="AS879" i="6"/>
  <c r="AU879" i="6" s="1"/>
  <c r="AM449" i="6"/>
  <c r="AL449" i="6"/>
  <c r="BF219" i="6"/>
  <c r="V220" i="6" s="1"/>
  <c r="AH219" i="6"/>
  <c r="BA1608" i="6"/>
  <c r="Q1609" i="6" s="1"/>
  <c r="BA1496" i="6"/>
  <c r="Q1497" i="6" s="1"/>
  <c r="BO1574" i="6"/>
  <c r="BN1575" i="6" s="1"/>
  <c r="BG343" i="6"/>
  <c r="W344" i="6" s="1"/>
  <c r="AH343" i="6"/>
  <c r="BA57" i="6"/>
  <c r="Q58" i="6" s="1"/>
  <c r="AN733" i="6"/>
  <c r="AU733" i="6" s="1"/>
  <c r="BE1387" i="6"/>
  <c r="U1387" i="6"/>
  <c r="BD1603" i="6"/>
  <c r="T1604" i="6" s="1"/>
  <c r="AP1603" i="6"/>
  <c r="BG379" i="6"/>
  <c r="W380" i="6" s="1"/>
  <c r="AH379" i="6"/>
  <c r="BD415" i="6"/>
  <c r="T416" i="6" s="1"/>
  <c r="AP415" i="6"/>
  <c r="AM1489" i="6"/>
  <c r="AL1489" i="6"/>
  <c r="BD631" i="6"/>
  <c r="T632" i="6" s="1"/>
  <c r="AP631" i="6"/>
  <c r="BE451" i="6"/>
  <c r="U451" i="6"/>
  <c r="AL16" i="6"/>
  <c r="AM16" i="6"/>
  <c r="BG1353" i="6"/>
  <c r="W1354" i="6" s="1"/>
  <c r="AH1353" i="6"/>
  <c r="AR1533" i="6"/>
  <c r="AQ1533" i="6"/>
  <c r="AN301" i="6"/>
  <c r="AU301" i="6" s="1"/>
  <c r="BD811" i="6"/>
  <c r="T812" i="6" s="1"/>
  <c r="AP811" i="6"/>
  <c r="U1062" i="6"/>
  <c r="BE1062" i="6"/>
  <c r="BF831" i="6"/>
  <c r="V832" i="6" s="1"/>
  <c r="AH831" i="6"/>
  <c r="BO75" i="6"/>
  <c r="BN76" i="6" s="1"/>
  <c r="BE989" i="6"/>
  <c r="U989" i="6"/>
  <c r="AQ450" i="6"/>
  <c r="AR450" i="6"/>
  <c r="BF1227" i="6"/>
  <c r="V1228" i="6" s="1"/>
  <c r="AH1227" i="6"/>
  <c r="AG1351" i="6"/>
  <c r="BA1351" i="6"/>
  <c r="Q1352" i="6" s="1"/>
  <c r="BF687" i="6"/>
  <c r="V688" i="6" s="1"/>
  <c r="AH687" i="6"/>
  <c r="BO421" i="6"/>
  <c r="BN422" i="6" s="1"/>
  <c r="AQ18" i="6"/>
  <c r="AR18" i="6"/>
  <c r="BA171" i="6"/>
  <c r="Q172" i="6" s="1"/>
  <c r="AG171" i="6"/>
  <c r="AZ735" i="6"/>
  <c r="P736" i="6" s="1"/>
  <c r="AK735" i="6"/>
  <c r="AR735" i="6" s="1"/>
  <c r="AS735" i="6" s="1"/>
  <c r="AG735" i="6"/>
  <c r="BE1530" i="6"/>
  <c r="U1530" i="6"/>
  <c r="AH867" i="6"/>
  <c r="BF867" i="6"/>
  <c r="V868" i="6" s="1"/>
  <c r="BF1659" i="6"/>
  <c r="V1660" i="6" s="1"/>
  <c r="AH1659" i="6"/>
  <c r="BG17" i="6"/>
  <c r="W18" i="6" s="1"/>
  <c r="AH17" i="6"/>
  <c r="AQ1494" i="6"/>
  <c r="BO328" i="6"/>
  <c r="BN329" i="6" s="1"/>
  <c r="AQ666" i="6"/>
  <c r="BO753" i="6"/>
  <c r="BN754" i="6" s="1"/>
  <c r="BA1392" i="6"/>
  <c r="Q1393" i="6" s="1"/>
  <c r="AG1392" i="6"/>
  <c r="BO925" i="6"/>
  <c r="BN926" i="6" s="1"/>
  <c r="AK925" i="6"/>
  <c r="BA1172" i="6"/>
  <c r="Q1173" i="6" s="1"/>
  <c r="AG1172" i="6"/>
  <c r="AR810" i="6"/>
  <c r="AQ810" i="6"/>
  <c r="BA319" i="6"/>
  <c r="Q320" i="6" s="1"/>
  <c r="AL1058" i="6"/>
  <c r="AM1058" i="6"/>
  <c r="BO1301" i="6"/>
  <c r="AK1301" i="6"/>
  <c r="BE703" i="6"/>
  <c r="U703" i="6"/>
  <c r="BA1575" i="6"/>
  <c r="Q1576" i="6" s="1"/>
  <c r="AQ703" i="6"/>
  <c r="BA242" i="6"/>
  <c r="Q243" i="6" s="1"/>
  <c r="AG242" i="6"/>
  <c r="BE90" i="6"/>
  <c r="U90" i="6"/>
  <c r="BG1103" i="6"/>
  <c r="W1104" i="6" s="1"/>
  <c r="AH1103" i="6"/>
  <c r="AZ87" i="6"/>
  <c r="P88" i="6" s="1"/>
  <c r="AK87" i="6"/>
  <c r="AR87" i="6" s="1"/>
  <c r="AS87" i="6" s="1"/>
  <c r="AG87" i="6"/>
  <c r="AN661" i="6"/>
  <c r="AU661" i="6" s="1"/>
  <c r="AN1383" i="6"/>
  <c r="AU1383" i="6" s="1"/>
  <c r="BD704" i="6"/>
  <c r="T705" i="6" s="1"/>
  <c r="AP704" i="6"/>
  <c r="BO200" i="6"/>
  <c r="BN201" i="6" s="1"/>
  <c r="BF723" i="6"/>
  <c r="V724" i="6" s="1"/>
  <c r="AH723" i="6"/>
  <c r="BD1534" i="6"/>
  <c r="T1535" i="6" s="1"/>
  <c r="AP1534" i="6"/>
  <c r="AH1061" i="6"/>
  <c r="BG1061" i="6"/>
  <c r="W1062" i="6" s="1"/>
  <c r="AZ1490" i="6"/>
  <c r="P1491" i="6" s="1"/>
  <c r="AK1490" i="6"/>
  <c r="AR1490" i="6" s="1"/>
  <c r="AS1490" i="6" s="1"/>
  <c r="AG1490" i="6"/>
  <c r="AQ958" i="6"/>
  <c r="BE774" i="6"/>
  <c r="U774" i="6"/>
  <c r="BG561" i="6"/>
  <c r="W562" i="6" s="1"/>
  <c r="AH561" i="6"/>
  <c r="BF1047" i="6"/>
  <c r="V1048" i="6" s="1"/>
  <c r="AH1047" i="6"/>
  <c r="AS593" i="6"/>
  <c r="AU593" i="6" s="1"/>
  <c r="BE1457" i="6"/>
  <c r="U1457" i="6"/>
  <c r="AD925" i="6"/>
  <c r="BH925" i="6"/>
  <c r="X926" i="6" s="1"/>
  <c r="BO1464" i="6"/>
  <c r="BN1465" i="6" s="1"/>
  <c r="BF903" i="6"/>
  <c r="V904" i="6" s="1"/>
  <c r="AH903" i="6"/>
  <c r="AN1349" i="6"/>
  <c r="AU1349" i="6" s="1"/>
  <c r="AN1026" i="6"/>
  <c r="AS773" i="6"/>
  <c r="AU773" i="6" s="1"/>
  <c r="BD451" i="6"/>
  <c r="T452" i="6" s="1"/>
  <c r="AP451" i="6"/>
  <c r="AN1237" i="6"/>
  <c r="AU1237" i="6" s="1"/>
  <c r="U918" i="6"/>
  <c r="BE918" i="6"/>
  <c r="AS1097" i="6"/>
  <c r="AU1097" i="6" s="1"/>
  <c r="AQ990" i="6"/>
  <c r="AR990" i="6"/>
  <c r="AN517" i="6"/>
  <c r="AU517" i="6" s="1"/>
  <c r="BD19" i="6"/>
  <c r="T20" i="6" s="1"/>
  <c r="AP19" i="6"/>
  <c r="AH703" i="6"/>
  <c r="BG703" i="6"/>
  <c r="W704" i="6" s="1"/>
  <c r="BG1139" i="6"/>
  <c r="W1140" i="6" s="1"/>
  <c r="AH1139" i="6"/>
  <c r="AQ1098" i="6"/>
  <c r="AR1098" i="6"/>
  <c r="AN1278" i="6"/>
  <c r="AZ1059" i="6"/>
  <c r="P1060" i="6" s="1"/>
  <c r="AK1059" i="6"/>
  <c r="AR1059" i="6" s="1"/>
  <c r="AS1059" i="6" s="1"/>
  <c r="AG1059" i="6"/>
  <c r="BD1495" i="6"/>
  <c r="T1496" i="6" s="1"/>
  <c r="AP1495" i="6"/>
  <c r="BA741" i="6"/>
  <c r="Q742" i="6" s="1"/>
  <c r="BH1009" i="6"/>
  <c r="X1010" i="6" s="1"/>
  <c r="AD1009" i="6"/>
  <c r="BE1494" i="6"/>
  <c r="U1494" i="6"/>
  <c r="BD667" i="6"/>
  <c r="T668" i="6" s="1"/>
  <c r="AP667" i="6"/>
  <c r="AZ575" i="6"/>
  <c r="P576" i="6" s="1"/>
  <c r="AK575" i="6"/>
  <c r="AH1587" i="6"/>
  <c r="BF1587" i="6"/>
  <c r="V1588" i="6" s="1"/>
  <c r="AM1453" i="6"/>
  <c r="AL1453" i="6"/>
  <c r="AZ303" i="6"/>
  <c r="P304" i="6" s="1"/>
  <c r="AG303" i="6"/>
  <c r="AK303" i="6"/>
  <c r="AR303" i="6" s="1"/>
  <c r="AS303" i="6" s="1"/>
  <c r="AM343" i="6"/>
  <c r="AL343" i="6"/>
  <c r="BG1424" i="6"/>
  <c r="W1425" i="6" s="1"/>
  <c r="AH1424" i="6"/>
  <c r="U1638" i="6"/>
  <c r="BE1638" i="6"/>
  <c r="BD559" i="6"/>
  <c r="T560" i="6" s="1"/>
  <c r="AP559" i="6"/>
  <c r="BF471" i="6"/>
  <c r="V472" i="6" s="1"/>
  <c r="AH471" i="6"/>
  <c r="BO470" i="6"/>
  <c r="BN471" i="6" s="1"/>
  <c r="BA493" i="6"/>
  <c r="Q494" i="6" s="1"/>
  <c r="AQ1278" i="6"/>
  <c r="AR1278" i="6"/>
  <c r="BA1533" i="6"/>
  <c r="Q1534" i="6" s="1"/>
  <c r="AG1533" i="6"/>
  <c r="BO824" i="6"/>
  <c r="BN825" i="6" s="1"/>
  <c r="AK824" i="6"/>
  <c r="BO1428" i="6"/>
  <c r="BN1429" i="6" s="1"/>
  <c r="AQ524" i="6"/>
  <c r="BA1461" i="6"/>
  <c r="Q1462" i="6" s="1"/>
  <c r="BO615" i="6"/>
  <c r="BN616" i="6" s="1"/>
  <c r="AK615" i="6"/>
  <c r="AQ1060" i="6"/>
  <c r="AL1316" i="6"/>
  <c r="AM1316" i="6"/>
  <c r="BE162" i="6"/>
  <c r="U162" i="6"/>
  <c r="AQ1206" i="6"/>
  <c r="AR1206" i="6"/>
  <c r="AP959" i="6"/>
  <c r="BD959" i="6"/>
  <c r="T960" i="6" s="1"/>
  <c r="BG1640" i="6"/>
  <c r="W1641" i="6" s="1"/>
  <c r="AH1640" i="6"/>
  <c r="BF1011" i="6"/>
  <c r="V1012" i="6" s="1"/>
  <c r="AH1011" i="6"/>
  <c r="BF147" i="6"/>
  <c r="V148" i="6" s="1"/>
  <c r="AH147" i="6"/>
  <c r="BE1565" i="6"/>
  <c r="U1565" i="6"/>
  <c r="AQ1567" i="6"/>
  <c r="BF327" i="6"/>
  <c r="V328" i="6" s="1"/>
  <c r="AH327" i="6"/>
  <c r="AM518" i="6"/>
  <c r="AL518" i="6"/>
  <c r="AQ1639" i="6"/>
  <c r="BD991" i="6"/>
  <c r="T992" i="6" s="1"/>
  <c r="AP991" i="6"/>
  <c r="BO531" i="6"/>
  <c r="BN532" i="6" s="1"/>
  <c r="BD1099" i="6"/>
  <c r="T1100" i="6" s="1"/>
  <c r="AP1099" i="6"/>
  <c r="BF255" i="6"/>
  <c r="V256" i="6" s="1"/>
  <c r="AH255" i="6"/>
  <c r="BG415" i="6"/>
  <c r="W416" i="6" s="1"/>
  <c r="AH415" i="6"/>
  <c r="BG269" i="6"/>
  <c r="W270" i="6" s="1"/>
  <c r="AH269" i="6"/>
  <c r="BD1459" i="6"/>
  <c r="T1460" i="6" s="1"/>
  <c r="AP1459" i="6"/>
  <c r="BD379" i="6"/>
  <c r="T380" i="6" s="1"/>
  <c r="AP379" i="6"/>
  <c r="AM1350" i="6"/>
  <c r="AL1350" i="6"/>
  <c r="BD847" i="6"/>
  <c r="T848" i="6" s="1"/>
  <c r="AP847" i="6"/>
  <c r="BF1335" i="6"/>
  <c r="V1336" i="6" s="1"/>
  <c r="AH1335" i="6"/>
  <c r="BA386" i="6"/>
  <c r="Q387" i="6" s="1"/>
  <c r="AG386" i="6"/>
  <c r="BF615" i="6"/>
  <c r="V616" i="6" s="1"/>
  <c r="AH615" i="6"/>
  <c r="AN1098" i="6"/>
  <c r="BF291" i="6"/>
  <c r="V292" i="6" s="1"/>
  <c r="AH291" i="6"/>
  <c r="BG883" i="6"/>
  <c r="W884" i="6" s="1"/>
  <c r="AH883" i="6"/>
  <c r="AN342" i="6"/>
  <c r="BD1279" i="6"/>
  <c r="T1280" i="6" s="1"/>
  <c r="AP1279" i="6"/>
  <c r="AQ342" i="6"/>
  <c r="AR342" i="6"/>
  <c r="BG666" i="6"/>
  <c r="W667" i="6" s="1"/>
  <c r="AH666" i="6"/>
  <c r="BD525" i="6"/>
  <c r="T526" i="6" s="1"/>
  <c r="AP525" i="6"/>
  <c r="BE379" i="6"/>
  <c r="U379" i="6"/>
  <c r="BD1061" i="6"/>
  <c r="T1062" i="6" s="1"/>
  <c r="AP1061" i="6"/>
  <c r="BO1251" i="6"/>
  <c r="BN1252" i="6" s="1"/>
  <c r="AL1562" i="6"/>
  <c r="AM1562" i="6"/>
  <c r="AH1317" i="6"/>
  <c r="BG1317" i="6"/>
  <c r="W1318" i="6" s="1"/>
  <c r="AR1173" i="6"/>
  <c r="AQ1173" i="6"/>
  <c r="BD1207" i="6"/>
  <c r="T1208" i="6" s="1"/>
  <c r="AP1207" i="6"/>
  <c r="AZ1003" i="6"/>
  <c r="P1004" i="6" s="1"/>
  <c r="AK1003" i="6"/>
  <c r="BG597" i="6"/>
  <c r="W598" i="6" s="1"/>
  <c r="AH597" i="6"/>
  <c r="BE1026" i="6"/>
  <c r="U1026" i="6"/>
  <c r="BO273" i="6"/>
  <c r="BN274" i="6" s="1"/>
  <c r="AK273" i="6"/>
  <c r="AQ90" i="6"/>
  <c r="AS1385" i="6"/>
  <c r="AM1027" i="6"/>
  <c r="AL1027" i="6"/>
  <c r="AQ774" i="6"/>
  <c r="AR774" i="6"/>
  <c r="BD1568" i="6"/>
  <c r="T1569" i="6" s="1"/>
  <c r="AP1568" i="6"/>
  <c r="BE1098" i="6"/>
  <c r="U1098" i="6"/>
  <c r="BG486" i="6"/>
  <c r="W487" i="6" s="1"/>
  <c r="AH486" i="6"/>
  <c r="AS1025" i="6"/>
  <c r="AU1025" i="6" s="1"/>
  <c r="AZ519" i="6"/>
  <c r="P520" i="6" s="1"/>
  <c r="AG519" i="6"/>
  <c r="AK519" i="6"/>
  <c r="AR519" i="6" s="1"/>
  <c r="AS519" i="6" s="1"/>
  <c r="BD1640" i="6"/>
  <c r="T1641" i="6" s="1"/>
  <c r="AP1640" i="6"/>
  <c r="AR126" i="6"/>
  <c r="AQ126" i="6"/>
  <c r="BE1134" i="6"/>
  <c r="U1134" i="6"/>
  <c r="AS17" i="6"/>
  <c r="BH1367" i="6"/>
  <c r="X1368" i="6" s="1"/>
  <c r="AD1367" i="6"/>
  <c r="AM231" i="6"/>
  <c r="AL231" i="6"/>
  <c r="AQ55" i="6"/>
  <c r="BE487" i="6"/>
  <c r="U487" i="6"/>
  <c r="BO1335" i="6"/>
  <c r="BN1336" i="6" s="1"/>
  <c r="BO892" i="6"/>
  <c r="BN893" i="6" s="1"/>
  <c r="AK892" i="6"/>
  <c r="AR162" i="6"/>
  <c r="AQ162" i="6"/>
  <c r="AZ1332" i="6"/>
  <c r="P1333" i="6" s="1"/>
  <c r="AK1332" i="6"/>
  <c r="BE881" i="6"/>
  <c r="U881" i="6"/>
  <c r="BA1282" i="6"/>
  <c r="Q1283" i="6" s="1"/>
  <c r="AG1282" i="6"/>
  <c r="AM662" i="6"/>
  <c r="AL662" i="6"/>
  <c r="BA132" i="6"/>
  <c r="Q133" i="6" s="1"/>
  <c r="AG132" i="6"/>
  <c r="AM1634" i="6"/>
  <c r="AL1634" i="6"/>
  <c r="AZ51" i="6"/>
  <c r="P52" i="6" s="1"/>
  <c r="AK51" i="6"/>
  <c r="AR51" i="6" s="1"/>
  <c r="AS51" i="6" s="1"/>
  <c r="AG51" i="6"/>
  <c r="AZ460" i="6"/>
  <c r="P461" i="6" s="1"/>
  <c r="AK460" i="6"/>
  <c r="BG450" i="6"/>
  <c r="W451" i="6" s="1"/>
  <c r="AH450" i="6"/>
  <c r="BE1278" i="6"/>
  <c r="U1278" i="6"/>
  <c r="BH1143" i="6"/>
  <c r="X1144" i="6" s="1"/>
  <c r="AD1143" i="6"/>
  <c r="BG1530" i="6"/>
  <c r="W1531" i="6" s="1"/>
  <c r="AH1530" i="6"/>
  <c r="BA422" i="6"/>
  <c r="Q423" i="6" s="1"/>
  <c r="AZ39" i="6"/>
  <c r="P40" i="6" s="1"/>
  <c r="AK39" i="6"/>
  <c r="BD343" i="6"/>
  <c r="T344" i="6" s="1"/>
  <c r="AP343" i="6"/>
  <c r="BD1135" i="6"/>
  <c r="T1136" i="6" s="1"/>
  <c r="AP1135" i="6"/>
  <c r="AL561" i="6"/>
  <c r="AM561" i="6"/>
  <c r="AN595" i="6"/>
  <c r="AR918" i="6"/>
  <c r="AQ918" i="6"/>
  <c r="BD1174" i="6"/>
  <c r="T1175" i="6" s="1"/>
  <c r="AP1174" i="6"/>
  <c r="AQ1386" i="6"/>
  <c r="AR1386" i="6"/>
  <c r="BG1500" i="6"/>
  <c r="W1501" i="6" s="1"/>
  <c r="AH1500" i="6"/>
  <c r="BA1064" i="6"/>
  <c r="Q1065" i="6" s="1"/>
  <c r="BD91" i="6"/>
  <c r="T92" i="6" s="1"/>
  <c r="AP91" i="6"/>
  <c r="AS1316" i="6"/>
  <c r="BA670" i="6"/>
  <c r="Q671" i="6" s="1"/>
  <c r="BG1028" i="6"/>
  <c r="W1029" i="6" s="1"/>
  <c r="AH1028" i="6"/>
  <c r="BD775" i="6"/>
  <c r="T776" i="6" s="1"/>
  <c r="AP775" i="6"/>
  <c r="BF939" i="6"/>
  <c r="V940" i="6" s="1"/>
  <c r="AH939" i="6"/>
  <c r="BE1205" i="6"/>
  <c r="U1205" i="6"/>
  <c r="U1601" i="6"/>
  <c r="BE1601" i="6"/>
  <c r="BF1191" i="6"/>
  <c r="V1192" i="6" s="1"/>
  <c r="AH1191" i="6"/>
  <c r="BF399" i="6"/>
  <c r="V400" i="6" s="1"/>
  <c r="AH399" i="6"/>
  <c r="AQ309" i="6"/>
  <c r="BD127" i="6"/>
  <c r="T128" i="6" s="1"/>
  <c r="AP127" i="6"/>
  <c r="BF651" i="6"/>
  <c r="V652" i="6" s="1"/>
  <c r="AH651" i="6"/>
  <c r="BG1566" i="6"/>
  <c r="W1567" i="6" s="1"/>
  <c r="AH1566" i="6"/>
  <c r="AM697" i="6"/>
  <c r="AL697" i="6"/>
  <c r="AM809" i="6"/>
  <c r="AL809" i="6"/>
  <c r="BG232" i="6"/>
  <c r="W233" i="6" s="1"/>
  <c r="AH232" i="6"/>
  <c r="BD56" i="6"/>
  <c r="T57" i="6" s="1"/>
  <c r="AP56" i="6"/>
  <c r="BO1221" i="6"/>
  <c r="BN1222" i="6" s="1"/>
  <c r="AK1221" i="6"/>
  <c r="AM1417" i="6"/>
  <c r="AL1417" i="6"/>
  <c r="BD163" i="6"/>
  <c r="T164" i="6" s="1"/>
  <c r="AP163" i="6"/>
  <c r="BF1623" i="6"/>
  <c r="V1624" i="6" s="1"/>
  <c r="AH1623" i="6"/>
  <c r="AZ663" i="6"/>
  <c r="P664" i="6" s="1"/>
  <c r="AG663" i="6"/>
  <c r="AK663" i="6"/>
  <c r="AR663" i="6" s="1"/>
  <c r="AS663" i="6" s="1"/>
  <c r="BE54" i="6"/>
  <c r="U54" i="6"/>
  <c r="AZ1635" i="6"/>
  <c r="P1636" i="6" s="1"/>
  <c r="AK1635" i="6"/>
  <c r="AR1635" i="6" s="1"/>
  <c r="AS1635" i="6" s="1"/>
  <c r="AG1635" i="6"/>
  <c r="BG1465" i="6"/>
  <c r="W1466" i="6" s="1"/>
  <c r="AH1465" i="6"/>
  <c r="BG162" i="6"/>
  <c r="W163" i="6" s="1"/>
  <c r="AH162" i="6"/>
  <c r="BE522" i="6"/>
  <c r="U522" i="6"/>
  <c r="BF1083" i="6"/>
  <c r="V1084" i="6" s="1"/>
  <c r="AH1083" i="6"/>
  <c r="BF579" i="6"/>
  <c r="V580" i="6" s="1"/>
  <c r="AH579" i="6"/>
  <c r="BE845" i="6"/>
  <c r="U845" i="6"/>
  <c r="U812" i="6"/>
  <c r="BE812" i="6"/>
  <c r="AQ198" i="6"/>
  <c r="BA24" i="6"/>
  <c r="Q25" i="6" s="1"/>
  <c r="AG24" i="6"/>
  <c r="BF1263" i="6"/>
  <c r="V1264" i="6" s="1"/>
  <c r="AH1263" i="6"/>
  <c r="BF975" i="6"/>
  <c r="V976" i="6" s="1"/>
  <c r="AH975" i="6"/>
  <c r="AQ1134" i="6"/>
  <c r="AZ1563" i="6"/>
  <c r="P1564" i="6" s="1"/>
  <c r="AG1563" i="6"/>
  <c r="AK1563" i="6"/>
  <c r="AR1563" i="6" s="1"/>
  <c r="AS1563" i="6" s="1"/>
  <c r="BA1321" i="6"/>
  <c r="Q1322" i="6" s="1"/>
  <c r="AG1321" i="6"/>
  <c r="BA278" i="6"/>
  <c r="Q279" i="6" s="1"/>
  <c r="AG278" i="6"/>
  <c r="BD1387" i="6"/>
  <c r="T1388" i="6" s="1"/>
  <c r="AP1387" i="6"/>
  <c r="BO669" i="6"/>
  <c r="BN670" i="6" s="1"/>
  <c r="AL1598" i="6"/>
  <c r="AM1598" i="6"/>
  <c r="AM481" i="6"/>
  <c r="AL481" i="6"/>
  <c r="BO1044" i="6"/>
  <c r="BN1045" i="6" s="1"/>
  <c r="AK1044" i="6"/>
  <c r="BF183" i="6"/>
  <c r="V184" i="6" s="1"/>
  <c r="AH183" i="6"/>
  <c r="AM775" i="6"/>
  <c r="AL775" i="6"/>
  <c r="AM920" i="6"/>
  <c r="AL920" i="6"/>
  <c r="AL1130" i="6"/>
  <c r="AM1130" i="6"/>
  <c r="BD310" i="6"/>
  <c r="T311" i="6" s="1"/>
  <c r="AP310" i="6"/>
  <c r="BE666" i="6"/>
  <c r="U666" i="6"/>
  <c r="BG810" i="6"/>
  <c r="W811" i="6" s="1"/>
  <c r="AH810" i="6"/>
  <c r="BF1371" i="6"/>
  <c r="V1372" i="6" s="1"/>
  <c r="AH1371" i="6"/>
  <c r="BO1506" i="6"/>
  <c r="BN1507" i="6" s="1"/>
  <c r="BA1030" i="6"/>
  <c r="Q1031" i="6" s="1"/>
  <c r="AG1030" i="6"/>
  <c r="BO958" i="6"/>
  <c r="BN959" i="6" s="1"/>
  <c r="AK958" i="6"/>
  <c r="AR958" i="6" s="1"/>
  <c r="BA704" i="6"/>
  <c r="Q705" i="6" s="1"/>
  <c r="AH543" i="6"/>
  <c r="BF543" i="6"/>
  <c r="V544" i="6" s="1"/>
  <c r="BO1183" i="6"/>
  <c r="BN1184" i="6" s="1"/>
  <c r="AK1183" i="6"/>
  <c r="BO1641" i="6"/>
  <c r="BN1642" i="6" s="1"/>
  <c r="BO237" i="6"/>
  <c r="BN238" i="6" s="1"/>
  <c r="AK237" i="6"/>
  <c r="AM882" i="6"/>
  <c r="AL882" i="6"/>
  <c r="AM1529" i="6"/>
  <c r="AL1529" i="6"/>
  <c r="AN952" i="6"/>
  <c r="AU952" i="6" s="1"/>
  <c r="BA1244" i="6"/>
  <c r="Q1245" i="6" s="1"/>
  <c r="BA562" i="6"/>
  <c r="Q563" i="6" s="1"/>
  <c r="AG562" i="6"/>
  <c r="BD919" i="6"/>
  <c r="T920" i="6" s="1"/>
  <c r="AP919" i="6"/>
  <c r="AQ487" i="6"/>
  <c r="BG305" i="6"/>
  <c r="W306" i="6" s="1"/>
  <c r="AH305" i="6"/>
  <c r="BG1245" i="6"/>
  <c r="W1246" i="6" s="1"/>
  <c r="AH1245" i="6"/>
  <c r="BD199" i="6"/>
  <c r="T200" i="6" s="1"/>
  <c r="AP199" i="6"/>
  <c r="BG90" i="6"/>
  <c r="W91" i="6" s="1"/>
  <c r="AH90" i="6"/>
  <c r="BO1387" i="6"/>
  <c r="BN1388" i="6" s="1"/>
  <c r="AK1387" i="6"/>
  <c r="BA534" i="6"/>
  <c r="Q535" i="6" s="1"/>
  <c r="AN1528" i="6"/>
  <c r="AU1528" i="6" s="1"/>
  <c r="BG1385" i="6"/>
  <c r="W1386" i="6" s="1"/>
  <c r="AH1385" i="6"/>
  <c r="AH1551" i="6"/>
  <c r="BF1551" i="6"/>
  <c r="V1552" i="6" s="1"/>
  <c r="AN1452" i="6"/>
  <c r="AU1452" i="6" s="1"/>
  <c r="AM302" i="6"/>
  <c r="AL302" i="6"/>
  <c r="U270" i="6"/>
  <c r="BE270" i="6"/>
  <c r="BD488" i="6"/>
  <c r="T489" i="6" s="1"/>
  <c r="AP488" i="6"/>
  <c r="AR594" i="6"/>
  <c r="AQ594" i="6"/>
  <c r="AS917" i="6"/>
  <c r="AU917" i="6" s="1"/>
  <c r="AM195" i="6"/>
  <c r="AL195" i="6"/>
  <c r="BF111" i="6"/>
  <c r="V112" i="6" s="1"/>
  <c r="AH111" i="6"/>
  <c r="AS1205" i="6"/>
  <c r="AU1205" i="6" s="1"/>
  <c r="BA853" i="6"/>
  <c r="Q854" i="6" s="1"/>
  <c r="BG1208" i="6"/>
  <c r="W1209" i="6" s="1"/>
  <c r="AH1208" i="6"/>
  <c r="BO132" i="6"/>
  <c r="BN133" i="6" s="1"/>
  <c r="AK132" i="6"/>
  <c r="AZ482" i="6"/>
  <c r="P483" i="6" s="1"/>
  <c r="AG482" i="6"/>
  <c r="AK482" i="6"/>
  <c r="AR482" i="6" s="1"/>
  <c r="AS482" i="6" s="1"/>
  <c r="AQ740" i="6"/>
  <c r="BA633" i="6"/>
  <c r="Q634" i="6" s="1"/>
  <c r="AG633" i="6"/>
  <c r="BA776" i="6"/>
  <c r="Q777" i="6" s="1"/>
  <c r="AG776" i="6"/>
  <c r="U955" i="6"/>
  <c r="BE955" i="6"/>
  <c r="BA921" i="6"/>
  <c r="Q922" i="6" s="1"/>
  <c r="AG921" i="6"/>
  <c r="AL967" i="6"/>
  <c r="BF1299" i="6"/>
  <c r="V1300" i="6" s="1"/>
  <c r="AH1299" i="6"/>
  <c r="AZ698" i="6"/>
  <c r="P699" i="6" s="1"/>
  <c r="AK698" i="6"/>
  <c r="AR698" i="6" s="1"/>
  <c r="AS698" i="6" s="1"/>
  <c r="AG698" i="6"/>
  <c r="AM411" i="6"/>
  <c r="AL411" i="6"/>
  <c r="BF1155" i="6"/>
  <c r="V1156" i="6" s="1"/>
  <c r="AH1155" i="6"/>
  <c r="AH1611" i="6"/>
  <c r="BG1611" i="6"/>
  <c r="W1612" i="6" s="1"/>
  <c r="AZ1418" i="6"/>
  <c r="P1419" i="6" s="1"/>
  <c r="AK1418" i="6"/>
  <c r="AR1418" i="6" s="1"/>
  <c r="AS1418" i="6" s="1"/>
  <c r="AG1418" i="6"/>
  <c r="U198" i="6"/>
  <c r="BE198" i="6"/>
  <c r="BA1208" i="6"/>
  <c r="Q1209" i="6" s="1"/>
  <c r="AG1208" i="6"/>
  <c r="BO1083" i="6"/>
  <c r="BN1084" i="6" s="1"/>
  <c r="AN696" i="6"/>
  <c r="AU696" i="6" s="1"/>
  <c r="BE1350" i="6"/>
  <c r="U1350" i="6"/>
  <c r="BA206" i="6"/>
  <c r="Q207" i="6" s="1"/>
  <c r="BA1641" i="6"/>
  <c r="Q1642" i="6" s="1"/>
  <c r="AN882" i="6" l="1"/>
  <c r="AN1529" i="6"/>
  <c r="AU1529" i="6" s="1"/>
  <c r="AN1489" i="6"/>
  <c r="AU1489" i="6" s="1"/>
  <c r="AS558" i="6"/>
  <c r="AU558" i="6" s="1"/>
  <c r="AS1386" i="6"/>
  <c r="AS1351" i="6"/>
  <c r="AN561" i="6"/>
  <c r="AS162" i="6"/>
  <c r="AN1453" i="6"/>
  <c r="AU1453" i="6" s="1"/>
  <c r="AN1634" i="6"/>
  <c r="AU1634" i="6" s="1"/>
  <c r="AN920" i="6"/>
  <c r="AN775" i="6"/>
  <c r="AS1278" i="6"/>
  <c r="AU1278" i="6" s="1"/>
  <c r="AS1098" i="6"/>
  <c r="AU1098" i="6" s="1"/>
  <c r="AN842" i="6"/>
  <c r="AU842" i="6" s="1"/>
  <c r="AS1533" i="6"/>
  <c r="AN697" i="6"/>
  <c r="AU697" i="6" s="1"/>
  <c r="AS342" i="6"/>
  <c r="AU342" i="6" s="1"/>
  <c r="AN596" i="6"/>
  <c r="AN161" i="6"/>
  <c r="AU161" i="6" s="1"/>
  <c r="AN481" i="6"/>
  <c r="AU481" i="6" s="1"/>
  <c r="AN1598" i="6"/>
  <c r="AU1598" i="6" s="1"/>
  <c r="AN449" i="6"/>
  <c r="AU449" i="6" s="1"/>
  <c r="AN734" i="6"/>
  <c r="AU734" i="6" s="1"/>
  <c r="AN1562" i="6"/>
  <c r="AU1562" i="6" s="1"/>
  <c r="AN662" i="6"/>
  <c r="AU662" i="6" s="1"/>
  <c r="AN518" i="6"/>
  <c r="AU518" i="6" s="1"/>
  <c r="AN302" i="6"/>
  <c r="AU302" i="6" s="1"/>
  <c r="BG562" i="6"/>
  <c r="W563" i="6" s="1"/>
  <c r="AH562" i="6"/>
  <c r="BG380" i="6"/>
  <c r="W381" i="6" s="1"/>
  <c r="AH380" i="6"/>
  <c r="AL1239" i="6"/>
  <c r="AM1239" i="6"/>
  <c r="BE343" i="6"/>
  <c r="U343" i="6"/>
  <c r="AK177" i="6"/>
  <c r="BO177" i="6"/>
  <c r="BN178" i="6" s="1"/>
  <c r="BO1142" i="6"/>
  <c r="BN1143" i="6" s="1"/>
  <c r="U558" i="6"/>
  <c r="BE558" i="6"/>
  <c r="BG198" i="6"/>
  <c r="W199" i="6" s="1"/>
  <c r="AH198" i="6"/>
  <c r="BG522" i="6"/>
  <c r="W523" i="6" s="1"/>
  <c r="AH522" i="6"/>
  <c r="BF364" i="6"/>
  <c r="V365" i="6" s="1"/>
  <c r="AH364" i="6"/>
  <c r="AZ413" i="6"/>
  <c r="P414" i="6" s="1"/>
  <c r="AG413" i="6"/>
  <c r="AK413" i="6"/>
  <c r="AR413" i="6" s="1"/>
  <c r="AS413" i="6" s="1"/>
  <c r="AZ197" i="6"/>
  <c r="P198" i="6" s="1"/>
  <c r="AG197" i="6"/>
  <c r="AK197" i="6"/>
  <c r="AR197" i="6" s="1"/>
  <c r="AS197" i="6" s="1"/>
  <c r="U1422" i="6"/>
  <c r="BE1422" i="6"/>
  <c r="BF1660" i="6"/>
  <c r="V1661" i="6" s="1"/>
  <c r="AH1660" i="6"/>
  <c r="BF1300" i="6"/>
  <c r="V1301" i="6" s="1"/>
  <c r="AH1300" i="6"/>
  <c r="BA854" i="6"/>
  <c r="Q855" i="6" s="1"/>
  <c r="BA705" i="6"/>
  <c r="Q706" i="6" s="1"/>
  <c r="AM1563" i="6"/>
  <c r="AL1563" i="6"/>
  <c r="AM162" i="6"/>
  <c r="AL162" i="6"/>
  <c r="BD57" i="6"/>
  <c r="T58" i="6" s="1"/>
  <c r="AP57" i="6"/>
  <c r="AR127" i="6"/>
  <c r="AQ127" i="6"/>
  <c r="AQ91" i="6"/>
  <c r="BG451" i="6"/>
  <c r="W452" i="6" s="1"/>
  <c r="AH451" i="6"/>
  <c r="BA133" i="6"/>
  <c r="Q134" i="6" s="1"/>
  <c r="AG133" i="6"/>
  <c r="BO893" i="6"/>
  <c r="BN894" i="6" s="1"/>
  <c r="AK893" i="6"/>
  <c r="BG1318" i="6"/>
  <c r="W1319" i="6" s="1"/>
  <c r="AH1318" i="6"/>
  <c r="BG270" i="6"/>
  <c r="W271" i="6" s="1"/>
  <c r="AH270" i="6"/>
  <c r="BO532" i="6"/>
  <c r="BN533" i="6" s="1"/>
  <c r="BF328" i="6"/>
  <c r="V329" i="6" s="1"/>
  <c r="AH328" i="6"/>
  <c r="AQ959" i="6"/>
  <c r="BA1462" i="6"/>
  <c r="Q1463" i="6" s="1"/>
  <c r="AN343" i="6"/>
  <c r="AQ667" i="6"/>
  <c r="AZ1060" i="6"/>
  <c r="P1061" i="6" s="1"/>
  <c r="AK1060" i="6"/>
  <c r="AR1060" i="6" s="1"/>
  <c r="AS1060" i="6" s="1"/>
  <c r="AG1060" i="6"/>
  <c r="AS990" i="6"/>
  <c r="AH904" i="6"/>
  <c r="BF904" i="6"/>
  <c r="V905" i="6" s="1"/>
  <c r="BF724" i="6"/>
  <c r="V725" i="6" s="1"/>
  <c r="AH724" i="6"/>
  <c r="AZ88" i="6"/>
  <c r="P89" i="6" s="1"/>
  <c r="AK88" i="6"/>
  <c r="AR88" i="6" s="1"/>
  <c r="AS88" i="6" s="1"/>
  <c r="AG88" i="6"/>
  <c r="BE704" i="6"/>
  <c r="U704" i="6"/>
  <c r="AM1172" i="6"/>
  <c r="AL1172" i="6"/>
  <c r="AH868" i="6"/>
  <c r="BF868" i="6"/>
  <c r="V869" i="6" s="1"/>
  <c r="BO422" i="6"/>
  <c r="BN423" i="6" s="1"/>
  <c r="BE990" i="6"/>
  <c r="U990" i="6"/>
  <c r="AR811" i="6"/>
  <c r="AQ811" i="6"/>
  <c r="BA1426" i="6"/>
  <c r="Q1427" i="6" s="1"/>
  <c r="BO350" i="6"/>
  <c r="BN351" i="6" s="1"/>
  <c r="AK350" i="6"/>
  <c r="BO782" i="6"/>
  <c r="BN783" i="6" s="1"/>
  <c r="AK782" i="6"/>
  <c r="AN632" i="6"/>
  <c r="AL1599" i="6"/>
  <c r="AM1599" i="6"/>
  <c r="AR595" i="6"/>
  <c r="AQ595" i="6"/>
  <c r="AL1418" i="6"/>
  <c r="AM1418" i="6"/>
  <c r="BA535" i="6"/>
  <c r="Q536" i="6" s="1"/>
  <c r="U523" i="6"/>
  <c r="BE523" i="6"/>
  <c r="BG487" i="6"/>
  <c r="W488" i="6" s="1"/>
  <c r="AH487" i="6"/>
  <c r="BF1372" i="6"/>
  <c r="V1373" i="6" s="1"/>
  <c r="AH1372" i="6"/>
  <c r="AZ1564" i="6"/>
  <c r="P1565" i="6" s="1"/>
  <c r="AG1564" i="6"/>
  <c r="AK1564" i="6"/>
  <c r="AR1564" i="6" s="1"/>
  <c r="AS1564" i="6" s="1"/>
  <c r="BG163" i="6"/>
  <c r="W164" i="6" s="1"/>
  <c r="AH163" i="6"/>
  <c r="BD128" i="6"/>
  <c r="T129" i="6" s="1"/>
  <c r="AP128" i="6"/>
  <c r="U1099" i="6"/>
  <c r="BE1099" i="6"/>
  <c r="AM1317" i="6"/>
  <c r="AL1317" i="6"/>
  <c r="BG667" i="6"/>
  <c r="W668" i="6" s="1"/>
  <c r="AH667" i="6"/>
  <c r="AH1336" i="6"/>
  <c r="BF1336" i="6"/>
  <c r="V1337" i="6" s="1"/>
  <c r="BA494" i="6"/>
  <c r="Q495" i="6" s="1"/>
  <c r="BD668" i="6"/>
  <c r="T669" i="6" s="1"/>
  <c r="AP668" i="6"/>
  <c r="U775" i="6"/>
  <c r="BE775" i="6"/>
  <c r="BA1173" i="6"/>
  <c r="Q1174" i="6" s="1"/>
  <c r="AG1173" i="6"/>
  <c r="BD812" i="6"/>
  <c r="T813" i="6" s="1"/>
  <c r="AP812" i="6"/>
  <c r="BO1575" i="6"/>
  <c r="BN1576" i="6" s="1"/>
  <c r="AZ1240" i="6"/>
  <c r="P1241" i="6" s="1"/>
  <c r="AK1240" i="6"/>
  <c r="AR1240" i="6" s="1"/>
  <c r="AS1240" i="6" s="1"/>
  <c r="AG1240" i="6"/>
  <c r="BF1408" i="6"/>
  <c r="V1409" i="6" s="1"/>
  <c r="AH1408" i="6"/>
  <c r="AH760" i="6"/>
  <c r="BF760" i="6"/>
  <c r="V761" i="6" s="1"/>
  <c r="AM1454" i="6"/>
  <c r="AL1454" i="6"/>
  <c r="AN989" i="6"/>
  <c r="AU989" i="6" s="1"/>
  <c r="BA345" i="6"/>
  <c r="Q346" i="6" s="1"/>
  <c r="AG345" i="6"/>
  <c r="U739" i="6"/>
  <c r="BE739" i="6"/>
  <c r="AH847" i="6"/>
  <c r="BG847" i="6"/>
  <c r="W848" i="6" s="1"/>
  <c r="AN1207" i="6"/>
  <c r="AN1279" i="6"/>
  <c r="AZ1600" i="6"/>
  <c r="P1601" i="6" s="1"/>
  <c r="AK1600" i="6"/>
  <c r="AR1600" i="6" s="1"/>
  <c r="AS1600" i="6" s="1"/>
  <c r="AG1600" i="6"/>
  <c r="BD596" i="6"/>
  <c r="T597" i="6" s="1"/>
  <c r="AP596" i="6"/>
  <c r="BD344" i="6"/>
  <c r="T345" i="6" s="1"/>
  <c r="AP344" i="6"/>
  <c r="BD960" i="6"/>
  <c r="T961" i="6" s="1"/>
  <c r="AP960" i="6"/>
  <c r="AR1174" i="6"/>
  <c r="AQ1174" i="6"/>
  <c r="BE1135" i="6"/>
  <c r="U1135" i="6"/>
  <c r="AK274" i="6"/>
  <c r="BO274" i="6"/>
  <c r="BN275" i="6" s="1"/>
  <c r="BO1084" i="6"/>
  <c r="BN1085" i="6" s="1"/>
  <c r="BG1612" i="6"/>
  <c r="W1613" i="6" s="1"/>
  <c r="BG1613" i="6" s="1"/>
  <c r="W1614" i="6" s="1"/>
  <c r="BG1614" i="6" s="1"/>
  <c r="W1615" i="6" s="1"/>
  <c r="BG1615" i="6" s="1"/>
  <c r="W1616" i="6" s="1"/>
  <c r="BG1616" i="6" s="1"/>
  <c r="W1617" i="6" s="1"/>
  <c r="BG1617" i="6" s="1"/>
  <c r="W1618" i="6" s="1"/>
  <c r="BG1618" i="6" s="1"/>
  <c r="W1619" i="6" s="1"/>
  <c r="BG1619" i="6" s="1"/>
  <c r="W1620" i="6" s="1"/>
  <c r="BG1620" i="6" s="1"/>
  <c r="W1621" i="6" s="1"/>
  <c r="BG1621" i="6" s="1"/>
  <c r="W1622" i="6" s="1"/>
  <c r="BG1622" i="6" s="1"/>
  <c r="W1623" i="6" s="1"/>
  <c r="BG1623" i="6" s="1"/>
  <c r="W1624" i="6" s="1"/>
  <c r="BG1624" i="6" s="1"/>
  <c r="W1625" i="6" s="1"/>
  <c r="BG1625" i="6" s="1"/>
  <c r="AH1612" i="6"/>
  <c r="AL482" i="6"/>
  <c r="AM482" i="6"/>
  <c r="BD920" i="6"/>
  <c r="T921" i="6" s="1"/>
  <c r="AP920" i="6"/>
  <c r="AM810" i="6"/>
  <c r="AL810" i="6"/>
  <c r="U813" i="6"/>
  <c r="BE813" i="6"/>
  <c r="AZ664" i="6"/>
  <c r="P665" i="6" s="1"/>
  <c r="AG664" i="6"/>
  <c r="AK664" i="6"/>
  <c r="AR664" i="6" s="1"/>
  <c r="AS664" i="6" s="1"/>
  <c r="BG233" i="6"/>
  <c r="W234" i="6" s="1"/>
  <c r="AH233" i="6"/>
  <c r="BD1175" i="6"/>
  <c r="T1176" i="6" s="1"/>
  <c r="AP1175" i="6"/>
  <c r="AZ40" i="6"/>
  <c r="P41" i="6" s="1"/>
  <c r="AK40" i="6"/>
  <c r="AZ461" i="6"/>
  <c r="P462" i="6" s="1"/>
  <c r="AK461" i="6"/>
  <c r="BO1336" i="6"/>
  <c r="BN1337" i="6" s="1"/>
  <c r="AS126" i="6"/>
  <c r="AQ1568" i="6"/>
  <c r="AQ847" i="6"/>
  <c r="BG416" i="6"/>
  <c r="W417" i="6" s="1"/>
  <c r="AH416" i="6"/>
  <c r="AS1206" i="6"/>
  <c r="AU1206" i="6" s="1"/>
  <c r="BE919" i="6"/>
  <c r="U919" i="6"/>
  <c r="BO1465" i="6"/>
  <c r="BN1466" i="6" s="1"/>
  <c r="BG1104" i="6"/>
  <c r="W1105" i="6" s="1"/>
  <c r="AH1104" i="6"/>
  <c r="BF688" i="6"/>
  <c r="V689" i="6" s="1"/>
  <c r="AH688" i="6"/>
  <c r="BO76" i="6"/>
  <c r="BN77" i="6" s="1"/>
  <c r="U452" i="6"/>
  <c r="BE452" i="6"/>
  <c r="AQ1603" i="6"/>
  <c r="AR272" i="6"/>
  <c r="AQ272" i="6"/>
  <c r="U1243" i="6"/>
  <c r="BE1243" i="6"/>
  <c r="BO1609" i="6"/>
  <c r="BN1610" i="6" s="1"/>
  <c r="BA889" i="6"/>
  <c r="Q890" i="6" s="1"/>
  <c r="AG889" i="6"/>
  <c r="AN50" i="6"/>
  <c r="AU50" i="6" s="1"/>
  <c r="AL1280" i="6"/>
  <c r="AM1280" i="6"/>
  <c r="BA1137" i="6"/>
  <c r="Q1138" i="6" s="1"/>
  <c r="BE631" i="6"/>
  <c r="U631" i="6"/>
  <c r="AM269" i="6"/>
  <c r="AL269" i="6"/>
  <c r="BG1425" i="6"/>
  <c r="W1426" i="6" s="1"/>
  <c r="AH1425" i="6"/>
  <c r="BO1388" i="6"/>
  <c r="BN1389" i="6" s="1"/>
  <c r="AK1388" i="6"/>
  <c r="AQ919" i="6"/>
  <c r="AR919" i="6"/>
  <c r="AL663" i="6"/>
  <c r="AM663" i="6"/>
  <c r="AM232" i="6"/>
  <c r="AL232" i="6"/>
  <c r="BD92" i="6"/>
  <c r="T93" i="6" s="1"/>
  <c r="AP92" i="6"/>
  <c r="AL1208" i="6"/>
  <c r="AM1208" i="6"/>
  <c r="AM921" i="6"/>
  <c r="AL921" i="6"/>
  <c r="AZ483" i="6"/>
  <c r="P484" i="6" s="1"/>
  <c r="AG483" i="6"/>
  <c r="AK483" i="6"/>
  <c r="AR483" i="6" s="1"/>
  <c r="AS483" i="6" s="1"/>
  <c r="BF112" i="6"/>
  <c r="V113" i="6" s="1"/>
  <c r="AH112" i="6"/>
  <c r="BG91" i="6"/>
  <c r="W92" i="6" s="1"/>
  <c r="AH91" i="6"/>
  <c r="AL562" i="6"/>
  <c r="AM562" i="6"/>
  <c r="BO238" i="6"/>
  <c r="BN239" i="6" s="1"/>
  <c r="AK238" i="6"/>
  <c r="BG811" i="6"/>
  <c r="W812" i="6" s="1"/>
  <c r="AH811" i="6"/>
  <c r="BO670" i="6"/>
  <c r="BN671" i="6" s="1"/>
  <c r="BG1466" i="6"/>
  <c r="W1467" i="6" s="1"/>
  <c r="AH1466" i="6"/>
  <c r="AN809" i="6"/>
  <c r="AU809" i="6" s="1"/>
  <c r="BA1065" i="6"/>
  <c r="Q1066" i="6" s="1"/>
  <c r="AS918" i="6"/>
  <c r="AU918" i="6" s="1"/>
  <c r="AL51" i="6"/>
  <c r="AM51" i="6"/>
  <c r="BD1569" i="6"/>
  <c r="T1570" i="6" s="1"/>
  <c r="AP1569" i="6"/>
  <c r="U1027" i="6"/>
  <c r="BE1027" i="6"/>
  <c r="BD848" i="6"/>
  <c r="T849" i="6" s="1"/>
  <c r="AP848" i="6"/>
  <c r="BO471" i="6"/>
  <c r="BN472" i="6" s="1"/>
  <c r="AM303" i="6"/>
  <c r="AL303" i="6"/>
  <c r="BE1495" i="6"/>
  <c r="U1495" i="6"/>
  <c r="BH926" i="6"/>
  <c r="X927" i="6" s="1"/>
  <c r="AD926" i="6"/>
  <c r="AS958" i="6"/>
  <c r="BO926" i="6"/>
  <c r="BN927" i="6" s="1"/>
  <c r="AK926" i="6"/>
  <c r="BE1531" i="6"/>
  <c r="U1531" i="6"/>
  <c r="AR631" i="6"/>
  <c r="AQ631" i="6"/>
  <c r="AP1604" i="6"/>
  <c r="BD1604" i="6"/>
  <c r="T1605" i="6" s="1"/>
  <c r="BA1497" i="6"/>
  <c r="Q1498" i="6" s="1"/>
  <c r="BO1543" i="6"/>
  <c r="BN1544" i="6" s="1"/>
  <c r="AK1543" i="6"/>
  <c r="BD273" i="6"/>
  <c r="T274" i="6" s="1"/>
  <c r="AP273" i="6"/>
  <c r="AZ1455" i="6"/>
  <c r="P1456" i="6" s="1"/>
  <c r="AK1455" i="6"/>
  <c r="AR1455" i="6" s="1"/>
  <c r="AS1455" i="6" s="1"/>
  <c r="AG1455" i="6"/>
  <c r="BF40" i="6"/>
  <c r="V41" i="6" s="1"/>
  <c r="AH40" i="6"/>
  <c r="BO581" i="6"/>
  <c r="BG1281" i="6"/>
  <c r="W1282" i="6" s="1"/>
  <c r="AH1281" i="6"/>
  <c r="AG995" i="6"/>
  <c r="BA995" i="6"/>
  <c r="Q996" i="6" s="1"/>
  <c r="AQ741" i="6"/>
  <c r="BG54" i="6"/>
  <c r="W55" i="6" s="1"/>
  <c r="AH54" i="6"/>
  <c r="AM450" i="6"/>
  <c r="AL450" i="6"/>
  <c r="BD526" i="6"/>
  <c r="T527" i="6" s="1"/>
  <c r="AP526" i="6"/>
  <c r="BO616" i="6"/>
  <c r="BN617" i="6" s="1"/>
  <c r="AK616" i="6"/>
  <c r="AZ1419" i="6"/>
  <c r="P1420" i="6" s="1"/>
  <c r="AK1419" i="6"/>
  <c r="AR1419" i="6" s="1"/>
  <c r="AS1419" i="6" s="1"/>
  <c r="AG1419" i="6"/>
  <c r="BA1209" i="6"/>
  <c r="Q1210" i="6" s="1"/>
  <c r="AG1209" i="6"/>
  <c r="BA922" i="6"/>
  <c r="Q923" i="6" s="1"/>
  <c r="AG922" i="6"/>
  <c r="AN195" i="6"/>
  <c r="AU195" i="6" s="1"/>
  <c r="BF1552" i="6"/>
  <c r="V1553" i="6" s="1"/>
  <c r="AH1552" i="6"/>
  <c r="BA563" i="6"/>
  <c r="Q564" i="6" s="1"/>
  <c r="AG563" i="6"/>
  <c r="BF184" i="6"/>
  <c r="V185" i="6" s="1"/>
  <c r="AH184" i="6"/>
  <c r="BF1624" i="6"/>
  <c r="V1625" i="6" s="1"/>
  <c r="AH1624" i="6"/>
  <c r="BF940" i="6"/>
  <c r="V941" i="6" s="1"/>
  <c r="AH940" i="6"/>
  <c r="BA423" i="6"/>
  <c r="Q424" i="6" s="1"/>
  <c r="BA1283" i="6"/>
  <c r="Q1284" i="6" s="1"/>
  <c r="AG1283" i="6"/>
  <c r="U488" i="6"/>
  <c r="BE488" i="6"/>
  <c r="AQ1640" i="6"/>
  <c r="AN1350" i="6"/>
  <c r="AU1350" i="6" s="1"/>
  <c r="BE1566" i="6"/>
  <c r="U1566" i="6"/>
  <c r="BE163" i="6"/>
  <c r="U163" i="6"/>
  <c r="BO1429" i="6"/>
  <c r="BN1430" i="6" s="1"/>
  <c r="AZ304" i="6"/>
  <c r="P305" i="6" s="1"/>
  <c r="AG304" i="6"/>
  <c r="AK304" i="6"/>
  <c r="AR304" i="6" s="1"/>
  <c r="AS304" i="6" s="1"/>
  <c r="AL1490" i="6"/>
  <c r="AM1490" i="6"/>
  <c r="BE91" i="6"/>
  <c r="U91" i="6"/>
  <c r="AN1058" i="6"/>
  <c r="AU1058" i="6" s="1"/>
  <c r="BO329" i="6"/>
  <c r="AM735" i="6"/>
  <c r="AL735" i="6"/>
  <c r="BA1352" i="6"/>
  <c r="Q1353" i="6" s="1"/>
  <c r="AG1352" i="6"/>
  <c r="BF832" i="6"/>
  <c r="V833" i="6" s="1"/>
  <c r="AH832" i="6"/>
  <c r="BD632" i="6"/>
  <c r="T633" i="6" s="1"/>
  <c r="AP632" i="6"/>
  <c r="AM990" i="6"/>
  <c r="AL990" i="6"/>
  <c r="AS630" i="6"/>
  <c r="AU630" i="6" s="1"/>
  <c r="AN86" i="6"/>
  <c r="AU86" i="6" s="1"/>
  <c r="BF436" i="6"/>
  <c r="V437" i="6" s="1"/>
  <c r="AH436" i="6"/>
  <c r="AQ1423" i="6"/>
  <c r="AN1171" i="6"/>
  <c r="AU1171" i="6" s="1"/>
  <c r="AS271" i="6"/>
  <c r="AQ881" i="6"/>
  <c r="AR881" i="6"/>
  <c r="AN124" i="6"/>
  <c r="AU124" i="6" s="1"/>
  <c r="AS880" i="6"/>
  <c r="AU880" i="6" s="1"/>
  <c r="BD742" i="6"/>
  <c r="T743" i="6" s="1"/>
  <c r="AP742" i="6"/>
  <c r="BG738" i="6"/>
  <c r="W739" i="6" s="1"/>
  <c r="AH738" i="6"/>
  <c r="BF1156" i="6"/>
  <c r="V1157" i="6" s="1"/>
  <c r="AH1156" i="6"/>
  <c r="U846" i="6"/>
  <c r="BE846" i="6"/>
  <c r="BF400" i="6"/>
  <c r="V401" i="6" s="1"/>
  <c r="AH400" i="6"/>
  <c r="AZ52" i="6"/>
  <c r="P53" i="6" s="1"/>
  <c r="AK52" i="6"/>
  <c r="AR52" i="6" s="1"/>
  <c r="AS52" i="6" s="1"/>
  <c r="AG52" i="6"/>
  <c r="AP1641" i="6"/>
  <c r="BD1641" i="6"/>
  <c r="T1642" i="6" s="1"/>
  <c r="BG598" i="6"/>
  <c r="W599" i="6" s="1"/>
  <c r="AH598" i="6"/>
  <c r="BO1252" i="6"/>
  <c r="BN1253" i="6" s="1"/>
  <c r="AR991" i="6"/>
  <c r="AQ991" i="6"/>
  <c r="BF472" i="6"/>
  <c r="V473" i="6" s="1"/>
  <c r="AH472" i="6"/>
  <c r="BH1010" i="6"/>
  <c r="X1011" i="6" s="1"/>
  <c r="AD1010" i="6"/>
  <c r="BG1140" i="6"/>
  <c r="W1141" i="6" s="1"/>
  <c r="AH1140" i="6"/>
  <c r="BO201" i="6"/>
  <c r="BN202" i="6" s="1"/>
  <c r="AM1351" i="6"/>
  <c r="AL1351" i="6"/>
  <c r="BE1388" i="6"/>
  <c r="U1388" i="6"/>
  <c r="BA1609" i="6"/>
  <c r="Q1610" i="6" s="1"/>
  <c r="BG991" i="6"/>
  <c r="W992" i="6" s="1"/>
  <c r="AH991" i="6"/>
  <c r="BO386" i="6"/>
  <c r="BN387" i="6" s="1"/>
  <c r="AK386" i="6"/>
  <c r="AR1352" i="6"/>
  <c r="AQ1352" i="6"/>
  <c r="AL597" i="6"/>
  <c r="AM597" i="6"/>
  <c r="BG776" i="6"/>
  <c r="W777" i="6" s="1"/>
  <c r="AH776" i="6"/>
  <c r="BD1424" i="6"/>
  <c r="T1425" i="6" s="1"/>
  <c r="AP1424" i="6"/>
  <c r="BF1444" i="6"/>
  <c r="V1445" i="6" s="1"/>
  <c r="AH1444" i="6"/>
  <c r="BE19" i="6"/>
  <c r="U19" i="6"/>
  <c r="BD882" i="6"/>
  <c r="T883" i="6" s="1"/>
  <c r="AP882" i="6"/>
  <c r="BF76" i="6"/>
  <c r="V77" i="6" s="1"/>
  <c r="AH76" i="6"/>
  <c r="BE416" i="6"/>
  <c r="U416" i="6"/>
  <c r="BE271" i="6"/>
  <c r="U271" i="6"/>
  <c r="AQ56" i="6"/>
  <c r="BF292" i="6"/>
  <c r="V293" i="6" s="1"/>
  <c r="AH292" i="6"/>
  <c r="AQ199" i="6"/>
  <c r="AR1387" i="6"/>
  <c r="AQ1387" i="6"/>
  <c r="AQ775" i="6"/>
  <c r="AR775" i="6"/>
  <c r="AM1530" i="6"/>
  <c r="AL1530" i="6"/>
  <c r="AQ1279" i="6"/>
  <c r="AR1279" i="6"/>
  <c r="AN411" i="6"/>
  <c r="AU411" i="6" s="1"/>
  <c r="BO133" i="6"/>
  <c r="BN134" i="6" s="1"/>
  <c r="AK133" i="6"/>
  <c r="BD200" i="6"/>
  <c r="T201" i="6" s="1"/>
  <c r="AP200" i="6"/>
  <c r="BO1642" i="6"/>
  <c r="BN1643" i="6" s="1"/>
  <c r="BE667" i="6"/>
  <c r="U667" i="6"/>
  <c r="BD1388" i="6"/>
  <c r="T1389" i="6" s="1"/>
  <c r="AP1388" i="6"/>
  <c r="BD164" i="6"/>
  <c r="T165" i="6" s="1"/>
  <c r="AP164" i="6"/>
  <c r="BD776" i="6"/>
  <c r="T777" i="6" s="1"/>
  <c r="AP776" i="6"/>
  <c r="BG1531" i="6"/>
  <c r="W1532" i="6" s="1"/>
  <c r="AH1531" i="6"/>
  <c r="BE882" i="6"/>
  <c r="U882" i="6"/>
  <c r="AS774" i="6"/>
  <c r="AQ1061" i="6"/>
  <c r="BD1280" i="6"/>
  <c r="T1281" i="6" s="1"/>
  <c r="AP1280" i="6"/>
  <c r="BF616" i="6"/>
  <c r="V617" i="6" s="1"/>
  <c r="AH616" i="6"/>
  <c r="BD992" i="6"/>
  <c r="T993" i="6" s="1"/>
  <c r="AP992" i="6"/>
  <c r="BF148" i="6"/>
  <c r="V149" i="6" s="1"/>
  <c r="AH148" i="6"/>
  <c r="AN1316" i="6"/>
  <c r="AU1316" i="6" s="1"/>
  <c r="AR559" i="6"/>
  <c r="AQ559" i="6"/>
  <c r="BG704" i="6"/>
  <c r="W705" i="6" s="1"/>
  <c r="AH704" i="6"/>
  <c r="AR451" i="6"/>
  <c r="AQ451" i="6"/>
  <c r="U1458" i="6"/>
  <c r="BE1458" i="6"/>
  <c r="AZ1491" i="6"/>
  <c r="P1492" i="6" s="1"/>
  <c r="AK1491" i="6"/>
  <c r="AR1491" i="6" s="1"/>
  <c r="AS1491" i="6" s="1"/>
  <c r="AG1491" i="6"/>
  <c r="AQ704" i="6"/>
  <c r="BA243" i="6"/>
  <c r="Q244" i="6" s="1"/>
  <c r="AG243" i="6"/>
  <c r="BA320" i="6"/>
  <c r="Q321" i="6" s="1"/>
  <c r="BA1393" i="6"/>
  <c r="Q1394" i="6" s="1"/>
  <c r="AG1393" i="6"/>
  <c r="AZ736" i="6"/>
  <c r="P737" i="6" s="1"/>
  <c r="AK736" i="6"/>
  <c r="AR736" i="6" s="1"/>
  <c r="AS736" i="6" s="1"/>
  <c r="AG736" i="6"/>
  <c r="BG1354" i="6"/>
  <c r="W1355" i="6" s="1"/>
  <c r="AH1354" i="6"/>
  <c r="AR1027" i="6"/>
  <c r="AQ1027" i="6"/>
  <c r="BD1353" i="6"/>
  <c r="T1354" i="6" s="1"/>
  <c r="AP1353" i="6"/>
  <c r="AG598" i="6"/>
  <c r="BA598" i="6"/>
  <c r="Q599" i="6" s="1"/>
  <c r="BG1173" i="6"/>
  <c r="W1174" i="6" s="1"/>
  <c r="AH1173" i="6"/>
  <c r="BG922" i="6"/>
  <c r="W923" i="6" s="1"/>
  <c r="AH922" i="6"/>
  <c r="BE1315" i="6"/>
  <c r="U1315" i="6"/>
  <c r="BA458" i="6"/>
  <c r="Q459" i="6" s="1"/>
  <c r="AG458" i="6"/>
  <c r="BF1480" i="6"/>
  <c r="V1481" i="6" s="1"/>
  <c r="AH1480" i="6"/>
  <c r="AL968" i="6"/>
  <c r="AQ235" i="6"/>
  <c r="AR235" i="6"/>
  <c r="BE956" i="6"/>
  <c r="U956" i="6"/>
  <c r="AL1635" i="6"/>
  <c r="AM1635" i="6"/>
  <c r="BA1642" i="6"/>
  <c r="Q1643" i="6" s="1"/>
  <c r="AM776" i="6"/>
  <c r="AL776" i="6"/>
  <c r="AS594" i="6"/>
  <c r="AU594" i="6" s="1"/>
  <c r="AM1385" i="6"/>
  <c r="AL1385" i="6"/>
  <c r="AN1385" i="6" s="1"/>
  <c r="AU1385" i="6" s="1"/>
  <c r="AQ310" i="6"/>
  <c r="BO1045" i="6"/>
  <c r="BN1046" i="6" s="1"/>
  <c r="AK1045" i="6"/>
  <c r="BF1264" i="6"/>
  <c r="V1265" i="6" s="1"/>
  <c r="AH1264" i="6"/>
  <c r="BF580" i="6"/>
  <c r="V581" i="6" s="1"/>
  <c r="AH580" i="6"/>
  <c r="AZ1636" i="6"/>
  <c r="P1637" i="6" s="1"/>
  <c r="AK1636" i="6"/>
  <c r="AR1636" i="6" s="1"/>
  <c r="AS1636" i="6" s="1"/>
  <c r="AG1636" i="6"/>
  <c r="AN1417" i="6"/>
  <c r="AU1417" i="6" s="1"/>
  <c r="BF1192" i="6"/>
  <c r="V1193" i="6" s="1"/>
  <c r="AH1192" i="6"/>
  <c r="AM1028" i="6"/>
  <c r="AL1028" i="6"/>
  <c r="AN231" i="6"/>
  <c r="AU231" i="6" s="1"/>
  <c r="AM519" i="6"/>
  <c r="AL519" i="6"/>
  <c r="AN1027" i="6"/>
  <c r="AZ1004" i="6"/>
  <c r="P1005" i="6" s="1"/>
  <c r="AK1004" i="6"/>
  <c r="BD1062" i="6"/>
  <c r="T1063" i="6" s="1"/>
  <c r="AP1062" i="6"/>
  <c r="AQ379" i="6"/>
  <c r="AR379" i="6"/>
  <c r="BO825" i="6"/>
  <c r="BN826" i="6" s="1"/>
  <c r="AK825" i="6"/>
  <c r="BD560" i="6"/>
  <c r="T561" i="6" s="1"/>
  <c r="AP560" i="6"/>
  <c r="AH1588" i="6"/>
  <c r="BF1588" i="6"/>
  <c r="V1589" i="6" s="1"/>
  <c r="BA742" i="6"/>
  <c r="Q743" i="6" s="1"/>
  <c r="BD452" i="6"/>
  <c r="T453" i="6" s="1"/>
  <c r="AP452" i="6"/>
  <c r="BG1062" i="6"/>
  <c r="W1063" i="6" s="1"/>
  <c r="AH1062" i="6"/>
  <c r="BD705" i="6"/>
  <c r="T706" i="6" s="1"/>
  <c r="AP705" i="6"/>
  <c r="AS810" i="6"/>
  <c r="AL17" i="6"/>
  <c r="AM17" i="6"/>
  <c r="BF220" i="6"/>
  <c r="V221" i="6" s="1"/>
  <c r="AH220" i="6"/>
  <c r="BD1028" i="6"/>
  <c r="T1029" i="6" s="1"/>
  <c r="AP1028" i="6"/>
  <c r="AR1318" i="6"/>
  <c r="AQ1318" i="6"/>
  <c r="U1170" i="6"/>
  <c r="BE1170" i="6"/>
  <c r="AS378" i="6"/>
  <c r="AU378" i="6" s="1"/>
  <c r="AN953" i="6"/>
  <c r="AU953" i="6" s="1"/>
  <c r="AU774" i="6"/>
  <c r="BG634" i="6"/>
  <c r="W635" i="6" s="1"/>
  <c r="AH634" i="6"/>
  <c r="AM843" i="6"/>
  <c r="AL843" i="6"/>
  <c r="AN1099" i="6"/>
  <c r="BA969" i="6"/>
  <c r="Q970" i="6" s="1"/>
  <c r="AG969" i="6"/>
  <c r="BO1360" i="6"/>
  <c r="BN1361" i="6" s="1"/>
  <c r="AK1360" i="6"/>
  <c r="AN268" i="6"/>
  <c r="AU268" i="6" s="1"/>
  <c r="BD236" i="6"/>
  <c r="T237" i="6" s="1"/>
  <c r="AP236" i="6"/>
  <c r="BA1245" i="6"/>
  <c r="Q1246" i="6" s="1"/>
  <c r="BO959" i="6"/>
  <c r="BN960" i="6" s="1"/>
  <c r="AK959" i="6"/>
  <c r="AR959" i="6" s="1"/>
  <c r="AH976" i="6"/>
  <c r="BF976" i="6"/>
  <c r="V977" i="6" s="1"/>
  <c r="BG1501" i="6"/>
  <c r="W1502" i="6" s="1"/>
  <c r="AH1501" i="6"/>
  <c r="BA777" i="6"/>
  <c r="Q778" i="6" s="1"/>
  <c r="AG777" i="6"/>
  <c r="AZ520" i="6"/>
  <c r="P521" i="6" s="1"/>
  <c r="AG520" i="6"/>
  <c r="AK520" i="6"/>
  <c r="AR520" i="6" s="1"/>
  <c r="AS520" i="6" s="1"/>
  <c r="BD380" i="6"/>
  <c r="T381" i="6" s="1"/>
  <c r="AP380" i="6"/>
  <c r="BF1012" i="6"/>
  <c r="V1013" i="6" s="1"/>
  <c r="AH1012" i="6"/>
  <c r="BE1639" i="6"/>
  <c r="U1639" i="6"/>
  <c r="AR19" i="6"/>
  <c r="AQ19" i="6"/>
  <c r="BO754" i="6"/>
  <c r="BN755" i="6" s="1"/>
  <c r="BG18" i="6"/>
  <c r="W19" i="6" s="1"/>
  <c r="AH18" i="6"/>
  <c r="BA172" i="6"/>
  <c r="Q173" i="6" s="1"/>
  <c r="AG172" i="6"/>
  <c r="BF1228" i="6"/>
  <c r="V1229" i="6" s="1"/>
  <c r="AH1228" i="6"/>
  <c r="AQ415" i="6"/>
  <c r="BA58" i="6"/>
  <c r="Q59" i="6" s="1"/>
  <c r="BD1319" i="6"/>
  <c r="T1320" i="6" s="1"/>
  <c r="AP1319" i="6"/>
  <c r="BO648" i="6"/>
  <c r="BN649" i="6" s="1"/>
  <c r="AK648" i="6"/>
  <c r="AZ844" i="6"/>
  <c r="P845" i="6" s="1"/>
  <c r="AG844" i="6"/>
  <c r="AK844" i="6"/>
  <c r="AR844" i="6" s="1"/>
  <c r="AS844" i="6" s="1"/>
  <c r="BO1107" i="6"/>
  <c r="BN1108" i="6" s="1"/>
  <c r="AK1107" i="6"/>
  <c r="AM1131" i="6"/>
  <c r="AL1131" i="6"/>
  <c r="AN1131" i="6" s="1"/>
  <c r="AU1131" i="6" s="1"/>
  <c r="BF1516" i="6"/>
  <c r="V1517" i="6" s="1"/>
  <c r="AH1516" i="6"/>
  <c r="BE1351" i="6"/>
  <c r="U1351" i="6"/>
  <c r="BE1206" i="6"/>
  <c r="U1206" i="6"/>
  <c r="AR163" i="6"/>
  <c r="AQ163" i="6"/>
  <c r="AL698" i="6"/>
  <c r="AM698" i="6"/>
  <c r="BG1386" i="6"/>
  <c r="W1387" i="6" s="1"/>
  <c r="AH1386" i="6"/>
  <c r="BG1246" i="6"/>
  <c r="W1247" i="6" s="1"/>
  <c r="AH1246" i="6"/>
  <c r="BD311" i="6"/>
  <c r="T312" i="6" s="1"/>
  <c r="AP311" i="6"/>
  <c r="BA279" i="6"/>
  <c r="Q280" i="6" s="1"/>
  <c r="AG279" i="6"/>
  <c r="BG1567" i="6"/>
  <c r="W1568" i="6" s="1"/>
  <c r="AH1567" i="6"/>
  <c r="AQ1135" i="6"/>
  <c r="AL883" i="6"/>
  <c r="AM883" i="6"/>
  <c r="BF256" i="6"/>
  <c r="V257" i="6" s="1"/>
  <c r="AH256" i="6"/>
  <c r="AQ488" i="6"/>
  <c r="AH1084" i="6"/>
  <c r="BF1084" i="6"/>
  <c r="V1085" i="6" s="1"/>
  <c r="BD1136" i="6"/>
  <c r="T1137" i="6" s="1"/>
  <c r="AP1136" i="6"/>
  <c r="BD1208" i="6"/>
  <c r="T1209" i="6" s="1"/>
  <c r="AP1208" i="6"/>
  <c r="BE380" i="6"/>
  <c r="U380" i="6"/>
  <c r="BG884" i="6"/>
  <c r="W885" i="6" s="1"/>
  <c r="AH884" i="6"/>
  <c r="AQ1459" i="6"/>
  <c r="AQ1099" i="6"/>
  <c r="AR1099" i="6"/>
  <c r="BA1534" i="6"/>
  <c r="Q1535" i="6" s="1"/>
  <c r="AG1534" i="6"/>
  <c r="BD1496" i="6"/>
  <c r="T1497" i="6" s="1"/>
  <c r="AP1496" i="6"/>
  <c r="BD20" i="6"/>
  <c r="T21" i="6" s="1"/>
  <c r="AP20" i="6"/>
  <c r="BF1048" i="6"/>
  <c r="V1049" i="6" s="1"/>
  <c r="AH1048" i="6"/>
  <c r="AR1534" i="6"/>
  <c r="AQ1534" i="6"/>
  <c r="U1063" i="6"/>
  <c r="BE1063" i="6"/>
  <c r="BD416" i="6"/>
  <c r="T417" i="6" s="1"/>
  <c r="AP416" i="6"/>
  <c r="U597" i="6"/>
  <c r="BE597" i="6"/>
  <c r="U307" i="6"/>
  <c r="BE307" i="6"/>
  <c r="BF796" i="6"/>
  <c r="V797" i="6" s="1"/>
  <c r="AH796" i="6"/>
  <c r="BG955" i="6"/>
  <c r="W956" i="6" s="1"/>
  <c r="AH955" i="6"/>
  <c r="AM1100" i="6"/>
  <c r="AL1100" i="6"/>
  <c r="AL125" i="6"/>
  <c r="AM125" i="6"/>
  <c r="AN1238" i="6"/>
  <c r="AU1238" i="6" s="1"/>
  <c r="BA93" i="6"/>
  <c r="Q94" i="6" s="1"/>
  <c r="AS1026" i="6"/>
  <c r="AU1026" i="6" s="1"/>
  <c r="BF508" i="6"/>
  <c r="V509" i="6" s="1"/>
  <c r="AH508" i="6"/>
  <c r="U127" i="6"/>
  <c r="BE127" i="6"/>
  <c r="AL412" i="6"/>
  <c r="AM412" i="6"/>
  <c r="AN1384" i="6"/>
  <c r="AU1384" i="6" s="1"/>
  <c r="BO1184" i="6"/>
  <c r="BN1185" i="6" s="1"/>
  <c r="AK1184" i="6"/>
  <c r="BE1602" i="6"/>
  <c r="U1602" i="6"/>
  <c r="AH1029" i="6"/>
  <c r="BG1029" i="6"/>
  <c r="W1030" i="6" s="1"/>
  <c r="BH1144" i="6"/>
  <c r="X1145" i="6" s="1"/>
  <c r="AD1144" i="6"/>
  <c r="AZ1333" i="6"/>
  <c r="P1334" i="6" s="1"/>
  <c r="AK1333" i="6"/>
  <c r="AR1207" i="6"/>
  <c r="AQ1207" i="6"/>
  <c r="BA387" i="6"/>
  <c r="Q388" i="6" s="1"/>
  <c r="AG387" i="6"/>
  <c r="AQ1495" i="6"/>
  <c r="BA207" i="6"/>
  <c r="Q208" i="6" s="1"/>
  <c r="BE199" i="6"/>
  <c r="U199" i="6"/>
  <c r="AM633" i="6"/>
  <c r="AL633" i="6"/>
  <c r="BF544" i="6"/>
  <c r="V545" i="6" s="1"/>
  <c r="AH544" i="6"/>
  <c r="AG1031" i="6"/>
  <c r="BA1031" i="6"/>
  <c r="Q1032" i="6" s="1"/>
  <c r="BA25" i="6"/>
  <c r="Q26" i="6" s="1"/>
  <c r="AG25" i="6"/>
  <c r="AZ699" i="6"/>
  <c r="P700" i="6" s="1"/>
  <c r="AK699" i="6"/>
  <c r="AR699" i="6" s="1"/>
  <c r="AS699" i="6" s="1"/>
  <c r="AG699" i="6"/>
  <c r="BA634" i="6"/>
  <c r="Q635" i="6" s="1"/>
  <c r="AG634" i="6"/>
  <c r="BG1209" i="6"/>
  <c r="W1210" i="6" s="1"/>
  <c r="AH1209" i="6"/>
  <c r="BD489" i="6"/>
  <c r="T490" i="6" s="1"/>
  <c r="AP489" i="6"/>
  <c r="BG306" i="6"/>
  <c r="W307" i="6" s="1"/>
  <c r="AH306" i="6"/>
  <c r="BO1507" i="6"/>
  <c r="BN1508" i="6" s="1"/>
  <c r="AN1130" i="6"/>
  <c r="AU1130" i="6" s="1"/>
  <c r="BA1322" i="6"/>
  <c r="Q1323" i="6" s="1"/>
  <c r="AG1322" i="6"/>
  <c r="BE55" i="6"/>
  <c r="U55" i="6"/>
  <c r="BO1222" i="6"/>
  <c r="BN1223" i="6" s="1"/>
  <c r="AK1222" i="6"/>
  <c r="BF652" i="6"/>
  <c r="V653" i="6" s="1"/>
  <c r="AH652" i="6"/>
  <c r="BA671" i="6"/>
  <c r="Q672" i="6" s="1"/>
  <c r="AQ343" i="6"/>
  <c r="AR343" i="6"/>
  <c r="BE1279" i="6"/>
  <c r="U1279" i="6"/>
  <c r="BH1368" i="6"/>
  <c r="X1369" i="6" s="1"/>
  <c r="AD1368" i="6"/>
  <c r="AS1173" i="6"/>
  <c r="AQ525" i="6"/>
  <c r="BD1460" i="6"/>
  <c r="T1461" i="6" s="1"/>
  <c r="AP1460" i="6"/>
  <c r="BD1100" i="6"/>
  <c r="T1101" i="6" s="1"/>
  <c r="AP1100" i="6"/>
  <c r="BG1641" i="6"/>
  <c r="W1642" i="6" s="1"/>
  <c r="AH1641" i="6"/>
  <c r="AZ576" i="6"/>
  <c r="P577" i="6" s="1"/>
  <c r="AK576" i="6"/>
  <c r="AM1059" i="6"/>
  <c r="AL1059" i="6"/>
  <c r="BD1535" i="6"/>
  <c r="T1536" i="6" s="1"/>
  <c r="AP1535" i="6"/>
  <c r="AL87" i="6"/>
  <c r="AM87" i="6"/>
  <c r="BA1576" i="6"/>
  <c r="Q1577" i="6" s="1"/>
  <c r="AS18" i="6"/>
  <c r="AS450" i="6"/>
  <c r="AN16" i="6"/>
  <c r="AU16" i="6" s="1"/>
  <c r="AL379" i="6"/>
  <c r="AM379" i="6"/>
  <c r="BG344" i="6"/>
  <c r="W345" i="6" s="1"/>
  <c r="AH344" i="6"/>
  <c r="AM344" i="6" s="1"/>
  <c r="AM954" i="6"/>
  <c r="AL954" i="6"/>
  <c r="BA1101" i="6"/>
  <c r="Q1102" i="6" s="1"/>
  <c r="AG1101" i="6"/>
  <c r="BG126" i="6"/>
  <c r="W127" i="6" s="1"/>
  <c r="AH126" i="6"/>
  <c r="AS1317" i="6"/>
  <c r="BF1120" i="6"/>
  <c r="V1121" i="6" s="1"/>
  <c r="AH1120" i="6"/>
  <c r="BE235" i="6"/>
  <c r="U235" i="6"/>
  <c r="AZ1132" i="6"/>
  <c r="P1133" i="6" s="1"/>
  <c r="AK1132" i="6"/>
  <c r="AR1132" i="6" s="1"/>
  <c r="AS1132" i="6" s="1"/>
  <c r="AG1132" i="6"/>
  <c r="AS234" i="6"/>
  <c r="BA813" i="6"/>
  <c r="Q814" i="6" s="1"/>
  <c r="AG813" i="6"/>
  <c r="AM196" i="6"/>
  <c r="AL196" i="6"/>
  <c r="AS811" i="6" l="1"/>
  <c r="AN990" i="6"/>
  <c r="AU990" i="6" s="1"/>
  <c r="AN269" i="6"/>
  <c r="AU269" i="6" s="1"/>
  <c r="AN1280" i="6"/>
  <c r="AN1317" i="6"/>
  <c r="AN921" i="6"/>
  <c r="AN1172" i="6"/>
  <c r="AU1172" i="6" s="1"/>
  <c r="AS631" i="6"/>
  <c r="AU631" i="6" s="1"/>
  <c r="AS595" i="6"/>
  <c r="AU595" i="6" s="1"/>
  <c r="AN1239" i="6"/>
  <c r="AU1239" i="6" s="1"/>
  <c r="AS1207" i="6"/>
  <c r="AU1207" i="6" s="1"/>
  <c r="AN562" i="6"/>
  <c r="AN954" i="6"/>
  <c r="AU954" i="6" s="1"/>
  <c r="AN843" i="6"/>
  <c r="AU843" i="6" s="1"/>
  <c r="AN232" i="6"/>
  <c r="AU232" i="6" s="1"/>
  <c r="AN379" i="6"/>
  <c r="AS881" i="6"/>
  <c r="AU881" i="6" s="1"/>
  <c r="AS19" i="6"/>
  <c r="AN735" i="6"/>
  <c r="AU735" i="6" s="1"/>
  <c r="AN412" i="6"/>
  <c r="AU412" i="6" s="1"/>
  <c r="AS1099" i="6"/>
  <c r="AN776" i="6"/>
  <c r="AS1387" i="6"/>
  <c r="AS1352" i="6"/>
  <c r="AN810" i="6"/>
  <c r="AU810" i="6" s="1"/>
  <c r="AS343" i="6"/>
  <c r="AS127" i="6"/>
  <c r="AS775" i="6"/>
  <c r="AU775" i="6" s="1"/>
  <c r="AN597" i="6"/>
  <c r="AN162" i="6"/>
  <c r="AU162" i="6" s="1"/>
  <c r="AS1027" i="6"/>
  <c r="AN1208" i="6"/>
  <c r="AN883" i="6"/>
  <c r="AN17" i="6"/>
  <c r="AU17" i="6" s="1"/>
  <c r="AN1635" i="6"/>
  <c r="AU1635" i="6" s="1"/>
  <c r="AN1454" i="6"/>
  <c r="AU1454" i="6" s="1"/>
  <c r="AN1490" i="6"/>
  <c r="AU1490" i="6" s="1"/>
  <c r="AL736" i="6"/>
  <c r="AM736" i="6"/>
  <c r="BG599" i="6"/>
  <c r="W600" i="6" s="1"/>
  <c r="AH599" i="6"/>
  <c r="AQ1569" i="6"/>
  <c r="AR596" i="6"/>
  <c r="AQ596" i="6"/>
  <c r="AM1101" i="6"/>
  <c r="AL1101" i="6"/>
  <c r="BA1577" i="6"/>
  <c r="Q1578" i="6" s="1"/>
  <c r="BG1642" i="6"/>
  <c r="W1643" i="6" s="1"/>
  <c r="AH1642" i="6"/>
  <c r="BG1030" i="6"/>
  <c r="W1031" i="6" s="1"/>
  <c r="AH1030" i="6"/>
  <c r="AN1100" i="6"/>
  <c r="BE1064" i="6"/>
  <c r="U1064" i="6"/>
  <c r="BD1497" i="6"/>
  <c r="T1498" i="6" s="1"/>
  <c r="AP1497" i="6"/>
  <c r="BE381" i="6"/>
  <c r="U381" i="6"/>
  <c r="BA280" i="6"/>
  <c r="Q281" i="6" s="1"/>
  <c r="AG280" i="6"/>
  <c r="BO1108" i="6"/>
  <c r="BN1109" i="6" s="1"/>
  <c r="AK1108" i="6"/>
  <c r="AR452" i="6"/>
  <c r="AQ452" i="6"/>
  <c r="BG1355" i="6"/>
  <c r="W1356" i="6" s="1"/>
  <c r="AH1355" i="6"/>
  <c r="AL1491" i="6"/>
  <c r="AM1491" i="6"/>
  <c r="BE883" i="6"/>
  <c r="U883" i="6"/>
  <c r="BO1643" i="6"/>
  <c r="BN1644" i="6" s="1"/>
  <c r="BE417" i="6"/>
  <c r="U417" i="6"/>
  <c r="AQ1424" i="6"/>
  <c r="BG992" i="6"/>
  <c r="W993" i="6" s="1"/>
  <c r="AH992" i="6"/>
  <c r="AL1352" i="6"/>
  <c r="AM1352" i="6"/>
  <c r="BO1430" i="6"/>
  <c r="BN1431" i="6" s="1"/>
  <c r="AN450" i="6"/>
  <c r="AU450" i="6" s="1"/>
  <c r="BO1544" i="6"/>
  <c r="BN1545" i="6" s="1"/>
  <c r="AK1544" i="6"/>
  <c r="BD93" i="6"/>
  <c r="T94" i="6" s="1"/>
  <c r="AP93" i="6"/>
  <c r="BG1426" i="6"/>
  <c r="W1427" i="6" s="1"/>
  <c r="AH1426" i="6"/>
  <c r="BE453" i="6"/>
  <c r="U453" i="6"/>
  <c r="BE920" i="6"/>
  <c r="U920" i="6"/>
  <c r="BO275" i="6"/>
  <c r="BN276" i="6" s="1"/>
  <c r="AK275" i="6"/>
  <c r="BE1100" i="6"/>
  <c r="U1100" i="6"/>
  <c r="AZ89" i="6"/>
  <c r="P90" i="6" s="1"/>
  <c r="AK89" i="6"/>
  <c r="AR89" i="6" s="1"/>
  <c r="AS89" i="6" s="1"/>
  <c r="AG89" i="6"/>
  <c r="BA1463" i="6"/>
  <c r="Q1464" i="6" s="1"/>
  <c r="BG1319" i="6"/>
  <c r="W1320" i="6" s="1"/>
  <c r="AH1319" i="6"/>
  <c r="BD58" i="6"/>
  <c r="T59" i="6" s="1"/>
  <c r="AP58" i="6"/>
  <c r="BF365" i="6"/>
  <c r="AH365" i="6"/>
  <c r="BO178" i="6"/>
  <c r="BN179" i="6" s="1"/>
  <c r="AK178" i="6"/>
  <c r="BF149" i="6"/>
  <c r="AH149" i="6"/>
  <c r="BA1353" i="6"/>
  <c r="Q1354" i="6" s="1"/>
  <c r="AG1353" i="6"/>
  <c r="BH927" i="6"/>
  <c r="X928" i="6" s="1"/>
  <c r="AD927" i="6"/>
  <c r="BO1508" i="6"/>
  <c r="BN1509" i="6" s="1"/>
  <c r="BE128" i="6"/>
  <c r="U128" i="6"/>
  <c r="AG1535" i="6"/>
  <c r="BA1535" i="6"/>
  <c r="Q1536" i="6" s="1"/>
  <c r="AM844" i="6"/>
  <c r="AL844" i="6"/>
  <c r="AH1229" i="6"/>
  <c r="BF1229" i="6"/>
  <c r="AQ236" i="6"/>
  <c r="AR236" i="6"/>
  <c r="BA599" i="6"/>
  <c r="Q600" i="6" s="1"/>
  <c r="AG599" i="6"/>
  <c r="AZ1492" i="6"/>
  <c r="P1493" i="6" s="1"/>
  <c r="AK1492" i="6"/>
  <c r="AR1492" i="6" s="1"/>
  <c r="AS1492" i="6" s="1"/>
  <c r="AG1492" i="6"/>
  <c r="AQ992" i="6"/>
  <c r="AR992" i="6"/>
  <c r="BG1532" i="6"/>
  <c r="W1533" i="6" s="1"/>
  <c r="AH1532" i="6"/>
  <c r="BD201" i="6"/>
  <c r="T202" i="6" s="1"/>
  <c r="AP201" i="6"/>
  <c r="BF77" i="6"/>
  <c r="AH77" i="6"/>
  <c r="BA1610" i="6"/>
  <c r="Q1611" i="6" s="1"/>
  <c r="BD1642" i="6"/>
  <c r="T1643" i="6" s="1"/>
  <c r="AP1642" i="6"/>
  <c r="BE164" i="6"/>
  <c r="U164" i="6"/>
  <c r="BA923" i="6"/>
  <c r="Q924" i="6" s="1"/>
  <c r="AG923" i="6"/>
  <c r="BF41" i="6"/>
  <c r="AH41" i="6"/>
  <c r="BA1498" i="6"/>
  <c r="Q1499" i="6" s="1"/>
  <c r="BD1570" i="6"/>
  <c r="T1571" i="6" s="1"/>
  <c r="AP1570" i="6"/>
  <c r="BD597" i="6"/>
  <c r="T598" i="6" s="1"/>
  <c r="AP597" i="6"/>
  <c r="BD669" i="6"/>
  <c r="T670" i="6" s="1"/>
  <c r="AP669" i="6"/>
  <c r="U524" i="6"/>
  <c r="BE524" i="6"/>
  <c r="BO783" i="6"/>
  <c r="BN784" i="6" s="1"/>
  <c r="AK783" i="6"/>
  <c r="BF725" i="6"/>
  <c r="AH725" i="6"/>
  <c r="BO894" i="6"/>
  <c r="BN895" i="6" s="1"/>
  <c r="AK894" i="6"/>
  <c r="BF1661" i="6"/>
  <c r="AH1661" i="6"/>
  <c r="BG523" i="6"/>
  <c r="W524" i="6" s="1"/>
  <c r="AH523" i="6"/>
  <c r="AZ700" i="6"/>
  <c r="P701" i="6" s="1"/>
  <c r="AK700" i="6"/>
  <c r="AR700" i="6" s="1"/>
  <c r="AS700" i="6" s="1"/>
  <c r="AG700" i="6"/>
  <c r="AZ462" i="6"/>
  <c r="P463" i="6" s="1"/>
  <c r="AK462" i="6"/>
  <c r="BA346" i="6"/>
  <c r="Q347" i="6" s="1"/>
  <c r="AG346" i="6"/>
  <c r="AZ1241" i="6"/>
  <c r="P1242" i="6" s="1"/>
  <c r="AK1241" i="6"/>
  <c r="AR1241" i="6" s="1"/>
  <c r="AS1241" i="6" s="1"/>
  <c r="AG1241" i="6"/>
  <c r="BE991" i="6"/>
  <c r="U991" i="6"/>
  <c r="AM955" i="6"/>
  <c r="AL955" i="6"/>
  <c r="BD1209" i="6"/>
  <c r="T1210" i="6" s="1"/>
  <c r="AP1209" i="6"/>
  <c r="BD312" i="6"/>
  <c r="T313" i="6" s="1"/>
  <c r="AP312" i="6"/>
  <c r="BE1207" i="6"/>
  <c r="U1207" i="6"/>
  <c r="AZ1133" i="6"/>
  <c r="P1134" i="6" s="1"/>
  <c r="AK1133" i="6"/>
  <c r="AR1133" i="6" s="1"/>
  <c r="AS1133" i="6" s="1"/>
  <c r="AG1133" i="6"/>
  <c r="AN87" i="6"/>
  <c r="AU87" i="6" s="1"/>
  <c r="AQ1460" i="6"/>
  <c r="BA26" i="6"/>
  <c r="Q27" i="6" s="1"/>
  <c r="AG26" i="6"/>
  <c r="BE1603" i="6"/>
  <c r="U1603" i="6"/>
  <c r="BG956" i="6"/>
  <c r="W957" i="6" s="1"/>
  <c r="AH956" i="6"/>
  <c r="AZ845" i="6"/>
  <c r="P846" i="6" s="1"/>
  <c r="AK845" i="6"/>
  <c r="AR845" i="6" s="1"/>
  <c r="AS845" i="6" s="1"/>
  <c r="AG845" i="6"/>
  <c r="BA778" i="6"/>
  <c r="Q779" i="6" s="1"/>
  <c r="AG778" i="6"/>
  <c r="BD237" i="6"/>
  <c r="T238" i="6" s="1"/>
  <c r="AP237" i="6"/>
  <c r="BA743" i="6"/>
  <c r="Q744" i="6" s="1"/>
  <c r="AQ1062" i="6"/>
  <c r="AH1265" i="6"/>
  <c r="BF1265" i="6"/>
  <c r="AL598" i="6"/>
  <c r="AM598" i="6"/>
  <c r="AZ737" i="6"/>
  <c r="P738" i="6" s="1"/>
  <c r="AK737" i="6"/>
  <c r="AR737" i="6" s="1"/>
  <c r="AS737" i="6" s="1"/>
  <c r="AG737" i="6"/>
  <c r="BE1459" i="6"/>
  <c r="U1459" i="6"/>
  <c r="BD993" i="6"/>
  <c r="T994" i="6" s="1"/>
  <c r="AP993" i="6"/>
  <c r="AR776" i="6"/>
  <c r="AQ776" i="6"/>
  <c r="BG1141" i="6"/>
  <c r="W1142" i="6" s="1"/>
  <c r="AH1141" i="6"/>
  <c r="AQ1641" i="6"/>
  <c r="BG739" i="6"/>
  <c r="W740" i="6" s="1"/>
  <c r="AH739" i="6"/>
  <c r="BF437" i="6"/>
  <c r="AH437" i="6"/>
  <c r="BF941" i="6"/>
  <c r="AH941" i="6"/>
  <c r="AM1209" i="6"/>
  <c r="AL1209" i="6"/>
  <c r="BD1605" i="6"/>
  <c r="T1606" i="6" s="1"/>
  <c r="AP1605" i="6"/>
  <c r="BE1496" i="6"/>
  <c r="U1496" i="6"/>
  <c r="BO671" i="6"/>
  <c r="BN672" i="6" s="1"/>
  <c r="BF113" i="6"/>
  <c r="AH113" i="6"/>
  <c r="BA890" i="6"/>
  <c r="Q891" i="6" s="1"/>
  <c r="AG890" i="6"/>
  <c r="AZ41" i="6"/>
  <c r="AK41" i="6"/>
  <c r="BE1136" i="6"/>
  <c r="U1136" i="6"/>
  <c r="AL1600" i="6"/>
  <c r="AM1600" i="6"/>
  <c r="AR128" i="6"/>
  <c r="AQ128" i="6"/>
  <c r="BO423" i="6"/>
  <c r="BN424" i="6" s="1"/>
  <c r="BF905" i="6"/>
  <c r="AH905" i="6"/>
  <c r="AS959" i="6"/>
  <c r="AN1563" i="6"/>
  <c r="AU1563" i="6" s="1"/>
  <c r="BE1423" i="6"/>
  <c r="U1423" i="6"/>
  <c r="BE344" i="6"/>
  <c r="U344" i="6"/>
  <c r="AL1132" i="6"/>
  <c r="AM1132" i="6"/>
  <c r="AQ311" i="6"/>
  <c r="BF221" i="6"/>
  <c r="AH221" i="6"/>
  <c r="BG1174" i="6"/>
  <c r="W1175" i="6" s="1"/>
  <c r="AH1174" i="6"/>
  <c r="BF1157" i="6"/>
  <c r="AH1157" i="6"/>
  <c r="AQ1535" i="6"/>
  <c r="AR1535" i="6"/>
  <c r="BD1461" i="6"/>
  <c r="T1462" i="6" s="1"/>
  <c r="AP1461" i="6"/>
  <c r="BG307" i="6"/>
  <c r="W308" i="6" s="1"/>
  <c r="AH307" i="6"/>
  <c r="BA1032" i="6"/>
  <c r="Q1033" i="6" s="1"/>
  <c r="AG1032" i="6"/>
  <c r="AS1534" i="6"/>
  <c r="BF257" i="6"/>
  <c r="AH257" i="6"/>
  <c r="BA173" i="6"/>
  <c r="Q174" i="6" s="1"/>
  <c r="AG173" i="6"/>
  <c r="BF1589" i="6"/>
  <c r="AH1589" i="6"/>
  <c r="BD1063" i="6"/>
  <c r="T1064" i="6" s="1"/>
  <c r="AP1063" i="6"/>
  <c r="AN1028" i="6"/>
  <c r="BA1643" i="6"/>
  <c r="Q1644" i="6" s="1"/>
  <c r="BF1481" i="6"/>
  <c r="AH1481" i="6"/>
  <c r="AQ1353" i="6"/>
  <c r="AR1353" i="6"/>
  <c r="BD777" i="6"/>
  <c r="T778" i="6" s="1"/>
  <c r="AP777" i="6"/>
  <c r="BO134" i="6"/>
  <c r="BN135" i="6" s="1"/>
  <c r="AK134" i="6"/>
  <c r="AR882" i="6"/>
  <c r="AQ882" i="6"/>
  <c r="BG777" i="6"/>
  <c r="W778" i="6" s="1"/>
  <c r="AH777" i="6"/>
  <c r="AL777" i="6" s="1"/>
  <c r="BE1389" i="6"/>
  <c r="U1389" i="6"/>
  <c r="AM52" i="6"/>
  <c r="AL52" i="6"/>
  <c r="AQ742" i="6"/>
  <c r="BE1567" i="6"/>
  <c r="U1567" i="6"/>
  <c r="BA1210" i="6"/>
  <c r="Q1211" i="6" s="1"/>
  <c r="AG1210" i="6"/>
  <c r="AH55" i="6"/>
  <c r="BG55" i="6"/>
  <c r="W56" i="6" s="1"/>
  <c r="AQ1604" i="6"/>
  <c r="AN303" i="6"/>
  <c r="AU303" i="6" s="1"/>
  <c r="AM811" i="6"/>
  <c r="AL811" i="6"/>
  <c r="AN663" i="6"/>
  <c r="AU663" i="6" s="1"/>
  <c r="BO77" i="6"/>
  <c r="BG417" i="6"/>
  <c r="W418" i="6" s="1"/>
  <c r="AH417" i="6"/>
  <c r="AR1175" i="6"/>
  <c r="AQ1175" i="6"/>
  <c r="AR920" i="6"/>
  <c r="AQ920" i="6"/>
  <c r="AS1174" i="6"/>
  <c r="BA495" i="6"/>
  <c r="Q496" i="6" s="1"/>
  <c r="BD129" i="6"/>
  <c r="T130" i="6" s="1"/>
  <c r="AP129" i="6"/>
  <c r="AL344" i="6"/>
  <c r="AN344" i="6" s="1"/>
  <c r="AH869" i="6"/>
  <c r="BF869" i="6"/>
  <c r="BA134" i="6"/>
  <c r="Q135" i="6" s="1"/>
  <c r="AG134" i="6"/>
  <c r="AR1100" i="6"/>
  <c r="AQ1100" i="6"/>
  <c r="BA208" i="6"/>
  <c r="Q209" i="6" s="1"/>
  <c r="BG635" i="6"/>
  <c r="W636" i="6" s="1"/>
  <c r="AH635" i="6"/>
  <c r="BD1425" i="6"/>
  <c r="T1426" i="6" s="1"/>
  <c r="AP1425" i="6"/>
  <c r="BA424" i="6"/>
  <c r="Q425" i="6" s="1"/>
  <c r="BE236" i="6"/>
  <c r="U236" i="6"/>
  <c r="AQ489" i="6"/>
  <c r="BA388" i="6"/>
  <c r="Q389" i="6" s="1"/>
  <c r="AG388" i="6"/>
  <c r="BF509" i="6"/>
  <c r="AH509" i="6"/>
  <c r="BF797" i="6"/>
  <c r="AH797" i="6"/>
  <c r="BE1352" i="6"/>
  <c r="U1352" i="6"/>
  <c r="AM18" i="6"/>
  <c r="AL18" i="6"/>
  <c r="BF1013" i="6"/>
  <c r="AH1013" i="6"/>
  <c r="BG1502" i="6"/>
  <c r="W1503" i="6" s="1"/>
  <c r="AH1502" i="6"/>
  <c r="BE1171" i="6"/>
  <c r="U1171" i="6"/>
  <c r="BD1354" i="6"/>
  <c r="T1355" i="6" s="1"/>
  <c r="AP1354" i="6"/>
  <c r="BA1394" i="6"/>
  <c r="Q1395" i="6" s="1"/>
  <c r="AG1394" i="6"/>
  <c r="AS451" i="6"/>
  <c r="BF617" i="6"/>
  <c r="AH617" i="6"/>
  <c r="AR164" i="6"/>
  <c r="AQ164" i="6"/>
  <c r="BD883" i="6"/>
  <c r="T884" i="6" s="1"/>
  <c r="AP883" i="6"/>
  <c r="AN1351" i="6"/>
  <c r="AU1351" i="6" s="1"/>
  <c r="BH1011" i="6"/>
  <c r="X1012" i="6" s="1"/>
  <c r="AD1011" i="6"/>
  <c r="BD743" i="6"/>
  <c r="T744" i="6" s="1"/>
  <c r="AP743" i="6"/>
  <c r="AH1625" i="6"/>
  <c r="BF1625" i="6"/>
  <c r="AL1419" i="6"/>
  <c r="AM1419" i="6"/>
  <c r="BG812" i="6"/>
  <c r="W813" i="6" s="1"/>
  <c r="AH812" i="6"/>
  <c r="AL483" i="6"/>
  <c r="AM483" i="6"/>
  <c r="BO1610" i="6"/>
  <c r="BN1611" i="6" s="1"/>
  <c r="BD1176" i="6"/>
  <c r="T1177" i="6" s="1"/>
  <c r="AP1176" i="6"/>
  <c r="BD921" i="6"/>
  <c r="T922" i="6" s="1"/>
  <c r="AP921" i="6"/>
  <c r="AZ1601" i="6"/>
  <c r="P1602" i="6" s="1"/>
  <c r="AK1601" i="6"/>
  <c r="AR1601" i="6" s="1"/>
  <c r="AS1601" i="6" s="1"/>
  <c r="AG1601" i="6"/>
  <c r="BO1576" i="6"/>
  <c r="BN1577" i="6" s="1"/>
  <c r="AM163" i="6"/>
  <c r="AL163" i="6"/>
  <c r="BA536" i="6"/>
  <c r="Q537" i="6" s="1"/>
  <c r="BF329" i="6"/>
  <c r="AH329" i="6"/>
  <c r="AM451" i="6"/>
  <c r="AL451" i="6"/>
  <c r="BG199" i="6"/>
  <c r="W200" i="6" s="1"/>
  <c r="AH199" i="6"/>
  <c r="BO202" i="6"/>
  <c r="BN203" i="6" s="1"/>
  <c r="BG1467" i="6"/>
  <c r="W1468" i="6" s="1"/>
  <c r="AH1467" i="6"/>
  <c r="AQ668" i="6"/>
  <c r="BD1101" i="6"/>
  <c r="T1102" i="6" s="1"/>
  <c r="AP1101" i="6"/>
  <c r="U308" i="6"/>
  <c r="BE308" i="6"/>
  <c r="BG1247" i="6"/>
  <c r="W1248" i="6" s="1"/>
  <c r="AH1247" i="6"/>
  <c r="BO649" i="6"/>
  <c r="BN650" i="6" s="1"/>
  <c r="AK649" i="6"/>
  <c r="AH19" i="6"/>
  <c r="BG19" i="6"/>
  <c r="W20" i="6" s="1"/>
  <c r="BF977" i="6"/>
  <c r="AH977" i="6"/>
  <c r="AK1361" i="6"/>
  <c r="BO1361" i="6"/>
  <c r="BN1362" i="6" s="1"/>
  <c r="AR560" i="6"/>
  <c r="AQ560" i="6"/>
  <c r="AZ1005" i="6"/>
  <c r="P1006" i="6" s="1"/>
  <c r="AK1005" i="6"/>
  <c r="AG459" i="6"/>
  <c r="BA459" i="6"/>
  <c r="Q460" i="6" s="1"/>
  <c r="AR1280" i="6"/>
  <c r="AQ1280" i="6"/>
  <c r="BD165" i="6"/>
  <c r="T166" i="6" s="1"/>
  <c r="AP165" i="6"/>
  <c r="BF293" i="6"/>
  <c r="AH293" i="6"/>
  <c r="AZ53" i="6"/>
  <c r="P54" i="6" s="1"/>
  <c r="AK53" i="6"/>
  <c r="AR53" i="6" s="1"/>
  <c r="AS53" i="6" s="1"/>
  <c r="AG53" i="6"/>
  <c r="AM1455" i="6"/>
  <c r="AL1455" i="6"/>
  <c r="AN51" i="6"/>
  <c r="AU51" i="6" s="1"/>
  <c r="AZ484" i="6"/>
  <c r="P485" i="6" s="1"/>
  <c r="AK484" i="6"/>
  <c r="AR484" i="6" s="1"/>
  <c r="AS484" i="6" s="1"/>
  <c r="AG484" i="6"/>
  <c r="BE632" i="6"/>
  <c r="U632" i="6"/>
  <c r="BE1244" i="6"/>
  <c r="U1244" i="6"/>
  <c r="BF689" i="6"/>
  <c r="AH689" i="6"/>
  <c r="AM233" i="6"/>
  <c r="AL233" i="6"/>
  <c r="AR812" i="6"/>
  <c r="AQ812" i="6"/>
  <c r="AH1337" i="6"/>
  <c r="BF1337" i="6"/>
  <c r="BG164" i="6"/>
  <c r="W165" i="6" s="1"/>
  <c r="AH164" i="6"/>
  <c r="AL1060" i="6"/>
  <c r="AM1060" i="6"/>
  <c r="BG452" i="6"/>
  <c r="W453" i="6" s="1"/>
  <c r="AH452" i="6"/>
  <c r="BA706" i="6"/>
  <c r="Q707" i="6" s="1"/>
  <c r="AM197" i="6"/>
  <c r="AL197" i="6"/>
  <c r="BE559" i="6"/>
  <c r="U559" i="6"/>
  <c r="AL380" i="6"/>
  <c r="AM380" i="6"/>
  <c r="BA1102" i="6"/>
  <c r="Q1103" i="6" s="1"/>
  <c r="AG1102" i="6"/>
  <c r="AM1029" i="6"/>
  <c r="AL1029" i="6"/>
  <c r="U1640" i="6"/>
  <c r="BE1640" i="6"/>
  <c r="AL1531" i="6"/>
  <c r="AM1531" i="6"/>
  <c r="BG488" i="6"/>
  <c r="W489" i="6" s="1"/>
  <c r="AH488" i="6"/>
  <c r="BD1536" i="6"/>
  <c r="T1537" i="6" s="1"/>
  <c r="AP1536" i="6"/>
  <c r="BF1121" i="6"/>
  <c r="AH1121" i="6"/>
  <c r="AN1059" i="6"/>
  <c r="AU1059" i="6" s="1"/>
  <c r="BO1223" i="6"/>
  <c r="BN1224" i="6" s="1"/>
  <c r="AK1223" i="6"/>
  <c r="BF545" i="6"/>
  <c r="AH545" i="6"/>
  <c r="BO1185" i="6"/>
  <c r="BN1186" i="6" s="1"/>
  <c r="AK1185" i="6"/>
  <c r="BA94" i="6"/>
  <c r="Q95" i="6" s="1"/>
  <c r="BF1049" i="6"/>
  <c r="AH1049" i="6"/>
  <c r="AQ1136" i="6"/>
  <c r="AM1386" i="6"/>
  <c r="AL1386" i="6"/>
  <c r="AH1517" i="6"/>
  <c r="BF1517" i="6"/>
  <c r="AR1319" i="6"/>
  <c r="AQ1319" i="6"/>
  <c r="AR380" i="6"/>
  <c r="AQ380" i="6"/>
  <c r="AL969" i="6"/>
  <c r="AS1318" i="6"/>
  <c r="BD561" i="6"/>
  <c r="T562" i="6" s="1"/>
  <c r="AP561" i="6"/>
  <c r="AU1027" i="6"/>
  <c r="BF1193" i="6"/>
  <c r="AH1193" i="6"/>
  <c r="BO1046" i="6"/>
  <c r="BN1047" i="6" s="1"/>
  <c r="AK1046" i="6"/>
  <c r="BA321" i="6"/>
  <c r="Q322" i="6" s="1"/>
  <c r="AP1281" i="6"/>
  <c r="BD1281" i="6"/>
  <c r="T1282" i="6" s="1"/>
  <c r="AR1388" i="6"/>
  <c r="AQ1388" i="6"/>
  <c r="AS1279" i="6"/>
  <c r="AU1279" i="6" s="1"/>
  <c r="BF473" i="6"/>
  <c r="AH473" i="6"/>
  <c r="BF185" i="6"/>
  <c r="AH185" i="6"/>
  <c r="AZ1420" i="6"/>
  <c r="P1421" i="6" s="1"/>
  <c r="AK1420" i="6"/>
  <c r="AR1420" i="6" s="1"/>
  <c r="AS1420" i="6" s="1"/>
  <c r="AG1420" i="6"/>
  <c r="BA996" i="6"/>
  <c r="Q997" i="6" s="1"/>
  <c r="AG996" i="6"/>
  <c r="BO472" i="6"/>
  <c r="BN473" i="6" s="1"/>
  <c r="BO239" i="6"/>
  <c r="BN240" i="6" s="1"/>
  <c r="AK239" i="6"/>
  <c r="AS919" i="6"/>
  <c r="AU919" i="6" s="1"/>
  <c r="BG234" i="6"/>
  <c r="W235" i="6" s="1"/>
  <c r="AH234" i="6"/>
  <c r="AN482" i="6"/>
  <c r="AU482" i="6" s="1"/>
  <c r="AQ960" i="6"/>
  <c r="BF761" i="6"/>
  <c r="AH761" i="6"/>
  <c r="BD813" i="6"/>
  <c r="T814" i="6" s="1"/>
  <c r="AP813" i="6"/>
  <c r="AN1418" i="6"/>
  <c r="AU1418" i="6" s="1"/>
  <c r="BO351" i="6"/>
  <c r="BN352" i="6" s="1"/>
  <c r="AK351" i="6"/>
  <c r="BO533" i="6"/>
  <c r="BN534" i="6" s="1"/>
  <c r="AI198" i="6"/>
  <c r="AZ198" i="6"/>
  <c r="P199" i="6" s="1"/>
  <c r="AF198" i="6"/>
  <c r="AG198" i="6"/>
  <c r="AK198" i="6"/>
  <c r="AR198" i="6" s="1"/>
  <c r="AS198" i="6" s="1"/>
  <c r="BG381" i="6"/>
  <c r="W382" i="6" s="1"/>
  <c r="AH381" i="6"/>
  <c r="AQ1208" i="6"/>
  <c r="AR1208" i="6"/>
  <c r="AN196" i="6"/>
  <c r="AU196" i="6" s="1"/>
  <c r="BG1210" i="6"/>
  <c r="W1211" i="6" s="1"/>
  <c r="AH1210" i="6"/>
  <c r="AN633" i="6"/>
  <c r="BE598" i="6"/>
  <c r="U598" i="6"/>
  <c r="BD1137" i="6"/>
  <c r="T1138" i="6" s="1"/>
  <c r="AP1137" i="6"/>
  <c r="BG1387" i="6"/>
  <c r="W1388" i="6" s="1"/>
  <c r="AH1387" i="6"/>
  <c r="BD1320" i="6"/>
  <c r="T1321" i="6" s="1"/>
  <c r="AP1320" i="6"/>
  <c r="BO755" i="6"/>
  <c r="BN756" i="6" s="1"/>
  <c r="BD381" i="6"/>
  <c r="T382" i="6" s="1"/>
  <c r="AP381" i="6"/>
  <c r="BA970" i="6"/>
  <c r="Q971" i="6" s="1"/>
  <c r="AG970" i="6"/>
  <c r="AQ705" i="6"/>
  <c r="AN519" i="6"/>
  <c r="AU519" i="6" s="1"/>
  <c r="BE957" i="6"/>
  <c r="U957" i="6"/>
  <c r="BE1316" i="6"/>
  <c r="U1316" i="6"/>
  <c r="BG705" i="6"/>
  <c r="W706" i="6" s="1"/>
  <c r="AH705" i="6"/>
  <c r="BD1389" i="6"/>
  <c r="T1390" i="6" s="1"/>
  <c r="AP1389" i="6"/>
  <c r="AS991" i="6"/>
  <c r="AR632" i="6"/>
  <c r="AQ632" i="6"/>
  <c r="BE92" i="6"/>
  <c r="U92" i="6"/>
  <c r="BE489" i="6"/>
  <c r="U489" i="6"/>
  <c r="AZ1456" i="6"/>
  <c r="P1457" i="6" s="1"/>
  <c r="AK1456" i="6"/>
  <c r="AR1456" i="6" s="1"/>
  <c r="AS1456" i="6" s="1"/>
  <c r="AG1456" i="6"/>
  <c r="BE1532" i="6"/>
  <c r="U1532" i="6"/>
  <c r="AQ848" i="6"/>
  <c r="AS272" i="6"/>
  <c r="BG1105" i="6"/>
  <c r="W1106" i="6" s="1"/>
  <c r="AH1105" i="6"/>
  <c r="AP961" i="6"/>
  <c r="BD961" i="6"/>
  <c r="T962" i="6" s="1"/>
  <c r="BG848" i="6"/>
  <c r="W849" i="6" s="1"/>
  <c r="AH848" i="6"/>
  <c r="AM1173" i="6"/>
  <c r="AL1173" i="6"/>
  <c r="AM1564" i="6"/>
  <c r="AL1564" i="6"/>
  <c r="AZ1061" i="6"/>
  <c r="P1062" i="6" s="1"/>
  <c r="AK1061" i="6"/>
  <c r="AR1061" i="6" s="1"/>
  <c r="AS1061" i="6" s="1"/>
  <c r="AG1061" i="6"/>
  <c r="AM270" i="6"/>
  <c r="AL270" i="6"/>
  <c r="BD453" i="6"/>
  <c r="T454" i="6" s="1"/>
  <c r="AP453" i="6"/>
  <c r="BD490" i="6"/>
  <c r="T491" i="6" s="1"/>
  <c r="AP490" i="6"/>
  <c r="AL884" i="6"/>
  <c r="AM884" i="6"/>
  <c r="BF1085" i="6"/>
  <c r="AH1085" i="6"/>
  <c r="BA59" i="6"/>
  <c r="Q60" i="6" s="1"/>
  <c r="BO960" i="6"/>
  <c r="BN961" i="6" s="1"/>
  <c r="AK960" i="6"/>
  <c r="AR960" i="6" s="1"/>
  <c r="AU1099" i="6"/>
  <c r="AR1028" i="6"/>
  <c r="AQ1028" i="6"/>
  <c r="BD706" i="6"/>
  <c r="T707" i="6" s="1"/>
  <c r="AP706" i="6"/>
  <c r="BO826" i="6"/>
  <c r="BN827" i="6" s="1"/>
  <c r="AK826" i="6"/>
  <c r="AL1636" i="6"/>
  <c r="AM1636" i="6"/>
  <c r="BA244" i="6"/>
  <c r="Q245" i="6" s="1"/>
  <c r="AG244" i="6"/>
  <c r="AS559" i="6"/>
  <c r="AU559" i="6" s="1"/>
  <c r="AN1530" i="6"/>
  <c r="AU1530" i="6" s="1"/>
  <c r="BE20" i="6"/>
  <c r="U20" i="6"/>
  <c r="BF401" i="6"/>
  <c r="AH401" i="6"/>
  <c r="BD633" i="6"/>
  <c r="T634" i="6" s="1"/>
  <c r="AP633" i="6"/>
  <c r="AM304" i="6"/>
  <c r="AL304" i="6"/>
  <c r="AG564" i="6"/>
  <c r="BA564" i="6"/>
  <c r="Q565" i="6" s="1"/>
  <c r="BO617" i="6"/>
  <c r="AK617" i="6"/>
  <c r="AL1281" i="6"/>
  <c r="AM1281" i="6"/>
  <c r="AR273" i="6"/>
  <c r="AQ273" i="6"/>
  <c r="AS273" i="6" s="1"/>
  <c r="BD849" i="6"/>
  <c r="T850" i="6" s="1"/>
  <c r="AP849" i="6"/>
  <c r="BA1066" i="6"/>
  <c r="Q1067" i="6" s="1"/>
  <c r="BO1389" i="6"/>
  <c r="BN1390" i="6" s="1"/>
  <c r="AK1389" i="6"/>
  <c r="BO1466" i="6"/>
  <c r="BN1467" i="6" s="1"/>
  <c r="AM664" i="6"/>
  <c r="AL664" i="6"/>
  <c r="AR344" i="6"/>
  <c r="AQ344" i="6"/>
  <c r="BA1174" i="6"/>
  <c r="Q1175" i="6" s="1"/>
  <c r="AG1174" i="6"/>
  <c r="BG668" i="6"/>
  <c r="W669" i="6" s="1"/>
  <c r="AH668" i="6"/>
  <c r="AZ1565" i="6"/>
  <c r="P1566" i="6" s="1"/>
  <c r="AG1565" i="6"/>
  <c r="AK1565" i="6"/>
  <c r="AR1565" i="6" s="1"/>
  <c r="AS1565" i="6" s="1"/>
  <c r="BA1427" i="6"/>
  <c r="Q1428" i="6" s="1"/>
  <c r="U705" i="6"/>
  <c r="BE705" i="6"/>
  <c r="BG271" i="6"/>
  <c r="W272" i="6" s="1"/>
  <c r="AH271" i="6"/>
  <c r="BA855" i="6"/>
  <c r="Q856" i="6" s="1"/>
  <c r="AM413" i="6"/>
  <c r="AL413" i="6"/>
  <c r="BO1143" i="6"/>
  <c r="BN1144" i="6" s="1"/>
  <c r="BG563" i="6"/>
  <c r="W564" i="6" s="1"/>
  <c r="AH563" i="6"/>
  <c r="AL563" i="6" s="1"/>
  <c r="BF581" i="6"/>
  <c r="AH581" i="6"/>
  <c r="AM922" i="6"/>
  <c r="AL922" i="6"/>
  <c r="BA672" i="6"/>
  <c r="Q673" i="6" s="1"/>
  <c r="BF653" i="6"/>
  <c r="AH653" i="6"/>
  <c r="AH345" i="6"/>
  <c r="AL345" i="6" s="1"/>
  <c r="BG345" i="6"/>
  <c r="W346" i="6" s="1"/>
  <c r="BH1369" i="6"/>
  <c r="X1370" i="6" s="1"/>
  <c r="AD1369" i="6"/>
  <c r="BE56" i="6"/>
  <c r="U56" i="6"/>
  <c r="AR20" i="6"/>
  <c r="AQ20" i="6"/>
  <c r="AM126" i="6"/>
  <c r="AL126" i="6"/>
  <c r="AZ577" i="6"/>
  <c r="P578" i="6" s="1"/>
  <c r="AK577" i="6"/>
  <c r="AQ416" i="6"/>
  <c r="BG885" i="6"/>
  <c r="W886" i="6" s="1"/>
  <c r="AH885" i="6"/>
  <c r="BG1568" i="6"/>
  <c r="W1569" i="6" s="1"/>
  <c r="AH1568" i="6"/>
  <c r="AS235" i="6"/>
  <c r="BG923" i="6"/>
  <c r="W924" i="6" s="1"/>
  <c r="AH923" i="6"/>
  <c r="BE668" i="6"/>
  <c r="U668" i="6"/>
  <c r="BE272" i="6"/>
  <c r="U272" i="6"/>
  <c r="BO387" i="6"/>
  <c r="BN388" i="6" s="1"/>
  <c r="AK387" i="6"/>
  <c r="BE847" i="6"/>
  <c r="U847" i="6"/>
  <c r="AZ305" i="6"/>
  <c r="P306" i="6" s="1"/>
  <c r="AG305" i="6"/>
  <c r="AK305" i="6"/>
  <c r="AR305" i="6" s="1"/>
  <c r="AS305" i="6" s="1"/>
  <c r="AQ526" i="6"/>
  <c r="AH1282" i="6"/>
  <c r="BG1282" i="6"/>
  <c r="W1283" i="6" s="1"/>
  <c r="BD274" i="6"/>
  <c r="T275" i="6" s="1"/>
  <c r="AP274" i="6"/>
  <c r="BO927" i="6"/>
  <c r="BN928" i="6" s="1"/>
  <c r="AK927" i="6"/>
  <c r="BA1138" i="6"/>
  <c r="Q1139" i="6" s="1"/>
  <c r="AZ665" i="6"/>
  <c r="P666" i="6" s="1"/>
  <c r="AG665" i="6"/>
  <c r="AK665" i="6"/>
  <c r="AR665" i="6" s="1"/>
  <c r="AS665" i="6" s="1"/>
  <c r="BD345" i="6"/>
  <c r="T346" i="6" s="1"/>
  <c r="AP345" i="6"/>
  <c r="BE740" i="6"/>
  <c r="U740" i="6"/>
  <c r="AH1409" i="6"/>
  <c r="BF1409" i="6"/>
  <c r="BE776" i="6"/>
  <c r="U776" i="6"/>
  <c r="AU1317" i="6"/>
  <c r="AM88" i="6"/>
  <c r="AL88" i="6"/>
  <c r="AZ414" i="6"/>
  <c r="P415" i="6" s="1"/>
  <c r="AF414" i="6"/>
  <c r="AI414" i="6"/>
  <c r="AG414" i="6"/>
  <c r="AK414" i="6"/>
  <c r="AR414" i="6" s="1"/>
  <c r="AS414" i="6" s="1"/>
  <c r="AQ200" i="6"/>
  <c r="AM634" i="6"/>
  <c r="AL634" i="6"/>
  <c r="AZ1334" i="6"/>
  <c r="P1335" i="6" s="1"/>
  <c r="AK1334" i="6"/>
  <c r="BA635" i="6"/>
  <c r="Q636" i="6" s="1"/>
  <c r="AG635" i="6"/>
  <c r="BD21" i="6"/>
  <c r="T22" i="6" s="1"/>
  <c r="AP21" i="6"/>
  <c r="AN698" i="6"/>
  <c r="AU698" i="6" s="1"/>
  <c r="AM520" i="6"/>
  <c r="AL520" i="6"/>
  <c r="BD1029" i="6"/>
  <c r="T1030" i="6" s="1"/>
  <c r="AP1029" i="6"/>
  <c r="AG814" i="6"/>
  <c r="BA814" i="6"/>
  <c r="Q815" i="6" s="1"/>
  <c r="BG127" i="6"/>
  <c r="W128" i="6" s="1"/>
  <c r="AH127" i="6"/>
  <c r="BE1280" i="6"/>
  <c r="U1280" i="6"/>
  <c r="BA1323" i="6"/>
  <c r="Q1324" i="6" s="1"/>
  <c r="AG1323" i="6"/>
  <c r="AM699" i="6"/>
  <c r="AL699" i="6"/>
  <c r="BE200" i="6"/>
  <c r="U200" i="6"/>
  <c r="BH1145" i="6"/>
  <c r="X1146" i="6" s="1"/>
  <c r="AD1145" i="6"/>
  <c r="AN125" i="6"/>
  <c r="AU125" i="6" s="1"/>
  <c r="BD417" i="6"/>
  <c r="T418" i="6" s="1"/>
  <c r="AP417" i="6"/>
  <c r="AQ1496" i="6"/>
  <c r="AS163" i="6"/>
  <c r="AZ521" i="6"/>
  <c r="P522" i="6" s="1"/>
  <c r="AG521" i="6"/>
  <c r="AK521" i="6"/>
  <c r="AR521" i="6" s="1"/>
  <c r="AS521" i="6" s="1"/>
  <c r="BA1246" i="6"/>
  <c r="Q1247" i="6" s="1"/>
  <c r="BG1063" i="6"/>
  <c r="W1064" i="6" s="1"/>
  <c r="AH1063" i="6"/>
  <c r="AS379" i="6"/>
  <c r="AU379" i="6" s="1"/>
  <c r="AZ1637" i="6"/>
  <c r="P1638" i="6" s="1"/>
  <c r="AK1637" i="6"/>
  <c r="AR1637" i="6" s="1"/>
  <c r="AS1637" i="6" s="1"/>
  <c r="AG1637" i="6"/>
  <c r="BF1445" i="6"/>
  <c r="AH1445" i="6"/>
  <c r="AM991" i="6"/>
  <c r="AL991" i="6"/>
  <c r="BO1253" i="6"/>
  <c r="BN1254" i="6" s="1"/>
  <c r="BF833" i="6"/>
  <c r="AH833" i="6"/>
  <c r="BA1284" i="6"/>
  <c r="Q1285" i="6" s="1"/>
  <c r="AG1284" i="6"/>
  <c r="BF1553" i="6"/>
  <c r="AH1553" i="6"/>
  <c r="BD527" i="6"/>
  <c r="T528" i="6" s="1"/>
  <c r="AP527" i="6"/>
  <c r="BE1028" i="6"/>
  <c r="U1028" i="6"/>
  <c r="BG92" i="6"/>
  <c r="W93" i="6" s="1"/>
  <c r="AH92" i="6"/>
  <c r="AQ92" i="6"/>
  <c r="BO1337" i="6"/>
  <c r="BE814" i="6"/>
  <c r="U814" i="6"/>
  <c r="BO1085" i="6"/>
  <c r="AM1240" i="6"/>
  <c r="AL1240" i="6"/>
  <c r="BF1373" i="6"/>
  <c r="AH1373" i="6"/>
  <c r="AN1599" i="6"/>
  <c r="AU1599" i="6" s="1"/>
  <c r="AU343" i="6"/>
  <c r="AL1318" i="6"/>
  <c r="AM1318" i="6"/>
  <c r="AQ57" i="6"/>
  <c r="AH1301" i="6"/>
  <c r="BF1301" i="6"/>
  <c r="AS1319" i="6" l="1"/>
  <c r="AN233" i="6"/>
  <c r="AU233" i="6" s="1"/>
  <c r="AN1455" i="6"/>
  <c r="AU1455" i="6" s="1"/>
  <c r="AN1240" i="6"/>
  <c r="AU1240" i="6" s="1"/>
  <c r="AN1491" i="6"/>
  <c r="AU1491" i="6" s="1"/>
  <c r="AN1386" i="6"/>
  <c r="AU1386" i="6" s="1"/>
  <c r="AN634" i="6"/>
  <c r="AS1175" i="6"/>
  <c r="AS1208" i="6"/>
  <c r="AU1208" i="6" s="1"/>
  <c r="AN1209" i="6"/>
  <c r="AN922" i="6"/>
  <c r="AN844" i="6"/>
  <c r="AU844" i="6" s="1"/>
  <c r="AS20" i="6"/>
  <c r="AN811" i="6"/>
  <c r="AU811" i="6" s="1"/>
  <c r="AN991" i="6"/>
  <c r="AU991" i="6" s="1"/>
  <c r="AN126" i="6"/>
  <c r="AU126" i="6" s="1"/>
  <c r="AN197" i="6"/>
  <c r="AU197" i="6" s="1"/>
  <c r="AS1353" i="6"/>
  <c r="AN1636" i="6"/>
  <c r="AU1636" i="6" s="1"/>
  <c r="AN1564" i="6"/>
  <c r="AU1564" i="6" s="1"/>
  <c r="AS882" i="6"/>
  <c r="AU882" i="6" s="1"/>
  <c r="AN1352" i="6"/>
  <c r="AU1352" i="6" s="1"/>
  <c r="AS452" i="6"/>
  <c r="AS1388" i="6"/>
  <c r="AS236" i="6"/>
  <c r="AS812" i="6"/>
  <c r="AS1535" i="6"/>
  <c r="AS632" i="6"/>
  <c r="AU632" i="6" s="1"/>
  <c r="AS992" i="6"/>
  <c r="AN1029" i="6"/>
  <c r="AS560" i="6"/>
  <c r="AU560" i="6" s="1"/>
  <c r="AN1060" i="6"/>
  <c r="AU1060" i="6" s="1"/>
  <c r="AS920" i="6"/>
  <c r="AU920" i="6" s="1"/>
  <c r="AN1173" i="6"/>
  <c r="AU1173" i="6" s="1"/>
  <c r="AN163" i="6"/>
  <c r="AU163" i="6" s="1"/>
  <c r="AS1100" i="6"/>
  <c r="AU1100" i="6" s="1"/>
  <c r="AN598" i="6"/>
  <c r="AN699" i="6"/>
  <c r="AU699" i="6" s="1"/>
  <c r="AN520" i="6"/>
  <c r="AU520" i="6" s="1"/>
  <c r="AS1028" i="6"/>
  <c r="AU1028" i="6" s="1"/>
  <c r="AS1280" i="6"/>
  <c r="AU1280" i="6" s="1"/>
  <c r="AS776" i="6"/>
  <c r="AU776" i="6" s="1"/>
  <c r="BH1370" i="6"/>
  <c r="X1371" i="6" s="1"/>
  <c r="AD1370" i="6"/>
  <c r="AN1318" i="6"/>
  <c r="AU1318" i="6" s="1"/>
  <c r="BA1285" i="6"/>
  <c r="Q1286" i="6" s="1"/>
  <c r="AG1285" i="6"/>
  <c r="BD22" i="6"/>
  <c r="T23" i="6" s="1"/>
  <c r="AP22" i="6"/>
  <c r="AM305" i="6"/>
  <c r="AL305" i="6"/>
  <c r="AN664" i="6"/>
  <c r="AU664" i="6" s="1"/>
  <c r="BD707" i="6"/>
  <c r="T708" i="6" s="1"/>
  <c r="AP707" i="6"/>
  <c r="AN884" i="6"/>
  <c r="AZ1062" i="6"/>
  <c r="P1063" i="6" s="1"/>
  <c r="AF1062" i="6"/>
  <c r="AI1062" i="6"/>
  <c r="AK1062" i="6"/>
  <c r="AR1062" i="6" s="1"/>
  <c r="AS1062" i="6" s="1"/>
  <c r="AG1062" i="6"/>
  <c r="BE490" i="6"/>
  <c r="U490" i="6"/>
  <c r="AR381" i="6"/>
  <c r="AQ381" i="6"/>
  <c r="BE599" i="6"/>
  <c r="U599" i="6"/>
  <c r="BO352" i="6"/>
  <c r="BN353" i="6" s="1"/>
  <c r="AK352" i="6"/>
  <c r="AZ1421" i="6"/>
  <c r="P1422" i="6" s="1"/>
  <c r="AK1421" i="6"/>
  <c r="AR1421" i="6" s="1"/>
  <c r="AS1421" i="6" s="1"/>
  <c r="AG1421" i="6"/>
  <c r="AS380" i="6"/>
  <c r="AR1536" i="6"/>
  <c r="AQ1536" i="6"/>
  <c r="BA1103" i="6"/>
  <c r="Q1104" i="6" s="1"/>
  <c r="AG1103" i="6"/>
  <c r="BA460" i="6"/>
  <c r="Q461" i="6" s="1"/>
  <c r="AG460" i="6"/>
  <c r="AM19" i="6"/>
  <c r="AL19" i="6"/>
  <c r="AN19" i="6" s="1"/>
  <c r="AU19" i="6" s="1"/>
  <c r="BA537" i="6"/>
  <c r="Q538" i="6" s="1"/>
  <c r="AS164" i="6"/>
  <c r="BE1172" i="6"/>
  <c r="U1172" i="6"/>
  <c r="AQ1425" i="6"/>
  <c r="U1390" i="6"/>
  <c r="BE1390" i="6"/>
  <c r="BA174" i="6"/>
  <c r="Q175" i="6" s="1"/>
  <c r="AG174" i="6"/>
  <c r="AS128" i="6"/>
  <c r="BE1460" i="6"/>
  <c r="U1460" i="6"/>
  <c r="AQ237" i="6"/>
  <c r="AR237" i="6"/>
  <c r="BE1604" i="6"/>
  <c r="U1604" i="6"/>
  <c r="AQ312" i="6"/>
  <c r="AZ1242" i="6"/>
  <c r="P1243" i="6" s="1"/>
  <c r="AF1242" i="6"/>
  <c r="AI1242" i="6"/>
  <c r="AK1242" i="6"/>
  <c r="AR1242" i="6" s="1"/>
  <c r="AS1242" i="6" s="1"/>
  <c r="AG1242" i="6"/>
  <c r="BE165" i="6"/>
  <c r="U165" i="6"/>
  <c r="BH928" i="6"/>
  <c r="X929" i="6" s="1"/>
  <c r="AD928" i="6"/>
  <c r="BG1320" i="6"/>
  <c r="W1321" i="6" s="1"/>
  <c r="AH1320" i="6"/>
  <c r="BO276" i="6"/>
  <c r="BN277" i="6" s="1"/>
  <c r="AK276" i="6"/>
  <c r="BG993" i="6"/>
  <c r="W994" i="6" s="1"/>
  <c r="AH993" i="6"/>
  <c r="BG1356" i="6"/>
  <c r="W1357" i="6" s="1"/>
  <c r="AH1356" i="6"/>
  <c r="BD1498" i="6"/>
  <c r="T1499" i="6" s="1"/>
  <c r="AP1498" i="6"/>
  <c r="AS596" i="6"/>
  <c r="AU596" i="6" s="1"/>
  <c r="AM635" i="6"/>
  <c r="AL635" i="6"/>
  <c r="AL381" i="6"/>
  <c r="AM381" i="6"/>
  <c r="AR129" i="6"/>
  <c r="AQ129" i="6"/>
  <c r="BO672" i="6"/>
  <c r="BN673" i="6" s="1"/>
  <c r="BD313" i="6"/>
  <c r="T314" i="6" s="1"/>
  <c r="AP313" i="6"/>
  <c r="BO895" i="6"/>
  <c r="BN896" i="6" s="1"/>
  <c r="AK895" i="6"/>
  <c r="AM1353" i="6"/>
  <c r="AL1353" i="6"/>
  <c r="BA1464" i="6"/>
  <c r="Q1465" i="6" s="1"/>
  <c r="BE1245" i="6"/>
  <c r="U1245" i="6"/>
  <c r="BD1426" i="6"/>
  <c r="T1427" i="6" s="1"/>
  <c r="AP1426" i="6"/>
  <c r="BG346" i="6"/>
  <c r="W347" i="6" s="1"/>
  <c r="AH346" i="6"/>
  <c r="AM346" i="6" s="1"/>
  <c r="BE21" i="6"/>
  <c r="U21" i="6"/>
  <c r="AQ490" i="6"/>
  <c r="BE93" i="6"/>
  <c r="U93" i="6"/>
  <c r="U1317" i="6"/>
  <c r="BE1317" i="6"/>
  <c r="BG382" i="6"/>
  <c r="W383" i="6" s="1"/>
  <c r="AH382" i="6"/>
  <c r="AQ813" i="6"/>
  <c r="AR813" i="6"/>
  <c r="BA95" i="6"/>
  <c r="Q96" i="6" s="1"/>
  <c r="AN380" i="6"/>
  <c r="BG165" i="6"/>
  <c r="W166" i="6" s="1"/>
  <c r="AH165" i="6"/>
  <c r="AM53" i="6"/>
  <c r="AL53" i="6"/>
  <c r="BO650" i="6"/>
  <c r="BN651" i="6" s="1"/>
  <c r="AK650" i="6"/>
  <c r="BO1611" i="6"/>
  <c r="BN1612" i="6" s="1"/>
  <c r="AH1503" i="6"/>
  <c r="BG1503" i="6"/>
  <c r="W1504" i="6" s="1"/>
  <c r="BA389" i="6"/>
  <c r="Q390" i="6" s="1"/>
  <c r="AG389" i="6"/>
  <c r="BD130" i="6"/>
  <c r="T131" i="6" s="1"/>
  <c r="AP130" i="6"/>
  <c r="BG778" i="6"/>
  <c r="W779" i="6" s="1"/>
  <c r="AH778" i="6"/>
  <c r="AM778" i="6"/>
  <c r="AL778" i="6"/>
  <c r="AR1209" i="6"/>
  <c r="AQ1209" i="6"/>
  <c r="AG347" i="6"/>
  <c r="BA347" i="6"/>
  <c r="Q348" i="6" s="1"/>
  <c r="AQ1642" i="6"/>
  <c r="AM1492" i="6"/>
  <c r="AL1492" i="6"/>
  <c r="AG1354" i="6"/>
  <c r="BA1354" i="6"/>
  <c r="Q1355" i="6" s="1"/>
  <c r="BE921" i="6"/>
  <c r="U921" i="6"/>
  <c r="U1065" i="6"/>
  <c r="BE1065" i="6"/>
  <c r="BE1281" i="6"/>
  <c r="U1281" i="6"/>
  <c r="BG564" i="6"/>
  <c r="W565" i="6" s="1"/>
  <c r="AH564" i="6"/>
  <c r="AL564" i="6" s="1"/>
  <c r="BO928" i="6"/>
  <c r="BN929" i="6" s="1"/>
  <c r="AK928" i="6"/>
  <c r="BG128" i="6"/>
  <c r="W129" i="6" s="1"/>
  <c r="AH128" i="6"/>
  <c r="BO1144" i="6"/>
  <c r="BN1145" i="6" s="1"/>
  <c r="BD491" i="6"/>
  <c r="T492" i="6" s="1"/>
  <c r="AP491" i="6"/>
  <c r="BE1533" i="6"/>
  <c r="U1533" i="6"/>
  <c r="BO756" i="6"/>
  <c r="BN757" i="6" s="1"/>
  <c r="AH1211" i="6"/>
  <c r="BG1211" i="6"/>
  <c r="W1212" i="6" s="1"/>
  <c r="BD814" i="6"/>
  <c r="T815" i="6" s="1"/>
  <c r="AP814" i="6"/>
  <c r="BO1047" i="6"/>
  <c r="BN1048" i="6" s="1"/>
  <c r="AK1047" i="6"/>
  <c r="BG489" i="6"/>
  <c r="W490" i="6" s="1"/>
  <c r="AH489" i="6"/>
  <c r="U633" i="6"/>
  <c r="BE633" i="6"/>
  <c r="BO203" i="6"/>
  <c r="BN204" i="6" s="1"/>
  <c r="AQ743" i="6"/>
  <c r="BG636" i="6"/>
  <c r="W637" i="6" s="1"/>
  <c r="AH636" i="6"/>
  <c r="BA496" i="6"/>
  <c r="Q497" i="6" s="1"/>
  <c r="BE1424" i="6"/>
  <c r="U1424" i="6"/>
  <c r="AN1600" i="6"/>
  <c r="AU1600" i="6" s="1"/>
  <c r="BE1497" i="6"/>
  <c r="U1497" i="6"/>
  <c r="AI738" i="6"/>
  <c r="AZ738" i="6"/>
  <c r="P739" i="6" s="1"/>
  <c r="AF738" i="6"/>
  <c r="AK738" i="6"/>
  <c r="AR738" i="6" s="1"/>
  <c r="AS738" i="6" s="1"/>
  <c r="AG738" i="6"/>
  <c r="BA779" i="6"/>
  <c r="Q780" i="6" s="1"/>
  <c r="AG779" i="6"/>
  <c r="AG27" i="6"/>
  <c r="BA27" i="6"/>
  <c r="Q28" i="6" s="1"/>
  <c r="BD1210" i="6"/>
  <c r="T1211" i="6" s="1"/>
  <c r="AP1210" i="6"/>
  <c r="AQ1570" i="6"/>
  <c r="BD1643" i="6"/>
  <c r="T1644" i="6" s="1"/>
  <c r="AP1643" i="6"/>
  <c r="AM89" i="6"/>
  <c r="AL89" i="6"/>
  <c r="BO1545" i="6"/>
  <c r="BN1546" i="6" s="1"/>
  <c r="AK1545" i="6"/>
  <c r="AM127" i="6"/>
  <c r="AL127" i="6"/>
  <c r="BA815" i="6"/>
  <c r="Q816" i="6" s="1"/>
  <c r="AG815" i="6"/>
  <c r="AQ345" i="6"/>
  <c r="AR345" i="6"/>
  <c r="BD275" i="6"/>
  <c r="T276" i="6" s="1"/>
  <c r="AP275" i="6"/>
  <c r="BE848" i="6"/>
  <c r="U848" i="6"/>
  <c r="AN413" i="6"/>
  <c r="AU413" i="6" s="1"/>
  <c r="AM1565" i="6"/>
  <c r="AL1565" i="6"/>
  <c r="AL1456" i="6"/>
  <c r="AM1456" i="6"/>
  <c r="U958" i="6"/>
  <c r="BE958" i="6"/>
  <c r="AR1320" i="6"/>
  <c r="AQ1320" i="6"/>
  <c r="BO240" i="6"/>
  <c r="BN241" i="6" s="1"/>
  <c r="AK240" i="6"/>
  <c r="BO1186" i="6"/>
  <c r="BN1187" i="6" s="1"/>
  <c r="AK1186" i="6"/>
  <c r="BE560" i="6"/>
  <c r="U560" i="6"/>
  <c r="AM484" i="6"/>
  <c r="AL484" i="6"/>
  <c r="AZ54" i="6"/>
  <c r="P55" i="6" s="1"/>
  <c r="AI54" i="6"/>
  <c r="AF54" i="6"/>
  <c r="AK54" i="6"/>
  <c r="AR54" i="6" s="1"/>
  <c r="AS54" i="6" s="1"/>
  <c r="AG54" i="6"/>
  <c r="AZ1006" i="6"/>
  <c r="P1007" i="6" s="1"/>
  <c r="AK1006" i="6"/>
  <c r="BG1248" i="6"/>
  <c r="W1249" i="6" s="1"/>
  <c r="AH1248" i="6"/>
  <c r="BO1577" i="6"/>
  <c r="BN1578" i="6" s="1"/>
  <c r="AN483" i="6"/>
  <c r="AU483" i="6" s="1"/>
  <c r="BD744" i="6"/>
  <c r="T745" i="6" s="1"/>
  <c r="AP744" i="6"/>
  <c r="BA1644" i="6"/>
  <c r="Q1645" i="6" s="1"/>
  <c r="AQ1605" i="6"/>
  <c r="AN955" i="6"/>
  <c r="AU955" i="6" s="1"/>
  <c r="AZ463" i="6"/>
  <c r="P464" i="6" s="1"/>
  <c r="AK463" i="6"/>
  <c r="BD1571" i="6"/>
  <c r="T1572" i="6" s="1"/>
  <c r="AP1571" i="6"/>
  <c r="AZ1493" i="6"/>
  <c r="P1494" i="6" s="1"/>
  <c r="AK1493" i="6"/>
  <c r="AR1493" i="6" s="1"/>
  <c r="AS1493" i="6" s="1"/>
  <c r="AG1493" i="6"/>
  <c r="BE454" i="6"/>
  <c r="U454" i="6"/>
  <c r="BE418" i="6"/>
  <c r="U418" i="6"/>
  <c r="AM1030" i="6"/>
  <c r="AL1030" i="6"/>
  <c r="AQ417" i="6"/>
  <c r="AZ306" i="6"/>
  <c r="P307" i="6" s="1"/>
  <c r="AI306" i="6"/>
  <c r="AG306" i="6"/>
  <c r="AK306" i="6"/>
  <c r="AR306" i="6" s="1"/>
  <c r="AS306" i="6" s="1"/>
  <c r="AF306" i="6"/>
  <c r="BA322" i="6"/>
  <c r="Q323" i="6" s="1"/>
  <c r="BE345" i="6"/>
  <c r="U345" i="6"/>
  <c r="BD346" i="6"/>
  <c r="T347" i="6" s="1"/>
  <c r="AP346" i="6"/>
  <c r="AZ578" i="6"/>
  <c r="P579" i="6" s="1"/>
  <c r="AK578" i="6"/>
  <c r="AZ1566" i="6"/>
  <c r="P1567" i="6" s="1"/>
  <c r="AI1566" i="6"/>
  <c r="AF1566" i="6"/>
  <c r="AG1566" i="6"/>
  <c r="AK1566" i="6"/>
  <c r="AR1566" i="6" s="1"/>
  <c r="AS1566" i="6" s="1"/>
  <c r="BO1390" i="6"/>
  <c r="BN1391" i="6" s="1"/>
  <c r="AK1390" i="6"/>
  <c r="BA565" i="6"/>
  <c r="Q566" i="6" s="1"/>
  <c r="AG565" i="6"/>
  <c r="BO961" i="6"/>
  <c r="BN962" i="6" s="1"/>
  <c r="AK961" i="6"/>
  <c r="AR961" i="6" s="1"/>
  <c r="BD1321" i="6"/>
  <c r="T1322" i="6" s="1"/>
  <c r="AP1321" i="6"/>
  <c r="AM198" i="6"/>
  <c r="AL198" i="6"/>
  <c r="AM1601" i="6"/>
  <c r="AL1601" i="6"/>
  <c r="AL812" i="6"/>
  <c r="AM812" i="6"/>
  <c r="AN18" i="6"/>
  <c r="AU18" i="6" s="1"/>
  <c r="BA209" i="6"/>
  <c r="Q210" i="6" s="1"/>
  <c r="AN52" i="6"/>
  <c r="AU52" i="6" s="1"/>
  <c r="BG1175" i="6"/>
  <c r="W1176" i="6" s="1"/>
  <c r="AH1175" i="6"/>
  <c r="BE1137" i="6"/>
  <c r="U1137" i="6"/>
  <c r="BD1606" i="6"/>
  <c r="T1607" i="6" s="1"/>
  <c r="AP1606" i="6"/>
  <c r="BG1142" i="6"/>
  <c r="W1143" i="6" s="1"/>
  <c r="AH1142" i="6"/>
  <c r="AM700" i="6"/>
  <c r="AL700" i="6"/>
  <c r="BO784" i="6"/>
  <c r="BN785" i="6" s="1"/>
  <c r="AK784" i="6"/>
  <c r="BA1611" i="6"/>
  <c r="Q1612" i="6" s="1"/>
  <c r="AM599" i="6"/>
  <c r="AL599" i="6"/>
  <c r="AG1536" i="6"/>
  <c r="BA1536" i="6"/>
  <c r="Q1537" i="6" s="1"/>
  <c r="AZ90" i="6"/>
  <c r="P91" i="6" s="1"/>
  <c r="AI90" i="6"/>
  <c r="AF90" i="6"/>
  <c r="AK90" i="6"/>
  <c r="AR90" i="6" s="1"/>
  <c r="AS90" i="6" s="1"/>
  <c r="AG90" i="6"/>
  <c r="AH1031" i="6"/>
  <c r="BG1031" i="6"/>
  <c r="W1032" i="6" s="1"/>
  <c r="BG600" i="6"/>
  <c r="W601" i="6" s="1"/>
  <c r="AH600" i="6"/>
  <c r="BG740" i="6"/>
  <c r="W741" i="6" s="1"/>
  <c r="AH740" i="6"/>
  <c r="BD418" i="6"/>
  <c r="T419" i="6" s="1"/>
  <c r="AP418" i="6"/>
  <c r="AR1029" i="6"/>
  <c r="AQ1029" i="6"/>
  <c r="AZ415" i="6"/>
  <c r="P416" i="6" s="1"/>
  <c r="AG415" i="6"/>
  <c r="AK415" i="6"/>
  <c r="AR415" i="6" s="1"/>
  <c r="AS415" i="6" s="1"/>
  <c r="AL1282" i="6"/>
  <c r="AM1282" i="6"/>
  <c r="BO388" i="6"/>
  <c r="BN389" i="6" s="1"/>
  <c r="AK388" i="6"/>
  <c r="AM564" i="6"/>
  <c r="BA245" i="6"/>
  <c r="Q246" i="6" s="1"/>
  <c r="AG245" i="6"/>
  <c r="AQ453" i="6"/>
  <c r="AR453" i="6"/>
  <c r="BG849" i="6"/>
  <c r="W850" i="6" s="1"/>
  <c r="AH849" i="6"/>
  <c r="AZ1457" i="6"/>
  <c r="P1458" i="6" s="1"/>
  <c r="AK1457" i="6"/>
  <c r="AR1457" i="6" s="1"/>
  <c r="AS1457" i="6" s="1"/>
  <c r="AG1457" i="6"/>
  <c r="AR1389" i="6"/>
  <c r="AQ1389" i="6"/>
  <c r="AL1387" i="6"/>
  <c r="AM1387" i="6"/>
  <c r="AZ199" i="6"/>
  <c r="P200" i="6" s="1"/>
  <c r="AG199" i="6"/>
  <c r="AK199" i="6"/>
  <c r="AR199" i="6" s="1"/>
  <c r="AS199" i="6" s="1"/>
  <c r="BO473" i="6"/>
  <c r="AN1531" i="6"/>
  <c r="AU1531" i="6" s="1"/>
  <c r="AZ485" i="6"/>
  <c r="P486" i="6" s="1"/>
  <c r="AK485" i="6"/>
  <c r="AR485" i="6" s="1"/>
  <c r="AS485" i="6" s="1"/>
  <c r="AG485" i="6"/>
  <c r="BE309" i="6"/>
  <c r="U309" i="6"/>
  <c r="BG200" i="6"/>
  <c r="W201" i="6" s="1"/>
  <c r="AH200" i="6"/>
  <c r="BG813" i="6"/>
  <c r="W814" i="6" s="1"/>
  <c r="AH813" i="6"/>
  <c r="BH1012" i="6"/>
  <c r="X1013" i="6" s="1"/>
  <c r="AD1012" i="6"/>
  <c r="AG1395" i="6"/>
  <c r="BA1395" i="6"/>
  <c r="Q1396" i="6" s="1"/>
  <c r="BO135" i="6"/>
  <c r="BN136" i="6" s="1"/>
  <c r="AK135" i="6"/>
  <c r="AQ1063" i="6"/>
  <c r="AM845" i="6"/>
  <c r="AL845" i="6"/>
  <c r="BE525" i="6"/>
  <c r="U525" i="6"/>
  <c r="BA1499" i="6"/>
  <c r="Q1500" i="6" s="1"/>
  <c r="AG600" i="6"/>
  <c r="BA600" i="6"/>
  <c r="Q601" i="6" s="1"/>
  <c r="BO179" i="6"/>
  <c r="BN180" i="6" s="1"/>
  <c r="AK179" i="6"/>
  <c r="BO1644" i="6"/>
  <c r="BN1645" i="6" s="1"/>
  <c r="BO1109" i="6"/>
  <c r="BN1110" i="6" s="1"/>
  <c r="AK1109" i="6"/>
  <c r="AH924" i="6"/>
  <c r="BG924" i="6"/>
  <c r="W925" i="6" s="1"/>
  <c r="AM737" i="6"/>
  <c r="AL737" i="6"/>
  <c r="AG636" i="6"/>
  <c r="BA636" i="6"/>
  <c r="Q637" i="6" s="1"/>
  <c r="BO1467" i="6"/>
  <c r="BN1468" i="6" s="1"/>
  <c r="BG93" i="6"/>
  <c r="W94" i="6" s="1"/>
  <c r="AH93" i="6"/>
  <c r="BH1146" i="6"/>
  <c r="X1147" i="6" s="1"/>
  <c r="AD1146" i="6"/>
  <c r="AM414" i="6"/>
  <c r="AL414" i="6"/>
  <c r="BG1283" i="6"/>
  <c r="W1284" i="6" s="1"/>
  <c r="AH1283" i="6"/>
  <c r="BE1029" i="6"/>
  <c r="U1029" i="6"/>
  <c r="AL521" i="6"/>
  <c r="AM521" i="6"/>
  <c r="AQ527" i="6"/>
  <c r="AZ522" i="6"/>
  <c r="P523" i="6" s="1"/>
  <c r="AF522" i="6"/>
  <c r="AI522" i="6"/>
  <c r="AK522" i="6"/>
  <c r="AR522" i="6" s="1"/>
  <c r="AS522" i="6" s="1"/>
  <c r="AG522" i="6"/>
  <c r="BE201" i="6"/>
  <c r="U201" i="6"/>
  <c r="BD1030" i="6"/>
  <c r="T1031" i="6" s="1"/>
  <c r="AP1030" i="6"/>
  <c r="AN88" i="6"/>
  <c r="AU88" i="6" s="1"/>
  <c r="AM665" i="6"/>
  <c r="AL665" i="6"/>
  <c r="BG1569" i="6"/>
  <c r="W1570" i="6" s="1"/>
  <c r="AH1569" i="6"/>
  <c r="BA673" i="6"/>
  <c r="Q674" i="6" s="1"/>
  <c r="BA856" i="6"/>
  <c r="Q857" i="6" s="1"/>
  <c r="BG669" i="6"/>
  <c r="W670" i="6" s="1"/>
  <c r="AH669" i="6"/>
  <c r="AN304" i="6"/>
  <c r="AU304" i="6" s="1"/>
  <c r="BA60" i="6"/>
  <c r="Q61" i="6" s="1"/>
  <c r="BD454" i="6"/>
  <c r="T455" i="6" s="1"/>
  <c r="AP454" i="6"/>
  <c r="BD962" i="6"/>
  <c r="T963" i="6" s="1"/>
  <c r="AP962" i="6"/>
  <c r="BD1390" i="6"/>
  <c r="T1391" i="6" s="1"/>
  <c r="AP1390" i="6"/>
  <c r="BG1388" i="6"/>
  <c r="W1389" i="6" s="1"/>
  <c r="AH1388" i="6"/>
  <c r="AR561" i="6"/>
  <c r="AQ561" i="6"/>
  <c r="U1641" i="6"/>
  <c r="BE1641" i="6"/>
  <c r="BO1362" i="6"/>
  <c r="BN1363" i="6" s="1"/>
  <c r="AK1362" i="6"/>
  <c r="AN451" i="6"/>
  <c r="AU451" i="6" s="1"/>
  <c r="AZ1602" i="6"/>
  <c r="P1603" i="6" s="1"/>
  <c r="AI1602" i="6"/>
  <c r="AF1602" i="6"/>
  <c r="AK1602" i="6"/>
  <c r="AR1602" i="6" s="1"/>
  <c r="AS1602" i="6" s="1"/>
  <c r="AG1602" i="6"/>
  <c r="AR1354" i="6"/>
  <c r="AQ1354" i="6"/>
  <c r="AR777" i="6"/>
  <c r="AQ777" i="6"/>
  <c r="BD1064" i="6"/>
  <c r="T1065" i="6" s="1"/>
  <c r="AP1064" i="6"/>
  <c r="BA1033" i="6"/>
  <c r="Q1034" i="6" s="1"/>
  <c r="AG1033" i="6"/>
  <c r="AM1133" i="6"/>
  <c r="AL1133" i="6"/>
  <c r="AZ701" i="6"/>
  <c r="P702" i="6" s="1"/>
  <c r="AK701" i="6"/>
  <c r="AR701" i="6" s="1"/>
  <c r="AS701" i="6" s="1"/>
  <c r="AG701" i="6"/>
  <c r="BG1427" i="6"/>
  <c r="W1428" i="6" s="1"/>
  <c r="AH1427" i="6"/>
  <c r="BG1643" i="6"/>
  <c r="W1644" i="6" s="1"/>
  <c r="AH1643" i="6"/>
  <c r="AN736" i="6"/>
  <c r="AU736" i="6" s="1"/>
  <c r="AL164" i="6"/>
  <c r="AM164" i="6"/>
  <c r="U1568" i="6"/>
  <c r="BE1568" i="6"/>
  <c r="BE741" i="6"/>
  <c r="U741" i="6"/>
  <c r="AZ666" i="6"/>
  <c r="P667" i="6" s="1"/>
  <c r="AI666" i="6"/>
  <c r="AF666" i="6"/>
  <c r="AG666" i="6"/>
  <c r="AK666" i="6"/>
  <c r="AR666" i="6" s="1"/>
  <c r="AS666" i="6" s="1"/>
  <c r="BE273" i="6"/>
  <c r="U273" i="6"/>
  <c r="AL885" i="6"/>
  <c r="AM885" i="6"/>
  <c r="AM271" i="6"/>
  <c r="AL271" i="6"/>
  <c r="AL1174" i="6"/>
  <c r="AM1174" i="6"/>
  <c r="BA1067" i="6"/>
  <c r="Q1068" i="6" s="1"/>
  <c r="AN270" i="6"/>
  <c r="AU270" i="6" s="1"/>
  <c r="AQ961" i="6"/>
  <c r="AS960" i="6"/>
  <c r="BD562" i="6"/>
  <c r="T563" i="6" s="1"/>
  <c r="AP562" i="6"/>
  <c r="BO1224" i="6"/>
  <c r="BN1225" i="6" s="1"/>
  <c r="AK1224" i="6"/>
  <c r="BA707" i="6"/>
  <c r="Q708" i="6" s="1"/>
  <c r="AR165" i="6"/>
  <c r="AQ165" i="6"/>
  <c r="AR1101" i="6"/>
  <c r="AQ1101" i="6"/>
  <c r="AQ921" i="6"/>
  <c r="AR921" i="6"/>
  <c r="AR883" i="6"/>
  <c r="AQ883" i="6"/>
  <c r="BD1355" i="6"/>
  <c r="T1356" i="6" s="1"/>
  <c r="AP1355" i="6"/>
  <c r="BE1353" i="6"/>
  <c r="U1353" i="6"/>
  <c r="BE237" i="6"/>
  <c r="U237" i="6"/>
  <c r="BG56" i="6"/>
  <c r="W57" i="6" s="1"/>
  <c r="AH56" i="6"/>
  <c r="BD778" i="6"/>
  <c r="T779" i="6" s="1"/>
  <c r="AP778" i="6"/>
  <c r="AZ846" i="6"/>
  <c r="P847" i="6" s="1"/>
  <c r="AI846" i="6"/>
  <c r="AF846" i="6"/>
  <c r="AK846" i="6"/>
  <c r="AR846" i="6" s="1"/>
  <c r="AS846" i="6" s="1"/>
  <c r="AG846" i="6"/>
  <c r="AQ669" i="6"/>
  <c r="AQ201" i="6"/>
  <c r="BE129" i="6"/>
  <c r="U129" i="6"/>
  <c r="U1101" i="6"/>
  <c r="BE1101" i="6"/>
  <c r="AQ93" i="6"/>
  <c r="BO1431" i="6"/>
  <c r="BN1432" i="6" s="1"/>
  <c r="BE884" i="6"/>
  <c r="U884" i="6"/>
  <c r="BA281" i="6"/>
  <c r="Q282" i="6" s="1"/>
  <c r="AG281" i="6"/>
  <c r="BD382" i="6"/>
  <c r="T383" i="6" s="1"/>
  <c r="AP382" i="6"/>
  <c r="BD1537" i="6"/>
  <c r="T1538" i="6" s="1"/>
  <c r="AP1537" i="6"/>
  <c r="BG1468" i="6"/>
  <c r="W1469" i="6" s="1"/>
  <c r="BG1469" i="6" s="1"/>
  <c r="W1470" i="6" s="1"/>
  <c r="BG1470" i="6" s="1"/>
  <c r="W1471" i="6" s="1"/>
  <c r="BG1471" i="6" s="1"/>
  <c r="W1472" i="6" s="1"/>
  <c r="BG1472" i="6" s="1"/>
  <c r="W1473" i="6" s="1"/>
  <c r="BG1473" i="6" s="1"/>
  <c r="W1474" i="6" s="1"/>
  <c r="BG1474" i="6" s="1"/>
  <c r="W1475" i="6" s="1"/>
  <c r="BG1475" i="6" s="1"/>
  <c r="W1476" i="6" s="1"/>
  <c r="BG1476" i="6" s="1"/>
  <c r="W1477" i="6" s="1"/>
  <c r="BG1477" i="6" s="1"/>
  <c r="W1478" i="6" s="1"/>
  <c r="BG1478" i="6" s="1"/>
  <c r="W1479" i="6" s="1"/>
  <c r="BG1479" i="6" s="1"/>
  <c r="W1480" i="6" s="1"/>
  <c r="BG1480" i="6" s="1"/>
  <c r="W1481" i="6" s="1"/>
  <c r="BG1481" i="6" s="1"/>
  <c r="AH1468" i="6"/>
  <c r="AN1281" i="6"/>
  <c r="BA1247" i="6"/>
  <c r="Q1248" i="6" s="1"/>
  <c r="BD528" i="6"/>
  <c r="T529" i="6" s="1"/>
  <c r="AP528" i="6"/>
  <c r="AH886" i="6"/>
  <c r="BG886" i="6"/>
  <c r="W887" i="6" s="1"/>
  <c r="BA1175" i="6"/>
  <c r="Q1176" i="6" s="1"/>
  <c r="AG1175" i="6"/>
  <c r="AQ849" i="6"/>
  <c r="AQ633" i="6"/>
  <c r="AR633" i="6"/>
  <c r="AM563" i="6"/>
  <c r="AN563" i="6" s="1"/>
  <c r="AQ1137" i="6"/>
  <c r="BA997" i="6"/>
  <c r="Q998" i="6" s="1"/>
  <c r="AG997" i="6"/>
  <c r="AM452" i="6"/>
  <c r="AL452" i="6"/>
  <c r="BD166" i="6"/>
  <c r="T167" i="6" s="1"/>
  <c r="AP166" i="6"/>
  <c r="BD1102" i="6"/>
  <c r="T1103" i="6" s="1"/>
  <c r="AP1102" i="6"/>
  <c r="BD922" i="6"/>
  <c r="T923" i="6" s="1"/>
  <c r="AP922" i="6"/>
  <c r="AN1419" i="6"/>
  <c r="AU1419" i="6" s="1"/>
  <c r="BD884" i="6"/>
  <c r="T885" i="6" s="1"/>
  <c r="AP884" i="6"/>
  <c r="BA135" i="6"/>
  <c r="Q136" i="6" s="1"/>
  <c r="AG135" i="6"/>
  <c r="AH308" i="6"/>
  <c r="BG308" i="6"/>
  <c r="W309" i="6" s="1"/>
  <c r="AG891" i="6"/>
  <c r="BA891" i="6"/>
  <c r="Q892" i="6" s="1"/>
  <c r="AR993" i="6"/>
  <c r="AQ993" i="6"/>
  <c r="AM956" i="6"/>
  <c r="AL956" i="6"/>
  <c r="AZ1134" i="6"/>
  <c r="P1135" i="6" s="1"/>
  <c r="AI1134" i="6"/>
  <c r="AF1134" i="6"/>
  <c r="AK1134" i="6"/>
  <c r="AR1134" i="6" s="1"/>
  <c r="AS1134" i="6" s="1"/>
  <c r="AG1134" i="6"/>
  <c r="U992" i="6"/>
  <c r="BE992" i="6"/>
  <c r="BG524" i="6"/>
  <c r="W525" i="6" s="1"/>
  <c r="AH524" i="6"/>
  <c r="BD670" i="6"/>
  <c r="T671" i="6" s="1"/>
  <c r="AP670" i="6"/>
  <c r="AM923" i="6"/>
  <c r="AL923" i="6"/>
  <c r="BD202" i="6"/>
  <c r="T203" i="6" s="1"/>
  <c r="AP202" i="6"/>
  <c r="AQ58" i="6"/>
  <c r="AM345" i="6"/>
  <c r="AN345" i="6" s="1"/>
  <c r="BD94" i="6"/>
  <c r="T95" i="6" s="1"/>
  <c r="AP94" i="6"/>
  <c r="BA1578" i="6"/>
  <c r="Q1579" i="6" s="1"/>
  <c r="BA1428" i="6"/>
  <c r="Q1429" i="6" s="1"/>
  <c r="AR274" i="6"/>
  <c r="AQ274" i="6"/>
  <c r="AZ1335" i="6"/>
  <c r="P1336" i="6" s="1"/>
  <c r="AK1335" i="6"/>
  <c r="AM1637" i="6"/>
  <c r="AL1637" i="6"/>
  <c r="BG272" i="6"/>
  <c r="W273" i="6" s="1"/>
  <c r="AH272" i="6"/>
  <c r="BE815" i="6"/>
  <c r="U815" i="6"/>
  <c r="U669" i="6"/>
  <c r="BE669" i="6"/>
  <c r="AS344" i="6"/>
  <c r="AU344" i="6" s="1"/>
  <c r="BD850" i="6"/>
  <c r="T851" i="6" s="1"/>
  <c r="AP850" i="6"/>
  <c r="BD634" i="6"/>
  <c r="T635" i="6" s="1"/>
  <c r="AP634" i="6"/>
  <c r="BO827" i="6"/>
  <c r="BN828" i="6" s="1"/>
  <c r="AK827" i="6"/>
  <c r="AL1061" i="6"/>
  <c r="AM1061" i="6"/>
  <c r="BG1106" i="6"/>
  <c r="W1107" i="6" s="1"/>
  <c r="AH1106" i="6"/>
  <c r="BG706" i="6"/>
  <c r="W707" i="6" s="1"/>
  <c r="AH706" i="6"/>
  <c r="AL970" i="6"/>
  <c r="BD1138" i="6"/>
  <c r="T1139" i="6" s="1"/>
  <c r="AP1138" i="6"/>
  <c r="BO534" i="6"/>
  <c r="BN535" i="6" s="1"/>
  <c r="AM234" i="6"/>
  <c r="AL234" i="6"/>
  <c r="AL1420" i="6"/>
  <c r="AM1420" i="6"/>
  <c r="BD1282" i="6"/>
  <c r="T1283" i="6" s="1"/>
  <c r="AP1282" i="6"/>
  <c r="BG453" i="6"/>
  <c r="W454" i="6" s="1"/>
  <c r="AH453" i="6"/>
  <c r="AQ1176" i="6"/>
  <c r="AR1176" i="6"/>
  <c r="AM1210" i="6"/>
  <c r="AL1210" i="6"/>
  <c r="AQ1461" i="6"/>
  <c r="BD994" i="6"/>
  <c r="T995" i="6" s="1"/>
  <c r="AP994" i="6"/>
  <c r="BG957" i="6"/>
  <c r="W958" i="6" s="1"/>
  <c r="AH957" i="6"/>
  <c r="AM1241" i="6"/>
  <c r="AL1241" i="6"/>
  <c r="AQ597" i="6"/>
  <c r="AR597" i="6"/>
  <c r="BA924" i="6"/>
  <c r="Q925" i="6" s="1"/>
  <c r="AG924" i="6"/>
  <c r="AL1532" i="6"/>
  <c r="AM1532" i="6"/>
  <c r="AM777" i="6"/>
  <c r="AN777" i="6" s="1"/>
  <c r="BO1509" i="6"/>
  <c r="BN1510" i="6" s="1"/>
  <c r="BD59" i="6"/>
  <c r="T60" i="6" s="1"/>
  <c r="AP59" i="6"/>
  <c r="BE382" i="6"/>
  <c r="U382" i="6"/>
  <c r="AN1101" i="6"/>
  <c r="BD238" i="6"/>
  <c r="T239" i="6" s="1"/>
  <c r="AP238" i="6"/>
  <c r="BG1064" i="6"/>
  <c r="W1065" i="6" s="1"/>
  <c r="AH1064" i="6"/>
  <c r="BO1254" i="6"/>
  <c r="BN1255" i="6" s="1"/>
  <c r="AZ1638" i="6"/>
  <c r="P1639" i="6" s="1"/>
  <c r="AI1638" i="6"/>
  <c r="AF1638" i="6"/>
  <c r="AG1638" i="6"/>
  <c r="AK1638" i="6"/>
  <c r="AR1638" i="6" s="1"/>
  <c r="AS1638" i="6" s="1"/>
  <c r="BA1324" i="6"/>
  <c r="Q1325" i="6" s="1"/>
  <c r="AG1324" i="6"/>
  <c r="AR21" i="6"/>
  <c r="AQ21" i="6"/>
  <c r="U777" i="6"/>
  <c r="BE777" i="6"/>
  <c r="BA1139" i="6"/>
  <c r="Q1140" i="6" s="1"/>
  <c r="BE57" i="6"/>
  <c r="U57" i="6"/>
  <c r="BE706" i="6"/>
  <c r="U706" i="6"/>
  <c r="AQ706" i="6"/>
  <c r="BA971" i="6"/>
  <c r="Q972" i="6" s="1"/>
  <c r="AG971" i="6"/>
  <c r="BG235" i="6"/>
  <c r="W236" i="6" s="1"/>
  <c r="AH235" i="6"/>
  <c r="AQ1281" i="6"/>
  <c r="AR1281" i="6"/>
  <c r="AM1102" i="6"/>
  <c r="AL1102" i="6"/>
  <c r="BG20" i="6"/>
  <c r="W21" i="6" s="1"/>
  <c r="AH20" i="6"/>
  <c r="BD1177" i="6"/>
  <c r="T1178" i="6" s="1"/>
  <c r="AP1177" i="6"/>
  <c r="BA425" i="6"/>
  <c r="Q426" i="6" s="1"/>
  <c r="BG418" i="6"/>
  <c r="W419" i="6" s="1"/>
  <c r="AH418" i="6"/>
  <c r="BA1211" i="6"/>
  <c r="Q1212" i="6" s="1"/>
  <c r="AG1211" i="6"/>
  <c r="AM173" i="6"/>
  <c r="AL173" i="6"/>
  <c r="BD1462" i="6"/>
  <c r="T1463" i="6" s="1"/>
  <c r="AP1462" i="6"/>
  <c r="AN1132" i="6"/>
  <c r="AU1132" i="6" s="1"/>
  <c r="BO424" i="6"/>
  <c r="BN425" i="6" s="1"/>
  <c r="BA744" i="6"/>
  <c r="Q745" i="6" s="1"/>
  <c r="BE1208" i="6"/>
  <c r="U1208" i="6"/>
  <c r="BD598" i="6"/>
  <c r="T599" i="6" s="1"/>
  <c r="AP598" i="6"/>
  <c r="BG1533" i="6"/>
  <c r="W1534" i="6" s="1"/>
  <c r="AH1533" i="6"/>
  <c r="AM1319" i="6"/>
  <c r="AL1319" i="6"/>
  <c r="AM992" i="6"/>
  <c r="AL992" i="6"/>
  <c r="AQ1497" i="6"/>
  <c r="AN1210" i="6" l="1"/>
  <c r="AS1354" i="6"/>
  <c r="AN1241" i="6"/>
  <c r="AU1241" i="6" s="1"/>
  <c r="AN992" i="6"/>
  <c r="AU992" i="6" s="1"/>
  <c r="AS777" i="6"/>
  <c r="AU777" i="6" s="1"/>
  <c r="AN89" i="6"/>
  <c r="AU89" i="6" s="1"/>
  <c r="AS1536" i="6"/>
  <c r="AN1420" i="6"/>
  <c r="AU1420" i="6" s="1"/>
  <c r="AN381" i="6"/>
  <c r="AN164" i="6"/>
  <c r="AU164" i="6" s="1"/>
  <c r="AN700" i="6"/>
  <c r="AU700" i="6" s="1"/>
  <c r="AN778" i="6"/>
  <c r="AN635" i="6"/>
  <c r="AN1456" i="6"/>
  <c r="AU1456" i="6" s="1"/>
  <c r="AS993" i="6"/>
  <c r="AS633" i="6"/>
  <c r="AU633" i="6" s="1"/>
  <c r="AN564" i="6"/>
  <c r="AN198" i="6"/>
  <c r="AU198" i="6" s="1"/>
  <c r="AN173" i="6"/>
  <c r="AN271" i="6"/>
  <c r="AU271" i="6" s="1"/>
  <c r="AN53" i="6"/>
  <c r="AU53" i="6" s="1"/>
  <c r="AN1282" i="6"/>
  <c r="AN234" i="6"/>
  <c r="AU234" i="6" s="1"/>
  <c r="AN1532" i="6"/>
  <c r="AU1532" i="6" s="1"/>
  <c r="AN923" i="6"/>
  <c r="AS453" i="6"/>
  <c r="AS1029" i="6"/>
  <c r="AU1029" i="6" s="1"/>
  <c r="AN812" i="6"/>
  <c r="AU812" i="6" s="1"/>
  <c r="AS921" i="6"/>
  <c r="AU921" i="6" s="1"/>
  <c r="AS1101" i="6"/>
  <c r="AN845" i="6"/>
  <c r="AU845" i="6" s="1"/>
  <c r="AU380" i="6"/>
  <c r="AN521" i="6"/>
  <c r="AU521" i="6" s="1"/>
  <c r="AN1174" i="6"/>
  <c r="AU1174" i="6" s="1"/>
  <c r="AN599" i="6"/>
  <c r="AS381" i="6"/>
  <c r="BA426" i="6"/>
  <c r="Q427" i="6" s="1"/>
  <c r="BD995" i="6"/>
  <c r="T996" i="6" s="1"/>
  <c r="AP995" i="6"/>
  <c r="AZ667" i="6"/>
  <c r="P668" i="6" s="1"/>
  <c r="AG667" i="6"/>
  <c r="AK667" i="6"/>
  <c r="AR667" i="6" s="1"/>
  <c r="AS667" i="6" s="1"/>
  <c r="AZ91" i="6"/>
  <c r="P92" i="6" s="1"/>
  <c r="AK91" i="6"/>
  <c r="AR91" i="6" s="1"/>
  <c r="AS91" i="6" s="1"/>
  <c r="AG91" i="6"/>
  <c r="BA323" i="6"/>
  <c r="Q324" i="6" s="1"/>
  <c r="BG1249" i="6"/>
  <c r="W1250" i="6" s="1"/>
  <c r="AH1249" i="6"/>
  <c r="U922" i="6"/>
  <c r="BE922" i="6"/>
  <c r="BG1321" i="6"/>
  <c r="W1322" i="6" s="1"/>
  <c r="AH1321" i="6"/>
  <c r="AM1103" i="6"/>
  <c r="AL1103" i="6"/>
  <c r="BD708" i="6"/>
  <c r="T709" i="6" s="1"/>
  <c r="AP708" i="6"/>
  <c r="BD419" i="6"/>
  <c r="T420" i="6" s="1"/>
  <c r="AP419" i="6"/>
  <c r="BA210" i="6"/>
  <c r="Q211" i="6" s="1"/>
  <c r="BO425" i="6"/>
  <c r="BN426" i="6" s="1"/>
  <c r="AQ1177" i="6"/>
  <c r="AR1177" i="6"/>
  <c r="BD239" i="6"/>
  <c r="T240" i="6" s="1"/>
  <c r="AP239" i="6"/>
  <c r="BE670" i="6"/>
  <c r="U670" i="6"/>
  <c r="AH309" i="6"/>
  <c r="BG309" i="6"/>
  <c r="W310" i="6" s="1"/>
  <c r="BD167" i="6"/>
  <c r="T168" i="6" s="1"/>
  <c r="AP167" i="6"/>
  <c r="BO1432" i="6"/>
  <c r="BN1433" i="6" s="1"/>
  <c r="AR454" i="6"/>
  <c r="AQ454" i="6"/>
  <c r="BG1570" i="6"/>
  <c r="W1571" i="6" s="1"/>
  <c r="AH1570" i="6"/>
  <c r="AZ523" i="6"/>
  <c r="P524" i="6" s="1"/>
  <c r="AG523" i="6"/>
  <c r="AK523" i="6"/>
  <c r="AR523" i="6" s="1"/>
  <c r="AS523" i="6" s="1"/>
  <c r="BH1147" i="6"/>
  <c r="X1148" i="6" s="1"/>
  <c r="AD1147" i="6"/>
  <c r="BO1110" i="6"/>
  <c r="BN1111" i="6" s="1"/>
  <c r="AK1110" i="6"/>
  <c r="U526" i="6"/>
  <c r="BE526" i="6"/>
  <c r="BA1396" i="6"/>
  <c r="Q1397" i="6" s="1"/>
  <c r="AG1396" i="6"/>
  <c r="AZ486" i="6"/>
  <c r="P487" i="6" s="1"/>
  <c r="AI486" i="6"/>
  <c r="AK486" i="6"/>
  <c r="AR486" i="6" s="1"/>
  <c r="AS486" i="6" s="1"/>
  <c r="AF486" i="6"/>
  <c r="AG486" i="6"/>
  <c r="AL1457" i="6"/>
  <c r="AM1457" i="6"/>
  <c r="AK389" i="6"/>
  <c r="AM389" i="6" s="1"/>
  <c r="BO389" i="6"/>
  <c r="BN390" i="6" s="1"/>
  <c r="BA1537" i="6"/>
  <c r="Q1538" i="6" s="1"/>
  <c r="AG1537" i="6"/>
  <c r="BG1143" i="6"/>
  <c r="W1144" i="6" s="1"/>
  <c r="AH1143" i="6"/>
  <c r="AM306" i="6"/>
  <c r="AL306" i="6"/>
  <c r="BO1187" i="6"/>
  <c r="BN1188" i="6" s="1"/>
  <c r="AK1187" i="6"/>
  <c r="AN127" i="6"/>
  <c r="AU127" i="6" s="1"/>
  <c r="AR1210" i="6"/>
  <c r="AQ1210" i="6"/>
  <c r="BO929" i="6"/>
  <c r="BN930" i="6" s="1"/>
  <c r="AK929" i="6"/>
  <c r="BA1355" i="6"/>
  <c r="Q1356" i="6" s="1"/>
  <c r="AG1355" i="6"/>
  <c r="AS813" i="6"/>
  <c r="BG347" i="6"/>
  <c r="W348" i="6" s="1"/>
  <c r="AH347" i="6"/>
  <c r="BO896" i="6"/>
  <c r="BN897" i="6" s="1"/>
  <c r="AK896" i="6"/>
  <c r="BE1605" i="6"/>
  <c r="U1605" i="6"/>
  <c r="AG1104" i="6"/>
  <c r="BA1104" i="6"/>
  <c r="Q1105" i="6" s="1"/>
  <c r="BA1286" i="6"/>
  <c r="Q1287" i="6" s="1"/>
  <c r="AG1286" i="6"/>
  <c r="AR238" i="6"/>
  <c r="AQ238" i="6"/>
  <c r="BD1178" i="6"/>
  <c r="T1179" i="6" s="1"/>
  <c r="AP1178" i="6"/>
  <c r="BA1325" i="6"/>
  <c r="Q1326" i="6" s="1"/>
  <c r="AG1325" i="6"/>
  <c r="BG1107" i="6"/>
  <c r="W1108" i="6" s="1"/>
  <c r="AH1107" i="6"/>
  <c r="AZ1336" i="6"/>
  <c r="P1337" i="6" s="1"/>
  <c r="AK1336" i="6"/>
  <c r="AN452" i="6"/>
  <c r="AU452" i="6" s="1"/>
  <c r="AL846" i="6"/>
  <c r="AM846" i="6"/>
  <c r="AS165" i="6"/>
  <c r="BG1428" i="6"/>
  <c r="W1429" i="6" s="1"/>
  <c r="AH1428" i="6"/>
  <c r="U1642" i="6"/>
  <c r="BE1642" i="6"/>
  <c r="BD455" i="6"/>
  <c r="T456" i="6" s="1"/>
  <c r="AP455" i="6"/>
  <c r="AN665" i="6"/>
  <c r="AU665" i="6" s="1"/>
  <c r="BG741" i="6"/>
  <c r="W742" i="6" s="1"/>
  <c r="AH741" i="6"/>
  <c r="AQ1606" i="6"/>
  <c r="AR1321" i="6"/>
  <c r="AQ1321" i="6"/>
  <c r="AM1566" i="6"/>
  <c r="AL1566" i="6"/>
  <c r="BE455" i="6"/>
  <c r="U455" i="6"/>
  <c r="AZ1007" i="6"/>
  <c r="P1008" i="6" s="1"/>
  <c r="AK1007" i="6"/>
  <c r="U849" i="6"/>
  <c r="BE849" i="6"/>
  <c r="BD1211" i="6"/>
  <c r="T1212" i="6" s="1"/>
  <c r="AP1211" i="6"/>
  <c r="BE1498" i="6"/>
  <c r="U1498" i="6"/>
  <c r="BO204" i="6"/>
  <c r="BN205" i="6" s="1"/>
  <c r="BO757" i="6"/>
  <c r="BN758" i="6" s="1"/>
  <c r="AM1354" i="6"/>
  <c r="AL1354" i="6"/>
  <c r="BO1612" i="6"/>
  <c r="BN1613" i="6" s="1"/>
  <c r="AM382" i="6"/>
  <c r="AL382" i="6"/>
  <c r="AL346" i="6"/>
  <c r="AN346" i="6" s="1"/>
  <c r="BH929" i="6"/>
  <c r="X930" i="6" s="1"/>
  <c r="AD929" i="6"/>
  <c r="BD563" i="6"/>
  <c r="T564" i="6" s="1"/>
  <c r="AP563" i="6"/>
  <c r="BD963" i="6"/>
  <c r="T964" i="6" s="1"/>
  <c r="AP963" i="6"/>
  <c r="BE238" i="6"/>
  <c r="U238" i="6"/>
  <c r="BA61" i="6"/>
  <c r="Q62" i="6" s="1"/>
  <c r="BG94" i="6"/>
  <c r="W95" i="6" s="1"/>
  <c r="AH94" i="6"/>
  <c r="BO1645" i="6"/>
  <c r="BN1646" i="6" s="1"/>
  <c r="AI1458" i="6"/>
  <c r="AZ1458" i="6"/>
  <c r="P1459" i="6" s="1"/>
  <c r="AF1458" i="6"/>
  <c r="AK1458" i="6"/>
  <c r="AR1458" i="6" s="1"/>
  <c r="AS1458" i="6" s="1"/>
  <c r="AG1458" i="6"/>
  <c r="AP1607" i="6"/>
  <c r="BD1607" i="6"/>
  <c r="T1608" i="6" s="1"/>
  <c r="BD1322" i="6"/>
  <c r="T1323" i="6" s="1"/>
  <c r="AP1322" i="6"/>
  <c r="AM1493" i="6"/>
  <c r="AL1493" i="6"/>
  <c r="BO241" i="6"/>
  <c r="BN242" i="6" s="1"/>
  <c r="AK241" i="6"/>
  <c r="AQ275" i="6"/>
  <c r="AR275" i="6"/>
  <c r="BA28" i="6"/>
  <c r="Q29" i="6" s="1"/>
  <c r="AG28" i="6"/>
  <c r="BE634" i="6"/>
  <c r="U634" i="6"/>
  <c r="BG383" i="6"/>
  <c r="W384" i="6" s="1"/>
  <c r="AH383" i="6"/>
  <c r="AQ1426" i="6"/>
  <c r="AQ1498" i="6"/>
  <c r="AS237" i="6"/>
  <c r="BE1173" i="6"/>
  <c r="U1173" i="6"/>
  <c r="BE491" i="6"/>
  <c r="U491" i="6"/>
  <c r="BD599" i="6"/>
  <c r="T600" i="6" s="1"/>
  <c r="AP599" i="6"/>
  <c r="AP1283" i="6"/>
  <c r="BD1283" i="6"/>
  <c r="T1284" i="6" s="1"/>
  <c r="BO1363" i="6"/>
  <c r="BN1364" i="6" s="1"/>
  <c r="AK1363" i="6"/>
  <c r="AL522" i="6"/>
  <c r="AM522" i="6"/>
  <c r="AQ1462" i="6"/>
  <c r="AM924" i="6"/>
  <c r="AL924" i="6"/>
  <c r="AM701" i="6"/>
  <c r="AL701" i="6"/>
  <c r="AM1533" i="6"/>
  <c r="AL1533" i="6"/>
  <c r="BD1463" i="6"/>
  <c r="T1464" i="6" s="1"/>
  <c r="AP1463" i="6"/>
  <c r="BG21" i="6"/>
  <c r="W22" i="6" s="1"/>
  <c r="AH21" i="6"/>
  <c r="BE707" i="6"/>
  <c r="U707" i="6"/>
  <c r="BA925" i="6"/>
  <c r="Q926" i="6" s="1"/>
  <c r="AG925" i="6"/>
  <c r="AN1061" i="6"/>
  <c r="AU1061" i="6" s="1"/>
  <c r="AS274" i="6"/>
  <c r="BD203" i="6"/>
  <c r="T204" i="6" s="1"/>
  <c r="AP203" i="6"/>
  <c r="BA136" i="6"/>
  <c r="Q137" i="6" s="1"/>
  <c r="AG136" i="6"/>
  <c r="AQ1537" i="6"/>
  <c r="AR1537" i="6"/>
  <c r="U1102" i="6"/>
  <c r="BE1102" i="6"/>
  <c r="AZ847" i="6"/>
  <c r="P848" i="6" s="1"/>
  <c r="AK847" i="6"/>
  <c r="AR847" i="6" s="1"/>
  <c r="AS847" i="6" s="1"/>
  <c r="AG847" i="6"/>
  <c r="AN885" i="6"/>
  <c r="BE1569" i="6"/>
  <c r="U1569" i="6"/>
  <c r="AS561" i="6"/>
  <c r="AU561" i="6" s="1"/>
  <c r="BH1013" i="6"/>
  <c r="AD1013" i="6"/>
  <c r="AZ1567" i="6"/>
  <c r="P1568" i="6" s="1"/>
  <c r="AG1567" i="6"/>
  <c r="AK1567" i="6"/>
  <c r="AR1567" i="6" s="1"/>
  <c r="AS1567" i="6" s="1"/>
  <c r="BA1645" i="6"/>
  <c r="Q1646" i="6" s="1"/>
  <c r="AS1320" i="6"/>
  <c r="BD276" i="6"/>
  <c r="T277" i="6" s="1"/>
  <c r="AP276" i="6"/>
  <c r="BE1534" i="6"/>
  <c r="U1534" i="6"/>
  <c r="AN1492" i="6"/>
  <c r="AU1492" i="6" s="1"/>
  <c r="BO651" i="6"/>
  <c r="BN652" i="6" s="1"/>
  <c r="AK651" i="6"/>
  <c r="BE1318" i="6"/>
  <c r="U1318" i="6"/>
  <c r="BD1427" i="6"/>
  <c r="T1428" i="6" s="1"/>
  <c r="AP1427" i="6"/>
  <c r="AQ313" i="6"/>
  <c r="BD1499" i="6"/>
  <c r="T1500" i="6" s="1"/>
  <c r="AP1499" i="6"/>
  <c r="BE166" i="6"/>
  <c r="U166" i="6"/>
  <c r="BA972" i="6"/>
  <c r="Q973" i="6" s="1"/>
  <c r="AG972" i="6"/>
  <c r="AH707" i="6"/>
  <c r="BG707" i="6"/>
  <c r="W708" i="6" s="1"/>
  <c r="AQ202" i="6"/>
  <c r="BE742" i="6"/>
  <c r="U742" i="6"/>
  <c r="BG1534" i="6"/>
  <c r="W1535" i="6" s="1"/>
  <c r="AH1534" i="6"/>
  <c r="AN1102" i="6"/>
  <c r="AM1638" i="6"/>
  <c r="AL1638" i="6"/>
  <c r="AU1101" i="6"/>
  <c r="AZ1135" i="6"/>
  <c r="P1136" i="6" s="1"/>
  <c r="AK1135" i="6"/>
  <c r="AR1135" i="6" s="1"/>
  <c r="AS1135" i="6" s="1"/>
  <c r="AG1135" i="6"/>
  <c r="AR884" i="6"/>
  <c r="AQ884" i="6"/>
  <c r="AM1175" i="6"/>
  <c r="AL1175" i="6"/>
  <c r="AP1538" i="6"/>
  <c r="BD1538" i="6"/>
  <c r="T1539" i="6" s="1"/>
  <c r="BE1354" i="6"/>
  <c r="U1354" i="6"/>
  <c r="AS961" i="6"/>
  <c r="AZ702" i="6"/>
  <c r="P703" i="6" s="1"/>
  <c r="AI702" i="6"/>
  <c r="AF702" i="6"/>
  <c r="AK702" i="6"/>
  <c r="AR702" i="6" s="1"/>
  <c r="AS702" i="6" s="1"/>
  <c r="AG702" i="6"/>
  <c r="AR1030" i="6"/>
  <c r="AQ1030" i="6"/>
  <c r="BO1468" i="6"/>
  <c r="BN1469" i="6" s="1"/>
  <c r="BO180" i="6"/>
  <c r="BN181" i="6" s="1"/>
  <c r="AK180" i="6"/>
  <c r="AL813" i="6"/>
  <c r="AM813" i="6"/>
  <c r="BG850" i="6"/>
  <c r="W851" i="6" s="1"/>
  <c r="AH850" i="6"/>
  <c r="AL415" i="6"/>
  <c r="AM415" i="6"/>
  <c r="BG601" i="6"/>
  <c r="W602" i="6" s="1"/>
  <c r="AH601" i="6"/>
  <c r="BE1138" i="6"/>
  <c r="U1138" i="6"/>
  <c r="BO962" i="6"/>
  <c r="BN963" i="6" s="1"/>
  <c r="AK962" i="6"/>
  <c r="AZ307" i="6"/>
  <c r="P308" i="6" s="1"/>
  <c r="AG307" i="6"/>
  <c r="AK307" i="6"/>
  <c r="AR307" i="6" s="1"/>
  <c r="AS307" i="6" s="1"/>
  <c r="AZ1494" i="6"/>
  <c r="P1495" i="6" s="1"/>
  <c r="AI1494" i="6"/>
  <c r="AK1494" i="6"/>
  <c r="AR1494" i="6" s="1"/>
  <c r="AS1494" i="6" s="1"/>
  <c r="AF1494" i="6"/>
  <c r="AG1494" i="6"/>
  <c r="AM54" i="6"/>
  <c r="AL54" i="6"/>
  <c r="BE1425" i="6"/>
  <c r="U1425" i="6"/>
  <c r="AQ491" i="6"/>
  <c r="BG565" i="6"/>
  <c r="W566" i="6" s="1"/>
  <c r="AH565" i="6"/>
  <c r="AM565" i="6" s="1"/>
  <c r="BG779" i="6"/>
  <c r="W780" i="6" s="1"/>
  <c r="AH779" i="6"/>
  <c r="AM779" i="6" s="1"/>
  <c r="BD314" i="6"/>
  <c r="T315" i="6" s="1"/>
  <c r="AP314" i="6"/>
  <c r="BE1461" i="6"/>
  <c r="U1461" i="6"/>
  <c r="AL1421" i="6"/>
  <c r="AM1421" i="6"/>
  <c r="AQ166" i="6"/>
  <c r="AR166" i="6"/>
  <c r="AM20" i="6"/>
  <c r="AL20" i="6"/>
  <c r="AL1134" i="6"/>
  <c r="AM1134" i="6"/>
  <c r="AQ598" i="6"/>
  <c r="AR598" i="6"/>
  <c r="BE58" i="6"/>
  <c r="U58" i="6"/>
  <c r="AS597" i="6"/>
  <c r="AU597" i="6" s="1"/>
  <c r="AS1176" i="6"/>
  <c r="BO535" i="6"/>
  <c r="BN536" i="6" s="1"/>
  <c r="BO828" i="6"/>
  <c r="BN829" i="6" s="1"/>
  <c r="AK828" i="6"/>
  <c r="BE816" i="6"/>
  <c r="U816" i="6"/>
  <c r="AN956" i="6"/>
  <c r="AU956" i="6" s="1"/>
  <c r="AP885" i="6"/>
  <c r="BD885" i="6"/>
  <c r="T886" i="6" s="1"/>
  <c r="AG1176" i="6"/>
  <c r="BA1176" i="6"/>
  <c r="Q1177" i="6" s="1"/>
  <c r="AQ382" i="6"/>
  <c r="AR382" i="6"/>
  <c r="AR1355" i="6"/>
  <c r="AQ1355" i="6"/>
  <c r="BE274" i="6"/>
  <c r="U274" i="6"/>
  <c r="AN1133" i="6"/>
  <c r="AU1133" i="6" s="1"/>
  <c r="AM1388" i="6"/>
  <c r="AL1388" i="6"/>
  <c r="AN1388" i="6" s="1"/>
  <c r="AU1388" i="6" s="1"/>
  <c r="BD1031" i="6"/>
  <c r="T1032" i="6" s="1"/>
  <c r="AP1031" i="6"/>
  <c r="BA637" i="6"/>
  <c r="Q638" i="6" s="1"/>
  <c r="AG637" i="6"/>
  <c r="BG814" i="6"/>
  <c r="W815" i="6" s="1"/>
  <c r="AH814" i="6"/>
  <c r="AZ416" i="6"/>
  <c r="P417" i="6" s="1"/>
  <c r="AG416" i="6"/>
  <c r="AK416" i="6"/>
  <c r="AR416" i="6" s="1"/>
  <c r="AS416" i="6" s="1"/>
  <c r="BG1032" i="6"/>
  <c r="W1033" i="6" s="1"/>
  <c r="AH1032" i="6"/>
  <c r="BA1612" i="6"/>
  <c r="Q1613" i="6" s="1"/>
  <c r="AZ579" i="6"/>
  <c r="P580" i="6" s="1"/>
  <c r="AK579" i="6"/>
  <c r="AQ1571" i="6"/>
  <c r="AQ744" i="6"/>
  <c r="BE959" i="6"/>
  <c r="U959" i="6"/>
  <c r="AS345" i="6"/>
  <c r="AU345" i="6" s="1"/>
  <c r="BO1546" i="6"/>
  <c r="BN1547" i="6" s="1"/>
  <c r="AK1546" i="6"/>
  <c r="BA780" i="6"/>
  <c r="Q781" i="6" s="1"/>
  <c r="AG780" i="6"/>
  <c r="BG490" i="6"/>
  <c r="W491" i="6" s="1"/>
  <c r="AH490" i="6"/>
  <c r="BD492" i="6"/>
  <c r="T493" i="6" s="1"/>
  <c r="AP492" i="6"/>
  <c r="BE1246" i="6"/>
  <c r="U1246" i="6"/>
  <c r="BG1357" i="6"/>
  <c r="W1358" i="6" s="1"/>
  <c r="AH1357" i="6"/>
  <c r="BA538" i="6"/>
  <c r="Q539" i="6" s="1"/>
  <c r="AN305" i="6"/>
  <c r="AU305" i="6" s="1"/>
  <c r="AZ1639" i="6"/>
  <c r="P1640" i="6" s="1"/>
  <c r="AG1639" i="6"/>
  <c r="AK1639" i="6"/>
  <c r="AR1639" i="6" s="1"/>
  <c r="AS1639" i="6" s="1"/>
  <c r="BE383" i="6"/>
  <c r="U383" i="6"/>
  <c r="AP1356" i="6"/>
  <c r="BD1356" i="6"/>
  <c r="T1357" i="6" s="1"/>
  <c r="AM1602" i="6"/>
  <c r="AL1602" i="6"/>
  <c r="AM1031" i="6"/>
  <c r="AL1031" i="6"/>
  <c r="AQ346" i="6"/>
  <c r="AR346" i="6"/>
  <c r="BD1572" i="6"/>
  <c r="T1573" i="6" s="1"/>
  <c r="AP1572" i="6"/>
  <c r="BD745" i="6"/>
  <c r="T746" i="6" s="1"/>
  <c r="AP745" i="6"/>
  <c r="AZ55" i="6"/>
  <c r="P56" i="6" s="1"/>
  <c r="AK55" i="6"/>
  <c r="AR55" i="6" s="1"/>
  <c r="AS55" i="6" s="1"/>
  <c r="AG55" i="6"/>
  <c r="BE1282" i="6"/>
  <c r="U1282" i="6"/>
  <c r="AQ130" i="6"/>
  <c r="AR130" i="6"/>
  <c r="AM165" i="6"/>
  <c r="AL165" i="6"/>
  <c r="BE94" i="6"/>
  <c r="U94" i="6"/>
  <c r="BO673" i="6"/>
  <c r="BN674" i="6" s="1"/>
  <c r="AL993" i="6"/>
  <c r="AM993" i="6"/>
  <c r="AL174" i="6"/>
  <c r="AM174" i="6"/>
  <c r="AZ1422" i="6"/>
  <c r="P1423" i="6" s="1"/>
  <c r="AI1422" i="6"/>
  <c r="AF1422" i="6"/>
  <c r="AK1422" i="6"/>
  <c r="AR1422" i="6" s="1"/>
  <c r="AS1422" i="6" s="1"/>
  <c r="AG1422" i="6"/>
  <c r="AM272" i="6"/>
  <c r="AL272" i="6"/>
  <c r="BA1429" i="6"/>
  <c r="Q1430" i="6" s="1"/>
  <c r="BA998" i="6"/>
  <c r="Q999" i="6" s="1"/>
  <c r="AG998" i="6"/>
  <c r="AL636" i="6"/>
  <c r="AM636" i="6"/>
  <c r="BD635" i="6"/>
  <c r="T636" i="6" s="1"/>
  <c r="AP635" i="6"/>
  <c r="BD671" i="6"/>
  <c r="T672" i="6" s="1"/>
  <c r="AP671" i="6"/>
  <c r="AQ922" i="6"/>
  <c r="AR922" i="6"/>
  <c r="AM886" i="6"/>
  <c r="AL886" i="6"/>
  <c r="AL281" i="6"/>
  <c r="AQ778" i="6"/>
  <c r="AR778" i="6"/>
  <c r="AS883" i="6"/>
  <c r="AU883" i="6" s="1"/>
  <c r="BE202" i="6"/>
  <c r="U202" i="6"/>
  <c r="AM1283" i="6"/>
  <c r="AL1283" i="6"/>
  <c r="AN737" i="6"/>
  <c r="AU737" i="6" s="1"/>
  <c r="BA601" i="6"/>
  <c r="Q602" i="6" s="1"/>
  <c r="AG601" i="6"/>
  <c r="BG201" i="6"/>
  <c r="W202" i="6" s="1"/>
  <c r="AH201" i="6"/>
  <c r="AZ200" i="6"/>
  <c r="P201" i="6" s="1"/>
  <c r="AG200" i="6"/>
  <c r="AK200" i="6"/>
  <c r="AR200" i="6" s="1"/>
  <c r="AS200" i="6" s="1"/>
  <c r="AL245" i="6"/>
  <c r="AK785" i="6"/>
  <c r="BO785" i="6"/>
  <c r="BN786" i="6" s="1"/>
  <c r="BD347" i="6"/>
  <c r="T348" i="6" s="1"/>
  <c r="AP347" i="6"/>
  <c r="AN1030" i="6"/>
  <c r="AN484" i="6"/>
  <c r="AU484" i="6" s="1"/>
  <c r="AG816" i="6"/>
  <c r="BA816" i="6"/>
  <c r="Q817" i="6" s="1"/>
  <c r="BA497" i="6"/>
  <c r="Q498" i="6" s="1"/>
  <c r="BO1048" i="6"/>
  <c r="BN1049" i="6" s="1"/>
  <c r="AK1048" i="6"/>
  <c r="BA348" i="6"/>
  <c r="Q349" i="6" s="1"/>
  <c r="AG348" i="6"/>
  <c r="BD131" i="6"/>
  <c r="T132" i="6" s="1"/>
  <c r="AP131" i="6"/>
  <c r="BG166" i="6"/>
  <c r="W167" i="6" s="1"/>
  <c r="AH166" i="6"/>
  <c r="AS129" i="6"/>
  <c r="BG994" i="6"/>
  <c r="W995" i="6" s="1"/>
  <c r="AH994" i="6"/>
  <c r="AL1242" i="6"/>
  <c r="AM1242" i="6"/>
  <c r="BA175" i="6"/>
  <c r="Q176" i="6" s="1"/>
  <c r="AG175" i="6"/>
  <c r="AM1062" i="6"/>
  <c r="AL1062" i="6"/>
  <c r="BH1371" i="6"/>
  <c r="X1372" i="6" s="1"/>
  <c r="AD1371" i="6"/>
  <c r="AQ634" i="6"/>
  <c r="AR634" i="6"/>
  <c r="BG1389" i="6"/>
  <c r="W1390" i="6" s="1"/>
  <c r="AH1389" i="6"/>
  <c r="AS1281" i="6"/>
  <c r="AU1281" i="6" s="1"/>
  <c r="BA1140" i="6"/>
  <c r="Q1141" i="6" s="1"/>
  <c r="AM453" i="6"/>
  <c r="AL453" i="6"/>
  <c r="U778" i="6"/>
  <c r="BE778" i="6"/>
  <c r="BD60" i="6"/>
  <c r="T61" i="6" s="1"/>
  <c r="AP60" i="6"/>
  <c r="AQ850" i="6"/>
  <c r="BD923" i="6"/>
  <c r="T924" i="6" s="1"/>
  <c r="AP923" i="6"/>
  <c r="AQ528" i="6"/>
  <c r="BD779" i="6"/>
  <c r="T780" i="6" s="1"/>
  <c r="AP779" i="6"/>
  <c r="BO1225" i="6"/>
  <c r="BN1226" i="6" s="1"/>
  <c r="AK1225" i="6"/>
  <c r="BA1034" i="6"/>
  <c r="Q1035" i="6" s="1"/>
  <c r="AG1034" i="6"/>
  <c r="AZ1603" i="6"/>
  <c r="P1604" i="6" s="1"/>
  <c r="AG1603" i="6"/>
  <c r="AK1603" i="6"/>
  <c r="AR1603" i="6" s="1"/>
  <c r="AS1603" i="6" s="1"/>
  <c r="AQ1390" i="6"/>
  <c r="AR1390" i="6"/>
  <c r="BA857" i="6"/>
  <c r="Q858" i="6" s="1"/>
  <c r="BG1284" i="6"/>
  <c r="W1285" i="6" s="1"/>
  <c r="AH1284" i="6"/>
  <c r="AM600" i="6"/>
  <c r="AL600" i="6"/>
  <c r="BA246" i="6"/>
  <c r="Q247" i="6" s="1"/>
  <c r="AG246" i="6"/>
  <c r="BA566" i="6"/>
  <c r="Q567" i="6" s="1"/>
  <c r="AG566" i="6"/>
  <c r="AZ464" i="6"/>
  <c r="P465" i="6" s="1"/>
  <c r="AK464" i="6"/>
  <c r="AQ1643" i="6"/>
  <c r="AM738" i="6"/>
  <c r="AL738" i="6"/>
  <c r="AR814" i="6"/>
  <c r="AQ814" i="6"/>
  <c r="BO1145" i="6"/>
  <c r="BN1146" i="6" s="1"/>
  <c r="BE1066" i="6"/>
  <c r="U1066" i="6"/>
  <c r="AL347" i="6"/>
  <c r="AM347" i="6"/>
  <c r="AL389" i="6"/>
  <c r="BA1465" i="6"/>
  <c r="Q1466" i="6" s="1"/>
  <c r="AZ1243" i="6"/>
  <c r="P1244" i="6" s="1"/>
  <c r="AK1243" i="6"/>
  <c r="AR1243" i="6" s="1"/>
  <c r="AS1243" i="6" s="1"/>
  <c r="AG1243" i="6"/>
  <c r="BE1391" i="6"/>
  <c r="U1391" i="6"/>
  <c r="BO353" i="6"/>
  <c r="BN354" i="6" s="1"/>
  <c r="AK353" i="6"/>
  <c r="AZ1063" i="6"/>
  <c r="P1064" i="6" s="1"/>
  <c r="AK1063" i="6"/>
  <c r="AR1063" i="6" s="1"/>
  <c r="AS1063" i="6" s="1"/>
  <c r="AG1063" i="6"/>
  <c r="AR22" i="6"/>
  <c r="AQ22" i="6"/>
  <c r="AM1211" i="6"/>
  <c r="AL1211" i="6"/>
  <c r="AQ1138" i="6"/>
  <c r="AQ670" i="6"/>
  <c r="BG887" i="6"/>
  <c r="W888" i="6" s="1"/>
  <c r="AH887" i="6"/>
  <c r="AM199" i="6"/>
  <c r="AL199" i="6"/>
  <c r="BG1176" i="6"/>
  <c r="W1177" i="6" s="1"/>
  <c r="AH1176" i="6"/>
  <c r="BA1212" i="6"/>
  <c r="Q1213" i="6" s="1"/>
  <c r="AG1212" i="6"/>
  <c r="AQ59" i="6"/>
  <c r="BD1139" i="6"/>
  <c r="T1140" i="6" s="1"/>
  <c r="AP1139" i="6"/>
  <c r="BG273" i="6"/>
  <c r="W274" i="6" s="1"/>
  <c r="AH273" i="6"/>
  <c r="U1209" i="6"/>
  <c r="BE1209" i="6"/>
  <c r="AL235" i="6"/>
  <c r="AM235" i="6"/>
  <c r="BO1255" i="6"/>
  <c r="BN1256" i="6" s="1"/>
  <c r="AM957" i="6"/>
  <c r="AL957" i="6"/>
  <c r="BG454" i="6"/>
  <c r="W455" i="6" s="1"/>
  <c r="AH454" i="6"/>
  <c r="BA1579" i="6"/>
  <c r="Q1580" i="6" s="1"/>
  <c r="BA282" i="6"/>
  <c r="Q283" i="6" s="1"/>
  <c r="AG282" i="6"/>
  <c r="BA1068" i="6"/>
  <c r="Q1069" i="6" s="1"/>
  <c r="AN1319" i="6"/>
  <c r="AU1319" i="6" s="1"/>
  <c r="BG419" i="6"/>
  <c r="W420" i="6" s="1"/>
  <c r="AH419" i="6"/>
  <c r="BG236" i="6"/>
  <c r="W237" i="6" s="1"/>
  <c r="AH236" i="6"/>
  <c r="BG958" i="6"/>
  <c r="W959" i="6" s="1"/>
  <c r="AH958" i="6"/>
  <c r="BD851" i="6"/>
  <c r="T852" i="6" s="1"/>
  <c r="AP851" i="6"/>
  <c r="AN1637" i="6"/>
  <c r="AU1637" i="6" s="1"/>
  <c r="AQ94" i="6"/>
  <c r="BG525" i="6"/>
  <c r="W526" i="6" s="1"/>
  <c r="AH525" i="6"/>
  <c r="AQ1102" i="6"/>
  <c r="AR1102" i="6"/>
  <c r="BD529" i="6"/>
  <c r="T530" i="6" s="1"/>
  <c r="AP529" i="6"/>
  <c r="AM666" i="6"/>
  <c r="AL666" i="6"/>
  <c r="BG1644" i="6"/>
  <c r="W1645" i="6" s="1"/>
  <c r="AH1644" i="6"/>
  <c r="AQ1064" i="6"/>
  <c r="BD1391" i="6"/>
  <c r="T1392" i="6" s="1"/>
  <c r="AP1391" i="6"/>
  <c r="AN414" i="6"/>
  <c r="AU414" i="6" s="1"/>
  <c r="BG925" i="6"/>
  <c r="W926" i="6" s="1"/>
  <c r="AH925" i="6"/>
  <c r="BA1500" i="6"/>
  <c r="Q1501" i="6" s="1"/>
  <c r="BE310" i="6"/>
  <c r="U310" i="6"/>
  <c r="AN1387" i="6"/>
  <c r="AU1387" i="6" s="1"/>
  <c r="AL90" i="6"/>
  <c r="AM90" i="6"/>
  <c r="AN1601" i="6"/>
  <c r="AU1601" i="6" s="1"/>
  <c r="U346" i="6"/>
  <c r="BE346" i="6"/>
  <c r="BO1578" i="6"/>
  <c r="BN1579" i="6" s="1"/>
  <c r="AN1565" i="6"/>
  <c r="AU1565" i="6" s="1"/>
  <c r="BD1644" i="6"/>
  <c r="T1645" i="6" s="1"/>
  <c r="AP1644" i="6"/>
  <c r="AZ739" i="6"/>
  <c r="P740" i="6" s="1"/>
  <c r="AK739" i="6"/>
  <c r="AR739" i="6" s="1"/>
  <c r="AS739" i="6" s="1"/>
  <c r="AG739" i="6"/>
  <c r="BG637" i="6"/>
  <c r="W638" i="6" s="1"/>
  <c r="AH637" i="6"/>
  <c r="BD815" i="6"/>
  <c r="T816" i="6" s="1"/>
  <c r="AP815" i="6"/>
  <c r="AL128" i="6"/>
  <c r="AM128" i="6"/>
  <c r="AS1209" i="6"/>
  <c r="AU1209" i="6" s="1"/>
  <c r="BA390" i="6"/>
  <c r="Q391" i="6" s="1"/>
  <c r="AG390" i="6"/>
  <c r="AN1353" i="6"/>
  <c r="AU1353" i="6" s="1"/>
  <c r="BO277" i="6"/>
  <c r="BN278" i="6" s="1"/>
  <c r="AK277" i="6"/>
  <c r="BA461" i="6"/>
  <c r="Q462" i="6" s="1"/>
  <c r="AG461" i="6"/>
  <c r="BD23" i="6"/>
  <c r="T24" i="6" s="1"/>
  <c r="AP23" i="6"/>
  <c r="BD383" i="6"/>
  <c r="T384" i="6" s="1"/>
  <c r="AP383" i="6"/>
  <c r="BE130" i="6"/>
  <c r="U130" i="6"/>
  <c r="BA708" i="6"/>
  <c r="Q709" i="6" s="1"/>
  <c r="BG670" i="6"/>
  <c r="W671" i="6" s="1"/>
  <c r="AH670" i="6"/>
  <c r="U1030" i="6"/>
  <c r="BE1030" i="6"/>
  <c r="BA745" i="6"/>
  <c r="Q746" i="6" s="1"/>
  <c r="AL971" i="6"/>
  <c r="AS21" i="6"/>
  <c r="BG1065" i="6"/>
  <c r="W1066" i="6" s="1"/>
  <c r="AH1065" i="6"/>
  <c r="BO1510" i="6"/>
  <c r="BN1511" i="6" s="1"/>
  <c r="AQ994" i="6"/>
  <c r="AR994" i="6"/>
  <c r="AQ1282" i="6"/>
  <c r="AR1282" i="6"/>
  <c r="BD95" i="6"/>
  <c r="T96" i="6" s="1"/>
  <c r="AP95" i="6"/>
  <c r="BE993" i="6"/>
  <c r="U993" i="6"/>
  <c r="BA892" i="6"/>
  <c r="Q893" i="6" s="1"/>
  <c r="AG892" i="6"/>
  <c r="BD1103" i="6"/>
  <c r="T1104" i="6" s="1"/>
  <c r="AP1103" i="6"/>
  <c r="BA1248" i="6"/>
  <c r="Q1249" i="6" s="1"/>
  <c r="BE885" i="6"/>
  <c r="U885" i="6"/>
  <c r="BG57" i="6"/>
  <c r="W58" i="6" s="1"/>
  <c r="AH57" i="6"/>
  <c r="AQ562" i="6"/>
  <c r="AR562" i="6"/>
  <c r="BD1065" i="6"/>
  <c r="T1066" i="6" s="1"/>
  <c r="AP1065" i="6"/>
  <c r="AQ962" i="6"/>
  <c r="AR962" i="6"/>
  <c r="BA674" i="6"/>
  <c r="Q675" i="6" s="1"/>
  <c r="BO136" i="6"/>
  <c r="BN137" i="6" s="1"/>
  <c r="AK136" i="6"/>
  <c r="AM485" i="6"/>
  <c r="AL485" i="6"/>
  <c r="AS1389" i="6"/>
  <c r="AQ418" i="6"/>
  <c r="BO1391" i="6"/>
  <c r="BN1392" i="6" s="1"/>
  <c r="AK1391" i="6"/>
  <c r="BE419" i="6"/>
  <c r="U419" i="6"/>
  <c r="BE561" i="6"/>
  <c r="U561" i="6"/>
  <c r="BG1212" i="6"/>
  <c r="W1213" i="6" s="1"/>
  <c r="AH1212" i="6"/>
  <c r="BG129" i="6"/>
  <c r="W130" i="6" s="1"/>
  <c r="AH129" i="6"/>
  <c r="BG1504" i="6"/>
  <c r="W1505" i="6" s="1"/>
  <c r="BG1505" i="6" s="1"/>
  <c r="W1506" i="6" s="1"/>
  <c r="BG1506" i="6" s="1"/>
  <c r="W1507" i="6" s="1"/>
  <c r="BG1507" i="6" s="1"/>
  <c r="W1508" i="6" s="1"/>
  <c r="BG1508" i="6" s="1"/>
  <c r="W1509" i="6" s="1"/>
  <c r="BG1509" i="6" s="1"/>
  <c r="W1510" i="6" s="1"/>
  <c r="BG1510" i="6" s="1"/>
  <c r="W1511" i="6" s="1"/>
  <c r="BG1511" i="6" s="1"/>
  <c r="W1512" i="6" s="1"/>
  <c r="BG1512" i="6" s="1"/>
  <c r="W1513" i="6" s="1"/>
  <c r="BG1513" i="6" s="1"/>
  <c r="W1514" i="6" s="1"/>
  <c r="BG1514" i="6" s="1"/>
  <c r="W1515" i="6" s="1"/>
  <c r="BG1515" i="6" s="1"/>
  <c r="W1516" i="6" s="1"/>
  <c r="BG1516" i="6" s="1"/>
  <c r="W1517" i="6" s="1"/>
  <c r="BG1517" i="6" s="1"/>
  <c r="AH1504" i="6"/>
  <c r="BA96" i="6"/>
  <c r="Q97" i="6" s="1"/>
  <c r="BE22" i="6"/>
  <c r="U22" i="6"/>
  <c r="AL1320" i="6"/>
  <c r="AM1320" i="6"/>
  <c r="BE600" i="6"/>
  <c r="U600" i="6"/>
  <c r="AQ707" i="6"/>
  <c r="AN1457" i="6" l="1"/>
  <c r="AU1457" i="6" s="1"/>
  <c r="AN1211" i="6"/>
  <c r="AS1390" i="6"/>
  <c r="AU381" i="6"/>
  <c r="AN701" i="6"/>
  <c r="AU701" i="6" s="1"/>
  <c r="AS22" i="6"/>
  <c r="AN1134" i="6"/>
  <c r="AU1134" i="6" s="1"/>
  <c r="AN20" i="6"/>
  <c r="AU20" i="6" s="1"/>
  <c r="AN1566" i="6"/>
  <c r="AU1566" i="6" s="1"/>
  <c r="AN306" i="6"/>
  <c r="AU306" i="6" s="1"/>
  <c r="AN993" i="6"/>
  <c r="AU993" i="6" s="1"/>
  <c r="AN886" i="6"/>
  <c r="AN846" i="6"/>
  <c r="AU846" i="6" s="1"/>
  <c r="AS454" i="6"/>
  <c r="AS598" i="6"/>
  <c r="AU598" i="6" s="1"/>
  <c r="AS994" i="6"/>
  <c r="AN522" i="6"/>
  <c r="AU522" i="6" s="1"/>
  <c r="AN128" i="6"/>
  <c r="AU128" i="6" s="1"/>
  <c r="AS814" i="6"/>
  <c r="AS1355" i="6"/>
  <c r="AL565" i="6"/>
  <c r="AN565" i="6" s="1"/>
  <c r="AN600" i="6"/>
  <c r="AN1283" i="6"/>
  <c r="AS562" i="6"/>
  <c r="AU562" i="6" s="1"/>
  <c r="AN738" i="6"/>
  <c r="AU738" i="6" s="1"/>
  <c r="AN1103" i="6"/>
  <c r="AN666" i="6"/>
  <c r="AU666" i="6" s="1"/>
  <c r="AN636" i="6"/>
  <c r="AS1282" i="6"/>
  <c r="AU1282" i="6" s="1"/>
  <c r="AS634" i="6"/>
  <c r="AU634" i="6" s="1"/>
  <c r="AN924" i="6"/>
  <c r="AN347" i="6"/>
  <c r="AN272" i="6"/>
  <c r="AU272" i="6" s="1"/>
  <c r="AS884" i="6"/>
  <c r="AU884" i="6" s="1"/>
  <c r="AN199" i="6"/>
  <c r="AU199" i="6" s="1"/>
  <c r="AN382" i="6"/>
  <c r="AS1177" i="6"/>
  <c r="BD24" i="6"/>
  <c r="T25" i="6" s="1"/>
  <c r="AP24" i="6"/>
  <c r="BD1140" i="6"/>
  <c r="T1141" i="6" s="1"/>
  <c r="AP1140" i="6"/>
  <c r="BD1357" i="6"/>
  <c r="T1358" i="6" s="1"/>
  <c r="AP1357" i="6"/>
  <c r="BD315" i="6"/>
  <c r="T316" i="6" s="1"/>
  <c r="AP315" i="6"/>
  <c r="AZ848" i="6"/>
  <c r="P849" i="6" s="1"/>
  <c r="AK848" i="6"/>
  <c r="AR848" i="6" s="1"/>
  <c r="AS848" i="6" s="1"/>
  <c r="AG848" i="6"/>
  <c r="BO1433" i="6"/>
  <c r="BN1434" i="6" s="1"/>
  <c r="BE23" i="6"/>
  <c r="U23" i="6"/>
  <c r="BE562" i="6"/>
  <c r="U562" i="6"/>
  <c r="BO137" i="6"/>
  <c r="BN138" i="6" s="1"/>
  <c r="AK137" i="6"/>
  <c r="U886" i="6"/>
  <c r="BE886" i="6"/>
  <c r="BA746" i="6"/>
  <c r="Q747" i="6" s="1"/>
  <c r="AQ23" i="6"/>
  <c r="AR23" i="6"/>
  <c r="BO1579" i="6"/>
  <c r="BN1580" i="6" s="1"/>
  <c r="BG926" i="6"/>
  <c r="W927" i="6" s="1"/>
  <c r="AH926" i="6"/>
  <c r="BD530" i="6"/>
  <c r="T531" i="6" s="1"/>
  <c r="AP530" i="6"/>
  <c r="BG959" i="6"/>
  <c r="W960" i="6" s="1"/>
  <c r="AH959" i="6"/>
  <c r="AM454" i="6"/>
  <c r="AL454" i="6"/>
  <c r="AQ1139" i="6"/>
  <c r="BO354" i="6"/>
  <c r="BN355" i="6" s="1"/>
  <c r="AK354" i="6"/>
  <c r="BD780" i="6"/>
  <c r="T781" i="6" s="1"/>
  <c r="AP780" i="6"/>
  <c r="BD132" i="6"/>
  <c r="T133" i="6" s="1"/>
  <c r="AP132" i="6"/>
  <c r="AR347" i="6"/>
  <c r="AQ347" i="6"/>
  <c r="BG202" i="6"/>
  <c r="W203" i="6" s="1"/>
  <c r="AH202" i="6"/>
  <c r="AR635" i="6"/>
  <c r="AQ635" i="6"/>
  <c r="BO674" i="6"/>
  <c r="BN675" i="6" s="1"/>
  <c r="BG1358" i="6"/>
  <c r="W1359" i="6" s="1"/>
  <c r="AH1358" i="6"/>
  <c r="BG1033" i="6"/>
  <c r="W1034" i="6" s="1"/>
  <c r="AH1033" i="6"/>
  <c r="AQ885" i="6"/>
  <c r="AR885" i="6"/>
  <c r="AQ314" i="6"/>
  <c r="AN54" i="6"/>
  <c r="AU54" i="6" s="1"/>
  <c r="BD1539" i="6"/>
  <c r="T1540" i="6" s="1"/>
  <c r="AP1539" i="6"/>
  <c r="AM1458" i="6"/>
  <c r="AL1458" i="6"/>
  <c r="BD964" i="6"/>
  <c r="T965" i="6" s="1"/>
  <c r="AP964" i="6"/>
  <c r="AZ1008" i="6"/>
  <c r="P1009" i="6" s="1"/>
  <c r="AK1008" i="6"/>
  <c r="BG742" i="6"/>
  <c r="W743" i="6" s="1"/>
  <c r="AH742" i="6"/>
  <c r="BD1179" i="6"/>
  <c r="T1180" i="6" s="1"/>
  <c r="AP1179" i="6"/>
  <c r="AS1210" i="6"/>
  <c r="AU1210" i="6" s="1"/>
  <c r="BO390" i="6"/>
  <c r="BN391" i="6" s="1"/>
  <c r="AK390" i="6"/>
  <c r="AM390" i="6" s="1"/>
  <c r="U1031" i="6"/>
  <c r="BE1031" i="6"/>
  <c r="BE347" i="6"/>
  <c r="U347" i="6"/>
  <c r="BE1139" i="6"/>
  <c r="U1139" i="6"/>
  <c r="AZ1459" i="6"/>
  <c r="P1460" i="6" s="1"/>
  <c r="AK1459" i="6"/>
  <c r="AR1459" i="6" s="1"/>
  <c r="AS1459" i="6" s="1"/>
  <c r="AG1459" i="6"/>
  <c r="AR563" i="6"/>
  <c r="AQ563" i="6"/>
  <c r="BG1250" i="6"/>
  <c r="W1251" i="6" s="1"/>
  <c r="AH1250" i="6"/>
  <c r="AM667" i="6"/>
  <c r="AL667" i="6"/>
  <c r="BA97" i="6"/>
  <c r="Q98" i="6" s="1"/>
  <c r="BE420" i="6"/>
  <c r="U420" i="6"/>
  <c r="BA675" i="6"/>
  <c r="Q676" i="6" s="1"/>
  <c r="BA1249" i="6"/>
  <c r="Q1250" i="6" s="1"/>
  <c r="BD816" i="6"/>
  <c r="T817" i="6" s="1"/>
  <c r="AP816" i="6"/>
  <c r="AR1391" i="6"/>
  <c r="AQ1391" i="6"/>
  <c r="AS1102" i="6"/>
  <c r="AU1102" i="6" s="1"/>
  <c r="BG237" i="6"/>
  <c r="W238" i="6" s="1"/>
  <c r="AH237" i="6"/>
  <c r="AN957" i="6"/>
  <c r="AU957" i="6" s="1"/>
  <c r="BA1141" i="6"/>
  <c r="Q1142" i="6" s="1"/>
  <c r="BA176" i="6"/>
  <c r="Q177" i="6" s="1"/>
  <c r="AG176" i="6"/>
  <c r="BA349" i="6"/>
  <c r="Q350" i="6" s="1"/>
  <c r="AG349" i="6"/>
  <c r="AL601" i="6"/>
  <c r="AM601" i="6"/>
  <c r="AS778" i="6"/>
  <c r="AU778" i="6" s="1"/>
  <c r="BE95" i="6"/>
  <c r="U95" i="6"/>
  <c r="AQ745" i="6"/>
  <c r="AQ1356" i="6"/>
  <c r="AR1356" i="6"/>
  <c r="BE1247" i="6"/>
  <c r="U1247" i="6"/>
  <c r="BE960" i="6"/>
  <c r="U960" i="6"/>
  <c r="AL416" i="6"/>
  <c r="AM416" i="6"/>
  <c r="BE275" i="6"/>
  <c r="U275" i="6"/>
  <c r="AS1030" i="6"/>
  <c r="AU1030" i="6" s="1"/>
  <c r="AN1175" i="6"/>
  <c r="AU1175" i="6" s="1"/>
  <c r="BA973" i="6"/>
  <c r="Q974" i="6" s="1"/>
  <c r="AG973" i="6"/>
  <c r="BE1103" i="6"/>
  <c r="U1103" i="6"/>
  <c r="BA926" i="6"/>
  <c r="Q927" i="6" s="1"/>
  <c r="AG926" i="6"/>
  <c r="BO1364" i="6"/>
  <c r="BN1365" i="6" s="1"/>
  <c r="AK1364" i="6"/>
  <c r="AN1493" i="6"/>
  <c r="AU1493" i="6" s="1"/>
  <c r="BD564" i="6"/>
  <c r="T565" i="6" s="1"/>
  <c r="AP564" i="6"/>
  <c r="BO758" i="6"/>
  <c r="BN759" i="6" s="1"/>
  <c r="BE456" i="6"/>
  <c r="U456" i="6"/>
  <c r="AS238" i="6"/>
  <c r="BO1111" i="6"/>
  <c r="BN1112" i="6" s="1"/>
  <c r="AK1111" i="6"/>
  <c r="AQ708" i="6"/>
  <c r="AZ668" i="6"/>
  <c r="P669" i="6" s="1"/>
  <c r="AG668" i="6"/>
  <c r="AK668" i="6"/>
  <c r="AR668" i="6" s="1"/>
  <c r="AS668" i="6" s="1"/>
  <c r="BD348" i="6"/>
  <c r="T349" i="6" s="1"/>
  <c r="AP348" i="6"/>
  <c r="BD1392" i="6"/>
  <c r="T1393" i="6" s="1"/>
  <c r="AP1392" i="6"/>
  <c r="BE1067" i="6"/>
  <c r="U1067" i="6"/>
  <c r="BA567" i="6"/>
  <c r="Q568" i="6" s="1"/>
  <c r="AG567" i="6"/>
  <c r="AQ923" i="6"/>
  <c r="AR923" i="6"/>
  <c r="BA602" i="6"/>
  <c r="Q603" i="6" s="1"/>
  <c r="AG602" i="6"/>
  <c r="AN165" i="6"/>
  <c r="AU165" i="6" s="1"/>
  <c r="BD746" i="6"/>
  <c r="T747" i="6" s="1"/>
  <c r="AP746" i="6"/>
  <c r="AZ417" i="6"/>
  <c r="P418" i="6" s="1"/>
  <c r="AG417" i="6"/>
  <c r="AK417" i="6"/>
  <c r="AR417" i="6" s="1"/>
  <c r="AS417" i="6" s="1"/>
  <c r="BE817" i="6"/>
  <c r="U817" i="6"/>
  <c r="BG780" i="6"/>
  <c r="W781" i="6" s="1"/>
  <c r="AH780" i="6"/>
  <c r="AL1494" i="6"/>
  <c r="AM1494" i="6"/>
  <c r="BG602" i="6"/>
  <c r="W603" i="6" s="1"/>
  <c r="AH602" i="6"/>
  <c r="AM1534" i="6"/>
  <c r="AL1534" i="6"/>
  <c r="BO652" i="6"/>
  <c r="BN653" i="6" s="1"/>
  <c r="AK652" i="6"/>
  <c r="AM1567" i="6"/>
  <c r="AL1567" i="6"/>
  <c r="AN1567" i="6" s="1"/>
  <c r="AU1567" i="6" s="1"/>
  <c r="BD1284" i="6"/>
  <c r="T1285" i="6" s="1"/>
  <c r="AP1284" i="6"/>
  <c r="AR167" i="6"/>
  <c r="AQ167" i="6"/>
  <c r="BD709" i="6"/>
  <c r="T710" i="6" s="1"/>
  <c r="AP709" i="6"/>
  <c r="BA324" i="6"/>
  <c r="Q325" i="6" s="1"/>
  <c r="AQ995" i="6"/>
  <c r="AR995" i="6"/>
  <c r="BD636" i="6"/>
  <c r="T637" i="6" s="1"/>
  <c r="AP636" i="6"/>
  <c r="BG420" i="6"/>
  <c r="W421" i="6" s="1"/>
  <c r="AH420" i="6"/>
  <c r="BE1392" i="6"/>
  <c r="U1392" i="6"/>
  <c r="BD924" i="6"/>
  <c r="T925" i="6" s="1"/>
  <c r="AP924" i="6"/>
  <c r="AL1389" i="6"/>
  <c r="AM1389" i="6"/>
  <c r="AN1242" i="6"/>
  <c r="AU1242" i="6" s="1"/>
  <c r="BO1049" i="6"/>
  <c r="AK1049" i="6"/>
  <c r="BO786" i="6"/>
  <c r="BN787" i="6" s="1"/>
  <c r="AK786" i="6"/>
  <c r="AL1422" i="6"/>
  <c r="AM1422" i="6"/>
  <c r="AQ1572" i="6"/>
  <c r="BE384" i="6"/>
  <c r="U384" i="6"/>
  <c r="AQ492" i="6"/>
  <c r="AL814" i="6"/>
  <c r="AM814" i="6"/>
  <c r="BG1535" i="6"/>
  <c r="W1536" i="6" s="1"/>
  <c r="AH1535" i="6"/>
  <c r="AZ1568" i="6"/>
  <c r="P1569" i="6" s="1"/>
  <c r="AG1568" i="6"/>
  <c r="AK1568" i="6"/>
  <c r="AR1568" i="6" s="1"/>
  <c r="AS1568" i="6" s="1"/>
  <c r="BE708" i="6"/>
  <c r="U708" i="6"/>
  <c r="AR1283" i="6"/>
  <c r="AQ1283" i="6"/>
  <c r="AM383" i="6"/>
  <c r="AL383" i="6"/>
  <c r="AR1322" i="6"/>
  <c r="AQ1322" i="6"/>
  <c r="BO1646" i="6"/>
  <c r="BN1647" i="6" s="1"/>
  <c r="BH930" i="6"/>
  <c r="X931" i="6" s="1"/>
  <c r="AD930" i="6"/>
  <c r="BO205" i="6"/>
  <c r="BN206" i="6" s="1"/>
  <c r="AZ1337" i="6"/>
  <c r="AK1337" i="6"/>
  <c r="BO897" i="6"/>
  <c r="BN898" i="6" s="1"/>
  <c r="AK897" i="6"/>
  <c r="BO1188" i="6"/>
  <c r="BN1189" i="6" s="1"/>
  <c r="AK1188" i="6"/>
  <c r="BH1148" i="6"/>
  <c r="X1149" i="6" s="1"/>
  <c r="AD1148" i="6"/>
  <c r="BD168" i="6"/>
  <c r="T169" i="6" s="1"/>
  <c r="AP168" i="6"/>
  <c r="BD996" i="6"/>
  <c r="T997" i="6" s="1"/>
  <c r="AP996" i="6"/>
  <c r="AR815" i="6"/>
  <c r="AQ815" i="6"/>
  <c r="AZ465" i="6"/>
  <c r="P466" i="6" s="1"/>
  <c r="AK465" i="6"/>
  <c r="BO1469" i="6"/>
  <c r="BN1470" i="6" s="1"/>
  <c r="BE1319" i="6"/>
  <c r="U1319" i="6"/>
  <c r="AL461" i="6"/>
  <c r="AM461" i="6"/>
  <c r="AQ1065" i="6"/>
  <c r="AN90" i="6"/>
  <c r="AU90" i="6" s="1"/>
  <c r="BO1256" i="6"/>
  <c r="BN1257" i="6" s="1"/>
  <c r="AM1243" i="6"/>
  <c r="AL1243" i="6"/>
  <c r="BO1146" i="6"/>
  <c r="BN1147" i="6" s="1"/>
  <c r="AM1603" i="6"/>
  <c r="AL1603" i="6"/>
  <c r="BG1390" i="6"/>
  <c r="W1391" i="6" s="1"/>
  <c r="AH1390" i="6"/>
  <c r="AM994" i="6"/>
  <c r="AL994" i="6"/>
  <c r="BA999" i="6"/>
  <c r="Q1000" i="6" s="1"/>
  <c r="AG999" i="6"/>
  <c r="BD1573" i="6"/>
  <c r="T1574" i="6" s="1"/>
  <c r="AP1573" i="6"/>
  <c r="BD493" i="6"/>
  <c r="T494" i="6" s="1"/>
  <c r="AP493" i="6"/>
  <c r="BG815" i="6"/>
  <c r="W816" i="6" s="1"/>
  <c r="AH815" i="6"/>
  <c r="BO829" i="6"/>
  <c r="BN830" i="6" s="1"/>
  <c r="AK829" i="6"/>
  <c r="BG566" i="6"/>
  <c r="W567" i="6" s="1"/>
  <c r="AH566" i="6"/>
  <c r="AL566" i="6" s="1"/>
  <c r="AN415" i="6"/>
  <c r="AU415" i="6" s="1"/>
  <c r="BE167" i="6"/>
  <c r="U167" i="6"/>
  <c r="AS1537" i="6"/>
  <c r="AM21" i="6"/>
  <c r="AL21" i="6"/>
  <c r="AR599" i="6"/>
  <c r="AQ599" i="6"/>
  <c r="BG384" i="6"/>
  <c r="W385" i="6" s="1"/>
  <c r="AH384" i="6"/>
  <c r="BD1323" i="6"/>
  <c r="T1324" i="6" s="1"/>
  <c r="AP1323" i="6"/>
  <c r="AS1321" i="6"/>
  <c r="AQ455" i="6"/>
  <c r="AR455" i="6"/>
  <c r="AG1287" i="6"/>
  <c r="BA1287" i="6"/>
  <c r="Q1288" i="6" s="1"/>
  <c r="AM486" i="6"/>
  <c r="AL486" i="6"/>
  <c r="BG310" i="6"/>
  <c r="W311" i="6" s="1"/>
  <c r="AH310" i="6"/>
  <c r="BO426" i="6"/>
  <c r="BN427" i="6" s="1"/>
  <c r="AM91" i="6"/>
  <c r="AL91" i="6"/>
  <c r="AZ56" i="6"/>
  <c r="P57" i="6" s="1"/>
  <c r="AK56" i="6"/>
  <c r="AR56" i="6" s="1"/>
  <c r="AS56" i="6" s="1"/>
  <c r="AG56" i="6"/>
  <c r="AL925" i="6"/>
  <c r="AM925" i="6"/>
  <c r="AS962" i="6"/>
  <c r="BG638" i="6"/>
  <c r="W639" i="6" s="1"/>
  <c r="AH638" i="6"/>
  <c r="AL129" i="6"/>
  <c r="AM129" i="6"/>
  <c r="AL246" i="6"/>
  <c r="AZ1604" i="6"/>
  <c r="P1605" i="6" s="1"/>
  <c r="AG1604" i="6"/>
  <c r="AK1604" i="6"/>
  <c r="AR1604" i="6" s="1"/>
  <c r="AS1604" i="6" s="1"/>
  <c r="BG995" i="6"/>
  <c r="W996" i="6" s="1"/>
  <c r="AH995" i="6"/>
  <c r="BA498" i="6"/>
  <c r="Q499" i="6" s="1"/>
  <c r="AZ1423" i="6"/>
  <c r="P1424" i="6" s="1"/>
  <c r="AK1423" i="6"/>
  <c r="AR1423" i="6" s="1"/>
  <c r="AS1423" i="6" s="1"/>
  <c r="AG1423" i="6"/>
  <c r="AS130" i="6"/>
  <c r="AM1639" i="6"/>
  <c r="AL1639" i="6"/>
  <c r="AM637" i="6"/>
  <c r="AL637" i="6"/>
  <c r="AS382" i="6"/>
  <c r="AZ1495" i="6"/>
  <c r="P1496" i="6" s="1"/>
  <c r="AK1495" i="6"/>
  <c r="AR1495" i="6" s="1"/>
  <c r="AS1495" i="6" s="1"/>
  <c r="AG1495" i="6"/>
  <c r="AL702" i="6"/>
  <c r="AM702" i="6"/>
  <c r="AM1135" i="6"/>
  <c r="AL1135" i="6"/>
  <c r="BE743" i="6"/>
  <c r="U743" i="6"/>
  <c r="AQ1499" i="6"/>
  <c r="BE1535" i="6"/>
  <c r="U1535" i="6"/>
  <c r="AH22" i="6"/>
  <c r="BG22" i="6"/>
  <c r="W23" i="6" s="1"/>
  <c r="BD600" i="6"/>
  <c r="T601" i="6" s="1"/>
  <c r="AP600" i="6"/>
  <c r="BD1608" i="6"/>
  <c r="T1609" i="6" s="1"/>
  <c r="AP1608" i="6"/>
  <c r="BG95" i="6"/>
  <c r="W96" i="6" s="1"/>
  <c r="AH95" i="6"/>
  <c r="BE1499" i="6"/>
  <c r="U1499" i="6"/>
  <c r="BD456" i="6"/>
  <c r="T457" i="6" s="1"/>
  <c r="AP456" i="6"/>
  <c r="BG1108" i="6"/>
  <c r="W1109" i="6" s="1"/>
  <c r="BG1109" i="6" s="1"/>
  <c r="W1110" i="6" s="1"/>
  <c r="BG1110" i="6" s="1"/>
  <c r="W1111" i="6" s="1"/>
  <c r="BG1111" i="6" s="1"/>
  <c r="W1112" i="6" s="1"/>
  <c r="BG1112" i="6" s="1"/>
  <c r="W1113" i="6" s="1"/>
  <c r="BG1113" i="6" s="1"/>
  <c r="W1114" i="6" s="1"/>
  <c r="BG1114" i="6" s="1"/>
  <c r="W1115" i="6" s="1"/>
  <c r="BG1115" i="6" s="1"/>
  <c r="W1116" i="6" s="1"/>
  <c r="BG1116" i="6" s="1"/>
  <c r="W1117" i="6" s="1"/>
  <c r="BG1117" i="6" s="1"/>
  <c r="W1118" i="6" s="1"/>
  <c r="BG1118" i="6" s="1"/>
  <c r="W1119" i="6" s="1"/>
  <c r="BG1119" i="6" s="1"/>
  <c r="W1120" i="6" s="1"/>
  <c r="BG1120" i="6" s="1"/>
  <c r="W1121" i="6" s="1"/>
  <c r="BG1121" i="6" s="1"/>
  <c r="AH1108" i="6"/>
  <c r="BG348" i="6"/>
  <c r="W349" i="6" s="1"/>
  <c r="AH348" i="6"/>
  <c r="AM348" i="6" s="1"/>
  <c r="AM523" i="6"/>
  <c r="AL523" i="6"/>
  <c r="BA427" i="6"/>
  <c r="Q428" i="6" s="1"/>
  <c r="BG455" i="6"/>
  <c r="W456" i="6" s="1"/>
  <c r="AH455" i="6"/>
  <c r="AM739" i="6"/>
  <c r="AL739" i="6"/>
  <c r="BO278" i="6"/>
  <c r="BN279" i="6" s="1"/>
  <c r="AK278" i="6"/>
  <c r="BA893" i="6"/>
  <c r="Q894" i="6" s="1"/>
  <c r="AG893" i="6"/>
  <c r="BG1066" i="6"/>
  <c r="W1067" i="6" s="1"/>
  <c r="AH1066" i="6"/>
  <c r="AZ740" i="6"/>
  <c r="P741" i="6" s="1"/>
  <c r="AK740" i="6"/>
  <c r="AR740" i="6" s="1"/>
  <c r="AS740" i="6" s="1"/>
  <c r="AG740" i="6"/>
  <c r="BG1645" i="6"/>
  <c r="W1646" i="6" s="1"/>
  <c r="AH1645" i="6"/>
  <c r="BA1069" i="6"/>
  <c r="Q1070" i="6" s="1"/>
  <c r="AN235" i="6"/>
  <c r="AU235" i="6" s="1"/>
  <c r="BG1177" i="6"/>
  <c r="W1178" i="6" s="1"/>
  <c r="AH1177" i="6"/>
  <c r="AZ1244" i="6"/>
  <c r="P1245" i="6" s="1"/>
  <c r="AK1244" i="6"/>
  <c r="AR1244" i="6" s="1"/>
  <c r="AS1244" i="6" s="1"/>
  <c r="AG1244" i="6"/>
  <c r="BA247" i="6"/>
  <c r="Q248" i="6" s="1"/>
  <c r="AG247" i="6"/>
  <c r="AQ60" i="6"/>
  <c r="BA817" i="6"/>
  <c r="Q818" i="6" s="1"/>
  <c r="AG817" i="6"/>
  <c r="BA1430" i="6"/>
  <c r="Q1431" i="6" s="1"/>
  <c r="AZ1640" i="6"/>
  <c r="P1641" i="6" s="1"/>
  <c r="AG1640" i="6"/>
  <c r="AK1640" i="6"/>
  <c r="AR1640" i="6" s="1"/>
  <c r="AS1640" i="6" s="1"/>
  <c r="BG491" i="6"/>
  <c r="W492" i="6" s="1"/>
  <c r="AH491" i="6"/>
  <c r="BA638" i="6"/>
  <c r="Q639" i="6" s="1"/>
  <c r="AG638" i="6"/>
  <c r="BA1177" i="6"/>
  <c r="Q1178" i="6" s="1"/>
  <c r="AG1177" i="6"/>
  <c r="BO536" i="6"/>
  <c r="BN537" i="6" s="1"/>
  <c r="AS166" i="6"/>
  <c r="BG851" i="6"/>
  <c r="W852" i="6" s="1"/>
  <c r="AH851" i="6"/>
  <c r="BD1500" i="6"/>
  <c r="T1501" i="6" s="1"/>
  <c r="AP1500" i="6"/>
  <c r="AQ1463" i="6"/>
  <c r="BE635" i="6"/>
  <c r="U635" i="6"/>
  <c r="AQ1607" i="6"/>
  <c r="AR1211" i="6"/>
  <c r="AQ1211" i="6"/>
  <c r="U1643" i="6"/>
  <c r="BE1643" i="6"/>
  <c r="BA1105" i="6"/>
  <c r="Q1106" i="6" s="1"/>
  <c r="AG1105" i="6"/>
  <c r="AZ524" i="6"/>
  <c r="P525" i="6" s="1"/>
  <c r="AG524" i="6"/>
  <c r="AK524" i="6"/>
  <c r="AR524" i="6" s="1"/>
  <c r="AS524" i="6" s="1"/>
  <c r="BA211" i="6"/>
  <c r="Q212" i="6" s="1"/>
  <c r="AL1321" i="6"/>
  <c r="AM1321" i="6"/>
  <c r="AZ92" i="6"/>
  <c r="P93" i="6" s="1"/>
  <c r="AK92" i="6"/>
  <c r="AR92" i="6" s="1"/>
  <c r="AS92" i="6" s="1"/>
  <c r="AG92" i="6"/>
  <c r="AM236" i="6"/>
  <c r="AL236" i="6"/>
  <c r="AQ1538" i="6"/>
  <c r="AR1538" i="6"/>
  <c r="AL1212" i="6"/>
  <c r="AM1212" i="6"/>
  <c r="BO1511" i="6"/>
  <c r="BN1512" i="6" s="1"/>
  <c r="AQ851" i="6"/>
  <c r="AL282" i="6"/>
  <c r="BE1210" i="6"/>
  <c r="U1210" i="6"/>
  <c r="AM1063" i="6"/>
  <c r="AL1063" i="6"/>
  <c r="BA1035" i="6"/>
  <c r="Q1036" i="6" s="1"/>
  <c r="AG1035" i="6"/>
  <c r="BD61" i="6"/>
  <c r="T62" i="6" s="1"/>
  <c r="AP61" i="6"/>
  <c r="BE203" i="6"/>
  <c r="U203" i="6"/>
  <c r="AN174" i="6"/>
  <c r="U1283" i="6"/>
  <c r="BE1283" i="6"/>
  <c r="AS346" i="6"/>
  <c r="AU346" i="6" s="1"/>
  <c r="AM780" i="6"/>
  <c r="AL780" i="6"/>
  <c r="AZ580" i="6"/>
  <c r="P581" i="6" s="1"/>
  <c r="AK580" i="6"/>
  <c r="AR1031" i="6"/>
  <c r="AQ1031" i="6"/>
  <c r="AL1176" i="6"/>
  <c r="AM1176" i="6"/>
  <c r="AM307" i="6"/>
  <c r="AL307" i="6"/>
  <c r="AZ703" i="6"/>
  <c r="P704" i="6" s="1"/>
  <c r="AK703" i="6"/>
  <c r="AR703" i="6" s="1"/>
  <c r="AS703" i="6" s="1"/>
  <c r="AG703" i="6"/>
  <c r="AZ1136" i="6"/>
  <c r="P1137" i="6" s="1"/>
  <c r="AK1136" i="6"/>
  <c r="AR1136" i="6" s="1"/>
  <c r="AS1136" i="6" s="1"/>
  <c r="AG1136" i="6"/>
  <c r="BA137" i="6"/>
  <c r="Q138" i="6" s="1"/>
  <c r="AG137" i="6"/>
  <c r="BD1464" i="6"/>
  <c r="T1465" i="6" s="1"/>
  <c r="AP1464" i="6"/>
  <c r="BE492" i="6"/>
  <c r="U492" i="6"/>
  <c r="BA62" i="6"/>
  <c r="Q63" i="6" s="1"/>
  <c r="AP1212" i="6"/>
  <c r="BD1212" i="6"/>
  <c r="T1213" i="6" s="1"/>
  <c r="AM1325" i="6"/>
  <c r="AL1325" i="6"/>
  <c r="AM1104" i="6"/>
  <c r="AL1104" i="6"/>
  <c r="AL1355" i="6"/>
  <c r="AM1355" i="6"/>
  <c r="AZ487" i="6"/>
  <c r="P488" i="6" s="1"/>
  <c r="AK487" i="6"/>
  <c r="AR487" i="6" s="1"/>
  <c r="AS487" i="6" s="1"/>
  <c r="AG487" i="6"/>
  <c r="AQ419" i="6"/>
  <c r="BG1322" i="6"/>
  <c r="W1323" i="6" s="1"/>
  <c r="AH1322" i="6"/>
  <c r="AM175" i="6"/>
  <c r="AL175" i="6"/>
  <c r="AL972" i="6"/>
  <c r="BA1646" i="6"/>
  <c r="Q1647" i="6" s="1"/>
  <c r="BO242" i="6"/>
  <c r="BN243" i="6" s="1"/>
  <c r="AK242" i="6"/>
  <c r="BD1066" i="6"/>
  <c r="T1067" i="6" s="1"/>
  <c r="AP1066" i="6"/>
  <c r="BA709" i="6"/>
  <c r="Q710" i="6" s="1"/>
  <c r="AL390" i="6"/>
  <c r="AQ1644" i="6"/>
  <c r="BE311" i="6"/>
  <c r="U311" i="6"/>
  <c r="AN1320" i="6"/>
  <c r="AU1320" i="6" s="1"/>
  <c r="AN485" i="6"/>
  <c r="AU485" i="6" s="1"/>
  <c r="BE994" i="6"/>
  <c r="U994" i="6"/>
  <c r="AR383" i="6"/>
  <c r="AQ383" i="6"/>
  <c r="BA391" i="6"/>
  <c r="Q392" i="6" s="1"/>
  <c r="AG391" i="6"/>
  <c r="BD1645" i="6"/>
  <c r="T1646" i="6" s="1"/>
  <c r="AP1645" i="6"/>
  <c r="BD852" i="6"/>
  <c r="T853" i="6" s="1"/>
  <c r="AP852" i="6"/>
  <c r="BA283" i="6"/>
  <c r="Q284" i="6" s="1"/>
  <c r="AG283" i="6"/>
  <c r="BA1466" i="6"/>
  <c r="Q1467" i="6" s="1"/>
  <c r="U779" i="6"/>
  <c r="BE779" i="6"/>
  <c r="AM166" i="6"/>
  <c r="AL166" i="6"/>
  <c r="AM200" i="6"/>
  <c r="AL200" i="6"/>
  <c r="AS922" i="6"/>
  <c r="AU922" i="6" s="1"/>
  <c r="AN1031" i="6"/>
  <c r="BA781" i="6"/>
  <c r="Q782" i="6" s="1"/>
  <c r="AG781" i="6"/>
  <c r="BD1032" i="6"/>
  <c r="T1033" i="6" s="1"/>
  <c r="AP1032" i="6"/>
  <c r="AN1421" i="6"/>
  <c r="AU1421" i="6" s="1"/>
  <c r="BE1426" i="6"/>
  <c r="U1426" i="6"/>
  <c r="AZ308" i="6"/>
  <c r="P309" i="6" s="1"/>
  <c r="AG308" i="6"/>
  <c r="AK308" i="6"/>
  <c r="AR308" i="6" s="1"/>
  <c r="AS308" i="6" s="1"/>
  <c r="AN813" i="6"/>
  <c r="AU813" i="6" s="1"/>
  <c r="AR276" i="6"/>
  <c r="AQ276" i="6"/>
  <c r="BE1570" i="6"/>
  <c r="U1570" i="6"/>
  <c r="AQ203" i="6"/>
  <c r="AN1533" i="6"/>
  <c r="AU1533" i="6" s="1"/>
  <c r="BA29" i="6"/>
  <c r="Q30" i="6" s="1"/>
  <c r="AG29" i="6"/>
  <c r="BO1613" i="6"/>
  <c r="BN1614" i="6" s="1"/>
  <c r="BE850" i="6"/>
  <c r="U850" i="6"/>
  <c r="BA1326" i="6"/>
  <c r="Q1327" i="6" s="1"/>
  <c r="AG1326" i="6"/>
  <c r="BA1356" i="6"/>
  <c r="Q1357" i="6" s="1"/>
  <c r="AG1356" i="6"/>
  <c r="BG1144" i="6"/>
  <c r="W1145" i="6" s="1"/>
  <c r="BG1145" i="6" s="1"/>
  <c r="W1146" i="6" s="1"/>
  <c r="BG1146" i="6" s="1"/>
  <c r="W1147" i="6" s="1"/>
  <c r="BG1147" i="6" s="1"/>
  <c r="W1148" i="6" s="1"/>
  <c r="BG1148" i="6" s="1"/>
  <c r="W1149" i="6" s="1"/>
  <c r="BG1149" i="6" s="1"/>
  <c r="W1150" i="6" s="1"/>
  <c r="BG1150" i="6" s="1"/>
  <c r="W1151" i="6" s="1"/>
  <c r="BG1151" i="6" s="1"/>
  <c r="W1152" i="6" s="1"/>
  <c r="BG1152" i="6" s="1"/>
  <c r="W1153" i="6" s="1"/>
  <c r="BG1153" i="6" s="1"/>
  <c r="W1154" i="6" s="1"/>
  <c r="BG1154" i="6" s="1"/>
  <c r="W1155" i="6" s="1"/>
  <c r="BG1155" i="6" s="1"/>
  <c r="W1156" i="6" s="1"/>
  <c r="BG1156" i="6" s="1"/>
  <c r="W1157" i="6" s="1"/>
  <c r="BG1157" i="6" s="1"/>
  <c r="AH1144" i="6"/>
  <c r="BG1571" i="6"/>
  <c r="W1572" i="6" s="1"/>
  <c r="AH1571" i="6"/>
  <c r="BE671" i="6"/>
  <c r="U671" i="6"/>
  <c r="BD420" i="6"/>
  <c r="T421" i="6" s="1"/>
  <c r="AP420" i="6"/>
  <c r="AR1103" i="6"/>
  <c r="AQ1103" i="6"/>
  <c r="BA462" i="6"/>
  <c r="Q463" i="6" s="1"/>
  <c r="AG462" i="6"/>
  <c r="BG526" i="6"/>
  <c r="W527" i="6" s="1"/>
  <c r="AH526" i="6"/>
  <c r="AH1213" i="6"/>
  <c r="BG1213" i="6"/>
  <c r="W1214" i="6" s="1"/>
  <c r="BE131" i="6"/>
  <c r="U131" i="6"/>
  <c r="BG58" i="6"/>
  <c r="W59" i="6" s="1"/>
  <c r="AH58" i="6"/>
  <c r="AQ95" i="6"/>
  <c r="BD384" i="6"/>
  <c r="T385" i="6" s="1"/>
  <c r="AP384" i="6"/>
  <c r="BA1501" i="6"/>
  <c r="Q1502" i="6" s="1"/>
  <c r="AL273" i="6"/>
  <c r="AM273" i="6"/>
  <c r="AM887" i="6"/>
  <c r="AL887" i="6"/>
  <c r="AZ1064" i="6"/>
  <c r="P1065" i="6" s="1"/>
  <c r="AK1064" i="6"/>
  <c r="AR1064" i="6" s="1"/>
  <c r="AS1064" i="6" s="1"/>
  <c r="AG1064" i="6"/>
  <c r="AN389" i="6"/>
  <c r="AM1284" i="6"/>
  <c r="AL1284" i="6"/>
  <c r="BO1226" i="6"/>
  <c r="BN1227" i="6" s="1"/>
  <c r="AK1226" i="6"/>
  <c r="BH1372" i="6"/>
  <c r="X1373" i="6" s="1"/>
  <c r="AD1372" i="6"/>
  <c r="BG167" i="6"/>
  <c r="W168" i="6" s="1"/>
  <c r="AH167" i="6"/>
  <c r="AZ201" i="6"/>
  <c r="P202" i="6" s="1"/>
  <c r="AG201" i="6"/>
  <c r="AK201" i="6"/>
  <c r="AR201" i="6" s="1"/>
  <c r="AS201" i="6" s="1"/>
  <c r="AQ671" i="6"/>
  <c r="BA539" i="6"/>
  <c r="Q540" i="6" s="1"/>
  <c r="BA1613" i="6"/>
  <c r="Q1614" i="6" s="1"/>
  <c r="AL779" i="6"/>
  <c r="AN779" i="6" s="1"/>
  <c r="AQ1427" i="6"/>
  <c r="BD277" i="6"/>
  <c r="T278" i="6" s="1"/>
  <c r="AP277" i="6"/>
  <c r="BD204" i="6"/>
  <c r="T205" i="6" s="1"/>
  <c r="AP204" i="6"/>
  <c r="BE1174" i="6"/>
  <c r="U1174" i="6"/>
  <c r="BE239" i="6"/>
  <c r="U239" i="6"/>
  <c r="BG1429" i="6"/>
  <c r="W1430" i="6" s="1"/>
  <c r="AH1429" i="6"/>
  <c r="U1606" i="6"/>
  <c r="BE1606" i="6"/>
  <c r="BA1397" i="6"/>
  <c r="Q1398" i="6" s="1"/>
  <c r="AG1397" i="6"/>
  <c r="AR239" i="6"/>
  <c r="AQ239" i="6"/>
  <c r="U923" i="6"/>
  <c r="BE923" i="6"/>
  <c r="BA858" i="6"/>
  <c r="Q859" i="6" s="1"/>
  <c r="BO1392" i="6"/>
  <c r="BN1393" i="6" s="1"/>
  <c r="AK1392" i="6"/>
  <c r="BG671" i="6"/>
  <c r="W672" i="6" s="1"/>
  <c r="AH671" i="6"/>
  <c r="BD1104" i="6"/>
  <c r="T1105" i="6" s="1"/>
  <c r="AP1104" i="6"/>
  <c r="BA1213" i="6"/>
  <c r="Q1214" i="6" s="1"/>
  <c r="AG1213" i="6"/>
  <c r="BE601" i="6"/>
  <c r="U601" i="6"/>
  <c r="BG130" i="6"/>
  <c r="W131" i="6" s="1"/>
  <c r="AH130" i="6"/>
  <c r="BD96" i="6"/>
  <c r="T97" i="6" s="1"/>
  <c r="AP96" i="6"/>
  <c r="AQ529" i="6"/>
  <c r="AL958" i="6"/>
  <c r="AM958" i="6"/>
  <c r="BA1580" i="6"/>
  <c r="Q1581" i="6" s="1"/>
  <c r="BG274" i="6"/>
  <c r="W275" i="6" s="1"/>
  <c r="AH274" i="6"/>
  <c r="BG888" i="6"/>
  <c r="W889" i="6" s="1"/>
  <c r="AH888" i="6"/>
  <c r="BG1285" i="6"/>
  <c r="W1286" i="6" s="1"/>
  <c r="AH1285" i="6"/>
  <c r="AR779" i="6"/>
  <c r="AQ779" i="6"/>
  <c r="AN453" i="6"/>
  <c r="AU453" i="6" s="1"/>
  <c r="AN1062" i="6"/>
  <c r="AU1062" i="6" s="1"/>
  <c r="AR131" i="6"/>
  <c r="AQ131" i="6"/>
  <c r="BD672" i="6"/>
  <c r="T673" i="6" s="1"/>
  <c r="AP672" i="6"/>
  <c r="AM55" i="6"/>
  <c r="AL55" i="6"/>
  <c r="AN1602" i="6"/>
  <c r="AU1602" i="6" s="1"/>
  <c r="BO1547" i="6"/>
  <c r="BN1548" i="6" s="1"/>
  <c r="AK1547" i="6"/>
  <c r="AL1032" i="6"/>
  <c r="AM1032" i="6"/>
  <c r="BD886" i="6"/>
  <c r="T887" i="6" s="1"/>
  <c r="AP886" i="6"/>
  <c r="BE59" i="6"/>
  <c r="U59" i="6"/>
  <c r="U1462" i="6"/>
  <c r="BE1462" i="6"/>
  <c r="BO963" i="6"/>
  <c r="BN964" i="6" s="1"/>
  <c r="AK963" i="6"/>
  <c r="AR963" i="6" s="1"/>
  <c r="BO181" i="6"/>
  <c r="BN182" i="6" s="1"/>
  <c r="AK181" i="6"/>
  <c r="BE1355" i="6"/>
  <c r="U1355" i="6"/>
  <c r="AN1638" i="6"/>
  <c r="AU1638" i="6" s="1"/>
  <c r="BG708" i="6"/>
  <c r="W709" i="6" s="1"/>
  <c r="AH708" i="6"/>
  <c r="BD1428" i="6"/>
  <c r="T1429" i="6" s="1"/>
  <c r="AP1428" i="6"/>
  <c r="AM847" i="6"/>
  <c r="AL847" i="6"/>
  <c r="AS275" i="6"/>
  <c r="AQ963" i="6"/>
  <c r="AN1354" i="6"/>
  <c r="AU1354" i="6" s="1"/>
  <c r="AQ1178" i="6"/>
  <c r="AR1178" i="6"/>
  <c r="BO930" i="6"/>
  <c r="BN931" i="6" s="1"/>
  <c r="AK930" i="6"/>
  <c r="BA1538" i="6"/>
  <c r="Q1539" i="6" s="1"/>
  <c r="AG1538" i="6"/>
  <c r="BE527" i="6"/>
  <c r="U527" i="6"/>
  <c r="BD240" i="6"/>
  <c r="T241" i="6" s="1"/>
  <c r="AP240" i="6"/>
  <c r="AS1178" i="6" l="1"/>
  <c r="AS1391" i="6"/>
  <c r="AN1458" i="6"/>
  <c r="AU1458" i="6" s="1"/>
  <c r="AN1422" i="6"/>
  <c r="AU1422" i="6" s="1"/>
  <c r="AS923" i="6"/>
  <c r="AU923" i="6" s="1"/>
  <c r="AN1032" i="6"/>
  <c r="AN1534" i="6"/>
  <c r="AU1534" i="6" s="1"/>
  <c r="AU382" i="6"/>
  <c r="AL348" i="6"/>
  <c r="AN348" i="6" s="1"/>
  <c r="AN91" i="6"/>
  <c r="AU91" i="6" s="1"/>
  <c r="AN994" i="6"/>
  <c r="AU994" i="6" s="1"/>
  <c r="AN1135" i="6"/>
  <c r="AU1135" i="6" s="1"/>
  <c r="AN273" i="6"/>
  <c r="AU273" i="6" s="1"/>
  <c r="AN1176" i="6"/>
  <c r="AU1176" i="6" s="1"/>
  <c r="AN175" i="6"/>
  <c r="AN236" i="6"/>
  <c r="AU236" i="6" s="1"/>
  <c r="AS1322" i="6"/>
  <c r="AN887" i="6"/>
  <c r="AN1389" i="6"/>
  <c r="AU1389" i="6" s="1"/>
  <c r="AN21" i="6"/>
  <c r="AU21" i="6" s="1"/>
  <c r="AS1031" i="6"/>
  <c r="AN1284" i="6"/>
  <c r="AS563" i="6"/>
  <c r="AU563" i="6" s="1"/>
  <c r="AN454" i="6"/>
  <c r="AU454" i="6" s="1"/>
  <c r="AS885" i="6"/>
  <c r="AU885" i="6" s="1"/>
  <c r="AS995" i="6"/>
  <c r="AN129" i="6"/>
  <c r="AU129" i="6" s="1"/>
  <c r="AN814" i="6"/>
  <c r="AU814" i="6" s="1"/>
  <c r="AN667" i="6"/>
  <c r="AU667" i="6" s="1"/>
  <c r="AS131" i="6"/>
  <c r="AS23" i="6"/>
  <c r="AS815" i="6"/>
  <c r="AN1494" i="6"/>
  <c r="AU1494" i="6" s="1"/>
  <c r="AS635" i="6"/>
  <c r="AU635" i="6" s="1"/>
  <c r="AN601" i="6"/>
  <c r="AN637" i="6"/>
  <c r="AN1321" i="6"/>
  <c r="AU1321" i="6" s="1"/>
  <c r="BO931" i="6"/>
  <c r="BN932" i="6" s="1"/>
  <c r="AK931" i="6"/>
  <c r="BE924" i="6"/>
  <c r="U924" i="6"/>
  <c r="BA1327" i="6"/>
  <c r="Q1328" i="6" s="1"/>
  <c r="AG1327" i="6"/>
  <c r="BD1465" i="6"/>
  <c r="T1466" i="6" s="1"/>
  <c r="AP1465" i="6"/>
  <c r="BE1463" i="6"/>
  <c r="U1463" i="6"/>
  <c r="BD97" i="6"/>
  <c r="T98" i="6" s="1"/>
  <c r="AP97" i="6"/>
  <c r="BD278" i="6"/>
  <c r="T279" i="6" s="1"/>
  <c r="AP278" i="6"/>
  <c r="AM703" i="6"/>
  <c r="AL703" i="6"/>
  <c r="BA1036" i="6"/>
  <c r="Q1037" i="6" s="1"/>
  <c r="AG1036" i="6"/>
  <c r="AQ672" i="6"/>
  <c r="AM130" i="6"/>
  <c r="AL130" i="6"/>
  <c r="AM167" i="6"/>
  <c r="AL167" i="6"/>
  <c r="BG59" i="6"/>
  <c r="W60" i="6" s="1"/>
  <c r="AH59" i="6"/>
  <c r="AM1356" i="6"/>
  <c r="AL1356" i="6"/>
  <c r="AN1356" i="6" s="1"/>
  <c r="AQ1645" i="6"/>
  <c r="BA1647" i="6"/>
  <c r="Q1648" i="6" s="1"/>
  <c r="AZ93" i="6"/>
  <c r="P94" i="6" s="1"/>
  <c r="AK93" i="6"/>
  <c r="AR93" i="6" s="1"/>
  <c r="AS93" i="6" s="1"/>
  <c r="AG93" i="6"/>
  <c r="AQ1500" i="6"/>
  <c r="BG492" i="6"/>
  <c r="W493" i="6" s="1"/>
  <c r="AH492" i="6"/>
  <c r="AL247" i="6"/>
  <c r="AM740" i="6"/>
  <c r="AL740" i="6"/>
  <c r="BD457" i="6"/>
  <c r="T458" i="6" s="1"/>
  <c r="AP457" i="6"/>
  <c r="AZ1496" i="6"/>
  <c r="P1497" i="6" s="1"/>
  <c r="AK1496" i="6"/>
  <c r="AR1496" i="6" s="1"/>
  <c r="AS1496" i="6" s="1"/>
  <c r="AG1496" i="6"/>
  <c r="AM384" i="6"/>
  <c r="AL384" i="6"/>
  <c r="BE168" i="6"/>
  <c r="U168" i="6"/>
  <c r="BD1574" i="6"/>
  <c r="T1575" i="6" s="1"/>
  <c r="AP1574" i="6"/>
  <c r="BO1147" i="6"/>
  <c r="BN1148" i="6" s="1"/>
  <c r="BH1149" i="6"/>
  <c r="X1150" i="6" s="1"/>
  <c r="AD1149" i="6"/>
  <c r="BH931" i="6"/>
  <c r="X932" i="6" s="1"/>
  <c r="AD931" i="6"/>
  <c r="AL1568" i="6"/>
  <c r="AM1568" i="6"/>
  <c r="BE1068" i="6"/>
  <c r="U1068" i="6"/>
  <c r="BO1112" i="6"/>
  <c r="BN1113" i="6" s="1"/>
  <c r="AK1112" i="6"/>
  <c r="AM926" i="6"/>
  <c r="AL926" i="6"/>
  <c r="AZ1460" i="6"/>
  <c r="P1461" i="6" s="1"/>
  <c r="AK1460" i="6"/>
  <c r="AR1460" i="6" s="1"/>
  <c r="AS1460" i="6" s="1"/>
  <c r="AG1460" i="6"/>
  <c r="BO1434" i="6"/>
  <c r="BN1435" i="6" s="1"/>
  <c r="AH709" i="6"/>
  <c r="BG709" i="6"/>
  <c r="W710" i="6" s="1"/>
  <c r="BH1373" i="6"/>
  <c r="AD1373" i="6"/>
  <c r="BA392" i="6"/>
  <c r="Q393" i="6" s="1"/>
  <c r="AG392" i="6"/>
  <c r="U528" i="6"/>
  <c r="BE528" i="6"/>
  <c r="BO1393" i="6"/>
  <c r="BN1394" i="6" s="1"/>
  <c r="AK1393" i="6"/>
  <c r="U1607" i="6"/>
  <c r="BE1607" i="6"/>
  <c r="AZ202" i="6"/>
  <c r="P203" i="6" s="1"/>
  <c r="AG202" i="6"/>
  <c r="AK202" i="6"/>
  <c r="AR202" i="6" s="1"/>
  <c r="AS202" i="6" s="1"/>
  <c r="AZ1065" i="6"/>
  <c r="P1066" i="6" s="1"/>
  <c r="AK1065" i="6"/>
  <c r="AR1065" i="6" s="1"/>
  <c r="AS1065" i="6" s="1"/>
  <c r="AG1065" i="6"/>
  <c r="U1427" i="6"/>
  <c r="BE1427" i="6"/>
  <c r="BD853" i="6"/>
  <c r="T854" i="6" s="1"/>
  <c r="AP853" i="6"/>
  <c r="BE312" i="6"/>
  <c r="U312" i="6"/>
  <c r="AZ488" i="6"/>
  <c r="P489" i="6" s="1"/>
  <c r="AK488" i="6"/>
  <c r="AR488" i="6" s="1"/>
  <c r="AS488" i="6" s="1"/>
  <c r="AG488" i="6"/>
  <c r="BG1646" i="6"/>
  <c r="W1647" i="6" s="1"/>
  <c r="AH1646" i="6"/>
  <c r="AR456" i="6"/>
  <c r="AQ456" i="6"/>
  <c r="AM22" i="6"/>
  <c r="AL22" i="6"/>
  <c r="AQ1428" i="6"/>
  <c r="AL888" i="6"/>
  <c r="AM888" i="6"/>
  <c r="BA1539" i="6"/>
  <c r="Q1540" i="6" s="1"/>
  <c r="AG1539" i="6"/>
  <c r="BD1429" i="6"/>
  <c r="T1430" i="6" s="1"/>
  <c r="AP1429" i="6"/>
  <c r="BD673" i="6"/>
  <c r="T674" i="6" s="1"/>
  <c r="AP673" i="6"/>
  <c r="BG889" i="6"/>
  <c r="W890" i="6" s="1"/>
  <c r="AH889" i="6"/>
  <c r="BG131" i="6"/>
  <c r="W132" i="6" s="1"/>
  <c r="AH131" i="6"/>
  <c r="BA859" i="6"/>
  <c r="Q860" i="6" s="1"/>
  <c r="BG168" i="6"/>
  <c r="W169" i="6" s="1"/>
  <c r="AH168" i="6"/>
  <c r="BA1357" i="6"/>
  <c r="Q1358" i="6" s="1"/>
  <c r="AG1357" i="6"/>
  <c r="AQ1032" i="6"/>
  <c r="AR1032" i="6"/>
  <c r="BD1646" i="6"/>
  <c r="T1647" i="6" s="1"/>
  <c r="AP1646" i="6"/>
  <c r="AN1355" i="6"/>
  <c r="AU1355" i="6" s="1"/>
  <c r="BE493" i="6"/>
  <c r="U493" i="6"/>
  <c r="AZ704" i="6"/>
  <c r="P705" i="6" s="1"/>
  <c r="AK704" i="6"/>
  <c r="AR704" i="6" s="1"/>
  <c r="AS704" i="6" s="1"/>
  <c r="AG704" i="6"/>
  <c r="BE1284" i="6"/>
  <c r="U1284" i="6"/>
  <c r="AN1063" i="6"/>
  <c r="AU1063" i="6" s="1"/>
  <c r="AS1211" i="6"/>
  <c r="AU1211" i="6" s="1"/>
  <c r="BD1501" i="6"/>
  <c r="T1502" i="6" s="1"/>
  <c r="AP1501" i="6"/>
  <c r="BA248" i="6"/>
  <c r="Q249" i="6" s="1"/>
  <c r="AG248" i="6"/>
  <c r="AM455" i="6"/>
  <c r="AL455" i="6"/>
  <c r="BE1536" i="6"/>
  <c r="U1536" i="6"/>
  <c r="BG639" i="6"/>
  <c r="W640" i="6" s="1"/>
  <c r="AH639" i="6"/>
  <c r="BG311" i="6"/>
  <c r="W312" i="6" s="1"/>
  <c r="AH311" i="6"/>
  <c r="BG385" i="6"/>
  <c r="W386" i="6" s="1"/>
  <c r="AH385" i="6"/>
  <c r="AN1243" i="6"/>
  <c r="AU1243" i="6" s="1"/>
  <c r="BO1470" i="6"/>
  <c r="BN1471" i="6" s="1"/>
  <c r="AZ1569" i="6"/>
  <c r="P1570" i="6" s="1"/>
  <c r="AG1569" i="6"/>
  <c r="AK1569" i="6"/>
  <c r="AR1569" i="6" s="1"/>
  <c r="AS1569" i="6" s="1"/>
  <c r="AR924" i="6"/>
  <c r="AQ924" i="6"/>
  <c r="BG603" i="6"/>
  <c r="W604" i="6" s="1"/>
  <c r="AH603" i="6"/>
  <c r="AQ746" i="6"/>
  <c r="BA927" i="6"/>
  <c r="Q928" i="6" s="1"/>
  <c r="AG927" i="6"/>
  <c r="BE961" i="6"/>
  <c r="U961" i="6"/>
  <c r="AM237" i="6"/>
  <c r="AL237" i="6"/>
  <c r="BE421" i="6"/>
  <c r="U421" i="6"/>
  <c r="BG743" i="6"/>
  <c r="W744" i="6" s="1"/>
  <c r="AH743" i="6"/>
  <c r="BG203" i="6"/>
  <c r="W204" i="6" s="1"/>
  <c r="AH203" i="6"/>
  <c r="AL848" i="6"/>
  <c r="AM848" i="6"/>
  <c r="AL274" i="6"/>
  <c r="AM274" i="6"/>
  <c r="AH1430" i="6"/>
  <c r="BG1430" i="6"/>
  <c r="W1431" i="6" s="1"/>
  <c r="BE132" i="6"/>
  <c r="U132" i="6"/>
  <c r="AQ420" i="6"/>
  <c r="AM1326" i="6"/>
  <c r="AL1326" i="6"/>
  <c r="BD1033" i="6"/>
  <c r="T1034" i="6" s="1"/>
  <c r="AP1033" i="6"/>
  <c r="AL391" i="6"/>
  <c r="AN390" i="6"/>
  <c r="AN1104" i="6"/>
  <c r="AQ1464" i="6"/>
  <c r="AN307" i="6"/>
  <c r="AU307" i="6" s="1"/>
  <c r="BO1512" i="6"/>
  <c r="BN1513" i="6" s="1"/>
  <c r="AM1640" i="6"/>
  <c r="AL1640" i="6"/>
  <c r="AM1244" i="6"/>
  <c r="AL1244" i="6"/>
  <c r="AZ741" i="6"/>
  <c r="P742" i="6" s="1"/>
  <c r="AK741" i="6"/>
  <c r="AR741" i="6" s="1"/>
  <c r="AS741" i="6" s="1"/>
  <c r="AG741" i="6"/>
  <c r="BG456" i="6"/>
  <c r="W457" i="6" s="1"/>
  <c r="AH456" i="6"/>
  <c r="U1500" i="6"/>
  <c r="BE1500" i="6"/>
  <c r="BA499" i="6"/>
  <c r="Q500" i="6" s="1"/>
  <c r="AN486" i="6"/>
  <c r="AU486" i="6" s="1"/>
  <c r="AS599" i="6"/>
  <c r="AU599" i="6" s="1"/>
  <c r="BA1000" i="6"/>
  <c r="Q1001" i="6" s="1"/>
  <c r="AG1000" i="6"/>
  <c r="BO1189" i="6"/>
  <c r="BN1190" i="6" s="1"/>
  <c r="AK1189" i="6"/>
  <c r="BO1647" i="6"/>
  <c r="BN1648" i="6" s="1"/>
  <c r="BD925" i="6"/>
  <c r="T926" i="6" s="1"/>
  <c r="AP925" i="6"/>
  <c r="BA325" i="6"/>
  <c r="Q326" i="6" s="1"/>
  <c r="BD747" i="6"/>
  <c r="T748" i="6" s="1"/>
  <c r="AP747" i="6"/>
  <c r="AR1392" i="6"/>
  <c r="AQ1392" i="6"/>
  <c r="BG238" i="6"/>
  <c r="W239" i="6" s="1"/>
  <c r="AH238" i="6"/>
  <c r="BE1140" i="6"/>
  <c r="U1140" i="6"/>
  <c r="AS347" i="6"/>
  <c r="AU347" i="6" s="1"/>
  <c r="BA747" i="6"/>
  <c r="Q748" i="6" s="1"/>
  <c r="AZ1641" i="6"/>
  <c r="P1642" i="6" s="1"/>
  <c r="AK1641" i="6"/>
  <c r="AR1641" i="6" s="1"/>
  <c r="AS1641" i="6" s="1"/>
  <c r="AG1641" i="6"/>
  <c r="BD1393" i="6"/>
  <c r="T1394" i="6" s="1"/>
  <c r="AP1393" i="6"/>
  <c r="BE1104" i="6"/>
  <c r="U1104" i="6"/>
  <c r="BA350" i="6"/>
  <c r="Q351" i="6" s="1"/>
  <c r="AG350" i="6"/>
  <c r="AZ1009" i="6"/>
  <c r="P1010" i="6" s="1"/>
  <c r="AK1009" i="6"/>
  <c r="AM959" i="6"/>
  <c r="AL959" i="6"/>
  <c r="AZ849" i="6"/>
  <c r="P850" i="6" s="1"/>
  <c r="AK849" i="6"/>
  <c r="AR849" i="6" s="1"/>
  <c r="AS849" i="6" s="1"/>
  <c r="AG849" i="6"/>
  <c r="BD887" i="6"/>
  <c r="T888" i="6" s="1"/>
  <c r="AP887" i="6"/>
  <c r="AM1213" i="6"/>
  <c r="AL1213" i="6"/>
  <c r="BE240" i="6"/>
  <c r="U240" i="6"/>
  <c r="BA1614" i="6"/>
  <c r="Q1615" i="6" s="1"/>
  <c r="AS276" i="6"/>
  <c r="BA782" i="6"/>
  <c r="Q783" i="6" s="1"/>
  <c r="AG782" i="6"/>
  <c r="BE780" i="6"/>
  <c r="U780" i="6"/>
  <c r="AS383" i="6"/>
  <c r="AN1325" i="6"/>
  <c r="AM137" i="6"/>
  <c r="AL137" i="6"/>
  <c r="BE1211" i="6"/>
  <c r="U1211" i="6"/>
  <c r="AN1212" i="6"/>
  <c r="BA212" i="6"/>
  <c r="Q213" i="6" s="1"/>
  <c r="AZ1245" i="6"/>
  <c r="P1246" i="6" s="1"/>
  <c r="AK1245" i="6"/>
  <c r="AR1245" i="6" s="1"/>
  <c r="AS1245" i="6" s="1"/>
  <c r="AG1245" i="6"/>
  <c r="BG1067" i="6"/>
  <c r="W1068" i="6" s="1"/>
  <c r="AH1067" i="6"/>
  <c r="BA428" i="6"/>
  <c r="Q429" i="6" s="1"/>
  <c r="BG996" i="6"/>
  <c r="W997" i="6" s="1"/>
  <c r="AH996" i="6"/>
  <c r="AN925" i="6"/>
  <c r="BA1288" i="6"/>
  <c r="Q1289" i="6" s="1"/>
  <c r="AG1288" i="6"/>
  <c r="BO1257" i="6"/>
  <c r="BN1258" i="6" s="1"/>
  <c r="BO898" i="6"/>
  <c r="BN899" i="6" s="1"/>
  <c r="AK898" i="6"/>
  <c r="BG1536" i="6"/>
  <c r="W1537" i="6" s="1"/>
  <c r="AH1536" i="6"/>
  <c r="BE1393" i="6"/>
  <c r="U1393" i="6"/>
  <c r="BD710" i="6"/>
  <c r="T711" i="6" s="1"/>
  <c r="AP710" i="6"/>
  <c r="AR1284" i="6"/>
  <c r="AQ1284" i="6"/>
  <c r="AQ348" i="6"/>
  <c r="AR348" i="6"/>
  <c r="AL973" i="6"/>
  <c r="AM176" i="6"/>
  <c r="AL176" i="6"/>
  <c r="BE348" i="6"/>
  <c r="U348" i="6"/>
  <c r="AQ964" i="6"/>
  <c r="AL1033" i="6"/>
  <c r="AM1033" i="6"/>
  <c r="AR132" i="6"/>
  <c r="AQ132" i="6"/>
  <c r="BG960" i="6"/>
  <c r="W961" i="6" s="1"/>
  <c r="AH960" i="6"/>
  <c r="AQ315" i="6"/>
  <c r="AR886" i="6"/>
  <c r="AQ886" i="6"/>
  <c r="BG1214" i="6"/>
  <c r="W1215" i="6" s="1"/>
  <c r="AH1214" i="6"/>
  <c r="AL995" i="6"/>
  <c r="AM995" i="6"/>
  <c r="BG567" i="6"/>
  <c r="W568" i="6" s="1"/>
  <c r="AH567" i="6"/>
  <c r="AZ466" i="6"/>
  <c r="P467" i="6" s="1"/>
  <c r="AK466" i="6"/>
  <c r="AQ709" i="6"/>
  <c r="BE457" i="6"/>
  <c r="U457" i="6"/>
  <c r="U1248" i="6"/>
  <c r="BE1248" i="6"/>
  <c r="U887" i="6"/>
  <c r="BE887" i="6"/>
  <c r="BA1581" i="6"/>
  <c r="Q1582" i="6" s="1"/>
  <c r="BA1214" i="6"/>
  <c r="Q1215" i="6" s="1"/>
  <c r="AG1214" i="6"/>
  <c r="AS239" i="6"/>
  <c r="BO1227" i="6"/>
  <c r="BN1228" i="6" s="1"/>
  <c r="AK1227" i="6"/>
  <c r="BA1502" i="6"/>
  <c r="Q1503" i="6" s="1"/>
  <c r="BE672" i="6"/>
  <c r="U672" i="6"/>
  <c r="BE851" i="6"/>
  <c r="U851" i="6"/>
  <c r="AU1031" i="6"/>
  <c r="BA710" i="6"/>
  <c r="Q711" i="6" s="1"/>
  <c r="AL1322" i="6"/>
  <c r="AM1322" i="6"/>
  <c r="BA138" i="6"/>
  <c r="Q139" i="6" s="1"/>
  <c r="AG138" i="6"/>
  <c r="BE204" i="6"/>
  <c r="U204" i="6"/>
  <c r="BA1431" i="6"/>
  <c r="Q1432" i="6" s="1"/>
  <c r="AL893" i="6"/>
  <c r="AM893" i="6"/>
  <c r="AN523" i="6"/>
  <c r="AU523" i="6" s="1"/>
  <c r="AH96" i="6"/>
  <c r="BG96" i="6"/>
  <c r="W97" i="6" s="1"/>
  <c r="BE744" i="6"/>
  <c r="U744" i="6"/>
  <c r="AN1639" i="6"/>
  <c r="AU1639" i="6" s="1"/>
  <c r="AM56" i="6"/>
  <c r="AL56" i="6"/>
  <c r="BO830" i="6"/>
  <c r="BN831" i="6" s="1"/>
  <c r="AK830" i="6"/>
  <c r="AN383" i="6"/>
  <c r="AS167" i="6"/>
  <c r="BD1285" i="6"/>
  <c r="T1286" i="6" s="1"/>
  <c r="AP1285" i="6"/>
  <c r="BG781" i="6"/>
  <c r="W782" i="6" s="1"/>
  <c r="AH781" i="6"/>
  <c r="AL781" i="6" s="1"/>
  <c r="AM602" i="6"/>
  <c r="AL602" i="6"/>
  <c r="BD349" i="6"/>
  <c r="T350" i="6" s="1"/>
  <c r="AP349" i="6"/>
  <c r="BO759" i="6"/>
  <c r="BN760" i="6" s="1"/>
  <c r="BA974" i="6"/>
  <c r="Q975" i="6" s="1"/>
  <c r="AG974" i="6"/>
  <c r="AS1356" i="6"/>
  <c r="BA177" i="6"/>
  <c r="Q178" i="6" s="1"/>
  <c r="AG177" i="6"/>
  <c r="BE1032" i="6"/>
  <c r="U1032" i="6"/>
  <c r="BD965" i="6"/>
  <c r="T966" i="6" s="1"/>
  <c r="AP965" i="6"/>
  <c r="BG1034" i="6"/>
  <c r="W1035" i="6" s="1"/>
  <c r="AH1034" i="6"/>
  <c r="BD133" i="6"/>
  <c r="T134" i="6" s="1"/>
  <c r="AP133" i="6"/>
  <c r="AQ530" i="6"/>
  <c r="BD316" i="6"/>
  <c r="T317" i="6" s="1"/>
  <c r="AP316" i="6"/>
  <c r="BA98" i="6"/>
  <c r="Q99" i="6" s="1"/>
  <c r="BE1356" i="6"/>
  <c r="U1356" i="6"/>
  <c r="BO1614" i="6"/>
  <c r="BN1615" i="6" s="1"/>
  <c r="BG1323" i="6"/>
  <c r="W1324" i="6" s="1"/>
  <c r="AH1323" i="6"/>
  <c r="BD1213" i="6"/>
  <c r="T1214" i="6" s="1"/>
  <c r="AP1213" i="6"/>
  <c r="AM524" i="6"/>
  <c r="AL524" i="6"/>
  <c r="BE636" i="6"/>
  <c r="U636" i="6"/>
  <c r="BO537" i="6"/>
  <c r="BN538" i="6" s="1"/>
  <c r="AH1178" i="6"/>
  <c r="BG1178" i="6"/>
  <c r="W1179" i="6" s="1"/>
  <c r="BA894" i="6"/>
  <c r="Q895" i="6" s="1"/>
  <c r="AG894" i="6"/>
  <c r="AQ1608" i="6"/>
  <c r="AM1604" i="6"/>
  <c r="AL1604" i="6"/>
  <c r="AL815" i="6"/>
  <c r="AM815" i="6"/>
  <c r="AM1390" i="6"/>
  <c r="AL1390" i="6"/>
  <c r="AR996" i="6"/>
  <c r="AQ996" i="6"/>
  <c r="BA603" i="6"/>
  <c r="Q604" i="6" s="1"/>
  <c r="AG603" i="6"/>
  <c r="AR564" i="6"/>
  <c r="AQ564" i="6"/>
  <c r="AQ816" i="6"/>
  <c r="AR816" i="6"/>
  <c r="AR780" i="6"/>
  <c r="AQ780" i="6"/>
  <c r="BD531" i="6"/>
  <c r="T532" i="6" s="1"/>
  <c r="AP531" i="6"/>
  <c r="BO138" i="6"/>
  <c r="BN139" i="6" s="1"/>
  <c r="AK138" i="6"/>
  <c r="AR1357" i="6"/>
  <c r="AQ1357" i="6"/>
  <c r="AP421" i="6"/>
  <c r="BD421" i="6"/>
  <c r="T422" i="6" s="1"/>
  <c r="AM1535" i="6"/>
  <c r="AL1535" i="6"/>
  <c r="AR1104" i="6"/>
  <c r="AQ1104" i="6"/>
  <c r="BE1175" i="6"/>
  <c r="U1175" i="6"/>
  <c r="BA540" i="6"/>
  <c r="Q541" i="6" s="1"/>
  <c r="AR384" i="6"/>
  <c r="AQ384" i="6"/>
  <c r="AQ1066" i="6"/>
  <c r="AS779" i="6"/>
  <c r="AU779" i="6" s="1"/>
  <c r="AN958" i="6"/>
  <c r="AU958" i="6" s="1"/>
  <c r="BD1105" i="6"/>
  <c r="T1106" i="6" s="1"/>
  <c r="AP1105" i="6"/>
  <c r="AL1397" i="6"/>
  <c r="AQ204" i="6"/>
  <c r="BD385" i="6"/>
  <c r="T386" i="6" s="1"/>
  <c r="AP385" i="6"/>
  <c r="BG527" i="6"/>
  <c r="W528" i="6" s="1"/>
  <c r="AH527" i="6"/>
  <c r="AH1572" i="6"/>
  <c r="BG1572" i="6"/>
  <c r="W1573" i="6" s="1"/>
  <c r="AN200" i="6"/>
  <c r="AU200" i="6" s="1"/>
  <c r="BA1467" i="6"/>
  <c r="Q1468" i="6" s="1"/>
  <c r="BE995" i="6"/>
  <c r="U995" i="6"/>
  <c r="BD1067" i="6"/>
  <c r="T1068" i="6" s="1"/>
  <c r="AP1067" i="6"/>
  <c r="AQ1212" i="6"/>
  <c r="AR1212" i="6"/>
  <c r="AS1538" i="6"/>
  <c r="AZ525" i="6"/>
  <c r="P526" i="6" s="1"/>
  <c r="AG525" i="6"/>
  <c r="AK525" i="6"/>
  <c r="AR525" i="6" s="1"/>
  <c r="AS525" i="6" s="1"/>
  <c r="AM1177" i="6"/>
  <c r="AL1177" i="6"/>
  <c r="BA818" i="6"/>
  <c r="Q819" i="6" s="1"/>
  <c r="AG818" i="6"/>
  <c r="BD1609" i="6"/>
  <c r="T1610" i="6" s="1"/>
  <c r="AP1609" i="6"/>
  <c r="AZ1605" i="6"/>
  <c r="P1606" i="6" s="1"/>
  <c r="AK1605" i="6"/>
  <c r="AR1605" i="6" s="1"/>
  <c r="AS1605" i="6" s="1"/>
  <c r="AG1605" i="6"/>
  <c r="AZ57" i="6"/>
  <c r="P58" i="6" s="1"/>
  <c r="AK57" i="6"/>
  <c r="AR57" i="6" s="1"/>
  <c r="AS57" i="6" s="1"/>
  <c r="AG57" i="6"/>
  <c r="AS455" i="6"/>
  <c r="BG816" i="6"/>
  <c r="W817" i="6" s="1"/>
  <c r="AH816" i="6"/>
  <c r="AH1391" i="6"/>
  <c r="BG1391" i="6"/>
  <c r="W1392" i="6" s="1"/>
  <c r="BD997" i="6"/>
  <c r="T998" i="6" s="1"/>
  <c r="AP997" i="6"/>
  <c r="AS1283" i="6"/>
  <c r="AU1283" i="6" s="1"/>
  <c r="BO787" i="6"/>
  <c r="BN788" i="6" s="1"/>
  <c r="AK787" i="6"/>
  <c r="BG421" i="6"/>
  <c r="W422" i="6" s="1"/>
  <c r="AH421" i="6"/>
  <c r="AL668" i="6"/>
  <c r="AM668" i="6"/>
  <c r="BD565" i="6"/>
  <c r="T566" i="6" s="1"/>
  <c r="AP565" i="6"/>
  <c r="BA1142" i="6"/>
  <c r="Q1143" i="6" s="1"/>
  <c r="BD817" i="6"/>
  <c r="T818" i="6" s="1"/>
  <c r="AP817" i="6"/>
  <c r="BG1251" i="6"/>
  <c r="W1252" i="6" s="1"/>
  <c r="AH1251" i="6"/>
  <c r="BG1359" i="6"/>
  <c r="W1360" i="6" s="1"/>
  <c r="AH1359" i="6"/>
  <c r="BD781" i="6"/>
  <c r="T782" i="6" s="1"/>
  <c r="AP781" i="6"/>
  <c r="AP1358" i="6"/>
  <c r="BD1358" i="6"/>
  <c r="T1359" i="6" s="1"/>
  <c r="AS963" i="6"/>
  <c r="BA1398" i="6"/>
  <c r="Q1399" i="6" s="1"/>
  <c r="AG1398" i="6"/>
  <c r="AM462" i="6"/>
  <c r="AL462" i="6"/>
  <c r="AM29" i="6"/>
  <c r="AL29" i="6"/>
  <c r="AM308" i="6"/>
  <c r="AL308" i="6"/>
  <c r="AL283" i="6"/>
  <c r="AM1136" i="6"/>
  <c r="AL1136" i="6"/>
  <c r="AQ61" i="6"/>
  <c r="AM1105" i="6"/>
  <c r="AL1105" i="6"/>
  <c r="BA1178" i="6"/>
  <c r="Q1179" i="6" s="1"/>
  <c r="AG1178" i="6"/>
  <c r="BO279" i="6"/>
  <c r="BN280" i="6" s="1"/>
  <c r="AK279" i="6"/>
  <c r="AH349" i="6"/>
  <c r="AL349" i="6" s="1"/>
  <c r="BG349" i="6"/>
  <c r="W350" i="6" s="1"/>
  <c r="AR600" i="6"/>
  <c r="AQ600" i="6"/>
  <c r="AS600" i="6" s="1"/>
  <c r="AU600" i="6" s="1"/>
  <c r="AL1423" i="6"/>
  <c r="AM1423" i="6"/>
  <c r="AQ636" i="6"/>
  <c r="AR636" i="6"/>
  <c r="BE818" i="6"/>
  <c r="U818" i="6"/>
  <c r="AZ669" i="6"/>
  <c r="P670" i="6" s="1"/>
  <c r="AG669" i="6"/>
  <c r="AK669" i="6"/>
  <c r="AR669" i="6" s="1"/>
  <c r="AS669" i="6" s="1"/>
  <c r="BO391" i="6"/>
  <c r="BN392" i="6" s="1"/>
  <c r="AK391" i="6"/>
  <c r="AM391" i="6" s="1"/>
  <c r="BG927" i="6"/>
  <c r="W928" i="6" s="1"/>
  <c r="AH927" i="6"/>
  <c r="BE563" i="6"/>
  <c r="U563" i="6"/>
  <c r="AQ1140" i="6"/>
  <c r="BE60" i="6"/>
  <c r="U60" i="6"/>
  <c r="BG275" i="6"/>
  <c r="W276" i="6" s="1"/>
  <c r="AH275" i="6"/>
  <c r="BE1571" i="6"/>
  <c r="U1571" i="6"/>
  <c r="BO1548" i="6"/>
  <c r="BN1549" i="6" s="1"/>
  <c r="AK1548" i="6"/>
  <c r="AM1285" i="6"/>
  <c r="AL1285" i="6"/>
  <c r="BG672" i="6"/>
  <c r="W673" i="6" s="1"/>
  <c r="AH672" i="6"/>
  <c r="AM1064" i="6"/>
  <c r="AL1064" i="6"/>
  <c r="BA463" i="6"/>
  <c r="Q464" i="6" s="1"/>
  <c r="AG463" i="6"/>
  <c r="BA30" i="6"/>
  <c r="Q31" i="6" s="1"/>
  <c r="AG30" i="6"/>
  <c r="AZ309" i="6"/>
  <c r="P310" i="6" s="1"/>
  <c r="AK309" i="6"/>
  <c r="AR309" i="6" s="1"/>
  <c r="AS309" i="6" s="1"/>
  <c r="AG309" i="6"/>
  <c r="BA284" i="6"/>
  <c r="Q285" i="6" s="1"/>
  <c r="AG284" i="6"/>
  <c r="AL487" i="6"/>
  <c r="AM487" i="6"/>
  <c r="BA63" i="6"/>
  <c r="Q64" i="6" s="1"/>
  <c r="AZ581" i="6"/>
  <c r="AK581" i="6"/>
  <c r="BD62" i="6"/>
  <c r="T63" i="6" s="1"/>
  <c r="AP62" i="6"/>
  <c r="BA1106" i="6"/>
  <c r="Q1107" i="6" s="1"/>
  <c r="AG1106" i="6"/>
  <c r="AM638" i="6"/>
  <c r="AL638" i="6"/>
  <c r="BA1070" i="6"/>
  <c r="Q1071" i="6" s="1"/>
  <c r="AN739" i="6"/>
  <c r="AU739" i="6" s="1"/>
  <c r="BD601" i="6"/>
  <c r="T602" i="6" s="1"/>
  <c r="AP601" i="6"/>
  <c r="AN702" i="6"/>
  <c r="AU702" i="6" s="1"/>
  <c r="AQ493" i="6"/>
  <c r="AN1603" i="6"/>
  <c r="AU1603" i="6" s="1"/>
  <c r="AN461" i="6"/>
  <c r="AR168" i="6"/>
  <c r="AQ168" i="6"/>
  <c r="BD637" i="6"/>
  <c r="T638" i="6" s="1"/>
  <c r="AP637" i="6"/>
  <c r="BO653" i="6"/>
  <c r="AK653" i="6"/>
  <c r="AL567" i="6"/>
  <c r="AM567" i="6"/>
  <c r="BE276" i="6"/>
  <c r="U276" i="6"/>
  <c r="BE96" i="6"/>
  <c r="U96" i="6"/>
  <c r="AM566" i="6"/>
  <c r="AN566" i="6" s="1"/>
  <c r="BA1250" i="6"/>
  <c r="Q1251" i="6" s="1"/>
  <c r="AQ1539" i="6"/>
  <c r="AR1539" i="6"/>
  <c r="BO675" i="6"/>
  <c r="BN676" i="6" s="1"/>
  <c r="BO355" i="6"/>
  <c r="BN356" i="6" s="1"/>
  <c r="AK355" i="6"/>
  <c r="BD1141" i="6"/>
  <c r="T1142" i="6" s="1"/>
  <c r="AP1141" i="6"/>
  <c r="AQ240" i="6"/>
  <c r="AR240" i="6"/>
  <c r="BO182" i="6"/>
  <c r="BN183" i="6" s="1"/>
  <c r="AK182" i="6"/>
  <c r="BD205" i="6"/>
  <c r="T206" i="6" s="1"/>
  <c r="AP205" i="6"/>
  <c r="BD241" i="6"/>
  <c r="T242" i="6" s="1"/>
  <c r="AP241" i="6"/>
  <c r="AN847" i="6"/>
  <c r="AU847" i="6" s="1"/>
  <c r="BO964" i="6"/>
  <c r="BN965" i="6" s="1"/>
  <c r="AK964" i="6"/>
  <c r="AR964" i="6" s="1"/>
  <c r="AN55" i="6"/>
  <c r="AU55" i="6" s="1"/>
  <c r="BG1286" i="6"/>
  <c r="W1287" i="6" s="1"/>
  <c r="AH1286" i="6"/>
  <c r="AQ96" i="6"/>
  <c r="AQ277" i="6"/>
  <c r="AR277" i="6"/>
  <c r="AM201" i="6"/>
  <c r="AL201" i="6"/>
  <c r="AS1103" i="6"/>
  <c r="AU1103" i="6" s="1"/>
  <c r="AN166" i="6"/>
  <c r="AU166" i="6" s="1"/>
  <c r="AQ852" i="6"/>
  <c r="BO243" i="6"/>
  <c r="BN244" i="6" s="1"/>
  <c r="AK243" i="6"/>
  <c r="AZ1137" i="6"/>
  <c r="P1138" i="6" s="1"/>
  <c r="AK1137" i="6"/>
  <c r="AR1137" i="6" s="1"/>
  <c r="AS1137" i="6" s="1"/>
  <c r="AG1137" i="6"/>
  <c r="AN780" i="6"/>
  <c r="AM92" i="6"/>
  <c r="AL92" i="6"/>
  <c r="U1644" i="6"/>
  <c r="BE1644" i="6"/>
  <c r="BA639" i="6"/>
  <c r="Q640" i="6" s="1"/>
  <c r="AG639" i="6"/>
  <c r="BG23" i="6"/>
  <c r="W24" i="6" s="1"/>
  <c r="AH23" i="6"/>
  <c r="AM1495" i="6"/>
  <c r="AL1495" i="6"/>
  <c r="AZ1424" i="6"/>
  <c r="P1425" i="6" s="1"/>
  <c r="AK1424" i="6"/>
  <c r="AR1424" i="6" s="1"/>
  <c r="AS1424" i="6" s="1"/>
  <c r="AG1424" i="6"/>
  <c r="AR1323" i="6"/>
  <c r="AQ1323" i="6"/>
  <c r="BD494" i="6"/>
  <c r="T495" i="6" s="1"/>
  <c r="AP494" i="6"/>
  <c r="BD169" i="6"/>
  <c r="T170" i="6" s="1"/>
  <c r="AP169" i="6"/>
  <c r="BO206" i="6"/>
  <c r="BN207" i="6" s="1"/>
  <c r="BE709" i="6"/>
  <c r="U709" i="6"/>
  <c r="BE385" i="6"/>
  <c r="U385" i="6"/>
  <c r="AM417" i="6"/>
  <c r="AL417" i="6"/>
  <c r="BA568" i="6"/>
  <c r="Q569" i="6" s="1"/>
  <c r="AG568" i="6"/>
  <c r="AM1459" i="6"/>
  <c r="AL1459" i="6"/>
  <c r="AR1179" i="6"/>
  <c r="AQ1179" i="6"/>
  <c r="AS1179" i="6" s="1"/>
  <c r="BD1540" i="6"/>
  <c r="T1541" i="6" s="1"/>
  <c r="AP1540" i="6"/>
  <c r="BO1580" i="6"/>
  <c r="BN1581" i="6" s="1"/>
  <c r="BE24" i="6"/>
  <c r="U24" i="6"/>
  <c r="AR24" i="6"/>
  <c r="AQ24" i="6"/>
  <c r="BE602" i="6"/>
  <c r="U602" i="6"/>
  <c r="BG852" i="6"/>
  <c r="W853" i="6" s="1"/>
  <c r="AH852" i="6"/>
  <c r="BO427" i="6"/>
  <c r="BN428" i="6" s="1"/>
  <c r="BD1324" i="6"/>
  <c r="T1325" i="6" s="1"/>
  <c r="AP1324" i="6"/>
  <c r="AQ1573" i="6"/>
  <c r="BE1320" i="6"/>
  <c r="U1320" i="6"/>
  <c r="AZ418" i="6"/>
  <c r="P419" i="6" s="1"/>
  <c r="AG418" i="6"/>
  <c r="AK418" i="6"/>
  <c r="AR418" i="6" s="1"/>
  <c r="AS418" i="6" s="1"/>
  <c r="BO1365" i="6"/>
  <c r="BN1366" i="6" s="1"/>
  <c r="AK1365" i="6"/>
  <c r="AN416" i="6"/>
  <c r="AU416" i="6" s="1"/>
  <c r="BA676" i="6"/>
  <c r="Q677" i="6" s="1"/>
  <c r="BD1180" i="6"/>
  <c r="T1181" i="6" s="1"/>
  <c r="AP1180" i="6"/>
  <c r="BD25" i="6"/>
  <c r="T26" i="6" s="1"/>
  <c r="AP25" i="6"/>
  <c r="AN848" i="6" l="1"/>
  <c r="AU848" i="6" s="1"/>
  <c r="AS1323" i="6"/>
  <c r="AU1356" i="6"/>
  <c r="AN740" i="6"/>
  <c r="AU740" i="6" s="1"/>
  <c r="AS564" i="6"/>
  <c r="AU564" i="6" s="1"/>
  <c r="AN1244" i="6"/>
  <c r="AU1244" i="6" s="1"/>
  <c r="AS636" i="6"/>
  <c r="AU636" i="6" s="1"/>
  <c r="S18" i="5"/>
  <c r="AN1495" i="6"/>
  <c r="AU1495" i="6" s="1"/>
  <c r="AS1284" i="6"/>
  <c r="AU1284" i="6" s="1"/>
  <c r="AN308" i="6"/>
  <c r="AU308" i="6" s="1"/>
  <c r="AS348" i="6"/>
  <c r="AU348" i="6" s="1"/>
  <c r="AN167" i="6"/>
  <c r="AN1064" i="6"/>
  <c r="AU1064" i="6" s="1"/>
  <c r="AN1459" i="6"/>
  <c r="AU1459" i="6" s="1"/>
  <c r="AN1390" i="6"/>
  <c r="AU1390" i="6" s="1"/>
  <c r="AN92" i="6"/>
  <c r="AU92" i="6" s="1"/>
  <c r="AS886" i="6"/>
  <c r="AU886" i="6" s="1"/>
  <c r="AN455" i="6"/>
  <c r="AN1326" i="6"/>
  <c r="AN893" i="6"/>
  <c r="AM781" i="6"/>
  <c r="AN781" i="6" s="1"/>
  <c r="AN1136" i="6"/>
  <c r="AU1136" i="6" s="1"/>
  <c r="AN1604" i="6"/>
  <c r="AU1604" i="6" s="1"/>
  <c r="AU383" i="6"/>
  <c r="AN888" i="6"/>
  <c r="AS240" i="6"/>
  <c r="AS384" i="6"/>
  <c r="AS996" i="6"/>
  <c r="AS456" i="6"/>
  <c r="AS1212" i="6"/>
  <c r="AU1212" i="6" s="1"/>
  <c r="AS780" i="6"/>
  <c r="AU780" i="6" s="1"/>
  <c r="S24" i="5" s="1"/>
  <c r="F25" i="2" s="1"/>
  <c r="AN201" i="6"/>
  <c r="AU201" i="6" s="1"/>
  <c r="AN1285" i="6"/>
  <c r="AN1640" i="6"/>
  <c r="AU1640" i="6" s="1"/>
  <c r="AN384" i="6"/>
  <c r="AN176" i="6"/>
  <c r="AN926" i="6"/>
  <c r="AN1213" i="6"/>
  <c r="BA1468" i="6"/>
  <c r="Q1469" i="6" s="1"/>
  <c r="BD1214" i="6"/>
  <c r="T1215" i="6" s="1"/>
  <c r="AP1214" i="6"/>
  <c r="BD1502" i="6"/>
  <c r="T1503" i="6" s="1"/>
  <c r="AP1502" i="6"/>
  <c r="BO1366" i="6"/>
  <c r="BN1367" i="6" s="1"/>
  <c r="AK1366" i="6"/>
  <c r="BO207" i="6"/>
  <c r="BN208" i="6" s="1"/>
  <c r="BE25" i="6"/>
  <c r="U25" i="6"/>
  <c r="BD1142" i="6"/>
  <c r="T1143" i="6" s="1"/>
  <c r="AP1142" i="6"/>
  <c r="AR1180" i="6"/>
  <c r="AQ1180" i="6"/>
  <c r="BD1325" i="6"/>
  <c r="T1326" i="6" s="1"/>
  <c r="AP1325" i="6"/>
  <c r="AP1181" i="6"/>
  <c r="BD1181" i="6"/>
  <c r="T1182" i="6" s="1"/>
  <c r="BO1581" i="6"/>
  <c r="BN1582" i="6" s="1"/>
  <c r="AM1424" i="6"/>
  <c r="AL1424" i="6"/>
  <c r="BO356" i="6"/>
  <c r="BN357" i="6" s="1"/>
  <c r="AK356" i="6"/>
  <c r="AQ62" i="6"/>
  <c r="AZ310" i="6"/>
  <c r="P311" i="6" s="1"/>
  <c r="AG310" i="6"/>
  <c r="AK310" i="6"/>
  <c r="AR310" i="6" s="1"/>
  <c r="AS310" i="6" s="1"/>
  <c r="BE564" i="6"/>
  <c r="U564" i="6"/>
  <c r="AM1178" i="6"/>
  <c r="AL1178" i="6"/>
  <c r="AN29" i="6"/>
  <c r="BD782" i="6"/>
  <c r="T783" i="6" s="1"/>
  <c r="AP782" i="6"/>
  <c r="AN668" i="6"/>
  <c r="AU668" i="6" s="1"/>
  <c r="BG817" i="6"/>
  <c r="W818" i="6" s="1"/>
  <c r="AH817" i="6"/>
  <c r="AN1177" i="6"/>
  <c r="AU1177" i="6" s="1"/>
  <c r="AS1357" i="6"/>
  <c r="AN524" i="6"/>
  <c r="AU524" i="6" s="1"/>
  <c r="BA99" i="6"/>
  <c r="Q100" i="6" s="1"/>
  <c r="BD966" i="6"/>
  <c r="T967" i="6" s="1"/>
  <c r="AP966" i="6"/>
  <c r="AN602" i="6"/>
  <c r="AN56" i="6"/>
  <c r="AU56" i="6" s="1"/>
  <c r="AN995" i="6"/>
  <c r="AU995" i="6" s="1"/>
  <c r="AN1033" i="6"/>
  <c r="BA1289" i="6"/>
  <c r="Q1290" i="6" s="1"/>
  <c r="AG1289" i="6"/>
  <c r="BA213" i="6"/>
  <c r="Q214" i="6" s="1"/>
  <c r="AN959" i="6"/>
  <c r="AU959" i="6" s="1"/>
  <c r="AS1392" i="6"/>
  <c r="AZ742" i="6"/>
  <c r="P743" i="6" s="1"/>
  <c r="AK742" i="6"/>
  <c r="AR742" i="6" s="1"/>
  <c r="AS742" i="6" s="1"/>
  <c r="AG742" i="6"/>
  <c r="AL248" i="6"/>
  <c r="U494" i="6"/>
  <c r="BE494" i="6"/>
  <c r="AZ489" i="6"/>
  <c r="P490" i="6" s="1"/>
  <c r="AK489" i="6"/>
  <c r="AR489" i="6" s="1"/>
  <c r="AS489" i="6" s="1"/>
  <c r="AG489" i="6"/>
  <c r="AZ203" i="6"/>
  <c r="P204" i="6" s="1"/>
  <c r="AG203" i="6"/>
  <c r="AK203" i="6"/>
  <c r="AR203" i="6" s="1"/>
  <c r="AS203" i="6" s="1"/>
  <c r="BO1113" i="6"/>
  <c r="BN1114" i="6" s="1"/>
  <c r="AK1113" i="6"/>
  <c r="BD1575" i="6"/>
  <c r="T1576" i="6" s="1"/>
  <c r="AP1575" i="6"/>
  <c r="BD98" i="6"/>
  <c r="T99" i="6" s="1"/>
  <c r="AP98" i="6"/>
  <c r="AM138" i="6"/>
  <c r="AL138" i="6"/>
  <c r="AR1540" i="6"/>
  <c r="AQ1540" i="6"/>
  <c r="BE386" i="6"/>
  <c r="U386" i="6"/>
  <c r="AQ241" i="6"/>
  <c r="AR241" i="6"/>
  <c r="BD63" i="6"/>
  <c r="T64" i="6" s="1"/>
  <c r="AP63" i="6"/>
  <c r="AL30" i="6"/>
  <c r="AM30" i="6"/>
  <c r="BO1549" i="6"/>
  <c r="BN1550" i="6" s="1"/>
  <c r="AK1549" i="6"/>
  <c r="BA1179" i="6"/>
  <c r="Q1180" i="6" s="1"/>
  <c r="AG1179" i="6"/>
  <c r="U996" i="6"/>
  <c r="BE996" i="6"/>
  <c r="BA541" i="6"/>
  <c r="Q542" i="6" s="1"/>
  <c r="AM603" i="6"/>
  <c r="AL603" i="6"/>
  <c r="BE673" i="6"/>
  <c r="U673" i="6"/>
  <c r="BE1249" i="6"/>
  <c r="U1249" i="6"/>
  <c r="AS964" i="6"/>
  <c r="AQ710" i="6"/>
  <c r="AZ1642" i="6"/>
  <c r="P1643" i="6" s="1"/>
  <c r="AK1642" i="6"/>
  <c r="AR1642" i="6" s="1"/>
  <c r="AS1642" i="6" s="1"/>
  <c r="AG1642" i="6"/>
  <c r="BA1001" i="6"/>
  <c r="Q1002" i="6" s="1"/>
  <c r="AG1001" i="6"/>
  <c r="AN391" i="6"/>
  <c r="BA249" i="6"/>
  <c r="Q250" i="6" s="1"/>
  <c r="AG249" i="6"/>
  <c r="AM131" i="6"/>
  <c r="AL131" i="6"/>
  <c r="BE1608" i="6"/>
  <c r="U1608" i="6"/>
  <c r="BG710" i="6"/>
  <c r="W711" i="6" s="1"/>
  <c r="AH710" i="6"/>
  <c r="BG853" i="6"/>
  <c r="W854" i="6" s="1"/>
  <c r="AH853" i="6"/>
  <c r="BE1176" i="6"/>
  <c r="U1176" i="6"/>
  <c r="BO428" i="6"/>
  <c r="BN429" i="6" s="1"/>
  <c r="BA677" i="6"/>
  <c r="Q678" i="6" s="1"/>
  <c r="BD1541" i="6"/>
  <c r="T1542" i="6" s="1"/>
  <c r="AP1541" i="6"/>
  <c r="AZ1425" i="6"/>
  <c r="P1426" i="6" s="1"/>
  <c r="AK1425" i="6"/>
  <c r="AR1425" i="6" s="1"/>
  <c r="AS1425" i="6" s="1"/>
  <c r="AG1425" i="6"/>
  <c r="BD242" i="6"/>
  <c r="T243" i="6" s="1"/>
  <c r="AP242" i="6"/>
  <c r="BO676" i="6"/>
  <c r="BN677" i="6" s="1"/>
  <c r="AN567" i="6"/>
  <c r="AQ601" i="6"/>
  <c r="AR601" i="6"/>
  <c r="BA31" i="6"/>
  <c r="Q32" i="6" s="1"/>
  <c r="AG31" i="6"/>
  <c r="AH928" i="6"/>
  <c r="BG928" i="6"/>
  <c r="W929" i="6" s="1"/>
  <c r="BG929" i="6" s="1"/>
  <c r="W930" i="6" s="1"/>
  <c r="BG930" i="6" s="1"/>
  <c r="W931" i="6" s="1"/>
  <c r="BG931" i="6" s="1"/>
  <c r="W932" i="6" s="1"/>
  <c r="BG932" i="6" s="1"/>
  <c r="W933" i="6" s="1"/>
  <c r="BG933" i="6" s="1"/>
  <c r="W934" i="6" s="1"/>
  <c r="BG934" i="6" s="1"/>
  <c r="W935" i="6" s="1"/>
  <c r="BG935" i="6" s="1"/>
  <c r="W936" i="6" s="1"/>
  <c r="BG936" i="6" s="1"/>
  <c r="W937" i="6" s="1"/>
  <c r="BG937" i="6" s="1"/>
  <c r="W938" i="6" s="1"/>
  <c r="BG938" i="6" s="1"/>
  <c r="W939" i="6" s="1"/>
  <c r="BG939" i="6" s="1"/>
  <c r="W940" i="6" s="1"/>
  <c r="BG940" i="6" s="1"/>
  <c r="W941" i="6" s="1"/>
  <c r="BG941" i="6" s="1"/>
  <c r="AN1105" i="6"/>
  <c r="AN462" i="6"/>
  <c r="BG1360" i="6"/>
  <c r="W1361" i="6" s="1"/>
  <c r="BG1361" i="6" s="1"/>
  <c r="W1362" i="6" s="1"/>
  <c r="BG1362" i="6" s="1"/>
  <c r="W1363" i="6" s="1"/>
  <c r="BG1363" i="6" s="1"/>
  <c r="W1364" i="6" s="1"/>
  <c r="BG1364" i="6" s="1"/>
  <c r="W1365" i="6" s="1"/>
  <c r="BG1365" i="6" s="1"/>
  <c r="W1366" i="6" s="1"/>
  <c r="BG1366" i="6" s="1"/>
  <c r="W1367" i="6" s="1"/>
  <c r="BG1367" i="6" s="1"/>
  <c r="W1368" i="6" s="1"/>
  <c r="BG1368" i="6" s="1"/>
  <c r="W1369" i="6" s="1"/>
  <c r="BG1369" i="6" s="1"/>
  <c r="W1370" i="6" s="1"/>
  <c r="BG1370" i="6" s="1"/>
  <c r="W1371" i="6" s="1"/>
  <c r="BG1371" i="6" s="1"/>
  <c r="W1372" i="6" s="1"/>
  <c r="BG1372" i="6" s="1"/>
  <c r="W1373" i="6" s="1"/>
  <c r="BG1373" i="6" s="1"/>
  <c r="AH1360" i="6"/>
  <c r="BG422" i="6"/>
  <c r="W423" i="6" s="1"/>
  <c r="AH422" i="6"/>
  <c r="AM57" i="6"/>
  <c r="AL57" i="6"/>
  <c r="BA604" i="6"/>
  <c r="Q605" i="6" s="1"/>
  <c r="AG604" i="6"/>
  <c r="AM894" i="6"/>
  <c r="AL894" i="6"/>
  <c r="AQ1213" i="6"/>
  <c r="AR1213" i="6"/>
  <c r="BE1033" i="6"/>
  <c r="U1033" i="6"/>
  <c r="BE205" i="6"/>
  <c r="U205" i="6"/>
  <c r="BG1215" i="6"/>
  <c r="W1216" i="6" s="1"/>
  <c r="AH1215" i="6"/>
  <c r="BD711" i="6"/>
  <c r="T712" i="6" s="1"/>
  <c r="AP711" i="6"/>
  <c r="AL996" i="6"/>
  <c r="AM996" i="6"/>
  <c r="BA1615" i="6"/>
  <c r="Q1616" i="6" s="1"/>
  <c r="AQ747" i="6"/>
  <c r="S19" i="5"/>
  <c r="BG744" i="6"/>
  <c r="W745" i="6" s="1"/>
  <c r="AH744" i="6"/>
  <c r="AM385" i="6"/>
  <c r="AL385" i="6"/>
  <c r="AQ1501" i="6"/>
  <c r="BG132" i="6"/>
  <c r="W133" i="6" s="1"/>
  <c r="AH132" i="6"/>
  <c r="BE313" i="6"/>
  <c r="U313" i="6"/>
  <c r="BE1069" i="6"/>
  <c r="U1069" i="6"/>
  <c r="BE169" i="6"/>
  <c r="U169" i="6"/>
  <c r="BE1464" i="6"/>
  <c r="U1464" i="6"/>
  <c r="AM463" i="6"/>
  <c r="AL463" i="6"/>
  <c r="AQ853" i="6"/>
  <c r="BG493" i="6"/>
  <c r="W494" i="6" s="1"/>
  <c r="AH493" i="6"/>
  <c r="AQ1465" i="6"/>
  <c r="AM1137" i="6"/>
  <c r="AL1137" i="6"/>
  <c r="AS277" i="6"/>
  <c r="AP206" i="6"/>
  <c r="BD206" i="6"/>
  <c r="T207" i="6" s="1"/>
  <c r="AS1539" i="6"/>
  <c r="BA64" i="6"/>
  <c r="Q65" i="6" s="1"/>
  <c r="BA464" i="6"/>
  <c r="Q465" i="6" s="1"/>
  <c r="AG464" i="6"/>
  <c r="BE1572" i="6"/>
  <c r="U1572" i="6"/>
  <c r="BO392" i="6"/>
  <c r="BN393" i="6" s="1"/>
  <c r="AK392" i="6"/>
  <c r="AM392" i="6" s="1"/>
  <c r="AN1423" i="6"/>
  <c r="AU1423" i="6" s="1"/>
  <c r="BG1252" i="6"/>
  <c r="W1253" i="6" s="1"/>
  <c r="BG1253" i="6" s="1"/>
  <c r="W1254" i="6" s="1"/>
  <c r="BG1254" i="6" s="1"/>
  <c r="W1255" i="6" s="1"/>
  <c r="BG1255" i="6" s="1"/>
  <c r="W1256" i="6" s="1"/>
  <c r="BG1256" i="6" s="1"/>
  <c r="W1257" i="6" s="1"/>
  <c r="BG1257" i="6" s="1"/>
  <c r="W1258" i="6" s="1"/>
  <c r="BG1258" i="6" s="1"/>
  <c r="W1259" i="6" s="1"/>
  <c r="BG1259" i="6" s="1"/>
  <c r="W1260" i="6" s="1"/>
  <c r="BG1260" i="6" s="1"/>
  <c r="W1261" i="6" s="1"/>
  <c r="BG1261" i="6" s="1"/>
  <c r="W1262" i="6" s="1"/>
  <c r="BG1262" i="6" s="1"/>
  <c r="W1263" i="6" s="1"/>
  <c r="BG1263" i="6" s="1"/>
  <c r="W1264" i="6" s="1"/>
  <c r="BG1264" i="6" s="1"/>
  <c r="W1265" i="6" s="1"/>
  <c r="BG1265" i="6" s="1"/>
  <c r="AH1252" i="6"/>
  <c r="BO788" i="6"/>
  <c r="BN789" i="6" s="1"/>
  <c r="AK788" i="6"/>
  <c r="AZ58" i="6"/>
  <c r="P59" i="6" s="1"/>
  <c r="AK58" i="6"/>
  <c r="AR58" i="6" s="1"/>
  <c r="AS58" i="6" s="1"/>
  <c r="AG58" i="6"/>
  <c r="AZ526" i="6"/>
  <c r="P527" i="6" s="1"/>
  <c r="AG526" i="6"/>
  <c r="AK526" i="6"/>
  <c r="AR526" i="6" s="1"/>
  <c r="AS526" i="6" s="1"/>
  <c r="AQ1105" i="6"/>
  <c r="AR1105" i="6"/>
  <c r="AS1104" i="6"/>
  <c r="AU1104" i="6" s="1"/>
  <c r="AQ531" i="6"/>
  <c r="BG1179" i="6"/>
  <c r="W1180" i="6" s="1"/>
  <c r="AH1179" i="6"/>
  <c r="AL1323" i="6"/>
  <c r="AM1323" i="6"/>
  <c r="BD317" i="6"/>
  <c r="T318" i="6" s="1"/>
  <c r="AP317" i="6"/>
  <c r="BA178" i="6"/>
  <c r="Q179" i="6" s="1"/>
  <c r="AG178" i="6"/>
  <c r="AQ1285" i="6"/>
  <c r="AR1285" i="6"/>
  <c r="BE745" i="6"/>
  <c r="U745" i="6"/>
  <c r="BA139" i="6"/>
  <c r="Q140" i="6" s="1"/>
  <c r="AG139" i="6"/>
  <c r="BE458" i="6"/>
  <c r="U458" i="6"/>
  <c r="BE349" i="6"/>
  <c r="U349" i="6"/>
  <c r="BE1394" i="6"/>
  <c r="U1394" i="6"/>
  <c r="AN137" i="6"/>
  <c r="BE241" i="6"/>
  <c r="U241" i="6"/>
  <c r="BA748" i="6"/>
  <c r="Q749" i="6" s="1"/>
  <c r="BD1034" i="6"/>
  <c r="T1035" i="6" s="1"/>
  <c r="AP1034" i="6"/>
  <c r="BG1431" i="6"/>
  <c r="W1432" i="6" s="1"/>
  <c r="AH1431" i="6"/>
  <c r="BE422" i="6"/>
  <c r="U422" i="6"/>
  <c r="AS924" i="6"/>
  <c r="AU924" i="6" s="1"/>
  <c r="BD1647" i="6"/>
  <c r="T1648" i="6" s="1"/>
  <c r="AP1647" i="6"/>
  <c r="BG890" i="6"/>
  <c r="W891" i="6" s="1"/>
  <c r="AH890" i="6"/>
  <c r="AN22" i="6"/>
  <c r="AU22" i="6" s="1"/>
  <c r="BD854" i="6"/>
  <c r="T855" i="6" s="1"/>
  <c r="AP854" i="6"/>
  <c r="BO1394" i="6"/>
  <c r="BN1395" i="6" s="1"/>
  <c r="AK1394" i="6"/>
  <c r="BO1435" i="6"/>
  <c r="BN1436" i="6" s="1"/>
  <c r="AN1568" i="6"/>
  <c r="AU1568" i="6" s="1"/>
  <c r="BD1466" i="6"/>
  <c r="T1467" i="6" s="1"/>
  <c r="AP1466" i="6"/>
  <c r="AQ316" i="6"/>
  <c r="AZ1010" i="6"/>
  <c r="P1011" i="6" s="1"/>
  <c r="AK1010" i="6"/>
  <c r="BG604" i="6"/>
  <c r="W605" i="6" s="1"/>
  <c r="BG605" i="6" s="1"/>
  <c r="W606" i="6" s="1"/>
  <c r="BG606" i="6" s="1"/>
  <c r="W607" i="6" s="1"/>
  <c r="BG607" i="6" s="1"/>
  <c r="W608" i="6" s="1"/>
  <c r="BG608" i="6" s="1"/>
  <c r="W609" i="6" s="1"/>
  <c r="BG609" i="6" s="1"/>
  <c r="W610" i="6" s="1"/>
  <c r="BG610" i="6" s="1"/>
  <c r="W611" i="6" s="1"/>
  <c r="BG611" i="6" s="1"/>
  <c r="W612" i="6" s="1"/>
  <c r="BG612" i="6" s="1"/>
  <c r="W613" i="6" s="1"/>
  <c r="BG613" i="6" s="1"/>
  <c r="W614" i="6" s="1"/>
  <c r="BG614" i="6" s="1"/>
  <c r="W615" i="6" s="1"/>
  <c r="BG615" i="6" s="1"/>
  <c r="W616" i="6" s="1"/>
  <c r="BG616" i="6" s="1"/>
  <c r="W617" i="6" s="1"/>
  <c r="BG617" i="6" s="1"/>
  <c r="AH604" i="6"/>
  <c r="AL1398" i="6"/>
  <c r="AQ817" i="6"/>
  <c r="AR817" i="6"/>
  <c r="AM1605" i="6"/>
  <c r="AL1605" i="6"/>
  <c r="BG1573" i="6"/>
  <c r="W1574" i="6" s="1"/>
  <c r="AH1573" i="6"/>
  <c r="BD1106" i="6"/>
  <c r="T1107" i="6" s="1"/>
  <c r="AP1106" i="6"/>
  <c r="BD532" i="6"/>
  <c r="T533" i="6" s="1"/>
  <c r="AP532" i="6"/>
  <c r="BG1324" i="6"/>
  <c r="W1325" i="6" s="1"/>
  <c r="BG1325" i="6" s="1"/>
  <c r="W1326" i="6" s="1"/>
  <c r="BG1326" i="6" s="1"/>
  <c r="W1327" i="6" s="1"/>
  <c r="BG1327" i="6" s="1"/>
  <c r="W1328" i="6" s="1"/>
  <c r="BG1328" i="6" s="1"/>
  <c r="W1329" i="6" s="1"/>
  <c r="BG1329" i="6" s="1"/>
  <c r="W1330" i="6" s="1"/>
  <c r="BG1330" i="6" s="1"/>
  <c r="W1331" i="6" s="1"/>
  <c r="BG1331" i="6" s="1"/>
  <c r="W1332" i="6" s="1"/>
  <c r="BG1332" i="6" s="1"/>
  <c r="W1333" i="6" s="1"/>
  <c r="BG1333" i="6" s="1"/>
  <c r="W1334" i="6" s="1"/>
  <c r="BG1334" i="6" s="1"/>
  <c r="W1335" i="6" s="1"/>
  <c r="BG1335" i="6" s="1"/>
  <c r="W1336" i="6" s="1"/>
  <c r="BG1336" i="6" s="1"/>
  <c r="W1337" i="6" s="1"/>
  <c r="BG1337" i="6" s="1"/>
  <c r="AH1324" i="6"/>
  <c r="BD1286" i="6"/>
  <c r="T1287" i="6" s="1"/>
  <c r="AP1286" i="6"/>
  <c r="BG97" i="6"/>
  <c r="W98" i="6" s="1"/>
  <c r="AH97" i="6"/>
  <c r="BO1228" i="6"/>
  <c r="BN1229" i="6" s="1"/>
  <c r="AK1228" i="6"/>
  <c r="AM1536" i="6"/>
  <c r="AL1536" i="6"/>
  <c r="BA429" i="6"/>
  <c r="Q430" i="6" s="1"/>
  <c r="BA351" i="6"/>
  <c r="Q352" i="6" s="1"/>
  <c r="AG351" i="6"/>
  <c r="S12" i="5"/>
  <c r="BA326" i="6"/>
  <c r="Q327" i="6" s="1"/>
  <c r="BA500" i="6"/>
  <c r="Q501" i="6" s="1"/>
  <c r="AN237" i="6"/>
  <c r="AU237" i="6" s="1"/>
  <c r="BG312" i="6"/>
  <c r="W313" i="6" s="1"/>
  <c r="AH312" i="6"/>
  <c r="AQ673" i="6"/>
  <c r="BE1428" i="6"/>
  <c r="U1428" i="6"/>
  <c r="BE529" i="6"/>
  <c r="U529" i="6"/>
  <c r="AM1460" i="6"/>
  <c r="AL1460" i="6"/>
  <c r="AM1496" i="6"/>
  <c r="AL1496" i="6"/>
  <c r="AN1496" i="6" s="1"/>
  <c r="AU1496" i="6" s="1"/>
  <c r="AM1327" i="6"/>
  <c r="AL1327" i="6"/>
  <c r="AQ205" i="6"/>
  <c r="BA1503" i="6"/>
  <c r="Q1504" i="6" s="1"/>
  <c r="BG997" i="6"/>
  <c r="W998" i="6" s="1"/>
  <c r="AH997" i="6"/>
  <c r="AQ637" i="6"/>
  <c r="AR637" i="6"/>
  <c r="AL275" i="6"/>
  <c r="AM275" i="6"/>
  <c r="BE603" i="6"/>
  <c r="U603" i="6"/>
  <c r="AQ169" i="6"/>
  <c r="AR169" i="6"/>
  <c r="BG24" i="6"/>
  <c r="W25" i="6" s="1"/>
  <c r="AH24" i="6"/>
  <c r="AZ1138" i="6"/>
  <c r="P1139" i="6" s="1"/>
  <c r="AK1138" i="6"/>
  <c r="AR1138" i="6" s="1"/>
  <c r="AS1138" i="6" s="1"/>
  <c r="AG1138" i="6"/>
  <c r="BO183" i="6"/>
  <c r="BN184" i="6" s="1"/>
  <c r="AK183" i="6"/>
  <c r="BA1251" i="6"/>
  <c r="Q1252" i="6" s="1"/>
  <c r="BD638" i="6"/>
  <c r="T639" i="6" s="1"/>
  <c r="AP638" i="6"/>
  <c r="BA1071" i="6"/>
  <c r="Q1072" i="6" s="1"/>
  <c r="BG276" i="6"/>
  <c r="W277" i="6" s="1"/>
  <c r="AH276" i="6"/>
  <c r="BA1399" i="6"/>
  <c r="Q1400" i="6" s="1"/>
  <c r="AG1399" i="6"/>
  <c r="BD818" i="6"/>
  <c r="T819" i="6" s="1"/>
  <c r="AP818" i="6"/>
  <c r="AL974" i="6"/>
  <c r="AN1322" i="6"/>
  <c r="AU1322" i="6" s="1"/>
  <c r="BG1537" i="6"/>
  <c r="W1538" i="6" s="1"/>
  <c r="AH1537" i="6"/>
  <c r="AR925" i="6"/>
  <c r="AQ925" i="6"/>
  <c r="BE1501" i="6"/>
  <c r="U1501" i="6"/>
  <c r="AS1032" i="6"/>
  <c r="AU1032" i="6" s="1"/>
  <c r="BD674" i="6"/>
  <c r="T675" i="6" s="1"/>
  <c r="AP674" i="6"/>
  <c r="BH932" i="6"/>
  <c r="X933" i="6" s="1"/>
  <c r="AD932" i="6"/>
  <c r="AM93" i="6"/>
  <c r="AL93" i="6"/>
  <c r="BA1037" i="6"/>
  <c r="Q1038" i="6" s="1"/>
  <c r="AG1037" i="6"/>
  <c r="BA1328" i="6"/>
  <c r="Q1329" i="6" s="1"/>
  <c r="AG1328" i="6"/>
  <c r="BE710" i="6"/>
  <c r="U710" i="6"/>
  <c r="AM177" i="6"/>
  <c r="AL177" i="6"/>
  <c r="AQ1033" i="6"/>
  <c r="AR1033" i="6"/>
  <c r="AM418" i="6"/>
  <c r="AL418" i="6"/>
  <c r="BE1321" i="6"/>
  <c r="U1321" i="6"/>
  <c r="AS24" i="6"/>
  <c r="BD170" i="6"/>
  <c r="T171" i="6" s="1"/>
  <c r="AP170" i="6"/>
  <c r="AL639" i="6"/>
  <c r="AM639" i="6"/>
  <c r="AM1286" i="6"/>
  <c r="AL1286" i="6"/>
  <c r="AS168" i="6"/>
  <c r="AN638" i="6"/>
  <c r="AN487" i="6"/>
  <c r="AU487" i="6" s="1"/>
  <c r="AM669" i="6"/>
  <c r="AL669" i="6"/>
  <c r="BG350" i="6"/>
  <c r="W351" i="6" s="1"/>
  <c r="AH350" i="6"/>
  <c r="AL350" i="6" s="1"/>
  <c r="AR997" i="6"/>
  <c r="AQ997" i="6"/>
  <c r="AZ1606" i="6"/>
  <c r="P1607" i="6" s="1"/>
  <c r="AG1606" i="6"/>
  <c r="AK1606" i="6"/>
  <c r="AR1606" i="6" s="1"/>
  <c r="AS1606" i="6" s="1"/>
  <c r="AN1535" i="6"/>
  <c r="AU1535" i="6" s="1"/>
  <c r="BO1615" i="6"/>
  <c r="BN1616" i="6" s="1"/>
  <c r="AR133" i="6"/>
  <c r="AQ133" i="6"/>
  <c r="BA975" i="6"/>
  <c r="Q976" i="6" s="1"/>
  <c r="AG975" i="6"/>
  <c r="AM1214" i="6"/>
  <c r="AL1214" i="6"/>
  <c r="AM960" i="6"/>
  <c r="AL960" i="6"/>
  <c r="BG1068" i="6"/>
  <c r="W1069" i="6" s="1"/>
  <c r="AH1068" i="6"/>
  <c r="AQ887" i="6"/>
  <c r="AR887" i="6"/>
  <c r="U1105" i="6"/>
  <c r="BE1105" i="6"/>
  <c r="BE1141" i="6"/>
  <c r="U1141" i="6"/>
  <c r="BD926" i="6"/>
  <c r="T927" i="6" s="1"/>
  <c r="AP926" i="6"/>
  <c r="BO1513" i="6"/>
  <c r="BN1514" i="6" s="1"/>
  <c r="AN274" i="6"/>
  <c r="AU274" i="6" s="1"/>
  <c r="AM1569" i="6"/>
  <c r="AL1569" i="6"/>
  <c r="BG640" i="6"/>
  <c r="W641" i="6" s="1"/>
  <c r="BG641" i="6" s="1"/>
  <c r="W642" i="6" s="1"/>
  <c r="BG642" i="6" s="1"/>
  <c r="W643" i="6" s="1"/>
  <c r="BG643" i="6" s="1"/>
  <c r="W644" i="6" s="1"/>
  <c r="BG644" i="6" s="1"/>
  <c r="W645" i="6" s="1"/>
  <c r="BG645" i="6" s="1"/>
  <c r="W646" i="6" s="1"/>
  <c r="BG646" i="6" s="1"/>
  <c r="W647" i="6" s="1"/>
  <c r="BG647" i="6" s="1"/>
  <c r="W648" i="6" s="1"/>
  <c r="BG648" i="6" s="1"/>
  <c r="W649" i="6" s="1"/>
  <c r="BG649" i="6" s="1"/>
  <c r="W650" i="6" s="1"/>
  <c r="BG650" i="6" s="1"/>
  <c r="W651" i="6" s="1"/>
  <c r="BG651" i="6" s="1"/>
  <c r="W652" i="6" s="1"/>
  <c r="BG652" i="6" s="1"/>
  <c r="W653" i="6" s="1"/>
  <c r="BG653" i="6" s="1"/>
  <c r="AH640" i="6"/>
  <c r="BE1285" i="6"/>
  <c r="U1285" i="6"/>
  <c r="AM1357" i="6"/>
  <c r="AL1357" i="6"/>
  <c r="AQ1429" i="6"/>
  <c r="AL1065" i="6"/>
  <c r="AM1065" i="6"/>
  <c r="AZ1461" i="6"/>
  <c r="P1462" i="6" s="1"/>
  <c r="AK1461" i="6"/>
  <c r="AR1461" i="6" s="1"/>
  <c r="AS1461" i="6" s="1"/>
  <c r="AG1461" i="6"/>
  <c r="AZ1497" i="6"/>
  <c r="P1498" i="6" s="1"/>
  <c r="AK1497" i="6"/>
  <c r="AR1497" i="6" s="1"/>
  <c r="AS1497" i="6" s="1"/>
  <c r="AG1497" i="6"/>
  <c r="BG60" i="6"/>
  <c r="W61" i="6" s="1"/>
  <c r="AH60" i="6"/>
  <c r="AN703" i="6"/>
  <c r="AU703" i="6" s="1"/>
  <c r="AM889" i="6"/>
  <c r="AL889" i="6"/>
  <c r="AZ419" i="6"/>
  <c r="P420" i="6" s="1"/>
  <c r="AG419" i="6"/>
  <c r="AK419" i="6"/>
  <c r="AR419" i="6" s="1"/>
  <c r="AS419" i="6" s="1"/>
  <c r="BA569" i="6"/>
  <c r="Q570" i="6" s="1"/>
  <c r="AG569" i="6"/>
  <c r="BO244" i="6"/>
  <c r="BN245" i="6" s="1"/>
  <c r="AK244" i="6"/>
  <c r="AL284" i="6"/>
  <c r="BE61" i="6"/>
  <c r="U61" i="6"/>
  <c r="AZ670" i="6"/>
  <c r="P671" i="6" s="1"/>
  <c r="AG670" i="6"/>
  <c r="AK670" i="6"/>
  <c r="AR670" i="6" s="1"/>
  <c r="AS670" i="6" s="1"/>
  <c r="BA1143" i="6"/>
  <c r="Q1144" i="6" s="1"/>
  <c r="BD998" i="6"/>
  <c r="T999" i="6" s="1"/>
  <c r="AP998" i="6"/>
  <c r="AQ1609" i="6"/>
  <c r="AH528" i="6"/>
  <c r="BG528" i="6"/>
  <c r="W529" i="6" s="1"/>
  <c r="BD134" i="6"/>
  <c r="T135" i="6" s="1"/>
  <c r="AP134" i="6"/>
  <c r="BA711" i="6"/>
  <c r="Q712" i="6" s="1"/>
  <c r="BA1215" i="6"/>
  <c r="Q1216" i="6" s="1"/>
  <c r="AG1215" i="6"/>
  <c r="AZ467" i="6"/>
  <c r="P468" i="6" s="1"/>
  <c r="AK467" i="6"/>
  <c r="BG961" i="6"/>
  <c r="W962" i="6" s="1"/>
  <c r="AH961" i="6"/>
  <c r="BO899" i="6"/>
  <c r="BN900" i="6" s="1"/>
  <c r="AK899" i="6"/>
  <c r="AL1245" i="6"/>
  <c r="AN1245" i="6" s="1"/>
  <c r="AU1245" i="6" s="1"/>
  <c r="AM1245" i="6"/>
  <c r="BD888" i="6"/>
  <c r="T889" i="6" s="1"/>
  <c r="AP888" i="6"/>
  <c r="AR1393" i="6"/>
  <c r="AQ1393" i="6"/>
  <c r="AM238" i="6"/>
  <c r="AL238" i="6"/>
  <c r="AM456" i="6"/>
  <c r="AL456" i="6"/>
  <c r="AZ1570" i="6"/>
  <c r="P1571" i="6" s="1"/>
  <c r="AG1570" i="6"/>
  <c r="AK1570" i="6"/>
  <c r="AR1570" i="6" s="1"/>
  <c r="AS1570" i="6" s="1"/>
  <c r="AM704" i="6"/>
  <c r="AL704" i="6"/>
  <c r="BA1358" i="6"/>
  <c r="Q1359" i="6" s="1"/>
  <c r="AG1358" i="6"/>
  <c r="BD1430" i="6"/>
  <c r="T1431" i="6" s="1"/>
  <c r="AP1430" i="6"/>
  <c r="BH1150" i="6"/>
  <c r="X1151" i="6" s="1"/>
  <c r="AD1150" i="6"/>
  <c r="AR457" i="6"/>
  <c r="AQ457" i="6"/>
  <c r="AZ94" i="6"/>
  <c r="P95" i="6" s="1"/>
  <c r="AK94" i="6"/>
  <c r="AR94" i="6" s="1"/>
  <c r="AS94" i="6" s="1"/>
  <c r="AG94" i="6"/>
  <c r="U925" i="6"/>
  <c r="BE925" i="6"/>
  <c r="AM525" i="6"/>
  <c r="AL525" i="6"/>
  <c r="AR25" i="6"/>
  <c r="AQ25" i="6"/>
  <c r="AQ494" i="6"/>
  <c r="BA640" i="6"/>
  <c r="Q641" i="6" s="1"/>
  <c r="AG640" i="6"/>
  <c r="AH1287" i="6"/>
  <c r="BG1287" i="6"/>
  <c r="W1288" i="6" s="1"/>
  <c r="BD26" i="6"/>
  <c r="T27" i="6" s="1"/>
  <c r="AP26" i="6"/>
  <c r="AN417" i="6"/>
  <c r="AU417" i="6" s="1"/>
  <c r="BD495" i="6"/>
  <c r="T496" i="6" s="1"/>
  <c r="AP495" i="6"/>
  <c r="U1645" i="6"/>
  <c r="BE1645" i="6"/>
  <c r="AQ1141" i="6"/>
  <c r="BE97" i="6"/>
  <c r="U97" i="6"/>
  <c r="BA285" i="6"/>
  <c r="Q286" i="6" s="1"/>
  <c r="AG285" i="6"/>
  <c r="BG673" i="6"/>
  <c r="W674" i="6" s="1"/>
  <c r="AH673" i="6"/>
  <c r="BD1359" i="6"/>
  <c r="T1360" i="6" s="1"/>
  <c r="AP1359" i="6"/>
  <c r="AQ565" i="6"/>
  <c r="AR565" i="6"/>
  <c r="BG1392" i="6"/>
  <c r="W1393" i="6" s="1"/>
  <c r="AH1392" i="6"/>
  <c r="BD1610" i="6"/>
  <c r="T1611" i="6" s="1"/>
  <c r="AP1610" i="6"/>
  <c r="AR385" i="6"/>
  <c r="AQ385" i="6"/>
  <c r="AS816" i="6"/>
  <c r="AN815" i="6"/>
  <c r="AU815" i="6" s="1"/>
  <c r="BO538" i="6"/>
  <c r="BN539" i="6" s="1"/>
  <c r="AL1034" i="6"/>
  <c r="AM1034" i="6"/>
  <c r="BO760" i="6"/>
  <c r="BN761" i="6" s="1"/>
  <c r="BO831" i="6"/>
  <c r="BN832" i="6" s="1"/>
  <c r="AK831" i="6"/>
  <c r="AS132" i="6"/>
  <c r="BE781" i="6"/>
  <c r="U781" i="6"/>
  <c r="AM849" i="6"/>
  <c r="AL849" i="6"/>
  <c r="BD1394" i="6"/>
  <c r="T1395" i="6" s="1"/>
  <c r="AP1394" i="6"/>
  <c r="BG239" i="6"/>
  <c r="W240" i="6" s="1"/>
  <c r="AH239" i="6"/>
  <c r="BO1648" i="6"/>
  <c r="BN1649" i="6" s="1"/>
  <c r="BG457" i="6"/>
  <c r="W458" i="6" s="1"/>
  <c r="AH457" i="6"/>
  <c r="BE962" i="6"/>
  <c r="U962" i="6"/>
  <c r="BE1537" i="6"/>
  <c r="U1537" i="6"/>
  <c r="AM168" i="6"/>
  <c r="AL168" i="6"/>
  <c r="BG1647" i="6"/>
  <c r="W1648" i="6" s="1"/>
  <c r="AH1647" i="6"/>
  <c r="AZ1066" i="6"/>
  <c r="P1067" i="6" s="1"/>
  <c r="AK1066" i="6"/>
  <c r="AR1066" i="6" s="1"/>
  <c r="AS1066" i="6" s="1"/>
  <c r="AG1066" i="6"/>
  <c r="AL392" i="6"/>
  <c r="BD458" i="6"/>
  <c r="T459" i="6" s="1"/>
  <c r="AP458" i="6"/>
  <c r="AU167" i="6"/>
  <c r="AQ278" i="6"/>
  <c r="AS278" i="6" s="1"/>
  <c r="AR278" i="6"/>
  <c r="BO139" i="6"/>
  <c r="BN140" i="6" s="1"/>
  <c r="AK139" i="6"/>
  <c r="BG782" i="6"/>
  <c r="W783" i="6" s="1"/>
  <c r="AH782" i="6"/>
  <c r="AL782" i="6" s="1"/>
  <c r="BE1212" i="6"/>
  <c r="U1212" i="6"/>
  <c r="BD748" i="6"/>
  <c r="T749" i="6" s="1"/>
  <c r="AP748" i="6"/>
  <c r="BG386" i="6"/>
  <c r="W387" i="6" s="1"/>
  <c r="AH386" i="6"/>
  <c r="AM23" i="6"/>
  <c r="AL23" i="6"/>
  <c r="AL1106" i="6"/>
  <c r="AM1106" i="6"/>
  <c r="AM309" i="6"/>
  <c r="AL309" i="6"/>
  <c r="BO280" i="6"/>
  <c r="BN281" i="6" s="1"/>
  <c r="AK280" i="6"/>
  <c r="AR1358" i="6"/>
  <c r="AQ1358" i="6"/>
  <c r="BD566" i="6"/>
  <c r="T567" i="6" s="1"/>
  <c r="AP566" i="6"/>
  <c r="AM1391" i="6"/>
  <c r="AL1391" i="6"/>
  <c r="AQ1067" i="6"/>
  <c r="BD386" i="6"/>
  <c r="T387" i="6" s="1"/>
  <c r="AP386" i="6"/>
  <c r="BD422" i="6"/>
  <c r="T423" i="6" s="1"/>
  <c r="AP422" i="6"/>
  <c r="BE1357" i="6"/>
  <c r="U1357" i="6"/>
  <c r="BG1035" i="6"/>
  <c r="W1036" i="6" s="1"/>
  <c r="AH1035" i="6"/>
  <c r="AR349" i="6"/>
  <c r="AQ349" i="6"/>
  <c r="BA1582" i="6"/>
  <c r="Q1583" i="6" s="1"/>
  <c r="BG568" i="6"/>
  <c r="W569" i="6" s="1"/>
  <c r="BG569" i="6" s="1"/>
  <c r="W570" i="6" s="1"/>
  <c r="BG570" i="6" s="1"/>
  <c r="W571" i="6" s="1"/>
  <c r="BG571" i="6" s="1"/>
  <c r="W572" i="6" s="1"/>
  <c r="BG572" i="6" s="1"/>
  <c r="W573" i="6" s="1"/>
  <c r="BG573" i="6" s="1"/>
  <c r="W574" i="6" s="1"/>
  <c r="BG574" i="6" s="1"/>
  <c r="W575" i="6" s="1"/>
  <c r="BG575" i="6" s="1"/>
  <c r="W576" i="6" s="1"/>
  <c r="BG576" i="6" s="1"/>
  <c r="W577" i="6" s="1"/>
  <c r="BG577" i="6" s="1"/>
  <c r="W578" i="6" s="1"/>
  <c r="BG578" i="6" s="1"/>
  <c r="W579" i="6" s="1"/>
  <c r="BG579" i="6" s="1"/>
  <c r="W580" i="6" s="1"/>
  <c r="BG580" i="6" s="1"/>
  <c r="W581" i="6" s="1"/>
  <c r="BG581" i="6" s="1"/>
  <c r="AH568" i="6"/>
  <c r="AL568" i="6" s="1"/>
  <c r="BO1258" i="6"/>
  <c r="BN1259" i="6" s="1"/>
  <c r="AZ1246" i="6"/>
  <c r="P1247" i="6" s="1"/>
  <c r="AK1246" i="6"/>
  <c r="AR1246" i="6" s="1"/>
  <c r="AS1246" i="6" s="1"/>
  <c r="AG1246" i="6"/>
  <c r="AM349" i="6"/>
  <c r="AN349" i="6" s="1"/>
  <c r="AM741" i="6"/>
  <c r="AL741" i="6"/>
  <c r="BE133" i="6"/>
  <c r="U133" i="6"/>
  <c r="AL927" i="6"/>
  <c r="AM927" i="6"/>
  <c r="BO1471" i="6"/>
  <c r="BN1472" i="6" s="1"/>
  <c r="AU455" i="6"/>
  <c r="AZ705" i="6"/>
  <c r="P706" i="6" s="1"/>
  <c r="AK705" i="6"/>
  <c r="AR705" i="6" s="1"/>
  <c r="AS705" i="6" s="1"/>
  <c r="AG705" i="6"/>
  <c r="BG169" i="6"/>
  <c r="W170" i="6" s="1"/>
  <c r="AH169" i="6"/>
  <c r="BA1540" i="6"/>
  <c r="Q1541" i="6" s="1"/>
  <c r="AG1540" i="6"/>
  <c r="AM488" i="6"/>
  <c r="AL488" i="6"/>
  <c r="BA393" i="6"/>
  <c r="Q394" i="6" s="1"/>
  <c r="AG393" i="6"/>
  <c r="BO1148" i="6"/>
  <c r="BN1149" i="6" s="1"/>
  <c r="BA1648" i="6"/>
  <c r="Q1649" i="6" s="1"/>
  <c r="BD279" i="6"/>
  <c r="T280" i="6" s="1"/>
  <c r="AP279" i="6"/>
  <c r="BO932" i="6"/>
  <c r="BN933" i="6" s="1"/>
  <c r="AK932" i="6"/>
  <c r="BD602" i="6"/>
  <c r="T603" i="6" s="1"/>
  <c r="AP602" i="6"/>
  <c r="BA895" i="6"/>
  <c r="Q896" i="6" s="1"/>
  <c r="AG895" i="6"/>
  <c r="AQ1646" i="6"/>
  <c r="AQ1324" i="6"/>
  <c r="AR1324" i="6"/>
  <c r="BO965" i="6"/>
  <c r="BN966" i="6" s="1"/>
  <c r="AK965" i="6"/>
  <c r="AM965" i="6" s="1"/>
  <c r="AN965" i="6" s="1"/>
  <c r="BE277" i="6"/>
  <c r="U277" i="6"/>
  <c r="BA1107" i="6"/>
  <c r="Q1108" i="6" s="1"/>
  <c r="AG1107" i="6"/>
  <c r="BE819" i="6"/>
  <c r="U819" i="6"/>
  <c r="AR781" i="6"/>
  <c r="AQ781" i="6"/>
  <c r="AM816" i="6"/>
  <c r="AL816" i="6"/>
  <c r="BA819" i="6"/>
  <c r="Q820" i="6" s="1"/>
  <c r="AG819" i="6"/>
  <c r="BD1068" i="6"/>
  <c r="T1069" i="6" s="1"/>
  <c r="AP1068" i="6"/>
  <c r="AQ421" i="6"/>
  <c r="BE637" i="6"/>
  <c r="U637" i="6"/>
  <c r="AQ965" i="6"/>
  <c r="BD350" i="6"/>
  <c r="T351" i="6" s="1"/>
  <c r="AP350" i="6"/>
  <c r="BA1432" i="6"/>
  <c r="Q1433" i="6" s="1"/>
  <c r="BE852" i="6"/>
  <c r="U852" i="6"/>
  <c r="U888" i="6"/>
  <c r="BE888" i="6"/>
  <c r="AG783" i="6"/>
  <c r="BA783" i="6"/>
  <c r="Q784" i="6" s="1"/>
  <c r="AZ850" i="6"/>
  <c r="P851" i="6" s="1"/>
  <c r="AK850" i="6"/>
  <c r="AR850" i="6" s="1"/>
  <c r="AS850" i="6" s="1"/>
  <c r="AG850" i="6"/>
  <c r="AM1641" i="6"/>
  <c r="AL1641" i="6"/>
  <c r="BO1190" i="6"/>
  <c r="BN1191" i="6" s="1"/>
  <c r="AK1190" i="6"/>
  <c r="BG204" i="6"/>
  <c r="W205" i="6" s="1"/>
  <c r="AH204" i="6"/>
  <c r="BA928" i="6"/>
  <c r="Q929" i="6" s="1"/>
  <c r="AG928" i="6"/>
  <c r="BA860" i="6"/>
  <c r="Q861" i="6" s="1"/>
  <c r="AM202" i="6"/>
  <c r="AL202" i="6"/>
  <c r="AQ1574" i="6"/>
  <c r="AN130" i="6"/>
  <c r="AU130" i="6" s="1"/>
  <c r="AQ97" i="6"/>
  <c r="AN669" i="6" l="1"/>
  <c r="AU669" i="6" s="1"/>
  <c r="AS1540" i="6"/>
  <c r="AS241" i="6"/>
  <c r="AN704" i="6"/>
  <c r="AU704" i="6" s="1"/>
  <c r="AS1180" i="6"/>
  <c r="AN238" i="6"/>
  <c r="AU238" i="6" s="1"/>
  <c r="AN131" i="6"/>
  <c r="AU131" i="6" s="1"/>
  <c r="AN741" i="6"/>
  <c r="AU741" i="6" s="1"/>
  <c r="AN816" i="6"/>
  <c r="AU816" i="6" s="1"/>
  <c r="AN1327" i="6"/>
  <c r="AS169" i="6"/>
  <c r="AN1424" i="6"/>
  <c r="AU1424" i="6" s="1"/>
  <c r="AN927" i="6"/>
  <c r="AN1323" i="6"/>
  <c r="AU1323" i="6" s="1"/>
  <c r="AN603" i="6"/>
  <c r="AN138" i="6"/>
  <c r="AN894" i="6"/>
  <c r="AM782" i="6"/>
  <c r="AN782" i="6" s="1"/>
  <c r="AS349" i="6"/>
  <c r="AU349" i="6" s="1"/>
  <c r="AS385" i="6"/>
  <c r="AS1033" i="6"/>
  <c r="AS637" i="6"/>
  <c r="AU637" i="6" s="1"/>
  <c r="AS1105" i="6"/>
  <c r="AU1105" i="6" s="1"/>
  <c r="AN1137" i="6"/>
  <c r="AU1137" i="6" s="1"/>
  <c r="AN639" i="6"/>
  <c r="AN1034" i="6"/>
  <c r="AN1605" i="6"/>
  <c r="AU1605" i="6" s="1"/>
  <c r="AN202" i="6"/>
  <c r="AU202" i="6" s="1"/>
  <c r="AS133" i="6"/>
  <c r="AU384" i="6"/>
  <c r="AN275" i="6"/>
  <c r="AU275" i="6" s="1"/>
  <c r="AN1178" i="6"/>
  <c r="AU1178" i="6" s="1"/>
  <c r="AS601" i="6"/>
  <c r="AU601" i="6" s="1"/>
  <c r="AN1286" i="6"/>
  <c r="AS565" i="6"/>
  <c r="AU565" i="6" s="1"/>
  <c r="AN889" i="6"/>
  <c r="AN1357" i="6"/>
  <c r="AU1357" i="6" s="1"/>
  <c r="AL239" i="6"/>
  <c r="AM239" i="6"/>
  <c r="BA929" i="6"/>
  <c r="Q930" i="6" s="1"/>
  <c r="AG929" i="6"/>
  <c r="AR965" i="6"/>
  <c r="AS965" i="6" s="1"/>
  <c r="BO1149" i="6"/>
  <c r="BN1150" i="6" s="1"/>
  <c r="AL1246" i="6"/>
  <c r="AM1246" i="6"/>
  <c r="BG1036" i="6"/>
  <c r="W1037" i="6" s="1"/>
  <c r="BG1037" i="6" s="1"/>
  <c r="W1038" i="6" s="1"/>
  <c r="BG1038" i="6" s="1"/>
  <c r="W1039" i="6" s="1"/>
  <c r="BG1039" i="6" s="1"/>
  <c r="W1040" i="6" s="1"/>
  <c r="BG1040" i="6" s="1"/>
  <c r="W1041" i="6" s="1"/>
  <c r="BG1041" i="6" s="1"/>
  <c r="W1042" i="6" s="1"/>
  <c r="BG1042" i="6" s="1"/>
  <c r="W1043" i="6" s="1"/>
  <c r="BG1043" i="6" s="1"/>
  <c r="W1044" i="6" s="1"/>
  <c r="BG1044" i="6" s="1"/>
  <c r="W1045" i="6" s="1"/>
  <c r="BG1045" i="6" s="1"/>
  <c r="W1046" i="6" s="1"/>
  <c r="BG1046" i="6" s="1"/>
  <c r="W1047" i="6" s="1"/>
  <c r="BG1047" i="6" s="1"/>
  <c r="W1048" i="6" s="1"/>
  <c r="BG1048" i="6" s="1"/>
  <c r="W1049" i="6" s="1"/>
  <c r="BG1049" i="6" s="1"/>
  <c r="AH1036" i="6"/>
  <c r="AN23" i="6"/>
  <c r="AU23" i="6" s="1"/>
  <c r="BG1648" i="6"/>
  <c r="W1649" i="6" s="1"/>
  <c r="BG1649" i="6" s="1"/>
  <c r="W1650" i="6" s="1"/>
  <c r="BG1650" i="6" s="1"/>
  <c r="W1651" i="6" s="1"/>
  <c r="BG1651" i="6" s="1"/>
  <c r="W1652" i="6" s="1"/>
  <c r="BG1652" i="6" s="1"/>
  <c r="W1653" i="6" s="1"/>
  <c r="BG1653" i="6" s="1"/>
  <c r="W1654" i="6" s="1"/>
  <c r="BG1654" i="6" s="1"/>
  <c r="W1655" i="6" s="1"/>
  <c r="BG1655" i="6" s="1"/>
  <c r="W1656" i="6" s="1"/>
  <c r="BG1656" i="6" s="1"/>
  <c r="W1657" i="6" s="1"/>
  <c r="BG1657" i="6" s="1"/>
  <c r="W1658" i="6" s="1"/>
  <c r="BG1658" i="6" s="1"/>
  <c r="W1659" i="6" s="1"/>
  <c r="BG1659" i="6" s="1"/>
  <c r="W1660" i="6" s="1"/>
  <c r="BG1660" i="6" s="1"/>
  <c r="W1661" i="6" s="1"/>
  <c r="BG1661" i="6" s="1"/>
  <c r="AH1648" i="6"/>
  <c r="AQ1610" i="6"/>
  <c r="BA286" i="6"/>
  <c r="Q287" i="6" s="1"/>
  <c r="AG286" i="6"/>
  <c r="AL1358" i="6"/>
  <c r="AM1358" i="6"/>
  <c r="AS1393" i="6"/>
  <c r="AZ468" i="6"/>
  <c r="P469" i="6" s="1"/>
  <c r="AK468" i="6"/>
  <c r="AR998" i="6"/>
  <c r="AQ998" i="6"/>
  <c r="AL1497" i="6"/>
  <c r="AM1497" i="6"/>
  <c r="BO1514" i="6"/>
  <c r="BN1515" i="6" s="1"/>
  <c r="AZ1607" i="6"/>
  <c r="P1608" i="6" s="1"/>
  <c r="AG1607" i="6"/>
  <c r="AK1607" i="6"/>
  <c r="AR1607" i="6" s="1"/>
  <c r="AS1607" i="6" s="1"/>
  <c r="BH933" i="6"/>
  <c r="X934" i="6" s="1"/>
  <c r="AD933" i="6"/>
  <c r="AR638" i="6"/>
  <c r="AQ638" i="6"/>
  <c r="BD533" i="6"/>
  <c r="T534" i="6" s="1"/>
  <c r="AP533" i="6"/>
  <c r="AQ854" i="6"/>
  <c r="AQ1034" i="6"/>
  <c r="AR1034" i="6"/>
  <c r="BE350" i="6"/>
  <c r="U350" i="6"/>
  <c r="BD318" i="6"/>
  <c r="T319" i="6" s="1"/>
  <c r="AP318" i="6"/>
  <c r="AZ527" i="6"/>
  <c r="P528" i="6" s="1"/>
  <c r="AG527" i="6"/>
  <c r="AK527" i="6"/>
  <c r="AR527" i="6" s="1"/>
  <c r="AS527" i="6" s="1"/>
  <c r="AN385" i="6"/>
  <c r="BD712" i="6"/>
  <c r="T713" i="6" s="1"/>
  <c r="AP712" i="6"/>
  <c r="BA605" i="6"/>
  <c r="Q606" i="6" s="1"/>
  <c r="AG605" i="6"/>
  <c r="BA32" i="6"/>
  <c r="Q33" i="6" s="1"/>
  <c r="AG32" i="6"/>
  <c r="BD1542" i="6"/>
  <c r="T1543" i="6" s="1"/>
  <c r="AP1542" i="6"/>
  <c r="BE1609" i="6"/>
  <c r="U1609" i="6"/>
  <c r="BD64" i="6"/>
  <c r="T65" i="6" s="1"/>
  <c r="AP64" i="6"/>
  <c r="AR888" i="6"/>
  <c r="AQ888" i="6"/>
  <c r="AM895" i="6"/>
  <c r="AL895" i="6"/>
  <c r="AL393" i="6"/>
  <c r="AR566" i="6"/>
  <c r="AQ566" i="6"/>
  <c r="BO1649" i="6"/>
  <c r="BN1650" i="6" s="1"/>
  <c r="BO832" i="6"/>
  <c r="BN833" i="6" s="1"/>
  <c r="AK832" i="6"/>
  <c r="BD1611" i="6"/>
  <c r="T1612" i="6" s="1"/>
  <c r="AP1611" i="6"/>
  <c r="AR26" i="6"/>
  <c r="AQ26" i="6"/>
  <c r="BE926" i="6"/>
  <c r="U926" i="6"/>
  <c r="BA1359" i="6"/>
  <c r="Q1360" i="6" s="1"/>
  <c r="AG1359" i="6"/>
  <c r="AL1215" i="6"/>
  <c r="AM1215" i="6"/>
  <c r="BD999" i="6"/>
  <c r="T1000" i="6" s="1"/>
  <c r="AP999" i="6"/>
  <c r="BO245" i="6"/>
  <c r="BN246" i="6" s="1"/>
  <c r="AK245" i="6"/>
  <c r="AM245" i="6" s="1"/>
  <c r="AN245" i="6" s="1"/>
  <c r="AR926" i="6"/>
  <c r="AQ926" i="6"/>
  <c r="AN1214" i="6"/>
  <c r="AS997" i="6"/>
  <c r="AN177" i="6"/>
  <c r="AQ674" i="6"/>
  <c r="BD639" i="6"/>
  <c r="T640" i="6" s="1"/>
  <c r="AP639" i="6"/>
  <c r="AN1460" i="6"/>
  <c r="AU1460" i="6" s="1"/>
  <c r="AR1106" i="6"/>
  <c r="AQ1106" i="6"/>
  <c r="BD855" i="6"/>
  <c r="T856" i="6" s="1"/>
  <c r="AP855" i="6"/>
  <c r="BD1035" i="6"/>
  <c r="T1036" i="6" s="1"/>
  <c r="AP1035" i="6"/>
  <c r="AL58" i="6"/>
  <c r="AM58" i="6"/>
  <c r="BE1573" i="6"/>
  <c r="U1573" i="6"/>
  <c r="AN57" i="6"/>
  <c r="AU57" i="6" s="1"/>
  <c r="BA542" i="6"/>
  <c r="Q543" i="6" s="1"/>
  <c r="AQ1575" i="6"/>
  <c r="BA214" i="6"/>
  <c r="Q215" i="6" s="1"/>
  <c r="BE565" i="6"/>
  <c r="U565" i="6"/>
  <c r="BO1582" i="6"/>
  <c r="BN1583" i="6" s="1"/>
  <c r="BO208" i="6"/>
  <c r="BN209" i="6" s="1"/>
  <c r="AH205" i="6"/>
  <c r="BG205" i="6"/>
  <c r="W206" i="6" s="1"/>
  <c r="AM569" i="6"/>
  <c r="AL569" i="6"/>
  <c r="BA678" i="6"/>
  <c r="Q679" i="6" s="1"/>
  <c r="BE889" i="6"/>
  <c r="U889" i="6"/>
  <c r="AL1107" i="6"/>
  <c r="AM1107" i="6"/>
  <c r="AQ602" i="6"/>
  <c r="AR602" i="6"/>
  <c r="AN488" i="6"/>
  <c r="AU488" i="6" s="1"/>
  <c r="AQ422" i="6"/>
  <c r="AS1358" i="6"/>
  <c r="BG387" i="6"/>
  <c r="W388" i="6" s="1"/>
  <c r="AH387" i="6"/>
  <c r="AR458" i="6"/>
  <c r="AQ458" i="6"/>
  <c r="AN168" i="6"/>
  <c r="AU168" i="6" s="1"/>
  <c r="BG240" i="6"/>
  <c r="W241" i="6" s="1"/>
  <c r="AH240" i="6"/>
  <c r="BO761" i="6"/>
  <c r="BG1393" i="6"/>
  <c r="W1394" i="6" s="1"/>
  <c r="AH1393" i="6"/>
  <c r="BE98" i="6"/>
  <c r="U98" i="6"/>
  <c r="BG1288" i="6"/>
  <c r="W1289" i="6" s="1"/>
  <c r="BG1289" i="6" s="1"/>
  <c r="W1290" i="6" s="1"/>
  <c r="BG1290" i="6" s="1"/>
  <c r="W1291" i="6" s="1"/>
  <c r="BG1291" i="6" s="1"/>
  <c r="W1292" i="6" s="1"/>
  <c r="BG1292" i="6" s="1"/>
  <c r="W1293" i="6" s="1"/>
  <c r="BG1293" i="6" s="1"/>
  <c r="W1294" i="6" s="1"/>
  <c r="BG1294" i="6" s="1"/>
  <c r="W1295" i="6" s="1"/>
  <c r="BG1295" i="6" s="1"/>
  <c r="W1296" i="6" s="1"/>
  <c r="BG1296" i="6" s="1"/>
  <c r="W1297" i="6" s="1"/>
  <c r="BG1297" i="6" s="1"/>
  <c r="W1298" i="6" s="1"/>
  <c r="BG1298" i="6" s="1"/>
  <c r="W1299" i="6" s="1"/>
  <c r="BG1299" i="6" s="1"/>
  <c r="W1300" i="6" s="1"/>
  <c r="BG1300" i="6" s="1"/>
  <c r="W1301" i="6" s="1"/>
  <c r="BG1301" i="6" s="1"/>
  <c r="AH1288" i="6"/>
  <c r="AM94" i="6"/>
  <c r="AL94" i="6"/>
  <c r="BD889" i="6"/>
  <c r="T890" i="6" s="1"/>
  <c r="AP889" i="6"/>
  <c r="BA1144" i="6"/>
  <c r="Q1145" i="6" s="1"/>
  <c r="BA570" i="6"/>
  <c r="Q571" i="6" s="1"/>
  <c r="AG570" i="6"/>
  <c r="AL975" i="6"/>
  <c r="BD171" i="6"/>
  <c r="T172" i="6" s="1"/>
  <c r="AP171" i="6"/>
  <c r="BE604" i="6"/>
  <c r="U605" i="6" s="1"/>
  <c r="U604" i="6"/>
  <c r="BO1229" i="6"/>
  <c r="AK1229" i="6"/>
  <c r="AM890" i="6"/>
  <c r="AL890" i="6"/>
  <c r="BA749" i="6"/>
  <c r="Q750" i="6" s="1"/>
  <c r="AM139" i="6"/>
  <c r="AL139" i="6"/>
  <c r="AZ59" i="6"/>
  <c r="P60" i="6" s="1"/>
  <c r="AK59" i="6"/>
  <c r="AR59" i="6" s="1"/>
  <c r="AS59" i="6" s="1"/>
  <c r="AG59" i="6"/>
  <c r="BA465" i="6"/>
  <c r="Q466" i="6" s="1"/>
  <c r="AG465" i="6"/>
  <c r="BG494" i="6"/>
  <c r="W495" i="6" s="1"/>
  <c r="AH494" i="6"/>
  <c r="AH745" i="6"/>
  <c r="BG745" i="6"/>
  <c r="W746" i="6" s="1"/>
  <c r="BE997" i="6"/>
  <c r="U997" i="6"/>
  <c r="BA1290" i="6"/>
  <c r="Q1291" i="6" s="1"/>
  <c r="AG1290" i="6"/>
  <c r="AM310" i="6"/>
  <c r="AL310" i="6"/>
  <c r="AR1181" i="6"/>
  <c r="AQ1181" i="6"/>
  <c r="BO1367" i="6"/>
  <c r="BN1368" i="6" s="1"/>
  <c r="AK1367" i="6"/>
  <c r="BE820" i="6"/>
  <c r="U821" i="6" s="1"/>
  <c r="U820" i="6"/>
  <c r="BD927" i="6"/>
  <c r="T928" i="6" s="1"/>
  <c r="AP927" i="6"/>
  <c r="BE170" i="6"/>
  <c r="U170" i="6"/>
  <c r="BG1216" i="6"/>
  <c r="W1217" i="6" s="1"/>
  <c r="BG1217" i="6" s="1"/>
  <c r="W1218" i="6" s="1"/>
  <c r="BG1218" i="6" s="1"/>
  <c r="W1219" i="6" s="1"/>
  <c r="BG1219" i="6" s="1"/>
  <c r="W1220" i="6" s="1"/>
  <c r="BG1220" i="6" s="1"/>
  <c r="W1221" i="6" s="1"/>
  <c r="BG1221" i="6" s="1"/>
  <c r="W1222" i="6" s="1"/>
  <c r="BG1222" i="6" s="1"/>
  <c r="W1223" i="6" s="1"/>
  <c r="BG1223" i="6" s="1"/>
  <c r="W1224" i="6" s="1"/>
  <c r="BG1224" i="6" s="1"/>
  <c r="W1225" i="6" s="1"/>
  <c r="BG1225" i="6" s="1"/>
  <c r="W1226" i="6" s="1"/>
  <c r="BG1226" i="6" s="1"/>
  <c r="W1227" i="6" s="1"/>
  <c r="BG1227" i="6" s="1"/>
  <c r="W1228" i="6" s="1"/>
  <c r="BG1228" i="6" s="1"/>
  <c r="W1229" i="6" s="1"/>
  <c r="BG1229" i="6" s="1"/>
  <c r="AH1216" i="6"/>
  <c r="BD1182" i="6"/>
  <c r="T1183" i="6" s="1"/>
  <c r="AP1182" i="6"/>
  <c r="BA1108" i="6"/>
  <c r="Q1109" i="6" s="1"/>
  <c r="AG1108" i="6"/>
  <c r="BD603" i="6"/>
  <c r="T604" i="6" s="1"/>
  <c r="AP603" i="6"/>
  <c r="BO1259" i="6"/>
  <c r="BN1260" i="6" s="1"/>
  <c r="BD423" i="6"/>
  <c r="T424" i="6" s="1"/>
  <c r="AP423" i="6"/>
  <c r="AQ748" i="6"/>
  <c r="BD459" i="6"/>
  <c r="T460" i="6" s="1"/>
  <c r="AP459" i="6"/>
  <c r="AQ1394" i="6"/>
  <c r="AR1394" i="6"/>
  <c r="AM1287" i="6"/>
  <c r="AL1287" i="6"/>
  <c r="BA712" i="6"/>
  <c r="Q713" i="6" s="1"/>
  <c r="BE1142" i="6"/>
  <c r="U1142" i="6"/>
  <c r="BA976" i="6"/>
  <c r="Q977" i="6" s="1"/>
  <c r="AG976" i="6"/>
  <c r="BG351" i="6"/>
  <c r="W352" i="6" s="1"/>
  <c r="AH351" i="6"/>
  <c r="AM568" i="6"/>
  <c r="AN568" i="6" s="1"/>
  <c r="BE711" i="6"/>
  <c r="U711" i="6"/>
  <c r="AR818" i="6"/>
  <c r="AQ818" i="6"/>
  <c r="BE530" i="6"/>
  <c r="U530" i="6"/>
  <c r="BA327" i="6"/>
  <c r="Q328" i="6" s="1"/>
  <c r="AH1574" i="6"/>
  <c r="BG1574" i="6"/>
  <c r="W1575" i="6" s="1"/>
  <c r="BG891" i="6"/>
  <c r="W892" i="6" s="1"/>
  <c r="AH891" i="6"/>
  <c r="AM350" i="6"/>
  <c r="AN350" i="6" s="1"/>
  <c r="BA140" i="6"/>
  <c r="Q141" i="6" s="1"/>
  <c r="AG140" i="6"/>
  <c r="BG1180" i="6"/>
  <c r="W1181" i="6" s="1"/>
  <c r="BG1181" i="6" s="1"/>
  <c r="W1182" i="6" s="1"/>
  <c r="BG1182" i="6" s="1"/>
  <c r="W1183" i="6" s="1"/>
  <c r="BG1183" i="6" s="1"/>
  <c r="W1184" i="6" s="1"/>
  <c r="BG1184" i="6" s="1"/>
  <c r="W1185" i="6" s="1"/>
  <c r="BG1185" i="6" s="1"/>
  <c r="W1186" i="6" s="1"/>
  <c r="BG1186" i="6" s="1"/>
  <c r="W1187" i="6" s="1"/>
  <c r="BG1187" i="6" s="1"/>
  <c r="W1188" i="6" s="1"/>
  <c r="BG1188" i="6" s="1"/>
  <c r="W1189" i="6" s="1"/>
  <c r="BG1189" i="6" s="1"/>
  <c r="W1190" i="6" s="1"/>
  <c r="BG1190" i="6" s="1"/>
  <c r="W1191" i="6" s="1"/>
  <c r="BG1191" i="6" s="1"/>
  <c r="W1192" i="6" s="1"/>
  <c r="BG1192" i="6" s="1"/>
  <c r="W1193" i="6" s="1"/>
  <c r="BG1193" i="6" s="1"/>
  <c r="AH1180" i="6"/>
  <c r="BE1070" i="6"/>
  <c r="U1070" i="6"/>
  <c r="BE206" i="6"/>
  <c r="U206" i="6"/>
  <c r="BG423" i="6"/>
  <c r="W424" i="6" s="1"/>
  <c r="AH423" i="6"/>
  <c r="BO429" i="6"/>
  <c r="BN430" i="6" s="1"/>
  <c r="AL249" i="6"/>
  <c r="BE387" i="6"/>
  <c r="U387" i="6"/>
  <c r="BO1114" i="6"/>
  <c r="BN1115" i="6" s="1"/>
  <c r="AK1114" i="6"/>
  <c r="AU1033" i="6"/>
  <c r="AM817" i="6"/>
  <c r="AL817" i="6"/>
  <c r="AZ311" i="6"/>
  <c r="P312" i="6" s="1"/>
  <c r="AK311" i="6"/>
  <c r="AR311" i="6" s="1"/>
  <c r="AS311" i="6" s="1"/>
  <c r="AG311" i="6"/>
  <c r="AQ1325" i="6"/>
  <c r="AR1325" i="6"/>
  <c r="AQ1502" i="6"/>
  <c r="AR386" i="6"/>
  <c r="AQ386" i="6"/>
  <c r="BD749" i="6"/>
  <c r="T750" i="6" s="1"/>
  <c r="AP749" i="6"/>
  <c r="BD1395" i="6"/>
  <c r="T1396" i="6" s="1"/>
  <c r="AP1395" i="6"/>
  <c r="AM640" i="6"/>
  <c r="AL640" i="6"/>
  <c r="AZ95" i="6"/>
  <c r="P96" i="6" s="1"/>
  <c r="AK95" i="6"/>
  <c r="AR95" i="6" s="1"/>
  <c r="AS95" i="6" s="1"/>
  <c r="AG95" i="6"/>
  <c r="AL1570" i="6"/>
  <c r="AM1570" i="6"/>
  <c r="AQ134" i="6"/>
  <c r="AR134" i="6"/>
  <c r="AM419" i="6"/>
  <c r="AL419" i="6"/>
  <c r="BE1286" i="6"/>
  <c r="U1286" i="6"/>
  <c r="BE1106" i="6"/>
  <c r="U1106" i="6"/>
  <c r="AM1328" i="6"/>
  <c r="AL1328" i="6"/>
  <c r="BE1502" i="6"/>
  <c r="U1502" i="6"/>
  <c r="BD819" i="6"/>
  <c r="T820" i="6" s="1"/>
  <c r="AP819" i="6"/>
  <c r="BO184" i="6"/>
  <c r="BN185" i="6" s="1"/>
  <c r="AK184" i="6"/>
  <c r="BG98" i="6"/>
  <c r="W99" i="6" s="1"/>
  <c r="AH98" i="6"/>
  <c r="AQ1466" i="6"/>
  <c r="AQ1647" i="6"/>
  <c r="BO789" i="6"/>
  <c r="BN790" i="6" s="1"/>
  <c r="AK789" i="6"/>
  <c r="BA65" i="6"/>
  <c r="Q66" i="6" s="1"/>
  <c r="BO677" i="6"/>
  <c r="BN678" i="6" s="1"/>
  <c r="BA250" i="6"/>
  <c r="Q251" i="6" s="1"/>
  <c r="AG250" i="6"/>
  <c r="AM1179" i="6"/>
  <c r="AL1179" i="6"/>
  <c r="AM742" i="6"/>
  <c r="AL742" i="6"/>
  <c r="BG818" i="6"/>
  <c r="W819" i="6" s="1"/>
  <c r="AH818" i="6"/>
  <c r="BD1326" i="6"/>
  <c r="T1327" i="6" s="1"/>
  <c r="AP1326" i="6"/>
  <c r="BD1503" i="6"/>
  <c r="T1504" i="6" s="1"/>
  <c r="AP1503" i="6"/>
  <c r="BO1472" i="6"/>
  <c r="BN1473" i="6" s="1"/>
  <c r="BE1358" i="6"/>
  <c r="U1358" i="6"/>
  <c r="AZ1011" i="6"/>
  <c r="P1012" i="6" s="1"/>
  <c r="AK1011" i="6"/>
  <c r="BE459" i="6"/>
  <c r="U459" i="6"/>
  <c r="AN1641" i="6"/>
  <c r="AU1641" i="6" s="1"/>
  <c r="BE853" i="6"/>
  <c r="U853" i="6"/>
  <c r="BD1069" i="6"/>
  <c r="T1070" i="6" s="1"/>
  <c r="AP1069" i="6"/>
  <c r="BE278" i="6"/>
  <c r="U278" i="6"/>
  <c r="BO933" i="6"/>
  <c r="BN934" i="6" s="1"/>
  <c r="AK933" i="6"/>
  <c r="BA1541" i="6"/>
  <c r="Q1542" i="6" s="1"/>
  <c r="AG1541" i="6"/>
  <c r="BE134" i="6"/>
  <c r="U134" i="6"/>
  <c r="BD387" i="6"/>
  <c r="T388" i="6" s="1"/>
  <c r="AP387" i="6"/>
  <c r="BO281" i="6"/>
  <c r="BN282" i="6" s="1"/>
  <c r="AK281" i="6"/>
  <c r="AM281" i="6" s="1"/>
  <c r="AN281" i="6" s="1"/>
  <c r="AN392" i="6"/>
  <c r="BE1538" i="6"/>
  <c r="U1538" i="6"/>
  <c r="AN849" i="6"/>
  <c r="AU849" i="6" s="1"/>
  <c r="AR1359" i="6"/>
  <c r="AQ1359" i="6"/>
  <c r="BA641" i="6"/>
  <c r="Q642" i="6" s="1"/>
  <c r="AG641" i="6"/>
  <c r="AS457" i="6"/>
  <c r="AZ1571" i="6"/>
  <c r="P1572" i="6" s="1"/>
  <c r="AG1571" i="6"/>
  <c r="AK1571" i="6"/>
  <c r="AR1571" i="6" s="1"/>
  <c r="AS1571" i="6" s="1"/>
  <c r="BD135" i="6"/>
  <c r="T136" i="6" s="1"/>
  <c r="AP135" i="6"/>
  <c r="AL670" i="6"/>
  <c r="AM670" i="6"/>
  <c r="AZ420" i="6"/>
  <c r="P421" i="6" s="1"/>
  <c r="AG420" i="6"/>
  <c r="AK420" i="6"/>
  <c r="AR420" i="6" s="1"/>
  <c r="AS420" i="6" s="1"/>
  <c r="BA1329" i="6"/>
  <c r="Q1330" i="6" s="1"/>
  <c r="AG1329" i="6"/>
  <c r="AS925" i="6"/>
  <c r="AU925" i="6" s="1"/>
  <c r="AL1399" i="6"/>
  <c r="BE1429" i="6"/>
  <c r="U1429" i="6"/>
  <c r="AL351" i="6"/>
  <c r="AM351" i="6"/>
  <c r="AR1286" i="6"/>
  <c r="AQ1286" i="6"/>
  <c r="BD1467" i="6"/>
  <c r="T1468" i="6" s="1"/>
  <c r="AP1467" i="6"/>
  <c r="BD1648" i="6"/>
  <c r="T1649" i="6" s="1"/>
  <c r="AP1648" i="6"/>
  <c r="BE746" i="6"/>
  <c r="U746" i="6"/>
  <c r="BE314" i="6"/>
  <c r="U314" i="6"/>
  <c r="BE1034" i="6"/>
  <c r="U1034" i="6"/>
  <c r="AQ242" i="6"/>
  <c r="AR242" i="6"/>
  <c r="BE1177" i="6"/>
  <c r="U1177" i="6"/>
  <c r="BE1250" i="6"/>
  <c r="U1250" i="6"/>
  <c r="BA1180" i="6"/>
  <c r="Q1181" i="6" s="1"/>
  <c r="AG1180" i="6"/>
  <c r="AL203" i="6"/>
  <c r="AM203" i="6"/>
  <c r="AR1214" i="6"/>
  <c r="AQ1214" i="6"/>
  <c r="AS1214" i="6" s="1"/>
  <c r="BA394" i="6"/>
  <c r="Q395" i="6" s="1"/>
  <c r="AG394" i="6"/>
  <c r="BD27" i="6"/>
  <c r="T28" i="6" s="1"/>
  <c r="AP27" i="6"/>
  <c r="AQ1068" i="6"/>
  <c r="AR279" i="6"/>
  <c r="AQ279" i="6"/>
  <c r="BE1213" i="6"/>
  <c r="U1213" i="6"/>
  <c r="BD1360" i="6"/>
  <c r="T1361" i="6" s="1"/>
  <c r="AP1360" i="6"/>
  <c r="BO900" i="6"/>
  <c r="BN901" i="6" s="1"/>
  <c r="AK900" i="6"/>
  <c r="AZ671" i="6"/>
  <c r="P672" i="6" s="1"/>
  <c r="AG671" i="6"/>
  <c r="AK671" i="6"/>
  <c r="AR671" i="6" s="1"/>
  <c r="AS671" i="6" s="1"/>
  <c r="AM1461" i="6"/>
  <c r="AL1461" i="6"/>
  <c r="AM1037" i="6"/>
  <c r="AL1037" i="6"/>
  <c r="BA1400" i="6"/>
  <c r="Q1401" i="6" s="1"/>
  <c r="AG1400" i="6"/>
  <c r="AL1138" i="6"/>
  <c r="AM1138" i="6"/>
  <c r="BA352" i="6"/>
  <c r="Q353" i="6" s="1"/>
  <c r="AG352" i="6"/>
  <c r="BD1287" i="6"/>
  <c r="T1288" i="6" s="1"/>
  <c r="AP1287" i="6"/>
  <c r="BE242" i="6"/>
  <c r="U242" i="6"/>
  <c r="AP207" i="6"/>
  <c r="BD207" i="6"/>
  <c r="T208" i="6" s="1"/>
  <c r="BD243" i="6"/>
  <c r="T244" i="6" s="1"/>
  <c r="AP243" i="6"/>
  <c r="AM1001" i="6"/>
  <c r="AL1001" i="6"/>
  <c r="AZ204" i="6"/>
  <c r="P205" i="6" s="1"/>
  <c r="AG204" i="6"/>
  <c r="AK204" i="6"/>
  <c r="AR204" i="6" s="1"/>
  <c r="AS204" i="6" s="1"/>
  <c r="AZ743" i="6"/>
  <c r="P744" i="6" s="1"/>
  <c r="AK743" i="6"/>
  <c r="AR743" i="6" s="1"/>
  <c r="AS743" i="6" s="1"/>
  <c r="AG743" i="6"/>
  <c r="AR782" i="6"/>
  <c r="AQ782" i="6"/>
  <c r="AP1215" i="6"/>
  <c r="BD1215" i="6"/>
  <c r="T1216" i="6" s="1"/>
  <c r="AZ1247" i="6"/>
  <c r="P1248" i="6" s="1"/>
  <c r="AK1247" i="6"/>
  <c r="AR1247" i="6" s="1"/>
  <c r="AS1247" i="6" s="1"/>
  <c r="AG1247" i="6"/>
  <c r="BA1216" i="6"/>
  <c r="Q1217" i="6" s="1"/>
  <c r="AG1216" i="6"/>
  <c r="AL169" i="6"/>
  <c r="AM169" i="6"/>
  <c r="BO539" i="6"/>
  <c r="BN540" i="6" s="1"/>
  <c r="BE1646" i="6"/>
  <c r="U1646" i="6"/>
  <c r="AM850" i="6"/>
  <c r="AL850" i="6"/>
  <c r="BA1433" i="6"/>
  <c r="Q1434" i="6" s="1"/>
  <c r="BA820" i="6"/>
  <c r="Q821" i="6" s="1"/>
  <c r="AG820" i="6"/>
  <c r="BO966" i="6"/>
  <c r="BN967" i="6" s="1"/>
  <c r="AK966" i="6"/>
  <c r="AM966" i="6" s="1"/>
  <c r="AN966" i="6" s="1"/>
  <c r="BD280" i="6"/>
  <c r="T281" i="6" s="1"/>
  <c r="AP280" i="6"/>
  <c r="BG170" i="6"/>
  <c r="W171" i="6" s="1"/>
  <c r="AH170" i="6"/>
  <c r="BA1583" i="6"/>
  <c r="Q1584" i="6" s="1"/>
  <c r="AN309" i="6"/>
  <c r="AU309" i="6" s="1"/>
  <c r="AL1066" i="6"/>
  <c r="AM1066" i="6"/>
  <c r="BE963" i="6"/>
  <c r="U963" i="6"/>
  <c r="AN456" i="6"/>
  <c r="AU456" i="6" s="1"/>
  <c r="BG529" i="6"/>
  <c r="W530" i="6" s="1"/>
  <c r="AH529" i="6"/>
  <c r="AN1569" i="6"/>
  <c r="AU1569" i="6" s="1"/>
  <c r="AS887" i="6"/>
  <c r="AU887" i="6" s="1"/>
  <c r="BO1616" i="6"/>
  <c r="BN1617" i="6" s="1"/>
  <c r="BE1322" i="6"/>
  <c r="U1322" i="6"/>
  <c r="BA1038" i="6"/>
  <c r="Q1039" i="6" s="1"/>
  <c r="AG1038" i="6"/>
  <c r="AL276" i="6"/>
  <c r="AM276" i="6"/>
  <c r="AM997" i="6"/>
  <c r="AL997" i="6"/>
  <c r="AS817" i="6"/>
  <c r="AS1285" i="6"/>
  <c r="AU1285" i="6" s="1"/>
  <c r="AQ206" i="6"/>
  <c r="AN463" i="6"/>
  <c r="AL132" i="6"/>
  <c r="AM132" i="6"/>
  <c r="BA1616" i="6"/>
  <c r="Q1617" i="6" s="1"/>
  <c r="AS1213" i="6"/>
  <c r="AU1213" i="6" s="1"/>
  <c r="AM1425" i="6"/>
  <c r="AL1425" i="6"/>
  <c r="BG854" i="6"/>
  <c r="W855" i="6" s="1"/>
  <c r="AH854" i="6"/>
  <c r="BA1002" i="6"/>
  <c r="Q1003" i="6" s="1"/>
  <c r="AG1002" i="6"/>
  <c r="BE674" i="6"/>
  <c r="U674" i="6"/>
  <c r="AK1550" i="6"/>
  <c r="BO1550" i="6"/>
  <c r="BN1551" i="6" s="1"/>
  <c r="AL489" i="6"/>
  <c r="AM489" i="6"/>
  <c r="AQ966" i="6"/>
  <c r="BD783" i="6"/>
  <c r="T784" i="6" s="1"/>
  <c r="AP783" i="6"/>
  <c r="AQ1142" i="6"/>
  <c r="BE638" i="6"/>
  <c r="U638" i="6"/>
  <c r="BD567" i="6"/>
  <c r="T568" i="6" s="1"/>
  <c r="AP567" i="6"/>
  <c r="AR170" i="6"/>
  <c r="AQ170" i="6"/>
  <c r="BA1252" i="6"/>
  <c r="Q1253" i="6" s="1"/>
  <c r="BD1107" i="6"/>
  <c r="T1108" i="6" s="1"/>
  <c r="AP1107" i="6"/>
  <c r="AP1576" i="6"/>
  <c r="BD1576" i="6"/>
  <c r="T1577" i="6" s="1"/>
  <c r="BO1191" i="6"/>
  <c r="BN1192" i="6" s="1"/>
  <c r="AK1191" i="6"/>
  <c r="AM705" i="6"/>
  <c r="AL705" i="6"/>
  <c r="BG783" i="6"/>
  <c r="W784" i="6" s="1"/>
  <c r="AH783" i="6"/>
  <c r="AL783" i="6" s="1"/>
  <c r="BE782" i="6"/>
  <c r="U782" i="6"/>
  <c r="AQ495" i="6"/>
  <c r="AS25" i="6"/>
  <c r="BH1151" i="6"/>
  <c r="X1152" i="6" s="1"/>
  <c r="AD1151" i="6"/>
  <c r="AL961" i="6"/>
  <c r="AM961" i="6"/>
  <c r="BE62" i="6"/>
  <c r="U62" i="6"/>
  <c r="AZ1462" i="6"/>
  <c r="P1463" i="6" s="1"/>
  <c r="AK1462" i="6"/>
  <c r="AR1462" i="6" s="1"/>
  <c r="AS1462" i="6" s="1"/>
  <c r="AG1462" i="6"/>
  <c r="AN418" i="6"/>
  <c r="AU418" i="6" s="1"/>
  <c r="AN93" i="6"/>
  <c r="AU93" i="6" s="1"/>
  <c r="AM1537" i="6"/>
  <c r="AL1537" i="6"/>
  <c r="BG277" i="6"/>
  <c r="W278" i="6" s="1"/>
  <c r="AH277" i="6"/>
  <c r="AZ1139" i="6"/>
  <c r="P1140" i="6" s="1"/>
  <c r="AK1139" i="6"/>
  <c r="AR1139" i="6" s="1"/>
  <c r="AS1139" i="6" s="1"/>
  <c r="AG1139" i="6"/>
  <c r="BG998" i="6"/>
  <c r="W999" i="6" s="1"/>
  <c r="AH998" i="6"/>
  <c r="AL1324" i="6"/>
  <c r="AM1324" i="6"/>
  <c r="BO1436" i="6"/>
  <c r="BN1437" i="6" s="1"/>
  <c r="BE423" i="6"/>
  <c r="U423" i="6"/>
  <c r="AL178" i="6"/>
  <c r="AM178" i="6"/>
  <c r="BG133" i="6"/>
  <c r="W134" i="6" s="1"/>
  <c r="AH133" i="6"/>
  <c r="AL1642" i="6"/>
  <c r="AM1642" i="6"/>
  <c r="AQ98" i="6"/>
  <c r="BD967" i="6"/>
  <c r="T968" i="6" s="1"/>
  <c r="AP967" i="6"/>
  <c r="BO357" i="6"/>
  <c r="BN358" i="6" s="1"/>
  <c r="AK357" i="6"/>
  <c r="BD1143" i="6"/>
  <c r="T1144" i="6" s="1"/>
  <c r="AP1143" i="6"/>
  <c r="BA1469" i="6"/>
  <c r="Q1470" i="6" s="1"/>
  <c r="AM386" i="6"/>
  <c r="AL386" i="6"/>
  <c r="AZ1498" i="6"/>
  <c r="P1499" i="6" s="1"/>
  <c r="AK1498" i="6"/>
  <c r="AR1498" i="6" s="1"/>
  <c r="AS1498" i="6" s="1"/>
  <c r="AG1498" i="6"/>
  <c r="BA501" i="6"/>
  <c r="Q502" i="6" s="1"/>
  <c r="AM1289" i="6"/>
  <c r="AL1289" i="6"/>
  <c r="AR350" i="6"/>
  <c r="AQ350" i="6"/>
  <c r="AZ851" i="6"/>
  <c r="P852" i="6" s="1"/>
  <c r="AK851" i="6"/>
  <c r="AR851" i="6" s="1"/>
  <c r="AS851" i="6" s="1"/>
  <c r="AG851" i="6"/>
  <c r="AZ1067" i="6"/>
  <c r="P1068" i="6" s="1"/>
  <c r="AK1067" i="6"/>
  <c r="AR1067" i="6" s="1"/>
  <c r="AS1067" i="6" s="1"/>
  <c r="AG1067" i="6"/>
  <c r="BD496" i="6"/>
  <c r="T497" i="6" s="1"/>
  <c r="AP496" i="6"/>
  <c r="BG962" i="6"/>
  <c r="W963" i="6" s="1"/>
  <c r="AH962" i="6"/>
  <c r="BG1069" i="6"/>
  <c r="W1070" i="6" s="1"/>
  <c r="AH1069" i="6"/>
  <c r="AH1538" i="6"/>
  <c r="BG1538" i="6"/>
  <c r="W1539" i="6" s="1"/>
  <c r="AL24" i="6"/>
  <c r="AM24" i="6"/>
  <c r="BA1504" i="6"/>
  <c r="Q1505" i="6" s="1"/>
  <c r="BG313" i="6"/>
  <c r="W314" i="6" s="1"/>
  <c r="AH313" i="6"/>
  <c r="BA430" i="6"/>
  <c r="Q431" i="6" s="1"/>
  <c r="BE1395" i="6"/>
  <c r="U1395" i="6"/>
  <c r="BA179" i="6"/>
  <c r="Q180" i="6" s="1"/>
  <c r="AG179" i="6"/>
  <c r="AN996" i="6"/>
  <c r="AU996" i="6" s="1"/>
  <c r="AZ1426" i="6"/>
  <c r="P1427" i="6" s="1"/>
  <c r="AK1426" i="6"/>
  <c r="AR1426" i="6" s="1"/>
  <c r="AS1426" i="6" s="1"/>
  <c r="AG1426" i="6"/>
  <c r="BG711" i="6"/>
  <c r="W712" i="6" s="1"/>
  <c r="AH711" i="6"/>
  <c r="AN30" i="6"/>
  <c r="BD99" i="6"/>
  <c r="T100" i="6" s="1"/>
  <c r="AP99" i="6"/>
  <c r="AZ490" i="6"/>
  <c r="P491" i="6" s="1"/>
  <c r="AK490" i="6"/>
  <c r="AR490" i="6" s="1"/>
  <c r="AS490" i="6" s="1"/>
  <c r="AG490" i="6"/>
  <c r="BA100" i="6"/>
  <c r="Q101" i="6" s="1"/>
  <c r="BA896" i="6"/>
  <c r="Q897" i="6" s="1"/>
  <c r="AG896" i="6"/>
  <c r="AM1392" i="6"/>
  <c r="AL1392" i="6"/>
  <c r="BD675" i="6"/>
  <c r="T676" i="6" s="1"/>
  <c r="AP675" i="6"/>
  <c r="AM464" i="6"/>
  <c r="AL464" i="6"/>
  <c r="BA1649" i="6"/>
  <c r="Q1650" i="6" s="1"/>
  <c r="BA861" i="6"/>
  <c r="Q862" i="6" s="1"/>
  <c r="BD351" i="6"/>
  <c r="T352" i="6" s="1"/>
  <c r="AP351" i="6"/>
  <c r="AS1324" i="6"/>
  <c r="AM457" i="6"/>
  <c r="AL457" i="6"/>
  <c r="BG674" i="6"/>
  <c r="W675" i="6" s="1"/>
  <c r="AH674" i="6"/>
  <c r="AQ1430" i="6"/>
  <c r="AM928" i="6"/>
  <c r="AL928" i="6"/>
  <c r="BA784" i="6"/>
  <c r="Q785" i="6" s="1"/>
  <c r="AG784" i="6"/>
  <c r="AS781" i="6"/>
  <c r="AU781" i="6" s="1"/>
  <c r="AZ706" i="6"/>
  <c r="P707" i="6" s="1"/>
  <c r="AK706" i="6"/>
  <c r="AR706" i="6" s="1"/>
  <c r="AS706" i="6" s="1"/>
  <c r="AG706" i="6"/>
  <c r="AL1035" i="6"/>
  <c r="AM1035" i="6"/>
  <c r="AN1391" i="6"/>
  <c r="AU1391" i="6" s="1"/>
  <c r="AN1106" i="6"/>
  <c r="BO140" i="6"/>
  <c r="BN141" i="6" s="1"/>
  <c r="AK140" i="6"/>
  <c r="BG458" i="6"/>
  <c r="W459" i="6" s="1"/>
  <c r="AH458" i="6"/>
  <c r="AL285" i="6"/>
  <c r="AN525" i="6"/>
  <c r="AU525" i="6" s="1"/>
  <c r="BD1431" i="6"/>
  <c r="T1432" i="6" s="1"/>
  <c r="AP1431" i="6"/>
  <c r="BG61" i="6"/>
  <c r="W62" i="6" s="1"/>
  <c r="AH61" i="6"/>
  <c r="AN1065" i="6"/>
  <c r="AU1065" i="6" s="1"/>
  <c r="AN960" i="6"/>
  <c r="AU960" i="6" s="1"/>
  <c r="AM1606" i="6"/>
  <c r="AL1606" i="6"/>
  <c r="BA1072" i="6"/>
  <c r="Q1073" i="6" s="1"/>
  <c r="BG25" i="6"/>
  <c r="W26" i="6" s="1"/>
  <c r="AH25" i="6"/>
  <c r="AN1536" i="6"/>
  <c r="AU1536" i="6" s="1"/>
  <c r="AQ532" i="6"/>
  <c r="BO1395" i="6"/>
  <c r="BN1396" i="6" s="1"/>
  <c r="AK1395" i="6"/>
  <c r="BG1432" i="6"/>
  <c r="W1433" i="6" s="1"/>
  <c r="BG1433" i="6" s="1"/>
  <c r="W1434" i="6" s="1"/>
  <c r="BG1434" i="6" s="1"/>
  <c r="W1435" i="6" s="1"/>
  <c r="BG1435" i="6" s="1"/>
  <c r="W1436" i="6" s="1"/>
  <c r="BG1436" i="6" s="1"/>
  <c r="W1437" i="6" s="1"/>
  <c r="BG1437" i="6" s="1"/>
  <c r="W1438" i="6" s="1"/>
  <c r="BG1438" i="6" s="1"/>
  <c r="W1439" i="6" s="1"/>
  <c r="BG1439" i="6" s="1"/>
  <c r="W1440" i="6" s="1"/>
  <c r="BG1440" i="6" s="1"/>
  <c r="W1441" i="6" s="1"/>
  <c r="BG1441" i="6" s="1"/>
  <c r="W1442" i="6" s="1"/>
  <c r="BG1442" i="6" s="1"/>
  <c r="W1443" i="6" s="1"/>
  <c r="BG1443" i="6" s="1"/>
  <c r="W1444" i="6" s="1"/>
  <c r="BG1444" i="6" s="1"/>
  <c r="W1445" i="6" s="1"/>
  <c r="BG1445" i="6" s="1"/>
  <c r="AH1432" i="6"/>
  <c r="AQ317" i="6"/>
  <c r="AL526" i="6"/>
  <c r="AM526" i="6"/>
  <c r="BO393" i="6"/>
  <c r="BN394" i="6" s="1"/>
  <c r="AK393" i="6"/>
  <c r="AM393" i="6" s="1"/>
  <c r="BE1465" i="6"/>
  <c r="U1465" i="6"/>
  <c r="AQ711" i="6"/>
  <c r="AM604" i="6"/>
  <c r="AL604" i="6"/>
  <c r="AM31" i="6"/>
  <c r="AL31" i="6"/>
  <c r="AR1541" i="6"/>
  <c r="AQ1541" i="6"/>
  <c r="AZ1643" i="6"/>
  <c r="P1644" i="6" s="1"/>
  <c r="AK1643" i="6"/>
  <c r="AR1643" i="6" s="1"/>
  <c r="AS1643" i="6" s="1"/>
  <c r="AG1643" i="6"/>
  <c r="AQ63" i="6"/>
  <c r="BE495" i="6"/>
  <c r="U495" i="6"/>
  <c r="BE26" i="6"/>
  <c r="U26" i="6"/>
  <c r="AN1606" i="6" l="1"/>
  <c r="AU1606" i="6" s="1"/>
  <c r="AU385" i="6"/>
  <c r="AS926" i="6"/>
  <c r="AU926" i="6" s="1"/>
  <c r="AS888" i="6"/>
  <c r="AU888" i="6" s="1"/>
  <c r="AS1394" i="6"/>
  <c r="AN1392" i="6"/>
  <c r="AU1392" i="6" s="1"/>
  <c r="AN604" i="6"/>
  <c r="AS386" i="6"/>
  <c r="AN1035" i="6"/>
  <c r="AN742" i="6"/>
  <c r="AU742" i="6" s="1"/>
  <c r="AS998" i="6"/>
  <c r="AS242" i="6"/>
  <c r="AN1107" i="6"/>
  <c r="AN276" i="6"/>
  <c r="AU276" i="6" s="1"/>
  <c r="AN670" i="6"/>
  <c r="AU670" i="6" s="1"/>
  <c r="AN850" i="6"/>
  <c r="AU850" i="6" s="1"/>
  <c r="AN58" i="6"/>
  <c r="AU58" i="6" s="1"/>
  <c r="AN1179" i="6"/>
  <c r="AU1179" i="6" s="1"/>
  <c r="AS1106" i="6"/>
  <c r="AU1106" i="6" s="1"/>
  <c r="AN351" i="6"/>
  <c r="AS818" i="6"/>
  <c r="AN94" i="6"/>
  <c r="AU94" i="6" s="1"/>
  <c r="AS458" i="6"/>
  <c r="AN1066" i="6"/>
  <c r="AU1066" i="6" s="1"/>
  <c r="AS1181" i="6"/>
  <c r="AN489" i="6"/>
  <c r="AU489" i="6" s="1"/>
  <c r="AN526" i="6"/>
  <c r="AU526" i="6" s="1"/>
  <c r="AN24" i="6"/>
  <c r="AU24" i="6" s="1"/>
  <c r="AN1497" i="6"/>
  <c r="AU1497" i="6" s="1"/>
  <c r="AN1138" i="6"/>
  <c r="AU1138" i="6" s="1"/>
  <c r="AS350" i="6"/>
  <c r="AU350" i="6" s="1"/>
  <c r="AN817" i="6"/>
  <c r="AU817" i="6" s="1"/>
  <c r="AN569" i="6"/>
  <c r="AN1328" i="6"/>
  <c r="AN1358" i="6"/>
  <c r="AU1358" i="6" s="1"/>
  <c r="AN386" i="6"/>
  <c r="AU386" i="6" s="1"/>
  <c r="AN1001" i="6"/>
  <c r="AN464" i="6"/>
  <c r="AM458" i="6"/>
  <c r="AL458" i="6"/>
  <c r="BO967" i="6"/>
  <c r="BN968" i="6" s="1"/>
  <c r="AK967" i="6"/>
  <c r="AM967" i="6" s="1"/>
  <c r="AN967" i="6" s="1"/>
  <c r="BE496" i="6"/>
  <c r="U497" i="6" s="1"/>
  <c r="U496" i="6"/>
  <c r="AZ707" i="6"/>
  <c r="P708" i="6" s="1"/>
  <c r="AK707" i="6"/>
  <c r="AR707" i="6" s="1"/>
  <c r="AS707" i="6" s="1"/>
  <c r="AG707" i="6"/>
  <c r="AN457" i="6"/>
  <c r="AU457" i="6" s="1"/>
  <c r="AQ675" i="6"/>
  <c r="BD100" i="6"/>
  <c r="T101" i="6" s="1"/>
  <c r="AP100" i="6"/>
  <c r="AZ1499" i="6"/>
  <c r="P1500" i="6" s="1"/>
  <c r="AK1499" i="6"/>
  <c r="AR1499" i="6" s="1"/>
  <c r="AS1499" i="6" s="1"/>
  <c r="AG1499" i="6"/>
  <c r="BO1437" i="6"/>
  <c r="BN1438" i="6" s="1"/>
  <c r="BH1152" i="6"/>
  <c r="X1153" i="6" s="1"/>
  <c r="AD1152" i="6"/>
  <c r="BD1577" i="6"/>
  <c r="T1578" i="6" s="1"/>
  <c r="AP1577" i="6"/>
  <c r="AM1002" i="6"/>
  <c r="AL1002" i="6"/>
  <c r="BD281" i="6"/>
  <c r="T282" i="6" s="1"/>
  <c r="AP281" i="6"/>
  <c r="BO540" i="6"/>
  <c r="BN541" i="6" s="1"/>
  <c r="BD244" i="6"/>
  <c r="T245" i="6" s="1"/>
  <c r="AP244" i="6"/>
  <c r="BE1251" i="6"/>
  <c r="U1251" i="6"/>
  <c r="AQ1648" i="6"/>
  <c r="AZ1572" i="6"/>
  <c r="P1573" i="6" s="1"/>
  <c r="AG1572" i="6"/>
  <c r="AK1572" i="6"/>
  <c r="AR1572" i="6" s="1"/>
  <c r="AS1572" i="6" s="1"/>
  <c r="AR387" i="6"/>
  <c r="AQ387" i="6"/>
  <c r="BD1504" i="6"/>
  <c r="T1505" i="6" s="1"/>
  <c r="AP1504" i="6"/>
  <c r="BA251" i="6"/>
  <c r="Q252" i="6" s="1"/>
  <c r="AG251" i="6"/>
  <c r="BE1107" i="6"/>
  <c r="U1107" i="6"/>
  <c r="AN640" i="6"/>
  <c r="BE1143" i="6"/>
  <c r="U1143" i="6"/>
  <c r="AQ423" i="6"/>
  <c r="AN310" i="6"/>
  <c r="AU310" i="6" s="1"/>
  <c r="BA466" i="6"/>
  <c r="Q467" i="6" s="1"/>
  <c r="AG466" i="6"/>
  <c r="BD890" i="6"/>
  <c r="T891" i="6" s="1"/>
  <c r="AP890" i="6"/>
  <c r="BG241" i="6"/>
  <c r="W242" i="6" s="1"/>
  <c r="AH241" i="6"/>
  <c r="BO209" i="6"/>
  <c r="BN210" i="6" s="1"/>
  <c r="AM605" i="6"/>
  <c r="AL605" i="6"/>
  <c r="BE351" i="6"/>
  <c r="U351" i="6"/>
  <c r="AL1607" i="6"/>
  <c r="AM1607" i="6"/>
  <c r="AZ852" i="6"/>
  <c r="P853" i="6" s="1"/>
  <c r="AK852" i="6"/>
  <c r="AR852" i="6" s="1"/>
  <c r="AS852" i="6" s="1"/>
  <c r="AG852" i="6"/>
  <c r="AR27" i="6"/>
  <c r="AQ27" i="6"/>
  <c r="BD1649" i="6"/>
  <c r="T1650" i="6" s="1"/>
  <c r="AP1649" i="6"/>
  <c r="AM1329" i="6"/>
  <c r="AL1329" i="6"/>
  <c r="BD388" i="6"/>
  <c r="T389" i="6" s="1"/>
  <c r="AP388" i="6"/>
  <c r="BE854" i="6"/>
  <c r="U854" i="6"/>
  <c r="AR1326" i="6"/>
  <c r="AQ1326" i="6"/>
  <c r="BE388" i="6"/>
  <c r="U389" i="6" s="1"/>
  <c r="U388" i="6"/>
  <c r="BE531" i="6"/>
  <c r="U531" i="6"/>
  <c r="BD424" i="6"/>
  <c r="T425" i="6" s="1"/>
  <c r="AP424" i="6"/>
  <c r="AM59" i="6"/>
  <c r="AL59" i="6"/>
  <c r="AR639" i="6"/>
  <c r="AQ639" i="6"/>
  <c r="AQ1611" i="6"/>
  <c r="BA606" i="6"/>
  <c r="Q607" i="6" s="1"/>
  <c r="AG606" i="6"/>
  <c r="AZ1608" i="6"/>
  <c r="P1609" i="6" s="1"/>
  <c r="AG1608" i="6"/>
  <c r="AK1608" i="6"/>
  <c r="AR1608" i="6" s="1"/>
  <c r="AS1608" i="6" s="1"/>
  <c r="AL286" i="6"/>
  <c r="BO1150" i="6"/>
  <c r="BN1151" i="6" s="1"/>
  <c r="BE1323" i="6"/>
  <c r="U1323" i="6"/>
  <c r="AN169" i="6"/>
  <c r="AU169" i="6" s="1"/>
  <c r="AQ1467" i="6"/>
  <c r="BA1330" i="6"/>
  <c r="Q1331" i="6" s="1"/>
  <c r="AG1330" i="6"/>
  <c r="AM641" i="6"/>
  <c r="AL641" i="6"/>
  <c r="BD1327" i="6"/>
  <c r="T1328" i="6" s="1"/>
  <c r="AP1327" i="6"/>
  <c r="BO678" i="6"/>
  <c r="BN679" i="6" s="1"/>
  <c r="BG99" i="6"/>
  <c r="W100" i="6" s="1"/>
  <c r="AH99" i="6"/>
  <c r="BE1287" i="6"/>
  <c r="U1287" i="6"/>
  <c r="BA713" i="6"/>
  <c r="Q714" i="6" s="1"/>
  <c r="BO1260" i="6"/>
  <c r="BN1261" i="6" s="1"/>
  <c r="AL1290" i="6"/>
  <c r="AM1290" i="6"/>
  <c r="AT605" i="6"/>
  <c r="BE605" i="6"/>
  <c r="U606" i="6" s="1"/>
  <c r="BO1583" i="6"/>
  <c r="BN1584" i="6" s="1"/>
  <c r="BE1574" i="6"/>
  <c r="U1574" i="6"/>
  <c r="BD640" i="6"/>
  <c r="T641" i="6" s="1"/>
  <c r="AP640" i="6"/>
  <c r="BO246" i="6"/>
  <c r="BN247" i="6" s="1"/>
  <c r="AK246" i="6"/>
  <c r="AM246" i="6" s="1"/>
  <c r="AN246" i="6" s="1"/>
  <c r="BD1612" i="6"/>
  <c r="T1613" i="6" s="1"/>
  <c r="AP1612" i="6"/>
  <c r="AQ712" i="6"/>
  <c r="AS1034" i="6"/>
  <c r="AU1034" i="6" s="1"/>
  <c r="BA287" i="6"/>
  <c r="Q288" i="6" s="1"/>
  <c r="AG287" i="6"/>
  <c r="BE1396" i="6"/>
  <c r="U1397" i="6" s="1"/>
  <c r="U1396" i="6"/>
  <c r="AM743" i="6"/>
  <c r="AL743" i="6"/>
  <c r="AM1643" i="6"/>
  <c r="AL1643" i="6"/>
  <c r="BE1466" i="6"/>
  <c r="U1466" i="6"/>
  <c r="BG459" i="6"/>
  <c r="W460" i="6" s="1"/>
  <c r="AH459" i="6"/>
  <c r="AR351" i="6"/>
  <c r="AQ351" i="6"/>
  <c r="AS351" i="6" s="1"/>
  <c r="BA431" i="6"/>
  <c r="Q432" i="6" s="1"/>
  <c r="AM962" i="6"/>
  <c r="AL962" i="6"/>
  <c r="AN1642" i="6"/>
  <c r="AU1642" i="6" s="1"/>
  <c r="AN1324" i="6"/>
  <c r="AU1324" i="6" s="1"/>
  <c r="BD1108" i="6"/>
  <c r="T1109" i="6" s="1"/>
  <c r="AP1108" i="6"/>
  <c r="BD784" i="6"/>
  <c r="T785" i="6" s="1"/>
  <c r="AP784" i="6"/>
  <c r="BG855" i="6"/>
  <c r="W856" i="6" s="1"/>
  <c r="AH855" i="6"/>
  <c r="BE964" i="6"/>
  <c r="U965" i="6" s="1"/>
  <c r="U964" i="6"/>
  <c r="AQ207" i="6"/>
  <c r="BA1401" i="6"/>
  <c r="Q1402" i="6" s="1"/>
  <c r="AG1401" i="6"/>
  <c r="AR1360" i="6"/>
  <c r="AQ1360" i="6"/>
  <c r="AL394" i="6"/>
  <c r="BE1178" i="6"/>
  <c r="U1178" i="6"/>
  <c r="BD1468" i="6"/>
  <c r="T1469" i="6" s="1"/>
  <c r="AP1468" i="6"/>
  <c r="BA642" i="6"/>
  <c r="Q643" i="6" s="1"/>
  <c r="AG642" i="6"/>
  <c r="BE135" i="6"/>
  <c r="U135" i="6"/>
  <c r="AN419" i="6"/>
  <c r="AU419" i="6" s="1"/>
  <c r="AR1395" i="6"/>
  <c r="AQ1395" i="6"/>
  <c r="AS1395" i="6" s="1"/>
  <c r="AS1325" i="6"/>
  <c r="AM140" i="6"/>
  <c r="AL140" i="6"/>
  <c r="AN1287" i="6"/>
  <c r="BE171" i="6"/>
  <c r="U171" i="6"/>
  <c r="BA1291" i="6"/>
  <c r="Q1292" i="6" s="1"/>
  <c r="AG1291" i="6"/>
  <c r="AZ60" i="6"/>
  <c r="P61" i="6" s="1"/>
  <c r="AK60" i="6"/>
  <c r="AR60" i="6" s="1"/>
  <c r="AS60" i="6" s="1"/>
  <c r="AG60" i="6"/>
  <c r="AR171" i="6"/>
  <c r="AQ171" i="6"/>
  <c r="AL1288" i="6"/>
  <c r="AM1288" i="6"/>
  <c r="U890" i="6"/>
  <c r="BE890" i="6"/>
  <c r="AR999" i="6"/>
  <c r="AQ999" i="6"/>
  <c r="BD713" i="6"/>
  <c r="T714" i="6" s="1"/>
  <c r="AP713" i="6"/>
  <c r="BO1515" i="6"/>
  <c r="BN1516" i="6" s="1"/>
  <c r="AM783" i="6"/>
  <c r="AN783" i="6" s="1"/>
  <c r="BD352" i="6"/>
  <c r="T353" i="6" s="1"/>
  <c r="AP352" i="6"/>
  <c r="AL896" i="6"/>
  <c r="AM896" i="6"/>
  <c r="BG712" i="6"/>
  <c r="W713" i="6" s="1"/>
  <c r="BG713" i="6" s="1"/>
  <c r="W714" i="6" s="1"/>
  <c r="BG714" i="6" s="1"/>
  <c r="W715" i="6" s="1"/>
  <c r="BG715" i="6" s="1"/>
  <c r="W716" i="6" s="1"/>
  <c r="BG716" i="6" s="1"/>
  <c r="W717" i="6" s="1"/>
  <c r="BG717" i="6" s="1"/>
  <c r="W718" i="6" s="1"/>
  <c r="BG718" i="6" s="1"/>
  <c r="W719" i="6" s="1"/>
  <c r="BG719" i="6" s="1"/>
  <c r="W720" i="6" s="1"/>
  <c r="BG720" i="6" s="1"/>
  <c r="W721" i="6" s="1"/>
  <c r="BG721" i="6" s="1"/>
  <c r="W722" i="6" s="1"/>
  <c r="BG722" i="6" s="1"/>
  <c r="W723" i="6" s="1"/>
  <c r="BG723" i="6" s="1"/>
  <c r="W724" i="6" s="1"/>
  <c r="BG724" i="6" s="1"/>
  <c r="W725" i="6" s="1"/>
  <c r="BG725" i="6" s="1"/>
  <c r="AH712" i="6"/>
  <c r="BG963" i="6"/>
  <c r="W964" i="6" s="1"/>
  <c r="AH963" i="6"/>
  <c r="BA1470" i="6"/>
  <c r="Q1471" i="6" s="1"/>
  <c r="AL998" i="6"/>
  <c r="AM998" i="6"/>
  <c r="AM1462" i="6"/>
  <c r="AL1462" i="6"/>
  <c r="AR966" i="6"/>
  <c r="AS966" i="6" s="1"/>
  <c r="AN1425" i="6"/>
  <c r="AU1425" i="6" s="1"/>
  <c r="BO1617" i="6"/>
  <c r="BN1618" i="6" s="1"/>
  <c r="BA821" i="6"/>
  <c r="Q822" i="6" s="1"/>
  <c r="AG821" i="6"/>
  <c r="AL1216" i="6"/>
  <c r="AM1216" i="6"/>
  <c r="AZ744" i="6"/>
  <c r="P745" i="6" s="1"/>
  <c r="AK744" i="6"/>
  <c r="AR744" i="6" s="1"/>
  <c r="AS744" i="6" s="1"/>
  <c r="AG744" i="6"/>
  <c r="AN1037" i="6"/>
  <c r="BD1361" i="6"/>
  <c r="T1362" i="6" s="1"/>
  <c r="AP1361" i="6"/>
  <c r="AG395" i="6"/>
  <c r="BA395" i="6"/>
  <c r="Q396" i="6" s="1"/>
  <c r="AS1286" i="6"/>
  <c r="AU1286" i="6" s="1"/>
  <c r="AM420" i="6"/>
  <c r="AL420" i="6"/>
  <c r="AS1359" i="6"/>
  <c r="AM1541" i="6"/>
  <c r="AL1541" i="6"/>
  <c r="BE460" i="6"/>
  <c r="U461" i="6" s="1"/>
  <c r="U460" i="6"/>
  <c r="AM818" i="6"/>
  <c r="AL818" i="6"/>
  <c r="BO185" i="6"/>
  <c r="AK185" i="6"/>
  <c r="BD1396" i="6"/>
  <c r="T1397" i="6" s="1"/>
  <c r="AP1396" i="6"/>
  <c r="AL311" i="6"/>
  <c r="AM311" i="6"/>
  <c r="BA141" i="6"/>
  <c r="Q142" i="6" s="1"/>
  <c r="AG141" i="6"/>
  <c r="AR927" i="6"/>
  <c r="AQ927" i="6"/>
  <c r="AN139" i="6"/>
  <c r="BD172" i="6"/>
  <c r="T173" i="6" s="1"/>
  <c r="AP172" i="6"/>
  <c r="AM387" i="6"/>
  <c r="AL387" i="6"/>
  <c r="BE566" i="6"/>
  <c r="U566" i="6"/>
  <c r="AP1000" i="6"/>
  <c r="BD1000" i="6"/>
  <c r="T1001" i="6" s="1"/>
  <c r="BO833" i="6"/>
  <c r="AK833" i="6"/>
  <c r="AQ64" i="6"/>
  <c r="BO1396" i="6"/>
  <c r="BN1397" i="6" s="1"/>
  <c r="AK1396" i="6"/>
  <c r="BO901" i="6"/>
  <c r="BN902" i="6" s="1"/>
  <c r="AK901" i="6"/>
  <c r="AR783" i="6"/>
  <c r="AQ783" i="6"/>
  <c r="AM25" i="6"/>
  <c r="AL25" i="6"/>
  <c r="BO141" i="6"/>
  <c r="BN142" i="6" s="1"/>
  <c r="AK141" i="6"/>
  <c r="AM1426" i="6"/>
  <c r="AL1426" i="6"/>
  <c r="BG314" i="6"/>
  <c r="W315" i="6" s="1"/>
  <c r="AH314" i="6"/>
  <c r="AL133" i="6"/>
  <c r="AM133" i="6"/>
  <c r="BG999" i="6"/>
  <c r="W1000" i="6" s="1"/>
  <c r="AH999" i="6"/>
  <c r="U783" i="6"/>
  <c r="BE783" i="6"/>
  <c r="BA1253" i="6"/>
  <c r="Q1254" i="6" s="1"/>
  <c r="BA1217" i="6"/>
  <c r="Q1218" i="6" s="1"/>
  <c r="AG1217" i="6"/>
  <c r="BE243" i="6"/>
  <c r="U243" i="6"/>
  <c r="AZ421" i="6"/>
  <c r="P422" i="6" s="1"/>
  <c r="AG421" i="6"/>
  <c r="AK421" i="6"/>
  <c r="AR421" i="6" s="1"/>
  <c r="AS421" i="6" s="1"/>
  <c r="BA1542" i="6"/>
  <c r="Q1543" i="6" s="1"/>
  <c r="AG1542" i="6"/>
  <c r="BG819" i="6"/>
  <c r="W820" i="6" s="1"/>
  <c r="AH819" i="6"/>
  <c r="BA66" i="6"/>
  <c r="Q67" i="6" s="1"/>
  <c r="AR819" i="6"/>
  <c r="AQ819" i="6"/>
  <c r="AQ749" i="6"/>
  <c r="BO430" i="6"/>
  <c r="BN431" i="6" s="1"/>
  <c r="BE712" i="6"/>
  <c r="U713" i="6" s="1"/>
  <c r="U712" i="6"/>
  <c r="AQ603" i="6"/>
  <c r="AR603" i="6"/>
  <c r="BD928" i="6"/>
  <c r="T929" i="6" s="1"/>
  <c r="AP928" i="6"/>
  <c r="BE998" i="6"/>
  <c r="U998" i="6"/>
  <c r="BG388" i="6"/>
  <c r="W389" i="6" s="1"/>
  <c r="BG389" i="6" s="1"/>
  <c r="W390" i="6" s="1"/>
  <c r="BG390" i="6" s="1"/>
  <c r="W391" i="6" s="1"/>
  <c r="BG391" i="6" s="1"/>
  <c r="W392" i="6" s="1"/>
  <c r="BG392" i="6" s="1"/>
  <c r="W393" i="6" s="1"/>
  <c r="BG393" i="6" s="1"/>
  <c r="W394" i="6" s="1"/>
  <c r="BG394" i="6" s="1"/>
  <c r="W395" i="6" s="1"/>
  <c r="BG395" i="6" s="1"/>
  <c r="W396" i="6" s="1"/>
  <c r="BG396" i="6" s="1"/>
  <c r="W397" i="6" s="1"/>
  <c r="BG397" i="6" s="1"/>
  <c r="W398" i="6" s="1"/>
  <c r="BG398" i="6" s="1"/>
  <c r="W399" i="6" s="1"/>
  <c r="BG399" i="6" s="1"/>
  <c r="W400" i="6" s="1"/>
  <c r="BG400" i="6" s="1"/>
  <c r="W401" i="6" s="1"/>
  <c r="BG401" i="6" s="1"/>
  <c r="AH388" i="6"/>
  <c r="BA679" i="6"/>
  <c r="Q680" i="6" s="1"/>
  <c r="AQ1035" i="6"/>
  <c r="AR1035" i="6"/>
  <c r="BD65" i="6"/>
  <c r="T66" i="6" s="1"/>
  <c r="AP65" i="6"/>
  <c r="AQ533" i="6"/>
  <c r="AM929" i="6"/>
  <c r="AL929" i="6"/>
  <c r="BD28" i="6"/>
  <c r="T29" i="6" s="1"/>
  <c r="AP28" i="6"/>
  <c r="AZ1644" i="6"/>
  <c r="P1645" i="6" s="1"/>
  <c r="AG1644" i="6"/>
  <c r="AK1644" i="6"/>
  <c r="AR1644" i="6" s="1"/>
  <c r="AS1644" i="6" s="1"/>
  <c r="BO394" i="6"/>
  <c r="BN395" i="6" s="1"/>
  <c r="AK394" i="6"/>
  <c r="AM394" i="6" s="1"/>
  <c r="BA785" i="6"/>
  <c r="Q786" i="6" s="1"/>
  <c r="AG785" i="6"/>
  <c r="BA897" i="6"/>
  <c r="Q898" i="6" s="1"/>
  <c r="AG897" i="6"/>
  <c r="AQ496" i="6"/>
  <c r="AQ1143" i="6"/>
  <c r="AS1541" i="6"/>
  <c r="AH26" i="6"/>
  <c r="BG26" i="6"/>
  <c r="W27" i="6" s="1"/>
  <c r="AH62" i="6"/>
  <c r="BG62" i="6"/>
  <c r="W63" i="6" s="1"/>
  <c r="AN928" i="6"/>
  <c r="BA862" i="6"/>
  <c r="Q863" i="6" s="1"/>
  <c r="BD497" i="6"/>
  <c r="T498" i="6" s="1"/>
  <c r="AP497" i="6"/>
  <c r="AN1289" i="6"/>
  <c r="BD1144" i="6"/>
  <c r="T1145" i="6" s="1"/>
  <c r="AP1144" i="6"/>
  <c r="BG134" i="6"/>
  <c r="W135" i="6" s="1"/>
  <c r="AH134" i="6"/>
  <c r="AM1139" i="6"/>
  <c r="AL1139" i="6"/>
  <c r="AZ1463" i="6"/>
  <c r="P1464" i="6" s="1"/>
  <c r="AK1463" i="6"/>
  <c r="AR1463" i="6" s="1"/>
  <c r="AS1463" i="6" s="1"/>
  <c r="AG1463" i="6"/>
  <c r="AS170" i="6"/>
  <c r="AN997" i="6"/>
  <c r="AU997" i="6" s="1"/>
  <c r="BA1434" i="6"/>
  <c r="Q1435" i="6" s="1"/>
  <c r="AM1247" i="6"/>
  <c r="AL1247" i="6"/>
  <c r="AL204" i="6"/>
  <c r="AM204" i="6"/>
  <c r="AR1287" i="6"/>
  <c r="AQ1287" i="6"/>
  <c r="AN1461" i="6"/>
  <c r="AU1461" i="6" s="1"/>
  <c r="BE1214" i="6"/>
  <c r="U1214" i="6"/>
  <c r="AZ1012" i="6"/>
  <c r="P1013" i="6" s="1"/>
  <c r="AK1012" i="6"/>
  <c r="BD820" i="6"/>
  <c r="T821" i="6" s="1"/>
  <c r="AP820" i="6"/>
  <c r="AS134" i="6"/>
  <c r="BD750" i="6"/>
  <c r="T751" i="6" s="1"/>
  <c r="AP750" i="6"/>
  <c r="AZ312" i="6"/>
  <c r="P313" i="6" s="1"/>
  <c r="AK312" i="6"/>
  <c r="AR312" i="6" s="1"/>
  <c r="AS312" i="6" s="1"/>
  <c r="AG312" i="6"/>
  <c r="AM891" i="6"/>
  <c r="AL891" i="6"/>
  <c r="BD604" i="6"/>
  <c r="T605" i="6" s="1"/>
  <c r="AP604" i="6"/>
  <c r="BE99" i="6"/>
  <c r="U99" i="6"/>
  <c r="BA215" i="6"/>
  <c r="Q216" i="6" s="1"/>
  <c r="BD1036" i="6"/>
  <c r="T1037" i="6" s="1"/>
  <c r="AP1036" i="6"/>
  <c r="AN1215" i="6"/>
  <c r="BO1650" i="6"/>
  <c r="BN1651" i="6" s="1"/>
  <c r="BD534" i="6"/>
  <c r="T535" i="6" s="1"/>
  <c r="AP534" i="6"/>
  <c r="BA930" i="6"/>
  <c r="Q931" i="6" s="1"/>
  <c r="AG930" i="6"/>
  <c r="BA1003" i="6"/>
  <c r="Q1004" i="6" s="1"/>
  <c r="AG1003" i="6"/>
  <c r="BA101" i="6"/>
  <c r="Q102" i="6" s="1"/>
  <c r="AZ1427" i="6"/>
  <c r="P1428" i="6" s="1"/>
  <c r="AK1427" i="6"/>
  <c r="AR1427" i="6" s="1"/>
  <c r="AS1427" i="6" s="1"/>
  <c r="AG1427" i="6"/>
  <c r="BA1505" i="6"/>
  <c r="Q1506" i="6" s="1"/>
  <c r="AM1067" i="6"/>
  <c r="AL1067" i="6"/>
  <c r="BG784" i="6"/>
  <c r="W785" i="6" s="1"/>
  <c r="BG785" i="6" s="1"/>
  <c r="W786" i="6" s="1"/>
  <c r="BG786" i="6" s="1"/>
  <c r="W787" i="6" s="1"/>
  <c r="BG787" i="6" s="1"/>
  <c r="W788" i="6" s="1"/>
  <c r="BG788" i="6" s="1"/>
  <c r="W789" i="6" s="1"/>
  <c r="BG789" i="6" s="1"/>
  <c r="W790" i="6" s="1"/>
  <c r="BG790" i="6" s="1"/>
  <c r="W791" i="6" s="1"/>
  <c r="BG791" i="6" s="1"/>
  <c r="W792" i="6" s="1"/>
  <c r="BG792" i="6" s="1"/>
  <c r="W793" i="6" s="1"/>
  <c r="BG793" i="6" s="1"/>
  <c r="W794" i="6" s="1"/>
  <c r="BG794" i="6" s="1"/>
  <c r="W795" i="6" s="1"/>
  <c r="BG795" i="6" s="1"/>
  <c r="W796" i="6" s="1"/>
  <c r="BG796" i="6" s="1"/>
  <c r="W797" i="6" s="1"/>
  <c r="BG797" i="6" s="1"/>
  <c r="AH784" i="6"/>
  <c r="AM784" i="6" s="1"/>
  <c r="AZ205" i="6"/>
  <c r="P206" i="6" s="1"/>
  <c r="AG205" i="6"/>
  <c r="AK205" i="6"/>
  <c r="AR205" i="6" s="1"/>
  <c r="AS205" i="6" s="1"/>
  <c r="BD1288" i="6"/>
  <c r="T1289" i="6" s="1"/>
  <c r="AP1288" i="6"/>
  <c r="BE1035" i="6"/>
  <c r="U1035" i="6"/>
  <c r="BO934" i="6"/>
  <c r="BN935" i="6" s="1"/>
  <c r="AK934" i="6"/>
  <c r="BO790" i="6"/>
  <c r="BN791" i="6" s="1"/>
  <c r="AK790" i="6"/>
  <c r="BG424" i="6"/>
  <c r="W425" i="6" s="1"/>
  <c r="BG425" i="6" s="1"/>
  <c r="W426" i="6" s="1"/>
  <c r="BG426" i="6" s="1"/>
  <c r="W427" i="6" s="1"/>
  <c r="BG427" i="6" s="1"/>
  <c r="W428" i="6" s="1"/>
  <c r="BG428" i="6" s="1"/>
  <c r="W429" i="6" s="1"/>
  <c r="BG429" i="6" s="1"/>
  <c r="W430" i="6" s="1"/>
  <c r="BG430" i="6" s="1"/>
  <c r="W431" i="6" s="1"/>
  <c r="BG431" i="6" s="1"/>
  <c r="W432" i="6" s="1"/>
  <c r="BG432" i="6" s="1"/>
  <c r="W433" i="6" s="1"/>
  <c r="BG433" i="6" s="1"/>
  <c r="W434" i="6" s="1"/>
  <c r="BG434" i="6" s="1"/>
  <c r="W435" i="6" s="1"/>
  <c r="BG435" i="6" s="1"/>
  <c r="W436" i="6" s="1"/>
  <c r="BG436" i="6" s="1"/>
  <c r="W437" i="6" s="1"/>
  <c r="BG437" i="6" s="1"/>
  <c r="AH424" i="6"/>
  <c r="BG892" i="6"/>
  <c r="W893" i="6" s="1"/>
  <c r="BG893" i="6" s="1"/>
  <c r="W894" i="6" s="1"/>
  <c r="BG894" i="6" s="1"/>
  <c r="W895" i="6" s="1"/>
  <c r="BG895" i="6" s="1"/>
  <c r="W896" i="6" s="1"/>
  <c r="BG896" i="6" s="1"/>
  <c r="W897" i="6" s="1"/>
  <c r="BG897" i="6" s="1"/>
  <c r="W898" i="6" s="1"/>
  <c r="BG898" i="6" s="1"/>
  <c r="W899" i="6" s="1"/>
  <c r="BG899" i="6" s="1"/>
  <c r="W900" i="6" s="1"/>
  <c r="BG900" i="6" s="1"/>
  <c r="W901" i="6" s="1"/>
  <c r="BG901" i="6" s="1"/>
  <c r="W902" i="6" s="1"/>
  <c r="BG902" i="6" s="1"/>
  <c r="W903" i="6" s="1"/>
  <c r="BG903" i="6" s="1"/>
  <c r="W904" i="6" s="1"/>
  <c r="BG904" i="6" s="1"/>
  <c r="W905" i="6" s="1"/>
  <c r="BG905" i="6" s="1"/>
  <c r="AH892" i="6"/>
  <c r="AL1108" i="6"/>
  <c r="AM1108" i="6"/>
  <c r="AT821" i="6"/>
  <c r="BE821" i="6"/>
  <c r="U822" i="6" s="1"/>
  <c r="BG746" i="6"/>
  <c r="W747" i="6" s="1"/>
  <c r="AH746" i="6"/>
  <c r="BA750" i="6"/>
  <c r="Q751" i="6" s="1"/>
  <c r="AM570" i="6"/>
  <c r="AL570" i="6"/>
  <c r="AL1393" i="6"/>
  <c r="AM1393" i="6"/>
  <c r="AQ855" i="6"/>
  <c r="AM1359" i="6"/>
  <c r="AL1359" i="6"/>
  <c r="AS566" i="6"/>
  <c r="AU566" i="6" s="1"/>
  <c r="U1610" i="6"/>
  <c r="BE1610" i="6"/>
  <c r="AM527" i="6"/>
  <c r="AL527" i="6"/>
  <c r="AS638" i="6"/>
  <c r="AU638" i="6" s="1"/>
  <c r="AQ1576" i="6"/>
  <c r="AL1400" i="6"/>
  <c r="AN31" i="6"/>
  <c r="BA1073" i="6"/>
  <c r="Q1074" i="6" s="1"/>
  <c r="AM490" i="6"/>
  <c r="AL490" i="6"/>
  <c r="BO358" i="6"/>
  <c r="BN359" i="6" s="1"/>
  <c r="AK358" i="6"/>
  <c r="AN178" i="6"/>
  <c r="AZ1140" i="6"/>
  <c r="P1141" i="6" s="1"/>
  <c r="AK1140" i="6"/>
  <c r="AR1140" i="6" s="1"/>
  <c r="AS1140" i="6" s="1"/>
  <c r="AG1140" i="6"/>
  <c r="BE63" i="6"/>
  <c r="U63" i="6"/>
  <c r="AN705" i="6"/>
  <c r="AU705" i="6" s="1"/>
  <c r="AQ567" i="6"/>
  <c r="AR567" i="6"/>
  <c r="BO1551" i="6"/>
  <c r="BN1552" i="6" s="1"/>
  <c r="AK1551" i="6"/>
  <c r="BG530" i="6"/>
  <c r="W531" i="6" s="1"/>
  <c r="AH530" i="6"/>
  <c r="BA1584" i="6"/>
  <c r="Q1585" i="6" s="1"/>
  <c r="AZ1248" i="6"/>
  <c r="P1249" i="6" s="1"/>
  <c r="AK1248" i="6"/>
  <c r="AR1248" i="6" s="1"/>
  <c r="AS1248" i="6" s="1"/>
  <c r="AG1248" i="6"/>
  <c r="AS279" i="6"/>
  <c r="AN203" i="6"/>
  <c r="AU203" i="6" s="1"/>
  <c r="AR135" i="6"/>
  <c r="AQ135" i="6"/>
  <c r="BE1539" i="6"/>
  <c r="U1539" i="6"/>
  <c r="BE1359" i="6"/>
  <c r="U1359" i="6"/>
  <c r="BE1503" i="6"/>
  <c r="U1503" i="6"/>
  <c r="AN1570" i="6"/>
  <c r="AU1570" i="6" s="1"/>
  <c r="BG1575" i="6"/>
  <c r="W1576" i="6" s="1"/>
  <c r="AH1575" i="6"/>
  <c r="BG352" i="6"/>
  <c r="W353" i="6" s="1"/>
  <c r="BG353" i="6" s="1"/>
  <c r="W354" i="6" s="1"/>
  <c r="BG354" i="6" s="1"/>
  <c r="W355" i="6" s="1"/>
  <c r="BG355" i="6" s="1"/>
  <c r="W356" i="6" s="1"/>
  <c r="BG356" i="6" s="1"/>
  <c r="W357" i="6" s="1"/>
  <c r="BG357" i="6" s="1"/>
  <c r="W358" i="6" s="1"/>
  <c r="BG358" i="6" s="1"/>
  <c r="W359" i="6" s="1"/>
  <c r="BG359" i="6" s="1"/>
  <c r="W360" i="6" s="1"/>
  <c r="BG360" i="6" s="1"/>
  <c r="W361" i="6" s="1"/>
  <c r="BG361" i="6" s="1"/>
  <c r="W362" i="6" s="1"/>
  <c r="BG362" i="6" s="1"/>
  <c r="W363" i="6" s="1"/>
  <c r="BG363" i="6" s="1"/>
  <c r="W364" i="6" s="1"/>
  <c r="BG364" i="6" s="1"/>
  <c r="W365" i="6" s="1"/>
  <c r="BG365" i="6" s="1"/>
  <c r="AH352" i="6"/>
  <c r="AL352" i="6" s="1"/>
  <c r="AQ459" i="6"/>
  <c r="AR459" i="6"/>
  <c r="BA1109" i="6"/>
  <c r="Q1110" i="6" s="1"/>
  <c r="AG1109" i="6"/>
  <c r="AN890" i="6"/>
  <c r="BA571" i="6"/>
  <c r="Q572" i="6" s="1"/>
  <c r="AG571" i="6"/>
  <c r="BG1394" i="6"/>
  <c r="W1395" i="6" s="1"/>
  <c r="AH1394" i="6"/>
  <c r="BD856" i="6"/>
  <c r="T857" i="6" s="1"/>
  <c r="AP856" i="6"/>
  <c r="BA1360" i="6"/>
  <c r="Q1361" i="6" s="1"/>
  <c r="AG1360" i="6"/>
  <c r="AR1542" i="6"/>
  <c r="AQ1542" i="6"/>
  <c r="AZ528" i="6"/>
  <c r="P529" i="6" s="1"/>
  <c r="AG528" i="6"/>
  <c r="AK528" i="6"/>
  <c r="AR528" i="6" s="1"/>
  <c r="AS528" i="6" s="1"/>
  <c r="AM1036" i="6"/>
  <c r="AL1036" i="6"/>
  <c r="BD676" i="6"/>
  <c r="T677" i="6" s="1"/>
  <c r="AP676" i="6"/>
  <c r="AQ1107" i="6"/>
  <c r="AR1107" i="6"/>
  <c r="AQ1431" i="6"/>
  <c r="BA1650" i="6"/>
  <c r="Q1651" i="6" s="1"/>
  <c r="AZ1068" i="6"/>
  <c r="P1069" i="6" s="1"/>
  <c r="AK1068" i="6"/>
  <c r="AR1068" i="6" s="1"/>
  <c r="AS1068" i="6" s="1"/>
  <c r="AG1068" i="6"/>
  <c r="BA502" i="6"/>
  <c r="Q503" i="6" s="1"/>
  <c r="AM277" i="6"/>
  <c r="AL277" i="6"/>
  <c r="BD568" i="6"/>
  <c r="T569" i="6" s="1"/>
  <c r="AP568" i="6"/>
  <c r="BA1617" i="6"/>
  <c r="Q1618" i="6" s="1"/>
  <c r="AM170" i="6"/>
  <c r="AL170" i="6"/>
  <c r="BD1216" i="6"/>
  <c r="T1217" i="6" s="1"/>
  <c r="AP1216" i="6"/>
  <c r="BA353" i="6"/>
  <c r="Q354" i="6" s="1"/>
  <c r="AG353" i="6"/>
  <c r="AM1180" i="6"/>
  <c r="AL1180" i="6"/>
  <c r="AN1180" i="6" s="1"/>
  <c r="AU1180" i="6" s="1"/>
  <c r="BE315" i="6"/>
  <c r="U315" i="6"/>
  <c r="U1430" i="6"/>
  <c r="BE1430" i="6"/>
  <c r="BD136" i="6"/>
  <c r="T137" i="6" s="1"/>
  <c r="AP136" i="6"/>
  <c r="BE279" i="6"/>
  <c r="U279" i="6"/>
  <c r="AM95" i="6"/>
  <c r="AL95" i="6"/>
  <c r="U207" i="6"/>
  <c r="BE207" i="6"/>
  <c r="AL976" i="6"/>
  <c r="BD460" i="6"/>
  <c r="T461" i="6" s="1"/>
  <c r="AP460" i="6"/>
  <c r="BO1368" i="6"/>
  <c r="BN1369" i="6" s="1"/>
  <c r="AK1368" i="6"/>
  <c r="BG206" i="6"/>
  <c r="W207" i="6" s="1"/>
  <c r="AH206" i="6"/>
  <c r="AU1214" i="6"/>
  <c r="BD1543" i="6"/>
  <c r="T1544" i="6" s="1"/>
  <c r="AP1543" i="6"/>
  <c r="AQ318" i="6"/>
  <c r="AZ469" i="6"/>
  <c r="P470" i="6" s="1"/>
  <c r="AK469" i="6"/>
  <c r="AN239" i="6"/>
  <c r="AU239" i="6" s="1"/>
  <c r="BG1070" i="6"/>
  <c r="W1071" i="6" s="1"/>
  <c r="AH1070" i="6"/>
  <c r="BE27" i="6"/>
  <c r="U27" i="6"/>
  <c r="BD1432" i="6"/>
  <c r="T1433" i="6" s="1"/>
  <c r="AP1432" i="6"/>
  <c r="AL706" i="6"/>
  <c r="AM706" i="6"/>
  <c r="AZ491" i="6"/>
  <c r="P492" i="6" s="1"/>
  <c r="AK491" i="6"/>
  <c r="AR491" i="6" s="1"/>
  <c r="AS491" i="6" s="1"/>
  <c r="AG491" i="6"/>
  <c r="AM179" i="6"/>
  <c r="AL179" i="6"/>
  <c r="BG1539" i="6"/>
  <c r="W1540" i="6" s="1"/>
  <c r="AH1539" i="6"/>
  <c r="AL1498" i="6"/>
  <c r="AM1498" i="6"/>
  <c r="AQ967" i="6"/>
  <c r="U424" i="6"/>
  <c r="BE424" i="6"/>
  <c r="U425" i="6" s="1"/>
  <c r="BG278" i="6"/>
  <c r="W279" i="6" s="1"/>
  <c r="AH278" i="6"/>
  <c r="AN961" i="6"/>
  <c r="AU961" i="6" s="1"/>
  <c r="AM1038" i="6"/>
  <c r="AL1038" i="6"/>
  <c r="BG171" i="6"/>
  <c r="W172" i="6" s="1"/>
  <c r="AH171" i="6"/>
  <c r="BE1647" i="6"/>
  <c r="U1647" i="6"/>
  <c r="AR1215" i="6"/>
  <c r="AQ1215" i="6"/>
  <c r="AL671" i="6"/>
  <c r="AM671" i="6"/>
  <c r="BA1181" i="6"/>
  <c r="Q1182" i="6" s="1"/>
  <c r="AG1181" i="6"/>
  <c r="AQ1069" i="6"/>
  <c r="BO1473" i="6"/>
  <c r="BN1474" i="6" s="1"/>
  <c r="BA977" i="6"/>
  <c r="AG977" i="6"/>
  <c r="AQ1182" i="6"/>
  <c r="AR1182" i="6"/>
  <c r="BG495" i="6"/>
  <c r="W496" i="6" s="1"/>
  <c r="AH495" i="6"/>
  <c r="BA1145" i="6"/>
  <c r="Q1146" i="6" s="1"/>
  <c r="BE927" i="6"/>
  <c r="U927" i="6"/>
  <c r="AN393" i="6"/>
  <c r="AM32" i="6"/>
  <c r="AL32" i="6"/>
  <c r="BD319" i="6"/>
  <c r="T320" i="6" s="1"/>
  <c r="AP319" i="6"/>
  <c r="BH934" i="6"/>
  <c r="X935" i="6" s="1"/>
  <c r="AD934" i="6"/>
  <c r="BD208" i="6"/>
  <c r="T209" i="6" s="1"/>
  <c r="AP208" i="6"/>
  <c r="BG675" i="6"/>
  <c r="W676" i="6" s="1"/>
  <c r="AH675" i="6"/>
  <c r="AQ99" i="6"/>
  <c r="BA180" i="6"/>
  <c r="Q181" i="6" s="1"/>
  <c r="AG180" i="6"/>
  <c r="AL1538" i="6"/>
  <c r="AM1538" i="6"/>
  <c r="AL851" i="6"/>
  <c r="AM851" i="6"/>
  <c r="BD968" i="6"/>
  <c r="T969" i="6" s="1"/>
  <c r="AP968" i="6"/>
  <c r="AN1537" i="6"/>
  <c r="AU1537" i="6" s="1"/>
  <c r="BO1192" i="6"/>
  <c r="BN1193" i="6" s="1"/>
  <c r="AK1192" i="6"/>
  <c r="BE639" i="6"/>
  <c r="U639" i="6"/>
  <c r="BE675" i="6"/>
  <c r="U675" i="6"/>
  <c r="AN132" i="6"/>
  <c r="AU132" i="6" s="1"/>
  <c r="BA1039" i="6"/>
  <c r="Q1040" i="6" s="1"/>
  <c r="AG1039" i="6"/>
  <c r="AR280" i="6"/>
  <c r="AQ280" i="6"/>
  <c r="AS782" i="6"/>
  <c r="AU782" i="6" s="1"/>
  <c r="AR243" i="6"/>
  <c r="AQ243" i="6"/>
  <c r="AZ672" i="6"/>
  <c r="P673" i="6" s="1"/>
  <c r="AG672" i="6"/>
  <c r="AK672" i="6"/>
  <c r="AR672" i="6" s="1"/>
  <c r="AS672" i="6" s="1"/>
  <c r="U747" i="6"/>
  <c r="BE747" i="6"/>
  <c r="AM1571" i="6"/>
  <c r="AL1571" i="6"/>
  <c r="AN1571" i="6" s="1"/>
  <c r="AU1571" i="6" s="1"/>
  <c r="BO282" i="6"/>
  <c r="BN283" i="6" s="1"/>
  <c r="AK282" i="6"/>
  <c r="AM282" i="6" s="1"/>
  <c r="AN282" i="6" s="1"/>
  <c r="BD1070" i="6"/>
  <c r="T1071" i="6" s="1"/>
  <c r="AP1070" i="6"/>
  <c r="AQ1503" i="6"/>
  <c r="AL250" i="6"/>
  <c r="AZ96" i="6"/>
  <c r="P97" i="6" s="1"/>
  <c r="AK96" i="6"/>
  <c r="AR96" i="6" s="1"/>
  <c r="AS96" i="6" s="1"/>
  <c r="AG96" i="6"/>
  <c r="BO1115" i="6"/>
  <c r="BN1116" i="6" s="1"/>
  <c r="AK1115" i="6"/>
  <c r="BE1071" i="6"/>
  <c r="U1071" i="6"/>
  <c r="BA328" i="6"/>
  <c r="Q329" i="6" s="1"/>
  <c r="BD1183" i="6"/>
  <c r="T1184" i="6" s="1"/>
  <c r="AP1183" i="6"/>
  <c r="AL465" i="6"/>
  <c r="AM465" i="6"/>
  <c r="AR889" i="6"/>
  <c r="AQ889" i="6"/>
  <c r="AM240" i="6"/>
  <c r="AL240" i="6"/>
  <c r="AS602" i="6"/>
  <c r="AU602" i="6" s="1"/>
  <c r="BA543" i="6"/>
  <c r="Q544" i="6" s="1"/>
  <c r="AS26" i="6"/>
  <c r="AN895" i="6"/>
  <c r="BA33" i="6"/>
  <c r="Q34" i="6" s="1"/>
  <c r="AG33" i="6"/>
  <c r="AN1246" i="6"/>
  <c r="AU1246" i="6" s="1"/>
  <c r="AN95" i="6" l="1"/>
  <c r="AU95" i="6" s="1"/>
  <c r="AS1035" i="6"/>
  <c r="AU1035" i="6" s="1"/>
  <c r="AN1288" i="6"/>
  <c r="AS1287" i="6"/>
  <c r="AS243" i="6"/>
  <c r="AN527" i="6"/>
  <c r="AU527" i="6" s="1"/>
  <c r="AS639" i="6"/>
  <c r="AU639" i="6" s="1"/>
  <c r="AS1215" i="6"/>
  <c r="AS999" i="6"/>
  <c r="AS1107" i="6"/>
  <c r="AU1107" i="6" s="1"/>
  <c r="AU351" i="6"/>
  <c r="AS171" i="6"/>
  <c r="AS387" i="6"/>
  <c r="AR967" i="6"/>
  <c r="AS967" i="6" s="1"/>
  <c r="AS819" i="6"/>
  <c r="AN743" i="6"/>
  <c r="AU743" i="6" s="1"/>
  <c r="AN1002" i="6"/>
  <c r="AN170" i="6"/>
  <c r="AU170" i="6" s="1"/>
  <c r="AN490" i="6"/>
  <c r="AU490" i="6" s="1"/>
  <c r="AN59" i="6"/>
  <c r="AU59" i="6" s="1"/>
  <c r="AN605" i="6"/>
  <c r="AN818" i="6"/>
  <c r="AU818" i="6" s="1"/>
  <c r="AN962" i="6"/>
  <c r="AU962" i="6" s="1"/>
  <c r="AN1538" i="6"/>
  <c r="AU1538" i="6" s="1"/>
  <c r="AN1393" i="6"/>
  <c r="AU1393" i="6" s="1"/>
  <c r="AS459" i="6"/>
  <c r="AN851" i="6"/>
  <c r="AU851" i="6" s="1"/>
  <c r="AS567" i="6"/>
  <c r="AU567" i="6" s="1"/>
  <c r="AN387" i="6"/>
  <c r="AN1036" i="6"/>
  <c r="AN641" i="6"/>
  <c r="AS27" i="6"/>
  <c r="AN671" i="6"/>
  <c r="AU671" i="6" s="1"/>
  <c r="AN570" i="6"/>
  <c r="AN133" i="6"/>
  <c r="AU133" i="6" s="1"/>
  <c r="AN458" i="6"/>
  <c r="AU458" i="6" s="1"/>
  <c r="AN465" i="6"/>
  <c r="AN998" i="6"/>
  <c r="AU998" i="6" s="1"/>
  <c r="AN1038" i="6"/>
  <c r="AS889" i="6"/>
  <c r="AU889" i="6" s="1"/>
  <c r="AN25" i="6"/>
  <c r="AU25" i="6" s="1"/>
  <c r="BO1116" i="6"/>
  <c r="BN1117" i="6" s="1"/>
  <c r="AK1116" i="6"/>
  <c r="BO283" i="6"/>
  <c r="BN284" i="6" s="1"/>
  <c r="AK283" i="6"/>
  <c r="AM283" i="6" s="1"/>
  <c r="AN283" i="6" s="1"/>
  <c r="AS280" i="6"/>
  <c r="AN32" i="6"/>
  <c r="AL977" i="6"/>
  <c r="AT425" i="6"/>
  <c r="BE425" i="6"/>
  <c r="U426" i="6" s="1"/>
  <c r="AZ492" i="6"/>
  <c r="P493" i="6" s="1"/>
  <c r="AK492" i="6"/>
  <c r="AR492" i="6" s="1"/>
  <c r="AS492" i="6" s="1"/>
  <c r="AG492" i="6"/>
  <c r="BG207" i="6"/>
  <c r="W208" i="6" s="1"/>
  <c r="AH207" i="6"/>
  <c r="AL353" i="6"/>
  <c r="AM353" i="6"/>
  <c r="BA1361" i="6"/>
  <c r="Q1362" i="6" s="1"/>
  <c r="AG1361" i="6"/>
  <c r="AS135" i="6"/>
  <c r="BG531" i="6"/>
  <c r="W532" i="6" s="1"/>
  <c r="AH531" i="6"/>
  <c r="AM892" i="6"/>
  <c r="AL892" i="6"/>
  <c r="AR1288" i="6"/>
  <c r="AQ1288" i="6"/>
  <c r="AM1427" i="6"/>
  <c r="AL1427" i="6"/>
  <c r="BO1651" i="6"/>
  <c r="BN1652" i="6" s="1"/>
  <c r="U1215" i="6"/>
  <c r="BE1215" i="6"/>
  <c r="AM1463" i="6"/>
  <c r="AL1463" i="6"/>
  <c r="AM897" i="6"/>
  <c r="AL897" i="6"/>
  <c r="BO902" i="6"/>
  <c r="BN903" i="6" s="1"/>
  <c r="AK902" i="6"/>
  <c r="BE567" i="6"/>
  <c r="U567" i="6"/>
  <c r="AR1396" i="6"/>
  <c r="AQ1396" i="6"/>
  <c r="AM821" i="6"/>
  <c r="AL821" i="6"/>
  <c r="AM963" i="6"/>
  <c r="AL963" i="6"/>
  <c r="BE1179" i="6"/>
  <c r="U1179" i="6"/>
  <c r="AT965" i="6"/>
  <c r="AU965" i="6" s="1"/>
  <c r="BE965" i="6"/>
  <c r="U966" i="6" s="1"/>
  <c r="BD641" i="6"/>
  <c r="T642" i="6" s="1"/>
  <c r="AP641" i="6"/>
  <c r="BA714" i="6"/>
  <c r="Q715" i="6" s="1"/>
  <c r="AM1330" i="6"/>
  <c r="AL1330" i="6"/>
  <c r="AL1608" i="6"/>
  <c r="AM1608" i="6"/>
  <c r="AQ424" i="6"/>
  <c r="AN1329" i="6"/>
  <c r="BD1505" i="6"/>
  <c r="T1506" i="6" s="1"/>
  <c r="AP1505" i="6"/>
  <c r="BO1438" i="6"/>
  <c r="BN1439" i="6" s="1"/>
  <c r="AT1397" i="6"/>
  <c r="BE1397" i="6"/>
  <c r="U1398" i="6" s="1"/>
  <c r="BE352" i="6"/>
  <c r="U353" i="6" s="1"/>
  <c r="U352" i="6"/>
  <c r="AQ676" i="6"/>
  <c r="BD857" i="6"/>
  <c r="T858" i="6" s="1"/>
  <c r="AP857" i="6"/>
  <c r="AK1552" i="6"/>
  <c r="BO1552" i="6"/>
  <c r="BN1553" i="6" s="1"/>
  <c r="AZ1428" i="6"/>
  <c r="P1429" i="6" s="1"/>
  <c r="AK1428" i="6"/>
  <c r="AR1428" i="6" s="1"/>
  <c r="AS1428" i="6" s="1"/>
  <c r="AG1428" i="6"/>
  <c r="AZ1464" i="6"/>
  <c r="P1465" i="6" s="1"/>
  <c r="AK1464" i="6"/>
  <c r="AR1464" i="6" s="1"/>
  <c r="AS1464" i="6" s="1"/>
  <c r="AG1464" i="6"/>
  <c r="AL785" i="6"/>
  <c r="AM785" i="6"/>
  <c r="BE999" i="6"/>
  <c r="U999" i="6"/>
  <c r="AL1217" i="6"/>
  <c r="AM1217" i="6"/>
  <c r="BG315" i="6"/>
  <c r="W316" i="6" s="1"/>
  <c r="AH315" i="6"/>
  <c r="BO1397" i="6"/>
  <c r="BN1398" i="6" s="1"/>
  <c r="AK1397" i="6"/>
  <c r="AM1397" i="6" s="1"/>
  <c r="AN1397" i="6" s="1"/>
  <c r="BA396" i="6"/>
  <c r="Q397" i="6" s="1"/>
  <c r="AG396" i="6"/>
  <c r="AN394" i="6"/>
  <c r="AH856" i="6"/>
  <c r="BG856" i="6"/>
  <c r="W857" i="6" s="1"/>
  <c r="BG857" i="6" s="1"/>
  <c r="W858" i="6" s="1"/>
  <c r="BG858" i="6" s="1"/>
  <c r="W859" i="6" s="1"/>
  <c r="BG859" i="6" s="1"/>
  <c r="W860" i="6" s="1"/>
  <c r="BG860" i="6" s="1"/>
  <c r="W861" i="6" s="1"/>
  <c r="BG861" i="6" s="1"/>
  <c r="W862" i="6" s="1"/>
  <c r="BG862" i="6" s="1"/>
  <c r="W863" i="6" s="1"/>
  <c r="BG863" i="6" s="1"/>
  <c r="W864" i="6" s="1"/>
  <c r="BG864" i="6" s="1"/>
  <c r="W865" i="6" s="1"/>
  <c r="BG865" i="6" s="1"/>
  <c r="W866" i="6" s="1"/>
  <c r="BG866" i="6" s="1"/>
  <c r="W867" i="6" s="1"/>
  <c r="BG867" i="6" s="1"/>
  <c r="W868" i="6" s="1"/>
  <c r="BG868" i="6" s="1"/>
  <c r="W869" i="6" s="1"/>
  <c r="BG869" i="6" s="1"/>
  <c r="AL287" i="6"/>
  <c r="BE1575" i="6"/>
  <c r="U1575" i="6"/>
  <c r="AM606" i="6"/>
  <c r="AL606" i="6"/>
  <c r="AQ1649" i="6"/>
  <c r="AQ281" i="6"/>
  <c r="AR281" i="6"/>
  <c r="AZ470" i="6"/>
  <c r="P471" i="6" s="1"/>
  <c r="AK470" i="6"/>
  <c r="BD1289" i="6"/>
  <c r="T1290" i="6" s="1"/>
  <c r="AP1289" i="6"/>
  <c r="AL1499" i="6"/>
  <c r="AM1499" i="6"/>
  <c r="BO1369" i="6"/>
  <c r="BN1370" i="6" s="1"/>
  <c r="AK1369" i="6"/>
  <c r="BG676" i="6"/>
  <c r="W677" i="6" s="1"/>
  <c r="BG677" i="6" s="1"/>
  <c r="W678" i="6" s="1"/>
  <c r="BG678" i="6" s="1"/>
  <c r="W679" i="6" s="1"/>
  <c r="BG679" i="6" s="1"/>
  <c r="W680" i="6" s="1"/>
  <c r="BG680" i="6" s="1"/>
  <c r="W681" i="6" s="1"/>
  <c r="BG681" i="6" s="1"/>
  <c r="W682" i="6" s="1"/>
  <c r="BG682" i="6" s="1"/>
  <c r="W683" i="6" s="1"/>
  <c r="BG683" i="6" s="1"/>
  <c r="W684" i="6" s="1"/>
  <c r="BG684" i="6" s="1"/>
  <c r="W685" i="6" s="1"/>
  <c r="BG685" i="6" s="1"/>
  <c r="W686" i="6" s="1"/>
  <c r="BG686" i="6" s="1"/>
  <c r="W687" i="6" s="1"/>
  <c r="BG687" i="6" s="1"/>
  <c r="W688" i="6" s="1"/>
  <c r="BG688" i="6" s="1"/>
  <c r="W689" i="6" s="1"/>
  <c r="BG689" i="6" s="1"/>
  <c r="AH676" i="6"/>
  <c r="AN706" i="6"/>
  <c r="AU706" i="6" s="1"/>
  <c r="AR460" i="6"/>
  <c r="AQ460" i="6"/>
  <c r="AQ1216" i="6"/>
  <c r="AR1216" i="6"/>
  <c r="AL1068" i="6"/>
  <c r="AM1068" i="6"/>
  <c r="BD677" i="6"/>
  <c r="T678" i="6" s="1"/>
  <c r="AP677" i="6"/>
  <c r="U1611" i="6"/>
  <c r="BE1611" i="6"/>
  <c r="AM205" i="6"/>
  <c r="AL205" i="6"/>
  <c r="AR1036" i="6"/>
  <c r="AQ1036" i="6"/>
  <c r="AZ313" i="6"/>
  <c r="P314" i="6" s="1"/>
  <c r="AK313" i="6"/>
  <c r="AR313" i="6" s="1"/>
  <c r="AS313" i="6" s="1"/>
  <c r="AG313" i="6"/>
  <c r="AN1139" i="6"/>
  <c r="AU1139" i="6" s="1"/>
  <c r="BG63" i="6"/>
  <c r="W64" i="6" s="1"/>
  <c r="AH63" i="6"/>
  <c r="BA786" i="6"/>
  <c r="Q787" i="6" s="1"/>
  <c r="AG786" i="6"/>
  <c r="AQ65" i="6"/>
  <c r="AQ928" i="6"/>
  <c r="AR928" i="6"/>
  <c r="BA1218" i="6"/>
  <c r="Q1219" i="6" s="1"/>
  <c r="AG1218" i="6"/>
  <c r="AN1426" i="6"/>
  <c r="AU1426" i="6" s="1"/>
  <c r="AR172" i="6"/>
  <c r="AQ172" i="6"/>
  <c r="AL395" i="6"/>
  <c r="BO1618" i="6"/>
  <c r="BN1619" i="6" s="1"/>
  <c r="BO1516" i="6"/>
  <c r="BN1517" i="6" s="1"/>
  <c r="AM60" i="6"/>
  <c r="AL60" i="6"/>
  <c r="AS1360" i="6"/>
  <c r="AQ784" i="6"/>
  <c r="AR784" i="6"/>
  <c r="BA288" i="6"/>
  <c r="Q289" i="6" s="1"/>
  <c r="AG288" i="6"/>
  <c r="BE1288" i="6"/>
  <c r="U1289" i="6" s="1"/>
  <c r="U1288" i="6"/>
  <c r="BA607" i="6"/>
  <c r="Q608" i="6" s="1"/>
  <c r="AG607" i="6"/>
  <c r="BE532" i="6"/>
  <c r="U533" i="6" s="1"/>
  <c r="U532" i="6"/>
  <c r="BD1650" i="6"/>
  <c r="T1651" i="6" s="1"/>
  <c r="AP1650" i="6"/>
  <c r="BD282" i="6"/>
  <c r="T283" i="6" s="1"/>
  <c r="AP282" i="6"/>
  <c r="AZ1500" i="6"/>
  <c r="P1501" i="6" s="1"/>
  <c r="AK1500" i="6"/>
  <c r="AR1500" i="6" s="1"/>
  <c r="AS1500" i="6" s="1"/>
  <c r="AG1500" i="6"/>
  <c r="AT497" i="6"/>
  <c r="BE497" i="6"/>
  <c r="U498" i="6" s="1"/>
  <c r="AQ856" i="6"/>
  <c r="BO359" i="6"/>
  <c r="BN360" i="6" s="1"/>
  <c r="AK359" i="6"/>
  <c r="AQ968" i="6"/>
  <c r="BD461" i="6"/>
  <c r="T462" i="6" s="1"/>
  <c r="AP461" i="6"/>
  <c r="AL1394" i="6"/>
  <c r="AM1394" i="6"/>
  <c r="BG1576" i="6"/>
  <c r="W1577" i="6" s="1"/>
  <c r="BG1577" i="6" s="1"/>
  <c r="W1578" i="6" s="1"/>
  <c r="BG1578" i="6" s="1"/>
  <c r="W1579" i="6" s="1"/>
  <c r="BG1579" i="6" s="1"/>
  <c r="W1580" i="6" s="1"/>
  <c r="BG1580" i="6" s="1"/>
  <c r="W1581" i="6" s="1"/>
  <c r="BG1581" i="6" s="1"/>
  <c r="W1582" i="6" s="1"/>
  <c r="BG1582" i="6" s="1"/>
  <c r="W1583" i="6" s="1"/>
  <c r="BG1583" i="6" s="1"/>
  <c r="W1584" i="6" s="1"/>
  <c r="BG1584" i="6" s="1"/>
  <c r="W1585" i="6" s="1"/>
  <c r="BG1585" i="6" s="1"/>
  <c r="W1586" i="6" s="1"/>
  <c r="BG1586" i="6" s="1"/>
  <c r="W1587" i="6" s="1"/>
  <c r="BG1587" i="6" s="1"/>
  <c r="W1588" i="6" s="1"/>
  <c r="BG1588" i="6" s="1"/>
  <c r="W1589" i="6" s="1"/>
  <c r="BG1589" i="6" s="1"/>
  <c r="AH1576" i="6"/>
  <c r="AM352" i="6"/>
  <c r="AN352" i="6" s="1"/>
  <c r="AZ206" i="6"/>
  <c r="P207" i="6" s="1"/>
  <c r="AG206" i="6"/>
  <c r="AK206" i="6"/>
  <c r="AR206" i="6" s="1"/>
  <c r="AS206" i="6" s="1"/>
  <c r="BA102" i="6"/>
  <c r="Q103" i="6" s="1"/>
  <c r="BD1037" i="6"/>
  <c r="T1038" i="6" s="1"/>
  <c r="AP1037" i="6"/>
  <c r="AQ750" i="6"/>
  <c r="BD66" i="6"/>
  <c r="T67" i="6" s="1"/>
  <c r="AP66" i="6"/>
  <c r="BD929" i="6"/>
  <c r="T930" i="6" s="1"/>
  <c r="AP929" i="6"/>
  <c r="BA67" i="6"/>
  <c r="Q68" i="6" s="1"/>
  <c r="BD173" i="6"/>
  <c r="T174" i="6" s="1"/>
  <c r="AP173" i="6"/>
  <c r="AQ1361" i="6"/>
  <c r="AR1361" i="6"/>
  <c r="BD785" i="6"/>
  <c r="T786" i="6" s="1"/>
  <c r="AP785" i="6"/>
  <c r="AM459" i="6"/>
  <c r="AL459" i="6"/>
  <c r="BO1584" i="6"/>
  <c r="BN1585" i="6" s="1"/>
  <c r="BE1144" i="6"/>
  <c r="U1145" i="6" s="1"/>
  <c r="U1144" i="6"/>
  <c r="AM1572" i="6"/>
  <c r="AL1572" i="6"/>
  <c r="AQ100" i="6"/>
  <c r="BA898" i="6"/>
  <c r="Q899" i="6" s="1"/>
  <c r="AG898" i="6"/>
  <c r="BA1331" i="6"/>
  <c r="Q1332" i="6" s="1"/>
  <c r="AG1331" i="6"/>
  <c r="AR1183" i="6"/>
  <c r="AQ1183" i="6"/>
  <c r="BD209" i="6"/>
  <c r="T210" i="6" s="1"/>
  <c r="AP209" i="6"/>
  <c r="AL171" i="6"/>
  <c r="AM171" i="6"/>
  <c r="AZ1069" i="6"/>
  <c r="P1070" i="6" s="1"/>
  <c r="AK1069" i="6"/>
  <c r="AR1069" i="6" s="1"/>
  <c r="AS1069" i="6" s="1"/>
  <c r="AG1069" i="6"/>
  <c r="BG1395" i="6"/>
  <c r="W1396" i="6" s="1"/>
  <c r="AH1395" i="6"/>
  <c r="BA751" i="6"/>
  <c r="Q752" i="6" s="1"/>
  <c r="AM1003" i="6"/>
  <c r="AL1003" i="6"/>
  <c r="BD751" i="6"/>
  <c r="T752" i="6" s="1"/>
  <c r="AP751" i="6"/>
  <c r="AN204" i="6"/>
  <c r="AU204" i="6" s="1"/>
  <c r="AL134" i="6"/>
  <c r="AM134" i="6"/>
  <c r="BG27" i="6"/>
  <c r="W28" i="6" s="1"/>
  <c r="AH27" i="6"/>
  <c r="BO395" i="6"/>
  <c r="BN396" i="6" s="1"/>
  <c r="AK395" i="6"/>
  <c r="AM395" i="6" s="1"/>
  <c r="AL819" i="6"/>
  <c r="AM819" i="6"/>
  <c r="BD1362" i="6"/>
  <c r="T1363" i="6" s="1"/>
  <c r="AP1362" i="6"/>
  <c r="AN896" i="6"/>
  <c r="AQ713" i="6"/>
  <c r="AZ61" i="6"/>
  <c r="P62" i="6" s="1"/>
  <c r="AK61" i="6"/>
  <c r="AR61" i="6" s="1"/>
  <c r="AS61" i="6" s="1"/>
  <c r="AG61" i="6"/>
  <c r="AL1401" i="6"/>
  <c r="AQ1108" i="6"/>
  <c r="AR1108" i="6"/>
  <c r="BG460" i="6"/>
  <c r="W461" i="6" s="1"/>
  <c r="BG461" i="6" s="1"/>
  <c r="W462" i="6" s="1"/>
  <c r="BG462" i="6" s="1"/>
  <c r="W463" i="6" s="1"/>
  <c r="BG463" i="6" s="1"/>
  <c r="W464" i="6" s="1"/>
  <c r="BG464" i="6" s="1"/>
  <c r="W465" i="6" s="1"/>
  <c r="BG465" i="6" s="1"/>
  <c r="W466" i="6" s="1"/>
  <c r="BG466" i="6" s="1"/>
  <c r="W467" i="6" s="1"/>
  <c r="BG467" i="6" s="1"/>
  <c r="W468" i="6" s="1"/>
  <c r="BG468" i="6" s="1"/>
  <c r="W469" i="6" s="1"/>
  <c r="BG469" i="6" s="1"/>
  <c r="W470" i="6" s="1"/>
  <c r="BG470" i="6" s="1"/>
  <c r="W471" i="6" s="1"/>
  <c r="BG471" i="6" s="1"/>
  <c r="W472" i="6" s="1"/>
  <c r="BG472" i="6" s="1"/>
  <c r="W473" i="6" s="1"/>
  <c r="BG473" i="6" s="1"/>
  <c r="AH460" i="6"/>
  <c r="AT606" i="6"/>
  <c r="BE606" i="6"/>
  <c r="U607" i="6" s="1"/>
  <c r="AH100" i="6"/>
  <c r="BG100" i="6"/>
  <c r="W101" i="6" s="1"/>
  <c r="BG101" i="6" s="1"/>
  <c r="W102" i="6" s="1"/>
  <c r="BG102" i="6" s="1"/>
  <c r="W103" i="6" s="1"/>
  <c r="BG103" i="6" s="1"/>
  <c r="W104" i="6" s="1"/>
  <c r="BG104" i="6" s="1"/>
  <c r="W105" i="6" s="1"/>
  <c r="BG105" i="6" s="1"/>
  <c r="W106" i="6" s="1"/>
  <c r="BG106" i="6" s="1"/>
  <c r="W107" i="6" s="1"/>
  <c r="BG107" i="6" s="1"/>
  <c r="W108" i="6" s="1"/>
  <c r="BG108" i="6" s="1"/>
  <c r="W109" i="6" s="1"/>
  <c r="BG109" i="6" s="1"/>
  <c r="W110" i="6" s="1"/>
  <c r="BG110" i="6" s="1"/>
  <c r="W111" i="6" s="1"/>
  <c r="BG111" i="6" s="1"/>
  <c r="W112" i="6" s="1"/>
  <c r="BG112" i="6" s="1"/>
  <c r="W113" i="6" s="1"/>
  <c r="BG113" i="6" s="1"/>
  <c r="AT389" i="6"/>
  <c r="BE389" i="6"/>
  <c r="U390" i="6" s="1"/>
  <c r="BO210" i="6"/>
  <c r="BN211" i="6" s="1"/>
  <c r="AZ1573" i="6"/>
  <c r="P1574" i="6" s="1"/>
  <c r="AG1573" i="6"/>
  <c r="AK1573" i="6"/>
  <c r="AR1573" i="6" s="1"/>
  <c r="AS1573" i="6" s="1"/>
  <c r="BD101" i="6"/>
  <c r="T102" i="6" s="1"/>
  <c r="AP101" i="6"/>
  <c r="BE244" i="6"/>
  <c r="U245" i="6" s="1"/>
  <c r="U244" i="6"/>
  <c r="BA822" i="6"/>
  <c r="Q823" i="6" s="1"/>
  <c r="AG822" i="6"/>
  <c r="BE280" i="6"/>
  <c r="U281" i="6" s="1"/>
  <c r="U280" i="6"/>
  <c r="AZ97" i="6"/>
  <c r="P98" i="6" s="1"/>
  <c r="AK97" i="6"/>
  <c r="AR97" i="6" s="1"/>
  <c r="AS97" i="6" s="1"/>
  <c r="AG97" i="6"/>
  <c r="AQ1432" i="6"/>
  <c r="BA34" i="6"/>
  <c r="Q35" i="6" s="1"/>
  <c r="AG34" i="6"/>
  <c r="BD969" i="6"/>
  <c r="T970" i="6" s="1"/>
  <c r="AP969" i="6"/>
  <c r="AN1498" i="6"/>
  <c r="AU1498" i="6" s="1"/>
  <c r="BD1433" i="6"/>
  <c r="T1434" i="6" s="1"/>
  <c r="AP1433" i="6"/>
  <c r="BD137" i="6"/>
  <c r="T138" i="6" s="1"/>
  <c r="AP137" i="6"/>
  <c r="AP1184" i="6"/>
  <c r="BD1184" i="6"/>
  <c r="T1185" i="6" s="1"/>
  <c r="BE676" i="6"/>
  <c r="U677" i="6" s="1"/>
  <c r="U676" i="6"/>
  <c r="BA1146" i="6"/>
  <c r="Q1147" i="6" s="1"/>
  <c r="BG172" i="6"/>
  <c r="W173" i="6" s="1"/>
  <c r="BG173" i="6" s="1"/>
  <c r="W174" i="6" s="1"/>
  <c r="BG174" i="6" s="1"/>
  <c r="W175" i="6" s="1"/>
  <c r="BG175" i="6" s="1"/>
  <c r="W176" i="6" s="1"/>
  <c r="BG176" i="6" s="1"/>
  <c r="W177" i="6" s="1"/>
  <c r="BG177" i="6" s="1"/>
  <c r="W178" i="6" s="1"/>
  <c r="BG178" i="6" s="1"/>
  <c r="W179" i="6" s="1"/>
  <c r="BG179" i="6" s="1"/>
  <c r="W180" i="6" s="1"/>
  <c r="BG180" i="6" s="1"/>
  <c r="W181" i="6" s="1"/>
  <c r="BG181" i="6" s="1"/>
  <c r="W182" i="6" s="1"/>
  <c r="BG182" i="6" s="1"/>
  <c r="W183" i="6" s="1"/>
  <c r="BG183" i="6" s="1"/>
  <c r="W184" i="6" s="1"/>
  <c r="BG184" i="6" s="1"/>
  <c r="W185" i="6" s="1"/>
  <c r="BG185" i="6" s="1"/>
  <c r="AH172" i="6"/>
  <c r="AM1539" i="6"/>
  <c r="AL1539" i="6"/>
  <c r="BE1431" i="6"/>
  <c r="U1431" i="6"/>
  <c r="AM571" i="6"/>
  <c r="AL571" i="6"/>
  <c r="AM1248" i="6"/>
  <c r="AL1248" i="6"/>
  <c r="BA1074" i="6"/>
  <c r="Q1075" i="6" s="1"/>
  <c r="AN1359" i="6"/>
  <c r="AU1359" i="6" s="1"/>
  <c r="BO791" i="6"/>
  <c r="BN792" i="6" s="1"/>
  <c r="AK791" i="6"/>
  <c r="BA1004" i="6"/>
  <c r="Q1005" i="6" s="1"/>
  <c r="AG1004" i="6"/>
  <c r="BA216" i="6"/>
  <c r="Q217" i="6" s="1"/>
  <c r="AN1247" i="6"/>
  <c r="AU1247" i="6" s="1"/>
  <c r="BG135" i="6"/>
  <c r="W136" i="6" s="1"/>
  <c r="AH135" i="6"/>
  <c r="AL26" i="6"/>
  <c r="AM26" i="6"/>
  <c r="AS603" i="6"/>
  <c r="AU603" i="6" s="1"/>
  <c r="AH820" i="6"/>
  <c r="BG820" i="6"/>
  <c r="W821" i="6" s="1"/>
  <c r="BG821" i="6" s="1"/>
  <c r="W822" i="6" s="1"/>
  <c r="BG822" i="6" s="1"/>
  <c r="W823" i="6" s="1"/>
  <c r="BG823" i="6" s="1"/>
  <c r="W824" i="6" s="1"/>
  <c r="BG824" i="6" s="1"/>
  <c r="W825" i="6" s="1"/>
  <c r="BG825" i="6" s="1"/>
  <c r="W826" i="6" s="1"/>
  <c r="BG826" i="6" s="1"/>
  <c r="W827" i="6" s="1"/>
  <c r="BG827" i="6" s="1"/>
  <c r="W828" i="6" s="1"/>
  <c r="BG828" i="6" s="1"/>
  <c r="W829" i="6" s="1"/>
  <c r="BG829" i="6" s="1"/>
  <c r="W830" i="6" s="1"/>
  <c r="BG830" i="6" s="1"/>
  <c r="W831" i="6" s="1"/>
  <c r="BG831" i="6" s="1"/>
  <c r="W832" i="6" s="1"/>
  <c r="BG832" i="6" s="1"/>
  <c r="W833" i="6" s="1"/>
  <c r="BG833" i="6" s="1"/>
  <c r="BA1254" i="6"/>
  <c r="Q1255" i="6" s="1"/>
  <c r="BO142" i="6"/>
  <c r="BN143" i="6" s="1"/>
  <c r="AK142" i="6"/>
  <c r="AS927" i="6"/>
  <c r="AU927" i="6" s="1"/>
  <c r="AN1462" i="6"/>
  <c r="AU1462" i="6" s="1"/>
  <c r="AQ352" i="6"/>
  <c r="AR352" i="6"/>
  <c r="BD714" i="6"/>
  <c r="T715" i="6" s="1"/>
  <c r="AP714" i="6"/>
  <c r="AM1291" i="6"/>
  <c r="AL1291" i="6"/>
  <c r="AN1291" i="6" s="1"/>
  <c r="BE136" i="6"/>
  <c r="U137" i="6" s="1"/>
  <c r="U136" i="6"/>
  <c r="BA1402" i="6"/>
  <c r="Q1403" i="6" s="1"/>
  <c r="AG1402" i="6"/>
  <c r="AP1109" i="6"/>
  <c r="BD1109" i="6"/>
  <c r="T1110" i="6" s="1"/>
  <c r="BE1324" i="6"/>
  <c r="U1325" i="6" s="1"/>
  <c r="U1324" i="6"/>
  <c r="AS1326" i="6"/>
  <c r="AL852" i="6"/>
  <c r="AM852" i="6"/>
  <c r="AM241" i="6"/>
  <c r="AL241" i="6"/>
  <c r="BO968" i="6"/>
  <c r="BN969" i="6" s="1"/>
  <c r="AK968" i="6"/>
  <c r="AM968" i="6" s="1"/>
  <c r="AN968" i="6" s="1"/>
  <c r="AM312" i="6"/>
  <c r="AL312" i="6"/>
  <c r="BD1397" i="6"/>
  <c r="T1398" i="6" s="1"/>
  <c r="AP1397" i="6"/>
  <c r="BA432" i="6"/>
  <c r="Q433" i="6" s="1"/>
  <c r="BA1040" i="6"/>
  <c r="Q1041" i="6" s="1"/>
  <c r="AG1040" i="6"/>
  <c r="U928" i="6"/>
  <c r="BE928" i="6"/>
  <c r="U929" i="6" s="1"/>
  <c r="BA1651" i="6"/>
  <c r="Q1652" i="6" s="1"/>
  <c r="AM930" i="6"/>
  <c r="AL930" i="6"/>
  <c r="AR820" i="6"/>
  <c r="AQ820" i="6"/>
  <c r="AQ1144" i="6"/>
  <c r="AL1644" i="6"/>
  <c r="AM1644" i="6"/>
  <c r="AL1542" i="6"/>
  <c r="AM1542" i="6"/>
  <c r="BE784" i="6"/>
  <c r="U785" i="6" s="1"/>
  <c r="U784" i="6"/>
  <c r="AT461" i="6"/>
  <c r="BE461" i="6"/>
  <c r="U462" i="6" s="1"/>
  <c r="AL744" i="6"/>
  <c r="AM744" i="6"/>
  <c r="BD353" i="6"/>
  <c r="T354" i="6" s="1"/>
  <c r="AP353" i="6"/>
  <c r="BA1292" i="6"/>
  <c r="Q1293" i="6" s="1"/>
  <c r="AG1292" i="6"/>
  <c r="AL642" i="6"/>
  <c r="AM642" i="6"/>
  <c r="BE1467" i="6"/>
  <c r="U1467" i="6"/>
  <c r="AQ1612" i="6"/>
  <c r="BO679" i="6"/>
  <c r="BN680" i="6" s="1"/>
  <c r="BG242" i="6"/>
  <c r="W243" i="6" s="1"/>
  <c r="AH242" i="6"/>
  <c r="AQ1577" i="6"/>
  <c r="BD425" i="6"/>
  <c r="T426" i="6" s="1"/>
  <c r="AP425" i="6"/>
  <c r="BA503" i="6"/>
  <c r="Q504" i="6" s="1"/>
  <c r="BG1540" i="6"/>
  <c r="W1541" i="6" s="1"/>
  <c r="BG1541" i="6" s="1"/>
  <c r="W1542" i="6" s="1"/>
  <c r="BG1542" i="6" s="1"/>
  <c r="W1543" i="6" s="1"/>
  <c r="BG1543" i="6" s="1"/>
  <c r="W1544" i="6" s="1"/>
  <c r="BG1544" i="6" s="1"/>
  <c r="W1545" i="6" s="1"/>
  <c r="BG1545" i="6" s="1"/>
  <c r="W1546" i="6" s="1"/>
  <c r="BG1546" i="6" s="1"/>
  <c r="W1547" i="6" s="1"/>
  <c r="BG1547" i="6" s="1"/>
  <c r="W1548" i="6" s="1"/>
  <c r="BG1548" i="6" s="1"/>
  <c r="W1549" i="6" s="1"/>
  <c r="BG1549" i="6" s="1"/>
  <c r="W1550" i="6" s="1"/>
  <c r="BG1550" i="6" s="1"/>
  <c r="W1551" i="6" s="1"/>
  <c r="BG1551" i="6" s="1"/>
  <c r="W1552" i="6" s="1"/>
  <c r="BG1552" i="6" s="1"/>
  <c r="W1553" i="6" s="1"/>
  <c r="BG1553" i="6" s="1"/>
  <c r="AH1540" i="6"/>
  <c r="BE28" i="6"/>
  <c r="U29" i="6" s="1"/>
  <c r="U28" i="6"/>
  <c r="BE208" i="6"/>
  <c r="U209" i="6" s="1"/>
  <c r="U208" i="6"/>
  <c r="AM528" i="6"/>
  <c r="AL528" i="6"/>
  <c r="BA572" i="6"/>
  <c r="Q573" i="6" s="1"/>
  <c r="AG572" i="6"/>
  <c r="U1504" i="6"/>
  <c r="BE1504" i="6"/>
  <c r="U1505" i="6" s="1"/>
  <c r="U64" i="6"/>
  <c r="BE64" i="6"/>
  <c r="U65" i="6" s="1"/>
  <c r="BG747" i="6"/>
  <c r="W748" i="6" s="1"/>
  <c r="AH747" i="6"/>
  <c r="BA329" i="6"/>
  <c r="AZ673" i="6"/>
  <c r="P674" i="6" s="1"/>
  <c r="AG673" i="6"/>
  <c r="AK673" i="6"/>
  <c r="AR673" i="6" s="1"/>
  <c r="AS673" i="6" s="1"/>
  <c r="BE640" i="6"/>
  <c r="U641" i="6" s="1"/>
  <c r="U640" i="6"/>
  <c r="BG496" i="6"/>
  <c r="W497" i="6" s="1"/>
  <c r="BG497" i="6" s="1"/>
  <c r="W498" i="6" s="1"/>
  <c r="BG498" i="6" s="1"/>
  <c r="W499" i="6" s="1"/>
  <c r="BG499" i="6" s="1"/>
  <c r="W500" i="6" s="1"/>
  <c r="BG500" i="6" s="1"/>
  <c r="W501" i="6" s="1"/>
  <c r="BG501" i="6" s="1"/>
  <c r="W502" i="6" s="1"/>
  <c r="BG502" i="6" s="1"/>
  <c r="W503" i="6" s="1"/>
  <c r="BG503" i="6" s="1"/>
  <c r="W504" i="6" s="1"/>
  <c r="BG504" i="6" s="1"/>
  <c r="W505" i="6" s="1"/>
  <c r="BG505" i="6" s="1"/>
  <c r="W506" i="6" s="1"/>
  <c r="BG506" i="6" s="1"/>
  <c r="W507" i="6" s="1"/>
  <c r="BG507" i="6" s="1"/>
  <c r="W508" i="6" s="1"/>
  <c r="BG508" i="6" s="1"/>
  <c r="W509" i="6" s="1"/>
  <c r="BG509" i="6" s="1"/>
  <c r="AH496" i="6"/>
  <c r="AL1181" i="6"/>
  <c r="AM1181" i="6"/>
  <c r="AN179" i="6"/>
  <c r="AR1543" i="6"/>
  <c r="AQ1543" i="6"/>
  <c r="BA1618" i="6"/>
  <c r="Q1619" i="6" s="1"/>
  <c r="AZ529" i="6"/>
  <c r="P530" i="6" s="1"/>
  <c r="AG529" i="6"/>
  <c r="AK529" i="6"/>
  <c r="AR529" i="6" s="1"/>
  <c r="AS529" i="6" s="1"/>
  <c r="AZ1249" i="6"/>
  <c r="P1250" i="6" s="1"/>
  <c r="AK1249" i="6"/>
  <c r="AR1249" i="6" s="1"/>
  <c r="AS1249" i="6" s="1"/>
  <c r="AG1249" i="6"/>
  <c r="AM1140" i="6"/>
  <c r="AL1140" i="6"/>
  <c r="AT822" i="6"/>
  <c r="BE822" i="6"/>
  <c r="U823" i="6" s="1"/>
  <c r="BO935" i="6"/>
  <c r="BN936" i="6" s="1"/>
  <c r="AK935" i="6"/>
  <c r="AN1067" i="6"/>
  <c r="AU1067" i="6" s="1"/>
  <c r="BA931" i="6"/>
  <c r="Q932" i="6" s="1"/>
  <c r="AG931" i="6"/>
  <c r="BE100" i="6"/>
  <c r="U101" i="6" s="1"/>
  <c r="U100" i="6"/>
  <c r="BD821" i="6"/>
  <c r="T822" i="6" s="1"/>
  <c r="AP821" i="6"/>
  <c r="BD1145" i="6"/>
  <c r="T1146" i="6" s="1"/>
  <c r="AP1145" i="6"/>
  <c r="AZ1645" i="6"/>
  <c r="P1646" i="6" s="1"/>
  <c r="AK1645" i="6"/>
  <c r="AR1645" i="6" s="1"/>
  <c r="AS1645" i="6" s="1"/>
  <c r="AG1645" i="6"/>
  <c r="BE713" i="6"/>
  <c r="U714" i="6" s="1"/>
  <c r="AT713" i="6"/>
  <c r="BA1543" i="6"/>
  <c r="Q1544" i="6" s="1"/>
  <c r="AG1543" i="6"/>
  <c r="AM141" i="6"/>
  <c r="AL141" i="6"/>
  <c r="AN1541" i="6"/>
  <c r="AL784" i="6"/>
  <c r="AN784" i="6" s="1"/>
  <c r="BA643" i="6"/>
  <c r="Q644" i="6" s="1"/>
  <c r="AG643" i="6"/>
  <c r="AN1643" i="6"/>
  <c r="AU1643" i="6" s="1"/>
  <c r="BD1613" i="6"/>
  <c r="T1614" i="6" s="1"/>
  <c r="AP1613" i="6"/>
  <c r="AN1290" i="6"/>
  <c r="AR1327" i="6"/>
  <c r="AQ1327" i="6"/>
  <c r="BO1151" i="6"/>
  <c r="BN1152" i="6" s="1"/>
  <c r="AZ853" i="6"/>
  <c r="P854" i="6" s="1"/>
  <c r="AK853" i="6"/>
  <c r="AR853" i="6" s="1"/>
  <c r="AS853" i="6" s="1"/>
  <c r="AG853" i="6"/>
  <c r="AR890" i="6"/>
  <c r="AQ890" i="6"/>
  <c r="BE1108" i="6"/>
  <c r="U1109" i="6" s="1"/>
  <c r="U1108" i="6"/>
  <c r="BD1578" i="6"/>
  <c r="T1579" i="6" s="1"/>
  <c r="AP1578" i="6"/>
  <c r="AM96" i="6"/>
  <c r="AL96" i="6"/>
  <c r="AZ1609" i="6"/>
  <c r="P1610" i="6" s="1"/>
  <c r="AG1609" i="6"/>
  <c r="AK1609" i="6"/>
  <c r="AR1609" i="6" s="1"/>
  <c r="AS1609" i="6" s="1"/>
  <c r="AM1039" i="6"/>
  <c r="AL1039" i="6"/>
  <c r="AM33" i="6"/>
  <c r="AL33" i="6"/>
  <c r="BE748" i="6"/>
  <c r="U749" i="6" s="1"/>
  <c r="U748" i="6"/>
  <c r="BO1474" i="6"/>
  <c r="BN1475" i="6" s="1"/>
  <c r="AM672" i="6"/>
  <c r="AL672" i="6"/>
  <c r="BH935" i="6"/>
  <c r="X936" i="6" s="1"/>
  <c r="AD935" i="6"/>
  <c r="BA1182" i="6"/>
  <c r="Q1183" i="6" s="1"/>
  <c r="AG1182" i="6"/>
  <c r="BG1071" i="6"/>
  <c r="W1072" i="6" s="1"/>
  <c r="AH1071" i="6"/>
  <c r="BD1544" i="6"/>
  <c r="T1545" i="6" s="1"/>
  <c r="AP1544" i="6"/>
  <c r="BE316" i="6"/>
  <c r="U317" i="6" s="1"/>
  <c r="U316" i="6"/>
  <c r="AQ568" i="6"/>
  <c r="AR568" i="6"/>
  <c r="AS1542" i="6"/>
  <c r="AM1109" i="6"/>
  <c r="AL1109" i="6"/>
  <c r="BE1360" i="6"/>
  <c r="U1361" i="6" s="1"/>
  <c r="U1360" i="6"/>
  <c r="AQ534" i="6"/>
  <c r="AQ604" i="6"/>
  <c r="AR604" i="6"/>
  <c r="BA1435" i="6"/>
  <c r="Q1436" i="6" s="1"/>
  <c r="AQ28" i="6"/>
  <c r="AR28" i="6"/>
  <c r="BA680" i="6"/>
  <c r="Q681" i="6" s="1"/>
  <c r="AL999" i="6"/>
  <c r="AM999" i="6"/>
  <c r="AS783" i="6"/>
  <c r="AU783" i="6" s="1"/>
  <c r="BD1001" i="6"/>
  <c r="T1002" i="6" s="1"/>
  <c r="AP1001" i="6"/>
  <c r="BA142" i="6"/>
  <c r="Q143" i="6" s="1"/>
  <c r="AG142" i="6"/>
  <c r="AZ745" i="6"/>
  <c r="P746" i="6" s="1"/>
  <c r="AK745" i="6"/>
  <c r="AR745" i="6" s="1"/>
  <c r="AS745" i="6" s="1"/>
  <c r="AG745" i="6"/>
  <c r="BE891" i="6"/>
  <c r="U891" i="6"/>
  <c r="BE172" i="6"/>
  <c r="U173" i="6" s="1"/>
  <c r="U172" i="6"/>
  <c r="AQ1468" i="6"/>
  <c r="BD1328" i="6"/>
  <c r="T1329" i="6" s="1"/>
  <c r="AP1328" i="6"/>
  <c r="BE855" i="6"/>
  <c r="U855" i="6"/>
  <c r="BD891" i="6"/>
  <c r="T892" i="6" s="1"/>
  <c r="AP891" i="6"/>
  <c r="AL251" i="6"/>
  <c r="BE1252" i="6"/>
  <c r="U1253" i="6" s="1"/>
  <c r="U1252" i="6"/>
  <c r="AM707" i="6"/>
  <c r="AL707" i="6"/>
  <c r="BO541" i="6"/>
  <c r="BN542" i="6" s="1"/>
  <c r="BD1217" i="6"/>
  <c r="T1218" i="6" s="1"/>
  <c r="AP1217" i="6"/>
  <c r="AQ1070" i="6"/>
  <c r="AM180" i="6"/>
  <c r="AL180" i="6"/>
  <c r="AQ319" i="6"/>
  <c r="AS1182" i="6"/>
  <c r="AL278" i="6"/>
  <c r="AM278" i="6"/>
  <c r="AM491" i="6"/>
  <c r="AL491" i="6"/>
  <c r="BD569" i="6"/>
  <c r="T570" i="6" s="1"/>
  <c r="AP569" i="6"/>
  <c r="BA1110" i="6"/>
  <c r="Q1111" i="6" s="1"/>
  <c r="AG1110" i="6"/>
  <c r="BA1585" i="6"/>
  <c r="Q1586" i="6" s="1"/>
  <c r="AZ1141" i="6"/>
  <c r="P1142" i="6" s="1"/>
  <c r="AK1141" i="6"/>
  <c r="AR1141" i="6" s="1"/>
  <c r="AS1141" i="6" s="1"/>
  <c r="AG1141" i="6"/>
  <c r="BD535" i="6"/>
  <c r="T536" i="6" s="1"/>
  <c r="AP535" i="6"/>
  <c r="BD605" i="6"/>
  <c r="T606" i="6" s="1"/>
  <c r="AP605" i="6"/>
  <c r="AZ1013" i="6"/>
  <c r="AK1013" i="6"/>
  <c r="AQ497" i="6"/>
  <c r="BD29" i="6"/>
  <c r="T30" i="6" s="1"/>
  <c r="AP29" i="6"/>
  <c r="AM388" i="6"/>
  <c r="AL388" i="6"/>
  <c r="BO431" i="6"/>
  <c r="BN432" i="6" s="1"/>
  <c r="AM421" i="6"/>
  <c r="AL421" i="6"/>
  <c r="BG1000" i="6"/>
  <c r="W1001" i="6" s="1"/>
  <c r="BG1001" i="6" s="1"/>
  <c r="W1002" i="6" s="1"/>
  <c r="BG1002" i="6" s="1"/>
  <c r="W1003" i="6" s="1"/>
  <c r="BG1003" i="6" s="1"/>
  <c r="W1004" i="6" s="1"/>
  <c r="BG1004" i="6" s="1"/>
  <c r="W1005" i="6" s="1"/>
  <c r="BG1005" i="6" s="1"/>
  <c r="W1006" i="6" s="1"/>
  <c r="BG1006" i="6" s="1"/>
  <c r="W1007" i="6" s="1"/>
  <c r="BG1007" i="6" s="1"/>
  <c r="W1008" i="6" s="1"/>
  <c r="BG1008" i="6" s="1"/>
  <c r="W1009" i="6" s="1"/>
  <c r="BG1009" i="6" s="1"/>
  <c r="W1010" i="6" s="1"/>
  <c r="BG1010" i="6" s="1"/>
  <c r="W1011" i="6" s="1"/>
  <c r="BG1011" i="6" s="1"/>
  <c r="W1012" i="6" s="1"/>
  <c r="BG1012" i="6" s="1"/>
  <c r="W1013" i="6" s="1"/>
  <c r="BG1013" i="6" s="1"/>
  <c r="AH1000" i="6"/>
  <c r="AQ1000" i="6"/>
  <c r="AR1000" i="6"/>
  <c r="AU1287" i="6"/>
  <c r="BD1469" i="6"/>
  <c r="T1470" i="6" s="1"/>
  <c r="AP1469" i="6"/>
  <c r="BO247" i="6"/>
  <c r="BN248" i="6" s="1"/>
  <c r="AK247" i="6"/>
  <c r="AM247" i="6" s="1"/>
  <c r="AN247" i="6" s="1"/>
  <c r="BO1261" i="6"/>
  <c r="BN1262" i="6" s="1"/>
  <c r="AR388" i="6"/>
  <c r="AQ388" i="6"/>
  <c r="AM466" i="6"/>
  <c r="AL466" i="6"/>
  <c r="BA252" i="6"/>
  <c r="Q253" i="6" s="1"/>
  <c r="AG252" i="6"/>
  <c r="AQ244" i="6"/>
  <c r="AR244" i="6"/>
  <c r="BH1153" i="6"/>
  <c r="X1154" i="6" s="1"/>
  <c r="AD1153" i="6"/>
  <c r="BA354" i="6"/>
  <c r="Q355" i="6" s="1"/>
  <c r="AG354" i="6"/>
  <c r="AU1215" i="6"/>
  <c r="BA863" i="6"/>
  <c r="Q864" i="6" s="1"/>
  <c r="BG964" i="6"/>
  <c r="W965" i="6" s="1"/>
  <c r="BG965" i="6" s="1"/>
  <c r="W966" i="6" s="1"/>
  <c r="BG966" i="6" s="1"/>
  <c r="W967" i="6" s="1"/>
  <c r="BG967" i="6" s="1"/>
  <c r="W968" i="6" s="1"/>
  <c r="BG968" i="6" s="1"/>
  <c r="W969" i="6" s="1"/>
  <c r="BG969" i="6" s="1"/>
  <c r="W970" i="6" s="1"/>
  <c r="BG970" i="6" s="1"/>
  <c r="W971" i="6" s="1"/>
  <c r="BG971" i="6" s="1"/>
  <c r="W972" i="6" s="1"/>
  <c r="BG972" i="6" s="1"/>
  <c r="W973" i="6" s="1"/>
  <c r="BG973" i="6" s="1"/>
  <c r="W974" i="6" s="1"/>
  <c r="BG974" i="6" s="1"/>
  <c r="W975" i="6" s="1"/>
  <c r="BG975" i="6" s="1"/>
  <c r="W976" i="6" s="1"/>
  <c r="BG976" i="6" s="1"/>
  <c r="W977" i="6" s="1"/>
  <c r="BG977" i="6" s="1"/>
  <c r="AH964" i="6"/>
  <c r="AQ208" i="6"/>
  <c r="BE1648" i="6"/>
  <c r="U1649" i="6" s="1"/>
  <c r="U1648" i="6"/>
  <c r="AR136" i="6"/>
  <c r="AQ136" i="6"/>
  <c r="BA544" i="6"/>
  <c r="Q545" i="6" s="1"/>
  <c r="BE1072" i="6"/>
  <c r="U1073" i="6" s="1"/>
  <c r="U1072" i="6"/>
  <c r="BD1071" i="6"/>
  <c r="T1072" i="6" s="1"/>
  <c r="AP1071" i="6"/>
  <c r="BO1193" i="6"/>
  <c r="AK1193" i="6"/>
  <c r="AN240" i="6"/>
  <c r="AU240" i="6" s="1"/>
  <c r="BA181" i="6"/>
  <c r="Q182" i="6" s="1"/>
  <c r="AG181" i="6"/>
  <c r="BD320" i="6"/>
  <c r="T321" i="6" s="1"/>
  <c r="AP320" i="6"/>
  <c r="BG279" i="6"/>
  <c r="W280" i="6" s="1"/>
  <c r="AH279" i="6"/>
  <c r="AN277" i="6"/>
  <c r="AU277" i="6" s="1"/>
  <c r="AM1360" i="6"/>
  <c r="AL1360" i="6"/>
  <c r="U1540" i="6"/>
  <c r="BE1540" i="6"/>
  <c r="U1541" i="6" s="1"/>
  <c r="AN1108" i="6"/>
  <c r="BE1036" i="6"/>
  <c r="U1037" i="6" s="1"/>
  <c r="U1036" i="6"/>
  <c r="BA1506" i="6"/>
  <c r="Q1507" i="6" s="1"/>
  <c r="AN891" i="6"/>
  <c r="BD498" i="6"/>
  <c r="T499" i="6" s="1"/>
  <c r="AP498" i="6"/>
  <c r="AN929" i="6"/>
  <c r="AZ422" i="6"/>
  <c r="P423" i="6" s="1"/>
  <c r="AG422" i="6"/>
  <c r="AK422" i="6"/>
  <c r="AR422" i="6" s="1"/>
  <c r="AS422" i="6" s="1"/>
  <c r="AN311" i="6"/>
  <c r="AU311" i="6" s="1"/>
  <c r="AN420" i="6"/>
  <c r="AU420" i="6" s="1"/>
  <c r="AN1216" i="6"/>
  <c r="BA1471" i="6"/>
  <c r="Q1472" i="6" s="1"/>
  <c r="AN140" i="6"/>
  <c r="AQ640" i="6"/>
  <c r="AR640" i="6"/>
  <c r="BD389" i="6"/>
  <c r="T390" i="6" s="1"/>
  <c r="AP389" i="6"/>
  <c r="AN1607" i="6"/>
  <c r="AU1607" i="6" s="1"/>
  <c r="BA467" i="6"/>
  <c r="Q468" i="6" s="1"/>
  <c r="AG467" i="6"/>
  <c r="AQ1504" i="6"/>
  <c r="BD245" i="6"/>
  <c r="T246" i="6" s="1"/>
  <c r="AP245" i="6"/>
  <c r="AZ708" i="6"/>
  <c r="P709" i="6" s="1"/>
  <c r="AK708" i="6"/>
  <c r="AR708" i="6" s="1"/>
  <c r="AS708" i="6" s="1"/>
  <c r="AG708" i="6"/>
  <c r="AN1140" i="6" l="1"/>
  <c r="AU1140" i="6" s="1"/>
  <c r="AS136" i="6"/>
  <c r="AS1183" i="6"/>
  <c r="AS890" i="6"/>
  <c r="AU890" i="6" s="1"/>
  <c r="AN388" i="6"/>
  <c r="AN707" i="6"/>
  <c r="AU707" i="6" s="1"/>
  <c r="AN141" i="6"/>
  <c r="AN1248" i="6"/>
  <c r="AU1248" i="6" s="1"/>
  <c r="AN606" i="6"/>
  <c r="AN892" i="6"/>
  <c r="AU387" i="6"/>
  <c r="AS1543" i="6"/>
  <c r="AN1003" i="6"/>
  <c r="AN672" i="6"/>
  <c r="AU672" i="6" s="1"/>
  <c r="AN96" i="6"/>
  <c r="AU96" i="6" s="1"/>
  <c r="AS1327" i="6"/>
  <c r="AN1463" i="6"/>
  <c r="AU1463" i="6" s="1"/>
  <c r="AS28" i="6"/>
  <c r="AN821" i="6"/>
  <c r="AN930" i="6"/>
  <c r="AS1036" i="6"/>
  <c r="AU1036" i="6" s="1"/>
  <c r="AS460" i="6"/>
  <c r="AN819" i="6"/>
  <c r="AU819" i="6" s="1"/>
  <c r="AS640" i="6"/>
  <c r="AU640" i="6" s="1"/>
  <c r="AS1000" i="6"/>
  <c r="AN1181" i="6"/>
  <c r="AS281" i="6"/>
  <c r="AN1608" i="6"/>
  <c r="AU1608" i="6" s="1"/>
  <c r="AN1644" i="6"/>
  <c r="AU1644" i="6" s="1"/>
  <c r="AS820" i="6"/>
  <c r="AN528" i="6"/>
  <c r="AU528" i="6" s="1"/>
  <c r="AN1539" i="6"/>
  <c r="AU1539" i="6" s="1"/>
  <c r="AN963" i="6"/>
  <c r="AU963" i="6" s="1"/>
  <c r="AN897" i="6"/>
  <c r="AN180" i="6"/>
  <c r="AN33" i="6"/>
  <c r="AN1394" i="6"/>
  <c r="AU1394" i="6" s="1"/>
  <c r="AN785" i="6"/>
  <c r="AN421" i="6"/>
  <c r="AU421" i="6" s="1"/>
  <c r="AL252" i="6"/>
  <c r="BO248" i="6"/>
  <c r="BN249" i="6" s="1"/>
  <c r="AK248" i="6"/>
  <c r="AM248" i="6" s="1"/>
  <c r="AN248" i="6" s="1"/>
  <c r="BD536" i="6"/>
  <c r="T537" i="6" s="1"/>
  <c r="AP536" i="6"/>
  <c r="BE1109" i="6"/>
  <c r="U1110" i="6" s="1"/>
  <c r="AT1109" i="6"/>
  <c r="BD1614" i="6"/>
  <c r="T1615" i="6" s="1"/>
  <c r="AP1614" i="6"/>
  <c r="AT714" i="6"/>
  <c r="BE714" i="6"/>
  <c r="U715" i="6" s="1"/>
  <c r="BA932" i="6"/>
  <c r="Q933" i="6" s="1"/>
  <c r="AG932" i="6"/>
  <c r="AM1292" i="6"/>
  <c r="AL1292" i="6"/>
  <c r="AK969" i="6"/>
  <c r="AM969" i="6" s="1"/>
  <c r="AN969" i="6" s="1"/>
  <c r="BO969" i="6"/>
  <c r="BN970" i="6" s="1"/>
  <c r="BA1403" i="6"/>
  <c r="Q1404" i="6" s="1"/>
  <c r="AG1403" i="6"/>
  <c r="AN571" i="6"/>
  <c r="BD1185" i="6"/>
  <c r="T1186" i="6" s="1"/>
  <c r="AP1185" i="6"/>
  <c r="AL34" i="6"/>
  <c r="AM34" i="6"/>
  <c r="AM61" i="6"/>
  <c r="AL61" i="6"/>
  <c r="BO396" i="6"/>
  <c r="BN397" i="6" s="1"/>
  <c r="AK396" i="6"/>
  <c r="AM396" i="6" s="1"/>
  <c r="AL1395" i="6"/>
  <c r="AM1395" i="6"/>
  <c r="AR929" i="6"/>
  <c r="AQ929" i="6"/>
  <c r="AZ207" i="6"/>
  <c r="P208" i="6" s="1"/>
  <c r="AI207" i="6"/>
  <c r="AF207" i="6"/>
  <c r="AG207" i="6"/>
  <c r="AK207" i="6"/>
  <c r="AR207" i="6" s="1"/>
  <c r="AS207" i="6" s="1"/>
  <c r="BO360" i="6"/>
  <c r="BN361" i="6" s="1"/>
  <c r="AK360" i="6"/>
  <c r="BE1576" i="6"/>
  <c r="U1577" i="6" s="1"/>
  <c r="U1576" i="6"/>
  <c r="BE1398" i="6"/>
  <c r="U1399" i="6" s="1"/>
  <c r="AT1398" i="6"/>
  <c r="BE1216" i="6"/>
  <c r="U1217" i="6" s="1"/>
  <c r="U1216" i="6"/>
  <c r="BO1652" i="6"/>
  <c r="BN1653" i="6" s="1"/>
  <c r="AQ498" i="6"/>
  <c r="BD499" i="6"/>
  <c r="T500" i="6" s="1"/>
  <c r="AP499" i="6"/>
  <c r="BD1072" i="6"/>
  <c r="T1073" i="6" s="1"/>
  <c r="AP1072" i="6"/>
  <c r="AM964" i="6"/>
  <c r="AL964" i="6"/>
  <c r="BA253" i="6"/>
  <c r="Q254" i="6" s="1"/>
  <c r="AG253" i="6"/>
  <c r="AQ1469" i="6"/>
  <c r="BO542" i="6"/>
  <c r="BN543" i="6" s="1"/>
  <c r="AR891" i="6"/>
  <c r="AQ891" i="6"/>
  <c r="BE892" i="6"/>
  <c r="U893" i="6" s="1"/>
  <c r="U892" i="6"/>
  <c r="BA681" i="6"/>
  <c r="Q682" i="6" s="1"/>
  <c r="AT1361" i="6"/>
  <c r="BE1361" i="6"/>
  <c r="U1362" i="6" s="1"/>
  <c r="BG1072" i="6"/>
  <c r="W1073" i="6" s="1"/>
  <c r="BG1073" i="6" s="1"/>
  <c r="W1074" i="6" s="1"/>
  <c r="BG1074" i="6" s="1"/>
  <c r="W1075" i="6" s="1"/>
  <c r="BG1075" i="6" s="1"/>
  <c r="W1076" i="6" s="1"/>
  <c r="BG1076" i="6" s="1"/>
  <c r="W1077" i="6" s="1"/>
  <c r="BG1077" i="6" s="1"/>
  <c r="W1078" i="6" s="1"/>
  <c r="BG1078" i="6" s="1"/>
  <c r="W1079" i="6" s="1"/>
  <c r="BG1079" i="6" s="1"/>
  <c r="W1080" i="6" s="1"/>
  <c r="BG1080" i="6" s="1"/>
  <c r="W1081" i="6" s="1"/>
  <c r="BG1081" i="6" s="1"/>
  <c r="W1082" i="6" s="1"/>
  <c r="BG1082" i="6" s="1"/>
  <c r="W1083" i="6" s="1"/>
  <c r="BG1083" i="6" s="1"/>
  <c r="W1084" i="6" s="1"/>
  <c r="BG1084" i="6" s="1"/>
  <c r="W1085" i="6" s="1"/>
  <c r="BG1085" i="6" s="1"/>
  <c r="AH1072" i="6"/>
  <c r="AL1645" i="6"/>
  <c r="AM1645" i="6"/>
  <c r="BG748" i="6"/>
  <c r="W749" i="6" s="1"/>
  <c r="BG749" i="6" s="1"/>
  <c r="W750" i="6" s="1"/>
  <c r="BG750" i="6" s="1"/>
  <c r="W751" i="6" s="1"/>
  <c r="BG751" i="6" s="1"/>
  <c r="W752" i="6" s="1"/>
  <c r="BG752" i="6" s="1"/>
  <c r="W753" i="6" s="1"/>
  <c r="BG753" i="6" s="1"/>
  <c r="W754" i="6" s="1"/>
  <c r="BG754" i="6" s="1"/>
  <c r="W755" i="6" s="1"/>
  <c r="BG755" i="6" s="1"/>
  <c r="W756" i="6" s="1"/>
  <c r="BG756" i="6" s="1"/>
  <c r="W757" i="6" s="1"/>
  <c r="BG757" i="6" s="1"/>
  <c r="W758" i="6" s="1"/>
  <c r="BG758" i="6" s="1"/>
  <c r="W759" i="6" s="1"/>
  <c r="BG759" i="6" s="1"/>
  <c r="W760" i="6" s="1"/>
  <c r="BG760" i="6" s="1"/>
  <c r="W761" i="6" s="1"/>
  <c r="BG761" i="6" s="1"/>
  <c r="AH748" i="6"/>
  <c r="BE29" i="6"/>
  <c r="U30" i="6" s="1"/>
  <c r="AT29" i="6"/>
  <c r="BA1293" i="6"/>
  <c r="Q1294" i="6" s="1"/>
  <c r="AG1293" i="6"/>
  <c r="BE929" i="6"/>
  <c r="U930" i="6" s="1"/>
  <c r="AT929" i="6"/>
  <c r="AR1184" i="6"/>
  <c r="AQ1184" i="6"/>
  <c r="BA35" i="6"/>
  <c r="Q36" i="6" s="1"/>
  <c r="AG35" i="6"/>
  <c r="AT245" i="6"/>
  <c r="BE245" i="6"/>
  <c r="U246" i="6" s="1"/>
  <c r="AL27" i="6"/>
  <c r="AM27" i="6"/>
  <c r="BG1396" i="6"/>
  <c r="W1397" i="6" s="1"/>
  <c r="BG1397" i="6" s="1"/>
  <c r="W1398" i="6" s="1"/>
  <c r="BG1398" i="6" s="1"/>
  <c r="W1399" i="6" s="1"/>
  <c r="BG1399" i="6" s="1"/>
  <c r="W1400" i="6" s="1"/>
  <c r="BG1400" i="6" s="1"/>
  <c r="W1401" i="6" s="1"/>
  <c r="BG1401" i="6" s="1"/>
  <c r="W1402" i="6" s="1"/>
  <c r="BG1402" i="6" s="1"/>
  <c r="W1403" i="6" s="1"/>
  <c r="BG1403" i="6" s="1"/>
  <c r="W1404" i="6" s="1"/>
  <c r="BG1404" i="6" s="1"/>
  <c r="W1405" i="6" s="1"/>
  <c r="BG1405" i="6" s="1"/>
  <c r="W1406" i="6" s="1"/>
  <c r="BG1406" i="6" s="1"/>
  <c r="W1407" i="6" s="1"/>
  <c r="BG1407" i="6" s="1"/>
  <c r="W1408" i="6" s="1"/>
  <c r="BG1408" i="6" s="1"/>
  <c r="W1409" i="6" s="1"/>
  <c r="BG1409" i="6" s="1"/>
  <c r="AH1396" i="6"/>
  <c r="AM1331" i="6"/>
  <c r="AL1331" i="6"/>
  <c r="BO1585" i="6"/>
  <c r="BN1586" i="6" s="1"/>
  <c r="BD930" i="6"/>
  <c r="T931" i="6" s="1"/>
  <c r="AP930" i="6"/>
  <c r="BE533" i="6"/>
  <c r="U534" i="6" s="1"/>
  <c r="AT533" i="6"/>
  <c r="AS928" i="6"/>
  <c r="AU928" i="6" s="1"/>
  <c r="AZ471" i="6"/>
  <c r="P472" i="6" s="1"/>
  <c r="AK471" i="6"/>
  <c r="AN1217" i="6"/>
  <c r="AZ1429" i="6"/>
  <c r="P1430" i="6" s="1"/>
  <c r="AK1429" i="6"/>
  <c r="AR1429" i="6" s="1"/>
  <c r="AS1429" i="6" s="1"/>
  <c r="AG1429" i="6"/>
  <c r="AM1361" i="6"/>
  <c r="AL1361" i="6"/>
  <c r="BA1183" i="6"/>
  <c r="Q1184" i="6" s="1"/>
  <c r="AG1183" i="6"/>
  <c r="AR137" i="6"/>
  <c r="AQ137" i="6"/>
  <c r="AQ1071" i="6"/>
  <c r="AZ709" i="6"/>
  <c r="P710" i="6" s="1"/>
  <c r="AK709" i="6"/>
  <c r="AR709" i="6" s="1"/>
  <c r="AS709" i="6" s="1"/>
  <c r="AG709" i="6"/>
  <c r="AR245" i="6"/>
  <c r="AQ245" i="6"/>
  <c r="AL279" i="6"/>
  <c r="AM279" i="6"/>
  <c r="AN466" i="6"/>
  <c r="BD1470" i="6"/>
  <c r="T1471" i="6" s="1"/>
  <c r="AP1470" i="6"/>
  <c r="AR29" i="6"/>
  <c r="AQ29" i="6"/>
  <c r="AL1141" i="6"/>
  <c r="AM1141" i="6"/>
  <c r="AN278" i="6"/>
  <c r="AU278" i="6" s="1"/>
  <c r="BD892" i="6"/>
  <c r="T893" i="6" s="1"/>
  <c r="AP892" i="6"/>
  <c r="AL745" i="6"/>
  <c r="AM745" i="6"/>
  <c r="AN1109" i="6"/>
  <c r="AM1182" i="6"/>
  <c r="AL1182" i="6"/>
  <c r="AN1039" i="6"/>
  <c r="AM529" i="6"/>
  <c r="AL529" i="6"/>
  <c r="AT65" i="6"/>
  <c r="BE65" i="6"/>
  <c r="U66" i="6" s="1"/>
  <c r="AM1540" i="6"/>
  <c r="AL1540" i="6"/>
  <c r="AM242" i="6"/>
  <c r="AL242" i="6"/>
  <c r="AQ353" i="6"/>
  <c r="AR353" i="6"/>
  <c r="AN241" i="6"/>
  <c r="AU241" i="6" s="1"/>
  <c r="AT137" i="6"/>
  <c r="BE137" i="6"/>
  <c r="U138" i="6" s="1"/>
  <c r="BO143" i="6"/>
  <c r="BN144" i="6" s="1"/>
  <c r="AK143" i="6"/>
  <c r="BA217" i="6"/>
  <c r="Q218" i="6" s="1"/>
  <c r="AZ62" i="6"/>
  <c r="P63" i="6" s="1"/>
  <c r="AK62" i="6"/>
  <c r="AR62" i="6" s="1"/>
  <c r="AS62" i="6" s="1"/>
  <c r="AG62" i="6"/>
  <c r="BG28" i="6"/>
  <c r="W29" i="6" s="1"/>
  <c r="BG29" i="6" s="1"/>
  <c r="W30" i="6" s="1"/>
  <c r="BG30" i="6" s="1"/>
  <c r="W31" i="6" s="1"/>
  <c r="BG31" i="6" s="1"/>
  <c r="W32" i="6" s="1"/>
  <c r="BG32" i="6" s="1"/>
  <c r="W33" i="6" s="1"/>
  <c r="BG33" i="6" s="1"/>
  <c r="W34" i="6" s="1"/>
  <c r="BG34" i="6" s="1"/>
  <c r="W35" i="6" s="1"/>
  <c r="BG35" i="6" s="1"/>
  <c r="W36" i="6" s="1"/>
  <c r="BG36" i="6" s="1"/>
  <c r="W37" i="6" s="1"/>
  <c r="BG37" i="6" s="1"/>
  <c r="W38" i="6" s="1"/>
  <c r="BG38" i="6" s="1"/>
  <c r="W39" i="6" s="1"/>
  <c r="BG39" i="6" s="1"/>
  <c r="W40" i="6" s="1"/>
  <c r="BG40" i="6" s="1"/>
  <c r="W41" i="6" s="1"/>
  <c r="BG41" i="6" s="1"/>
  <c r="AH28" i="6"/>
  <c r="AL1069" i="6"/>
  <c r="AM1069" i="6"/>
  <c r="BA1332" i="6"/>
  <c r="Q1333" i="6" s="1"/>
  <c r="AG1332" i="6"/>
  <c r="AN459" i="6"/>
  <c r="AU459" i="6" s="1"/>
  <c r="AQ66" i="6"/>
  <c r="AM607" i="6"/>
  <c r="AL607" i="6"/>
  <c r="BO1517" i="6"/>
  <c r="AN205" i="6"/>
  <c r="AU205" i="6" s="1"/>
  <c r="BA715" i="6"/>
  <c r="Q716" i="6" s="1"/>
  <c r="AS1396" i="6"/>
  <c r="BA1362" i="6"/>
  <c r="Q1363" i="6" s="1"/>
  <c r="AG1362" i="6"/>
  <c r="BG280" i="6"/>
  <c r="W281" i="6" s="1"/>
  <c r="BG281" i="6" s="1"/>
  <c r="W282" i="6" s="1"/>
  <c r="BG282" i="6" s="1"/>
  <c r="W283" i="6" s="1"/>
  <c r="BG283" i="6" s="1"/>
  <c r="W284" i="6" s="1"/>
  <c r="BG284" i="6" s="1"/>
  <c r="W285" i="6" s="1"/>
  <c r="BG285" i="6" s="1"/>
  <c r="W286" i="6" s="1"/>
  <c r="BG286" i="6" s="1"/>
  <c r="W287" i="6" s="1"/>
  <c r="BG287" i="6" s="1"/>
  <c r="W288" i="6" s="1"/>
  <c r="BG288" i="6" s="1"/>
  <c r="W289" i="6" s="1"/>
  <c r="BG289" i="6" s="1"/>
  <c r="W290" i="6" s="1"/>
  <c r="BG290" i="6" s="1"/>
  <c r="W291" i="6" s="1"/>
  <c r="BG291" i="6" s="1"/>
  <c r="W292" i="6" s="1"/>
  <c r="BG292" i="6" s="1"/>
  <c r="W293" i="6" s="1"/>
  <c r="BG293" i="6" s="1"/>
  <c r="AH280" i="6"/>
  <c r="AM1004" i="6"/>
  <c r="AL1004" i="6"/>
  <c r="BD67" i="6"/>
  <c r="T68" i="6" s="1"/>
  <c r="AP67" i="6"/>
  <c r="BA1507" i="6"/>
  <c r="Q1508" i="6" s="1"/>
  <c r="AQ320" i="6"/>
  <c r="BA864" i="6"/>
  <c r="Q865" i="6" s="1"/>
  <c r="AS388" i="6"/>
  <c r="AU388" i="6" s="1"/>
  <c r="AZ1142" i="6"/>
  <c r="P1143" i="6" s="1"/>
  <c r="AK1142" i="6"/>
  <c r="AR1142" i="6" s="1"/>
  <c r="AS1142" i="6" s="1"/>
  <c r="AG1142" i="6"/>
  <c r="BE856" i="6"/>
  <c r="U857" i="6" s="1"/>
  <c r="U856" i="6"/>
  <c r="AZ746" i="6"/>
  <c r="P747" i="6" s="1"/>
  <c r="AK746" i="6"/>
  <c r="AR746" i="6" s="1"/>
  <c r="AS746" i="6" s="1"/>
  <c r="AG746" i="6"/>
  <c r="BA644" i="6"/>
  <c r="Q645" i="6" s="1"/>
  <c r="AG644" i="6"/>
  <c r="BE823" i="6"/>
  <c r="U824" i="6" s="1"/>
  <c r="AT823" i="6"/>
  <c r="BE1505" i="6"/>
  <c r="U1506" i="6" s="1"/>
  <c r="AT1505" i="6"/>
  <c r="BA1041" i="6"/>
  <c r="Q1042" i="6" s="1"/>
  <c r="AG1041" i="6"/>
  <c r="BA1255" i="6"/>
  <c r="Q1256" i="6" s="1"/>
  <c r="BA1005" i="6"/>
  <c r="Q1006" i="6" s="1"/>
  <c r="AG1005" i="6"/>
  <c r="BD138" i="6"/>
  <c r="T139" i="6" s="1"/>
  <c r="AP138" i="6"/>
  <c r="BD102" i="6"/>
  <c r="T103" i="6" s="1"/>
  <c r="AP102" i="6"/>
  <c r="AN134" i="6"/>
  <c r="AU134" i="6" s="1"/>
  <c r="AZ1070" i="6"/>
  <c r="P1071" i="6" s="1"/>
  <c r="AK1070" i="6"/>
  <c r="AR1070" i="6" s="1"/>
  <c r="AS1070" i="6" s="1"/>
  <c r="AG1070" i="6"/>
  <c r="BA899" i="6"/>
  <c r="Q900" i="6" s="1"/>
  <c r="AG899" i="6"/>
  <c r="AQ785" i="6"/>
  <c r="AR785" i="6"/>
  <c r="BO1619" i="6"/>
  <c r="BN1620" i="6" s="1"/>
  <c r="AM786" i="6"/>
  <c r="AL786" i="6"/>
  <c r="U1612" i="6"/>
  <c r="BE1612" i="6"/>
  <c r="U1613" i="6" s="1"/>
  <c r="AQ1505" i="6"/>
  <c r="BD642" i="6"/>
  <c r="T643" i="6" s="1"/>
  <c r="AP642" i="6"/>
  <c r="AN1427" i="6"/>
  <c r="AU1427" i="6" s="1"/>
  <c r="AN353" i="6"/>
  <c r="BA1472" i="6"/>
  <c r="Q1473" i="6" s="1"/>
  <c r="AM1040" i="6"/>
  <c r="AL1040" i="6"/>
  <c r="BE1432" i="6"/>
  <c r="U1433" i="6" s="1"/>
  <c r="U1432" i="6"/>
  <c r="BE1000" i="6"/>
  <c r="U1001" i="6" s="1"/>
  <c r="U1000" i="6"/>
  <c r="BD321" i="6"/>
  <c r="T322" i="6" s="1"/>
  <c r="AP321" i="6"/>
  <c r="BA545" i="6"/>
  <c r="AQ1328" i="6"/>
  <c r="AR1328" i="6"/>
  <c r="AL142" i="6"/>
  <c r="AM142" i="6"/>
  <c r="BH936" i="6"/>
  <c r="X937" i="6" s="1"/>
  <c r="AD936" i="6"/>
  <c r="AL1609" i="6"/>
  <c r="AM1609" i="6"/>
  <c r="AZ854" i="6"/>
  <c r="P855" i="6" s="1"/>
  <c r="AK854" i="6"/>
  <c r="AR854" i="6" s="1"/>
  <c r="AS854" i="6" s="1"/>
  <c r="AG854" i="6"/>
  <c r="AQ1145" i="6"/>
  <c r="BA1619" i="6"/>
  <c r="Q1620" i="6" s="1"/>
  <c r="BO680" i="6"/>
  <c r="BN681" i="6" s="1"/>
  <c r="AN744" i="6"/>
  <c r="AU744" i="6" s="1"/>
  <c r="AN852" i="6"/>
  <c r="AU852" i="6" s="1"/>
  <c r="AQ714" i="6"/>
  <c r="AQ1433" i="6"/>
  <c r="AL97" i="6"/>
  <c r="AM97" i="6"/>
  <c r="BD786" i="6"/>
  <c r="T787" i="6" s="1"/>
  <c r="AP786" i="6"/>
  <c r="AL1500" i="6"/>
  <c r="AM1500" i="6"/>
  <c r="AT1289" i="6"/>
  <c r="BE1289" i="6"/>
  <c r="U1290" i="6" s="1"/>
  <c r="AN395" i="6"/>
  <c r="BA787" i="6"/>
  <c r="Q788" i="6" s="1"/>
  <c r="AG787" i="6"/>
  <c r="BD1506" i="6"/>
  <c r="T1507" i="6" s="1"/>
  <c r="AP1506" i="6"/>
  <c r="BE966" i="6"/>
  <c r="U967" i="6" s="1"/>
  <c r="AT966" i="6"/>
  <c r="AU966" i="6" s="1"/>
  <c r="BE568" i="6"/>
  <c r="U569" i="6" s="1"/>
  <c r="U568" i="6"/>
  <c r="BD30" i="6"/>
  <c r="T31" i="6" s="1"/>
  <c r="AP30" i="6"/>
  <c r="AZ530" i="6"/>
  <c r="P531" i="6" s="1"/>
  <c r="AG530" i="6"/>
  <c r="AK530" i="6"/>
  <c r="AR530" i="6" s="1"/>
  <c r="AS530" i="6" s="1"/>
  <c r="AL181" i="6"/>
  <c r="AM181" i="6"/>
  <c r="AT641" i="6"/>
  <c r="BE641" i="6"/>
  <c r="U642" i="6" s="1"/>
  <c r="AM572" i="6"/>
  <c r="AL572" i="6"/>
  <c r="AT462" i="6"/>
  <c r="BE462" i="6"/>
  <c r="U463" i="6" s="1"/>
  <c r="BA433" i="6"/>
  <c r="Q434" i="6" s="1"/>
  <c r="BD715" i="6"/>
  <c r="T716" i="6" s="1"/>
  <c r="AP715" i="6"/>
  <c r="AM820" i="6"/>
  <c r="AL820" i="6"/>
  <c r="BO792" i="6"/>
  <c r="BN793" i="6" s="1"/>
  <c r="AK792" i="6"/>
  <c r="AM172" i="6"/>
  <c r="AL172" i="6"/>
  <c r="BD1434" i="6"/>
  <c r="T1435" i="6" s="1"/>
  <c r="AP1434" i="6"/>
  <c r="AL460" i="6"/>
  <c r="AM460" i="6"/>
  <c r="AQ1362" i="6"/>
  <c r="AR1362" i="6"/>
  <c r="AQ751" i="6"/>
  <c r="AQ1037" i="6"/>
  <c r="AR1037" i="6"/>
  <c r="AL288" i="6"/>
  <c r="AQ677" i="6"/>
  <c r="AL396" i="6"/>
  <c r="AQ857" i="6"/>
  <c r="AS1288" i="6"/>
  <c r="AU1288" i="6" s="1"/>
  <c r="BG208" i="6"/>
  <c r="W209" i="6" s="1"/>
  <c r="BG209" i="6" s="1"/>
  <c r="W210" i="6" s="1"/>
  <c r="BG210" i="6" s="1"/>
  <c r="W211" i="6" s="1"/>
  <c r="BG211" i="6" s="1"/>
  <c r="W212" i="6" s="1"/>
  <c r="BG212" i="6" s="1"/>
  <c r="W213" i="6" s="1"/>
  <c r="BG213" i="6" s="1"/>
  <c r="W214" i="6" s="1"/>
  <c r="BG214" i="6" s="1"/>
  <c r="W215" i="6" s="1"/>
  <c r="BG215" i="6" s="1"/>
  <c r="W216" i="6" s="1"/>
  <c r="BG216" i="6" s="1"/>
  <c r="W217" i="6" s="1"/>
  <c r="BG217" i="6" s="1"/>
  <c r="W218" i="6" s="1"/>
  <c r="BG218" i="6" s="1"/>
  <c r="W219" i="6" s="1"/>
  <c r="BG219" i="6" s="1"/>
  <c r="W220" i="6" s="1"/>
  <c r="BG220" i="6" s="1"/>
  <c r="W221" i="6" s="1"/>
  <c r="BG221" i="6" s="1"/>
  <c r="AH208" i="6"/>
  <c r="AM853" i="6"/>
  <c r="AL853" i="6"/>
  <c r="BG243" i="6"/>
  <c r="W244" i="6" s="1"/>
  <c r="AH243" i="6"/>
  <c r="BD1329" i="6"/>
  <c r="T1330" i="6" s="1"/>
  <c r="AP1329" i="6"/>
  <c r="AL1110" i="6"/>
  <c r="AM1110" i="6"/>
  <c r="BO1152" i="6"/>
  <c r="BN1153" i="6" s="1"/>
  <c r="AR821" i="6"/>
  <c r="AQ821" i="6"/>
  <c r="BA573" i="6"/>
  <c r="Q574" i="6" s="1"/>
  <c r="AG573" i="6"/>
  <c r="BA504" i="6"/>
  <c r="Q505" i="6" s="1"/>
  <c r="AQ1397" i="6"/>
  <c r="AR1397" i="6"/>
  <c r="AZ98" i="6"/>
  <c r="P99" i="6" s="1"/>
  <c r="AK98" i="6"/>
  <c r="AR98" i="6" s="1"/>
  <c r="AS98" i="6" s="1"/>
  <c r="AG98" i="6"/>
  <c r="AM1573" i="6"/>
  <c r="AL1573" i="6"/>
  <c r="BD1363" i="6"/>
  <c r="T1364" i="6" s="1"/>
  <c r="AP1363" i="6"/>
  <c r="BD752" i="6"/>
  <c r="T753" i="6" s="1"/>
  <c r="AP752" i="6"/>
  <c r="AN171" i="6"/>
  <c r="AU171" i="6" s="1"/>
  <c r="AN1572" i="6"/>
  <c r="AU1572" i="6" s="1"/>
  <c r="AS1361" i="6"/>
  <c r="BD1038" i="6"/>
  <c r="T1039" i="6" s="1"/>
  <c r="AP1038" i="6"/>
  <c r="AQ461" i="6"/>
  <c r="AR461" i="6"/>
  <c r="AZ1501" i="6"/>
  <c r="P1502" i="6" s="1"/>
  <c r="AK1501" i="6"/>
  <c r="AR1501" i="6" s="1"/>
  <c r="AS1501" i="6" s="1"/>
  <c r="AG1501" i="6"/>
  <c r="BA289" i="6"/>
  <c r="Q290" i="6" s="1"/>
  <c r="AG289" i="6"/>
  <c r="AS172" i="6"/>
  <c r="BG64" i="6"/>
  <c r="W65" i="6" s="1"/>
  <c r="BG65" i="6" s="1"/>
  <c r="W66" i="6" s="1"/>
  <c r="BG66" i="6" s="1"/>
  <c r="W67" i="6" s="1"/>
  <c r="BG67" i="6" s="1"/>
  <c r="W68" i="6" s="1"/>
  <c r="BG68" i="6" s="1"/>
  <c r="W69" i="6" s="1"/>
  <c r="BG69" i="6" s="1"/>
  <c r="W70" i="6" s="1"/>
  <c r="BG70" i="6" s="1"/>
  <c r="W71" i="6" s="1"/>
  <c r="BG71" i="6" s="1"/>
  <c r="W72" i="6" s="1"/>
  <c r="BG72" i="6" s="1"/>
  <c r="W73" i="6" s="1"/>
  <c r="BG73" i="6" s="1"/>
  <c r="W74" i="6" s="1"/>
  <c r="BG74" i="6" s="1"/>
  <c r="W75" i="6" s="1"/>
  <c r="BG75" i="6" s="1"/>
  <c r="W76" i="6" s="1"/>
  <c r="BG76" i="6" s="1"/>
  <c r="W77" i="6" s="1"/>
  <c r="BG77" i="6" s="1"/>
  <c r="AH64" i="6"/>
  <c r="BD678" i="6"/>
  <c r="T679" i="6" s="1"/>
  <c r="AP678" i="6"/>
  <c r="BO1370" i="6"/>
  <c r="BN1371" i="6" s="1"/>
  <c r="AK1370" i="6"/>
  <c r="BA397" i="6"/>
  <c r="Q398" i="6" s="1"/>
  <c r="AG397" i="6"/>
  <c r="BD858" i="6"/>
  <c r="T859" i="6" s="1"/>
  <c r="AP858" i="6"/>
  <c r="BO903" i="6"/>
  <c r="BN904" i="6" s="1"/>
  <c r="AK903" i="6"/>
  <c r="AM492" i="6"/>
  <c r="AL492" i="6"/>
  <c r="BO284" i="6"/>
  <c r="BN285" i="6" s="1"/>
  <c r="AK284" i="6"/>
  <c r="AM284" i="6" s="1"/>
  <c r="AN284" i="6" s="1"/>
  <c r="AT1073" i="6"/>
  <c r="BE1073" i="6"/>
  <c r="U1074" i="6" s="1"/>
  <c r="AL643" i="6"/>
  <c r="AM643" i="6"/>
  <c r="BD354" i="6"/>
  <c r="T355" i="6" s="1"/>
  <c r="AP354" i="6"/>
  <c r="AQ101" i="6"/>
  <c r="BO1553" i="6"/>
  <c r="AK1553" i="6"/>
  <c r="AL354" i="6"/>
  <c r="AM354" i="6"/>
  <c r="BA1586" i="6"/>
  <c r="Q1587" i="6" s="1"/>
  <c r="AS568" i="6"/>
  <c r="AU568" i="6" s="1"/>
  <c r="AL422" i="6"/>
  <c r="AM422" i="6"/>
  <c r="BA1111" i="6"/>
  <c r="Q1112" i="6" s="1"/>
  <c r="AG1111" i="6"/>
  <c r="BD1002" i="6"/>
  <c r="T1003" i="6" s="1"/>
  <c r="AP1002" i="6"/>
  <c r="AS604" i="6"/>
  <c r="AU604" i="6" s="1"/>
  <c r="BD822" i="6"/>
  <c r="T823" i="6" s="1"/>
  <c r="AP822" i="6"/>
  <c r="AM673" i="6"/>
  <c r="AL673" i="6"/>
  <c r="AQ425" i="6"/>
  <c r="BD1398" i="6"/>
  <c r="T1399" i="6" s="1"/>
  <c r="AP1398" i="6"/>
  <c r="AT1325" i="6"/>
  <c r="AU1325" i="6" s="1"/>
  <c r="BE1325" i="6"/>
  <c r="U1326" i="6" s="1"/>
  <c r="AS352" i="6"/>
  <c r="AU352" i="6" s="1"/>
  <c r="AZ1574" i="6"/>
  <c r="P1575" i="6" s="1"/>
  <c r="AG1574" i="6"/>
  <c r="AK1574" i="6"/>
  <c r="AR1574" i="6" s="1"/>
  <c r="AS1574" i="6" s="1"/>
  <c r="AQ209" i="6"/>
  <c r="AR173" i="6"/>
  <c r="AQ173" i="6"/>
  <c r="BD462" i="6"/>
  <c r="T463" i="6" s="1"/>
  <c r="AP462" i="6"/>
  <c r="AQ282" i="6"/>
  <c r="AR282" i="6"/>
  <c r="AM1464" i="6"/>
  <c r="AL1464" i="6"/>
  <c r="BE1180" i="6"/>
  <c r="U1181" i="6" s="1"/>
  <c r="U1180" i="6"/>
  <c r="AM898" i="6"/>
  <c r="AL898" i="6"/>
  <c r="AT498" i="6"/>
  <c r="BE498" i="6"/>
  <c r="U499" i="6" s="1"/>
  <c r="AQ641" i="6"/>
  <c r="AR641" i="6"/>
  <c r="AT1037" i="6"/>
  <c r="BE1037" i="6"/>
  <c r="U1038" i="6" s="1"/>
  <c r="AL1000" i="6"/>
  <c r="AM1000" i="6"/>
  <c r="BA1436" i="6"/>
  <c r="Q1437" i="6" s="1"/>
  <c r="AZ1610" i="6"/>
  <c r="P1611" i="6" s="1"/>
  <c r="AK1610" i="6"/>
  <c r="AR1610" i="6" s="1"/>
  <c r="AS1610" i="6" s="1"/>
  <c r="AG1610" i="6"/>
  <c r="AQ1001" i="6"/>
  <c r="AR1001" i="6"/>
  <c r="AQ389" i="6"/>
  <c r="AR389" i="6"/>
  <c r="AZ423" i="6"/>
  <c r="P424" i="6" s="1"/>
  <c r="AI423" i="6"/>
  <c r="AF423" i="6"/>
  <c r="AG423" i="6"/>
  <c r="AK423" i="6"/>
  <c r="AR423" i="6" s="1"/>
  <c r="AS423" i="6" s="1"/>
  <c r="BE1541" i="6"/>
  <c r="U1542" i="6" s="1"/>
  <c r="AT1541" i="6"/>
  <c r="AU1541" i="6" s="1"/>
  <c r="AT1649" i="6"/>
  <c r="BE1649" i="6"/>
  <c r="U1650" i="6" s="1"/>
  <c r="BH1154" i="6"/>
  <c r="X1155" i="6" s="1"/>
  <c r="AD1154" i="6"/>
  <c r="AR605" i="6"/>
  <c r="AQ605" i="6"/>
  <c r="AR569" i="6"/>
  <c r="AQ569" i="6"/>
  <c r="AT317" i="6"/>
  <c r="BE317" i="6"/>
  <c r="U318" i="6" s="1"/>
  <c r="BO1475" i="6"/>
  <c r="BN1476" i="6" s="1"/>
  <c r="AQ1578" i="6"/>
  <c r="AM1543" i="6"/>
  <c r="AL1543" i="6"/>
  <c r="AL1249" i="6"/>
  <c r="AM1249" i="6"/>
  <c r="AZ674" i="6"/>
  <c r="P675" i="6" s="1"/>
  <c r="AG674" i="6"/>
  <c r="AK674" i="6"/>
  <c r="AR674" i="6" s="1"/>
  <c r="AS674" i="6" s="1"/>
  <c r="BD426" i="6"/>
  <c r="T427" i="6" s="1"/>
  <c r="AP426" i="6"/>
  <c r="BE1468" i="6"/>
  <c r="U1469" i="6" s="1"/>
  <c r="U1468" i="6"/>
  <c r="AT785" i="6"/>
  <c r="BE785" i="6"/>
  <c r="U786" i="6" s="1"/>
  <c r="AN312" i="6"/>
  <c r="AU312" i="6" s="1"/>
  <c r="BD1110" i="6"/>
  <c r="T1111" i="6" s="1"/>
  <c r="AP1110" i="6"/>
  <c r="AN26" i="6"/>
  <c r="AU26" i="6" s="1"/>
  <c r="BA1075" i="6"/>
  <c r="Q1076" i="6" s="1"/>
  <c r="BA1147" i="6"/>
  <c r="Q1148" i="6" s="1"/>
  <c r="AQ969" i="6"/>
  <c r="AT281" i="6"/>
  <c r="AU281" i="6" s="1"/>
  <c r="BE281" i="6"/>
  <c r="U282" i="6" s="1"/>
  <c r="AS1108" i="6"/>
  <c r="AU1108" i="6" s="1"/>
  <c r="BD210" i="6"/>
  <c r="T211" i="6" s="1"/>
  <c r="AP210" i="6"/>
  <c r="BD174" i="6"/>
  <c r="T175" i="6" s="1"/>
  <c r="AP174" i="6"/>
  <c r="BA103" i="6"/>
  <c r="Q104" i="6" s="1"/>
  <c r="BD283" i="6"/>
  <c r="T284" i="6" s="1"/>
  <c r="AP283" i="6"/>
  <c r="AS784" i="6"/>
  <c r="AU784" i="6" s="1"/>
  <c r="AL313" i="6"/>
  <c r="AM313" i="6"/>
  <c r="AN1068" i="6"/>
  <c r="AU1068" i="6" s="1"/>
  <c r="AN1499" i="6"/>
  <c r="AU1499" i="6" s="1"/>
  <c r="BO1398" i="6"/>
  <c r="BN1399" i="6" s="1"/>
  <c r="AK1398" i="6"/>
  <c r="AM1398" i="6" s="1"/>
  <c r="AN1398" i="6" s="1"/>
  <c r="AZ493" i="6"/>
  <c r="P494" i="6" s="1"/>
  <c r="AK493" i="6"/>
  <c r="AR493" i="6" s="1"/>
  <c r="AS493" i="6" s="1"/>
  <c r="AG493" i="6"/>
  <c r="BO1117" i="6"/>
  <c r="BN1118" i="6" s="1"/>
  <c r="AK1117" i="6"/>
  <c r="BO936" i="6"/>
  <c r="BN937" i="6" s="1"/>
  <c r="AK936" i="6"/>
  <c r="BA608" i="6"/>
  <c r="Q609" i="6" s="1"/>
  <c r="AG608" i="6"/>
  <c r="BO1439" i="6"/>
  <c r="BN1440" i="6" s="1"/>
  <c r="BA143" i="6"/>
  <c r="Q144" i="6" s="1"/>
  <c r="AG143" i="6"/>
  <c r="BD1146" i="6"/>
  <c r="T1147" i="6" s="1"/>
  <c r="AP1146" i="6"/>
  <c r="BA468" i="6"/>
  <c r="Q469" i="6" s="1"/>
  <c r="AG468" i="6"/>
  <c r="BA182" i="6"/>
  <c r="Q183" i="6" s="1"/>
  <c r="AG182" i="6"/>
  <c r="BD390" i="6"/>
  <c r="T391" i="6" s="1"/>
  <c r="AP390" i="6"/>
  <c r="BO1262" i="6"/>
  <c r="BN1263" i="6" s="1"/>
  <c r="BD606" i="6"/>
  <c r="T607" i="6" s="1"/>
  <c r="AP606" i="6"/>
  <c r="AQ1217" i="6"/>
  <c r="AR1217" i="6"/>
  <c r="BE1253" i="6"/>
  <c r="U1254" i="6" s="1"/>
  <c r="AT1253" i="6"/>
  <c r="AR1544" i="6"/>
  <c r="AQ1544" i="6"/>
  <c r="BD1579" i="6"/>
  <c r="T1580" i="6" s="1"/>
  <c r="AP1579" i="6"/>
  <c r="BA1544" i="6"/>
  <c r="Q1545" i="6" s="1"/>
  <c r="AG1544" i="6"/>
  <c r="AT101" i="6"/>
  <c r="BE101" i="6"/>
  <c r="U102" i="6" s="1"/>
  <c r="BA1652" i="6"/>
  <c r="Q1653" i="6" s="1"/>
  <c r="AR1109" i="6"/>
  <c r="AQ1109" i="6"/>
  <c r="AL135" i="6"/>
  <c r="AM135" i="6"/>
  <c r="BD970" i="6"/>
  <c r="T971" i="6" s="1"/>
  <c r="AP970" i="6"/>
  <c r="AM822" i="6"/>
  <c r="AL822" i="6"/>
  <c r="BO211" i="6"/>
  <c r="BN212" i="6" s="1"/>
  <c r="BA752" i="6"/>
  <c r="Q753" i="6" s="1"/>
  <c r="AT1145" i="6"/>
  <c r="BE1145" i="6"/>
  <c r="U1146" i="6" s="1"/>
  <c r="AR968" i="6"/>
  <c r="AS968" i="6" s="1"/>
  <c r="AQ1650" i="6"/>
  <c r="AM1218" i="6"/>
  <c r="AL1218" i="6"/>
  <c r="AQ1289" i="6"/>
  <c r="AR1289" i="6"/>
  <c r="AZ1465" i="6"/>
  <c r="P1466" i="6" s="1"/>
  <c r="AK1465" i="6"/>
  <c r="AR1465" i="6" s="1"/>
  <c r="AS1465" i="6" s="1"/>
  <c r="AG1465" i="6"/>
  <c r="AT426" i="6"/>
  <c r="BE426" i="6"/>
  <c r="U427" i="6" s="1"/>
  <c r="BD246" i="6"/>
  <c r="T247" i="6" s="1"/>
  <c r="AP246" i="6"/>
  <c r="AZ1646" i="6"/>
  <c r="P1647" i="6" s="1"/>
  <c r="AG1646" i="6"/>
  <c r="AK1646" i="6"/>
  <c r="AR1646" i="6" s="1"/>
  <c r="AS1646" i="6" s="1"/>
  <c r="AT607" i="6"/>
  <c r="BE607" i="6"/>
  <c r="U608" i="6" s="1"/>
  <c r="AM467" i="6"/>
  <c r="AL467" i="6"/>
  <c r="BA355" i="6"/>
  <c r="Q356" i="6" s="1"/>
  <c r="AG355" i="6"/>
  <c r="BD570" i="6"/>
  <c r="T571" i="6" s="1"/>
  <c r="AP570" i="6"/>
  <c r="AL708" i="6"/>
  <c r="AM708" i="6"/>
  <c r="AN1360" i="6"/>
  <c r="AU1360" i="6" s="1"/>
  <c r="AS244" i="6"/>
  <c r="BO432" i="6"/>
  <c r="BN433" i="6" s="1"/>
  <c r="AQ535" i="6"/>
  <c r="AN491" i="6"/>
  <c r="AU491" i="6" s="1"/>
  <c r="BD1218" i="6"/>
  <c r="T1219" i="6" s="1"/>
  <c r="AP1218" i="6"/>
  <c r="AT173" i="6"/>
  <c r="BE173" i="6"/>
  <c r="U174" i="6" s="1"/>
  <c r="AN999" i="6"/>
  <c r="AU999" i="6" s="1"/>
  <c r="BD1545" i="6"/>
  <c r="T1546" i="6" s="1"/>
  <c r="AP1545" i="6"/>
  <c r="AT749" i="6"/>
  <c r="BE749" i="6"/>
  <c r="U750" i="6" s="1"/>
  <c r="AQ1613" i="6"/>
  <c r="AM931" i="6"/>
  <c r="AL931" i="6"/>
  <c r="AZ1250" i="6"/>
  <c r="P1251" i="6" s="1"/>
  <c r="AK1250" i="6"/>
  <c r="AR1250" i="6" s="1"/>
  <c r="AS1250" i="6" s="1"/>
  <c r="AG1250" i="6"/>
  <c r="AT209" i="6"/>
  <c r="BE209" i="6"/>
  <c r="U210" i="6" s="1"/>
  <c r="AN642" i="6"/>
  <c r="AN1542" i="6"/>
  <c r="AL1402" i="6"/>
  <c r="BG136" i="6"/>
  <c r="W137" i="6" s="1"/>
  <c r="BG137" i="6" s="1"/>
  <c r="W138" i="6" s="1"/>
  <c r="BG138" i="6" s="1"/>
  <c r="W139" i="6" s="1"/>
  <c r="BG139" i="6" s="1"/>
  <c r="W140" i="6" s="1"/>
  <c r="BG140" i="6" s="1"/>
  <c r="W141" i="6" s="1"/>
  <c r="BG141" i="6" s="1"/>
  <c r="W142" i="6" s="1"/>
  <c r="BG142" i="6" s="1"/>
  <c r="W143" i="6" s="1"/>
  <c r="BG143" i="6" s="1"/>
  <c r="W144" i="6" s="1"/>
  <c r="BG144" i="6" s="1"/>
  <c r="W145" i="6" s="1"/>
  <c r="BG145" i="6" s="1"/>
  <c r="W146" i="6" s="1"/>
  <c r="BG146" i="6" s="1"/>
  <c r="W147" i="6" s="1"/>
  <c r="BG147" i="6" s="1"/>
  <c r="W148" i="6" s="1"/>
  <c r="BG148" i="6" s="1"/>
  <c r="W149" i="6" s="1"/>
  <c r="BG149" i="6" s="1"/>
  <c r="AH136" i="6"/>
  <c r="AT677" i="6"/>
  <c r="BE677" i="6"/>
  <c r="U678" i="6" s="1"/>
  <c r="BA823" i="6"/>
  <c r="Q824" i="6" s="1"/>
  <c r="AG823" i="6"/>
  <c r="AT390" i="6"/>
  <c r="BE390" i="6"/>
  <c r="U391" i="6" s="1"/>
  <c r="BA68" i="6"/>
  <c r="Q69" i="6" s="1"/>
  <c r="AM206" i="6"/>
  <c r="AL206" i="6"/>
  <c r="BD1651" i="6"/>
  <c r="T1652" i="6" s="1"/>
  <c r="AP1651" i="6"/>
  <c r="AN60" i="6"/>
  <c r="AU60" i="6" s="1"/>
  <c r="BA1219" i="6"/>
  <c r="Q1220" i="6" s="1"/>
  <c r="AG1219" i="6"/>
  <c r="AZ314" i="6"/>
  <c r="P315" i="6" s="1"/>
  <c r="AK314" i="6"/>
  <c r="AR314" i="6" s="1"/>
  <c r="AS314" i="6" s="1"/>
  <c r="AG314" i="6"/>
  <c r="AS1216" i="6"/>
  <c r="AU1216" i="6" s="1"/>
  <c r="BD1290" i="6"/>
  <c r="T1291" i="6" s="1"/>
  <c r="AP1290" i="6"/>
  <c r="BG316" i="6"/>
  <c r="W317" i="6" s="1"/>
  <c r="BG317" i="6" s="1"/>
  <c r="W318" i="6" s="1"/>
  <c r="BG318" i="6" s="1"/>
  <c r="W319" i="6" s="1"/>
  <c r="BG319" i="6" s="1"/>
  <c r="W320" i="6" s="1"/>
  <c r="BG320" i="6" s="1"/>
  <c r="W321" i="6" s="1"/>
  <c r="BG321" i="6" s="1"/>
  <c r="W322" i="6" s="1"/>
  <c r="BG322" i="6" s="1"/>
  <c r="W323" i="6" s="1"/>
  <c r="BG323" i="6" s="1"/>
  <c r="W324" i="6" s="1"/>
  <c r="BG324" i="6" s="1"/>
  <c r="W325" i="6" s="1"/>
  <c r="BG325" i="6" s="1"/>
  <c r="W326" i="6" s="1"/>
  <c r="BG326" i="6" s="1"/>
  <c r="W327" i="6" s="1"/>
  <c r="BG327" i="6" s="1"/>
  <c r="W328" i="6" s="1"/>
  <c r="BG328" i="6" s="1"/>
  <c r="W329" i="6" s="1"/>
  <c r="BG329" i="6" s="1"/>
  <c r="AH316" i="6"/>
  <c r="AM1428" i="6"/>
  <c r="AL1428" i="6"/>
  <c r="AT353" i="6"/>
  <c r="BE353" i="6"/>
  <c r="U354" i="6" s="1"/>
  <c r="AN1330" i="6"/>
  <c r="BG532" i="6"/>
  <c r="W533" i="6" s="1"/>
  <c r="BG533" i="6" s="1"/>
  <c r="W534" i="6" s="1"/>
  <c r="BG534" i="6" s="1"/>
  <c r="W535" i="6" s="1"/>
  <c r="BG535" i="6" s="1"/>
  <c r="W536" i="6" s="1"/>
  <c r="BG536" i="6" s="1"/>
  <c r="W537" i="6" s="1"/>
  <c r="BG537" i="6" s="1"/>
  <c r="W538" i="6" s="1"/>
  <c r="BG538" i="6" s="1"/>
  <c r="W539" i="6" s="1"/>
  <c r="BG539" i="6" s="1"/>
  <c r="W540" i="6" s="1"/>
  <c r="BG540" i="6" s="1"/>
  <c r="W541" i="6" s="1"/>
  <c r="BG541" i="6" s="1"/>
  <c r="W542" i="6" s="1"/>
  <c r="BG542" i="6" s="1"/>
  <c r="W543" i="6" s="1"/>
  <c r="BG543" i="6" s="1"/>
  <c r="W544" i="6" s="1"/>
  <c r="BG544" i="6" s="1"/>
  <c r="W545" i="6" s="1"/>
  <c r="BG545" i="6" s="1"/>
  <c r="AH532" i="6"/>
  <c r="AS173" i="6" l="1"/>
  <c r="AN1543" i="6"/>
  <c r="AN1464" i="6"/>
  <c r="AU1464" i="6" s="1"/>
  <c r="AN467" i="6"/>
  <c r="AS137" i="6"/>
  <c r="AN135" i="6"/>
  <c r="AU135" i="6" s="1"/>
  <c r="AN820" i="6"/>
  <c r="AU820" i="6" s="1"/>
  <c r="AN607" i="6"/>
  <c r="AN97" i="6"/>
  <c r="AU97" i="6" s="1"/>
  <c r="AN279" i="6"/>
  <c r="AU279" i="6" s="1"/>
  <c r="AN1540" i="6"/>
  <c r="AU1540" i="6" s="1"/>
  <c r="AS245" i="6"/>
  <c r="AU245" i="6" s="1"/>
  <c r="AN1331" i="6"/>
  <c r="AN142" i="6"/>
  <c r="AN1428" i="6"/>
  <c r="AU1428" i="6" s="1"/>
  <c r="AN206" i="6"/>
  <c r="AU206" i="6" s="1"/>
  <c r="AN1292" i="6"/>
  <c r="AN822" i="6"/>
  <c r="AS1037" i="6"/>
  <c r="AU1037" i="6" s="1"/>
  <c r="AR969" i="6"/>
  <c r="AN1000" i="6"/>
  <c r="AU1000" i="6" s="1"/>
  <c r="AN1218" i="6"/>
  <c r="AS29" i="6"/>
  <c r="AU29" i="6" s="1"/>
  <c r="AN27" i="6"/>
  <c r="AU27" i="6" s="1"/>
  <c r="AS891" i="6"/>
  <c r="AU891" i="6" s="1"/>
  <c r="AN422" i="6"/>
  <c r="AU422" i="6" s="1"/>
  <c r="AN1500" i="6"/>
  <c r="AU1500" i="6" s="1"/>
  <c r="AN1182" i="6"/>
  <c r="AN396" i="6"/>
  <c r="AN964" i="6"/>
  <c r="AU964" i="6" s="1"/>
  <c r="AN1361" i="6"/>
  <c r="AU1361" i="6" s="1"/>
  <c r="AS1217" i="6"/>
  <c r="AS641" i="6"/>
  <c r="AU641" i="6" s="1"/>
  <c r="AN1609" i="6"/>
  <c r="AU1609" i="6" s="1"/>
  <c r="AN745" i="6"/>
  <c r="AU745" i="6" s="1"/>
  <c r="AS461" i="6"/>
  <c r="AU461" i="6" s="1"/>
  <c r="AS1397" i="6"/>
  <c r="AU1397" i="6" s="1"/>
  <c r="AN1110" i="6"/>
  <c r="AN1141" i="6"/>
  <c r="AU1141" i="6" s="1"/>
  <c r="AS389" i="6"/>
  <c r="AU389" i="6" s="1"/>
  <c r="AS1328" i="6"/>
  <c r="AN1249" i="6"/>
  <c r="AU1249" i="6" s="1"/>
  <c r="AN1069" i="6"/>
  <c r="AU1069" i="6" s="1"/>
  <c r="AS605" i="6"/>
  <c r="AU605" i="6" s="1"/>
  <c r="AN1573" i="6"/>
  <c r="AU1573" i="6" s="1"/>
  <c r="AM1250" i="6"/>
  <c r="AL1250" i="6"/>
  <c r="AT102" i="6"/>
  <c r="BE102" i="6"/>
  <c r="U103" i="6" s="1"/>
  <c r="AT1399" i="6"/>
  <c r="BE1399" i="6"/>
  <c r="U1400" i="6" s="1"/>
  <c r="AS1289" i="6"/>
  <c r="AU1289" i="6" s="1"/>
  <c r="AQ499" i="6"/>
  <c r="AT391" i="6"/>
  <c r="BE391" i="6"/>
  <c r="U392" i="6" s="1"/>
  <c r="BO433" i="6"/>
  <c r="BN434" i="6" s="1"/>
  <c r="BA1220" i="6"/>
  <c r="Q1221" i="6" s="1"/>
  <c r="AG1220" i="6"/>
  <c r="BA824" i="6"/>
  <c r="Q825" i="6" s="1"/>
  <c r="AG824" i="6"/>
  <c r="BE608" i="6"/>
  <c r="U609" i="6" s="1"/>
  <c r="AZ1466" i="6"/>
  <c r="P1467" i="6" s="1"/>
  <c r="AK1466" i="6"/>
  <c r="AR1466" i="6" s="1"/>
  <c r="AS1466" i="6" s="1"/>
  <c r="AG1466" i="6"/>
  <c r="AQ1146" i="6"/>
  <c r="BO937" i="6"/>
  <c r="BN938" i="6" s="1"/>
  <c r="AK937" i="6"/>
  <c r="AN673" i="6"/>
  <c r="AU673" i="6" s="1"/>
  <c r="BO793" i="6"/>
  <c r="BN794" i="6" s="1"/>
  <c r="AK793" i="6"/>
  <c r="AN572" i="6"/>
  <c r="AQ321" i="6"/>
  <c r="BD139" i="6"/>
  <c r="T140" i="6" s="1"/>
  <c r="AP139" i="6"/>
  <c r="BA645" i="6"/>
  <c r="Q646" i="6" s="1"/>
  <c r="AG645" i="6"/>
  <c r="AZ1143" i="6"/>
  <c r="P1144" i="6" s="1"/>
  <c r="AI1143" i="6"/>
  <c r="AF1143" i="6"/>
  <c r="AK1143" i="6"/>
  <c r="AR1143" i="6" s="1"/>
  <c r="AS1143" i="6" s="1"/>
  <c r="AG1143" i="6"/>
  <c r="AN1004" i="6"/>
  <c r="AM62" i="6"/>
  <c r="AL62" i="6"/>
  <c r="AN242" i="6"/>
  <c r="AU242" i="6" s="1"/>
  <c r="AM1183" i="6"/>
  <c r="AL1183" i="6"/>
  <c r="AQ1072" i="6"/>
  <c r="AL1403" i="6"/>
  <c r="BE1650" i="6"/>
  <c r="U1651" i="6" s="1"/>
  <c r="AT1650" i="6"/>
  <c r="AR892" i="6"/>
  <c r="AQ892" i="6"/>
  <c r="BO970" i="6"/>
  <c r="BN971" i="6" s="1"/>
  <c r="AK970" i="6"/>
  <c r="AM970" i="6" s="1"/>
  <c r="AN970" i="6" s="1"/>
  <c r="AL1646" i="6"/>
  <c r="AM1646" i="6"/>
  <c r="AL1544" i="6"/>
  <c r="AM1544" i="6"/>
  <c r="BD607" i="6"/>
  <c r="T608" i="6" s="1"/>
  <c r="AP607" i="6"/>
  <c r="BA144" i="6"/>
  <c r="Q145" i="6" s="1"/>
  <c r="AG144" i="6"/>
  <c r="AM493" i="6"/>
  <c r="AL493" i="6"/>
  <c r="AQ426" i="6"/>
  <c r="BO1476" i="6"/>
  <c r="BN1477" i="6" s="1"/>
  <c r="AM1610" i="6"/>
  <c r="AL1610" i="6"/>
  <c r="AM1574" i="6"/>
  <c r="AL1574" i="6"/>
  <c r="AR822" i="6"/>
  <c r="AQ822" i="6"/>
  <c r="AQ354" i="6"/>
  <c r="AR354" i="6"/>
  <c r="AQ858" i="6"/>
  <c r="AL289" i="6"/>
  <c r="AQ752" i="6"/>
  <c r="BA505" i="6"/>
  <c r="Q506" i="6" s="1"/>
  <c r="BD1330" i="6"/>
  <c r="T1331" i="6" s="1"/>
  <c r="AP1330" i="6"/>
  <c r="AQ715" i="6"/>
  <c r="BE967" i="6"/>
  <c r="U968" i="6" s="1"/>
  <c r="AT967" i="6"/>
  <c r="AU967" i="6" s="1"/>
  <c r="BD787" i="6"/>
  <c r="T788" i="6" s="1"/>
  <c r="AP787" i="6"/>
  <c r="BO681" i="6"/>
  <c r="BN682" i="6" s="1"/>
  <c r="BH937" i="6"/>
  <c r="X938" i="6" s="1"/>
  <c r="AD937" i="6"/>
  <c r="BD643" i="6"/>
  <c r="T644" i="6" s="1"/>
  <c r="AP643" i="6"/>
  <c r="AM899" i="6"/>
  <c r="AL899" i="6"/>
  <c r="BA865" i="6"/>
  <c r="Q866" i="6" s="1"/>
  <c r="BD893" i="6"/>
  <c r="T894" i="6" s="1"/>
  <c r="AP893" i="6"/>
  <c r="BD500" i="6"/>
  <c r="T501" i="6" s="1"/>
  <c r="AP500" i="6"/>
  <c r="BE1577" i="6"/>
  <c r="U1578" i="6" s="1"/>
  <c r="AT1577" i="6"/>
  <c r="BO212" i="6"/>
  <c r="BN213" i="6" s="1"/>
  <c r="BD284" i="6"/>
  <c r="T285" i="6" s="1"/>
  <c r="AP284" i="6"/>
  <c r="AR1329" i="6"/>
  <c r="AQ1329" i="6"/>
  <c r="BD1652" i="6"/>
  <c r="T1653" i="6" s="1"/>
  <c r="AP1652" i="6"/>
  <c r="AN931" i="6"/>
  <c r="AP1219" i="6"/>
  <c r="BD1219" i="6"/>
  <c r="T1220" i="6" s="1"/>
  <c r="AN708" i="6"/>
  <c r="AU708" i="6" s="1"/>
  <c r="AZ1647" i="6"/>
  <c r="P1648" i="6" s="1"/>
  <c r="AI1647" i="6"/>
  <c r="AF1647" i="6"/>
  <c r="AG1647" i="6"/>
  <c r="AK1647" i="6"/>
  <c r="AR1647" i="6" s="1"/>
  <c r="AS1647" i="6" s="1"/>
  <c r="AQ970" i="6"/>
  <c r="BA1545" i="6"/>
  <c r="Q1546" i="6" s="1"/>
  <c r="AG1545" i="6"/>
  <c r="BA1148" i="6"/>
  <c r="Q1149" i="6" s="1"/>
  <c r="BD427" i="6"/>
  <c r="T428" i="6" s="1"/>
  <c r="AP427" i="6"/>
  <c r="AT318" i="6"/>
  <c r="BE318" i="6"/>
  <c r="U319" i="6" s="1"/>
  <c r="AN898" i="6"/>
  <c r="AZ1575" i="6"/>
  <c r="P1576" i="6" s="1"/>
  <c r="AF1575" i="6"/>
  <c r="AI1575" i="6"/>
  <c r="AG1575" i="6"/>
  <c r="AK1575" i="6"/>
  <c r="AR1575" i="6" s="1"/>
  <c r="AS1575" i="6" s="1"/>
  <c r="BD823" i="6"/>
  <c r="T824" i="6" s="1"/>
  <c r="AP823" i="6"/>
  <c r="BD355" i="6"/>
  <c r="T356" i="6" s="1"/>
  <c r="AP355" i="6"/>
  <c r="BD859" i="6"/>
  <c r="T860" i="6" s="1"/>
  <c r="AP859" i="6"/>
  <c r="BA290" i="6"/>
  <c r="Q291" i="6" s="1"/>
  <c r="AG290" i="6"/>
  <c r="BD753" i="6"/>
  <c r="T754" i="6" s="1"/>
  <c r="AP753" i="6"/>
  <c r="AM573" i="6"/>
  <c r="AL573" i="6"/>
  <c r="AM243" i="6"/>
  <c r="AL243" i="6"/>
  <c r="AS1362" i="6"/>
  <c r="BD716" i="6"/>
  <c r="T717" i="6" s="1"/>
  <c r="AP716" i="6"/>
  <c r="AQ1506" i="6"/>
  <c r="AT1001" i="6"/>
  <c r="BE1001" i="6"/>
  <c r="U1002" i="6" s="1"/>
  <c r="BA900" i="6"/>
  <c r="Q901" i="6" s="1"/>
  <c r="AG900" i="6"/>
  <c r="BA1256" i="6"/>
  <c r="Q1257" i="6" s="1"/>
  <c r="AM1362" i="6"/>
  <c r="AL1362" i="6"/>
  <c r="BA218" i="6"/>
  <c r="Q219" i="6" s="1"/>
  <c r="AT66" i="6"/>
  <c r="BE66" i="6"/>
  <c r="U67" i="6" s="1"/>
  <c r="AR930" i="6"/>
  <c r="AQ930" i="6"/>
  <c r="AM35" i="6"/>
  <c r="AL35" i="6"/>
  <c r="BO397" i="6"/>
  <c r="BN398" i="6" s="1"/>
  <c r="AK397" i="6"/>
  <c r="AM397" i="6" s="1"/>
  <c r="AQ536" i="6"/>
  <c r="BD1073" i="6"/>
  <c r="T1074" i="6" s="1"/>
  <c r="AP1073" i="6"/>
  <c r="AR606" i="6"/>
  <c r="AQ606" i="6"/>
  <c r="AS1001" i="6"/>
  <c r="AR786" i="6"/>
  <c r="AQ786" i="6"/>
  <c r="AN1395" i="6"/>
  <c r="AU1395" i="6" s="1"/>
  <c r="AL136" i="6"/>
  <c r="AM136" i="6"/>
  <c r="AQ1290" i="6"/>
  <c r="AR1290" i="6"/>
  <c r="AR570" i="6"/>
  <c r="AQ570" i="6"/>
  <c r="AR246" i="6"/>
  <c r="AQ246" i="6"/>
  <c r="AP971" i="6"/>
  <c r="BD971" i="6"/>
  <c r="T972" i="6" s="1"/>
  <c r="BO1263" i="6"/>
  <c r="BN1264" i="6" s="1"/>
  <c r="AZ494" i="6"/>
  <c r="P495" i="6" s="1"/>
  <c r="AK494" i="6"/>
  <c r="AR494" i="6" s="1"/>
  <c r="AS494" i="6" s="1"/>
  <c r="AG494" i="6"/>
  <c r="BA104" i="6"/>
  <c r="Q105" i="6" s="1"/>
  <c r="AT1542" i="6"/>
  <c r="AU1542" i="6" s="1"/>
  <c r="BE1542" i="6"/>
  <c r="U1543" i="6" s="1"/>
  <c r="AZ1611" i="6"/>
  <c r="P1612" i="6" s="1"/>
  <c r="AI1611" i="6"/>
  <c r="AF1611" i="6"/>
  <c r="AG1611" i="6"/>
  <c r="AK1611" i="6"/>
  <c r="AR1611" i="6" s="1"/>
  <c r="AS1611" i="6" s="1"/>
  <c r="AL397" i="6"/>
  <c r="AM1501" i="6"/>
  <c r="AL1501" i="6"/>
  <c r="AR1363" i="6"/>
  <c r="AQ1363" i="6"/>
  <c r="BA574" i="6"/>
  <c r="Q575" i="6" s="1"/>
  <c r="AG574" i="6"/>
  <c r="BG244" i="6"/>
  <c r="W245" i="6" s="1"/>
  <c r="BG245" i="6" s="1"/>
  <c r="W246" i="6" s="1"/>
  <c r="BG246" i="6" s="1"/>
  <c r="W247" i="6" s="1"/>
  <c r="BG247" i="6" s="1"/>
  <c r="W248" i="6" s="1"/>
  <c r="BG248" i="6" s="1"/>
  <c r="W249" i="6" s="1"/>
  <c r="BG249" i="6" s="1"/>
  <c r="W250" i="6" s="1"/>
  <c r="BG250" i="6" s="1"/>
  <c r="W251" i="6" s="1"/>
  <c r="BG251" i="6" s="1"/>
  <c r="W252" i="6" s="1"/>
  <c r="BG252" i="6" s="1"/>
  <c r="W253" i="6" s="1"/>
  <c r="BG253" i="6" s="1"/>
  <c r="W254" i="6" s="1"/>
  <c r="BG254" i="6" s="1"/>
  <c r="W255" i="6" s="1"/>
  <c r="BG255" i="6" s="1"/>
  <c r="W256" i="6" s="1"/>
  <c r="BG256" i="6" s="1"/>
  <c r="W257" i="6" s="1"/>
  <c r="BG257" i="6" s="1"/>
  <c r="AH244" i="6"/>
  <c r="BD1507" i="6"/>
  <c r="T1508" i="6" s="1"/>
  <c r="AP1507" i="6"/>
  <c r="BA1620" i="6"/>
  <c r="Q1621" i="6" s="1"/>
  <c r="AM1070" i="6"/>
  <c r="AL1070" i="6"/>
  <c r="AM1041" i="6"/>
  <c r="AL1041" i="6"/>
  <c r="AM746" i="6"/>
  <c r="AL746" i="6"/>
  <c r="AG1363" i="6"/>
  <c r="BA1363" i="6"/>
  <c r="Q1364" i="6" s="1"/>
  <c r="AM709" i="6"/>
  <c r="AL709" i="6"/>
  <c r="AM1429" i="6"/>
  <c r="AL1429" i="6"/>
  <c r="BD931" i="6"/>
  <c r="T932" i="6" s="1"/>
  <c r="AP931" i="6"/>
  <c r="BA36" i="6"/>
  <c r="Q37" i="6" s="1"/>
  <c r="AG36" i="6"/>
  <c r="AN1645" i="6"/>
  <c r="AU1645" i="6" s="1"/>
  <c r="BO543" i="6"/>
  <c r="BN544" i="6" s="1"/>
  <c r="BO361" i="6"/>
  <c r="BN362" i="6" s="1"/>
  <c r="AK361" i="6"/>
  <c r="AN61" i="6"/>
  <c r="AU61" i="6" s="1"/>
  <c r="BD537" i="6"/>
  <c r="T538" i="6" s="1"/>
  <c r="AP537" i="6"/>
  <c r="AT569" i="6"/>
  <c r="BE569" i="6"/>
  <c r="U570" i="6" s="1"/>
  <c r="AT893" i="6"/>
  <c r="BE893" i="6"/>
  <c r="U894" i="6" s="1"/>
  <c r="BO1118" i="6"/>
  <c r="BN1119" i="6" s="1"/>
  <c r="AK1118" i="6"/>
  <c r="AK904" i="6"/>
  <c r="BO904" i="6"/>
  <c r="BN905" i="6" s="1"/>
  <c r="AT246" i="6"/>
  <c r="BE246" i="6"/>
  <c r="U247" i="6" s="1"/>
  <c r="BD1291" i="6"/>
  <c r="T1292" i="6" s="1"/>
  <c r="AP1291" i="6"/>
  <c r="BD571" i="6"/>
  <c r="T572" i="6" s="1"/>
  <c r="AP571" i="6"/>
  <c r="BD247" i="6"/>
  <c r="T248" i="6" s="1"/>
  <c r="AP247" i="6"/>
  <c r="AQ1579" i="6"/>
  <c r="AR390" i="6"/>
  <c r="AQ390" i="6"/>
  <c r="BO1440" i="6"/>
  <c r="BN1441" i="6" s="1"/>
  <c r="AQ174" i="6"/>
  <c r="AR174" i="6"/>
  <c r="BA1076" i="6"/>
  <c r="Q1077" i="6" s="1"/>
  <c r="AM674" i="6"/>
  <c r="AL674" i="6"/>
  <c r="AS282" i="6"/>
  <c r="AT1326" i="6"/>
  <c r="AU1326" i="6" s="1"/>
  <c r="BE1326" i="6"/>
  <c r="U1327" i="6" s="1"/>
  <c r="AN643" i="6"/>
  <c r="BA398" i="6"/>
  <c r="Q399" i="6" s="1"/>
  <c r="AG398" i="6"/>
  <c r="BD1364" i="6"/>
  <c r="T1365" i="6" s="1"/>
  <c r="AP1364" i="6"/>
  <c r="AS821" i="6"/>
  <c r="AU821" i="6" s="1"/>
  <c r="AN853" i="6"/>
  <c r="AU853" i="6" s="1"/>
  <c r="AN460" i="6"/>
  <c r="AU460" i="6" s="1"/>
  <c r="AN181" i="6"/>
  <c r="AT1613" i="6"/>
  <c r="BE1613" i="6"/>
  <c r="U1614" i="6" s="1"/>
  <c r="BA1042" i="6"/>
  <c r="Q1043" i="6" s="1"/>
  <c r="AG1042" i="6"/>
  <c r="AM1332" i="6"/>
  <c r="AL1332" i="6"/>
  <c r="BO144" i="6"/>
  <c r="BN145" i="6" s="1"/>
  <c r="AK144" i="6"/>
  <c r="AN529" i="6"/>
  <c r="AU529" i="6" s="1"/>
  <c r="AS1184" i="6"/>
  <c r="AL932" i="6"/>
  <c r="AM932" i="6"/>
  <c r="AT678" i="6"/>
  <c r="BE678" i="6"/>
  <c r="U679" i="6" s="1"/>
  <c r="BH1155" i="6"/>
  <c r="X1156" i="6" s="1"/>
  <c r="AD1155" i="6"/>
  <c r="BA1184" i="6"/>
  <c r="Q1185" i="6" s="1"/>
  <c r="AG1184" i="6"/>
  <c r="BA1404" i="6"/>
  <c r="Q1405" i="6" s="1"/>
  <c r="AG1404" i="6"/>
  <c r="BA1006" i="6"/>
  <c r="Q1007" i="6" s="1"/>
  <c r="AG1006" i="6"/>
  <c r="AR1218" i="6"/>
  <c r="AQ1218" i="6"/>
  <c r="BA69" i="6"/>
  <c r="Q70" i="6" s="1"/>
  <c r="BE427" i="6"/>
  <c r="U428" i="6" s="1"/>
  <c r="AT427" i="6"/>
  <c r="BD1580" i="6"/>
  <c r="T1581" i="6" s="1"/>
  <c r="AP1580" i="6"/>
  <c r="BD391" i="6"/>
  <c r="T392" i="6" s="1"/>
  <c r="AP391" i="6"/>
  <c r="BD175" i="6"/>
  <c r="T176" i="6" s="1"/>
  <c r="AP175" i="6"/>
  <c r="AZ675" i="6"/>
  <c r="P676" i="6" s="1"/>
  <c r="AI675" i="6"/>
  <c r="AF675" i="6"/>
  <c r="AG675" i="6"/>
  <c r="AK675" i="6"/>
  <c r="AR675" i="6" s="1"/>
  <c r="AS675" i="6" s="1"/>
  <c r="BA1437" i="6"/>
  <c r="Q1438" i="6" s="1"/>
  <c r="AR462" i="6"/>
  <c r="AQ462" i="6"/>
  <c r="AR1002" i="6"/>
  <c r="AQ1002" i="6"/>
  <c r="AT1074" i="6"/>
  <c r="BE1074" i="6"/>
  <c r="U1075" i="6" s="1"/>
  <c r="AZ1502" i="6"/>
  <c r="P1503" i="6" s="1"/>
  <c r="AK1502" i="6"/>
  <c r="AR1502" i="6" s="1"/>
  <c r="AS1502" i="6" s="1"/>
  <c r="AG1502" i="6"/>
  <c r="AQ1434" i="6"/>
  <c r="BA434" i="6"/>
  <c r="Q435" i="6" s="1"/>
  <c r="AM787" i="6"/>
  <c r="AL787" i="6"/>
  <c r="BE1433" i="6"/>
  <c r="U1434" i="6" s="1"/>
  <c r="AT1433" i="6"/>
  <c r="AZ1071" i="6"/>
  <c r="P1072" i="6" s="1"/>
  <c r="AF1071" i="6"/>
  <c r="AI1071" i="6"/>
  <c r="AK1071" i="6"/>
  <c r="AR1071" i="6" s="1"/>
  <c r="AS1071" i="6" s="1"/>
  <c r="AG1071" i="6"/>
  <c r="AZ747" i="6"/>
  <c r="P748" i="6" s="1"/>
  <c r="AF747" i="6"/>
  <c r="AI747" i="6"/>
  <c r="AK747" i="6"/>
  <c r="AR747" i="6" s="1"/>
  <c r="AS747" i="6" s="1"/>
  <c r="AG747" i="6"/>
  <c r="BA1508" i="6"/>
  <c r="Q1509" i="6" s="1"/>
  <c r="BA716" i="6"/>
  <c r="Q717" i="6" s="1"/>
  <c r="BA1333" i="6"/>
  <c r="Q1334" i="6" s="1"/>
  <c r="AG1333" i="6"/>
  <c r="AT138" i="6"/>
  <c r="BE138" i="6"/>
  <c r="U139" i="6" s="1"/>
  <c r="AZ710" i="6"/>
  <c r="P711" i="6" s="1"/>
  <c r="AK710" i="6"/>
  <c r="AR710" i="6" s="1"/>
  <c r="AS710" i="6" s="1"/>
  <c r="AG710" i="6"/>
  <c r="AZ1430" i="6"/>
  <c r="P1431" i="6" s="1"/>
  <c r="AK1430" i="6"/>
  <c r="AR1430" i="6" s="1"/>
  <c r="AS1430" i="6" s="1"/>
  <c r="AG1430" i="6"/>
  <c r="BO1586" i="6"/>
  <c r="BN1587" i="6" s="1"/>
  <c r="BA933" i="6"/>
  <c r="Q934" i="6" s="1"/>
  <c r="AG933" i="6"/>
  <c r="BE499" i="6"/>
  <c r="U500" i="6" s="1"/>
  <c r="AT499" i="6"/>
  <c r="AZ1251" i="6"/>
  <c r="P1252" i="6" s="1"/>
  <c r="AI1251" i="6"/>
  <c r="AF1251" i="6"/>
  <c r="AK1251" i="6"/>
  <c r="AR1251" i="6" s="1"/>
  <c r="AS1251" i="6" s="1"/>
  <c r="AG1251" i="6"/>
  <c r="AL355" i="6"/>
  <c r="AM355" i="6"/>
  <c r="AM608" i="6"/>
  <c r="AL608" i="6"/>
  <c r="BO1399" i="6"/>
  <c r="BN1400" i="6" s="1"/>
  <c r="AK1399" i="6"/>
  <c r="AM1399" i="6" s="1"/>
  <c r="AN1399" i="6" s="1"/>
  <c r="AM314" i="6"/>
  <c r="AL314" i="6"/>
  <c r="AT750" i="6"/>
  <c r="BE750" i="6"/>
  <c r="U751" i="6" s="1"/>
  <c r="BA356" i="6"/>
  <c r="Q357" i="6" s="1"/>
  <c r="AG356" i="6"/>
  <c r="BE1146" i="6"/>
  <c r="U1147" i="6" s="1"/>
  <c r="AT1146" i="6"/>
  <c r="AS1109" i="6"/>
  <c r="AU1109" i="6" s="1"/>
  <c r="AS1544" i="6"/>
  <c r="AM182" i="6"/>
  <c r="AL182" i="6"/>
  <c r="BA609" i="6"/>
  <c r="Q610" i="6" s="1"/>
  <c r="AG609" i="6"/>
  <c r="AQ210" i="6"/>
  <c r="AQ1110" i="6"/>
  <c r="AR1110" i="6"/>
  <c r="AS569" i="6"/>
  <c r="AM423" i="6"/>
  <c r="AL423" i="6"/>
  <c r="BD463" i="6"/>
  <c r="T464" i="6" s="1"/>
  <c r="AP463" i="6"/>
  <c r="AQ1398" i="6"/>
  <c r="AR1398" i="6"/>
  <c r="BD1003" i="6"/>
  <c r="T1004" i="6" s="1"/>
  <c r="AP1003" i="6"/>
  <c r="BA1587" i="6"/>
  <c r="Q1588" i="6" s="1"/>
  <c r="BD1435" i="6"/>
  <c r="T1436" i="6" s="1"/>
  <c r="AP1435" i="6"/>
  <c r="AL530" i="6"/>
  <c r="AM530" i="6"/>
  <c r="BA788" i="6"/>
  <c r="Q789" i="6" s="1"/>
  <c r="AG788" i="6"/>
  <c r="AN1040" i="6"/>
  <c r="AN786" i="6"/>
  <c r="AT1506" i="6"/>
  <c r="BE1506" i="6"/>
  <c r="U1507" i="6" s="1"/>
  <c r="BE1362" i="6"/>
  <c r="U1363" i="6" s="1"/>
  <c r="AT1362" i="6"/>
  <c r="AL253" i="6"/>
  <c r="BO1653" i="6"/>
  <c r="BN1654" i="6" s="1"/>
  <c r="AL207" i="6"/>
  <c r="AM207" i="6"/>
  <c r="AN34" i="6"/>
  <c r="AT715" i="6"/>
  <c r="BE715" i="6"/>
  <c r="U716" i="6" s="1"/>
  <c r="AK249" i="6"/>
  <c r="AM249" i="6" s="1"/>
  <c r="AN249" i="6" s="1"/>
  <c r="BO249" i="6"/>
  <c r="BN250" i="6" s="1"/>
  <c r="AT174" i="6"/>
  <c r="BE174" i="6"/>
  <c r="U175" i="6" s="1"/>
  <c r="BD1147" i="6"/>
  <c r="T1148" i="6" s="1"/>
  <c r="AP1147" i="6"/>
  <c r="AM1005" i="6"/>
  <c r="AL1005" i="6"/>
  <c r="AT30" i="6"/>
  <c r="BE30" i="6"/>
  <c r="U31" i="6" s="1"/>
  <c r="AM143" i="6"/>
  <c r="AL143" i="6"/>
  <c r="AT1469" i="6"/>
  <c r="BE1469" i="6"/>
  <c r="U1470" i="6" s="1"/>
  <c r="AR642" i="6"/>
  <c r="AQ642" i="6"/>
  <c r="BA183" i="6"/>
  <c r="Q184" i="6" s="1"/>
  <c r="AG183" i="6"/>
  <c r="BD211" i="6"/>
  <c r="T212" i="6" s="1"/>
  <c r="AP211" i="6"/>
  <c r="BD1111" i="6"/>
  <c r="T1112" i="6" s="1"/>
  <c r="AP1111" i="6"/>
  <c r="AU173" i="6"/>
  <c r="BD1399" i="6"/>
  <c r="T1400" i="6" s="1"/>
  <c r="AP1399" i="6"/>
  <c r="BO1371" i="6"/>
  <c r="BN1372" i="6" s="1"/>
  <c r="AK1371" i="6"/>
  <c r="AM98" i="6"/>
  <c r="AL98" i="6"/>
  <c r="AN172" i="6"/>
  <c r="AU172" i="6" s="1"/>
  <c r="BE463" i="6"/>
  <c r="U464" i="6" s="1"/>
  <c r="AT463" i="6"/>
  <c r="AZ531" i="6"/>
  <c r="P532" i="6" s="1"/>
  <c r="AF531" i="6"/>
  <c r="AI531" i="6"/>
  <c r="AG531" i="6"/>
  <c r="AK531" i="6"/>
  <c r="AR531" i="6" s="1"/>
  <c r="AS531" i="6" s="1"/>
  <c r="AL854" i="6"/>
  <c r="AM854" i="6"/>
  <c r="AQ102" i="6"/>
  <c r="AT857" i="6"/>
  <c r="BE857" i="6"/>
  <c r="U858" i="6" s="1"/>
  <c r="AQ1470" i="6"/>
  <c r="AT930" i="6"/>
  <c r="BE930" i="6"/>
  <c r="U931" i="6" s="1"/>
  <c r="BA254" i="6"/>
  <c r="Q255" i="6" s="1"/>
  <c r="AG254" i="6"/>
  <c r="AR1185" i="6"/>
  <c r="AQ1185" i="6"/>
  <c r="AR283" i="6"/>
  <c r="AQ283" i="6"/>
  <c r="BD322" i="6"/>
  <c r="T323" i="6" s="1"/>
  <c r="AP322" i="6"/>
  <c r="BE1110" i="6"/>
  <c r="U1111" i="6" s="1"/>
  <c r="AT1110" i="6"/>
  <c r="AS969" i="6"/>
  <c r="AL280" i="6"/>
  <c r="AM280" i="6"/>
  <c r="AZ315" i="6"/>
  <c r="P316" i="6" s="1"/>
  <c r="AI315" i="6"/>
  <c r="AF315" i="6"/>
  <c r="AK315" i="6"/>
  <c r="AR315" i="6" s="1"/>
  <c r="AS315" i="6" s="1"/>
  <c r="AG315" i="6"/>
  <c r="AM468" i="6"/>
  <c r="AL468" i="6"/>
  <c r="AZ424" i="6"/>
  <c r="P425" i="6" s="1"/>
  <c r="AG424" i="6"/>
  <c r="AK424" i="6"/>
  <c r="AR424" i="6" s="1"/>
  <c r="AS424" i="6" s="1"/>
  <c r="AT1038" i="6"/>
  <c r="BE1038" i="6"/>
  <c r="U1039" i="6" s="1"/>
  <c r="AT1181" i="6"/>
  <c r="AU1181" i="6" s="1"/>
  <c r="BE1181" i="6"/>
  <c r="U1182" i="6" s="1"/>
  <c r="AL1111" i="6"/>
  <c r="AM1111" i="6"/>
  <c r="AN354" i="6"/>
  <c r="BO285" i="6"/>
  <c r="BN286" i="6" s="1"/>
  <c r="AK285" i="6"/>
  <c r="AM285" i="6" s="1"/>
  <c r="AN285" i="6" s="1"/>
  <c r="AQ678" i="6"/>
  <c r="AQ1038" i="6"/>
  <c r="AR1038" i="6"/>
  <c r="BO1153" i="6"/>
  <c r="BN1154" i="6" s="1"/>
  <c r="AR30" i="6"/>
  <c r="AQ30" i="6"/>
  <c r="AT1290" i="6"/>
  <c r="BE1290" i="6"/>
  <c r="U1291" i="6" s="1"/>
  <c r="BD103" i="6"/>
  <c r="T104" i="6" s="1"/>
  <c r="AP103" i="6"/>
  <c r="BE824" i="6"/>
  <c r="U825" i="6" s="1"/>
  <c r="AM1142" i="6"/>
  <c r="AL1142" i="6"/>
  <c r="AQ67" i="6"/>
  <c r="AL28" i="6"/>
  <c r="AM28" i="6"/>
  <c r="BD1471" i="6"/>
  <c r="T1472" i="6" s="1"/>
  <c r="AP1471" i="6"/>
  <c r="AU137" i="6"/>
  <c r="AL1396" i="6"/>
  <c r="AM1396" i="6"/>
  <c r="AM1293" i="6"/>
  <c r="AL1293" i="6"/>
  <c r="BE1217" i="6"/>
  <c r="U1218" i="6" s="1"/>
  <c r="AT1217" i="6"/>
  <c r="AU1217" i="6" s="1"/>
  <c r="AZ208" i="6"/>
  <c r="P209" i="6" s="1"/>
  <c r="AG208" i="6"/>
  <c r="AK208" i="6"/>
  <c r="AR208" i="6" s="1"/>
  <c r="AS208" i="6" s="1"/>
  <c r="BD1186" i="6"/>
  <c r="T1187" i="6" s="1"/>
  <c r="AP1186" i="6"/>
  <c r="AQ1614" i="6"/>
  <c r="AQ1651" i="6"/>
  <c r="BE642" i="6"/>
  <c r="U643" i="6" s="1"/>
  <c r="AT642" i="6"/>
  <c r="AS785" i="6"/>
  <c r="AU785" i="6" s="1"/>
  <c r="AI63" i="6"/>
  <c r="AZ63" i="6"/>
  <c r="P64" i="6" s="1"/>
  <c r="AF63" i="6"/>
  <c r="AK63" i="6"/>
  <c r="AR63" i="6" s="1"/>
  <c r="AS63" i="6" s="1"/>
  <c r="AG63" i="6"/>
  <c r="AT534" i="6"/>
  <c r="BE534" i="6"/>
  <c r="U535" i="6" s="1"/>
  <c r="AQ1545" i="6"/>
  <c r="AR1545" i="6"/>
  <c r="AL1465" i="6"/>
  <c r="AM1465" i="6"/>
  <c r="AT354" i="6"/>
  <c r="BE354" i="6"/>
  <c r="U355" i="6" s="1"/>
  <c r="AM1219" i="6"/>
  <c r="AL1219" i="6"/>
  <c r="AL823" i="6"/>
  <c r="AM823" i="6"/>
  <c r="BE210" i="6"/>
  <c r="U211" i="6" s="1"/>
  <c r="AT210" i="6"/>
  <c r="BD1546" i="6"/>
  <c r="T1547" i="6" s="1"/>
  <c r="AP1546" i="6"/>
  <c r="BA753" i="6"/>
  <c r="Q754" i="6" s="1"/>
  <c r="BA1653" i="6"/>
  <c r="Q1654" i="6" s="1"/>
  <c r="AT1254" i="6"/>
  <c r="BE1254" i="6"/>
  <c r="U1255" i="6" s="1"/>
  <c r="BA469" i="6"/>
  <c r="Q470" i="6" s="1"/>
  <c r="AG469" i="6"/>
  <c r="AN313" i="6"/>
  <c r="AU313" i="6" s="1"/>
  <c r="AT282" i="6"/>
  <c r="BE282" i="6"/>
  <c r="U283" i="6" s="1"/>
  <c r="AT786" i="6"/>
  <c r="BE786" i="6"/>
  <c r="U787" i="6" s="1"/>
  <c r="BA1112" i="6"/>
  <c r="Q1113" i="6" s="1"/>
  <c r="AG1112" i="6"/>
  <c r="AN492" i="6"/>
  <c r="AU492" i="6" s="1"/>
  <c r="BD679" i="6"/>
  <c r="T680" i="6" s="1"/>
  <c r="AP679" i="6"/>
  <c r="BD1039" i="6"/>
  <c r="T1040" i="6" s="1"/>
  <c r="AP1039" i="6"/>
  <c r="AZ99" i="6"/>
  <c r="P100" i="6" s="1"/>
  <c r="AI99" i="6"/>
  <c r="AK99" i="6"/>
  <c r="AR99" i="6" s="1"/>
  <c r="AS99" i="6" s="1"/>
  <c r="AF99" i="6"/>
  <c r="AG99" i="6"/>
  <c r="BD31" i="6"/>
  <c r="T32" i="6" s="1"/>
  <c r="AP31" i="6"/>
  <c r="AZ855" i="6"/>
  <c r="P856" i="6" s="1"/>
  <c r="AI855" i="6"/>
  <c r="AF855" i="6"/>
  <c r="AK855" i="6"/>
  <c r="AR855" i="6" s="1"/>
  <c r="AS855" i="6" s="1"/>
  <c r="AG855" i="6"/>
  <c r="BA1473" i="6"/>
  <c r="Q1474" i="6" s="1"/>
  <c r="BO1620" i="6"/>
  <c r="BN1621" i="6" s="1"/>
  <c r="AR138" i="6"/>
  <c r="AQ138" i="6"/>
  <c r="AL644" i="6"/>
  <c r="AM644" i="6"/>
  <c r="BD68" i="6"/>
  <c r="T69" i="6" s="1"/>
  <c r="AP68" i="6"/>
  <c r="AS353" i="6"/>
  <c r="AU353" i="6" s="1"/>
  <c r="AZ472" i="6"/>
  <c r="P473" i="6" s="1"/>
  <c r="AK472" i="6"/>
  <c r="BA1294" i="6"/>
  <c r="Q1295" i="6" s="1"/>
  <c r="AG1294" i="6"/>
  <c r="BA682" i="6"/>
  <c r="Q683" i="6" s="1"/>
  <c r="AS929" i="6"/>
  <c r="AU929" i="6" s="1"/>
  <c r="BD1615" i="6"/>
  <c r="T1616" i="6" s="1"/>
  <c r="AP1615" i="6"/>
  <c r="AS1363" i="6" l="1"/>
  <c r="AN28" i="6"/>
  <c r="AU28" i="6" s="1"/>
  <c r="AN1396" i="6"/>
  <c r="AU1396" i="6" s="1"/>
  <c r="AN1183" i="6"/>
  <c r="AN355" i="6"/>
  <c r="AN1219" i="6"/>
  <c r="AS246" i="6"/>
  <c r="AN644" i="6"/>
  <c r="AS1329" i="6"/>
  <c r="AN98" i="6"/>
  <c r="AU98" i="6" s="1"/>
  <c r="AN493" i="6"/>
  <c r="AU493" i="6" s="1"/>
  <c r="AR970" i="6"/>
  <c r="AS970" i="6" s="1"/>
  <c r="AN1250" i="6"/>
  <c r="AU1250" i="6" s="1"/>
  <c r="AN1574" i="6"/>
  <c r="AU1574" i="6" s="1"/>
  <c r="AN1005" i="6"/>
  <c r="AN1070" i="6"/>
  <c r="AU1070" i="6" s="1"/>
  <c r="AN423" i="6"/>
  <c r="AU423" i="6" s="1"/>
  <c r="AN899" i="6"/>
  <c r="AN1111" i="6"/>
  <c r="AN1646" i="6"/>
  <c r="AU1646" i="6" s="1"/>
  <c r="AN1142" i="6"/>
  <c r="AU1142" i="6" s="1"/>
  <c r="AN932" i="6"/>
  <c r="AU246" i="6"/>
  <c r="AN62" i="6"/>
  <c r="AU62" i="6" s="1"/>
  <c r="AN608" i="6"/>
  <c r="AN1332" i="6"/>
  <c r="AN1362" i="6"/>
  <c r="AU1362" i="6" s="1"/>
  <c r="AS822" i="6"/>
  <c r="AU822" i="6" s="1"/>
  <c r="AS1290" i="6"/>
  <c r="AN1610" i="6"/>
  <c r="AU1610" i="6" s="1"/>
  <c r="AS1218" i="6"/>
  <c r="AS930" i="6"/>
  <c r="AU930" i="6" s="1"/>
  <c r="AS1185" i="6"/>
  <c r="AU1001" i="6"/>
  <c r="AS1398" i="6"/>
  <c r="AU1398" i="6" s="1"/>
  <c r="AS606" i="6"/>
  <c r="AU606" i="6" s="1"/>
  <c r="AS1002" i="6"/>
  <c r="BA1474" i="6"/>
  <c r="Q1475" i="6" s="1"/>
  <c r="AL1404" i="6"/>
  <c r="BE1400" i="6"/>
  <c r="U1401" i="6" s="1"/>
  <c r="AR1039" i="6"/>
  <c r="AQ1039" i="6"/>
  <c r="AT211" i="6"/>
  <c r="BE211" i="6"/>
  <c r="U212" i="6" s="1"/>
  <c r="AT535" i="6"/>
  <c r="BE535" i="6"/>
  <c r="U536" i="6" s="1"/>
  <c r="AS1038" i="6"/>
  <c r="AU1038" i="6" s="1"/>
  <c r="AZ316" i="6"/>
  <c r="P317" i="6" s="1"/>
  <c r="AK316" i="6"/>
  <c r="AR316" i="6" s="1"/>
  <c r="AS316" i="6" s="1"/>
  <c r="AG316" i="6"/>
  <c r="AT464" i="6"/>
  <c r="BE464" i="6"/>
  <c r="U465" i="6" s="1"/>
  <c r="AR1111" i="6"/>
  <c r="AQ1111" i="6"/>
  <c r="AT31" i="6"/>
  <c r="BE31" i="6"/>
  <c r="U32" i="6" s="1"/>
  <c r="AS1110" i="6"/>
  <c r="AU1110" i="6" s="1"/>
  <c r="BA357" i="6"/>
  <c r="Q358" i="6" s="1"/>
  <c r="AG357" i="6"/>
  <c r="BO1587" i="6"/>
  <c r="BN1588" i="6" s="1"/>
  <c r="AL1071" i="6"/>
  <c r="AM1071" i="6"/>
  <c r="AM1502" i="6"/>
  <c r="AL1502" i="6"/>
  <c r="BE428" i="6"/>
  <c r="U429" i="6" s="1"/>
  <c r="BA1405" i="6"/>
  <c r="Q1406" i="6" s="1"/>
  <c r="AG1405" i="6"/>
  <c r="BO145" i="6"/>
  <c r="BN146" i="6" s="1"/>
  <c r="AK145" i="6"/>
  <c r="BD1365" i="6"/>
  <c r="T1366" i="6" s="1"/>
  <c r="AP1365" i="6"/>
  <c r="AS174" i="6"/>
  <c r="AU174" i="6" s="1"/>
  <c r="AM36" i="6"/>
  <c r="AL36" i="6"/>
  <c r="AN1041" i="6"/>
  <c r="AQ971" i="6"/>
  <c r="AS786" i="6"/>
  <c r="AU786" i="6" s="1"/>
  <c r="AN35" i="6"/>
  <c r="BA1257" i="6"/>
  <c r="Q1258" i="6" s="1"/>
  <c r="AN573" i="6"/>
  <c r="AL1545" i="6"/>
  <c r="AM1545" i="6"/>
  <c r="AQ500" i="6"/>
  <c r="BD644" i="6"/>
  <c r="T645" i="6" s="1"/>
  <c r="AP644" i="6"/>
  <c r="BD1331" i="6"/>
  <c r="T1332" i="6" s="1"/>
  <c r="AP1331" i="6"/>
  <c r="BA145" i="6"/>
  <c r="Q146" i="6" s="1"/>
  <c r="AG145" i="6"/>
  <c r="BA825" i="6"/>
  <c r="Q826" i="6" s="1"/>
  <c r="AG825" i="6"/>
  <c r="BA1546" i="6"/>
  <c r="Q1547" i="6" s="1"/>
  <c r="AG1546" i="6"/>
  <c r="AR607" i="6"/>
  <c r="AQ607" i="6"/>
  <c r="BD1616" i="6"/>
  <c r="T1617" i="6" s="1"/>
  <c r="AP1616" i="6"/>
  <c r="AL424" i="6"/>
  <c r="AM424" i="6"/>
  <c r="AQ211" i="6"/>
  <c r="AN207" i="6"/>
  <c r="AU207" i="6" s="1"/>
  <c r="AR1003" i="6"/>
  <c r="AQ1003" i="6"/>
  <c r="AL1251" i="6"/>
  <c r="AM1251" i="6"/>
  <c r="AZ1503" i="6"/>
  <c r="P1504" i="6" s="1"/>
  <c r="AI1503" i="6"/>
  <c r="AF1503" i="6"/>
  <c r="AK1503" i="6"/>
  <c r="AR1503" i="6" s="1"/>
  <c r="AS1503" i="6" s="1"/>
  <c r="AG1503" i="6"/>
  <c r="AL675" i="6"/>
  <c r="AM675" i="6"/>
  <c r="BA70" i="6"/>
  <c r="Q71" i="6" s="1"/>
  <c r="BA1185" i="6"/>
  <c r="Q1186" i="6" s="1"/>
  <c r="AG1185" i="6"/>
  <c r="BA399" i="6"/>
  <c r="Q400" i="6" s="1"/>
  <c r="AG399" i="6"/>
  <c r="AR1291" i="6"/>
  <c r="AQ1291" i="6"/>
  <c r="AR931" i="6"/>
  <c r="AQ931" i="6"/>
  <c r="BA575" i="6"/>
  <c r="Q576" i="6" s="1"/>
  <c r="AG575" i="6"/>
  <c r="BE1543" i="6"/>
  <c r="U1544" i="6" s="1"/>
  <c r="AT1543" i="6"/>
  <c r="AU1543" i="6" s="1"/>
  <c r="BA901" i="6"/>
  <c r="Q902" i="6" s="1"/>
  <c r="AG901" i="6"/>
  <c r="AQ753" i="6"/>
  <c r="BD1653" i="6"/>
  <c r="T1654" i="6" s="1"/>
  <c r="AP1653" i="6"/>
  <c r="BH938" i="6"/>
  <c r="X939" i="6" s="1"/>
  <c r="AD938" i="6"/>
  <c r="BA506" i="6"/>
  <c r="Q507" i="6" s="1"/>
  <c r="BD608" i="6"/>
  <c r="T609" i="6" s="1"/>
  <c r="AP608" i="6"/>
  <c r="BA1221" i="6"/>
  <c r="Q1222" i="6" s="1"/>
  <c r="AG1221" i="6"/>
  <c r="AT103" i="6"/>
  <c r="BE103" i="6"/>
  <c r="U104" i="6" s="1"/>
  <c r="AM356" i="6"/>
  <c r="AL356" i="6"/>
  <c r="BA1438" i="6"/>
  <c r="Q1439" i="6" s="1"/>
  <c r="AM244" i="6"/>
  <c r="AL244" i="6"/>
  <c r="AQ1219" i="6"/>
  <c r="AR1219" i="6"/>
  <c r="AT1578" i="6"/>
  <c r="BE1578" i="6"/>
  <c r="U1579" i="6" s="1"/>
  <c r="AQ103" i="6"/>
  <c r="AM574" i="6"/>
  <c r="AL574" i="6"/>
  <c r="AQ1652" i="6"/>
  <c r="AT1651" i="6"/>
  <c r="BE1651" i="6"/>
  <c r="U1652" i="6" s="1"/>
  <c r="AQ68" i="6"/>
  <c r="BD104" i="6"/>
  <c r="T105" i="6" s="1"/>
  <c r="AP104" i="6"/>
  <c r="BD680" i="6"/>
  <c r="T681" i="6" s="1"/>
  <c r="AP680" i="6"/>
  <c r="AQ1471" i="6"/>
  <c r="AZ425" i="6"/>
  <c r="P426" i="6" s="1"/>
  <c r="AG425" i="6"/>
  <c r="AK425" i="6"/>
  <c r="AR425" i="6" s="1"/>
  <c r="AS425" i="6" s="1"/>
  <c r="AN280" i="6"/>
  <c r="AU280" i="6" s="1"/>
  <c r="AL254" i="6"/>
  <c r="AN854" i="6"/>
  <c r="AU854" i="6" s="1"/>
  <c r="BD212" i="6"/>
  <c r="T213" i="6" s="1"/>
  <c r="AP212" i="6"/>
  <c r="BD1004" i="6"/>
  <c r="T1005" i="6" s="1"/>
  <c r="AP1004" i="6"/>
  <c r="AM609" i="6"/>
  <c r="AL609" i="6"/>
  <c r="AZ1431" i="6"/>
  <c r="P1432" i="6" s="1"/>
  <c r="AI1431" i="6"/>
  <c r="AF1431" i="6"/>
  <c r="AK1431" i="6"/>
  <c r="AR1431" i="6" s="1"/>
  <c r="AS1431" i="6" s="1"/>
  <c r="AG1431" i="6"/>
  <c r="BA1509" i="6"/>
  <c r="Q1510" i="6" s="1"/>
  <c r="BE1434" i="6"/>
  <c r="U1435" i="6" s="1"/>
  <c r="AT1434" i="6"/>
  <c r="AT1075" i="6"/>
  <c r="BE1075" i="6"/>
  <c r="U1076" i="6" s="1"/>
  <c r="AL1042" i="6"/>
  <c r="AM1042" i="6"/>
  <c r="BO1441" i="6"/>
  <c r="BN1442" i="6" s="1"/>
  <c r="BD1292" i="6"/>
  <c r="T1293" i="6" s="1"/>
  <c r="AP1292" i="6"/>
  <c r="AQ537" i="6"/>
  <c r="BD932" i="6"/>
  <c r="T933" i="6" s="1"/>
  <c r="AP932" i="6"/>
  <c r="AT1002" i="6"/>
  <c r="BE1002" i="6"/>
  <c r="U1003" i="6" s="1"/>
  <c r="BD754" i="6"/>
  <c r="T755" i="6" s="1"/>
  <c r="AP754" i="6"/>
  <c r="AM1575" i="6"/>
  <c r="AL1575" i="6"/>
  <c r="BO682" i="6"/>
  <c r="BN683" i="6" s="1"/>
  <c r="BO938" i="6"/>
  <c r="BN939" i="6" s="1"/>
  <c r="AK938" i="6"/>
  <c r="AQ1615" i="6"/>
  <c r="BA470" i="6"/>
  <c r="Q471" i="6" s="1"/>
  <c r="AG470" i="6"/>
  <c r="AT1255" i="6"/>
  <c r="BE1255" i="6"/>
  <c r="U1256" i="6" s="1"/>
  <c r="AR1186" i="6"/>
  <c r="AQ1186" i="6"/>
  <c r="AZ856" i="6"/>
  <c r="P857" i="6" s="1"/>
  <c r="AK856" i="6"/>
  <c r="AR856" i="6" s="1"/>
  <c r="AS856" i="6" s="1"/>
  <c r="AG856" i="6"/>
  <c r="AL63" i="6"/>
  <c r="AM63" i="6"/>
  <c r="BD1187" i="6"/>
  <c r="T1188" i="6" s="1"/>
  <c r="AP1187" i="6"/>
  <c r="BD1472" i="6"/>
  <c r="T1473" i="6" s="1"/>
  <c r="AP1472" i="6"/>
  <c r="BE1291" i="6"/>
  <c r="U1292" i="6" s="1"/>
  <c r="AT1291" i="6"/>
  <c r="AK286" i="6"/>
  <c r="AM286" i="6" s="1"/>
  <c r="AN286" i="6" s="1"/>
  <c r="BO286" i="6"/>
  <c r="BN287" i="6" s="1"/>
  <c r="BA255" i="6"/>
  <c r="Q256" i="6" s="1"/>
  <c r="AG255" i="6"/>
  <c r="AM183" i="6"/>
  <c r="AL183" i="6"/>
  <c r="AQ1147" i="6"/>
  <c r="BO1654" i="6"/>
  <c r="BN1655" i="6" s="1"/>
  <c r="BA610" i="6"/>
  <c r="Q611" i="6" s="1"/>
  <c r="AG610" i="6"/>
  <c r="AN314" i="6"/>
  <c r="AU314" i="6" s="1"/>
  <c r="AZ1252" i="6"/>
  <c r="P1253" i="6" s="1"/>
  <c r="AK1252" i="6"/>
  <c r="AR1252" i="6" s="1"/>
  <c r="AS1252" i="6" s="1"/>
  <c r="AG1252" i="6"/>
  <c r="AL710" i="6"/>
  <c r="AM710" i="6"/>
  <c r="AZ676" i="6"/>
  <c r="P677" i="6" s="1"/>
  <c r="AG676" i="6"/>
  <c r="AK676" i="6"/>
  <c r="AR676" i="6" s="1"/>
  <c r="AS676" i="6" s="1"/>
  <c r="BH1156" i="6"/>
  <c r="X1157" i="6" s="1"/>
  <c r="AD1156" i="6"/>
  <c r="BA1043" i="6"/>
  <c r="Q1044" i="6" s="1"/>
  <c r="AG1043" i="6"/>
  <c r="AT1327" i="6"/>
  <c r="AU1327" i="6" s="1"/>
  <c r="BE1327" i="6"/>
  <c r="U1328" i="6" s="1"/>
  <c r="AS390" i="6"/>
  <c r="AU390" i="6" s="1"/>
  <c r="AT247" i="6"/>
  <c r="BE247" i="6"/>
  <c r="U248" i="6" s="1"/>
  <c r="BD538" i="6"/>
  <c r="T539" i="6" s="1"/>
  <c r="AP538" i="6"/>
  <c r="AN1429" i="6"/>
  <c r="AU1429" i="6" s="1"/>
  <c r="AS570" i="6"/>
  <c r="AT67" i="6"/>
  <c r="BE67" i="6"/>
  <c r="U68" i="6" s="1"/>
  <c r="AL290" i="6"/>
  <c r="AZ1576" i="6"/>
  <c r="P1577" i="6" s="1"/>
  <c r="AG1576" i="6"/>
  <c r="AK1576" i="6"/>
  <c r="AR1576" i="6" s="1"/>
  <c r="AS1576" i="6" s="1"/>
  <c r="AQ893" i="6"/>
  <c r="AR893" i="6"/>
  <c r="AN1544" i="6"/>
  <c r="AM1143" i="6"/>
  <c r="AL1143" i="6"/>
  <c r="BO794" i="6"/>
  <c r="BN795" i="6" s="1"/>
  <c r="AK794" i="6"/>
  <c r="AT825" i="6"/>
  <c r="BE825" i="6"/>
  <c r="U826" i="6" s="1"/>
  <c r="AQ1364" i="6"/>
  <c r="AR1364" i="6"/>
  <c r="BD972" i="6"/>
  <c r="T973" i="6" s="1"/>
  <c r="AP972" i="6"/>
  <c r="AQ1330" i="6"/>
  <c r="AR1330" i="6"/>
  <c r="AL1184" i="6"/>
  <c r="AM1184" i="6"/>
  <c r="AM1220" i="6"/>
  <c r="AL1220" i="6"/>
  <c r="AM855" i="6"/>
  <c r="AL855" i="6"/>
  <c r="AR31" i="6"/>
  <c r="AQ31" i="6"/>
  <c r="AL1112" i="6"/>
  <c r="AM1112" i="6"/>
  <c r="AT355" i="6"/>
  <c r="BE355" i="6"/>
  <c r="U356" i="6" s="1"/>
  <c r="AZ64" i="6"/>
  <c r="P65" i="6" s="1"/>
  <c r="AK64" i="6"/>
  <c r="AR64" i="6" s="1"/>
  <c r="AS64" i="6" s="1"/>
  <c r="AG64" i="6"/>
  <c r="BE931" i="6"/>
  <c r="U932" i="6" s="1"/>
  <c r="AT931" i="6"/>
  <c r="BA184" i="6"/>
  <c r="Q185" i="6" s="1"/>
  <c r="AG184" i="6"/>
  <c r="BD1148" i="6"/>
  <c r="T1149" i="6" s="1"/>
  <c r="AP1148" i="6"/>
  <c r="AM788" i="6"/>
  <c r="AL788" i="6"/>
  <c r="AN182" i="6"/>
  <c r="AQ175" i="6"/>
  <c r="AR175" i="6"/>
  <c r="AL1006" i="6"/>
  <c r="AM1006" i="6"/>
  <c r="AT679" i="6"/>
  <c r="BE679" i="6"/>
  <c r="U680" i="6" s="1"/>
  <c r="AT1614" i="6"/>
  <c r="BE1614" i="6"/>
  <c r="U1615" i="6" s="1"/>
  <c r="AN1501" i="6"/>
  <c r="AU1501" i="6" s="1"/>
  <c r="BA105" i="6"/>
  <c r="Q106" i="6" s="1"/>
  <c r="AQ1073" i="6"/>
  <c r="BA291" i="6"/>
  <c r="Q292" i="6" s="1"/>
  <c r="AG291" i="6"/>
  <c r="AQ284" i="6"/>
  <c r="AR284" i="6"/>
  <c r="BD894" i="6"/>
  <c r="T895" i="6" s="1"/>
  <c r="AP894" i="6"/>
  <c r="AR787" i="6"/>
  <c r="AQ787" i="6"/>
  <c r="BO434" i="6"/>
  <c r="BN435" i="6" s="1"/>
  <c r="BO398" i="6"/>
  <c r="BN399" i="6" s="1"/>
  <c r="AK398" i="6"/>
  <c r="AM398" i="6" s="1"/>
  <c r="BA1149" i="6"/>
  <c r="Q1150" i="6" s="1"/>
  <c r="BD1112" i="6"/>
  <c r="T1113" i="6" s="1"/>
  <c r="AP1112" i="6"/>
  <c r="BA1588" i="6"/>
  <c r="Q1589" i="6" s="1"/>
  <c r="BA717" i="6"/>
  <c r="Q718" i="6" s="1"/>
  <c r="AM900" i="6"/>
  <c r="AL900" i="6"/>
  <c r="BD69" i="6"/>
  <c r="T70" i="6" s="1"/>
  <c r="AP69" i="6"/>
  <c r="BA683" i="6"/>
  <c r="Q684" i="6" s="1"/>
  <c r="AS138" i="6"/>
  <c r="AU138" i="6" s="1"/>
  <c r="BD32" i="6"/>
  <c r="T33" i="6" s="1"/>
  <c r="AP32" i="6"/>
  <c r="BA1113" i="6"/>
  <c r="Q1114" i="6" s="1"/>
  <c r="AG1113" i="6"/>
  <c r="BA1654" i="6"/>
  <c r="Q1655" i="6" s="1"/>
  <c r="AL208" i="6"/>
  <c r="AM208" i="6"/>
  <c r="AS30" i="6"/>
  <c r="AU30" i="6" s="1"/>
  <c r="AN468" i="6"/>
  <c r="AT1111" i="6"/>
  <c r="BE1111" i="6"/>
  <c r="U1112" i="6" s="1"/>
  <c r="BO1372" i="6"/>
  <c r="BN1373" i="6" s="1"/>
  <c r="AK1372" i="6"/>
  <c r="AS642" i="6"/>
  <c r="AU642" i="6" s="1"/>
  <c r="AT175" i="6"/>
  <c r="BE175" i="6"/>
  <c r="U176" i="6" s="1"/>
  <c r="BA789" i="6"/>
  <c r="Q790" i="6" s="1"/>
  <c r="AG789" i="6"/>
  <c r="AR463" i="6"/>
  <c r="AQ463" i="6"/>
  <c r="BE500" i="6"/>
  <c r="U501" i="6" s="1"/>
  <c r="AZ711" i="6"/>
  <c r="P712" i="6" s="1"/>
  <c r="AI711" i="6"/>
  <c r="AK711" i="6"/>
  <c r="AR711" i="6" s="1"/>
  <c r="AS711" i="6" s="1"/>
  <c r="AF711" i="6"/>
  <c r="AG711" i="6"/>
  <c r="AN787" i="6"/>
  <c r="BD176" i="6"/>
  <c r="T177" i="6" s="1"/>
  <c r="AP176" i="6"/>
  <c r="AG1007" i="6"/>
  <c r="BA1007" i="6"/>
  <c r="Q1008" i="6" s="1"/>
  <c r="AU282" i="6"/>
  <c r="BO905" i="6"/>
  <c r="AK905" i="6"/>
  <c r="AN709" i="6"/>
  <c r="AU709" i="6" s="1"/>
  <c r="AL494" i="6"/>
  <c r="AM494" i="6"/>
  <c r="BD1074" i="6"/>
  <c r="T1075" i="6" s="1"/>
  <c r="AP1074" i="6"/>
  <c r="AQ859" i="6"/>
  <c r="AT319" i="6"/>
  <c r="BE319" i="6"/>
  <c r="U320" i="6" s="1"/>
  <c r="AM1647" i="6"/>
  <c r="AL1647" i="6"/>
  <c r="BD285" i="6"/>
  <c r="T286" i="6" s="1"/>
  <c r="AP285" i="6"/>
  <c r="BD788" i="6"/>
  <c r="T789" i="6" s="1"/>
  <c r="AP788" i="6"/>
  <c r="BO1477" i="6"/>
  <c r="BN1478" i="6" s="1"/>
  <c r="AZ1144" i="6"/>
  <c r="P1145" i="6" s="1"/>
  <c r="AK1144" i="6"/>
  <c r="AR1144" i="6" s="1"/>
  <c r="AS1144" i="6" s="1"/>
  <c r="AG1144" i="6"/>
  <c r="AM1466" i="6"/>
  <c r="AL1466" i="6"/>
  <c r="BE392" i="6"/>
  <c r="U393" i="6" s="1"/>
  <c r="AT392" i="6"/>
  <c r="AR643" i="6"/>
  <c r="AQ643" i="6"/>
  <c r="AT751" i="6"/>
  <c r="BE751" i="6"/>
  <c r="U752" i="6" s="1"/>
  <c r="AZ1072" i="6"/>
  <c r="P1073" i="6" s="1"/>
  <c r="AK1072" i="6"/>
  <c r="AR1072" i="6" s="1"/>
  <c r="AS1072" i="6" s="1"/>
  <c r="AG1072" i="6"/>
  <c r="AT570" i="6"/>
  <c r="BE570" i="6"/>
  <c r="U571" i="6" s="1"/>
  <c r="AN823" i="6"/>
  <c r="AZ209" i="6"/>
  <c r="P210" i="6" s="1"/>
  <c r="AG209" i="6"/>
  <c r="AK209" i="6"/>
  <c r="AR209" i="6" s="1"/>
  <c r="AS209" i="6" s="1"/>
  <c r="AQ322" i="6"/>
  <c r="BD464" i="6"/>
  <c r="T465" i="6" s="1"/>
  <c r="AP464" i="6"/>
  <c r="BO1400" i="6"/>
  <c r="BN1401" i="6" s="1"/>
  <c r="AK1400" i="6"/>
  <c r="AM1400" i="6" s="1"/>
  <c r="AN1400" i="6" s="1"/>
  <c r="AL747" i="6"/>
  <c r="AM747" i="6"/>
  <c r="AR391" i="6"/>
  <c r="AQ391" i="6"/>
  <c r="AN674" i="6"/>
  <c r="AU674" i="6" s="1"/>
  <c r="BO362" i="6"/>
  <c r="BN363" i="6" s="1"/>
  <c r="AK362" i="6"/>
  <c r="BA1621" i="6"/>
  <c r="Q1622" i="6" s="1"/>
  <c r="BA219" i="6"/>
  <c r="Q220" i="6" s="1"/>
  <c r="AQ716" i="6"/>
  <c r="BD860" i="6"/>
  <c r="T861" i="6" s="1"/>
  <c r="AP860" i="6"/>
  <c r="AM645" i="6"/>
  <c r="AL645" i="6"/>
  <c r="AZ100" i="6"/>
  <c r="P101" i="6" s="1"/>
  <c r="AK100" i="6"/>
  <c r="AR100" i="6" s="1"/>
  <c r="AS100" i="6" s="1"/>
  <c r="AG100" i="6"/>
  <c r="AL1611" i="6"/>
  <c r="AM1611" i="6"/>
  <c r="BD824" i="6"/>
  <c r="T825" i="6" s="1"/>
  <c r="AP824" i="6"/>
  <c r="BD1040" i="6"/>
  <c r="T1041" i="6" s="1"/>
  <c r="AP1040" i="6"/>
  <c r="BA37" i="6"/>
  <c r="Q38" i="6" s="1"/>
  <c r="AG37" i="6"/>
  <c r="AM1294" i="6"/>
  <c r="AL1294" i="6"/>
  <c r="BA1295" i="6"/>
  <c r="Q1296" i="6" s="1"/>
  <c r="AG1295" i="6"/>
  <c r="AL99" i="6"/>
  <c r="AM99" i="6"/>
  <c r="AT787" i="6"/>
  <c r="BE787" i="6"/>
  <c r="U788" i="6" s="1"/>
  <c r="BA754" i="6"/>
  <c r="Q755" i="6" s="1"/>
  <c r="AN1465" i="6"/>
  <c r="AU1465" i="6" s="1"/>
  <c r="BD323" i="6"/>
  <c r="T324" i="6" s="1"/>
  <c r="AP323" i="6"/>
  <c r="AR1399" i="6"/>
  <c r="AQ1399" i="6"/>
  <c r="AT1470" i="6"/>
  <c r="BE1470" i="6"/>
  <c r="U1471" i="6" s="1"/>
  <c r="BO250" i="6"/>
  <c r="BN251" i="6" s="1"/>
  <c r="AK250" i="6"/>
  <c r="AM250" i="6" s="1"/>
  <c r="AN250" i="6" s="1"/>
  <c r="AT1363" i="6"/>
  <c r="BE1363" i="6"/>
  <c r="U1364" i="6" s="1"/>
  <c r="AN530" i="6"/>
  <c r="AU530" i="6" s="1"/>
  <c r="AL933" i="6"/>
  <c r="AM933" i="6"/>
  <c r="AT139" i="6"/>
  <c r="BE139" i="6"/>
  <c r="U140" i="6" s="1"/>
  <c r="AZ748" i="6"/>
  <c r="P749" i="6" s="1"/>
  <c r="AK748" i="6"/>
  <c r="AR748" i="6" s="1"/>
  <c r="AS748" i="6" s="1"/>
  <c r="AG748" i="6"/>
  <c r="AS462" i="6"/>
  <c r="AU462" i="6" s="1"/>
  <c r="BD392" i="6"/>
  <c r="T393" i="6" s="1"/>
  <c r="AP392" i="6"/>
  <c r="AR247" i="6"/>
  <c r="AQ247" i="6"/>
  <c r="BA1364" i="6"/>
  <c r="Q1365" i="6" s="1"/>
  <c r="AG1364" i="6"/>
  <c r="AQ1507" i="6"/>
  <c r="AN397" i="6"/>
  <c r="AI495" i="6"/>
  <c r="AZ495" i="6"/>
  <c r="P496" i="6" s="1"/>
  <c r="AK495" i="6"/>
  <c r="AR495" i="6" s="1"/>
  <c r="AS495" i="6" s="1"/>
  <c r="AF495" i="6"/>
  <c r="AG495" i="6"/>
  <c r="AU1290" i="6"/>
  <c r="BD717" i="6"/>
  <c r="T718" i="6" s="1"/>
  <c r="AP717" i="6"/>
  <c r="AR355" i="6"/>
  <c r="AQ355" i="6"/>
  <c r="AQ427" i="6"/>
  <c r="AZ1648" i="6"/>
  <c r="P1649" i="6" s="1"/>
  <c r="AG1648" i="6"/>
  <c r="AK1648" i="6"/>
  <c r="AR1648" i="6" s="1"/>
  <c r="AS1648" i="6" s="1"/>
  <c r="BO213" i="6"/>
  <c r="BN214" i="6" s="1"/>
  <c r="BA866" i="6"/>
  <c r="Q867" i="6" s="1"/>
  <c r="AT968" i="6"/>
  <c r="AU968" i="6" s="1"/>
  <c r="BE968" i="6"/>
  <c r="U969" i="6" s="1"/>
  <c r="BA646" i="6"/>
  <c r="Q647" i="6" s="1"/>
  <c r="AG646" i="6"/>
  <c r="AZ1467" i="6"/>
  <c r="P1468" i="6" s="1"/>
  <c r="AI1467" i="6"/>
  <c r="AF1467" i="6"/>
  <c r="AK1467" i="6"/>
  <c r="AR1467" i="6" s="1"/>
  <c r="AS1467" i="6" s="1"/>
  <c r="AG1467" i="6"/>
  <c r="BA1334" i="6"/>
  <c r="Q1335" i="6" s="1"/>
  <c r="AG1334" i="6"/>
  <c r="AL824" i="6"/>
  <c r="AM824" i="6"/>
  <c r="AL1430" i="6"/>
  <c r="AM1430" i="6"/>
  <c r="AZ1612" i="6"/>
  <c r="P1613" i="6" s="1"/>
  <c r="AG1612" i="6"/>
  <c r="AK1612" i="6"/>
  <c r="AR1612" i="6" s="1"/>
  <c r="AS1612" i="6" s="1"/>
  <c r="BD501" i="6"/>
  <c r="T502" i="6" s="1"/>
  <c r="AP501" i="6"/>
  <c r="BO1621" i="6"/>
  <c r="BN1622" i="6" s="1"/>
  <c r="AQ1546" i="6"/>
  <c r="AR1546" i="6"/>
  <c r="AT643" i="6"/>
  <c r="BE643" i="6"/>
  <c r="U644" i="6" s="1"/>
  <c r="AT1218" i="6"/>
  <c r="BE1218" i="6"/>
  <c r="U1219" i="6" s="1"/>
  <c r="BE1182" i="6"/>
  <c r="U1183" i="6" s="1"/>
  <c r="AT1182" i="6"/>
  <c r="AU1182" i="6" s="1"/>
  <c r="AM531" i="6"/>
  <c r="AL531" i="6"/>
  <c r="BD1400" i="6"/>
  <c r="T1401" i="6" s="1"/>
  <c r="AP1400" i="6"/>
  <c r="AQ1435" i="6"/>
  <c r="BA934" i="6"/>
  <c r="Q935" i="6" s="1"/>
  <c r="AG934" i="6"/>
  <c r="BA435" i="6"/>
  <c r="Q436" i="6" s="1"/>
  <c r="AQ1580" i="6"/>
  <c r="BD248" i="6"/>
  <c r="T249" i="6" s="1"/>
  <c r="AP248" i="6"/>
  <c r="BO1119" i="6"/>
  <c r="BN1120" i="6" s="1"/>
  <c r="AK1119" i="6"/>
  <c r="AL1363" i="6"/>
  <c r="AM1363" i="6"/>
  <c r="BD1508" i="6"/>
  <c r="T1509" i="6" s="1"/>
  <c r="AP1508" i="6"/>
  <c r="BD356" i="6"/>
  <c r="T357" i="6" s="1"/>
  <c r="AP356" i="6"/>
  <c r="BD428" i="6"/>
  <c r="T429" i="6" s="1"/>
  <c r="AP428" i="6"/>
  <c r="BO971" i="6"/>
  <c r="BN972" i="6" s="1"/>
  <c r="AK971" i="6"/>
  <c r="AM971" i="6" s="1"/>
  <c r="AN971" i="6" s="1"/>
  <c r="AR139" i="6"/>
  <c r="AQ139" i="6"/>
  <c r="AT609" i="6"/>
  <c r="BE609" i="6"/>
  <c r="U610" i="6" s="1"/>
  <c r="AT1039" i="6"/>
  <c r="BE1039" i="6"/>
  <c r="U1040" i="6" s="1"/>
  <c r="BD572" i="6"/>
  <c r="T573" i="6" s="1"/>
  <c r="AP572" i="6"/>
  <c r="AL144" i="6"/>
  <c r="AM144" i="6"/>
  <c r="AM469" i="6"/>
  <c r="AL469" i="6"/>
  <c r="AT1507" i="6"/>
  <c r="BE1507" i="6"/>
  <c r="U1508" i="6" s="1"/>
  <c r="AL398" i="6"/>
  <c r="AQ679" i="6"/>
  <c r="AZ473" i="6"/>
  <c r="AK473" i="6"/>
  <c r="AT283" i="6"/>
  <c r="BE283" i="6"/>
  <c r="U284" i="6" s="1"/>
  <c r="BD1547" i="6"/>
  <c r="T1548" i="6" s="1"/>
  <c r="AP1547" i="6"/>
  <c r="AS1545" i="6"/>
  <c r="AN1293" i="6"/>
  <c r="BO1154" i="6"/>
  <c r="BN1155" i="6" s="1"/>
  <c r="AM315" i="6"/>
  <c r="AL315" i="6"/>
  <c r="AS283" i="6"/>
  <c r="AT858" i="6"/>
  <c r="BE858" i="6"/>
  <c r="U859" i="6" s="1"/>
  <c r="AZ532" i="6"/>
  <c r="P533" i="6" s="1"/>
  <c r="AG532" i="6"/>
  <c r="AK532" i="6"/>
  <c r="AR532" i="6" s="1"/>
  <c r="AS532" i="6" s="1"/>
  <c r="AN143" i="6"/>
  <c r="BE716" i="6"/>
  <c r="U717" i="6" s="1"/>
  <c r="BD1436" i="6"/>
  <c r="T1437" i="6" s="1"/>
  <c r="AP1436" i="6"/>
  <c r="AU569" i="6"/>
  <c r="AT1147" i="6"/>
  <c r="BE1147" i="6"/>
  <c r="U1148" i="6" s="1"/>
  <c r="AM1333" i="6"/>
  <c r="AL1333" i="6"/>
  <c r="BD1581" i="6"/>
  <c r="T1582" i="6" s="1"/>
  <c r="AP1581" i="6"/>
  <c r="BA1077" i="6"/>
  <c r="Q1078" i="6" s="1"/>
  <c r="AR571" i="6"/>
  <c r="AQ571" i="6"/>
  <c r="AT894" i="6"/>
  <c r="BE894" i="6"/>
  <c r="U895" i="6" s="1"/>
  <c r="BO544" i="6"/>
  <c r="BN545" i="6" s="1"/>
  <c r="AN746" i="6"/>
  <c r="AU746" i="6" s="1"/>
  <c r="BO1264" i="6"/>
  <c r="BN1265" i="6" s="1"/>
  <c r="AN136" i="6"/>
  <c r="AU136" i="6" s="1"/>
  <c r="AN243" i="6"/>
  <c r="AU243" i="6" s="1"/>
  <c r="AQ823" i="6"/>
  <c r="AR823" i="6"/>
  <c r="BD1220" i="6"/>
  <c r="T1221" i="6" s="1"/>
  <c r="AP1220" i="6"/>
  <c r="AS354" i="6"/>
  <c r="AU354" i="6" s="1"/>
  <c r="AS892" i="6"/>
  <c r="AU892" i="6" s="1"/>
  <c r="BD140" i="6"/>
  <c r="T141" i="6" s="1"/>
  <c r="AP140" i="6"/>
  <c r="AT608" i="6"/>
  <c r="AS643" i="6" l="1"/>
  <c r="AS931" i="6"/>
  <c r="AS1291" i="6"/>
  <c r="AS607" i="6"/>
  <c r="AU607" i="6" s="1"/>
  <c r="AN208" i="6"/>
  <c r="AU208" i="6" s="1"/>
  <c r="AN1006" i="6"/>
  <c r="AS1399" i="6"/>
  <c r="AU1399" i="6" s="1"/>
  <c r="AN747" i="6"/>
  <c r="AU747" i="6" s="1"/>
  <c r="AN1363" i="6"/>
  <c r="AU1363" i="6" s="1"/>
  <c r="AN1575" i="6"/>
  <c r="AU1575" i="6" s="1"/>
  <c r="AS1003" i="6"/>
  <c r="AN356" i="6"/>
  <c r="AU1002" i="6"/>
  <c r="AN1333" i="6"/>
  <c r="AU1291" i="6"/>
  <c r="AN469" i="6"/>
  <c r="AU1218" i="6"/>
  <c r="AU643" i="6"/>
  <c r="AS1186" i="6"/>
  <c r="AN63" i="6"/>
  <c r="AU63" i="6" s="1"/>
  <c r="AN424" i="6"/>
  <c r="AU424" i="6" s="1"/>
  <c r="AS1219" i="6"/>
  <c r="AN1071" i="6"/>
  <c r="AU1071" i="6" s="1"/>
  <c r="AS823" i="6"/>
  <c r="AU823" i="6" s="1"/>
  <c r="AN1611" i="6"/>
  <c r="AU1611" i="6" s="1"/>
  <c r="AN1647" i="6"/>
  <c r="AU1647" i="6" s="1"/>
  <c r="AN855" i="6"/>
  <c r="AU855" i="6" s="1"/>
  <c r="AU283" i="6"/>
  <c r="AS175" i="6"/>
  <c r="AU175" i="6" s="1"/>
  <c r="AN1143" i="6"/>
  <c r="AU1143" i="6" s="1"/>
  <c r="AN1042" i="6"/>
  <c r="AN788" i="6"/>
  <c r="AN36" i="6"/>
  <c r="AN645" i="6"/>
  <c r="AN1466" i="6"/>
  <c r="AU1466" i="6" s="1"/>
  <c r="AN1184" i="6"/>
  <c r="AN1545" i="6"/>
  <c r="AS1330" i="6"/>
  <c r="AN494" i="6"/>
  <c r="AU494" i="6" s="1"/>
  <c r="AS893" i="6"/>
  <c r="AU893" i="6" s="1"/>
  <c r="AN1430" i="6"/>
  <c r="AU1430" i="6" s="1"/>
  <c r="AN1112" i="6"/>
  <c r="AU931" i="6"/>
  <c r="AQ428" i="6"/>
  <c r="BD502" i="6"/>
  <c r="T503" i="6" s="1"/>
  <c r="AP502" i="6"/>
  <c r="AP718" i="6"/>
  <c r="BD718" i="6"/>
  <c r="T719" i="6" s="1"/>
  <c r="BO399" i="6"/>
  <c r="BN400" i="6" s="1"/>
  <c r="AK399" i="6"/>
  <c r="AM399" i="6" s="1"/>
  <c r="AT932" i="6"/>
  <c r="BE932" i="6"/>
  <c r="U933" i="6" s="1"/>
  <c r="AT1003" i="6"/>
  <c r="BE1003" i="6"/>
  <c r="U1004" i="6" s="1"/>
  <c r="BD105" i="6"/>
  <c r="T106" i="6" s="1"/>
  <c r="AP105" i="6"/>
  <c r="BE1579" i="6"/>
  <c r="U1580" i="6" s="1"/>
  <c r="AT1579" i="6"/>
  <c r="AM1221" i="6"/>
  <c r="AL1221" i="6"/>
  <c r="AM1503" i="6"/>
  <c r="AL1503" i="6"/>
  <c r="BD1366" i="6"/>
  <c r="T1367" i="6" s="1"/>
  <c r="AP1366" i="6"/>
  <c r="BO1588" i="6"/>
  <c r="BN1589" i="6" s="1"/>
  <c r="AL316" i="6"/>
  <c r="AM316" i="6"/>
  <c r="BE1401" i="6"/>
  <c r="U1402" i="6" s="1"/>
  <c r="AT1401" i="6"/>
  <c r="BA1365" i="6"/>
  <c r="Q1366" i="6" s="1"/>
  <c r="AG1365" i="6"/>
  <c r="BA292" i="6"/>
  <c r="Q293" i="6" s="1"/>
  <c r="AG292" i="6"/>
  <c r="BE826" i="6"/>
  <c r="U827" i="6" s="1"/>
  <c r="AT826" i="6"/>
  <c r="AM1252" i="6"/>
  <c r="AL1252" i="6"/>
  <c r="BD1221" i="6"/>
  <c r="T1222" i="6" s="1"/>
  <c r="AP1221" i="6"/>
  <c r="AS571" i="6"/>
  <c r="AQ1436" i="6"/>
  <c r="AN315" i="6"/>
  <c r="AU315" i="6" s="1"/>
  <c r="BD573" i="6"/>
  <c r="T574" i="6" s="1"/>
  <c r="AP573" i="6"/>
  <c r="BD429" i="6"/>
  <c r="T430" i="6" s="1"/>
  <c r="AP429" i="6"/>
  <c r="BA867" i="6"/>
  <c r="Q868" i="6" s="1"/>
  <c r="AS247" i="6"/>
  <c r="AU247" i="6" s="1"/>
  <c r="AN933" i="6"/>
  <c r="BD324" i="6"/>
  <c r="T325" i="6" s="1"/>
  <c r="AP324" i="6"/>
  <c r="BA220" i="6"/>
  <c r="Q221" i="6" s="1"/>
  <c r="AR788" i="6"/>
  <c r="AQ788" i="6"/>
  <c r="AN900" i="6"/>
  <c r="AZ1577" i="6"/>
  <c r="P1578" i="6" s="1"/>
  <c r="AG1577" i="6"/>
  <c r="AK1577" i="6"/>
  <c r="AR1577" i="6" s="1"/>
  <c r="AS1577" i="6" s="1"/>
  <c r="AT1328" i="6"/>
  <c r="AU1328" i="6" s="1"/>
  <c r="BE1328" i="6"/>
  <c r="U1329" i="6" s="1"/>
  <c r="AL255" i="6"/>
  <c r="AM856" i="6"/>
  <c r="AL856" i="6"/>
  <c r="AM1431" i="6"/>
  <c r="AL1431" i="6"/>
  <c r="BA1222" i="6"/>
  <c r="Q1223" i="6" s="1"/>
  <c r="AG1222" i="6"/>
  <c r="AQ1616" i="6"/>
  <c r="AL145" i="6"/>
  <c r="AM145" i="6"/>
  <c r="AL357" i="6"/>
  <c r="AM357" i="6"/>
  <c r="AT1400" i="6"/>
  <c r="AQ323" i="6"/>
  <c r="AZ210" i="6"/>
  <c r="P211" i="6" s="1"/>
  <c r="AG210" i="6"/>
  <c r="AK210" i="6"/>
  <c r="AR210" i="6" s="1"/>
  <c r="AS210" i="6" s="1"/>
  <c r="BD1075" i="6"/>
  <c r="T1076" i="6" s="1"/>
  <c r="AP1075" i="6"/>
  <c r="BA790" i="6"/>
  <c r="Q791" i="6" s="1"/>
  <c r="AG790" i="6"/>
  <c r="AL1576" i="6"/>
  <c r="AM1576" i="6"/>
  <c r="BD1437" i="6"/>
  <c r="T1438" i="6" s="1"/>
  <c r="AP1437" i="6"/>
  <c r="AT1040" i="6"/>
  <c r="BE1040" i="6"/>
  <c r="U1041" i="6" s="1"/>
  <c r="AR356" i="6"/>
  <c r="AQ356" i="6"/>
  <c r="AT1183" i="6"/>
  <c r="AU1183" i="6" s="1"/>
  <c r="BE1183" i="6"/>
  <c r="U1184" i="6" s="1"/>
  <c r="AM1612" i="6"/>
  <c r="AL1612" i="6"/>
  <c r="AM1467" i="6"/>
  <c r="AL1467" i="6"/>
  <c r="AM100" i="6"/>
  <c r="AL100" i="6"/>
  <c r="BO1401" i="6"/>
  <c r="BN1402" i="6" s="1"/>
  <c r="AK1401" i="6"/>
  <c r="AM1401" i="6" s="1"/>
  <c r="AN1401" i="6" s="1"/>
  <c r="BD789" i="6"/>
  <c r="T790" i="6" s="1"/>
  <c r="AP789" i="6"/>
  <c r="AM711" i="6"/>
  <c r="AL711" i="6"/>
  <c r="AT176" i="6"/>
  <c r="BE176" i="6"/>
  <c r="U177" i="6" s="1"/>
  <c r="BA1655" i="6"/>
  <c r="Q1656" i="6" s="1"/>
  <c r="BO435" i="6"/>
  <c r="BN436" i="6" s="1"/>
  <c r="AM64" i="6"/>
  <c r="AL64" i="6"/>
  <c r="AN1220" i="6"/>
  <c r="AZ1253" i="6"/>
  <c r="P1254" i="6" s="1"/>
  <c r="AK1253" i="6"/>
  <c r="AR1253" i="6" s="1"/>
  <c r="AS1253" i="6" s="1"/>
  <c r="AG1253" i="6"/>
  <c r="BA256" i="6"/>
  <c r="Q257" i="6" s="1"/>
  <c r="AG256" i="6"/>
  <c r="AR932" i="6"/>
  <c r="AQ932" i="6"/>
  <c r="AM901" i="6"/>
  <c r="AL901" i="6"/>
  <c r="AL399" i="6"/>
  <c r="AZ1504" i="6"/>
  <c r="P1505" i="6" s="1"/>
  <c r="AK1504" i="6"/>
  <c r="AR1504" i="6" s="1"/>
  <c r="AS1504" i="6" s="1"/>
  <c r="AG1504" i="6"/>
  <c r="BD1617" i="6"/>
  <c r="T1618" i="6" s="1"/>
  <c r="AP1617" i="6"/>
  <c r="BA146" i="6"/>
  <c r="Q147" i="6" s="1"/>
  <c r="AG146" i="6"/>
  <c r="BA1258" i="6"/>
  <c r="Q1259" i="6" s="1"/>
  <c r="BO146" i="6"/>
  <c r="BN147" i="6" s="1"/>
  <c r="AK146" i="6"/>
  <c r="BA358" i="6"/>
  <c r="Q359" i="6" s="1"/>
  <c r="AG358" i="6"/>
  <c r="AZ317" i="6"/>
  <c r="P318" i="6" s="1"/>
  <c r="AK317" i="6"/>
  <c r="AR317" i="6" s="1"/>
  <c r="AS317" i="6" s="1"/>
  <c r="AG317" i="6"/>
  <c r="AR572" i="6"/>
  <c r="AQ572" i="6"/>
  <c r="AL1043" i="6"/>
  <c r="AM1043" i="6"/>
  <c r="BD933" i="6"/>
  <c r="T934" i="6" s="1"/>
  <c r="AP933" i="6"/>
  <c r="AQ608" i="6"/>
  <c r="AR608" i="6"/>
  <c r="BA1078" i="6"/>
  <c r="Q1079" i="6" s="1"/>
  <c r="AN398" i="6"/>
  <c r="AT610" i="6"/>
  <c r="BE610" i="6"/>
  <c r="U611" i="6" s="1"/>
  <c r="AQ1508" i="6"/>
  <c r="AL934" i="6"/>
  <c r="AM934" i="6"/>
  <c r="AZ1468" i="6"/>
  <c r="P1469" i="6" s="1"/>
  <c r="AK1468" i="6"/>
  <c r="AR1468" i="6" s="1"/>
  <c r="AS1468" i="6" s="1"/>
  <c r="AG1468" i="6"/>
  <c r="AM495" i="6"/>
  <c r="AL495" i="6"/>
  <c r="AR392" i="6"/>
  <c r="AQ392" i="6"/>
  <c r="BE1364" i="6"/>
  <c r="U1365" i="6" s="1"/>
  <c r="BA755" i="6"/>
  <c r="Q756" i="6" s="1"/>
  <c r="AZ101" i="6"/>
  <c r="P102" i="6" s="1"/>
  <c r="AK101" i="6"/>
  <c r="AR101" i="6" s="1"/>
  <c r="AS101" i="6" s="1"/>
  <c r="AG101" i="6"/>
  <c r="BA1622" i="6"/>
  <c r="Q1623" i="6" s="1"/>
  <c r="BD465" i="6"/>
  <c r="T466" i="6" s="1"/>
  <c r="AP465" i="6"/>
  <c r="AT571" i="6"/>
  <c r="BE571" i="6"/>
  <c r="U572" i="6" s="1"/>
  <c r="BD286" i="6"/>
  <c r="T287" i="6" s="1"/>
  <c r="AP286" i="6"/>
  <c r="BA1114" i="6"/>
  <c r="Q1115" i="6" s="1"/>
  <c r="AG1114" i="6"/>
  <c r="BA718" i="6"/>
  <c r="Q719" i="6" s="1"/>
  <c r="AS787" i="6"/>
  <c r="AU787" i="6" s="1"/>
  <c r="AZ65" i="6"/>
  <c r="P66" i="6" s="1"/>
  <c r="AK65" i="6"/>
  <c r="AR65" i="6" s="1"/>
  <c r="AS65" i="6" s="1"/>
  <c r="AG65" i="6"/>
  <c r="BO795" i="6"/>
  <c r="BN796" i="6" s="1"/>
  <c r="AK795" i="6"/>
  <c r="BE68" i="6"/>
  <c r="U69" i="6" s="1"/>
  <c r="BA1044" i="6"/>
  <c r="Q1045" i="6" s="1"/>
  <c r="AG1044" i="6"/>
  <c r="AM610" i="6"/>
  <c r="AL610" i="6"/>
  <c r="AN609" i="6"/>
  <c r="AM425" i="6"/>
  <c r="AL425" i="6"/>
  <c r="AN244" i="6"/>
  <c r="AU244" i="6" s="1"/>
  <c r="BD609" i="6"/>
  <c r="T610" i="6" s="1"/>
  <c r="AP609" i="6"/>
  <c r="AM1185" i="6"/>
  <c r="AL1185" i="6"/>
  <c r="AN1251" i="6"/>
  <c r="AU1251" i="6" s="1"/>
  <c r="BD1332" i="6"/>
  <c r="T1333" i="6" s="1"/>
  <c r="AP1332" i="6"/>
  <c r="BA1406" i="6"/>
  <c r="Q1407" i="6" s="1"/>
  <c r="AG1406" i="6"/>
  <c r="AT1219" i="6"/>
  <c r="AU1219" i="6" s="1"/>
  <c r="BE1219" i="6"/>
  <c r="U1220" i="6" s="1"/>
  <c r="AM1113" i="6"/>
  <c r="AL1113" i="6"/>
  <c r="BO1155" i="6"/>
  <c r="BN1156" i="6" s="1"/>
  <c r="BD1509" i="6"/>
  <c r="T1510" i="6" s="1"/>
  <c r="AP1509" i="6"/>
  <c r="BA935" i="6"/>
  <c r="Q936" i="6" s="1"/>
  <c r="AG935" i="6"/>
  <c r="AT644" i="6"/>
  <c r="BE644" i="6"/>
  <c r="U645" i="6" s="1"/>
  <c r="AM646" i="6"/>
  <c r="AL646" i="6"/>
  <c r="AL1648" i="6"/>
  <c r="AM1648" i="6"/>
  <c r="BD393" i="6"/>
  <c r="T394" i="6" s="1"/>
  <c r="AP393" i="6"/>
  <c r="BE788" i="6"/>
  <c r="U789" i="6" s="1"/>
  <c r="AT788" i="6"/>
  <c r="AM37" i="6"/>
  <c r="AL37" i="6"/>
  <c r="AZ712" i="6"/>
  <c r="P713" i="6" s="1"/>
  <c r="AK712" i="6"/>
  <c r="AR712" i="6" s="1"/>
  <c r="AS712" i="6" s="1"/>
  <c r="AG712" i="6"/>
  <c r="AR32" i="6"/>
  <c r="AQ32" i="6"/>
  <c r="BA106" i="6"/>
  <c r="Q107" i="6" s="1"/>
  <c r="BE356" i="6"/>
  <c r="U357" i="6" s="1"/>
  <c r="AT356" i="6"/>
  <c r="BA611" i="6"/>
  <c r="Q612" i="6" s="1"/>
  <c r="AG611" i="6"/>
  <c r="BE1076" i="6"/>
  <c r="U1077" i="6" s="1"/>
  <c r="AZ426" i="6"/>
  <c r="P427" i="6" s="1"/>
  <c r="AG426" i="6"/>
  <c r="AK426" i="6"/>
  <c r="AR426" i="6" s="1"/>
  <c r="AS426" i="6" s="1"/>
  <c r="BA1186" i="6"/>
  <c r="Q1187" i="6" s="1"/>
  <c r="AG1186" i="6"/>
  <c r="AM1546" i="6"/>
  <c r="AL1546" i="6"/>
  <c r="AR644" i="6"/>
  <c r="AQ644" i="6"/>
  <c r="AR971" i="6"/>
  <c r="AS971" i="6" s="1"/>
  <c r="BE429" i="6"/>
  <c r="U430" i="6" s="1"/>
  <c r="AT429" i="6"/>
  <c r="AT32" i="6"/>
  <c r="BE32" i="6"/>
  <c r="U33" i="6" s="1"/>
  <c r="BE536" i="6"/>
  <c r="U537" i="6" s="1"/>
  <c r="BA1475" i="6"/>
  <c r="Q1476" i="6" s="1"/>
  <c r="AQ1581" i="6"/>
  <c r="BE1508" i="6"/>
  <c r="U1509" i="6" s="1"/>
  <c r="AS139" i="6"/>
  <c r="AU139" i="6" s="1"/>
  <c r="AG647" i="6"/>
  <c r="BA647" i="6"/>
  <c r="Q648" i="6" s="1"/>
  <c r="AZ1649" i="6"/>
  <c r="P1650" i="6" s="1"/>
  <c r="AG1649" i="6"/>
  <c r="AK1649" i="6"/>
  <c r="AR1649" i="6" s="1"/>
  <c r="AS1649" i="6" s="1"/>
  <c r="AZ496" i="6"/>
  <c r="P497" i="6" s="1"/>
  <c r="AK496" i="6"/>
  <c r="AR496" i="6" s="1"/>
  <c r="AS496" i="6" s="1"/>
  <c r="AG496" i="6"/>
  <c r="BA38" i="6"/>
  <c r="Q39" i="6" s="1"/>
  <c r="AG38" i="6"/>
  <c r="BO363" i="6"/>
  <c r="BN364" i="6" s="1"/>
  <c r="AK363" i="6"/>
  <c r="AL1072" i="6"/>
  <c r="AM1072" i="6"/>
  <c r="AL1144" i="6"/>
  <c r="AM1144" i="6"/>
  <c r="AT501" i="6"/>
  <c r="BE501" i="6"/>
  <c r="U502" i="6" s="1"/>
  <c r="BO1373" i="6"/>
  <c r="AK1373" i="6"/>
  <c r="BD33" i="6"/>
  <c r="T34" i="6" s="1"/>
  <c r="AP33" i="6"/>
  <c r="BA1589" i="6"/>
  <c r="AQ894" i="6"/>
  <c r="AR894" i="6"/>
  <c r="AU570" i="6"/>
  <c r="BH1157" i="6"/>
  <c r="AD1157" i="6"/>
  <c r="AT1292" i="6"/>
  <c r="BE1292" i="6"/>
  <c r="U1293" i="6" s="1"/>
  <c r="BO683" i="6"/>
  <c r="BN684" i="6" s="1"/>
  <c r="AR1292" i="6"/>
  <c r="AQ1292" i="6"/>
  <c r="AR1004" i="6"/>
  <c r="AQ1004" i="6"/>
  <c r="BA507" i="6"/>
  <c r="Q508" i="6" s="1"/>
  <c r="BA1547" i="6"/>
  <c r="Q1548" i="6" s="1"/>
  <c r="AG1547" i="6"/>
  <c r="BD645" i="6"/>
  <c r="T646" i="6" s="1"/>
  <c r="AP645" i="6"/>
  <c r="BD357" i="6"/>
  <c r="T358" i="6" s="1"/>
  <c r="AP357" i="6"/>
  <c r="BO214" i="6"/>
  <c r="BN215" i="6" s="1"/>
  <c r="BO939" i="6"/>
  <c r="BN940" i="6" s="1"/>
  <c r="AK939" i="6"/>
  <c r="AL1405" i="6"/>
  <c r="AR140" i="6"/>
  <c r="AQ140" i="6"/>
  <c r="BO1265" i="6"/>
  <c r="BD1582" i="6"/>
  <c r="T1583" i="6" s="1"/>
  <c r="AP1582" i="6"/>
  <c r="AM748" i="6"/>
  <c r="AL748" i="6"/>
  <c r="BO251" i="6"/>
  <c r="BN252" i="6" s="1"/>
  <c r="AK251" i="6"/>
  <c r="AM251" i="6" s="1"/>
  <c r="AN251" i="6" s="1"/>
  <c r="AR1040" i="6"/>
  <c r="AQ1040" i="6"/>
  <c r="BE320" i="6"/>
  <c r="U321" i="6" s="1"/>
  <c r="AT1112" i="6"/>
  <c r="BE1112" i="6"/>
  <c r="U1113" i="6" s="1"/>
  <c r="AQ1112" i="6"/>
  <c r="AR1112" i="6"/>
  <c r="BD895" i="6"/>
  <c r="T896" i="6" s="1"/>
  <c r="AP895" i="6"/>
  <c r="AT1615" i="6"/>
  <c r="BE1615" i="6"/>
  <c r="U1616" i="6" s="1"/>
  <c r="AQ1148" i="6"/>
  <c r="AQ1472" i="6"/>
  <c r="BD1293" i="6"/>
  <c r="T1294" i="6" s="1"/>
  <c r="AP1293" i="6"/>
  <c r="BD1005" i="6"/>
  <c r="T1006" i="6" s="1"/>
  <c r="AP1005" i="6"/>
  <c r="AN574" i="6"/>
  <c r="BA1439" i="6"/>
  <c r="Q1440" i="6" s="1"/>
  <c r="BE1544" i="6"/>
  <c r="U1545" i="6" s="1"/>
  <c r="AT1544" i="6"/>
  <c r="AU1544" i="6" s="1"/>
  <c r="BA71" i="6"/>
  <c r="Q72" i="6" s="1"/>
  <c r="AN1502" i="6"/>
  <c r="AU1502" i="6" s="1"/>
  <c r="AS1111" i="6"/>
  <c r="AU1111" i="6" s="1"/>
  <c r="BE212" i="6"/>
  <c r="U213" i="6" s="1"/>
  <c r="AQ1220" i="6"/>
  <c r="AR1220" i="6"/>
  <c r="AQ285" i="6"/>
  <c r="AR285" i="6"/>
  <c r="BO287" i="6"/>
  <c r="BN288" i="6" s="1"/>
  <c r="AK287" i="6"/>
  <c r="AM287" i="6" s="1"/>
  <c r="AN287" i="6" s="1"/>
  <c r="AZ1432" i="6"/>
  <c r="P1433" i="6" s="1"/>
  <c r="AK1432" i="6"/>
  <c r="AR1432" i="6" s="1"/>
  <c r="AS1432" i="6" s="1"/>
  <c r="AG1432" i="6"/>
  <c r="BA400" i="6"/>
  <c r="Q401" i="6" s="1"/>
  <c r="AG400" i="6"/>
  <c r="AL532" i="6"/>
  <c r="AM532" i="6"/>
  <c r="AQ1547" i="6"/>
  <c r="AR1547" i="6"/>
  <c r="AS1546" i="6"/>
  <c r="AN824" i="6"/>
  <c r="AT824" i="6"/>
  <c r="AT1471" i="6"/>
  <c r="BE1471" i="6"/>
  <c r="U1472" i="6" s="1"/>
  <c r="AN99" i="6"/>
  <c r="AU99" i="6" s="1"/>
  <c r="BD1041" i="6"/>
  <c r="T1042" i="6" s="1"/>
  <c r="AP1041" i="6"/>
  <c r="AQ860" i="6"/>
  <c r="AZ1073" i="6"/>
  <c r="P1074" i="6" s="1"/>
  <c r="AK1073" i="6"/>
  <c r="AR1073" i="6" s="1"/>
  <c r="AS1073" i="6" s="1"/>
  <c r="AG1073" i="6"/>
  <c r="AZ1145" i="6"/>
  <c r="P1146" i="6" s="1"/>
  <c r="AK1145" i="6"/>
  <c r="AR1145" i="6" s="1"/>
  <c r="AS1145" i="6" s="1"/>
  <c r="AG1145" i="6"/>
  <c r="BA1008" i="6"/>
  <c r="Q1009" i="6" s="1"/>
  <c r="AG1008" i="6"/>
  <c r="BA684" i="6"/>
  <c r="Q685" i="6" s="1"/>
  <c r="BD1113" i="6"/>
  <c r="T1114" i="6" s="1"/>
  <c r="AP1113" i="6"/>
  <c r="BD1149" i="6"/>
  <c r="T1150" i="6" s="1"/>
  <c r="AP1149" i="6"/>
  <c r="AQ972" i="6"/>
  <c r="AQ538" i="6"/>
  <c r="AM676" i="6"/>
  <c r="AL676" i="6"/>
  <c r="BO1655" i="6"/>
  <c r="BN1656" i="6" s="1"/>
  <c r="BD1473" i="6"/>
  <c r="T1474" i="6" s="1"/>
  <c r="AP1473" i="6"/>
  <c r="BE1256" i="6"/>
  <c r="U1257" i="6" s="1"/>
  <c r="BE1435" i="6"/>
  <c r="U1436" i="6" s="1"/>
  <c r="AT1435" i="6"/>
  <c r="BH939" i="6"/>
  <c r="X940" i="6" s="1"/>
  <c r="AD939" i="6"/>
  <c r="AL575" i="6"/>
  <c r="AM575" i="6"/>
  <c r="BD141" i="6"/>
  <c r="T142" i="6" s="1"/>
  <c r="AP141" i="6"/>
  <c r="AZ533" i="6"/>
  <c r="P534" i="6" s="1"/>
  <c r="AG533" i="6"/>
  <c r="AK533" i="6"/>
  <c r="AR533" i="6" s="1"/>
  <c r="AS533" i="6" s="1"/>
  <c r="BD1548" i="6"/>
  <c r="T1549" i="6" s="1"/>
  <c r="AP1548" i="6"/>
  <c r="BO972" i="6"/>
  <c r="BN973" i="6" s="1"/>
  <c r="AK972" i="6"/>
  <c r="AM972" i="6" s="1"/>
  <c r="AN972" i="6" s="1"/>
  <c r="BO1120" i="6"/>
  <c r="BN1121" i="6" s="1"/>
  <c r="AK1120" i="6"/>
  <c r="AR1400" i="6"/>
  <c r="AQ1400" i="6"/>
  <c r="AM1334" i="6"/>
  <c r="AL1334" i="6"/>
  <c r="AS355" i="6"/>
  <c r="AU355" i="6" s="1"/>
  <c r="AZ749" i="6"/>
  <c r="P750" i="6" s="1"/>
  <c r="AK749" i="6"/>
  <c r="AR749" i="6" s="1"/>
  <c r="AS749" i="6" s="1"/>
  <c r="AG749" i="6"/>
  <c r="AL1295" i="6"/>
  <c r="AM1295" i="6"/>
  <c r="AR824" i="6"/>
  <c r="AQ824" i="6"/>
  <c r="AP861" i="6"/>
  <c r="BD861" i="6"/>
  <c r="T862" i="6" s="1"/>
  <c r="AS391" i="6"/>
  <c r="AU391" i="6" s="1"/>
  <c r="BE752" i="6"/>
  <c r="U753" i="6" s="1"/>
  <c r="AL1007" i="6"/>
  <c r="AM1007" i="6"/>
  <c r="AS463" i="6"/>
  <c r="AU463" i="6" s="1"/>
  <c r="AS284" i="6"/>
  <c r="BE680" i="6"/>
  <c r="U681" i="6" s="1"/>
  <c r="AL184" i="6"/>
  <c r="AM184" i="6"/>
  <c r="AS31" i="6"/>
  <c r="AU31" i="6" s="1"/>
  <c r="AP973" i="6"/>
  <c r="BD973" i="6"/>
  <c r="T974" i="6" s="1"/>
  <c r="BD539" i="6"/>
  <c r="T540" i="6" s="1"/>
  <c r="AP539" i="6"/>
  <c r="AZ677" i="6"/>
  <c r="P678" i="6" s="1"/>
  <c r="AG677" i="6"/>
  <c r="AK677" i="6"/>
  <c r="AR677" i="6" s="1"/>
  <c r="AS677" i="6" s="1"/>
  <c r="AQ1187" i="6"/>
  <c r="AR1187" i="6"/>
  <c r="BO1442" i="6"/>
  <c r="BN1443" i="6" s="1"/>
  <c r="AQ212" i="6"/>
  <c r="AQ680" i="6"/>
  <c r="BA576" i="6"/>
  <c r="Q577" i="6" s="1"/>
  <c r="AG576" i="6"/>
  <c r="AN675" i="6"/>
  <c r="AU675" i="6" s="1"/>
  <c r="AT465" i="6"/>
  <c r="BE465" i="6"/>
  <c r="U466" i="6" s="1"/>
  <c r="AS1039" i="6"/>
  <c r="AU1039" i="6" s="1"/>
  <c r="AT717" i="6"/>
  <c r="BE717" i="6"/>
  <c r="U718" i="6" s="1"/>
  <c r="BA436" i="6"/>
  <c r="Q437" i="6" s="1"/>
  <c r="AR464" i="6"/>
  <c r="AQ464" i="6"/>
  <c r="AZ857" i="6"/>
  <c r="P858" i="6" s="1"/>
  <c r="AK857" i="6"/>
  <c r="AR857" i="6" s="1"/>
  <c r="AS857" i="6" s="1"/>
  <c r="AG857" i="6"/>
  <c r="AR1331" i="6"/>
  <c r="AQ1331" i="6"/>
  <c r="BE1148" i="6"/>
  <c r="U1149" i="6" s="1"/>
  <c r="AR248" i="6"/>
  <c r="AQ248" i="6"/>
  <c r="BD1401" i="6"/>
  <c r="T1402" i="6" s="1"/>
  <c r="AP1401" i="6"/>
  <c r="BO1622" i="6"/>
  <c r="BN1623" i="6" s="1"/>
  <c r="BA1335" i="6"/>
  <c r="Q1336" i="6" s="1"/>
  <c r="AG1335" i="6"/>
  <c r="BE969" i="6"/>
  <c r="U970" i="6" s="1"/>
  <c r="AT969" i="6"/>
  <c r="AU969" i="6" s="1"/>
  <c r="AT140" i="6"/>
  <c r="BE140" i="6"/>
  <c r="U141" i="6" s="1"/>
  <c r="BA1296" i="6"/>
  <c r="Q1297" i="6" s="1"/>
  <c r="AG1296" i="6"/>
  <c r="BD825" i="6"/>
  <c r="T826" i="6" s="1"/>
  <c r="AP825" i="6"/>
  <c r="AR176" i="6"/>
  <c r="AQ176" i="6"/>
  <c r="AQ69" i="6"/>
  <c r="BA1150" i="6"/>
  <c r="Q1151" i="6" s="1"/>
  <c r="BA185" i="6"/>
  <c r="AG185" i="6"/>
  <c r="AT248" i="6"/>
  <c r="BE248" i="6"/>
  <c r="U249" i="6" s="1"/>
  <c r="BD1188" i="6"/>
  <c r="T1189" i="6" s="1"/>
  <c r="AP1188" i="6"/>
  <c r="AL470" i="6"/>
  <c r="AM470" i="6"/>
  <c r="AQ754" i="6"/>
  <c r="BA1510" i="6"/>
  <c r="Q1511" i="6" s="1"/>
  <c r="BD213" i="6"/>
  <c r="T214" i="6" s="1"/>
  <c r="AP213" i="6"/>
  <c r="BD681" i="6"/>
  <c r="T682" i="6" s="1"/>
  <c r="AP681" i="6"/>
  <c r="BE104" i="6"/>
  <c r="U105" i="6" s="1"/>
  <c r="AQ1653" i="6"/>
  <c r="AM825" i="6"/>
  <c r="AL825" i="6"/>
  <c r="AZ1613" i="6"/>
  <c r="P1614" i="6" s="1"/>
  <c r="AG1613" i="6"/>
  <c r="AK1613" i="6"/>
  <c r="AR1613" i="6" s="1"/>
  <c r="AS1613" i="6" s="1"/>
  <c r="AT393" i="6"/>
  <c r="BE393" i="6"/>
  <c r="U394" i="6" s="1"/>
  <c r="BE1652" i="6"/>
  <c r="U1653" i="6" s="1"/>
  <c r="BA902" i="6"/>
  <c r="Q903" i="6" s="1"/>
  <c r="AG902" i="6"/>
  <c r="BO545" i="6"/>
  <c r="BE859" i="6"/>
  <c r="U860" i="6" s="1"/>
  <c r="AT859" i="6"/>
  <c r="AT284" i="6"/>
  <c r="BE284" i="6"/>
  <c r="U285" i="6" s="1"/>
  <c r="BE895" i="6"/>
  <c r="U896" i="6" s="1"/>
  <c r="AT895" i="6"/>
  <c r="AN144" i="6"/>
  <c r="BD249" i="6"/>
  <c r="T250" i="6" s="1"/>
  <c r="AP249" i="6"/>
  <c r="AN531" i="6"/>
  <c r="AU531" i="6" s="1"/>
  <c r="AQ501" i="6"/>
  <c r="AQ717" i="6"/>
  <c r="AL1364" i="6"/>
  <c r="AM1364" i="6"/>
  <c r="AN1294" i="6"/>
  <c r="AM209" i="6"/>
  <c r="AL209" i="6"/>
  <c r="BO1478" i="6"/>
  <c r="BN1479" i="6" s="1"/>
  <c r="AQ1074" i="6"/>
  <c r="BD177" i="6"/>
  <c r="T178" i="6" s="1"/>
  <c r="AP177" i="6"/>
  <c r="AL789" i="6"/>
  <c r="AM789" i="6"/>
  <c r="BD70" i="6"/>
  <c r="T71" i="6" s="1"/>
  <c r="AP70" i="6"/>
  <c r="AL291" i="6"/>
  <c r="AS1364" i="6"/>
  <c r="AN710" i="6"/>
  <c r="AU710" i="6" s="1"/>
  <c r="AN183" i="6"/>
  <c r="AG471" i="6"/>
  <c r="BA471" i="6"/>
  <c r="Q472" i="6" s="1"/>
  <c r="BD755" i="6"/>
  <c r="T756" i="6" s="1"/>
  <c r="AP755" i="6"/>
  <c r="AQ104" i="6"/>
  <c r="BD1654" i="6"/>
  <c r="T1655" i="6" s="1"/>
  <c r="AP1654" i="6"/>
  <c r="BA826" i="6"/>
  <c r="Q827" i="6" s="1"/>
  <c r="AG826" i="6"/>
  <c r="AR1365" i="6"/>
  <c r="AQ1365" i="6"/>
  <c r="AN1503" i="6" l="1"/>
  <c r="AU1503" i="6" s="1"/>
  <c r="AN1467" i="6"/>
  <c r="AU1467" i="6" s="1"/>
  <c r="AS1400" i="6"/>
  <c r="AU1400" i="6" s="1"/>
  <c r="AU1003" i="6"/>
  <c r="AS1331" i="6"/>
  <c r="AN676" i="6"/>
  <c r="AU676" i="6" s="1"/>
  <c r="AS140" i="6"/>
  <c r="AU140" i="6" s="1"/>
  <c r="AS248" i="6"/>
  <c r="AU248" i="6" s="1"/>
  <c r="AN856" i="6"/>
  <c r="AU856" i="6" s="1"/>
  <c r="AN495" i="6"/>
  <c r="AU495" i="6" s="1"/>
  <c r="AN145" i="6"/>
  <c r="AS1547" i="6"/>
  <c r="AN1648" i="6"/>
  <c r="AU1648" i="6" s="1"/>
  <c r="AN1043" i="6"/>
  <c r="AN1185" i="6"/>
  <c r="AN425" i="6"/>
  <c r="AU425" i="6" s="1"/>
  <c r="AN825" i="6"/>
  <c r="AN64" i="6"/>
  <c r="AU64" i="6" s="1"/>
  <c r="AN100" i="6"/>
  <c r="AU100" i="6" s="1"/>
  <c r="AN575" i="6"/>
  <c r="AS285" i="6"/>
  <c r="AS932" i="6"/>
  <c r="AU932" i="6" s="1"/>
  <c r="AN532" i="6"/>
  <c r="AU532" i="6" s="1"/>
  <c r="AN711" i="6"/>
  <c r="AU711" i="6" s="1"/>
  <c r="AN748" i="6"/>
  <c r="AU748" i="6" s="1"/>
  <c r="AS356" i="6"/>
  <c r="AU356" i="6" s="1"/>
  <c r="AN209" i="6"/>
  <c r="AU209" i="6" s="1"/>
  <c r="AN646" i="6"/>
  <c r="AN789" i="6"/>
  <c r="AN37" i="6"/>
  <c r="AS1112" i="6"/>
  <c r="AU1112" i="6" s="1"/>
  <c r="AS644" i="6"/>
  <c r="AU644" i="6" s="1"/>
  <c r="AN901" i="6"/>
  <c r="AN357" i="6"/>
  <c r="AR972" i="6"/>
  <c r="AS972" i="6" s="1"/>
  <c r="AS1365" i="6"/>
  <c r="AS1004" i="6"/>
  <c r="AS1040" i="6"/>
  <c r="AU1040" i="6" s="1"/>
  <c r="AS1292" i="6"/>
  <c r="AU1292" i="6" s="1"/>
  <c r="AQ213" i="6"/>
  <c r="AN1364" i="6"/>
  <c r="BD682" i="6"/>
  <c r="T683" i="6" s="1"/>
  <c r="AP682" i="6"/>
  <c r="AQ825" i="6"/>
  <c r="AR825" i="6"/>
  <c r="BO1623" i="6"/>
  <c r="BN1624" i="6" s="1"/>
  <c r="AS464" i="6"/>
  <c r="AU464" i="6" s="1"/>
  <c r="BA577" i="6"/>
  <c r="Q578" i="6" s="1"/>
  <c r="AG577" i="6"/>
  <c r="AZ678" i="6"/>
  <c r="P679" i="6" s="1"/>
  <c r="AG678" i="6"/>
  <c r="AK678" i="6"/>
  <c r="AR678" i="6" s="1"/>
  <c r="AS678" i="6" s="1"/>
  <c r="AN1295" i="6"/>
  <c r="BO973" i="6"/>
  <c r="BN974" i="6" s="1"/>
  <c r="AK973" i="6"/>
  <c r="AM973" i="6" s="1"/>
  <c r="AN973" i="6" s="1"/>
  <c r="BA685" i="6"/>
  <c r="Q686" i="6" s="1"/>
  <c r="BD1042" i="6"/>
  <c r="T1043" i="6" s="1"/>
  <c r="AP1042" i="6"/>
  <c r="AS1220" i="6"/>
  <c r="BD1583" i="6"/>
  <c r="T1584" i="6" s="1"/>
  <c r="AP1583" i="6"/>
  <c r="BD358" i="6"/>
  <c r="T359" i="6" s="1"/>
  <c r="AP358" i="6"/>
  <c r="AZ1650" i="6"/>
  <c r="P1651" i="6" s="1"/>
  <c r="AK1650" i="6"/>
  <c r="AR1650" i="6" s="1"/>
  <c r="AS1650" i="6" s="1"/>
  <c r="AG1650" i="6"/>
  <c r="AT1220" i="6"/>
  <c r="BE1220" i="6"/>
  <c r="U1221" i="6" s="1"/>
  <c r="BO796" i="6"/>
  <c r="BN797" i="6" s="1"/>
  <c r="AK796" i="6"/>
  <c r="BD287" i="6"/>
  <c r="T288" i="6" s="1"/>
  <c r="AP287" i="6"/>
  <c r="AT1364" i="6"/>
  <c r="AS572" i="6"/>
  <c r="AM146" i="6"/>
  <c r="AL146" i="6"/>
  <c r="BO1402" i="6"/>
  <c r="BN1403" i="6" s="1"/>
  <c r="AK1402" i="6"/>
  <c r="AM1402" i="6" s="1"/>
  <c r="AN1402" i="6" s="1"/>
  <c r="AM210" i="6"/>
  <c r="AL210" i="6"/>
  <c r="AG1223" i="6"/>
  <c r="BA1223" i="6"/>
  <c r="Q1224" i="6" s="1"/>
  <c r="AZ1578" i="6"/>
  <c r="P1579" i="6" s="1"/>
  <c r="AG1578" i="6"/>
  <c r="AK1578" i="6"/>
  <c r="AR1578" i="6" s="1"/>
  <c r="AS1578" i="6" s="1"/>
  <c r="BO1589" i="6"/>
  <c r="BD106" i="6"/>
  <c r="T107" i="6" s="1"/>
  <c r="AP106" i="6"/>
  <c r="AQ718" i="6"/>
  <c r="AM749" i="6"/>
  <c r="AL749" i="6"/>
  <c r="AT537" i="6"/>
  <c r="BE537" i="6"/>
  <c r="U538" i="6" s="1"/>
  <c r="AL256" i="6"/>
  <c r="BO436" i="6"/>
  <c r="BN437" i="6" s="1"/>
  <c r="AQ1437" i="6"/>
  <c r="AZ211" i="6"/>
  <c r="P212" i="6" s="1"/>
  <c r="AG211" i="6"/>
  <c r="AK211" i="6"/>
  <c r="AR211" i="6" s="1"/>
  <c r="AS211" i="6" s="1"/>
  <c r="AQ429" i="6"/>
  <c r="AQ1366" i="6"/>
  <c r="AR1366" i="6"/>
  <c r="AQ502" i="6"/>
  <c r="BD756" i="6"/>
  <c r="T757" i="6" s="1"/>
  <c r="AP756" i="6"/>
  <c r="AR177" i="6"/>
  <c r="AQ177" i="6"/>
  <c r="BE860" i="6"/>
  <c r="U861" i="6" s="1"/>
  <c r="AM1613" i="6"/>
  <c r="AL1613" i="6"/>
  <c r="BD214" i="6"/>
  <c r="T215" i="6" s="1"/>
  <c r="AP214" i="6"/>
  <c r="AM185" i="6"/>
  <c r="AL185" i="6"/>
  <c r="AN185" i="6" s="1"/>
  <c r="AM1296" i="6"/>
  <c r="AL1296" i="6"/>
  <c r="BD1402" i="6"/>
  <c r="T1403" i="6" s="1"/>
  <c r="AP1402" i="6"/>
  <c r="BD540" i="6"/>
  <c r="T541" i="6" s="1"/>
  <c r="AP540" i="6"/>
  <c r="AN1007" i="6"/>
  <c r="BD1549" i="6"/>
  <c r="T1550" i="6" s="1"/>
  <c r="AP1549" i="6"/>
  <c r="BA1009" i="6"/>
  <c r="Q1010" i="6" s="1"/>
  <c r="AG1009" i="6"/>
  <c r="BE1472" i="6"/>
  <c r="U1473" i="6" s="1"/>
  <c r="AL400" i="6"/>
  <c r="AT213" i="6"/>
  <c r="BE213" i="6"/>
  <c r="U214" i="6" s="1"/>
  <c r="AT321" i="6"/>
  <c r="BE321" i="6"/>
  <c r="U322" i="6" s="1"/>
  <c r="AR33" i="6"/>
  <c r="AQ33" i="6"/>
  <c r="BO364" i="6"/>
  <c r="BN365" i="6" s="1"/>
  <c r="AK364" i="6"/>
  <c r="AL647" i="6"/>
  <c r="AM647" i="6"/>
  <c r="BA1187" i="6"/>
  <c r="Q1188" i="6" s="1"/>
  <c r="AG1187" i="6"/>
  <c r="AS392" i="6"/>
  <c r="AU392" i="6" s="1"/>
  <c r="AQ1617" i="6"/>
  <c r="BA257" i="6"/>
  <c r="AG257" i="6"/>
  <c r="BD1438" i="6"/>
  <c r="T1439" i="6" s="1"/>
  <c r="AP1438" i="6"/>
  <c r="AN1431" i="6"/>
  <c r="AU1431" i="6" s="1"/>
  <c r="AS788" i="6"/>
  <c r="AU788" i="6" s="1"/>
  <c r="BD430" i="6"/>
  <c r="T431" i="6" s="1"/>
  <c r="AP430" i="6"/>
  <c r="BE827" i="6"/>
  <c r="U828" i="6" s="1"/>
  <c r="AT827" i="6"/>
  <c r="BD1367" i="6"/>
  <c r="T1368" i="6" s="1"/>
  <c r="AP1367" i="6"/>
  <c r="BD503" i="6"/>
  <c r="T504" i="6" s="1"/>
  <c r="AP503" i="6"/>
  <c r="AQ755" i="6"/>
  <c r="BA648" i="6"/>
  <c r="Q649" i="6" s="1"/>
  <c r="AG648" i="6"/>
  <c r="AT572" i="6"/>
  <c r="BE572" i="6"/>
  <c r="U573" i="6" s="1"/>
  <c r="AM1145" i="6"/>
  <c r="AL1145" i="6"/>
  <c r="AM1253" i="6"/>
  <c r="AL1253" i="6"/>
  <c r="AT1004" i="6"/>
  <c r="BE1004" i="6"/>
  <c r="U1005" i="6" s="1"/>
  <c r="AL471" i="6"/>
  <c r="AM471" i="6"/>
  <c r="BA1511" i="6"/>
  <c r="Q1512" i="6" s="1"/>
  <c r="AT718" i="6"/>
  <c r="BE718" i="6"/>
  <c r="U719" i="6" s="1"/>
  <c r="AL533" i="6"/>
  <c r="AM533" i="6"/>
  <c r="BE1436" i="6"/>
  <c r="U1437" i="6" s="1"/>
  <c r="AL1432" i="6"/>
  <c r="AM1432" i="6"/>
  <c r="BA1440" i="6"/>
  <c r="Q1441" i="6" s="1"/>
  <c r="AR645" i="6"/>
  <c r="AQ645" i="6"/>
  <c r="BO684" i="6"/>
  <c r="BN685" i="6" s="1"/>
  <c r="AG39" i="6"/>
  <c r="BA39" i="6"/>
  <c r="Q40" i="6" s="1"/>
  <c r="AM426" i="6"/>
  <c r="AL426" i="6"/>
  <c r="BA936" i="6"/>
  <c r="Q937" i="6" s="1"/>
  <c r="AG936" i="6"/>
  <c r="BA1407" i="6"/>
  <c r="Q1408" i="6" s="1"/>
  <c r="AG1407" i="6"/>
  <c r="BD466" i="6"/>
  <c r="T467" i="6" s="1"/>
  <c r="AP466" i="6"/>
  <c r="AM1504" i="6"/>
  <c r="AL1504" i="6"/>
  <c r="AT177" i="6"/>
  <c r="BE177" i="6"/>
  <c r="U178" i="6" s="1"/>
  <c r="AN1576" i="6"/>
  <c r="AU1576" i="6" s="1"/>
  <c r="BD574" i="6"/>
  <c r="T575" i="6" s="1"/>
  <c r="AP574" i="6"/>
  <c r="BA293" i="6"/>
  <c r="AG293" i="6"/>
  <c r="AZ1614" i="6"/>
  <c r="P1615" i="6" s="1"/>
  <c r="AK1614" i="6"/>
  <c r="AR1614" i="6" s="1"/>
  <c r="AS1614" i="6" s="1"/>
  <c r="AG1614" i="6"/>
  <c r="BA437" i="6"/>
  <c r="BD34" i="6"/>
  <c r="T35" i="6" s="1"/>
  <c r="AP34" i="6"/>
  <c r="AM317" i="6"/>
  <c r="AL317" i="6"/>
  <c r="AR573" i="6"/>
  <c r="AQ573" i="6"/>
  <c r="BE141" i="6"/>
  <c r="U142" i="6" s="1"/>
  <c r="AT141" i="6"/>
  <c r="AQ973" i="6"/>
  <c r="BA1151" i="6"/>
  <c r="Q1152" i="6" s="1"/>
  <c r="BE1149" i="6"/>
  <c r="U1150" i="6" s="1"/>
  <c r="AT1149" i="6"/>
  <c r="AT753" i="6"/>
  <c r="BE753" i="6"/>
  <c r="U754" i="6" s="1"/>
  <c r="AN1334" i="6"/>
  <c r="AZ534" i="6"/>
  <c r="P535" i="6" s="1"/>
  <c r="AG534" i="6"/>
  <c r="AK534" i="6"/>
  <c r="AR534" i="6" s="1"/>
  <c r="AS534" i="6" s="1"/>
  <c r="AT1257" i="6"/>
  <c r="BE1257" i="6"/>
  <c r="U1258" i="6" s="1"/>
  <c r="AZ1146" i="6"/>
  <c r="P1147" i="6" s="1"/>
  <c r="AK1146" i="6"/>
  <c r="AR1146" i="6" s="1"/>
  <c r="AS1146" i="6" s="1"/>
  <c r="AG1146" i="6"/>
  <c r="BE1616" i="6"/>
  <c r="U1617" i="6" s="1"/>
  <c r="AP646" i="6"/>
  <c r="BD646" i="6"/>
  <c r="T647" i="6" s="1"/>
  <c r="AT1293" i="6"/>
  <c r="BE1293" i="6"/>
  <c r="U1294" i="6" s="1"/>
  <c r="BE1509" i="6"/>
  <c r="U1510" i="6" s="1"/>
  <c r="AT1509" i="6"/>
  <c r="AZ427" i="6"/>
  <c r="P428" i="6" s="1"/>
  <c r="AG427" i="6"/>
  <c r="AK427" i="6"/>
  <c r="AR427" i="6" s="1"/>
  <c r="AS427" i="6" s="1"/>
  <c r="AT357" i="6"/>
  <c r="BE357" i="6"/>
  <c r="U358" i="6" s="1"/>
  <c r="AQ1509" i="6"/>
  <c r="AQ1332" i="6"/>
  <c r="AR1332" i="6"/>
  <c r="AN610" i="6"/>
  <c r="BA1079" i="6"/>
  <c r="Q1080" i="6" s="1"/>
  <c r="AZ318" i="6"/>
  <c r="P319" i="6" s="1"/>
  <c r="AK318" i="6"/>
  <c r="AR318" i="6" s="1"/>
  <c r="AS318" i="6" s="1"/>
  <c r="AG318" i="6"/>
  <c r="AZ1254" i="6"/>
  <c r="P1255" i="6" s="1"/>
  <c r="AK1254" i="6"/>
  <c r="AR1254" i="6" s="1"/>
  <c r="AS1254" i="6" s="1"/>
  <c r="AG1254" i="6"/>
  <c r="AN1612" i="6"/>
  <c r="AU1612" i="6" s="1"/>
  <c r="AM1365" i="6"/>
  <c r="AL1365" i="6"/>
  <c r="AR1401" i="6"/>
  <c r="AQ1401" i="6"/>
  <c r="AL1406" i="6"/>
  <c r="BO1443" i="6"/>
  <c r="BN1444" i="6" s="1"/>
  <c r="AL1073" i="6"/>
  <c r="AM1073" i="6"/>
  <c r="AZ1433" i="6"/>
  <c r="P1434" i="6" s="1"/>
  <c r="AK1433" i="6"/>
  <c r="AR1433" i="6" s="1"/>
  <c r="AS1433" i="6" s="1"/>
  <c r="AG1433" i="6"/>
  <c r="AM1547" i="6"/>
  <c r="AL1547" i="6"/>
  <c r="AT502" i="6"/>
  <c r="BE502" i="6"/>
  <c r="U503" i="6" s="1"/>
  <c r="BE430" i="6"/>
  <c r="U431" i="6" s="1"/>
  <c r="AT430" i="6"/>
  <c r="AT1077" i="6"/>
  <c r="BE1077" i="6"/>
  <c r="U1078" i="6" s="1"/>
  <c r="AT789" i="6"/>
  <c r="BE789" i="6"/>
  <c r="U790" i="6" s="1"/>
  <c r="BD1510" i="6"/>
  <c r="T1511" i="6" s="1"/>
  <c r="AP1510" i="6"/>
  <c r="BD1333" i="6"/>
  <c r="T1334" i="6" s="1"/>
  <c r="AP1333" i="6"/>
  <c r="BA1623" i="6"/>
  <c r="Q1624" i="6" s="1"/>
  <c r="AM1468" i="6"/>
  <c r="AL1468" i="6"/>
  <c r="AL358" i="6"/>
  <c r="AM358" i="6"/>
  <c r="AZ1505" i="6"/>
  <c r="P1506" i="6" s="1"/>
  <c r="AK1505" i="6"/>
  <c r="AR1505" i="6" s="1"/>
  <c r="AS1505" i="6" s="1"/>
  <c r="AG1505" i="6"/>
  <c r="AM790" i="6"/>
  <c r="AL790" i="6"/>
  <c r="BA221" i="6"/>
  <c r="BA1366" i="6"/>
  <c r="Q1367" i="6" s="1"/>
  <c r="AG1366" i="6"/>
  <c r="BD826" i="6"/>
  <c r="T827" i="6" s="1"/>
  <c r="AP826" i="6"/>
  <c r="AL1008" i="6"/>
  <c r="AM1008" i="6"/>
  <c r="AT1365" i="6"/>
  <c r="BE1365" i="6"/>
  <c r="U1366" i="6" s="1"/>
  <c r="BD178" i="6"/>
  <c r="T179" i="6" s="1"/>
  <c r="AP178" i="6"/>
  <c r="BA1297" i="6"/>
  <c r="Q1298" i="6" s="1"/>
  <c r="AG1297" i="6"/>
  <c r="BA401" i="6"/>
  <c r="AG401" i="6"/>
  <c r="AR465" i="6"/>
  <c r="AQ465" i="6"/>
  <c r="AM902" i="6"/>
  <c r="AL902" i="6"/>
  <c r="BO1479" i="6"/>
  <c r="BN1480" i="6" s="1"/>
  <c r="BD250" i="6"/>
  <c r="T251" i="6" s="1"/>
  <c r="AP250" i="6"/>
  <c r="AG903" i="6"/>
  <c r="BA903" i="6"/>
  <c r="Q904" i="6" s="1"/>
  <c r="AT466" i="6"/>
  <c r="BE466" i="6"/>
  <c r="U467" i="6" s="1"/>
  <c r="AN184" i="6"/>
  <c r="BD862" i="6"/>
  <c r="T863" i="6" s="1"/>
  <c r="AP862" i="6"/>
  <c r="AR141" i="6"/>
  <c r="AQ141" i="6"/>
  <c r="AQ1473" i="6"/>
  <c r="AQ1149" i="6"/>
  <c r="AQ1005" i="6"/>
  <c r="AR1005" i="6"/>
  <c r="AR895" i="6"/>
  <c r="AQ895" i="6"/>
  <c r="BO252" i="6"/>
  <c r="BN253" i="6" s="1"/>
  <c r="AK252" i="6"/>
  <c r="AM252" i="6" s="1"/>
  <c r="AN252" i="6" s="1"/>
  <c r="BA1548" i="6"/>
  <c r="Q1549" i="6" s="1"/>
  <c r="AG1548" i="6"/>
  <c r="AM496" i="6"/>
  <c r="AL496" i="6"/>
  <c r="AQ393" i="6"/>
  <c r="AR393" i="6"/>
  <c r="AM1044" i="6"/>
  <c r="AL1044" i="6"/>
  <c r="BA719" i="6"/>
  <c r="Q720" i="6" s="1"/>
  <c r="AL101" i="6"/>
  <c r="AM101" i="6"/>
  <c r="AS608" i="6"/>
  <c r="AU608" i="6" s="1"/>
  <c r="BA359" i="6"/>
  <c r="Q360" i="6" s="1"/>
  <c r="AG359" i="6"/>
  <c r="AN399" i="6"/>
  <c r="BE1184" i="6"/>
  <c r="U1185" i="6" s="1"/>
  <c r="AT1184" i="6"/>
  <c r="AU1184" i="6" s="1"/>
  <c r="BA791" i="6"/>
  <c r="Q792" i="6" s="1"/>
  <c r="AG791" i="6"/>
  <c r="AQ324" i="6"/>
  <c r="AN1221" i="6"/>
  <c r="BE933" i="6"/>
  <c r="U934" i="6" s="1"/>
  <c r="AT933" i="6"/>
  <c r="BE645" i="6"/>
  <c r="U646" i="6" s="1"/>
  <c r="AT645" i="6"/>
  <c r="BA147" i="6"/>
  <c r="Q148" i="6" s="1"/>
  <c r="AG147" i="6"/>
  <c r="AL935" i="6"/>
  <c r="AM935" i="6"/>
  <c r="BE1653" i="6"/>
  <c r="U1654" i="6" s="1"/>
  <c r="AT1653" i="6"/>
  <c r="AN470" i="6"/>
  <c r="BE970" i="6"/>
  <c r="U971" i="6" s="1"/>
  <c r="AT970" i="6"/>
  <c r="AU970" i="6" s="1"/>
  <c r="AS1187" i="6"/>
  <c r="AT681" i="6"/>
  <c r="BE681" i="6"/>
  <c r="U682" i="6" s="1"/>
  <c r="AQ861" i="6"/>
  <c r="BD142" i="6"/>
  <c r="T143" i="6" s="1"/>
  <c r="AP142" i="6"/>
  <c r="BD1474" i="6"/>
  <c r="T1475" i="6" s="1"/>
  <c r="AP1474" i="6"/>
  <c r="BD1150" i="6"/>
  <c r="T1151" i="6" s="1"/>
  <c r="AP1150" i="6"/>
  <c r="AZ1074" i="6"/>
  <c r="P1075" i="6" s="1"/>
  <c r="AK1074" i="6"/>
  <c r="AR1074" i="6" s="1"/>
  <c r="AS1074" i="6" s="1"/>
  <c r="AG1074" i="6"/>
  <c r="BO288" i="6"/>
  <c r="BN289" i="6" s="1"/>
  <c r="AK288" i="6"/>
  <c r="AM288" i="6" s="1"/>
  <c r="AN288" i="6" s="1"/>
  <c r="BA72" i="6"/>
  <c r="Q73" i="6" s="1"/>
  <c r="BD1006" i="6"/>
  <c r="T1007" i="6" s="1"/>
  <c r="AP1006" i="6"/>
  <c r="BD896" i="6"/>
  <c r="T897" i="6" s="1"/>
  <c r="AP896" i="6"/>
  <c r="BO940" i="6"/>
  <c r="BN941" i="6" s="1"/>
  <c r="AK940" i="6"/>
  <c r="BA508" i="6"/>
  <c r="Q509" i="6" s="1"/>
  <c r="BA107" i="6"/>
  <c r="Q108" i="6" s="1"/>
  <c r="BD394" i="6"/>
  <c r="T395" i="6" s="1"/>
  <c r="AP394" i="6"/>
  <c r="BO1156" i="6"/>
  <c r="BN1157" i="6" s="1"/>
  <c r="BA1045" i="6"/>
  <c r="Q1046" i="6" s="1"/>
  <c r="AG1045" i="6"/>
  <c r="AL1114" i="6"/>
  <c r="AM1114" i="6"/>
  <c r="AZ1469" i="6"/>
  <c r="P1470" i="6" s="1"/>
  <c r="AK1469" i="6"/>
  <c r="AR1469" i="6" s="1"/>
  <c r="AS1469" i="6" s="1"/>
  <c r="AG1469" i="6"/>
  <c r="AQ933" i="6"/>
  <c r="AR933" i="6"/>
  <c r="AU1220" i="6"/>
  <c r="AR789" i="6"/>
  <c r="AQ789" i="6"/>
  <c r="AT1329" i="6"/>
  <c r="AU1329" i="6" s="1"/>
  <c r="BE1329" i="6"/>
  <c r="U1330" i="6" s="1"/>
  <c r="BD325" i="6"/>
  <c r="T326" i="6" s="1"/>
  <c r="AP325" i="6"/>
  <c r="AU571" i="6"/>
  <c r="AT1402" i="6"/>
  <c r="BE1402" i="6"/>
  <c r="U1403" i="6" s="1"/>
  <c r="AQ1548" i="6"/>
  <c r="AR1548" i="6"/>
  <c r="AL65" i="6"/>
  <c r="AM65" i="6"/>
  <c r="AZ750" i="6"/>
  <c r="P751" i="6" s="1"/>
  <c r="AK750" i="6"/>
  <c r="AR750" i="6" s="1"/>
  <c r="AS750" i="6" s="1"/>
  <c r="AG750" i="6"/>
  <c r="AM38" i="6"/>
  <c r="AL38" i="6"/>
  <c r="AZ66" i="6"/>
  <c r="P67" i="6" s="1"/>
  <c r="AK66" i="6"/>
  <c r="AR66" i="6" s="1"/>
  <c r="AS66" i="6" s="1"/>
  <c r="AG66" i="6"/>
  <c r="BD1618" i="6"/>
  <c r="T1619" i="6" s="1"/>
  <c r="AP1618" i="6"/>
  <c r="AQ249" i="6"/>
  <c r="AR249" i="6"/>
  <c r="AL826" i="6"/>
  <c r="AM826" i="6"/>
  <c r="BA827" i="6"/>
  <c r="Q828" i="6" s="1"/>
  <c r="AG827" i="6"/>
  <c r="AQ1654" i="6"/>
  <c r="AT105" i="6"/>
  <c r="BE105" i="6"/>
  <c r="U106" i="6" s="1"/>
  <c r="AQ1188" i="6"/>
  <c r="AR1188" i="6"/>
  <c r="AS176" i="6"/>
  <c r="AU176" i="6" s="1"/>
  <c r="AL1335" i="6"/>
  <c r="AM1335" i="6"/>
  <c r="AM857" i="6"/>
  <c r="AL857" i="6"/>
  <c r="AS824" i="6"/>
  <c r="AU824" i="6" s="1"/>
  <c r="AR1113" i="6"/>
  <c r="AQ1113" i="6"/>
  <c r="AQ1293" i="6"/>
  <c r="AR1293" i="6"/>
  <c r="AN1144" i="6"/>
  <c r="AU1144" i="6" s="1"/>
  <c r="AZ497" i="6"/>
  <c r="P498" i="6" s="1"/>
  <c r="AK497" i="6"/>
  <c r="AR497" i="6" s="1"/>
  <c r="AS497" i="6" s="1"/>
  <c r="AG497" i="6"/>
  <c r="AL611" i="6"/>
  <c r="AM611" i="6"/>
  <c r="AS32" i="6"/>
  <c r="AU32" i="6" s="1"/>
  <c r="BE69" i="6"/>
  <c r="U70" i="6" s="1"/>
  <c r="AT69" i="6"/>
  <c r="AG1115" i="6"/>
  <c r="BA1115" i="6"/>
  <c r="Q1116" i="6" s="1"/>
  <c r="AZ102" i="6"/>
  <c r="P103" i="6" s="1"/>
  <c r="AK102" i="6"/>
  <c r="AR102" i="6" s="1"/>
  <c r="AS102" i="6" s="1"/>
  <c r="AG102" i="6"/>
  <c r="BD934" i="6"/>
  <c r="T935" i="6" s="1"/>
  <c r="AP934" i="6"/>
  <c r="BO147" i="6"/>
  <c r="BN148" i="6" s="1"/>
  <c r="AK147" i="6"/>
  <c r="BD790" i="6"/>
  <c r="T791" i="6" s="1"/>
  <c r="AP790" i="6"/>
  <c r="AQ1075" i="6"/>
  <c r="AQ1221" i="6"/>
  <c r="AR1221" i="6"/>
  <c r="AZ713" i="6"/>
  <c r="P714" i="6" s="1"/>
  <c r="AK713" i="6"/>
  <c r="AR713" i="6" s="1"/>
  <c r="AS713" i="6" s="1"/>
  <c r="AG713" i="6"/>
  <c r="AT611" i="6"/>
  <c r="BE611" i="6"/>
  <c r="U612" i="6" s="1"/>
  <c r="BA472" i="6"/>
  <c r="Q473" i="6" s="1"/>
  <c r="AG472" i="6"/>
  <c r="BE33" i="6"/>
  <c r="U34" i="6" s="1"/>
  <c r="AT33" i="6"/>
  <c r="BA1656" i="6"/>
  <c r="Q1657" i="6" s="1"/>
  <c r="BD1655" i="6"/>
  <c r="T1656" i="6" s="1"/>
  <c r="AP1655" i="6"/>
  <c r="AQ70" i="6"/>
  <c r="AT896" i="6"/>
  <c r="BE896" i="6"/>
  <c r="U897" i="6" s="1"/>
  <c r="BD1189" i="6"/>
  <c r="T1190" i="6" s="1"/>
  <c r="AP1189" i="6"/>
  <c r="AG1336" i="6"/>
  <c r="BA1336" i="6"/>
  <c r="Q1337" i="6" s="1"/>
  <c r="AU284" i="6"/>
  <c r="BO1121" i="6"/>
  <c r="AK1121" i="6"/>
  <c r="BO1656" i="6"/>
  <c r="BN1657" i="6" s="1"/>
  <c r="BD1114" i="6"/>
  <c r="T1115" i="6" s="1"/>
  <c r="AP1114" i="6"/>
  <c r="AT1545" i="6"/>
  <c r="AU1545" i="6" s="1"/>
  <c r="BE1545" i="6"/>
  <c r="U1546" i="6" s="1"/>
  <c r="BD1294" i="6"/>
  <c r="T1295" i="6" s="1"/>
  <c r="AP1294" i="6"/>
  <c r="BO215" i="6"/>
  <c r="BN216" i="6" s="1"/>
  <c r="AN1546" i="6"/>
  <c r="BA612" i="6"/>
  <c r="Q613" i="6" s="1"/>
  <c r="AG612" i="6"/>
  <c r="AN1113" i="6"/>
  <c r="AR609" i="6"/>
  <c r="AQ609" i="6"/>
  <c r="AN934" i="6"/>
  <c r="BD1076" i="6"/>
  <c r="T1077" i="6" s="1"/>
  <c r="AP1076" i="6"/>
  <c r="BD1222" i="6"/>
  <c r="T1223" i="6" s="1"/>
  <c r="AP1222" i="6"/>
  <c r="AN316" i="6"/>
  <c r="AU316" i="6" s="1"/>
  <c r="BE1580" i="6"/>
  <c r="U1581" i="6" s="1"/>
  <c r="BO400" i="6"/>
  <c r="BN401" i="6" s="1"/>
  <c r="AK400" i="6"/>
  <c r="AM400" i="6" s="1"/>
  <c r="AQ539" i="6"/>
  <c r="BH940" i="6"/>
  <c r="X941" i="6" s="1"/>
  <c r="AD940" i="6"/>
  <c r="AL1186" i="6"/>
  <c r="AM1186" i="6"/>
  <c r="AP974" i="6"/>
  <c r="BD974" i="6"/>
  <c r="T975" i="6" s="1"/>
  <c r="AL292" i="6"/>
  <c r="BD71" i="6"/>
  <c r="T72" i="6" s="1"/>
  <c r="AP71" i="6"/>
  <c r="AT285" i="6"/>
  <c r="BE285" i="6"/>
  <c r="U286" i="6" s="1"/>
  <c r="AT394" i="6"/>
  <c r="BE394" i="6"/>
  <c r="U395" i="6" s="1"/>
  <c r="AQ681" i="6"/>
  <c r="AT249" i="6"/>
  <c r="BE249" i="6"/>
  <c r="U250" i="6" s="1"/>
  <c r="AZ858" i="6"/>
  <c r="P859" i="6" s="1"/>
  <c r="AK858" i="6"/>
  <c r="AR858" i="6" s="1"/>
  <c r="AS858" i="6" s="1"/>
  <c r="AG858" i="6"/>
  <c r="AM576" i="6"/>
  <c r="AL576" i="6"/>
  <c r="AM677" i="6"/>
  <c r="AL677" i="6"/>
  <c r="AR1041" i="6"/>
  <c r="AQ1041" i="6"/>
  <c r="BE1113" i="6"/>
  <c r="U1114" i="6" s="1"/>
  <c r="AT1113" i="6"/>
  <c r="AQ1582" i="6"/>
  <c r="AR357" i="6"/>
  <c r="AQ357" i="6"/>
  <c r="AS894" i="6"/>
  <c r="AU894" i="6" s="1"/>
  <c r="AN1072" i="6"/>
  <c r="AU1072" i="6" s="1"/>
  <c r="AL1649" i="6"/>
  <c r="AM1649" i="6"/>
  <c r="BA1476" i="6"/>
  <c r="Q1477" i="6" s="1"/>
  <c r="AM712" i="6"/>
  <c r="AL712" i="6"/>
  <c r="BD610" i="6"/>
  <c r="T611" i="6" s="1"/>
  <c r="AP610" i="6"/>
  <c r="AQ286" i="6"/>
  <c r="AR286" i="6"/>
  <c r="BA756" i="6"/>
  <c r="Q757" i="6" s="1"/>
  <c r="BA1259" i="6"/>
  <c r="Q1260" i="6" s="1"/>
  <c r="BE1041" i="6"/>
  <c r="U1042" i="6" s="1"/>
  <c r="AT1041" i="6"/>
  <c r="AM1222" i="6"/>
  <c r="AL1222" i="6"/>
  <c r="AL1577" i="6"/>
  <c r="AM1577" i="6"/>
  <c r="BA868" i="6"/>
  <c r="Q869" i="6" s="1"/>
  <c r="AN1252" i="6"/>
  <c r="AU1252" i="6" s="1"/>
  <c r="AQ105" i="6"/>
  <c r="BD719" i="6"/>
  <c r="T720" i="6" s="1"/>
  <c r="AP719" i="6"/>
  <c r="AN1432" i="6" l="1"/>
  <c r="AU1432" i="6" s="1"/>
  <c r="AU285" i="6"/>
  <c r="AS1221" i="6"/>
  <c r="AS895" i="6"/>
  <c r="AU895" i="6" s="1"/>
  <c r="AN496" i="6"/>
  <c r="AU496" i="6" s="1"/>
  <c r="AS141" i="6"/>
  <c r="AU1004" i="6"/>
  <c r="AS1041" i="6"/>
  <c r="AN1504" i="6"/>
  <c r="AU1504" i="6" s="1"/>
  <c r="AR973" i="6"/>
  <c r="AN1577" i="6"/>
  <c r="AU1577" i="6" s="1"/>
  <c r="AU141" i="6"/>
  <c r="AN317" i="6"/>
  <c r="AU317" i="6" s="1"/>
  <c r="AN65" i="6"/>
  <c r="AU65" i="6" s="1"/>
  <c r="AS249" i="6"/>
  <c r="AU249" i="6" s="1"/>
  <c r="AN1547" i="6"/>
  <c r="AS286" i="6"/>
  <c r="AS177" i="6"/>
  <c r="AN210" i="6"/>
  <c r="AU210" i="6" s="1"/>
  <c r="AN1114" i="6"/>
  <c r="AN935" i="6"/>
  <c r="AN1145" i="6"/>
  <c r="AU1145" i="6" s="1"/>
  <c r="AN857" i="6"/>
  <c r="AU857" i="6" s="1"/>
  <c r="AN647" i="6"/>
  <c r="AN146" i="6"/>
  <c r="AN576" i="6"/>
  <c r="AS1332" i="6"/>
  <c r="AN1613" i="6"/>
  <c r="AU1613" i="6" s="1"/>
  <c r="AS1548" i="6"/>
  <c r="AS933" i="6"/>
  <c r="AU933" i="6" s="1"/>
  <c r="AN1186" i="6"/>
  <c r="AS1188" i="6"/>
  <c r="AS609" i="6"/>
  <c r="AU609" i="6" s="1"/>
  <c r="AS645" i="6"/>
  <c r="AU645" i="6" s="1"/>
  <c r="AS1113" i="6"/>
  <c r="AU1113" i="6" s="1"/>
  <c r="AN1253" i="6"/>
  <c r="AU1253" i="6" s="1"/>
  <c r="AN1296" i="6"/>
  <c r="AS825" i="6"/>
  <c r="AU825" i="6" s="1"/>
  <c r="AN826" i="6"/>
  <c r="AS573" i="6"/>
  <c r="AS1366" i="6"/>
  <c r="AU1364" i="6"/>
  <c r="AT1078" i="6"/>
  <c r="BE1078" i="6"/>
  <c r="U1079" i="6" s="1"/>
  <c r="AR287" i="6"/>
  <c r="AQ287" i="6"/>
  <c r="AL39" i="6"/>
  <c r="AM39" i="6"/>
  <c r="AN677" i="6"/>
  <c r="AU677" i="6" s="1"/>
  <c r="BH941" i="6"/>
  <c r="AD941" i="6"/>
  <c r="AT1546" i="6"/>
  <c r="AU1546" i="6" s="1"/>
  <c r="BE1546" i="6"/>
  <c r="U1547" i="6" s="1"/>
  <c r="AR1189" i="6"/>
  <c r="AQ1189" i="6"/>
  <c r="BA1657" i="6"/>
  <c r="Q1658" i="6" s="1"/>
  <c r="AM102" i="6"/>
  <c r="AL102" i="6"/>
  <c r="AZ498" i="6"/>
  <c r="P499" i="6" s="1"/>
  <c r="AK498" i="6"/>
  <c r="AR498" i="6" s="1"/>
  <c r="AS498" i="6" s="1"/>
  <c r="AG498" i="6"/>
  <c r="BA1046" i="6"/>
  <c r="Q1047" i="6" s="1"/>
  <c r="AG1046" i="6"/>
  <c r="BO941" i="6"/>
  <c r="AK941" i="6"/>
  <c r="AQ1150" i="6"/>
  <c r="BE971" i="6"/>
  <c r="U972" i="6" s="1"/>
  <c r="AT971" i="6"/>
  <c r="AU971" i="6" s="1"/>
  <c r="BA360" i="6"/>
  <c r="Q361" i="6" s="1"/>
  <c r="AG360" i="6"/>
  <c r="AS465" i="6"/>
  <c r="AU465" i="6" s="1"/>
  <c r="AR826" i="6"/>
  <c r="AQ826" i="6"/>
  <c r="BE790" i="6"/>
  <c r="U791" i="6" s="1"/>
  <c r="AT790" i="6"/>
  <c r="BE1294" i="6"/>
  <c r="U1295" i="6" s="1"/>
  <c r="AT1294" i="6"/>
  <c r="AT1258" i="6"/>
  <c r="BE1258" i="6"/>
  <c r="U1259" i="6" s="1"/>
  <c r="AR34" i="6"/>
  <c r="AQ34" i="6"/>
  <c r="AT1005" i="6"/>
  <c r="BE1005" i="6"/>
  <c r="U1006" i="6" s="1"/>
  <c r="AQ1438" i="6"/>
  <c r="AK365" i="6"/>
  <c r="BO365" i="6"/>
  <c r="BA1010" i="6"/>
  <c r="Q1011" i="6" s="1"/>
  <c r="AG1010" i="6"/>
  <c r="AQ214" i="6"/>
  <c r="AU572" i="6"/>
  <c r="BD359" i="6"/>
  <c r="T360" i="6" s="1"/>
  <c r="AP359" i="6"/>
  <c r="BD611" i="6"/>
  <c r="T612" i="6" s="1"/>
  <c r="AP611" i="6"/>
  <c r="AR610" i="6"/>
  <c r="AQ610" i="6"/>
  <c r="AS357" i="6"/>
  <c r="AU357" i="6" s="1"/>
  <c r="AT286" i="6"/>
  <c r="BE286" i="6"/>
  <c r="U287" i="6" s="1"/>
  <c r="BD1190" i="6"/>
  <c r="T1191" i="6" s="1"/>
  <c r="AP1190" i="6"/>
  <c r="AQ1618" i="6"/>
  <c r="AS789" i="6"/>
  <c r="AU789" i="6" s="1"/>
  <c r="AR896" i="6"/>
  <c r="AQ896" i="6"/>
  <c r="BD1151" i="6"/>
  <c r="T1152" i="6" s="1"/>
  <c r="AP1151" i="6"/>
  <c r="BD827" i="6"/>
  <c r="T828" i="6" s="1"/>
  <c r="AP827" i="6"/>
  <c r="AZ1506" i="6"/>
  <c r="P1507" i="6" s="1"/>
  <c r="AK1506" i="6"/>
  <c r="AR1506" i="6" s="1"/>
  <c r="AS1506" i="6" s="1"/>
  <c r="AG1506" i="6"/>
  <c r="AZ1434" i="6"/>
  <c r="P1435" i="6" s="1"/>
  <c r="AK1434" i="6"/>
  <c r="AR1434" i="6" s="1"/>
  <c r="AS1434" i="6" s="1"/>
  <c r="AG1434" i="6"/>
  <c r="AN1365" i="6"/>
  <c r="AU1365" i="6" s="1"/>
  <c r="BD35" i="6"/>
  <c r="T36" i="6" s="1"/>
  <c r="AP35" i="6"/>
  <c r="AT178" i="6"/>
  <c r="BE178" i="6"/>
  <c r="U179" i="6" s="1"/>
  <c r="BE1437" i="6"/>
  <c r="U1438" i="6" s="1"/>
  <c r="AT1437" i="6"/>
  <c r="AQ503" i="6"/>
  <c r="BD1439" i="6"/>
  <c r="T1440" i="6" s="1"/>
  <c r="AP1439" i="6"/>
  <c r="AS33" i="6"/>
  <c r="AU33" i="6" s="1"/>
  <c r="AQ1549" i="6"/>
  <c r="AR1549" i="6"/>
  <c r="BD215" i="6"/>
  <c r="T216" i="6" s="1"/>
  <c r="AP215" i="6"/>
  <c r="AQ1583" i="6"/>
  <c r="BO974" i="6"/>
  <c r="BN975" i="6" s="1"/>
  <c r="AK974" i="6"/>
  <c r="AM974" i="6" s="1"/>
  <c r="AN974" i="6" s="1"/>
  <c r="AQ682" i="6"/>
  <c r="BD683" i="6"/>
  <c r="T684" i="6" s="1"/>
  <c r="AP683" i="6"/>
  <c r="BE1042" i="6"/>
  <c r="U1043" i="6" s="1"/>
  <c r="AT1042" i="6"/>
  <c r="BD1619" i="6"/>
  <c r="T1620" i="6" s="1"/>
  <c r="AP1619" i="6"/>
  <c r="AM1366" i="6"/>
  <c r="AL1366" i="6"/>
  <c r="BD647" i="6"/>
  <c r="T648" i="6" s="1"/>
  <c r="AP647" i="6"/>
  <c r="BA40" i="6"/>
  <c r="Q41" i="6" s="1"/>
  <c r="AG40" i="6"/>
  <c r="BD504" i="6"/>
  <c r="T505" i="6" s="1"/>
  <c r="AP504" i="6"/>
  <c r="AT538" i="6"/>
  <c r="BE538" i="6"/>
  <c r="U539" i="6" s="1"/>
  <c r="AM903" i="6"/>
  <c r="AL903" i="6"/>
  <c r="AR646" i="6"/>
  <c r="AQ646" i="6"/>
  <c r="BE322" i="6"/>
  <c r="U323" i="6" s="1"/>
  <c r="AT322" i="6"/>
  <c r="AZ1579" i="6"/>
  <c r="P1580" i="6" s="1"/>
  <c r="AG1579" i="6"/>
  <c r="AK1579" i="6"/>
  <c r="AR1579" i="6" s="1"/>
  <c r="AS1579" i="6" s="1"/>
  <c r="BD288" i="6"/>
  <c r="T289" i="6" s="1"/>
  <c r="AP288" i="6"/>
  <c r="AN712" i="6"/>
  <c r="AU712" i="6" s="1"/>
  <c r="AM858" i="6"/>
  <c r="AL858" i="6"/>
  <c r="BD72" i="6"/>
  <c r="T73" i="6" s="1"/>
  <c r="AP72" i="6"/>
  <c r="AK401" i="6"/>
  <c r="AM401" i="6" s="1"/>
  <c r="BO401" i="6"/>
  <c r="BD1115" i="6"/>
  <c r="T1116" i="6" s="1"/>
  <c r="AP1115" i="6"/>
  <c r="AM472" i="6"/>
  <c r="AL472" i="6"/>
  <c r="AL1115" i="6"/>
  <c r="AM1115" i="6"/>
  <c r="BE1403" i="6"/>
  <c r="U1404" i="6" s="1"/>
  <c r="AT1403" i="6"/>
  <c r="AR394" i="6"/>
  <c r="AQ394" i="6"/>
  <c r="BD1007" i="6"/>
  <c r="T1008" i="6" s="1"/>
  <c r="AP1007" i="6"/>
  <c r="AR142" i="6"/>
  <c r="AQ142" i="6"/>
  <c r="AM1548" i="6"/>
  <c r="AL1548" i="6"/>
  <c r="AR250" i="6"/>
  <c r="AQ250" i="6"/>
  <c r="AM1297" i="6"/>
  <c r="AL1297" i="6"/>
  <c r="AN1468" i="6"/>
  <c r="AU1468" i="6" s="1"/>
  <c r="AN1073" i="6"/>
  <c r="AU1073" i="6" s="1"/>
  <c r="AL1254" i="6"/>
  <c r="AM1254" i="6"/>
  <c r="AZ535" i="6"/>
  <c r="P536" i="6" s="1"/>
  <c r="AG535" i="6"/>
  <c r="AK535" i="6"/>
  <c r="AR535" i="6" s="1"/>
  <c r="AS535" i="6" s="1"/>
  <c r="AM1614" i="6"/>
  <c r="AL1614" i="6"/>
  <c r="AN533" i="6"/>
  <c r="AU533" i="6" s="1"/>
  <c r="BD1368" i="6"/>
  <c r="T1369" i="6" s="1"/>
  <c r="AP1368" i="6"/>
  <c r="AQ540" i="6"/>
  <c r="BE861" i="6"/>
  <c r="U862" i="6" s="1"/>
  <c r="AT861" i="6"/>
  <c r="AN749" i="6"/>
  <c r="AU749" i="6" s="1"/>
  <c r="BA1224" i="6"/>
  <c r="Q1225" i="6" s="1"/>
  <c r="AG1224" i="6"/>
  <c r="AQ1042" i="6"/>
  <c r="AR1042" i="6"/>
  <c r="AL678" i="6"/>
  <c r="AM678" i="6"/>
  <c r="AQ1474" i="6"/>
  <c r="BA904" i="6"/>
  <c r="Q905" i="6" s="1"/>
  <c r="AG904" i="6"/>
  <c r="BA1116" i="6"/>
  <c r="Q1117" i="6" s="1"/>
  <c r="AG1116" i="6"/>
  <c r="AM534" i="6"/>
  <c r="AL534" i="6"/>
  <c r="AM612" i="6"/>
  <c r="AL612" i="6"/>
  <c r="BD395" i="6"/>
  <c r="T396" i="6" s="1"/>
  <c r="AP395" i="6"/>
  <c r="BD143" i="6"/>
  <c r="T144" i="6" s="1"/>
  <c r="AP143" i="6"/>
  <c r="BA1298" i="6"/>
  <c r="Q1299" i="6" s="1"/>
  <c r="AG1298" i="6"/>
  <c r="AT358" i="6"/>
  <c r="BE358" i="6"/>
  <c r="U359" i="6" s="1"/>
  <c r="AT142" i="6"/>
  <c r="BE142" i="6"/>
  <c r="U143" i="6" s="1"/>
  <c r="AR466" i="6"/>
  <c r="AQ466" i="6"/>
  <c r="BO685" i="6"/>
  <c r="BN686" i="6" s="1"/>
  <c r="BE719" i="6"/>
  <c r="U720" i="6" s="1"/>
  <c r="AT719" i="6"/>
  <c r="BE214" i="6"/>
  <c r="U215" i="6" s="1"/>
  <c r="AT214" i="6"/>
  <c r="BD541" i="6"/>
  <c r="T542" i="6" s="1"/>
  <c r="AP541" i="6"/>
  <c r="AM1223" i="6"/>
  <c r="AL1223" i="6"/>
  <c r="BO797" i="6"/>
  <c r="AK797" i="6"/>
  <c r="BD1043" i="6"/>
  <c r="T1044" i="6" s="1"/>
  <c r="AP1043" i="6"/>
  <c r="AZ679" i="6"/>
  <c r="P680" i="6" s="1"/>
  <c r="AG679" i="6"/>
  <c r="AK679" i="6"/>
  <c r="AR679" i="6" s="1"/>
  <c r="AS679" i="6" s="1"/>
  <c r="BD1584" i="6"/>
  <c r="T1585" i="6" s="1"/>
  <c r="AP1584" i="6"/>
  <c r="BE1654" i="6"/>
  <c r="U1655" i="6" s="1"/>
  <c r="AT1654" i="6"/>
  <c r="BA1367" i="6"/>
  <c r="Q1368" i="6" s="1"/>
  <c r="AG1367" i="6"/>
  <c r="AT1581" i="6"/>
  <c r="BE1581" i="6"/>
  <c r="U1582" i="6" s="1"/>
  <c r="AQ790" i="6"/>
  <c r="AR790" i="6"/>
  <c r="AZ67" i="6"/>
  <c r="P68" i="6" s="1"/>
  <c r="AK67" i="6"/>
  <c r="AR67" i="6" s="1"/>
  <c r="AS67" i="6" s="1"/>
  <c r="AG67" i="6"/>
  <c r="BA720" i="6"/>
  <c r="Q721" i="6" s="1"/>
  <c r="BA1549" i="6"/>
  <c r="Q1550" i="6" s="1"/>
  <c r="AG1549" i="6"/>
  <c r="BD251" i="6"/>
  <c r="T252" i="6" s="1"/>
  <c r="AP251" i="6"/>
  <c r="AT431" i="6"/>
  <c r="BE431" i="6"/>
  <c r="U432" i="6" s="1"/>
  <c r="AT1114" i="6"/>
  <c r="BE1114" i="6"/>
  <c r="U1115" i="6" s="1"/>
  <c r="AZ859" i="6"/>
  <c r="P860" i="6" s="1"/>
  <c r="AK859" i="6"/>
  <c r="AR859" i="6" s="1"/>
  <c r="AS859" i="6" s="1"/>
  <c r="AG859" i="6"/>
  <c r="BA613" i="6"/>
  <c r="Q614" i="6" s="1"/>
  <c r="AG613" i="6"/>
  <c r="BO1657" i="6"/>
  <c r="BN1658" i="6" s="1"/>
  <c r="BE612" i="6"/>
  <c r="U613" i="6" s="1"/>
  <c r="BD791" i="6"/>
  <c r="T792" i="6" s="1"/>
  <c r="AP791" i="6"/>
  <c r="AT70" i="6"/>
  <c r="BE70" i="6"/>
  <c r="U71" i="6" s="1"/>
  <c r="AN38" i="6"/>
  <c r="AL1469" i="6"/>
  <c r="AM1469" i="6"/>
  <c r="BA73" i="6"/>
  <c r="Q74" i="6" s="1"/>
  <c r="AL791" i="6"/>
  <c r="AM791" i="6"/>
  <c r="AN1044" i="6"/>
  <c r="AQ178" i="6"/>
  <c r="AR178" i="6"/>
  <c r="AT503" i="6"/>
  <c r="BE503" i="6"/>
  <c r="U504" i="6" s="1"/>
  <c r="BO1444" i="6"/>
  <c r="BN1445" i="6" s="1"/>
  <c r="AZ1255" i="6"/>
  <c r="P1256" i="6" s="1"/>
  <c r="AK1255" i="6"/>
  <c r="AR1255" i="6" s="1"/>
  <c r="AS1255" i="6" s="1"/>
  <c r="AG1255" i="6"/>
  <c r="BE1617" i="6"/>
  <c r="U1618" i="6" s="1"/>
  <c r="AT1617" i="6"/>
  <c r="AT754" i="6"/>
  <c r="BE754" i="6"/>
  <c r="U755" i="6" s="1"/>
  <c r="AZ1615" i="6"/>
  <c r="P1616" i="6" s="1"/>
  <c r="AG1615" i="6"/>
  <c r="AK1615" i="6"/>
  <c r="AR1615" i="6" s="1"/>
  <c r="AS1615" i="6" s="1"/>
  <c r="BD467" i="6"/>
  <c r="T468" i="6" s="1"/>
  <c r="AP467" i="6"/>
  <c r="BE828" i="6"/>
  <c r="U829" i="6" s="1"/>
  <c r="AQ1402" i="6"/>
  <c r="AR1402" i="6"/>
  <c r="AU177" i="6"/>
  <c r="AM211" i="6"/>
  <c r="AL211" i="6"/>
  <c r="AT1221" i="6"/>
  <c r="AU1221" i="6" s="1"/>
  <c r="BE1221" i="6"/>
  <c r="U1222" i="6" s="1"/>
  <c r="AM577" i="6"/>
  <c r="AL577" i="6"/>
  <c r="BD1550" i="6"/>
  <c r="T1551" i="6" s="1"/>
  <c r="AP1550" i="6"/>
  <c r="AT34" i="6"/>
  <c r="BE34" i="6"/>
  <c r="U35" i="6" s="1"/>
  <c r="BA1260" i="6"/>
  <c r="Q1261" i="6" s="1"/>
  <c r="BA473" i="6"/>
  <c r="AG473" i="6"/>
  <c r="BA869" i="6"/>
  <c r="BA1477" i="6"/>
  <c r="Q1478" i="6" s="1"/>
  <c r="BE250" i="6"/>
  <c r="U251" i="6" s="1"/>
  <c r="AT250" i="6"/>
  <c r="AP975" i="6"/>
  <c r="BD975" i="6"/>
  <c r="T976" i="6" s="1"/>
  <c r="AQ1655" i="6"/>
  <c r="AL827" i="6"/>
  <c r="AM827" i="6"/>
  <c r="AQ325" i="6"/>
  <c r="BA108" i="6"/>
  <c r="Q109" i="6" s="1"/>
  <c r="BA792" i="6"/>
  <c r="Q793" i="6" s="1"/>
  <c r="AG792" i="6"/>
  <c r="BO253" i="6"/>
  <c r="BN254" i="6" s="1"/>
  <c r="AK253" i="6"/>
  <c r="AM253" i="6" s="1"/>
  <c r="AN253" i="6" s="1"/>
  <c r="AQ862" i="6"/>
  <c r="BO1480" i="6"/>
  <c r="BN1481" i="6" s="1"/>
  <c r="BD179" i="6"/>
  <c r="T180" i="6" s="1"/>
  <c r="AP179" i="6"/>
  <c r="BA1624" i="6"/>
  <c r="Q1625" i="6" s="1"/>
  <c r="AM318" i="6"/>
  <c r="AL318" i="6"/>
  <c r="AL1407" i="6"/>
  <c r="BA1512" i="6"/>
  <c r="Q1513" i="6" s="1"/>
  <c r="AT573" i="6"/>
  <c r="BE573" i="6"/>
  <c r="U574" i="6" s="1"/>
  <c r="AQ430" i="6"/>
  <c r="AL1187" i="6"/>
  <c r="AM1187" i="6"/>
  <c r="BD1403" i="6"/>
  <c r="T1404" i="6" s="1"/>
  <c r="AP1403" i="6"/>
  <c r="AZ212" i="6"/>
  <c r="P213" i="6" s="1"/>
  <c r="AG212" i="6"/>
  <c r="AK212" i="6"/>
  <c r="AR212" i="6" s="1"/>
  <c r="AS212" i="6" s="1"/>
  <c r="BA686" i="6"/>
  <c r="Q687" i="6" s="1"/>
  <c r="BA578" i="6"/>
  <c r="Q579" i="6" s="1"/>
  <c r="AG578" i="6"/>
  <c r="BD897" i="6"/>
  <c r="T898" i="6" s="1"/>
  <c r="AP897" i="6"/>
  <c r="AQ71" i="6"/>
  <c r="AS1293" i="6"/>
  <c r="AU1293" i="6" s="1"/>
  <c r="BD1475" i="6"/>
  <c r="T1476" i="6" s="1"/>
  <c r="AP1475" i="6"/>
  <c r="AN358" i="6"/>
  <c r="AQ974" i="6"/>
  <c r="AM750" i="6"/>
  <c r="AL750" i="6"/>
  <c r="BE682" i="6"/>
  <c r="U683" i="6" s="1"/>
  <c r="AT682" i="6"/>
  <c r="AR1333" i="6"/>
  <c r="AQ1333" i="6"/>
  <c r="AM1146" i="6"/>
  <c r="AL1146" i="6"/>
  <c r="BA1408" i="6"/>
  <c r="Q1409" i="6" s="1"/>
  <c r="AG1408" i="6"/>
  <c r="AP431" i="6"/>
  <c r="BD431" i="6"/>
  <c r="T432" i="6" s="1"/>
  <c r="BA1188" i="6"/>
  <c r="Q1189" i="6" s="1"/>
  <c r="AG1188" i="6"/>
  <c r="AQ756" i="6"/>
  <c r="AL1650" i="6"/>
  <c r="AM1650" i="6"/>
  <c r="AZ103" i="6"/>
  <c r="P104" i="6" s="1"/>
  <c r="AK103" i="6"/>
  <c r="AR103" i="6" s="1"/>
  <c r="AS103" i="6" s="1"/>
  <c r="AG103" i="6"/>
  <c r="AL401" i="6"/>
  <c r="AL1578" i="6"/>
  <c r="AM1578" i="6"/>
  <c r="AR1114" i="6"/>
  <c r="AQ1114" i="6"/>
  <c r="AR1006" i="6"/>
  <c r="AQ1006" i="6"/>
  <c r="AR1367" i="6"/>
  <c r="AQ1367" i="6"/>
  <c r="AU1041" i="6"/>
  <c r="BD1656" i="6"/>
  <c r="T1657" i="6" s="1"/>
  <c r="AP1656" i="6"/>
  <c r="BA828" i="6"/>
  <c r="Q829" i="6" s="1"/>
  <c r="AG828" i="6"/>
  <c r="AM147" i="6"/>
  <c r="AL147" i="6"/>
  <c r="BE1366" i="6"/>
  <c r="U1367" i="6" s="1"/>
  <c r="AT1366" i="6"/>
  <c r="AL293" i="6"/>
  <c r="AN400" i="6"/>
  <c r="AN1649" i="6"/>
  <c r="AU1649" i="6" s="1"/>
  <c r="BD1223" i="6"/>
  <c r="T1224" i="6" s="1"/>
  <c r="AP1223" i="6"/>
  <c r="BO216" i="6"/>
  <c r="BN217" i="6" s="1"/>
  <c r="BO148" i="6"/>
  <c r="BN149" i="6" s="1"/>
  <c r="AK148" i="6"/>
  <c r="AN611" i="6"/>
  <c r="BE1330" i="6"/>
  <c r="U1331" i="6" s="1"/>
  <c r="AT1330" i="6"/>
  <c r="AU1330" i="6" s="1"/>
  <c r="AM1074" i="6"/>
  <c r="AL1074" i="6"/>
  <c r="BA148" i="6"/>
  <c r="Q149" i="6" s="1"/>
  <c r="AG148" i="6"/>
  <c r="BE1185" i="6"/>
  <c r="U1186" i="6" s="1"/>
  <c r="AT1185" i="6"/>
  <c r="AU1185" i="6" s="1"/>
  <c r="AS393" i="6"/>
  <c r="AU393" i="6" s="1"/>
  <c r="AN902" i="6"/>
  <c r="AN790" i="6"/>
  <c r="BD1334" i="6"/>
  <c r="T1335" i="6" s="1"/>
  <c r="AP1334" i="6"/>
  <c r="AZ319" i="6"/>
  <c r="P320" i="6" s="1"/>
  <c r="AK319" i="6"/>
  <c r="AR319" i="6" s="1"/>
  <c r="AS319" i="6" s="1"/>
  <c r="AG319" i="6"/>
  <c r="AZ428" i="6"/>
  <c r="P429" i="6" s="1"/>
  <c r="AG428" i="6"/>
  <c r="AK428" i="6"/>
  <c r="AR428" i="6" s="1"/>
  <c r="AS428" i="6" s="1"/>
  <c r="AT1150" i="6"/>
  <c r="BE1150" i="6"/>
  <c r="U1151" i="6" s="1"/>
  <c r="AM936" i="6"/>
  <c r="AL936" i="6"/>
  <c r="AM648" i="6"/>
  <c r="AL648" i="6"/>
  <c r="AT1473" i="6"/>
  <c r="BE1473" i="6"/>
  <c r="U1474" i="6" s="1"/>
  <c r="BD757" i="6"/>
  <c r="T758" i="6" s="1"/>
  <c r="AP757" i="6"/>
  <c r="AQ106" i="6"/>
  <c r="BO1403" i="6"/>
  <c r="BN1404" i="6" s="1"/>
  <c r="AK1403" i="6"/>
  <c r="AM1403" i="6" s="1"/>
  <c r="AN1403" i="6" s="1"/>
  <c r="BE106" i="6"/>
  <c r="U107" i="6" s="1"/>
  <c r="AT106" i="6"/>
  <c r="AN101" i="6"/>
  <c r="AU101" i="6" s="1"/>
  <c r="AS973" i="6"/>
  <c r="AZ1470" i="6"/>
  <c r="P1471" i="6" s="1"/>
  <c r="AK1470" i="6"/>
  <c r="AR1470" i="6" s="1"/>
  <c r="AS1470" i="6" s="1"/>
  <c r="AG1470" i="6"/>
  <c r="BO289" i="6"/>
  <c r="BN290" i="6" s="1"/>
  <c r="AK289" i="6"/>
  <c r="AM289" i="6" s="1"/>
  <c r="AN289" i="6" s="1"/>
  <c r="AL427" i="6"/>
  <c r="AM427" i="6"/>
  <c r="BA757" i="6"/>
  <c r="Q758" i="6" s="1"/>
  <c r="AQ1076" i="6"/>
  <c r="AR1294" i="6"/>
  <c r="AQ1294" i="6"/>
  <c r="BA1337" i="6"/>
  <c r="AG1337" i="6"/>
  <c r="AZ714" i="6"/>
  <c r="P715" i="6" s="1"/>
  <c r="AK714" i="6"/>
  <c r="AR714" i="6" s="1"/>
  <c r="AS714" i="6" s="1"/>
  <c r="AG714" i="6"/>
  <c r="AQ934" i="6"/>
  <c r="AR934" i="6"/>
  <c r="AM497" i="6"/>
  <c r="AL497" i="6"/>
  <c r="AZ751" i="6"/>
  <c r="P752" i="6" s="1"/>
  <c r="AK751" i="6"/>
  <c r="AR751" i="6" s="1"/>
  <c r="AS751" i="6" s="1"/>
  <c r="AG751" i="6"/>
  <c r="BA509" i="6"/>
  <c r="AT467" i="6"/>
  <c r="BE467" i="6"/>
  <c r="U468" i="6" s="1"/>
  <c r="AQ1510" i="6"/>
  <c r="AZ1147" i="6"/>
  <c r="P1148" i="6" s="1"/>
  <c r="AK1147" i="6"/>
  <c r="AR1147" i="6" s="1"/>
  <c r="AS1147" i="6" s="1"/>
  <c r="AG1147" i="6"/>
  <c r="BA1152" i="6"/>
  <c r="Q1153" i="6" s="1"/>
  <c r="AR574" i="6"/>
  <c r="AQ574" i="6"/>
  <c r="BA937" i="6"/>
  <c r="Q938" i="6" s="1"/>
  <c r="AG937" i="6"/>
  <c r="BA1441" i="6"/>
  <c r="Q1442" i="6" s="1"/>
  <c r="BA649" i="6"/>
  <c r="Q650" i="6" s="1"/>
  <c r="AG649" i="6"/>
  <c r="BO437" i="6"/>
  <c r="BD107" i="6"/>
  <c r="T108" i="6" s="1"/>
  <c r="AP107" i="6"/>
  <c r="AZ1651" i="6"/>
  <c r="P1652" i="6" s="1"/>
  <c r="AG1651" i="6"/>
  <c r="AK1651" i="6"/>
  <c r="AR1651" i="6" s="1"/>
  <c r="AS1651" i="6" s="1"/>
  <c r="BO1624" i="6"/>
  <c r="BN1625" i="6" s="1"/>
  <c r="AQ719" i="6"/>
  <c r="AT897" i="6"/>
  <c r="BE897" i="6"/>
  <c r="U898" i="6" s="1"/>
  <c r="AT934" i="6"/>
  <c r="BE934" i="6"/>
  <c r="U935" i="6" s="1"/>
  <c r="AL257" i="6"/>
  <c r="BD720" i="6"/>
  <c r="T721" i="6" s="1"/>
  <c r="AP720" i="6"/>
  <c r="AM66" i="6"/>
  <c r="AL66" i="6"/>
  <c r="BO1157" i="6"/>
  <c r="AR1222" i="6"/>
  <c r="AQ1222" i="6"/>
  <c r="AM713" i="6"/>
  <c r="AL713" i="6"/>
  <c r="BD326" i="6"/>
  <c r="T327" i="6" s="1"/>
  <c r="AP326" i="6"/>
  <c r="BD863" i="6"/>
  <c r="T864" i="6" s="1"/>
  <c r="AP863" i="6"/>
  <c r="AN1222" i="6"/>
  <c r="AT395" i="6"/>
  <c r="BE395" i="6"/>
  <c r="U396" i="6" s="1"/>
  <c r="BD1077" i="6"/>
  <c r="T1078" i="6" s="1"/>
  <c r="AP1077" i="6"/>
  <c r="BD1295" i="6"/>
  <c r="T1296" i="6" s="1"/>
  <c r="AP1295" i="6"/>
  <c r="AM1336" i="6"/>
  <c r="AL1336" i="6"/>
  <c r="BD935" i="6"/>
  <c r="T936" i="6" s="1"/>
  <c r="AP935" i="6"/>
  <c r="AN1335" i="6"/>
  <c r="AL1045" i="6"/>
  <c r="AM1045" i="6"/>
  <c r="AZ1075" i="6"/>
  <c r="P1076" i="6" s="1"/>
  <c r="AK1075" i="6"/>
  <c r="AR1075" i="6" s="1"/>
  <c r="AS1075" i="6" s="1"/>
  <c r="AG1075" i="6"/>
  <c r="BE646" i="6"/>
  <c r="U647" i="6" s="1"/>
  <c r="AT646" i="6"/>
  <c r="AL359" i="6"/>
  <c r="AM359" i="6"/>
  <c r="AS1005" i="6"/>
  <c r="AN1008" i="6"/>
  <c r="AL1505" i="6"/>
  <c r="AM1505" i="6"/>
  <c r="BD1511" i="6"/>
  <c r="T1512" i="6" s="1"/>
  <c r="AP1511" i="6"/>
  <c r="AL1433" i="6"/>
  <c r="AM1433" i="6"/>
  <c r="AS1401" i="6"/>
  <c r="AU1401" i="6" s="1"/>
  <c r="BA1080" i="6"/>
  <c r="Q1081" i="6" s="1"/>
  <c r="BE1510" i="6"/>
  <c r="U1511" i="6" s="1"/>
  <c r="AT1510" i="6"/>
  <c r="BD575" i="6"/>
  <c r="T576" i="6" s="1"/>
  <c r="AP575" i="6"/>
  <c r="AN426" i="6"/>
  <c r="AU426" i="6" s="1"/>
  <c r="AN471" i="6"/>
  <c r="AL1009" i="6"/>
  <c r="AM1009" i="6"/>
  <c r="AR358" i="6"/>
  <c r="AQ358" i="6"/>
  <c r="AN211" i="6" l="1"/>
  <c r="AU211" i="6" s="1"/>
  <c r="AN1336" i="6"/>
  <c r="AU286" i="6"/>
  <c r="AN1223" i="6"/>
  <c r="AN39" i="6"/>
  <c r="AU573" i="6"/>
  <c r="AS142" i="6"/>
  <c r="AN1614" i="6"/>
  <c r="AU1614" i="6" s="1"/>
  <c r="AS646" i="6"/>
  <c r="AU646" i="6" s="1"/>
  <c r="AN1366" i="6"/>
  <c r="AU1366" i="6" s="1"/>
  <c r="AS1189" i="6"/>
  <c r="AS1333" i="6"/>
  <c r="AN66" i="6"/>
  <c r="AU66" i="6" s="1"/>
  <c r="AS394" i="6"/>
  <c r="AU394" i="6" s="1"/>
  <c r="AN713" i="6"/>
  <c r="AU713" i="6" s="1"/>
  <c r="AN318" i="6"/>
  <c r="AU318" i="6" s="1"/>
  <c r="AS287" i="6"/>
  <c r="AN827" i="6"/>
  <c r="AS574" i="6"/>
  <c r="AS466" i="6"/>
  <c r="AU466" i="6" s="1"/>
  <c r="AT612" i="6"/>
  <c r="AN1548" i="6"/>
  <c r="AN750" i="6"/>
  <c r="AU750" i="6" s="1"/>
  <c r="AN1254" i="6"/>
  <c r="AU1254" i="6" s="1"/>
  <c r="AR974" i="6"/>
  <c r="AS974" i="6" s="1"/>
  <c r="AS1294" i="6"/>
  <c r="AU1294" i="6" s="1"/>
  <c r="AN936" i="6"/>
  <c r="AN1297" i="6"/>
  <c r="AS1549" i="6"/>
  <c r="AN577" i="6"/>
  <c r="AS790" i="6"/>
  <c r="AU790" i="6" s="1"/>
  <c r="AN1045" i="6"/>
  <c r="AS1042" i="6"/>
  <c r="AU1042" i="6" s="1"/>
  <c r="AS934" i="6"/>
  <c r="AU934" i="6" s="1"/>
  <c r="AN1074" i="6"/>
  <c r="AU1074" i="6" s="1"/>
  <c r="AS1006" i="6"/>
  <c r="AN534" i="6"/>
  <c r="AU534" i="6" s="1"/>
  <c r="AT647" i="6"/>
  <c r="BE647" i="6"/>
  <c r="U648" i="6" s="1"/>
  <c r="BD1585" i="6"/>
  <c r="T1586" i="6" s="1"/>
  <c r="AP1585" i="6"/>
  <c r="BO975" i="6"/>
  <c r="BN976" i="6" s="1"/>
  <c r="AK975" i="6"/>
  <c r="AM975" i="6" s="1"/>
  <c r="AN975" i="6" s="1"/>
  <c r="AZ1507" i="6"/>
  <c r="P1508" i="6" s="1"/>
  <c r="AK1507" i="6"/>
  <c r="AR1507" i="6" s="1"/>
  <c r="AS1507" i="6" s="1"/>
  <c r="AG1507" i="6"/>
  <c r="AR1190" i="6"/>
  <c r="AQ1190" i="6"/>
  <c r="AR359" i="6"/>
  <c r="AQ359" i="6"/>
  <c r="AT1006" i="6"/>
  <c r="BE1006" i="6"/>
  <c r="U1007" i="6" s="1"/>
  <c r="BA829" i="6"/>
  <c r="Q830" i="6" s="1"/>
  <c r="AG829" i="6"/>
  <c r="BD1078" i="6"/>
  <c r="T1079" i="6" s="1"/>
  <c r="AP1078" i="6"/>
  <c r="BD864" i="6"/>
  <c r="T865" i="6" s="1"/>
  <c r="AP864" i="6"/>
  <c r="AQ720" i="6"/>
  <c r="BO1625" i="6"/>
  <c r="AL649" i="6"/>
  <c r="AM649" i="6"/>
  <c r="AZ752" i="6"/>
  <c r="P753" i="6" s="1"/>
  <c r="AK752" i="6"/>
  <c r="AR752" i="6" s="1"/>
  <c r="AS752" i="6" s="1"/>
  <c r="AG752" i="6"/>
  <c r="AZ1471" i="6"/>
  <c r="P1472" i="6" s="1"/>
  <c r="AK1471" i="6"/>
  <c r="AR1471" i="6" s="1"/>
  <c r="AS1471" i="6" s="1"/>
  <c r="AG1471" i="6"/>
  <c r="BD758" i="6"/>
  <c r="T759" i="6" s="1"/>
  <c r="AP758" i="6"/>
  <c r="AM319" i="6"/>
  <c r="AL319" i="6"/>
  <c r="AM148" i="6"/>
  <c r="AL148" i="6"/>
  <c r="BD1224" i="6"/>
  <c r="T1225" i="6" s="1"/>
  <c r="AP1224" i="6"/>
  <c r="AQ1656" i="6"/>
  <c r="AN401" i="6"/>
  <c r="BD1404" i="6"/>
  <c r="T1405" i="6" s="1"/>
  <c r="AP1404" i="6"/>
  <c r="BA793" i="6"/>
  <c r="Q794" i="6" s="1"/>
  <c r="AG793" i="6"/>
  <c r="BD792" i="6"/>
  <c r="T793" i="6" s="1"/>
  <c r="AP792" i="6"/>
  <c r="BE215" i="6"/>
  <c r="U216" i="6" s="1"/>
  <c r="AT215" i="6"/>
  <c r="AM1116" i="6"/>
  <c r="AL1116" i="6"/>
  <c r="BA1225" i="6"/>
  <c r="Q1226" i="6" s="1"/>
  <c r="AG1225" i="6"/>
  <c r="AN472" i="6"/>
  <c r="AN903" i="6"/>
  <c r="AQ1619" i="6"/>
  <c r="BE179" i="6"/>
  <c r="U180" i="6" s="1"/>
  <c r="AT179" i="6"/>
  <c r="BD828" i="6"/>
  <c r="T829" i="6" s="1"/>
  <c r="AP828" i="6"/>
  <c r="AS34" i="6"/>
  <c r="AU34" i="6" s="1"/>
  <c r="AM360" i="6"/>
  <c r="AL360" i="6"/>
  <c r="AM498" i="6"/>
  <c r="AL498" i="6"/>
  <c r="AZ429" i="6"/>
  <c r="P430" i="6" s="1"/>
  <c r="AG429" i="6"/>
  <c r="AK429" i="6"/>
  <c r="AR429" i="6" s="1"/>
  <c r="AS429" i="6" s="1"/>
  <c r="AR791" i="6"/>
  <c r="AQ791" i="6"/>
  <c r="AR827" i="6"/>
  <c r="AQ827" i="6"/>
  <c r="BA149" i="6"/>
  <c r="AG149" i="6"/>
  <c r="BD1657" i="6"/>
  <c r="T1658" i="6" s="1"/>
  <c r="AP1657" i="6"/>
  <c r="AL1188" i="6"/>
  <c r="AM1188" i="6"/>
  <c r="AT683" i="6"/>
  <c r="BE683" i="6"/>
  <c r="U684" i="6" s="1"/>
  <c r="AQ897" i="6"/>
  <c r="AR897" i="6"/>
  <c r="BD976" i="6"/>
  <c r="T977" i="6" s="1"/>
  <c r="AP976" i="6"/>
  <c r="BA1261" i="6"/>
  <c r="Q1262" i="6" s="1"/>
  <c r="AT613" i="6"/>
  <c r="BE613" i="6"/>
  <c r="U614" i="6" s="1"/>
  <c r="BE432" i="6"/>
  <c r="U433" i="6" s="1"/>
  <c r="AL679" i="6"/>
  <c r="AM679" i="6"/>
  <c r="AM1298" i="6"/>
  <c r="AL1298" i="6"/>
  <c r="BA1117" i="6"/>
  <c r="Q1118" i="6" s="1"/>
  <c r="AG1117" i="6"/>
  <c r="AM535" i="6"/>
  <c r="AL535" i="6"/>
  <c r="AR288" i="6"/>
  <c r="AQ288" i="6"/>
  <c r="BD1620" i="6"/>
  <c r="T1621" i="6" s="1"/>
  <c r="AP1620" i="6"/>
  <c r="AQ215" i="6"/>
  <c r="BA361" i="6"/>
  <c r="Q362" i="6" s="1"/>
  <c r="AG361" i="6"/>
  <c r="AM751" i="6"/>
  <c r="AL751" i="6"/>
  <c r="BO254" i="6"/>
  <c r="BN255" i="6" s="1"/>
  <c r="AK254" i="6"/>
  <c r="AM254" i="6" s="1"/>
  <c r="AN254" i="6" s="1"/>
  <c r="AN1578" i="6"/>
  <c r="AU1578" i="6" s="1"/>
  <c r="AM1224" i="6"/>
  <c r="AL1224" i="6"/>
  <c r="BD1191" i="6"/>
  <c r="T1192" i="6" s="1"/>
  <c r="AP1191" i="6"/>
  <c r="BD1512" i="6"/>
  <c r="T1513" i="6" s="1"/>
  <c r="AP1512" i="6"/>
  <c r="BD327" i="6"/>
  <c r="T328" i="6" s="1"/>
  <c r="AP327" i="6"/>
  <c r="AM1651" i="6"/>
  <c r="AL1651" i="6"/>
  <c r="AN497" i="6"/>
  <c r="AU497" i="6" s="1"/>
  <c r="AZ320" i="6"/>
  <c r="P321" i="6" s="1"/>
  <c r="AK320" i="6"/>
  <c r="AR320" i="6" s="1"/>
  <c r="AS320" i="6" s="1"/>
  <c r="AG320" i="6"/>
  <c r="AM103" i="6"/>
  <c r="AL103" i="6"/>
  <c r="BA1189" i="6"/>
  <c r="Q1190" i="6" s="1"/>
  <c r="AG1189" i="6"/>
  <c r="BD898" i="6"/>
  <c r="T899" i="6" s="1"/>
  <c r="AP898" i="6"/>
  <c r="AN1187" i="6"/>
  <c r="BA1625" i="6"/>
  <c r="AR975" i="6"/>
  <c r="AQ975" i="6"/>
  <c r="AT35" i="6"/>
  <c r="BE35" i="6"/>
  <c r="U36" i="6" s="1"/>
  <c r="AS1402" i="6"/>
  <c r="AU1402" i="6" s="1"/>
  <c r="AT1618" i="6"/>
  <c r="BE1618" i="6"/>
  <c r="U1619" i="6" s="1"/>
  <c r="AT1582" i="6"/>
  <c r="BE1582" i="6"/>
  <c r="U1583" i="6" s="1"/>
  <c r="AZ680" i="6"/>
  <c r="P681" i="6" s="1"/>
  <c r="AG680" i="6"/>
  <c r="AK680" i="6"/>
  <c r="AR680" i="6" s="1"/>
  <c r="AS680" i="6" s="1"/>
  <c r="AG1299" i="6"/>
  <c r="BA1299" i="6"/>
  <c r="Q1300" i="6" s="1"/>
  <c r="AM904" i="6"/>
  <c r="AL904" i="6"/>
  <c r="AZ536" i="6"/>
  <c r="P537" i="6" s="1"/>
  <c r="AG536" i="6"/>
  <c r="AK536" i="6"/>
  <c r="AR536" i="6" s="1"/>
  <c r="AS536" i="6" s="1"/>
  <c r="AU142" i="6"/>
  <c r="AQ1115" i="6"/>
  <c r="AR1115" i="6"/>
  <c r="BD289" i="6"/>
  <c r="T290" i="6" s="1"/>
  <c r="AP289" i="6"/>
  <c r="BE539" i="6"/>
  <c r="U540" i="6" s="1"/>
  <c r="AT539" i="6"/>
  <c r="BD216" i="6"/>
  <c r="T217" i="6" s="1"/>
  <c r="AP216" i="6"/>
  <c r="AQ35" i="6"/>
  <c r="AR35" i="6"/>
  <c r="BE287" i="6"/>
  <c r="U288" i="6" s="1"/>
  <c r="AT287" i="6"/>
  <c r="AT1259" i="6"/>
  <c r="BE1259" i="6"/>
  <c r="U1260" i="6" s="1"/>
  <c r="AZ499" i="6"/>
  <c r="P500" i="6" s="1"/>
  <c r="AK499" i="6"/>
  <c r="AR499" i="6" s="1"/>
  <c r="AS499" i="6" s="1"/>
  <c r="AG499" i="6"/>
  <c r="BD1296" i="6"/>
  <c r="T1297" i="6" s="1"/>
  <c r="AP1296" i="6"/>
  <c r="AZ860" i="6"/>
  <c r="P861" i="6" s="1"/>
  <c r="AK860" i="6"/>
  <c r="AR860" i="6" s="1"/>
  <c r="AS860" i="6" s="1"/>
  <c r="AG860" i="6"/>
  <c r="AM792" i="6"/>
  <c r="AL792" i="6"/>
  <c r="AZ68" i="6"/>
  <c r="P69" i="6" s="1"/>
  <c r="AK68" i="6"/>
  <c r="AR68" i="6" s="1"/>
  <c r="AS68" i="6" s="1"/>
  <c r="AG68" i="6"/>
  <c r="AN1115" i="6"/>
  <c r="BD360" i="6"/>
  <c r="T361" i="6" s="1"/>
  <c r="AP360" i="6"/>
  <c r="AN1433" i="6"/>
  <c r="AU1433" i="6" s="1"/>
  <c r="AT1474" i="6"/>
  <c r="BE1474" i="6"/>
  <c r="U1475" i="6" s="1"/>
  <c r="AZ1652" i="6"/>
  <c r="P1653" i="6" s="1"/>
  <c r="AG1652" i="6"/>
  <c r="AK1652" i="6"/>
  <c r="AR1652" i="6" s="1"/>
  <c r="AS1652" i="6" s="1"/>
  <c r="BA1442" i="6"/>
  <c r="Q1443" i="6" s="1"/>
  <c r="AN648" i="6"/>
  <c r="AS1367" i="6"/>
  <c r="BD432" i="6"/>
  <c r="T433" i="6" s="1"/>
  <c r="AP432" i="6"/>
  <c r="AL578" i="6"/>
  <c r="AM578" i="6"/>
  <c r="AQ179" i="6"/>
  <c r="AR179" i="6"/>
  <c r="BE829" i="6"/>
  <c r="U830" i="6" s="1"/>
  <c r="AT829" i="6"/>
  <c r="AM1255" i="6"/>
  <c r="AL1255" i="6"/>
  <c r="AN791" i="6"/>
  <c r="AR251" i="6"/>
  <c r="AQ251" i="6"/>
  <c r="AR1043" i="6"/>
  <c r="AQ1043" i="6"/>
  <c r="BE720" i="6"/>
  <c r="U721" i="6" s="1"/>
  <c r="AQ143" i="6"/>
  <c r="AR143" i="6"/>
  <c r="BA905" i="6"/>
  <c r="AG905" i="6"/>
  <c r="AT862" i="6"/>
  <c r="BE862" i="6"/>
  <c r="U863" i="6" s="1"/>
  <c r="BD1116" i="6"/>
  <c r="T1117" i="6" s="1"/>
  <c r="AP1116" i="6"/>
  <c r="BE1043" i="6"/>
  <c r="U1044" i="6" s="1"/>
  <c r="AT1043" i="6"/>
  <c r="BD36" i="6"/>
  <c r="T37" i="6" s="1"/>
  <c r="AP36" i="6"/>
  <c r="AQ1151" i="6"/>
  <c r="BE972" i="6"/>
  <c r="U973" i="6" s="1"/>
  <c r="AT972" i="6"/>
  <c r="AU972" i="6" s="1"/>
  <c r="AN102" i="6"/>
  <c r="AU102" i="6" s="1"/>
  <c r="AL428" i="6"/>
  <c r="AM428" i="6"/>
  <c r="AZ1616" i="6"/>
  <c r="P1617" i="6" s="1"/>
  <c r="AG1616" i="6"/>
  <c r="AK1616" i="6"/>
  <c r="AR1616" i="6" s="1"/>
  <c r="AS1616" i="6" s="1"/>
  <c r="AM1075" i="6"/>
  <c r="AL1075" i="6"/>
  <c r="AR1403" i="6"/>
  <c r="AQ1403" i="6"/>
  <c r="AQ575" i="6"/>
  <c r="AR575" i="6"/>
  <c r="AN1505" i="6"/>
  <c r="AU1505" i="6" s="1"/>
  <c r="AM937" i="6"/>
  <c r="AL937" i="6"/>
  <c r="AT468" i="6"/>
  <c r="BE468" i="6"/>
  <c r="U469" i="6" s="1"/>
  <c r="AR1334" i="6"/>
  <c r="AQ1334" i="6"/>
  <c r="AZ104" i="6"/>
  <c r="P105" i="6" s="1"/>
  <c r="AK104" i="6"/>
  <c r="AR104" i="6" s="1"/>
  <c r="AS104" i="6" s="1"/>
  <c r="AG104" i="6"/>
  <c r="AQ431" i="6"/>
  <c r="BA579" i="6"/>
  <c r="Q580" i="6" s="1"/>
  <c r="AG579" i="6"/>
  <c r="BD180" i="6"/>
  <c r="T181" i="6" s="1"/>
  <c r="AP180" i="6"/>
  <c r="BE251" i="6"/>
  <c r="U252" i="6" s="1"/>
  <c r="AT251" i="6"/>
  <c r="AR1550" i="6"/>
  <c r="AQ1550" i="6"/>
  <c r="BD252" i="6"/>
  <c r="T253" i="6" s="1"/>
  <c r="AP252" i="6"/>
  <c r="AL1367" i="6"/>
  <c r="AM1367" i="6"/>
  <c r="BD1044" i="6"/>
  <c r="T1045" i="6" s="1"/>
  <c r="AP1044" i="6"/>
  <c r="BD144" i="6"/>
  <c r="T145" i="6" s="1"/>
  <c r="AP144" i="6"/>
  <c r="AR1007" i="6"/>
  <c r="AQ1007" i="6"/>
  <c r="AL1579" i="6"/>
  <c r="AM1579" i="6"/>
  <c r="AQ504" i="6"/>
  <c r="AQ683" i="6"/>
  <c r="BD1152" i="6"/>
  <c r="T1153" i="6" s="1"/>
  <c r="AP1152" i="6"/>
  <c r="AM1010" i="6"/>
  <c r="AL1010" i="6"/>
  <c r="AM1470" i="6"/>
  <c r="AL1470" i="6"/>
  <c r="AZ213" i="6"/>
  <c r="P214" i="6" s="1"/>
  <c r="AG213" i="6"/>
  <c r="AK213" i="6"/>
  <c r="AR213" i="6" s="1"/>
  <c r="AS213" i="6" s="1"/>
  <c r="BD542" i="6"/>
  <c r="T543" i="6" s="1"/>
  <c r="AP542" i="6"/>
  <c r="AQ1077" i="6"/>
  <c r="AR1223" i="6"/>
  <c r="AQ1223" i="6"/>
  <c r="AT755" i="6"/>
  <c r="BE755" i="6"/>
  <c r="U756" i="6" s="1"/>
  <c r="AQ326" i="6"/>
  <c r="AR935" i="6"/>
  <c r="AQ935" i="6"/>
  <c r="AT396" i="6"/>
  <c r="BE396" i="6"/>
  <c r="U397" i="6" s="1"/>
  <c r="AS1222" i="6"/>
  <c r="AT935" i="6"/>
  <c r="BE935" i="6"/>
  <c r="U936" i="6" s="1"/>
  <c r="AQ107" i="6"/>
  <c r="BA938" i="6"/>
  <c r="Q939" i="6" s="1"/>
  <c r="AG938" i="6"/>
  <c r="BA758" i="6"/>
  <c r="Q759" i="6" s="1"/>
  <c r="BE107" i="6"/>
  <c r="U108" i="6" s="1"/>
  <c r="AT107" i="6"/>
  <c r="BD1335" i="6"/>
  <c r="T1336" i="6" s="1"/>
  <c r="AP1335" i="6"/>
  <c r="AT1331" i="6"/>
  <c r="AU1331" i="6" s="1"/>
  <c r="BE1331" i="6"/>
  <c r="U1332" i="6" s="1"/>
  <c r="AL1408" i="6"/>
  <c r="AT574" i="6"/>
  <c r="BE574" i="6"/>
  <c r="U575" i="6" s="1"/>
  <c r="BA109" i="6"/>
  <c r="Q110" i="6" s="1"/>
  <c r="BD1551" i="6"/>
  <c r="T1552" i="6" s="1"/>
  <c r="AP1551" i="6"/>
  <c r="AZ1256" i="6"/>
  <c r="P1257" i="6" s="1"/>
  <c r="AK1256" i="6"/>
  <c r="AR1256" i="6" s="1"/>
  <c r="AS1256" i="6" s="1"/>
  <c r="AG1256" i="6"/>
  <c r="BA74" i="6"/>
  <c r="Q75" i="6" s="1"/>
  <c r="BO1658" i="6"/>
  <c r="BN1659" i="6" s="1"/>
  <c r="AL1549" i="6"/>
  <c r="AM1549" i="6"/>
  <c r="BA1368" i="6"/>
  <c r="Q1369" i="6" s="1"/>
  <c r="AG1368" i="6"/>
  <c r="BO686" i="6"/>
  <c r="BN687" i="6" s="1"/>
  <c r="AR395" i="6"/>
  <c r="AQ395" i="6"/>
  <c r="BD1008" i="6"/>
  <c r="T1009" i="6" s="1"/>
  <c r="AP1008" i="6"/>
  <c r="AZ1580" i="6"/>
  <c r="P1581" i="6" s="1"/>
  <c r="AG1580" i="6"/>
  <c r="AK1580" i="6"/>
  <c r="AR1580" i="6" s="1"/>
  <c r="AS1580" i="6" s="1"/>
  <c r="BD505" i="6"/>
  <c r="T506" i="6" s="1"/>
  <c r="AP505" i="6"/>
  <c r="BD684" i="6"/>
  <c r="T685" i="6" s="1"/>
  <c r="AP684" i="6"/>
  <c r="AL1434" i="6"/>
  <c r="AM1434" i="6"/>
  <c r="AS896" i="6"/>
  <c r="AU896" i="6" s="1"/>
  <c r="AS610" i="6"/>
  <c r="AU610" i="6" s="1"/>
  <c r="BA1011" i="6"/>
  <c r="Q1012" i="6" s="1"/>
  <c r="AG1011" i="6"/>
  <c r="AT1295" i="6"/>
  <c r="BE1295" i="6"/>
  <c r="U1296" i="6" s="1"/>
  <c r="AT1438" i="6"/>
  <c r="BE1438" i="6"/>
  <c r="U1439" i="6" s="1"/>
  <c r="AQ1511" i="6"/>
  <c r="BA650" i="6"/>
  <c r="Q651" i="6" s="1"/>
  <c r="AG650" i="6"/>
  <c r="BD936" i="6"/>
  <c r="T937" i="6" s="1"/>
  <c r="AP936" i="6"/>
  <c r="AL714" i="6"/>
  <c r="AM714" i="6"/>
  <c r="BA1409" i="6"/>
  <c r="AG1409" i="6"/>
  <c r="BA687" i="6"/>
  <c r="Q688" i="6" s="1"/>
  <c r="BO1481" i="6"/>
  <c r="BA1478" i="6"/>
  <c r="Q1479" i="6" s="1"/>
  <c r="AQ467" i="6"/>
  <c r="AR467" i="6"/>
  <c r="AM613" i="6"/>
  <c r="AL613" i="6"/>
  <c r="BA1550" i="6"/>
  <c r="Q1551" i="6" s="1"/>
  <c r="AG1550" i="6"/>
  <c r="BD396" i="6"/>
  <c r="T397" i="6" s="1"/>
  <c r="AP396" i="6"/>
  <c r="AM40" i="6"/>
  <c r="AL40" i="6"/>
  <c r="AQ1439" i="6"/>
  <c r="BA1658" i="6"/>
  <c r="Q1659" i="6" s="1"/>
  <c r="AU287" i="6"/>
  <c r="BA1153" i="6"/>
  <c r="Q1154" i="6" s="1"/>
  <c r="BO217" i="6"/>
  <c r="BN218" i="6" s="1"/>
  <c r="AM1147" i="6"/>
  <c r="AL1147" i="6"/>
  <c r="AT898" i="6"/>
  <c r="BE898" i="6"/>
  <c r="U899" i="6" s="1"/>
  <c r="AN427" i="6"/>
  <c r="AU427" i="6" s="1"/>
  <c r="BE1151" i="6"/>
  <c r="U1152" i="6" s="1"/>
  <c r="AT1151" i="6"/>
  <c r="AT1367" i="6"/>
  <c r="BE1367" i="6"/>
  <c r="U1368" i="6" s="1"/>
  <c r="AN1650" i="6"/>
  <c r="AU1650" i="6" s="1"/>
  <c r="BD468" i="6"/>
  <c r="T469" i="6" s="1"/>
  <c r="AP468" i="6"/>
  <c r="BO1445" i="6"/>
  <c r="AN1469" i="6"/>
  <c r="AU1469" i="6" s="1"/>
  <c r="BA614" i="6"/>
  <c r="Q615" i="6" s="1"/>
  <c r="AG614" i="6"/>
  <c r="AT1655" i="6"/>
  <c r="BE1655" i="6"/>
  <c r="U1656" i="6" s="1"/>
  <c r="AQ1368" i="6"/>
  <c r="AR1368" i="6"/>
  <c r="AQ72" i="6"/>
  <c r="BA41" i="6"/>
  <c r="AG41" i="6"/>
  <c r="BD1440" i="6"/>
  <c r="T1441" i="6" s="1"/>
  <c r="AP1440" i="6"/>
  <c r="AZ1435" i="6"/>
  <c r="P1436" i="6" s="1"/>
  <c r="AK1435" i="6"/>
  <c r="AR1435" i="6" s="1"/>
  <c r="AS1435" i="6" s="1"/>
  <c r="AG1435" i="6"/>
  <c r="AQ611" i="6"/>
  <c r="AR611" i="6"/>
  <c r="AQ863" i="6"/>
  <c r="BE1186" i="6"/>
  <c r="U1187" i="6" s="1"/>
  <c r="AT1186" i="6"/>
  <c r="AU1186" i="6" s="1"/>
  <c r="AT1115" i="6"/>
  <c r="BE1115" i="6"/>
  <c r="U1116" i="6" s="1"/>
  <c r="AZ1076" i="6"/>
  <c r="P1077" i="6" s="1"/>
  <c r="AK1076" i="6"/>
  <c r="AR1076" i="6" s="1"/>
  <c r="AS1076" i="6" s="1"/>
  <c r="AG1076" i="6"/>
  <c r="AZ1148" i="6"/>
  <c r="P1149" i="6" s="1"/>
  <c r="AK1148" i="6"/>
  <c r="AR1148" i="6" s="1"/>
  <c r="AS1148" i="6" s="1"/>
  <c r="AG1148" i="6"/>
  <c r="BD576" i="6"/>
  <c r="T577" i="6" s="1"/>
  <c r="AP576" i="6"/>
  <c r="AU1005" i="6"/>
  <c r="BD108" i="6"/>
  <c r="T109" i="6" s="1"/>
  <c r="AP108" i="6"/>
  <c r="AT1511" i="6"/>
  <c r="BE1511" i="6"/>
  <c r="U1512" i="6" s="1"/>
  <c r="AN359" i="6"/>
  <c r="AZ715" i="6"/>
  <c r="P716" i="6" s="1"/>
  <c r="AK715" i="6"/>
  <c r="AR715" i="6" s="1"/>
  <c r="AS715" i="6" s="1"/>
  <c r="AG715" i="6"/>
  <c r="BO1404" i="6"/>
  <c r="BN1405" i="6" s="1"/>
  <c r="AK1404" i="6"/>
  <c r="AM1404" i="6" s="1"/>
  <c r="AN1404" i="6" s="1"/>
  <c r="BO149" i="6"/>
  <c r="AK149" i="6"/>
  <c r="AN147" i="6"/>
  <c r="AS1114" i="6"/>
  <c r="AU1114" i="6" s="1"/>
  <c r="AN1146" i="6"/>
  <c r="AU1146" i="6" s="1"/>
  <c r="AQ1475" i="6"/>
  <c r="BA1513" i="6"/>
  <c r="Q1514" i="6" s="1"/>
  <c r="AT1222" i="6"/>
  <c r="BE1222" i="6"/>
  <c r="U1223" i="6" s="1"/>
  <c r="BE504" i="6"/>
  <c r="U505" i="6" s="1"/>
  <c r="AM859" i="6"/>
  <c r="AL859" i="6"/>
  <c r="BA721" i="6"/>
  <c r="Q722" i="6" s="1"/>
  <c r="BE143" i="6"/>
  <c r="U144" i="6" s="1"/>
  <c r="AT143" i="6"/>
  <c r="AN612" i="6"/>
  <c r="AN678" i="6"/>
  <c r="AU678" i="6" s="1"/>
  <c r="BD1369" i="6"/>
  <c r="T1370" i="6" s="1"/>
  <c r="AP1369" i="6"/>
  <c r="BD73" i="6"/>
  <c r="T74" i="6" s="1"/>
  <c r="AP73" i="6"/>
  <c r="AR647" i="6"/>
  <c r="AQ647" i="6"/>
  <c r="AL1506" i="6"/>
  <c r="AM1506" i="6"/>
  <c r="BD612" i="6"/>
  <c r="T613" i="6" s="1"/>
  <c r="AP612" i="6"/>
  <c r="AT791" i="6"/>
  <c r="BE791" i="6"/>
  <c r="U792" i="6" s="1"/>
  <c r="AM1046" i="6"/>
  <c r="AL1046" i="6"/>
  <c r="BE1079" i="6"/>
  <c r="U1080" i="6" s="1"/>
  <c r="AT1079" i="6"/>
  <c r="AL828" i="6"/>
  <c r="AM828" i="6"/>
  <c r="AQ757" i="6"/>
  <c r="AS178" i="6"/>
  <c r="AU178" i="6" s="1"/>
  <c r="AT359" i="6"/>
  <c r="BE359" i="6"/>
  <c r="U360" i="6" s="1"/>
  <c r="AN1009" i="6"/>
  <c r="BD721" i="6"/>
  <c r="T722" i="6" s="1"/>
  <c r="AP721" i="6"/>
  <c r="AS358" i="6"/>
  <c r="AU358" i="6" s="1"/>
  <c r="BA1081" i="6"/>
  <c r="Q1082" i="6" s="1"/>
  <c r="AR1295" i="6"/>
  <c r="AQ1295" i="6"/>
  <c r="AL1337" i="6"/>
  <c r="AM1337" i="6"/>
  <c r="BO290" i="6"/>
  <c r="BN291" i="6" s="1"/>
  <c r="AK290" i="6"/>
  <c r="AM290" i="6" s="1"/>
  <c r="AN290" i="6" s="1"/>
  <c r="BD1476" i="6"/>
  <c r="T1477" i="6" s="1"/>
  <c r="AP1476" i="6"/>
  <c r="AM212" i="6"/>
  <c r="AL212" i="6"/>
  <c r="AM473" i="6"/>
  <c r="AL473" i="6"/>
  <c r="AL1615" i="6"/>
  <c r="AM1615" i="6"/>
  <c r="AT71" i="6"/>
  <c r="BE71" i="6"/>
  <c r="U72" i="6" s="1"/>
  <c r="AL67" i="6"/>
  <c r="AM67" i="6"/>
  <c r="AQ1584" i="6"/>
  <c r="AQ541" i="6"/>
  <c r="AS250" i="6"/>
  <c r="AU250" i="6" s="1"/>
  <c r="BE1404" i="6"/>
  <c r="U1405" i="6" s="1"/>
  <c r="AN858" i="6"/>
  <c r="AU858" i="6" s="1"/>
  <c r="AT323" i="6"/>
  <c r="BE323" i="6"/>
  <c r="U324" i="6" s="1"/>
  <c r="BD648" i="6"/>
  <c r="T649" i="6" s="1"/>
  <c r="AP648" i="6"/>
  <c r="AS826" i="6"/>
  <c r="AU826" i="6" s="1"/>
  <c r="BA1047" i="6"/>
  <c r="Q1048" i="6" s="1"/>
  <c r="AG1047" i="6"/>
  <c r="BE1547" i="6"/>
  <c r="U1548" i="6" s="1"/>
  <c r="AT1547" i="6"/>
  <c r="AU1547" i="6" s="1"/>
  <c r="AS1368" i="6" l="1"/>
  <c r="AN1651" i="6"/>
  <c r="AU1651" i="6" s="1"/>
  <c r="AS647" i="6"/>
  <c r="AU647" i="6" s="1"/>
  <c r="AN148" i="6"/>
  <c r="AS143" i="6"/>
  <c r="AU143" i="6" s="1"/>
  <c r="AS179" i="6"/>
  <c r="AU179" i="6" s="1"/>
  <c r="AN904" i="6"/>
  <c r="AN319" i="6"/>
  <c r="AU319" i="6" s="1"/>
  <c r="AS611" i="6"/>
  <c r="AU611" i="6" s="1"/>
  <c r="AN679" i="6"/>
  <c r="AU679" i="6" s="1"/>
  <c r="AT1404" i="6"/>
  <c r="AN1224" i="6"/>
  <c r="AS1190" i="6"/>
  <c r="AN1188" i="6"/>
  <c r="AU574" i="6"/>
  <c r="AS1550" i="6"/>
  <c r="AN1615" i="6"/>
  <c r="AU1615" i="6" s="1"/>
  <c r="AS575" i="6"/>
  <c r="AS35" i="6"/>
  <c r="AU35" i="6" s="1"/>
  <c r="AN1075" i="6"/>
  <c r="AU1075" i="6" s="1"/>
  <c r="AS1043" i="6"/>
  <c r="AU1043" i="6" s="1"/>
  <c r="AU1006" i="6"/>
  <c r="AN1579" i="6"/>
  <c r="AU1579" i="6" s="1"/>
  <c r="AS791" i="6"/>
  <c r="AU791" i="6" s="1"/>
  <c r="AN859" i="6"/>
  <c r="AU859" i="6" s="1"/>
  <c r="AS1007" i="6"/>
  <c r="AN714" i="6"/>
  <c r="AU714" i="6" s="1"/>
  <c r="AN498" i="6"/>
  <c r="AU498" i="6" s="1"/>
  <c r="AN1434" i="6"/>
  <c r="AU1434" i="6" s="1"/>
  <c r="AN360" i="6"/>
  <c r="AN1337" i="6"/>
  <c r="AN473" i="6"/>
  <c r="AU1222" i="6"/>
  <c r="AN937" i="6"/>
  <c r="AN613" i="6"/>
  <c r="AN792" i="6"/>
  <c r="AQ576" i="6"/>
  <c r="AR576" i="6"/>
  <c r="BA1154" i="6"/>
  <c r="Q1155" i="6" s="1"/>
  <c r="AM68" i="6"/>
  <c r="AL68" i="6"/>
  <c r="BD685" i="6"/>
  <c r="T686" i="6" s="1"/>
  <c r="AP685" i="6"/>
  <c r="BD145" i="6"/>
  <c r="T146" i="6" s="1"/>
  <c r="AP145" i="6"/>
  <c r="AQ648" i="6"/>
  <c r="AR648" i="6"/>
  <c r="BD649" i="6"/>
  <c r="T650" i="6" s="1"/>
  <c r="AP649" i="6"/>
  <c r="BD1477" i="6"/>
  <c r="T1478" i="6" s="1"/>
  <c r="AP1477" i="6"/>
  <c r="AT792" i="6"/>
  <c r="BE792" i="6"/>
  <c r="U793" i="6" s="1"/>
  <c r="AT1548" i="6"/>
  <c r="AU1548" i="6" s="1"/>
  <c r="BE1548" i="6"/>
  <c r="U1549" i="6" s="1"/>
  <c r="BD1370" i="6"/>
  <c r="T1371" i="6" s="1"/>
  <c r="AP1370" i="6"/>
  <c r="AT1223" i="6"/>
  <c r="BE1223" i="6"/>
  <c r="U1224" i="6" s="1"/>
  <c r="BO1405" i="6"/>
  <c r="BN1406" i="6" s="1"/>
  <c r="AK1405" i="6"/>
  <c r="AM1405" i="6" s="1"/>
  <c r="AN1405" i="6" s="1"/>
  <c r="AZ1436" i="6"/>
  <c r="P1437" i="6" s="1"/>
  <c r="AK1436" i="6"/>
  <c r="AR1436" i="6" s="1"/>
  <c r="AS1436" i="6" s="1"/>
  <c r="AG1436" i="6"/>
  <c r="BA1551" i="6"/>
  <c r="Q1552" i="6" s="1"/>
  <c r="AG1551" i="6"/>
  <c r="BA688" i="6"/>
  <c r="Q689" i="6" s="1"/>
  <c r="AS395" i="6"/>
  <c r="AU395" i="6" s="1"/>
  <c r="AL1256" i="6"/>
  <c r="AM1256" i="6"/>
  <c r="AT936" i="6"/>
  <c r="BE936" i="6"/>
  <c r="U937" i="6" s="1"/>
  <c r="AN1010" i="6"/>
  <c r="AM499" i="6"/>
  <c r="AL499" i="6"/>
  <c r="BA1300" i="6"/>
  <c r="Q1301" i="6" s="1"/>
  <c r="AG1300" i="6"/>
  <c r="AS975" i="6"/>
  <c r="AM320" i="6"/>
  <c r="AL320" i="6"/>
  <c r="BA362" i="6"/>
  <c r="Q363" i="6" s="1"/>
  <c r="AG362" i="6"/>
  <c r="AN1298" i="6"/>
  <c r="BD977" i="6"/>
  <c r="AP977" i="6"/>
  <c r="AN1116" i="6"/>
  <c r="AZ1472" i="6"/>
  <c r="P1473" i="6" s="1"/>
  <c r="AK1472" i="6"/>
  <c r="AR1472" i="6" s="1"/>
  <c r="AS1472" i="6" s="1"/>
  <c r="AG1472" i="6"/>
  <c r="AQ1078" i="6"/>
  <c r="BE469" i="6"/>
  <c r="U470" i="6" s="1"/>
  <c r="AT469" i="6"/>
  <c r="AM752" i="6"/>
  <c r="AL752" i="6"/>
  <c r="BD1079" i="6"/>
  <c r="T1080" i="6" s="1"/>
  <c r="AP1079" i="6"/>
  <c r="AZ1508" i="6"/>
  <c r="P1509" i="6" s="1"/>
  <c r="AK1508" i="6"/>
  <c r="AR1508" i="6" s="1"/>
  <c r="AS1508" i="6" s="1"/>
  <c r="AG1508" i="6"/>
  <c r="BA1048" i="6"/>
  <c r="Q1049" i="6" s="1"/>
  <c r="AG1048" i="6"/>
  <c r="AS1295" i="6"/>
  <c r="AU1295" i="6" s="1"/>
  <c r="BD613" i="6"/>
  <c r="T614" i="6" s="1"/>
  <c r="AP613" i="6"/>
  <c r="AM715" i="6"/>
  <c r="AL715" i="6"/>
  <c r="AN715" i="6" s="1"/>
  <c r="AU715" i="6" s="1"/>
  <c r="BD577" i="6"/>
  <c r="T578" i="6" s="1"/>
  <c r="AP577" i="6"/>
  <c r="BD1441" i="6"/>
  <c r="T1442" i="6" s="1"/>
  <c r="AP1441" i="6"/>
  <c r="BA615" i="6"/>
  <c r="Q616" i="6" s="1"/>
  <c r="AG615" i="6"/>
  <c r="BE1439" i="6"/>
  <c r="U1440" i="6" s="1"/>
  <c r="AT1439" i="6"/>
  <c r="AQ684" i="6"/>
  <c r="AZ1257" i="6"/>
  <c r="P1258" i="6" s="1"/>
  <c r="AK1257" i="6"/>
  <c r="AR1257" i="6" s="1"/>
  <c r="AS1257" i="6" s="1"/>
  <c r="AG1257" i="6"/>
  <c r="BD1336" i="6"/>
  <c r="T1337" i="6" s="1"/>
  <c r="AP1336" i="6"/>
  <c r="AQ1152" i="6"/>
  <c r="AR144" i="6"/>
  <c r="AQ144" i="6"/>
  <c r="AQ180" i="6"/>
  <c r="AR180" i="6"/>
  <c r="BD37" i="6"/>
  <c r="T38" i="6" s="1"/>
  <c r="AP37" i="6"/>
  <c r="AT721" i="6"/>
  <c r="BE721" i="6"/>
  <c r="U722" i="6" s="1"/>
  <c r="AZ500" i="6"/>
  <c r="P501" i="6" s="1"/>
  <c r="AK500" i="6"/>
  <c r="AR500" i="6" s="1"/>
  <c r="AS500" i="6" s="1"/>
  <c r="AG500" i="6"/>
  <c r="AQ289" i="6"/>
  <c r="AR289" i="6"/>
  <c r="AZ321" i="6"/>
  <c r="P322" i="6" s="1"/>
  <c r="AK321" i="6"/>
  <c r="AR321" i="6" s="1"/>
  <c r="AS321" i="6" s="1"/>
  <c r="AG321" i="6"/>
  <c r="BD1192" i="6"/>
  <c r="T1193" i="6" s="1"/>
  <c r="AP1192" i="6"/>
  <c r="AS897" i="6"/>
  <c r="AU897" i="6" s="1"/>
  <c r="BD829" i="6"/>
  <c r="T830" i="6" s="1"/>
  <c r="AP829" i="6"/>
  <c r="AR1224" i="6"/>
  <c r="AQ1224" i="6"/>
  <c r="BE540" i="6"/>
  <c r="U541" i="6" s="1"/>
  <c r="BO687" i="6"/>
  <c r="BN688" i="6" s="1"/>
  <c r="BD290" i="6"/>
  <c r="T291" i="6" s="1"/>
  <c r="AP290" i="6"/>
  <c r="AQ1620" i="6"/>
  <c r="AL829" i="6"/>
  <c r="AM829" i="6"/>
  <c r="BA1659" i="6"/>
  <c r="Q1660" i="6" s="1"/>
  <c r="AS467" i="6"/>
  <c r="AU467" i="6" s="1"/>
  <c r="AQ505" i="6"/>
  <c r="AM1368" i="6"/>
  <c r="AL1368" i="6"/>
  <c r="BD1552" i="6"/>
  <c r="T1553" i="6" s="1"/>
  <c r="AP1552" i="6"/>
  <c r="BD543" i="6"/>
  <c r="T544" i="6" s="1"/>
  <c r="AP543" i="6"/>
  <c r="AQ1044" i="6"/>
  <c r="AR1044" i="6"/>
  <c r="AL579" i="6"/>
  <c r="AM579" i="6"/>
  <c r="AM1616" i="6"/>
  <c r="AL1616" i="6"/>
  <c r="BE1044" i="6"/>
  <c r="U1045" i="6" s="1"/>
  <c r="AT1044" i="6"/>
  <c r="AN578" i="6"/>
  <c r="AZ1653" i="6"/>
  <c r="P1654" i="6" s="1"/>
  <c r="AG1653" i="6"/>
  <c r="AK1653" i="6"/>
  <c r="AR1653" i="6" s="1"/>
  <c r="AS1653" i="6" s="1"/>
  <c r="AZ681" i="6"/>
  <c r="P682" i="6" s="1"/>
  <c r="AG681" i="6"/>
  <c r="AK681" i="6"/>
  <c r="AR681" i="6" s="1"/>
  <c r="AS681" i="6" s="1"/>
  <c r="BD1621" i="6"/>
  <c r="T1622" i="6" s="1"/>
  <c r="AP1621" i="6"/>
  <c r="BE433" i="6"/>
  <c r="U434" i="6" s="1"/>
  <c r="AT433" i="6"/>
  <c r="AM429" i="6"/>
  <c r="AL429" i="6"/>
  <c r="BE180" i="6"/>
  <c r="U181" i="6" s="1"/>
  <c r="AT180" i="6"/>
  <c r="AQ792" i="6"/>
  <c r="AR792" i="6"/>
  <c r="BA830" i="6"/>
  <c r="Q831" i="6" s="1"/>
  <c r="AG830" i="6"/>
  <c r="AQ1585" i="6"/>
  <c r="AM1047" i="6"/>
  <c r="AL1047" i="6"/>
  <c r="AN1047" i="6" s="1"/>
  <c r="AL1409" i="6"/>
  <c r="AR36" i="6"/>
  <c r="AQ36" i="6"/>
  <c r="AR1191" i="6"/>
  <c r="AQ1191" i="6"/>
  <c r="AM41" i="6"/>
  <c r="AL41" i="6"/>
  <c r="BD1153" i="6"/>
  <c r="T1154" i="6" s="1"/>
  <c r="AP1153" i="6"/>
  <c r="AL1652" i="6"/>
  <c r="AM1652" i="6"/>
  <c r="BE684" i="6"/>
  <c r="U685" i="6" s="1"/>
  <c r="BE216" i="6"/>
  <c r="U217" i="6" s="1"/>
  <c r="BD1225" i="6"/>
  <c r="T1226" i="6" s="1"/>
  <c r="AP1225" i="6"/>
  <c r="AZ753" i="6"/>
  <c r="P754" i="6" s="1"/>
  <c r="AK753" i="6"/>
  <c r="AR753" i="6" s="1"/>
  <c r="AS753" i="6" s="1"/>
  <c r="AG753" i="6"/>
  <c r="BO976" i="6"/>
  <c r="BN977" i="6" s="1"/>
  <c r="AK976" i="6"/>
  <c r="AM976" i="6" s="1"/>
  <c r="AN976" i="6" s="1"/>
  <c r="AN1506" i="6"/>
  <c r="AU1506" i="6" s="1"/>
  <c r="BE144" i="6"/>
  <c r="U145" i="6" s="1"/>
  <c r="AT144" i="6"/>
  <c r="AZ716" i="6"/>
  <c r="P717" i="6" s="1"/>
  <c r="AK716" i="6"/>
  <c r="AR716" i="6" s="1"/>
  <c r="AS716" i="6" s="1"/>
  <c r="AG716" i="6"/>
  <c r="AT1187" i="6"/>
  <c r="AU1187" i="6" s="1"/>
  <c r="BE1187" i="6"/>
  <c r="U1188" i="6" s="1"/>
  <c r="BA1082" i="6"/>
  <c r="Q1083" i="6" s="1"/>
  <c r="AN828" i="6"/>
  <c r="AT828" i="6"/>
  <c r="AZ1149" i="6"/>
  <c r="P1150" i="6" s="1"/>
  <c r="AK1149" i="6"/>
  <c r="AR1149" i="6" s="1"/>
  <c r="AS1149" i="6" s="1"/>
  <c r="AG1149" i="6"/>
  <c r="BD506" i="6"/>
  <c r="T507" i="6" s="1"/>
  <c r="AP506" i="6"/>
  <c r="BA1369" i="6"/>
  <c r="Q1370" i="6" s="1"/>
  <c r="AG1369" i="6"/>
  <c r="BE108" i="6"/>
  <c r="U109" i="6" s="1"/>
  <c r="AS935" i="6"/>
  <c r="AU935" i="6" s="1"/>
  <c r="BD1045" i="6"/>
  <c r="T1046" i="6" s="1"/>
  <c r="AP1045" i="6"/>
  <c r="BA580" i="6"/>
  <c r="Q581" i="6" s="1"/>
  <c r="AG580" i="6"/>
  <c r="AZ1617" i="6"/>
  <c r="P1618" i="6" s="1"/>
  <c r="AG1617" i="6"/>
  <c r="AK1617" i="6"/>
  <c r="AR1617" i="6" s="1"/>
  <c r="AS1617" i="6" s="1"/>
  <c r="AR1116" i="6"/>
  <c r="AQ1116" i="6"/>
  <c r="AS251" i="6"/>
  <c r="AU251" i="6" s="1"/>
  <c r="AQ432" i="6"/>
  <c r="AS1115" i="6"/>
  <c r="AU1115" i="6" s="1"/>
  <c r="BE1583" i="6"/>
  <c r="U1584" i="6" s="1"/>
  <c r="AT1583" i="6"/>
  <c r="AQ898" i="6"/>
  <c r="AR898" i="6"/>
  <c r="AS288" i="6"/>
  <c r="AZ430" i="6"/>
  <c r="P431" i="6" s="1"/>
  <c r="AG430" i="6"/>
  <c r="AK430" i="6"/>
  <c r="AR430" i="6" s="1"/>
  <c r="AS430" i="6" s="1"/>
  <c r="BD793" i="6"/>
  <c r="T794" i="6" s="1"/>
  <c r="AP793" i="6"/>
  <c r="AN649" i="6"/>
  <c r="BE1007" i="6"/>
  <c r="U1008" i="6" s="1"/>
  <c r="AT1007" i="6"/>
  <c r="BD1586" i="6"/>
  <c r="T1587" i="6" s="1"/>
  <c r="AP1586" i="6"/>
  <c r="AR612" i="6"/>
  <c r="AQ612" i="6"/>
  <c r="BE1152" i="6"/>
  <c r="U1153" i="6" s="1"/>
  <c r="AT397" i="6"/>
  <c r="BE397" i="6"/>
  <c r="U398" i="6" s="1"/>
  <c r="BE1260" i="6"/>
  <c r="U1261" i="6" s="1"/>
  <c r="AM1076" i="6"/>
  <c r="AL1076" i="6"/>
  <c r="AR468" i="6"/>
  <c r="AQ468" i="6"/>
  <c r="AT899" i="6"/>
  <c r="BE899" i="6"/>
  <c r="U900" i="6" s="1"/>
  <c r="AT1296" i="6"/>
  <c r="BE1296" i="6"/>
  <c r="U1297" i="6" s="1"/>
  <c r="BA110" i="6"/>
  <c r="Q111" i="6" s="1"/>
  <c r="AL213" i="6"/>
  <c r="AM213" i="6"/>
  <c r="BD1117" i="6"/>
  <c r="T1118" i="6" s="1"/>
  <c r="AP1117" i="6"/>
  <c r="BD433" i="6"/>
  <c r="T434" i="6" s="1"/>
  <c r="AP433" i="6"/>
  <c r="BE1475" i="6"/>
  <c r="U1476" i="6" s="1"/>
  <c r="AT1475" i="6"/>
  <c r="AM860" i="6"/>
  <c r="AL860" i="6"/>
  <c r="BD899" i="6"/>
  <c r="T900" i="6" s="1"/>
  <c r="AP899" i="6"/>
  <c r="BE614" i="6"/>
  <c r="U615" i="6" s="1"/>
  <c r="AT614" i="6"/>
  <c r="AM793" i="6"/>
  <c r="AL793" i="6"/>
  <c r="BE648" i="6"/>
  <c r="U649" i="6" s="1"/>
  <c r="AT648" i="6"/>
  <c r="BE252" i="6"/>
  <c r="U253" i="6" s="1"/>
  <c r="AT252" i="6"/>
  <c r="AZ69" i="6"/>
  <c r="P70" i="6" s="1"/>
  <c r="AK69" i="6"/>
  <c r="AR69" i="6" s="1"/>
  <c r="AS69" i="6" s="1"/>
  <c r="AG69" i="6"/>
  <c r="AN212" i="6"/>
  <c r="AT212" i="6"/>
  <c r="BE1080" i="6"/>
  <c r="U1081" i="6" s="1"/>
  <c r="BD469" i="6"/>
  <c r="T470" i="6" s="1"/>
  <c r="AP469" i="6"/>
  <c r="AN40" i="6"/>
  <c r="BA1479" i="6"/>
  <c r="Q1480" i="6" s="1"/>
  <c r="AM1580" i="6"/>
  <c r="AL1580" i="6"/>
  <c r="AN1549" i="6"/>
  <c r="AT575" i="6"/>
  <c r="AU575" i="6" s="1"/>
  <c r="BE575" i="6"/>
  <c r="U576" i="6" s="1"/>
  <c r="BA759" i="6"/>
  <c r="Q760" i="6" s="1"/>
  <c r="AZ214" i="6"/>
  <c r="P215" i="6" s="1"/>
  <c r="AG214" i="6"/>
  <c r="AK214" i="6"/>
  <c r="AR214" i="6" s="1"/>
  <c r="AS214" i="6" s="1"/>
  <c r="AN1367" i="6"/>
  <c r="AU1367" i="6" s="1"/>
  <c r="AN428" i="6"/>
  <c r="AT428" i="6"/>
  <c r="AT863" i="6"/>
  <c r="BE863" i="6"/>
  <c r="U864" i="6" s="1"/>
  <c r="BE288" i="6"/>
  <c r="U289" i="6" s="1"/>
  <c r="AT288" i="6"/>
  <c r="AT1619" i="6"/>
  <c r="BE1619" i="6"/>
  <c r="U1620" i="6" s="1"/>
  <c r="AM1189" i="6"/>
  <c r="AL1189" i="6"/>
  <c r="AQ327" i="6"/>
  <c r="BO255" i="6"/>
  <c r="BN256" i="6" s="1"/>
  <c r="AK255" i="6"/>
  <c r="AM255" i="6" s="1"/>
  <c r="AN255" i="6" s="1"/>
  <c r="AN535" i="6"/>
  <c r="AU535" i="6" s="1"/>
  <c r="AQ1657" i="6"/>
  <c r="BA794" i="6"/>
  <c r="Q795" i="6" s="1"/>
  <c r="AG794" i="6"/>
  <c r="AS359" i="6"/>
  <c r="AU359" i="6" s="1"/>
  <c r="AQ1440" i="6"/>
  <c r="BA1443" i="6"/>
  <c r="Q1444" i="6" s="1"/>
  <c r="BE324" i="6"/>
  <c r="U325" i="6" s="1"/>
  <c r="AN67" i="6"/>
  <c r="AU67" i="6" s="1"/>
  <c r="AQ1476" i="6"/>
  <c r="AQ721" i="6"/>
  <c r="AN1046" i="6"/>
  <c r="BE1512" i="6"/>
  <c r="U1513" i="6" s="1"/>
  <c r="AZ1077" i="6"/>
  <c r="P1078" i="6" s="1"/>
  <c r="AK1077" i="6"/>
  <c r="AR1077" i="6" s="1"/>
  <c r="AS1077" i="6" s="1"/>
  <c r="AG1077" i="6"/>
  <c r="AN1147" i="6"/>
  <c r="AU1147" i="6" s="1"/>
  <c r="AR936" i="6"/>
  <c r="AQ936" i="6"/>
  <c r="AL1011" i="6"/>
  <c r="AM1011" i="6"/>
  <c r="AZ1581" i="6"/>
  <c r="P1582" i="6" s="1"/>
  <c r="AG1581" i="6"/>
  <c r="AK1581" i="6"/>
  <c r="AR1581" i="6" s="1"/>
  <c r="AS1581" i="6" s="1"/>
  <c r="AM938" i="6"/>
  <c r="AL938" i="6"/>
  <c r="AN1470" i="6"/>
  <c r="AU1470" i="6" s="1"/>
  <c r="AR252" i="6"/>
  <c r="AQ252" i="6"/>
  <c r="AL104" i="6"/>
  <c r="AM104" i="6"/>
  <c r="AN1255" i="6"/>
  <c r="AU1255" i="6" s="1"/>
  <c r="AZ861" i="6"/>
  <c r="P862" i="6" s="1"/>
  <c r="AK861" i="6"/>
  <c r="AR861" i="6" s="1"/>
  <c r="AS861" i="6" s="1"/>
  <c r="AG861" i="6"/>
  <c r="AL536" i="6"/>
  <c r="AM536" i="6"/>
  <c r="BA1190" i="6"/>
  <c r="Q1191" i="6" s="1"/>
  <c r="AG1190" i="6"/>
  <c r="BD328" i="6"/>
  <c r="T329" i="6" s="1"/>
  <c r="AP328" i="6"/>
  <c r="AN751" i="6"/>
  <c r="AU751" i="6" s="1"/>
  <c r="BD1658" i="6"/>
  <c r="T1659" i="6" s="1"/>
  <c r="AP1658" i="6"/>
  <c r="AR1404" i="6"/>
  <c r="AQ1404" i="6"/>
  <c r="AQ758" i="6"/>
  <c r="AM614" i="6"/>
  <c r="AL614" i="6"/>
  <c r="AM1299" i="6"/>
  <c r="AL1299" i="6"/>
  <c r="AM1148" i="6"/>
  <c r="AL1148" i="6"/>
  <c r="AQ1551" i="6"/>
  <c r="AR1551" i="6"/>
  <c r="BA722" i="6"/>
  <c r="Q723" i="6" s="1"/>
  <c r="BE72" i="6"/>
  <c r="U73" i="6" s="1"/>
  <c r="BD722" i="6"/>
  <c r="T723" i="6" s="1"/>
  <c r="AP722" i="6"/>
  <c r="AQ73" i="6"/>
  <c r="AR396" i="6"/>
  <c r="AQ396" i="6"/>
  <c r="BD937" i="6"/>
  <c r="T938" i="6" s="1"/>
  <c r="AP937" i="6"/>
  <c r="BA1012" i="6"/>
  <c r="Q1013" i="6" s="1"/>
  <c r="AG1012" i="6"/>
  <c r="AR1008" i="6"/>
  <c r="AQ1008" i="6"/>
  <c r="BO1659" i="6"/>
  <c r="BN1660" i="6" s="1"/>
  <c r="BA939" i="6"/>
  <c r="Q940" i="6" s="1"/>
  <c r="AG939" i="6"/>
  <c r="BE756" i="6"/>
  <c r="U757" i="6" s="1"/>
  <c r="BD253" i="6"/>
  <c r="T254" i="6" s="1"/>
  <c r="AP253" i="6"/>
  <c r="AL905" i="6"/>
  <c r="AM905" i="6"/>
  <c r="AZ537" i="6"/>
  <c r="P538" i="6" s="1"/>
  <c r="AG537" i="6"/>
  <c r="AK537" i="6"/>
  <c r="AR537" i="6" s="1"/>
  <c r="AS537" i="6" s="1"/>
  <c r="AN103" i="6"/>
  <c r="AU103" i="6" s="1"/>
  <c r="AQ1512" i="6"/>
  <c r="AM149" i="6"/>
  <c r="AL149" i="6"/>
  <c r="BD1405" i="6"/>
  <c r="T1406" i="6" s="1"/>
  <c r="AP1405" i="6"/>
  <c r="BD759" i="6"/>
  <c r="T760" i="6" s="1"/>
  <c r="AP759" i="6"/>
  <c r="AR828" i="6"/>
  <c r="AQ828" i="6"/>
  <c r="BA1514" i="6"/>
  <c r="Q1515" i="6" s="1"/>
  <c r="BD181" i="6"/>
  <c r="T182" i="6" s="1"/>
  <c r="AP181" i="6"/>
  <c r="AT505" i="6"/>
  <c r="BE505" i="6"/>
  <c r="U506" i="6" s="1"/>
  <c r="AM650" i="6"/>
  <c r="AL650" i="6"/>
  <c r="AZ105" i="6"/>
  <c r="P106" i="6" s="1"/>
  <c r="AK105" i="6"/>
  <c r="AR105" i="6" s="1"/>
  <c r="AS105" i="6" s="1"/>
  <c r="AG105" i="6"/>
  <c r="BE973" i="6"/>
  <c r="U974" i="6" s="1"/>
  <c r="AT973" i="6"/>
  <c r="AU973" i="6" s="1"/>
  <c r="AR360" i="6"/>
  <c r="AQ360" i="6"/>
  <c r="AQ1296" i="6"/>
  <c r="AR1296" i="6"/>
  <c r="AQ216" i="6"/>
  <c r="AT36" i="6"/>
  <c r="BE36" i="6"/>
  <c r="U37" i="6" s="1"/>
  <c r="AP1513" i="6"/>
  <c r="BD1513" i="6"/>
  <c r="T1514" i="6" s="1"/>
  <c r="AL1117" i="6"/>
  <c r="AM1117" i="6"/>
  <c r="BA1262" i="6"/>
  <c r="Q1263" i="6" s="1"/>
  <c r="AM1225" i="6"/>
  <c r="AL1225" i="6"/>
  <c r="AM1471" i="6"/>
  <c r="AL1471" i="6"/>
  <c r="AN1471" i="6" s="1"/>
  <c r="AU1471" i="6" s="1"/>
  <c r="AQ864" i="6"/>
  <c r="BE1116" i="6"/>
  <c r="U1117" i="6" s="1"/>
  <c r="AT1116" i="6"/>
  <c r="AR1335" i="6"/>
  <c r="AQ1335" i="6"/>
  <c r="AQ542" i="6"/>
  <c r="AM680" i="6"/>
  <c r="AL680" i="6"/>
  <c r="BD74" i="6"/>
  <c r="T75" i="6" s="1"/>
  <c r="AP74" i="6"/>
  <c r="AQ108" i="6"/>
  <c r="AM1435" i="6"/>
  <c r="AL1435" i="6"/>
  <c r="BD397" i="6"/>
  <c r="T398" i="6" s="1"/>
  <c r="AP397" i="6"/>
  <c r="BD1009" i="6"/>
  <c r="T1010" i="6" s="1"/>
  <c r="AP1009" i="6"/>
  <c r="BE1405" i="6"/>
  <c r="U1406" i="6" s="1"/>
  <c r="AT1405" i="6"/>
  <c r="BO291" i="6"/>
  <c r="BN292" i="6" s="1"/>
  <c r="AK291" i="6"/>
  <c r="AM291" i="6" s="1"/>
  <c r="AN291" i="6" s="1"/>
  <c r="AT360" i="6"/>
  <c r="BE360" i="6"/>
  <c r="U361" i="6" s="1"/>
  <c r="AR1369" i="6"/>
  <c r="AQ1369" i="6"/>
  <c r="AP109" i="6"/>
  <c r="BD109" i="6"/>
  <c r="T110" i="6" s="1"/>
  <c r="BE1656" i="6"/>
  <c r="U1657" i="6" s="1"/>
  <c r="BE1368" i="6"/>
  <c r="U1369" i="6" s="1"/>
  <c r="BO218" i="6"/>
  <c r="BN219" i="6" s="1"/>
  <c r="AM1550" i="6"/>
  <c r="AL1550" i="6"/>
  <c r="BA651" i="6"/>
  <c r="Q652" i="6" s="1"/>
  <c r="AG651" i="6"/>
  <c r="BA75" i="6"/>
  <c r="Q76" i="6" s="1"/>
  <c r="AT1332" i="6"/>
  <c r="AU1332" i="6" s="1"/>
  <c r="BE1332" i="6"/>
  <c r="U1333" i="6" s="1"/>
  <c r="AS1223" i="6"/>
  <c r="AS1334" i="6"/>
  <c r="AS1403" i="6"/>
  <c r="AU1403" i="6" s="1"/>
  <c r="BE830" i="6"/>
  <c r="U831" i="6" s="1"/>
  <c r="AT830" i="6"/>
  <c r="BD361" i="6"/>
  <c r="T362" i="6" s="1"/>
  <c r="AP361" i="6"/>
  <c r="BD1297" i="6"/>
  <c r="T1298" i="6" s="1"/>
  <c r="AP1297" i="6"/>
  <c r="BD217" i="6"/>
  <c r="T218" i="6" s="1"/>
  <c r="AP217" i="6"/>
  <c r="AM361" i="6"/>
  <c r="AL361" i="6"/>
  <c r="BA1118" i="6"/>
  <c r="Q1119" i="6" s="1"/>
  <c r="AG1118" i="6"/>
  <c r="AR976" i="6"/>
  <c r="AQ976" i="6"/>
  <c r="AS827" i="6"/>
  <c r="AU827" i="6" s="1"/>
  <c r="BA1226" i="6"/>
  <c r="Q1227" i="6" s="1"/>
  <c r="AG1226" i="6"/>
  <c r="BD865" i="6"/>
  <c r="T866" i="6" s="1"/>
  <c r="AP865" i="6"/>
  <c r="AM1507" i="6"/>
  <c r="AL1507" i="6"/>
  <c r="AN213" i="6" l="1"/>
  <c r="AU213" i="6" s="1"/>
  <c r="AT1368" i="6"/>
  <c r="AN1299" i="6"/>
  <c r="AS180" i="6"/>
  <c r="AN579" i="6"/>
  <c r="AU1007" i="6"/>
  <c r="AN1507" i="6"/>
  <c r="AU1507" i="6" s="1"/>
  <c r="AN361" i="6"/>
  <c r="AS468" i="6"/>
  <c r="AU468" i="6" s="1"/>
  <c r="AS648" i="6"/>
  <c r="AU648" i="6" s="1"/>
  <c r="AS360" i="6"/>
  <c r="AU360" i="6" s="1"/>
  <c r="AS1116" i="6"/>
  <c r="AU1116" i="6" s="1"/>
  <c r="AS976" i="6"/>
  <c r="AS252" i="6"/>
  <c r="AU252" i="6" s="1"/>
  <c r="AS396" i="6"/>
  <c r="AU396" i="6" s="1"/>
  <c r="AN1225" i="6"/>
  <c r="AN793" i="6"/>
  <c r="AN1550" i="6"/>
  <c r="AN1189" i="6"/>
  <c r="AS1224" i="6"/>
  <c r="AN829" i="6"/>
  <c r="AN614" i="6"/>
  <c r="AN938" i="6"/>
  <c r="AN41" i="6"/>
  <c r="AS1044" i="6"/>
  <c r="AU1044" i="6" s="1"/>
  <c r="AU1223" i="6"/>
  <c r="AU428" i="6"/>
  <c r="AM1581" i="6"/>
  <c r="AL1581" i="6"/>
  <c r="AL1118" i="6"/>
  <c r="AM1118" i="6"/>
  <c r="BO219" i="6"/>
  <c r="BN220" i="6" s="1"/>
  <c r="AQ74" i="6"/>
  <c r="BD1514" i="6"/>
  <c r="T1515" i="6" s="1"/>
  <c r="AP1514" i="6"/>
  <c r="AT974" i="6"/>
  <c r="AU974" i="6" s="1"/>
  <c r="BE974" i="6"/>
  <c r="U975" i="6" s="1"/>
  <c r="AQ181" i="6"/>
  <c r="AR181" i="6"/>
  <c r="AP254" i="6"/>
  <c r="BD254" i="6"/>
  <c r="T255" i="6" s="1"/>
  <c r="AQ937" i="6"/>
  <c r="AR937" i="6"/>
  <c r="AS1404" i="6"/>
  <c r="AU1404" i="6" s="1"/>
  <c r="AL861" i="6"/>
  <c r="AM861" i="6"/>
  <c r="BA1444" i="6"/>
  <c r="Q1445" i="6" s="1"/>
  <c r="AM69" i="6"/>
  <c r="AL69" i="6"/>
  <c r="AN1076" i="6"/>
  <c r="AT1076" i="6"/>
  <c r="AL1617" i="6"/>
  <c r="AM1617" i="6"/>
  <c r="AQ506" i="6"/>
  <c r="AT1188" i="6"/>
  <c r="AU1188" i="6" s="1"/>
  <c r="BE1188" i="6"/>
  <c r="U1189" i="6" s="1"/>
  <c r="BD1154" i="6"/>
  <c r="T1155" i="6" s="1"/>
  <c r="AP1154" i="6"/>
  <c r="AQ1621" i="6"/>
  <c r="AT1045" i="6"/>
  <c r="BE1045" i="6"/>
  <c r="U1046" i="6" s="1"/>
  <c r="AL1257" i="6"/>
  <c r="AM1257" i="6"/>
  <c r="BD578" i="6"/>
  <c r="T579" i="6" s="1"/>
  <c r="AP578" i="6"/>
  <c r="AZ1509" i="6"/>
  <c r="P1510" i="6" s="1"/>
  <c r="AK1509" i="6"/>
  <c r="AR1509" i="6" s="1"/>
  <c r="AS1509" i="6" s="1"/>
  <c r="AG1509" i="6"/>
  <c r="AN499" i="6"/>
  <c r="AU499" i="6" s="1"/>
  <c r="BA689" i="6"/>
  <c r="AT1549" i="6"/>
  <c r="AU1549" i="6" s="1"/>
  <c r="BE1549" i="6"/>
  <c r="U1550" i="6" s="1"/>
  <c r="AQ685" i="6"/>
  <c r="AZ1618" i="6"/>
  <c r="P1619" i="6" s="1"/>
  <c r="AK1618" i="6"/>
  <c r="AR1618" i="6" s="1"/>
  <c r="AS1618" i="6" s="1"/>
  <c r="AG1618" i="6"/>
  <c r="AR1192" i="6"/>
  <c r="AQ1192" i="6"/>
  <c r="AS1192" i="6" s="1"/>
  <c r="AR1225" i="6"/>
  <c r="AQ1225" i="6"/>
  <c r="AT793" i="6"/>
  <c r="BE793" i="6"/>
  <c r="U794" i="6" s="1"/>
  <c r="BE1406" i="6"/>
  <c r="U1407" i="6" s="1"/>
  <c r="AT1406" i="6"/>
  <c r="AM939" i="6"/>
  <c r="AL939" i="6"/>
  <c r="AN1148" i="6"/>
  <c r="AT1148" i="6"/>
  <c r="AQ1658" i="6"/>
  <c r="AN860" i="6"/>
  <c r="AT860" i="6"/>
  <c r="BA111" i="6"/>
  <c r="Q112" i="6" s="1"/>
  <c r="BA581" i="6"/>
  <c r="AG581" i="6"/>
  <c r="AM1149" i="6"/>
  <c r="AL1149" i="6"/>
  <c r="BD1226" i="6"/>
  <c r="T1227" i="6" s="1"/>
  <c r="AP1226" i="6"/>
  <c r="AS1191" i="6"/>
  <c r="AL321" i="6"/>
  <c r="AM321" i="6"/>
  <c r="AN752" i="6"/>
  <c r="AT752" i="6"/>
  <c r="AL1436" i="6"/>
  <c r="AM1436" i="6"/>
  <c r="AG1119" i="6"/>
  <c r="BA1119" i="6"/>
  <c r="Q1120" i="6" s="1"/>
  <c r="BD182" i="6"/>
  <c r="T183" i="6" s="1"/>
  <c r="AP182" i="6"/>
  <c r="AR899" i="6"/>
  <c r="AQ899" i="6"/>
  <c r="BD1587" i="6"/>
  <c r="T1588" i="6" s="1"/>
  <c r="AP1587" i="6"/>
  <c r="BA831" i="6"/>
  <c r="Q832" i="6" s="1"/>
  <c r="AG831" i="6"/>
  <c r="AT541" i="6"/>
  <c r="BE541" i="6"/>
  <c r="U542" i="6" s="1"/>
  <c r="AZ106" i="6"/>
  <c r="P107" i="6" s="1"/>
  <c r="AK106" i="6"/>
  <c r="AR106" i="6" s="1"/>
  <c r="AS106" i="6" s="1"/>
  <c r="AG106" i="6"/>
  <c r="AQ865" i="6"/>
  <c r="AQ217" i="6"/>
  <c r="AT1657" i="6"/>
  <c r="BE1657" i="6"/>
  <c r="U1658" i="6" s="1"/>
  <c r="AR1009" i="6"/>
  <c r="AQ1009" i="6"/>
  <c r="AS828" i="6"/>
  <c r="AU828" i="6" s="1"/>
  <c r="BA940" i="6"/>
  <c r="Q941" i="6" s="1"/>
  <c r="AG940" i="6"/>
  <c r="BD1659" i="6"/>
  <c r="T1660" i="6" s="1"/>
  <c r="AP1659" i="6"/>
  <c r="AN1011" i="6"/>
  <c r="AM794" i="6"/>
  <c r="AL794" i="6"/>
  <c r="BE1620" i="6"/>
  <c r="U1621" i="6" s="1"/>
  <c r="BA1480" i="6"/>
  <c r="Q1481" i="6" s="1"/>
  <c r="AT253" i="6"/>
  <c r="BE253" i="6"/>
  <c r="U254" i="6" s="1"/>
  <c r="AT1297" i="6"/>
  <c r="BE1297" i="6"/>
  <c r="U1298" i="6" s="1"/>
  <c r="BE1008" i="6"/>
  <c r="U1009" i="6" s="1"/>
  <c r="AT1008" i="6"/>
  <c r="BE1584" i="6"/>
  <c r="U1585" i="6" s="1"/>
  <c r="AR1045" i="6"/>
  <c r="AQ1045" i="6"/>
  <c r="AZ717" i="6"/>
  <c r="P718" i="6" s="1"/>
  <c r="AK717" i="6"/>
  <c r="AR717" i="6" s="1"/>
  <c r="AS717" i="6" s="1"/>
  <c r="AG717" i="6"/>
  <c r="AL681" i="6"/>
  <c r="AM681" i="6"/>
  <c r="AU180" i="6"/>
  <c r="AR613" i="6"/>
  <c r="AQ613" i="6"/>
  <c r="AQ1477" i="6"/>
  <c r="AQ1586" i="6"/>
  <c r="AL1551" i="6"/>
  <c r="AM1551" i="6"/>
  <c r="AQ977" i="6"/>
  <c r="BD866" i="6"/>
  <c r="T867" i="6" s="1"/>
  <c r="AP866" i="6"/>
  <c r="BD218" i="6"/>
  <c r="T219" i="6" s="1"/>
  <c r="AP218" i="6"/>
  <c r="BA76" i="6"/>
  <c r="Q77" i="6" s="1"/>
  <c r="BD110" i="6"/>
  <c r="T111" i="6" s="1"/>
  <c r="AP110" i="6"/>
  <c r="BD1010" i="6"/>
  <c r="T1011" i="6" s="1"/>
  <c r="AP1010" i="6"/>
  <c r="AL537" i="6"/>
  <c r="AM537" i="6"/>
  <c r="AS936" i="6"/>
  <c r="AU936" i="6" s="1"/>
  <c r="BA795" i="6"/>
  <c r="Q796" i="6" s="1"/>
  <c r="AG795" i="6"/>
  <c r="AM214" i="6"/>
  <c r="AL214" i="6"/>
  <c r="AT1261" i="6"/>
  <c r="BE1261" i="6"/>
  <c r="U1262" i="6" s="1"/>
  <c r="BD1046" i="6"/>
  <c r="T1047" i="6" s="1"/>
  <c r="AP1046" i="6"/>
  <c r="AZ1150" i="6"/>
  <c r="P1151" i="6" s="1"/>
  <c r="AK1150" i="6"/>
  <c r="AR1150" i="6" s="1"/>
  <c r="AS1150" i="6" s="1"/>
  <c r="AG1150" i="6"/>
  <c r="BE217" i="6"/>
  <c r="U218" i="6" s="1"/>
  <c r="AT217" i="6"/>
  <c r="AS36" i="6"/>
  <c r="AU36" i="6" s="1"/>
  <c r="AS792" i="6"/>
  <c r="AU792" i="6" s="1"/>
  <c r="AZ682" i="6"/>
  <c r="P683" i="6" s="1"/>
  <c r="AG682" i="6"/>
  <c r="AK682" i="6"/>
  <c r="AR682" i="6" s="1"/>
  <c r="AS682" i="6" s="1"/>
  <c r="BA1660" i="6"/>
  <c r="Q1661" i="6" s="1"/>
  <c r="AZ322" i="6"/>
  <c r="P323" i="6" s="1"/>
  <c r="AK322" i="6"/>
  <c r="AR322" i="6" s="1"/>
  <c r="AS322" i="6" s="1"/>
  <c r="AG322" i="6"/>
  <c r="AS144" i="6"/>
  <c r="AU144" i="6" s="1"/>
  <c r="BD614" i="6"/>
  <c r="T615" i="6" s="1"/>
  <c r="AP614" i="6"/>
  <c r="AM362" i="6"/>
  <c r="AL362" i="6"/>
  <c r="AZ1437" i="6"/>
  <c r="P1438" i="6" s="1"/>
  <c r="AK1437" i="6"/>
  <c r="AR1437" i="6" s="1"/>
  <c r="AS1437" i="6" s="1"/>
  <c r="AG1437" i="6"/>
  <c r="BD1478" i="6"/>
  <c r="T1479" i="6" s="1"/>
  <c r="AP1478" i="6"/>
  <c r="BA1155" i="6"/>
  <c r="Q1156" i="6" s="1"/>
  <c r="BD938" i="6"/>
  <c r="T939" i="6" s="1"/>
  <c r="AP938" i="6"/>
  <c r="AN1580" i="6"/>
  <c r="AT1580" i="6"/>
  <c r="AQ1079" i="6"/>
  <c r="AT757" i="6"/>
  <c r="BE757" i="6"/>
  <c r="U758" i="6" s="1"/>
  <c r="AM716" i="6"/>
  <c r="AL716" i="6"/>
  <c r="BD1193" i="6"/>
  <c r="AP1193" i="6"/>
  <c r="BA1552" i="6"/>
  <c r="Q1553" i="6" s="1"/>
  <c r="AG1552" i="6"/>
  <c r="AT1333" i="6"/>
  <c r="AU1333" i="6" s="1"/>
  <c r="BE1333" i="6"/>
  <c r="U1334" i="6" s="1"/>
  <c r="AN680" i="6"/>
  <c r="AT680" i="6"/>
  <c r="BA1515" i="6"/>
  <c r="Q1516" i="6" s="1"/>
  <c r="AQ1297" i="6"/>
  <c r="AR1297" i="6"/>
  <c r="AQ109" i="6"/>
  <c r="AR397" i="6"/>
  <c r="AQ397" i="6"/>
  <c r="AN650" i="6"/>
  <c r="AQ759" i="6"/>
  <c r="AZ538" i="6"/>
  <c r="P539" i="6" s="1"/>
  <c r="AG538" i="6"/>
  <c r="AK538" i="6"/>
  <c r="AR538" i="6" s="1"/>
  <c r="AS538" i="6" s="1"/>
  <c r="AQ722" i="6"/>
  <c r="AQ328" i="6"/>
  <c r="AN104" i="6"/>
  <c r="AT104" i="6"/>
  <c r="AZ215" i="6"/>
  <c r="P216" i="6" s="1"/>
  <c r="AG215" i="6"/>
  <c r="AK215" i="6"/>
  <c r="AR215" i="6" s="1"/>
  <c r="AS215" i="6" s="1"/>
  <c r="AR469" i="6"/>
  <c r="AQ469" i="6"/>
  <c r="AT649" i="6"/>
  <c r="BE649" i="6"/>
  <c r="U650" i="6" s="1"/>
  <c r="BE1476" i="6"/>
  <c r="U1477" i="6" s="1"/>
  <c r="AT398" i="6"/>
  <c r="BE398" i="6"/>
  <c r="U399" i="6" s="1"/>
  <c r="AR793" i="6"/>
  <c r="AQ793" i="6"/>
  <c r="AT145" i="6"/>
  <c r="BE145" i="6"/>
  <c r="U146" i="6" s="1"/>
  <c r="BE685" i="6"/>
  <c r="U686" i="6" s="1"/>
  <c r="AT685" i="6"/>
  <c r="BE1440" i="6"/>
  <c r="U1441" i="6" s="1"/>
  <c r="AT470" i="6"/>
  <c r="BE470" i="6"/>
  <c r="U471" i="6" s="1"/>
  <c r="BA363" i="6"/>
  <c r="Q364" i="6" s="1"/>
  <c r="AG363" i="6"/>
  <c r="BE937" i="6"/>
  <c r="U938" i="6" s="1"/>
  <c r="AT937" i="6"/>
  <c r="AR649" i="6"/>
  <c r="AQ649" i="6"/>
  <c r="BD75" i="6"/>
  <c r="T76" i="6" s="1"/>
  <c r="AP75" i="6"/>
  <c r="BD507" i="6"/>
  <c r="T508" i="6" s="1"/>
  <c r="AP507" i="6"/>
  <c r="AP1622" i="6"/>
  <c r="BD1622" i="6"/>
  <c r="T1623" i="6" s="1"/>
  <c r="AZ862" i="6"/>
  <c r="P863" i="6" s="1"/>
  <c r="AK862" i="6"/>
  <c r="AR862" i="6" s="1"/>
  <c r="AS862" i="6" s="1"/>
  <c r="AG862" i="6"/>
  <c r="BD900" i="6"/>
  <c r="T901" i="6" s="1"/>
  <c r="AP900" i="6"/>
  <c r="AN68" i="6"/>
  <c r="AT68" i="6"/>
  <c r="AM651" i="6"/>
  <c r="AL651" i="6"/>
  <c r="BD398" i="6"/>
  <c r="T399" i="6" s="1"/>
  <c r="AP398" i="6"/>
  <c r="BO1660" i="6"/>
  <c r="BN1661" i="6" s="1"/>
  <c r="BD723" i="6"/>
  <c r="T724" i="6" s="1"/>
  <c r="AP723" i="6"/>
  <c r="BD329" i="6"/>
  <c r="AP329" i="6"/>
  <c r="AT289" i="6"/>
  <c r="BE289" i="6"/>
  <c r="U290" i="6" s="1"/>
  <c r="BD470" i="6"/>
  <c r="T471" i="6" s="1"/>
  <c r="AP470" i="6"/>
  <c r="AQ433" i="6"/>
  <c r="AT900" i="6"/>
  <c r="BE900" i="6"/>
  <c r="U901" i="6" s="1"/>
  <c r="BD794" i="6"/>
  <c r="T795" i="6" s="1"/>
  <c r="AP794" i="6"/>
  <c r="AT181" i="6"/>
  <c r="BE181" i="6"/>
  <c r="U182" i="6" s="1"/>
  <c r="AQ543" i="6"/>
  <c r="AS289" i="6"/>
  <c r="AU289" i="6" s="1"/>
  <c r="AL615" i="6"/>
  <c r="AM615" i="6"/>
  <c r="AN320" i="6"/>
  <c r="AT320" i="6"/>
  <c r="BO1406" i="6"/>
  <c r="BN1407" i="6" s="1"/>
  <c r="AK1406" i="6"/>
  <c r="AM1406" i="6" s="1"/>
  <c r="AN1406" i="6" s="1"/>
  <c r="BD650" i="6"/>
  <c r="T651" i="6" s="1"/>
  <c r="AP650" i="6"/>
  <c r="AS576" i="6"/>
  <c r="AN1616" i="6"/>
  <c r="AT1616" i="6"/>
  <c r="BO688" i="6"/>
  <c r="BN689" i="6" s="1"/>
  <c r="AM580" i="6"/>
  <c r="AL580" i="6"/>
  <c r="BD1080" i="6"/>
  <c r="T1081" i="6" s="1"/>
  <c r="AP1080" i="6"/>
  <c r="AL1226" i="6"/>
  <c r="AM1226" i="6"/>
  <c r="BD1298" i="6"/>
  <c r="T1299" i="6" s="1"/>
  <c r="AP1298" i="6"/>
  <c r="BD760" i="6"/>
  <c r="T761" i="6" s="1"/>
  <c r="AP760" i="6"/>
  <c r="BA1227" i="6"/>
  <c r="Q1228" i="6" s="1"/>
  <c r="AG1227" i="6"/>
  <c r="AR361" i="6"/>
  <c r="AQ361" i="6"/>
  <c r="BA652" i="6"/>
  <c r="Q653" i="6" s="1"/>
  <c r="AG652" i="6"/>
  <c r="AS1369" i="6"/>
  <c r="AN1435" i="6"/>
  <c r="AU1435" i="6" s="1"/>
  <c r="AS1335" i="6"/>
  <c r="AS1296" i="6"/>
  <c r="AU1296" i="6" s="1"/>
  <c r="AT506" i="6"/>
  <c r="BE506" i="6"/>
  <c r="U507" i="6" s="1"/>
  <c r="AR1405" i="6"/>
  <c r="AQ1405" i="6"/>
  <c r="AS1008" i="6"/>
  <c r="AT73" i="6"/>
  <c r="BE73" i="6"/>
  <c r="U74" i="6" s="1"/>
  <c r="AL1190" i="6"/>
  <c r="AM1190" i="6"/>
  <c r="AL1077" i="6"/>
  <c r="AM1077" i="6"/>
  <c r="BD434" i="6"/>
  <c r="T435" i="6" s="1"/>
  <c r="AP434" i="6"/>
  <c r="AN429" i="6"/>
  <c r="AU429" i="6" s="1"/>
  <c r="AM1653" i="6"/>
  <c r="AL1653" i="6"/>
  <c r="BD544" i="6"/>
  <c r="T545" i="6" s="1"/>
  <c r="AP544" i="6"/>
  <c r="AL500" i="6"/>
  <c r="AM500" i="6"/>
  <c r="BA616" i="6"/>
  <c r="Q617" i="6" s="1"/>
  <c r="AG616" i="6"/>
  <c r="AM1048" i="6"/>
  <c r="AL1048" i="6"/>
  <c r="AT1224" i="6"/>
  <c r="BE1224" i="6"/>
  <c r="U1225" i="6" s="1"/>
  <c r="AM105" i="6"/>
  <c r="AL105" i="6"/>
  <c r="AR37" i="6"/>
  <c r="AQ37" i="6"/>
  <c r="AT1369" i="6"/>
  <c r="BE1369" i="6"/>
  <c r="U1370" i="6" s="1"/>
  <c r="BD38" i="6"/>
  <c r="T39" i="6" s="1"/>
  <c r="AP38" i="6"/>
  <c r="BD362" i="6"/>
  <c r="T363" i="6" s="1"/>
  <c r="AP362" i="6"/>
  <c r="BA1191" i="6"/>
  <c r="Q1192" i="6" s="1"/>
  <c r="AG1191" i="6"/>
  <c r="AT325" i="6"/>
  <c r="BE325" i="6"/>
  <c r="U326" i="6" s="1"/>
  <c r="BE864" i="6"/>
  <c r="U865" i="6" s="1"/>
  <c r="BA760" i="6"/>
  <c r="Q761" i="6" s="1"/>
  <c r="AT1081" i="6"/>
  <c r="BE1081" i="6"/>
  <c r="U1082" i="6" s="1"/>
  <c r="AR1117" i="6"/>
  <c r="AQ1117" i="6"/>
  <c r="AT1153" i="6"/>
  <c r="BE1153" i="6"/>
  <c r="U1154" i="6" s="1"/>
  <c r="AL430" i="6"/>
  <c r="AM430" i="6"/>
  <c r="AT109" i="6"/>
  <c r="BE109" i="6"/>
  <c r="U110" i="6" s="1"/>
  <c r="AZ1654" i="6"/>
  <c r="P1655" i="6" s="1"/>
  <c r="AK1654" i="6"/>
  <c r="AR1654" i="6" s="1"/>
  <c r="AS1654" i="6" s="1"/>
  <c r="AG1654" i="6"/>
  <c r="AR1552" i="6"/>
  <c r="AQ1552" i="6"/>
  <c r="AR829" i="6"/>
  <c r="AQ829" i="6"/>
  <c r="AQ1441" i="6"/>
  <c r="BA1049" i="6"/>
  <c r="AG1049" i="6"/>
  <c r="AM1472" i="6"/>
  <c r="AL1472" i="6"/>
  <c r="AN1256" i="6"/>
  <c r="AT1256" i="6"/>
  <c r="BO292" i="6"/>
  <c r="BN293" i="6" s="1"/>
  <c r="AK292" i="6"/>
  <c r="AM292" i="6" s="1"/>
  <c r="AN292" i="6" s="1"/>
  <c r="AL830" i="6"/>
  <c r="AM830" i="6"/>
  <c r="AT37" i="6"/>
  <c r="BE37" i="6"/>
  <c r="U38" i="6" s="1"/>
  <c r="AZ1582" i="6"/>
  <c r="P1583" i="6" s="1"/>
  <c r="AG1582" i="6"/>
  <c r="AK1582" i="6"/>
  <c r="AR1582" i="6" s="1"/>
  <c r="AS1582" i="6" s="1"/>
  <c r="AZ70" i="6"/>
  <c r="P71" i="6" s="1"/>
  <c r="AK70" i="6"/>
  <c r="AR70" i="6" s="1"/>
  <c r="AS70" i="6" s="1"/>
  <c r="AG70" i="6"/>
  <c r="AS898" i="6"/>
  <c r="AU898" i="6" s="1"/>
  <c r="BD1406" i="6"/>
  <c r="T1407" i="6" s="1"/>
  <c r="AP1406" i="6"/>
  <c r="AT361" i="6"/>
  <c r="BE361" i="6"/>
  <c r="U362" i="6" s="1"/>
  <c r="AN905" i="6"/>
  <c r="AM1012" i="6"/>
  <c r="AL1012" i="6"/>
  <c r="AZ1078" i="6"/>
  <c r="P1079" i="6" s="1"/>
  <c r="AK1078" i="6"/>
  <c r="AR1078" i="6" s="1"/>
  <c r="AS1078" i="6" s="1"/>
  <c r="AG1078" i="6"/>
  <c r="AT576" i="6"/>
  <c r="BE576" i="6"/>
  <c r="U577" i="6" s="1"/>
  <c r="BD1118" i="6"/>
  <c r="T1119" i="6" s="1"/>
  <c r="AP1118" i="6"/>
  <c r="AZ431" i="6"/>
  <c r="P432" i="6" s="1"/>
  <c r="AG431" i="6"/>
  <c r="AK431" i="6"/>
  <c r="AR431" i="6" s="1"/>
  <c r="AS431" i="6" s="1"/>
  <c r="AL1369" i="6"/>
  <c r="AM1369" i="6"/>
  <c r="BA1083" i="6"/>
  <c r="Q1084" i="6" s="1"/>
  <c r="BO977" i="6"/>
  <c r="AK977" i="6"/>
  <c r="AM977" i="6" s="1"/>
  <c r="AN977" i="6" s="1"/>
  <c r="AN1652" i="6"/>
  <c r="AT1652" i="6"/>
  <c r="BD1553" i="6"/>
  <c r="AP1553" i="6"/>
  <c r="AR290" i="6"/>
  <c r="AQ290" i="6"/>
  <c r="BD830" i="6"/>
  <c r="T831" i="6" s="1"/>
  <c r="AP830" i="6"/>
  <c r="AZ501" i="6"/>
  <c r="P502" i="6" s="1"/>
  <c r="AK501" i="6"/>
  <c r="AR501" i="6" s="1"/>
  <c r="AS501" i="6" s="1"/>
  <c r="AG501" i="6"/>
  <c r="AR1336" i="6"/>
  <c r="AQ1336" i="6"/>
  <c r="BD1442" i="6"/>
  <c r="T1443" i="6" s="1"/>
  <c r="AP1442" i="6"/>
  <c r="AM1508" i="6"/>
  <c r="AL1508" i="6"/>
  <c r="AM1300" i="6"/>
  <c r="AL1300" i="6"/>
  <c r="AN1300" i="6" s="1"/>
  <c r="AR1370" i="6"/>
  <c r="AQ1370" i="6"/>
  <c r="AQ145" i="6"/>
  <c r="AR145" i="6"/>
  <c r="AQ1513" i="6"/>
  <c r="AZ754" i="6"/>
  <c r="P755" i="6" s="1"/>
  <c r="AK754" i="6"/>
  <c r="AR754" i="6" s="1"/>
  <c r="AS754" i="6" s="1"/>
  <c r="AG754" i="6"/>
  <c r="BD686" i="6"/>
  <c r="T687" i="6" s="1"/>
  <c r="AP686" i="6"/>
  <c r="AS1551" i="6"/>
  <c r="AZ1258" i="6"/>
  <c r="P1259" i="6" s="1"/>
  <c r="AK1258" i="6"/>
  <c r="AR1258" i="6" s="1"/>
  <c r="AS1258" i="6" s="1"/>
  <c r="AG1258" i="6"/>
  <c r="BA1263" i="6"/>
  <c r="Q1264" i="6" s="1"/>
  <c r="AT831" i="6"/>
  <c r="BE831" i="6"/>
  <c r="U832" i="6" s="1"/>
  <c r="AT1117" i="6"/>
  <c r="BE1117" i="6"/>
  <c r="U1118" i="6" s="1"/>
  <c r="AN1117" i="6"/>
  <c r="AN149" i="6"/>
  <c r="AQ253" i="6"/>
  <c r="AR253" i="6"/>
  <c r="BA1013" i="6"/>
  <c r="AG1013" i="6"/>
  <c r="BA723" i="6"/>
  <c r="Q724" i="6" s="1"/>
  <c r="AN536" i="6"/>
  <c r="AT536" i="6"/>
  <c r="AT1513" i="6"/>
  <c r="BE1513" i="6"/>
  <c r="U1514" i="6" s="1"/>
  <c r="BO256" i="6"/>
  <c r="BN257" i="6" s="1"/>
  <c r="AK256" i="6"/>
  <c r="AM256" i="6" s="1"/>
  <c r="AN256" i="6" s="1"/>
  <c r="AU212" i="6"/>
  <c r="AT615" i="6"/>
  <c r="BE615" i="6"/>
  <c r="U616" i="6" s="1"/>
  <c r="AS612" i="6"/>
  <c r="AU612" i="6" s="1"/>
  <c r="AU288" i="6"/>
  <c r="BA1370" i="6"/>
  <c r="Q1371" i="6" s="1"/>
  <c r="AG1370" i="6"/>
  <c r="AL753" i="6"/>
  <c r="AM753" i="6"/>
  <c r="AQ1153" i="6"/>
  <c r="AT434" i="6"/>
  <c r="BE434" i="6"/>
  <c r="U435" i="6" s="1"/>
  <c r="AN1368" i="6"/>
  <c r="AU1368" i="6" s="1"/>
  <c r="BD291" i="6"/>
  <c r="T292" i="6" s="1"/>
  <c r="AP291" i="6"/>
  <c r="AT722" i="6"/>
  <c r="BE722" i="6"/>
  <c r="U723" i="6" s="1"/>
  <c r="BD1337" i="6"/>
  <c r="AP1337" i="6"/>
  <c r="AQ577" i="6"/>
  <c r="AR577" i="6"/>
  <c r="AZ1473" i="6"/>
  <c r="P1474" i="6" s="1"/>
  <c r="AK1473" i="6"/>
  <c r="AR1473" i="6" s="1"/>
  <c r="AS1473" i="6" s="1"/>
  <c r="AG1473" i="6"/>
  <c r="BA1301" i="6"/>
  <c r="AG1301" i="6"/>
  <c r="BD1371" i="6"/>
  <c r="T1372" i="6" s="1"/>
  <c r="AP1371" i="6"/>
  <c r="BD146" i="6"/>
  <c r="T147" i="6" s="1"/>
  <c r="AP146" i="6"/>
  <c r="AS1552" i="6" l="1"/>
  <c r="AN615" i="6"/>
  <c r="AN1012" i="6"/>
  <c r="AN830" i="6"/>
  <c r="AN1077" i="6"/>
  <c r="AU1077" i="6" s="1"/>
  <c r="AR977" i="6"/>
  <c r="AS977" i="6" s="1"/>
  <c r="AN69" i="6"/>
  <c r="AU69" i="6" s="1"/>
  <c r="AN681" i="6"/>
  <c r="AU681" i="6" s="1"/>
  <c r="AU1224" i="6"/>
  <c r="AS899" i="6"/>
  <c r="AU899" i="6" s="1"/>
  <c r="AN651" i="6"/>
  <c r="AN1551" i="6"/>
  <c r="AN1190" i="6"/>
  <c r="AN1653" i="6"/>
  <c r="AU1653" i="6" s="1"/>
  <c r="AU1148" i="6"/>
  <c r="AU68" i="6"/>
  <c r="AN1226" i="6"/>
  <c r="AN537" i="6"/>
  <c r="AU537" i="6" s="1"/>
  <c r="AS1045" i="6"/>
  <c r="AU1045" i="6" s="1"/>
  <c r="AU1652" i="6"/>
  <c r="AS37" i="6"/>
  <c r="AU37" i="6" s="1"/>
  <c r="AU320" i="6"/>
  <c r="AU1256" i="6"/>
  <c r="AS649" i="6"/>
  <c r="AU649" i="6" s="1"/>
  <c r="AN861" i="6"/>
  <c r="AU861" i="6" s="1"/>
  <c r="AS1405" i="6"/>
  <c r="AU1405" i="6" s="1"/>
  <c r="AS1225" i="6"/>
  <c r="AS1297" i="6"/>
  <c r="AU1297" i="6" s="1"/>
  <c r="AU1616" i="6"/>
  <c r="AN362" i="6"/>
  <c r="AU860" i="6"/>
  <c r="AS937" i="6"/>
  <c r="AU937" i="6" s="1"/>
  <c r="AS577" i="6"/>
  <c r="AU576" i="6"/>
  <c r="AU536" i="6"/>
  <c r="AU680" i="6"/>
  <c r="AN321" i="6"/>
  <c r="AU321" i="6" s="1"/>
  <c r="AT1514" i="6"/>
  <c r="BE1514" i="6"/>
  <c r="U1515" i="6" s="1"/>
  <c r="AM616" i="6"/>
  <c r="AL616" i="6"/>
  <c r="AZ683" i="6"/>
  <c r="P684" i="6" s="1"/>
  <c r="AG683" i="6"/>
  <c r="AK683" i="6"/>
  <c r="AR683" i="6" s="1"/>
  <c r="AS683" i="6" s="1"/>
  <c r="AT435" i="6"/>
  <c r="BE435" i="6"/>
  <c r="U436" i="6" s="1"/>
  <c r="BO257" i="6"/>
  <c r="AK257" i="6"/>
  <c r="AM257" i="6" s="1"/>
  <c r="AN257" i="6" s="1"/>
  <c r="AZ1259" i="6"/>
  <c r="P1260" i="6" s="1"/>
  <c r="AK1259" i="6"/>
  <c r="AR1259" i="6" s="1"/>
  <c r="AS1259" i="6" s="1"/>
  <c r="AG1259" i="6"/>
  <c r="AS1370" i="6"/>
  <c r="AZ502" i="6"/>
  <c r="P503" i="6" s="1"/>
  <c r="AK502" i="6"/>
  <c r="AR502" i="6" s="1"/>
  <c r="AS502" i="6" s="1"/>
  <c r="AG502" i="6"/>
  <c r="AM1078" i="6"/>
  <c r="AL1078" i="6"/>
  <c r="AL70" i="6"/>
  <c r="AM70" i="6"/>
  <c r="AL1654" i="6"/>
  <c r="AM1654" i="6"/>
  <c r="AR362" i="6"/>
  <c r="AQ362" i="6"/>
  <c r="AN1048" i="6"/>
  <c r="AT507" i="6"/>
  <c r="BE507" i="6"/>
  <c r="U508" i="6" s="1"/>
  <c r="AQ760" i="6"/>
  <c r="AQ723" i="6"/>
  <c r="AM862" i="6"/>
  <c r="AL862" i="6"/>
  <c r="AS793" i="6"/>
  <c r="AU793" i="6" s="1"/>
  <c r="AZ216" i="6"/>
  <c r="P217" i="6" s="1"/>
  <c r="AG216" i="6"/>
  <c r="AK216" i="6"/>
  <c r="AR216" i="6" s="1"/>
  <c r="AS216" i="6" s="1"/>
  <c r="AZ1438" i="6"/>
  <c r="P1439" i="6" s="1"/>
  <c r="AK1438" i="6"/>
  <c r="AR1438" i="6" s="1"/>
  <c r="AS1438" i="6" s="1"/>
  <c r="AG1438" i="6"/>
  <c r="BD867" i="6"/>
  <c r="T868" i="6" s="1"/>
  <c r="AP867" i="6"/>
  <c r="BD1588" i="6"/>
  <c r="T1589" i="6" s="1"/>
  <c r="AP1588" i="6"/>
  <c r="BE794" i="6"/>
  <c r="U795" i="6" s="1"/>
  <c r="AT794" i="6"/>
  <c r="AR578" i="6"/>
  <c r="AQ578" i="6"/>
  <c r="BD1515" i="6"/>
  <c r="T1516" i="6" s="1"/>
  <c r="AP1515" i="6"/>
  <c r="BA1084" i="6"/>
  <c r="Q1085" i="6" s="1"/>
  <c r="AL682" i="6"/>
  <c r="AM682" i="6"/>
  <c r="AN1472" i="6"/>
  <c r="AT1472" i="6"/>
  <c r="AQ146" i="6"/>
  <c r="AR146" i="6"/>
  <c r="AN753" i="6"/>
  <c r="AU753" i="6" s="1"/>
  <c r="BD687" i="6"/>
  <c r="T688" i="6" s="1"/>
  <c r="AP687" i="6"/>
  <c r="AS290" i="6"/>
  <c r="AN1369" i="6"/>
  <c r="AU1369" i="6" s="1"/>
  <c r="BD39" i="6"/>
  <c r="T40" i="6" s="1"/>
  <c r="AP39" i="6"/>
  <c r="BA617" i="6"/>
  <c r="AG617" i="6"/>
  <c r="BD1299" i="6"/>
  <c r="T1300" i="6" s="1"/>
  <c r="AP1299" i="6"/>
  <c r="AQ650" i="6"/>
  <c r="AR650" i="6"/>
  <c r="BO1661" i="6"/>
  <c r="BD1623" i="6"/>
  <c r="T1624" i="6" s="1"/>
  <c r="AP1623" i="6"/>
  <c r="BA364" i="6"/>
  <c r="Q365" i="6" s="1"/>
  <c r="AG364" i="6"/>
  <c r="AU104" i="6"/>
  <c r="AS397" i="6"/>
  <c r="AU397" i="6" s="1"/>
  <c r="AL1552" i="6"/>
  <c r="AM1552" i="6"/>
  <c r="AU1580" i="6"/>
  <c r="AQ1010" i="6"/>
  <c r="AR1010" i="6"/>
  <c r="AT1298" i="6"/>
  <c r="BE1298" i="6"/>
  <c r="U1299" i="6" s="1"/>
  <c r="BD1660" i="6"/>
  <c r="T1661" i="6" s="1"/>
  <c r="AP1660" i="6"/>
  <c r="AQ1226" i="6"/>
  <c r="AR1226" i="6"/>
  <c r="AN1257" i="6"/>
  <c r="AU1257" i="6" s="1"/>
  <c r="AN1617" i="6"/>
  <c r="AU1617" i="6" s="1"/>
  <c r="AZ71" i="6"/>
  <c r="P72" i="6" s="1"/>
  <c r="AK71" i="6"/>
  <c r="AR71" i="6" s="1"/>
  <c r="AS71" i="6" s="1"/>
  <c r="AG71" i="6"/>
  <c r="BD147" i="6"/>
  <c r="T148" i="6" s="1"/>
  <c r="AP147" i="6"/>
  <c r="AM1582" i="6"/>
  <c r="AL1582" i="6"/>
  <c r="AL1049" i="6"/>
  <c r="AM1049" i="6"/>
  <c r="BA761" i="6"/>
  <c r="AT1370" i="6"/>
  <c r="BE1370" i="6"/>
  <c r="U1371" i="6" s="1"/>
  <c r="BD651" i="6"/>
  <c r="T652" i="6" s="1"/>
  <c r="AP651" i="6"/>
  <c r="AR470" i="6"/>
  <c r="AQ470" i="6"/>
  <c r="AQ398" i="6"/>
  <c r="AR398" i="6"/>
  <c r="AQ1622" i="6"/>
  <c r="AT471" i="6"/>
  <c r="BE471" i="6"/>
  <c r="U472" i="6" s="1"/>
  <c r="AT1477" i="6"/>
  <c r="BE1477" i="6"/>
  <c r="U1478" i="6" s="1"/>
  <c r="BA1553" i="6"/>
  <c r="AG1553" i="6"/>
  <c r="AR938" i="6"/>
  <c r="AQ938" i="6"/>
  <c r="AR614" i="6"/>
  <c r="AQ614" i="6"/>
  <c r="AN214" i="6"/>
  <c r="AU214" i="6" s="1"/>
  <c r="BD1011" i="6"/>
  <c r="T1012" i="6" s="1"/>
  <c r="AP1011" i="6"/>
  <c r="AL106" i="6"/>
  <c r="AM106" i="6"/>
  <c r="AQ182" i="6"/>
  <c r="AR182" i="6"/>
  <c r="BD1227" i="6"/>
  <c r="T1228" i="6" s="1"/>
  <c r="AP1227" i="6"/>
  <c r="AT1550" i="6"/>
  <c r="AU1550" i="6" s="1"/>
  <c r="BE1550" i="6"/>
  <c r="U1551" i="6" s="1"/>
  <c r="BE1046" i="6"/>
  <c r="U1047" i="6" s="1"/>
  <c r="AT1046" i="6"/>
  <c r="BE1262" i="6"/>
  <c r="U1263" i="6" s="1"/>
  <c r="AT1262" i="6"/>
  <c r="AQ686" i="6"/>
  <c r="AR1298" i="6"/>
  <c r="AQ1298" i="6"/>
  <c r="AN1508" i="6"/>
  <c r="AT1508" i="6"/>
  <c r="BA1371" i="6"/>
  <c r="Q1372" i="6" s="1"/>
  <c r="AG1371" i="6"/>
  <c r="BE832" i="6"/>
  <c r="U833" i="6" s="1"/>
  <c r="AM754" i="6"/>
  <c r="AL754" i="6"/>
  <c r="AQ1553" i="6"/>
  <c r="AR1553" i="6"/>
  <c r="AL431" i="6"/>
  <c r="AM431" i="6"/>
  <c r="AZ1583" i="6"/>
  <c r="P1584" i="6" s="1"/>
  <c r="AG1583" i="6"/>
  <c r="AK1583" i="6"/>
  <c r="AR1583" i="6" s="1"/>
  <c r="AS1583" i="6" s="1"/>
  <c r="AT110" i="6"/>
  <c r="BE110" i="6"/>
  <c r="U111" i="6" s="1"/>
  <c r="BE865" i="6"/>
  <c r="U866" i="6" s="1"/>
  <c r="AT865" i="6"/>
  <c r="AN500" i="6"/>
  <c r="AT500" i="6"/>
  <c r="AT182" i="6"/>
  <c r="BE182" i="6"/>
  <c r="U183" i="6" s="1"/>
  <c r="BD471" i="6"/>
  <c r="T472" i="6" s="1"/>
  <c r="AP471" i="6"/>
  <c r="BD399" i="6"/>
  <c r="T400" i="6" s="1"/>
  <c r="AP399" i="6"/>
  <c r="AQ507" i="6"/>
  <c r="AQ1193" i="6"/>
  <c r="AR1193" i="6"/>
  <c r="BD939" i="6"/>
  <c r="T940" i="6" s="1"/>
  <c r="AP939" i="6"/>
  <c r="BD615" i="6"/>
  <c r="T616" i="6" s="1"/>
  <c r="AP615" i="6"/>
  <c r="AQ110" i="6"/>
  <c r="AT254" i="6"/>
  <c r="BE254" i="6"/>
  <c r="U255" i="6" s="1"/>
  <c r="AL940" i="6"/>
  <c r="AM940" i="6"/>
  <c r="BD183" i="6"/>
  <c r="T184" i="6" s="1"/>
  <c r="AP183" i="6"/>
  <c r="AN1149" i="6"/>
  <c r="AU1149" i="6" s="1"/>
  <c r="AU1076" i="6"/>
  <c r="BD255" i="6"/>
  <c r="T256" i="6" s="1"/>
  <c r="AP255" i="6"/>
  <c r="BO220" i="6"/>
  <c r="BN221" i="6" s="1"/>
  <c r="AQ434" i="6"/>
  <c r="BD579" i="6"/>
  <c r="T580" i="6" s="1"/>
  <c r="AP579" i="6"/>
  <c r="AZ1655" i="6"/>
  <c r="P1656" i="6" s="1"/>
  <c r="AK1655" i="6"/>
  <c r="AR1655" i="6" s="1"/>
  <c r="AS1655" i="6" s="1"/>
  <c r="AG1655" i="6"/>
  <c r="AT1009" i="6"/>
  <c r="BE1009" i="6"/>
  <c r="U1010" i="6" s="1"/>
  <c r="AL1370" i="6"/>
  <c r="AM1370" i="6"/>
  <c r="BD1372" i="6"/>
  <c r="T1373" i="6" s="1"/>
  <c r="AP1372" i="6"/>
  <c r="AQ1442" i="6"/>
  <c r="AM652" i="6"/>
  <c r="AL652" i="6"/>
  <c r="AQ1080" i="6"/>
  <c r="BO1407" i="6"/>
  <c r="BN1408" i="6" s="1"/>
  <c r="AK1407" i="6"/>
  <c r="AM1407" i="6" s="1"/>
  <c r="AN1407" i="6" s="1"/>
  <c r="AT290" i="6"/>
  <c r="BE290" i="6"/>
  <c r="U291" i="6" s="1"/>
  <c r="BD508" i="6"/>
  <c r="T509" i="6" s="1"/>
  <c r="AP508" i="6"/>
  <c r="AT1441" i="6"/>
  <c r="BE1441" i="6"/>
  <c r="U1442" i="6" s="1"/>
  <c r="BE650" i="6"/>
  <c r="U651" i="6" s="1"/>
  <c r="AT650" i="6"/>
  <c r="AT218" i="6"/>
  <c r="BE218" i="6"/>
  <c r="U219" i="6" s="1"/>
  <c r="AL795" i="6"/>
  <c r="AM795" i="6"/>
  <c r="BD111" i="6"/>
  <c r="T112" i="6" s="1"/>
  <c r="AP111" i="6"/>
  <c r="AM717" i="6"/>
  <c r="AL717" i="6"/>
  <c r="BA941" i="6"/>
  <c r="AG941" i="6"/>
  <c r="AZ107" i="6"/>
  <c r="P108" i="6" s="1"/>
  <c r="AK107" i="6"/>
  <c r="AR107" i="6" s="1"/>
  <c r="AS107" i="6" s="1"/>
  <c r="AG107" i="6"/>
  <c r="BA1120" i="6"/>
  <c r="Q1121" i="6" s="1"/>
  <c r="AG1120" i="6"/>
  <c r="AR254" i="6"/>
  <c r="AQ254" i="6"/>
  <c r="BD724" i="6"/>
  <c r="T725" i="6" s="1"/>
  <c r="AP724" i="6"/>
  <c r="AZ1079" i="6"/>
  <c r="P1080" i="6" s="1"/>
  <c r="AK1079" i="6"/>
  <c r="AR1079" i="6" s="1"/>
  <c r="AS1079" i="6" s="1"/>
  <c r="AG1079" i="6"/>
  <c r="AZ432" i="6"/>
  <c r="P433" i="6" s="1"/>
  <c r="AG432" i="6"/>
  <c r="AK432" i="6"/>
  <c r="AR432" i="6" s="1"/>
  <c r="AS432" i="6" s="1"/>
  <c r="BE38" i="6"/>
  <c r="U39" i="6" s="1"/>
  <c r="AT38" i="6"/>
  <c r="BD292" i="6"/>
  <c r="T293" i="6" s="1"/>
  <c r="AP292" i="6"/>
  <c r="BA724" i="6"/>
  <c r="Q725" i="6" s="1"/>
  <c r="BA1264" i="6"/>
  <c r="Q1265" i="6" s="1"/>
  <c r="AZ755" i="6"/>
  <c r="P756" i="6" s="1"/>
  <c r="AK755" i="6"/>
  <c r="AR755" i="6" s="1"/>
  <c r="AS755" i="6" s="1"/>
  <c r="AG755" i="6"/>
  <c r="BD1443" i="6"/>
  <c r="T1444" i="6" s="1"/>
  <c r="AP1443" i="6"/>
  <c r="AR1118" i="6"/>
  <c r="AQ1118" i="6"/>
  <c r="AT362" i="6"/>
  <c r="BE362" i="6"/>
  <c r="U363" i="6" s="1"/>
  <c r="AQ544" i="6"/>
  <c r="BE74" i="6"/>
  <c r="U75" i="6" s="1"/>
  <c r="AT74" i="6"/>
  <c r="BA653" i="6"/>
  <c r="AG653" i="6"/>
  <c r="BD1081" i="6"/>
  <c r="T1082" i="6" s="1"/>
  <c r="AP1081" i="6"/>
  <c r="AQ75" i="6"/>
  <c r="AN716" i="6"/>
  <c r="AT716" i="6"/>
  <c r="BA1156" i="6"/>
  <c r="Q1157" i="6" s="1"/>
  <c r="AM322" i="6"/>
  <c r="AL322" i="6"/>
  <c r="AM1150" i="6"/>
  <c r="AL1150" i="6"/>
  <c r="BA796" i="6"/>
  <c r="Q797" i="6" s="1"/>
  <c r="AG796" i="6"/>
  <c r="BE542" i="6"/>
  <c r="U543" i="6" s="1"/>
  <c r="AT542" i="6"/>
  <c r="AL1119" i="6"/>
  <c r="AM1119" i="6"/>
  <c r="AM581" i="6"/>
  <c r="AL581" i="6"/>
  <c r="AN939" i="6"/>
  <c r="AN1118" i="6"/>
  <c r="AQ830" i="6"/>
  <c r="AR830" i="6"/>
  <c r="BD363" i="6"/>
  <c r="T364" i="6" s="1"/>
  <c r="AP363" i="6"/>
  <c r="AT938" i="6"/>
  <c r="BE938" i="6"/>
  <c r="U939" i="6" s="1"/>
  <c r="AM363" i="6"/>
  <c r="AL363" i="6"/>
  <c r="AT723" i="6"/>
  <c r="BE723" i="6"/>
  <c r="U724" i="6" s="1"/>
  <c r="AR1371" i="6"/>
  <c r="AQ1371" i="6"/>
  <c r="AR291" i="6"/>
  <c r="AQ291" i="6"/>
  <c r="AM1301" i="6"/>
  <c r="AL1301" i="6"/>
  <c r="BE616" i="6"/>
  <c r="U617" i="6" s="1"/>
  <c r="AL1013" i="6"/>
  <c r="AM1013" i="6"/>
  <c r="AS1336" i="6"/>
  <c r="BD1119" i="6"/>
  <c r="T1120" i="6" s="1"/>
  <c r="AP1119" i="6"/>
  <c r="AS829" i="6"/>
  <c r="AU829" i="6" s="1"/>
  <c r="AN430" i="6"/>
  <c r="AU430" i="6" s="1"/>
  <c r="BE326" i="6"/>
  <c r="U327" i="6" s="1"/>
  <c r="AT326" i="6"/>
  <c r="AN105" i="6"/>
  <c r="AU105" i="6" s="1"/>
  <c r="AP545" i="6"/>
  <c r="BD545" i="6"/>
  <c r="AS361" i="6"/>
  <c r="AU361" i="6" s="1"/>
  <c r="AN580" i="6"/>
  <c r="BD76" i="6"/>
  <c r="T77" i="6" s="1"/>
  <c r="AP76" i="6"/>
  <c r="AS469" i="6"/>
  <c r="AU469" i="6" s="1"/>
  <c r="AQ1478" i="6"/>
  <c r="BA77" i="6"/>
  <c r="AZ718" i="6"/>
  <c r="P719" i="6" s="1"/>
  <c r="AK718" i="6"/>
  <c r="AR718" i="6" s="1"/>
  <c r="AS718" i="6" s="1"/>
  <c r="AG718" i="6"/>
  <c r="BA1481" i="6"/>
  <c r="AS1009" i="6"/>
  <c r="AM1618" i="6"/>
  <c r="AL1618" i="6"/>
  <c r="AQ1154" i="6"/>
  <c r="AS181" i="6"/>
  <c r="AU181" i="6" s="1"/>
  <c r="AN1581" i="6"/>
  <c r="AU1581" i="6" s="1"/>
  <c r="AR1337" i="6"/>
  <c r="AQ1337" i="6"/>
  <c r="BD831" i="6"/>
  <c r="T832" i="6" s="1"/>
  <c r="AP831" i="6"/>
  <c r="AZ863" i="6"/>
  <c r="P864" i="6" s="1"/>
  <c r="AK863" i="6"/>
  <c r="AR863" i="6" s="1"/>
  <c r="AS863" i="6" s="1"/>
  <c r="AG863" i="6"/>
  <c r="AQ1659" i="6"/>
  <c r="BE577" i="6"/>
  <c r="U578" i="6" s="1"/>
  <c r="AT577" i="6"/>
  <c r="AU577" i="6" s="1"/>
  <c r="AU1008" i="6"/>
  <c r="AR794" i="6"/>
  <c r="AQ794" i="6"/>
  <c r="AQ329" i="6"/>
  <c r="AT686" i="6"/>
  <c r="BE686" i="6"/>
  <c r="U687" i="6" s="1"/>
  <c r="AL538" i="6"/>
  <c r="AM538" i="6"/>
  <c r="AT758" i="6"/>
  <c r="BE758" i="6"/>
  <c r="U759" i="6" s="1"/>
  <c r="BD1479" i="6"/>
  <c r="T1480" i="6" s="1"/>
  <c r="AP1479" i="6"/>
  <c r="AZ323" i="6"/>
  <c r="P324" i="6" s="1"/>
  <c r="AK323" i="6"/>
  <c r="AR323" i="6" s="1"/>
  <c r="AS323" i="6" s="1"/>
  <c r="AG323" i="6"/>
  <c r="AZ1151" i="6"/>
  <c r="P1152" i="6" s="1"/>
  <c r="AK1151" i="6"/>
  <c r="AR1151" i="6" s="1"/>
  <c r="AS1151" i="6" s="1"/>
  <c r="AG1151" i="6"/>
  <c r="AQ218" i="6"/>
  <c r="AM831" i="6"/>
  <c r="AL831" i="6"/>
  <c r="AN1436" i="6"/>
  <c r="AT1436" i="6"/>
  <c r="AM1509" i="6"/>
  <c r="AL1509" i="6"/>
  <c r="BD1155" i="6"/>
  <c r="T1156" i="6" s="1"/>
  <c r="AP1155" i="6"/>
  <c r="AT975" i="6"/>
  <c r="AU975" i="6" s="1"/>
  <c r="BE975" i="6"/>
  <c r="U976" i="6" s="1"/>
  <c r="BD761" i="6"/>
  <c r="AP761" i="6"/>
  <c r="BE1334" i="6"/>
  <c r="U1335" i="6" s="1"/>
  <c r="AT1334" i="6"/>
  <c r="AU1334" i="6" s="1"/>
  <c r="BD435" i="6"/>
  <c r="T436" i="6" s="1"/>
  <c r="AP435" i="6"/>
  <c r="AM1473" i="6"/>
  <c r="AL1473" i="6"/>
  <c r="BE1154" i="6"/>
  <c r="U1155" i="6" s="1"/>
  <c r="AT1154" i="6"/>
  <c r="AL1258" i="6"/>
  <c r="AM1258" i="6"/>
  <c r="AM501" i="6"/>
  <c r="AL501" i="6"/>
  <c r="BD1407" i="6"/>
  <c r="T1408" i="6" s="1"/>
  <c r="AP1407" i="6"/>
  <c r="AM1191" i="6"/>
  <c r="AL1191" i="6"/>
  <c r="BE1225" i="6"/>
  <c r="U1226" i="6" s="1"/>
  <c r="AT1225" i="6"/>
  <c r="AM1227" i="6"/>
  <c r="AL1227" i="6"/>
  <c r="BD795" i="6"/>
  <c r="T796" i="6" s="1"/>
  <c r="AP795" i="6"/>
  <c r="AQ900" i="6"/>
  <c r="AR900" i="6"/>
  <c r="AT146" i="6"/>
  <c r="BE146" i="6"/>
  <c r="U147" i="6" s="1"/>
  <c r="AZ539" i="6"/>
  <c r="P540" i="6" s="1"/>
  <c r="AG539" i="6"/>
  <c r="AK539" i="6"/>
  <c r="AR539" i="6" s="1"/>
  <c r="AS539" i="6" s="1"/>
  <c r="BA1516" i="6"/>
  <c r="Q1517" i="6" s="1"/>
  <c r="AM1437" i="6"/>
  <c r="AL1437" i="6"/>
  <c r="AR1046" i="6"/>
  <c r="AQ1046" i="6"/>
  <c r="BD219" i="6"/>
  <c r="T220" i="6" s="1"/>
  <c r="AP219" i="6"/>
  <c r="AT1621" i="6"/>
  <c r="BE1621" i="6"/>
  <c r="U1622" i="6" s="1"/>
  <c r="AT1658" i="6"/>
  <c r="BE1658" i="6"/>
  <c r="U1659" i="6" s="1"/>
  <c r="BA832" i="6"/>
  <c r="Q833" i="6" s="1"/>
  <c r="AG832" i="6"/>
  <c r="BA112" i="6"/>
  <c r="Q113" i="6" s="1"/>
  <c r="AZ1619" i="6"/>
  <c r="P1620" i="6" s="1"/>
  <c r="AK1619" i="6"/>
  <c r="AR1619" i="6" s="1"/>
  <c r="AS1619" i="6" s="1"/>
  <c r="AG1619" i="6"/>
  <c r="BE1189" i="6"/>
  <c r="U1190" i="6" s="1"/>
  <c r="AT1189" i="6"/>
  <c r="AU1189" i="6" s="1"/>
  <c r="BE1082" i="6"/>
  <c r="U1083" i="6" s="1"/>
  <c r="AT1082" i="6"/>
  <c r="BE1118" i="6"/>
  <c r="U1119" i="6" s="1"/>
  <c r="AT1118" i="6"/>
  <c r="AR38" i="6"/>
  <c r="AQ38" i="6"/>
  <c r="BE399" i="6"/>
  <c r="U400" i="6" s="1"/>
  <c r="AT399" i="6"/>
  <c r="AR1406" i="6"/>
  <c r="AQ1406" i="6"/>
  <c r="AZ1474" i="6"/>
  <c r="P1475" i="6" s="1"/>
  <c r="AK1474" i="6"/>
  <c r="AR1474" i="6" s="1"/>
  <c r="AS1474" i="6" s="1"/>
  <c r="AG1474" i="6"/>
  <c r="AS253" i="6"/>
  <c r="AU253" i="6" s="1"/>
  <c r="AS145" i="6"/>
  <c r="AU145" i="6" s="1"/>
  <c r="BO293" i="6"/>
  <c r="AK293" i="6"/>
  <c r="AM293" i="6" s="1"/>
  <c r="AN293" i="6" s="1"/>
  <c r="AS1117" i="6"/>
  <c r="AU1117" i="6" s="1"/>
  <c r="BA1192" i="6"/>
  <c r="Q1193" i="6" s="1"/>
  <c r="AG1192" i="6"/>
  <c r="BA1228" i="6"/>
  <c r="Q1229" i="6" s="1"/>
  <c r="AG1228" i="6"/>
  <c r="BO689" i="6"/>
  <c r="AT901" i="6"/>
  <c r="BE901" i="6"/>
  <c r="U902" i="6" s="1"/>
  <c r="BD901" i="6"/>
  <c r="T902" i="6" s="1"/>
  <c r="AP901" i="6"/>
  <c r="AM215" i="6"/>
  <c r="AL215" i="6"/>
  <c r="BA1661" i="6"/>
  <c r="BD1047" i="6"/>
  <c r="T1048" i="6" s="1"/>
  <c r="AP1047" i="6"/>
  <c r="AQ866" i="6"/>
  <c r="AS613" i="6"/>
  <c r="AU613" i="6" s="1"/>
  <c r="AT1585" i="6"/>
  <c r="BE1585" i="6"/>
  <c r="U1586" i="6" s="1"/>
  <c r="AN794" i="6"/>
  <c r="AQ1587" i="6"/>
  <c r="AU752" i="6"/>
  <c r="AT1407" i="6"/>
  <c r="BE1407" i="6"/>
  <c r="U1408" i="6" s="1"/>
  <c r="AZ1510" i="6"/>
  <c r="P1511" i="6" s="1"/>
  <c r="AK1510" i="6"/>
  <c r="AR1510" i="6" s="1"/>
  <c r="AS1510" i="6" s="1"/>
  <c r="AG1510" i="6"/>
  <c r="BA1445" i="6"/>
  <c r="AQ1514" i="6"/>
  <c r="AS1371" i="6" l="1"/>
  <c r="AN215" i="6"/>
  <c r="AU215" i="6" s="1"/>
  <c r="AS291" i="6"/>
  <c r="AN1119" i="6"/>
  <c r="AN616" i="6"/>
  <c r="AN538" i="6"/>
  <c r="AU538" i="6" s="1"/>
  <c r="AN940" i="6"/>
  <c r="AU1009" i="6"/>
  <c r="AS1553" i="6"/>
  <c r="AS1406" i="6"/>
  <c r="AU1406" i="6" s="1"/>
  <c r="AS1046" i="6"/>
  <c r="AU1046" i="6" s="1"/>
  <c r="AS614" i="6"/>
  <c r="AU614" i="6" s="1"/>
  <c r="AN1150" i="6"/>
  <c r="AU1150" i="6" s="1"/>
  <c r="AS578" i="6"/>
  <c r="AN1013" i="6"/>
  <c r="AT616" i="6"/>
  <c r="AS1226" i="6"/>
  <c r="AS900" i="6"/>
  <c r="AU900" i="6" s="1"/>
  <c r="AU500" i="6"/>
  <c r="AU1225" i="6"/>
  <c r="AN1191" i="6"/>
  <c r="AN106" i="6"/>
  <c r="AU106" i="6" s="1"/>
  <c r="AN717" i="6"/>
  <c r="AU717" i="6" s="1"/>
  <c r="AN754" i="6"/>
  <c r="AU754" i="6" s="1"/>
  <c r="AN70" i="6"/>
  <c r="AU70" i="6" s="1"/>
  <c r="AN1258" i="6"/>
  <c r="AU1258" i="6" s="1"/>
  <c r="AS362" i="6"/>
  <c r="AU362" i="6" s="1"/>
  <c r="AN322" i="6"/>
  <c r="AU322" i="6" s="1"/>
  <c r="AS1193" i="6"/>
  <c r="AS830" i="6"/>
  <c r="AU830" i="6" s="1"/>
  <c r="AN1473" i="6"/>
  <c r="AU1473" i="6" s="1"/>
  <c r="AN1509" i="6"/>
  <c r="AU1509" i="6" s="1"/>
  <c r="AN1618" i="6"/>
  <c r="AU1618" i="6" s="1"/>
  <c r="AU716" i="6"/>
  <c r="AU1472" i="6"/>
  <c r="AN682" i="6"/>
  <c r="AU682" i="6" s="1"/>
  <c r="AR363" i="6"/>
  <c r="AQ363" i="6"/>
  <c r="BD580" i="6"/>
  <c r="T581" i="6" s="1"/>
  <c r="AP580" i="6"/>
  <c r="BA365" i="6"/>
  <c r="AG365" i="6"/>
  <c r="AM539" i="6"/>
  <c r="AL539" i="6"/>
  <c r="BD902" i="6"/>
  <c r="T903" i="6" s="1"/>
  <c r="AP902" i="6"/>
  <c r="BA113" i="6"/>
  <c r="AN1227" i="6"/>
  <c r="AT1335" i="6"/>
  <c r="AU1335" i="6" s="1"/>
  <c r="BE1335" i="6"/>
  <c r="U1336" i="6" s="1"/>
  <c r="AT759" i="6"/>
  <c r="BE759" i="6"/>
  <c r="U760" i="6" s="1"/>
  <c r="BE578" i="6"/>
  <c r="U579" i="6" s="1"/>
  <c r="AT578" i="6"/>
  <c r="AN1301" i="6"/>
  <c r="AS1118" i="6"/>
  <c r="AU1118" i="6" s="1"/>
  <c r="BD293" i="6"/>
  <c r="AP293" i="6"/>
  <c r="AS254" i="6"/>
  <c r="AU254" i="6" s="1"/>
  <c r="AP112" i="6"/>
  <c r="BD112" i="6"/>
  <c r="T113" i="6" s="1"/>
  <c r="BD509" i="6"/>
  <c r="AP509" i="6"/>
  <c r="AQ579" i="6"/>
  <c r="AR579" i="6"/>
  <c r="BD1228" i="6"/>
  <c r="T1229" i="6" s="1"/>
  <c r="AP1228" i="6"/>
  <c r="AL364" i="6"/>
  <c r="AM364" i="6"/>
  <c r="BD1589" i="6"/>
  <c r="AP1589" i="6"/>
  <c r="BA1517" i="6"/>
  <c r="AT1119" i="6"/>
  <c r="BE1119" i="6"/>
  <c r="U1120" i="6" s="1"/>
  <c r="BA833" i="6"/>
  <c r="AG833" i="6"/>
  <c r="BD364" i="6"/>
  <c r="T365" i="6" s="1"/>
  <c r="AP364" i="6"/>
  <c r="AM796" i="6"/>
  <c r="AL796" i="6"/>
  <c r="AQ1081" i="6"/>
  <c r="AQ1443" i="6"/>
  <c r="AT39" i="6"/>
  <c r="BE39" i="6"/>
  <c r="U40" i="6" s="1"/>
  <c r="AM1120" i="6"/>
  <c r="AL1120" i="6"/>
  <c r="AN795" i="6"/>
  <c r="AT291" i="6"/>
  <c r="AU291" i="6" s="1"/>
  <c r="BE291" i="6"/>
  <c r="U292" i="6" s="1"/>
  <c r="AT255" i="6"/>
  <c r="BE255" i="6"/>
  <c r="U256" i="6" s="1"/>
  <c r="AS182" i="6"/>
  <c r="AU182" i="6" s="1"/>
  <c r="AR651" i="6"/>
  <c r="AQ651" i="6"/>
  <c r="AR147" i="6"/>
  <c r="AQ147" i="6"/>
  <c r="BD1661" i="6"/>
  <c r="AP1661" i="6"/>
  <c r="AQ1623" i="6"/>
  <c r="BD40" i="6"/>
  <c r="T41" i="6" s="1"/>
  <c r="AP40" i="6"/>
  <c r="AQ867" i="6"/>
  <c r="AN1078" i="6"/>
  <c r="AU1078" i="6" s="1"/>
  <c r="BE436" i="6"/>
  <c r="U437" i="6" s="1"/>
  <c r="AL1510" i="6"/>
  <c r="AM1510" i="6"/>
  <c r="AM1553" i="6"/>
  <c r="AL1553" i="6"/>
  <c r="BE1226" i="6"/>
  <c r="U1227" i="6" s="1"/>
  <c r="AT1226" i="6"/>
  <c r="AT1155" i="6"/>
  <c r="BE1155" i="6"/>
  <c r="U1156" i="6" s="1"/>
  <c r="AT976" i="6"/>
  <c r="AU976" i="6" s="1"/>
  <c r="BE976" i="6"/>
  <c r="U977" i="6" s="1"/>
  <c r="AL863" i="6"/>
  <c r="AM863" i="6"/>
  <c r="BA797" i="6"/>
  <c r="AG797" i="6"/>
  <c r="BD1082" i="6"/>
  <c r="T1083" i="6" s="1"/>
  <c r="AP1082" i="6"/>
  <c r="BD1444" i="6"/>
  <c r="T1445" i="6" s="1"/>
  <c r="AP1444" i="6"/>
  <c r="BA1121" i="6"/>
  <c r="AG1121" i="6"/>
  <c r="AT219" i="6"/>
  <c r="BE219" i="6"/>
  <c r="U220" i="6" s="1"/>
  <c r="AR1372" i="6"/>
  <c r="AQ1372" i="6"/>
  <c r="AT866" i="6"/>
  <c r="BE866" i="6"/>
  <c r="U867" i="6" s="1"/>
  <c r="BE833" i="6"/>
  <c r="AT1263" i="6"/>
  <c r="BE1263" i="6"/>
  <c r="U1264" i="6" s="1"/>
  <c r="AT1478" i="6"/>
  <c r="BE1478" i="6"/>
  <c r="U1479" i="6" s="1"/>
  <c r="BD652" i="6"/>
  <c r="T653" i="6" s="1"/>
  <c r="AP652" i="6"/>
  <c r="BD148" i="6"/>
  <c r="T149" i="6" s="1"/>
  <c r="AP148" i="6"/>
  <c r="AT1299" i="6"/>
  <c r="BE1299" i="6"/>
  <c r="U1300" i="6" s="1"/>
  <c r="BD1624" i="6"/>
  <c r="T1625" i="6" s="1"/>
  <c r="AP1624" i="6"/>
  <c r="BA1085" i="6"/>
  <c r="BD868" i="6"/>
  <c r="T869" i="6" s="1"/>
  <c r="AP868" i="6"/>
  <c r="AM832" i="6"/>
  <c r="AL832" i="6"/>
  <c r="BE543" i="6"/>
  <c r="U544" i="6" s="1"/>
  <c r="AT543" i="6"/>
  <c r="AQ1660" i="6"/>
  <c r="AZ1511" i="6"/>
  <c r="P1512" i="6" s="1"/>
  <c r="AK1511" i="6"/>
  <c r="AR1511" i="6" s="1"/>
  <c r="AS1511" i="6" s="1"/>
  <c r="AG1511" i="6"/>
  <c r="AQ1119" i="6"/>
  <c r="AR1119" i="6"/>
  <c r="AL653" i="6"/>
  <c r="AM653" i="6"/>
  <c r="AM755" i="6"/>
  <c r="AL755" i="6"/>
  <c r="AM432" i="6"/>
  <c r="AL432" i="6"/>
  <c r="AL107" i="6"/>
  <c r="AM107" i="6"/>
  <c r="BD1373" i="6"/>
  <c r="AP1373" i="6"/>
  <c r="AR399" i="6"/>
  <c r="AQ399" i="6"/>
  <c r="AT111" i="6"/>
  <c r="BE111" i="6"/>
  <c r="U112" i="6" s="1"/>
  <c r="AL71" i="6"/>
  <c r="AM71" i="6"/>
  <c r="AU290" i="6"/>
  <c r="AQ1515" i="6"/>
  <c r="AL1438" i="6"/>
  <c r="AM1438" i="6"/>
  <c r="AM502" i="6"/>
  <c r="AL502" i="6"/>
  <c r="AT1659" i="6"/>
  <c r="BE1659" i="6"/>
  <c r="U1660" i="6" s="1"/>
  <c r="AT1083" i="6"/>
  <c r="BE1083" i="6"/>
  <c r="U1084" i="6" s="1"/>
  <c r="AT1622" i="6"/>
  <c r="BE1622" i="6"/>
  <c r="U1623" i="6" s="1"/>
  <c r="AQ1155" i="6"/>
  <c r="AZ864" i="6"/>
  <c r="P865" i="6" s="1"/>
  <c r="AK864" i="6"/>
  <c r="AR864" i="6" s="1"/>
  <c r="AS864" i="6" s="1"/>
  <c r="AG864" i="6"/>
  <c r="AQ76" i="6"/>
  <c r="BD1120" i="6"/>
  <c r="T1121" i="6" s="1"/>
  <c r="AP1120" i="6"/>
  <c r="AZ433" i="6"/>
  <c r="P434" i="6" s="1"/>
  <c r="AG433" i="6"/>
  <c r="AK433" i="6"/>
  <c r="AR433" i="6" s="1"/>
  <c r="AS433" i="6" s="1"/>
  <c r="BO1408" i="6"/>
  <c r="BN1409" i="6" s="1"/>
  <c r="AK1408" i="6"/>
  <c r="AM1408" i="6" s="1"/>
  <c r="AN1408" i="6" s="1"/>
  <c r="BO221" i="6"/>
  <c r="BD400" i="6"/>
  <c r="T401" i="6" s="1"/>
  <c r="AP400" i="6"/>
  <c r="AM1371" i="6"/>
  <c r="AL1371" i="6"/>
  <c r="AT472" i="6"/>
  <c r="BE472" i="6"/>
  <c r="U473" i="6" s="1"/>
  <c r="AT1371" i="6"/>
  <c r="BE1371" i="6"/>
  <c r="U1372" i="6" s="1"/>
  <c r="AQ687" i="6"/>
  <c r="BD1516" i="6"/>
  <c r="T1517" i="6" s="1"/>
  <c r="AP1516" i="6"/>
  <c r="BE508" i="6"/>
  <c r="U509" i="6" s="1"/>
  <c r="AQ761" i="6"/>
  <c r="BE1408" i="6"/>
  <c r="U1409" i="6" s="1"/>
  <c r="AL1228" i="6"/>
  <c r="AM1228" i="6"/>
  <c r="AZ1475" i="6"/>
  <c r="P1476" i="6" s="1"/>
  <c r="AK1475" i="6"/>
  <c r="AR1475" i="6" s="1"/>
  <c r="AS1475" i="6" s="1"/>
  <c r="AG1475" i="6"/>
  <c r="AT147" i="6"/>
  <c r="BE147" i="6"/>
  <c r="U148" i="6" s="1"/>
  <c r="BD1156" i="6"/>
  <c r="T1157" i="6" s="1"/>
  <c r="AP1156" i="6"/>
  <c r="AZ1152" i="6"/>
  <c r="P1153" i="6" s="1"/>
  <c r="AK1152" i="6"/>
  <c r="AR1152" i="6" s="1"/>
  <c r="AS1152" i="6" s="1"/>
  <c r="AG1152" i="6"/>
  <c r="AQ831" i="6"/>
  <c r="AR831" i="6"/>
  <c r="BD77" i="6"/>
  <c r="AP77" i="6"/>
  <c r="BE724" i="6"/>
  <c r="U725" i="6" s="1"/>
  <c r="AZ756" i="6"/>
  <c r="P757" i="6" s="1"/>
  <c r="AK756" i="6"/>
  <c r="AR756" i="6" s="1"/>
  <c r="AS756" i="6" s="1"/>
  <c r="AG756" i="6"/>
  <c r="AM1079" i="6"/>
  <c r="AL1079" i="6"/>
  <c r="AZ108" i="6"/>
  <c r="P109" i="6" s="1"/>
  <c r="AK108" i="6"/>
  <c r="AR108" i="6" s="1"/>
  <c r="AS108" i="6" s="1"/>
  <c r="AG108" i="6"/>
  <c r="AN1370" i="6"/>
  <c r="AU1370" i="6" s="1"/>
  <c r="AR255" i="6"/>
  <c r="AQ255" i="6"/>
  <c r="AQ471" i="6"/>
  <c r="AR471" i="6"/>
  <c r="BA1372" i="6"/>
  <c r="Q1373" i="6" s="1"/>
  <c r="AG1372" i="6"/>
  <c r="AR1011" i="6"/>
  <c r="AQ1011" i="6"/>
  <c r="AZ72" i="6"/>
  <c r="P73" i="6" s="1"/>
  <c r="AK72" i="6"/>
  <c r="AR72" i="6" s="1"/>
  <c r="AS72" i="6" s="1"/>
  <c r="AG72" i="6"/>
  <c r="AS1010" i="6"/>
  <c r="BD688" i="6"/>
  <c r="T689" i="6" s="1"/>
  <c r="AP688" i="6"/>
  <c r="AZ1439" i="6"/>
  <c r="P1440" i="6" s="1"/>
  <c r="AK1439" i="6"/>
  <c r="AR1439" i="6" s="1"/>
  <c r="AS1439" i="6" s="1"/>
  <c r="AG1439" i="6"/>
  <c r="AZ503" i="6"/>
  <c r="P504" i="6" s="1"/>
  <c r="AK503" i="6"/>
  <c r="AR503" i="6" s="1"/>
  <c r="AS503" i="6" s="1"/>
  <c r="AG503" i="6"/>
  <c r="AL683" i="6"/>
  <c r="AM683" i="6"/>
  <c r="BA1229" i="6"/>
  <c r="AG1229" i="6"/>
  <c r="AQ219" i="6"/>
  <c r="AQ435" i="6"/>
  <c r="AM323" i="6"/>
  <c r="AL323" i="6"/>
  <c r="BD832" i="6"/>
  <c r="T833" i="6" s="1"/>
  <c r="AP832" i="6"/>
  <c r="AT75" i="6"/>
  <c r="BE75" i="6"/>
  <c r="U76" i="6" s="1"/>
  <c r="AL941" i="6"/>
  <c r="AM941" i="6"/>
  <c r="BE1010" i="6"/>
  <c r="U1011" i="6" s="1"/>
  <c r="AT1010" i="6"/>
  <c r="BD256" i="6"/>
  <c r="T257" i="6" s="1"/>
  <c r="AP256" i="6"/>
  <c r="AR615" i="6"/>
  <c r="AQ615" i="6"/>
  <c r="BD472" i="6"/>
  <c r="T473" i="6" s="1"/>
  <c r="AP472" i="6"/>
  <c r="AM1583" i="6"/>
  <c r="AL1583" i="6"/>
  <c r="AT1047" i="6"/>
  <c r="BE1047" i="6"/>
  <c r="U1048" i="6" s="1"/>
  <c r="AP1012" i="6"/>
  <c r="BD1012" i="6"/>
  <c r="T1013" i="6" s="1"/>
  <c r="AS650" i="6"/>
  <c r="AU650" i="6" s="1"/>
  <c r="AZ684" i="6"/>
  <c r="P685" i="6" s="1"/>
  <c r="AG684" i="6"/>
  <c r="AK684" i="6"/>
  <c r="AR684" i="6" s="1"/>
  <c r="AS684" i="6" s="1"/>
  <c r="AM1474" i="6"/>
  <c r="AL1474" i="6"/>
  <c r="AT687" i="6"/>
  <c r="BE687" i="6"/>
  <c r="U688" i="6" s="1"/>
  <c r="AT1190" i="6"/>
  <c r="AU1190" i="6" s="1"/>
  <c r="BE1190" i="6"/>
  <c r="U1191" i="6" s="1"/>
  <c r="AQ1407" i="6"/>
  <c r="AR1407" i="6"/>
  <c r="AM1192" i="6"/>
  <c r="AL1192" i="6"/>
  <c r="AL1619" i="6"/>
  <c r="AM1619" i="6"/>
  <c r="BD220" i="6"/>
  <c r="T221" i="6" s="1"/>
  <c r="AP220" i="6"/>
  <c r="BD1408" i="6"/>
  <c r="T1409" i="6" s="1"/>
  <c r="AP1408" i="6"/>
  <c r="BD436" i="6"/>
  <c r="T437" i="6" s="1"/>
  <c r="AP436" i="6"/>
  <c r="AS794" i="6"/>
  <c r="AU794" i="6" s="1"/>
  <c r="AS1337" i="6"/>
  <c r="AN363" i="6"/>
  <c r="AN581" i="6"/>
  <c r="BA1265" i="6"/>
  <c r="AZ1080" i="6"/>
  <c r="P1081" i="6" s="1"/>
  <c r="AK1080" i="6"/>
  <c r="AR1080" i="6" s="1"/>
  <c r="AS1080" i="6" s="1"/>
  <c r="AG1080" i="6"/>
  <c r="AT651" i="6"/>
  <c r="BE651" i="6"/>
  <c r="U652" i="6" s="1"/>
  <c r="AN652" i="6"/>
  <c r="BD616" i="6"/>
  <c r="T617" i="6" s="1"/>
  <c r="AP616" i="6"/>
  <c r="AT183" i="6"/>
  <c r="BE183" i="6"/>
  <c r="U184" i="6" s="1"/>
  <c r="AZ1584" i="6"/>
  <c r="P1585" i="6" s="1"/>
  <c r="AG1584" i="6"/>
  <c r="AK1584" i="6"/>
  <c r="AR1584" i="6" s="1"/>
  <c r="AS1584" i="6" s="1"/>
  <c r="AU1508" i="6"/>
  <c r="AT1551" i="6"/>
  <c r="AU1551" i="6" s="1"/>
  <c r="BE1551" i="6"/>
  <c r="U1552" i="6" s="1"/>
  <c r="AR1299" i="6"/>
  <c r="AQ1299" i="6"/>
  <c r="AS1299" i="6" s="1"/>
  <c r="AL216" i="6"/>
  <c r="AM216" i="6"/>
  <c r="AM1259" i="6"/>
  <c r="AL1259" i="6"/>
  <c r="BA1193" i="6"/>
  <c r="AG1193" i="6"/>
  <c r="AM718" i="6"/>
  <c r="AL718" i="6"/>
  <c r="BA1157" i="6"/>
  <c r="AQ724" i="6"/>
  <c r="BE1442" i="6"/>
  <c r="U1443" i="6" s="1"/>
  <c r="AT1442" i="6"/>
  <c r="AL1655" i="6"/>
  <c r="AM1655" i="6"/>
  <c r="AQ939" i="6"/>
  <c r="AR939" i="6"/>
  <c r="AN1552" i="6"/>
  <c r="BD1300" i="6"/>
  <c r="T1301" i="6" s="1"/>
  <c r="AP1300" i="6"/>
  <c r="AS146" i="6"/>
  <c r="AU146" i="6" s="1"/>
  <c r="AZ217" i="6"/>
  <c r="P218" i="6" s="1"/>
  <c r="AG217" i="6"/>
  <c r="AK217" i="6"/>
  <c r="AR217" i="6" s="1"/>
  <c r="AS217" i="6" s="1"/>
  <c r="AT902" i="6"/>
  <c r="BE902" i="6"/>
  <c r="U903" i="6" s="1"/>
  <c r="AR1047" i="6"/>
  <c r="AQ1047" i="6"/>
  <c r="AP1048" i="6"/>
  <c r="BD1048" i="6"/>
  <c r="T1049" i="6" s="1"/>
  <c r="AZ540" i="6"/>
  <c r="P541" i="6" s="1"/>
  <c r="AG540" i="6"/>
  <c r="AK540" i="6"/>
  <c r="AR540" i="6" s="1"/>
  <c r="AS540" i="6" s="1"/>
  <c r="AZ324" i="6"/>
  <c r="P325" i="6" s="1"/>
  <c r="AK324" i="6"/>
  <c r="AR324" i="6" s="1"/>
  <c r="AS324" i="6" s="1"/>
  <c r="AG324" i="6"/>
  <c r="AT1586" i="6"/>
  <c r="BE1586" i="6"/>
  <c r="U1587" i="6" s="1"/>
  <c r="AT400" i="6"/>
  <c r="BE400" i="6"/>
  <c r="U401" i="6" s="1"/>
  <c r="AZ1620" i="6"/>
  <c r="P1621" i="6" s="1"/>
  <c r="AK1620" i="6"/>
  <c r="AR1620" i="6" s="1"/>
  <c r="AS1620" i="6" s="1"/>
  <c r="AG1620" i="6"/>
  <c r="AR795" i="6"/>
  <c r="AQ795" i="6"/>
  <c r="AN501" i="6"/>
  <c r="AU501" i="6" s="1"/>
  <c r="AU1436" i="6"/>
  <c r="AQ1479" i="6"/>
  <c r="AQ545" i="6"/>
  <c r="BE617" i="6"/>
  <c r="BE363" i="6"/>
  <c r="U364" i="6" s="1"/>
  <c r="AT363" i="6"/>
  <c r="BA725" i="6"/>
  <c r="BD725" i="6"/>
  <c r="AP725" i="6"/>
  <c r="AR183" i="6"/>
  <c r="AQ183" i="6"/>
  <c r="BD940" i="6"/>
  <c r="T941" i="6" s="1"/>
  <c r="AP940" i="6"/>
  <c r="AN431" i="6"/>
  <c r="AU431" i="6" s="1"/>
  <c r="AS1298" i="6"/>
  <c r="AU1298" i="6" s="1"/>
  <c r="AS398" i="6"/>
  <c r="AU398" i="6" s="1"/>
  <c r="AN1049" i="6"/>
  <c r="AT795" i="6"/>
  <c r="BE795" i="6"/>
  <c r="U796" i="6" s="1"/>
  <c r="AZ1260" i="6"/>
  <c r="P1261" i="6" s="1"/>
  <c r="AK1260" i="6"/>
  <c r="AR1260" i="6" s="1"/>
  <c r="AS1260" i="6" s="1"/>
  <c r="AG1260" i="6"/>
  <c r="AT1515" i="6"/>
  <c r="BE1515" i="6"/>
  <c r="U1516" i="6" s="1"/>
  <c r="BE327" i="6"/>
  <c r="U328" i="6" s="1"/>
  <c r="AT327" i="6"/>
  <c r="AR39" i="6"/>
  <c r="AQ39" i="6"/>
  <c r="AM1151" i="6"/>
  <c r="AL1151" i="6"/>
  <c r="AN1151" i="6" s="1"/>
  <c r="AU1151" i="6" s="1"/>
  <c r="AR901" i="6"/>
  <c r="AQ901" i="6"/>
  <c r="AS38" i="6"/>
  <c r="AU38" i="6" s="1"/>
  <c r="AN1437" i="6"/>
  <c r="AU1437" i="6" s="1"/>
  <c r="BD796" i="6"/>
  <c r="T797" i="6" s="1"/>
  <c r="AP796" i="6"/>
  <c r="AN831" i="6"/>
  <c r="BD1480" i="6"/>
  <c r="T1481" i="6" s="1"/>
  <c r="AP1480" i="6"/>
  <c r="AZ719" i="6"/>
  <c r="P720" i="6" s="1"/>
  <c r="AK719" i="6"/>
  <c r="AR719" i="6" s="1"/>
  <c r="AS719" i="6" s="1"/>
  <c r="AG719" i="6"/>
  <c r="AT939" i="6"/>
  <c r="BE939" i="6"/>
  <c r="U940" i="6" s="1"/>
  <c r="AR292" i="6"/>
  <c r="AQ292" i="6"/>
  <c r="AQ111" i="6"/>
  <c r="AQ508" i="6"/>
  <c r="AZ1656" i="6"/>
  <c r="P1657" i="6" s="1"/>
  <c r="AG1656" i="6"/>
  <c r="AK1656" i="6"/>
  <c r="AR1656" i="6" s="1"/>
  <c r="AS1656" i="6" s="1"/>
  <c r="BD184" i="6"/>
  <c r="T185" i="6" s="1"/>
  <c r="AP184" i="6"/>
  <c r="AQ1227" i="6"/>
  <c r="AR1227" i="6"/>
  <c r="AS938" i="6"/>
  <c r="AU938" i="6" s="1"/>
  <c r="AS470" i="6"/>
  <c r="AU470" i="6" s="1"/>
  <c r="AN1582" i="6"/>
  <c r="AU1582" i="6" s="1"/>
  <c r="AM617" i="6"/>
  <c r="AL617" i="6"/>
  <c r="AQ1588" i="6"/>
  <c r="AN862" i="6"/>
  <c r="AU862" i="6" s="1"/>
  <c r="AN1654" i="6"/>
  <c r="AU1654" i="6" s="1"/>
  <c r="AN796" i="6" l="1"/>
  <c r="AN539" i="6"/>
  <c r="AU539" i="6" s="1"/>
  <c r="AS183" i="6"/>
  <c r="AU183" i="6" s="1"/>
  <c r="AS399" i="6"/>
  <c r="AU399" i="6" s="1"/>
  <c r="AU578" i="6"/>
  <c r="AN1619" i="6"/>
  <c r="AU1619" i="6" s="1"/>
  <c r="AS471" i="6"/>
  <c r="AU471" i="6" s="1"/>
  <c r="AS1047" i="6"/>
  <c r="AU1047" i="6" s="1"/>
  <c r="AS1407" i="6"/>
  <c r="AU1407" i="6" s="1"/>
  <c r="AS39" i="6"/>
  <c r="AU39" i="6" s="1"/>
  <c r="AU1299" i="6"/>
  <c r="AN1438" i="6"/>
  <c r="AU1438" i="6" s="1"/>
  <c r="AU1010" i="6"/>
  <c r="AU1226" i="6"/>
  <c r="AS615" i="6"/>
  <c r="AU615" i="6" s="1"/>
  <c r="AN323" i="6"/>
  <c r="AU323" i="6" s="1"/>
  <c r="AN1192" i="6"/>
  <c r="AS255" i="6"/>
  <c r="AU255" i="6" s="1"/>
  <c r="AN1259" i="6"/>
  <c r="AU1259" i="6" s="1"/>
  <c r="AS651" i="6"/>
  <c r="AU651" i="6" s="1"/>
  <c r="AN364" i="6"/>
  <c r="AN863" i="6"/>
  <c r="AU863" i="6" s="1"/>
  <c r="AN1079" i="6"/>
  <c r="AU1079" i="6" s="1"/>
  <c r="AS579" i="6"/>
  <c r="AN617" i="6"/>
  <c r="AT617" i="6"/>
  <c r="AN653" i="6"/>
  <c r="AN1510" i="6"/>
  <c r="AU1510" i="6" s="1"/>
  <c r="AN502" i="6"/>
  <c r="AU502" i="6" s="1"/>
  <c r="AN718" i="6"/>
  <c r="AU718" i="6" s="1"/>
  <c r="AM719" i="6"/>
  <c r="AL719" i="6"/>
  <c r="AT796" i="6"/>
  <c r="BE796" i="6"/>
  <c r="U797" i="6" s="1"/>
  <c r="AS795" i="6"/>
  <c r="AM217" i="6"/>
  <c r="AL217" i="6"/>
  <c r="AZ1585" i="6"/>
  <c r="P1586" i="6" s="1"/>
  <c r="AG1585" i="6"/>
  <c r="AK1585" i="6"/>
  <c r="AR1585" i="6" s="1"/>
  <c r="AS1585" i="6" s="1"/>
  <c r="AM1229" i="6"/>
  <c r="AL1229" i="6"/>
  <c r="AZ1440" i="6"/>
  <c r="P1441" i="6" s="1"/>
  <c r="AK1440" i="6"/>
  <c r="AR1440" i="6" s="1"/>
  <c r="AS1440" i="6" s="1"/>
  <c r="AG1440" i="6"/>
  <c r="AZ757" i="6"/>
  <c r="P758" i="6" s="1"/>
  <c r="AK757" i="6"/>
  <c r="AR757" i="6" s="1"/>
  <c r="AS757" i="6" s="1"/>
  <c r="AG757" i="6"/>
  <c r="BD1157" i="6"/>
  <c r="AP1157" i="6"/>
  <c r="BE509" i="6"/>
  <c r="AR400" i="6"/>
  <c r="AQ400" i="6"/>
  <c r="BD1121" i="6"/>
  <c r="AP1121" i="6"/>
  <c r="BE1660" i="6"/>
  <c r="U1661" i="6" s="1"/>
  <c r="AQ652" i="6"/>
  <c r="AR652" i="6"/>
  <c r="BE220" i="6"/>
  <c r="U221" i="6" s="1"/>
  <c r="BE437" i="6"/>
  <c r="BD653" i="6"/>
  <c r="AP653" i="6"/>
  <c r="AT40" i="6"/>
  <c r="BE40" i="6"/>
  <c r="U41" i="6" s="1"/>
  <c r="AM833" i="6"/>
  <c r="AL833" i="6"/>
  <c r="AR1228" i="6"/>
  <c r="AQ1228" i="6"/>
  <c r="AR902" i="6"/>
  <c r="AQ902" i="6"/>
  <c r="AZ1657" i="6"/>
  <c r="P1658" i="6" s="1"/>
  <c r="AG1657" i="6"/>
  <c r="AK1657" i="6"/>
  <c r="AR1657" i="6" s="1"/>
  <c r="AS1657" i="6" s="1"/>
  <c r="AZ720" i="6"/>
  <c r="P721" i="6" s="1"/>
  <c r="AK720" i="6"/>
  <c r="AR720" i="6" s="1"/>
  <c r="AS720" i="6" s="1"/>
  <c r="AG720" i="6"/>
  <c r="AL1620" i="6"/>
  <c r="AM1620" i="6"/>
  <c r="AL540" i="6"/>
  <c r="AM540" i="6"/>
  <c r="AZ685" i="6"/>
  <c r="P686" i="6" s="1"/>
  <c r="AG685" i="6"/>
  <c r="AK685" i="6"/>
  <c r="AR685" i="6" s="1"/>
  <c r="AS685" i="6" s="1"/>
  <c r="BD473" i="6"/>
  <c r="AP473" i="6"/>
  <c r="BD689" i="6"/>
  <c r="AP689" i="6"/>
  <c r="AQ1516" i="6"/>
  <c r="AQ868" i="6"/>
  <c r="AT1479" i="6"/>
  <c r="BE1479" i="6"/>
  <c r="U1480" i="6" s="1"/>
  <c r="AM1121" i="6"/>
  <c r="AL1121" i="6"/>
  <c r="AT977" i="6"/>
  <c r="AU977" i="6" s="1"/>
  <c r="BE977" i="6"/>
  <c r="BD1229" i="6"/>
  <c r="AP1229" i="6"/>
  <c r="BD903" i="6"/>
  <c r="T904" i="6" s="1"/>
  <c r="AP903" i="6"/>
  <c r="AQ688" i="6"/>
  <c r="AQ1480" i="6"/>
  <c r="AT364" i="6"/>
  <c r="BE364" i="6"/>
  <c r="U365" i="6" s="1"/>
  <c r="AZ541" i="6"/>
  <c r="P542" i="6" s="1"/>
  <c r="AG541" i="6"/>
  <c r="AK541" i="6"/>
  <c r="AR541" i="6" s="1"/>
  <c r="AS541" i="6" s="1"/>
  <c r="AR1300" i="6"/>
  <c r="AQ1300" i="6"/>
  <c r="AQ616" i="6"/>
  <c r="AR616" i="6"/>
  <c r="AQ832" i="6"/>
  <c r="AR832" i="6"/>
  <c r="AL1475" i="6"/>
  <c r="AM1475" i="6"/>
  <c r="BD1517" i="6"/>
  <c r="AP1517" i="6"/>
  <c r="AM864" i="6"/>
  <c r="AL864" i="6"/>
  <c r="AR1373" i="6"/>
  <c r="AQ1373" i="6"/>
  <c r="AS1119" i="6"/>
  <c r="AU1119" i="6" s="1"/>
  <c r="BD869" i="6"/>
  <c r="AP869" i="6"/>
  <c r="AT1120" i="6"/>
  <c r="BE1120" i="6"/>
  <c r="U1121" i="6" s="1"/>
  <c r="AM1656" i="6"/>
  <c r="AL1656" i="6"/>
  <c r="AR472" i="6"/>
  <c r="AQ472" i="6"/>
  <c r="BD1481" i="6"/>
  <c r="AP1481" i="6"/>
  <c r="AZ1621" i="6"/>
  <c r="P1622" i="6" s="1"/>
  <c r="AG1621" i="6"/>
  <c r="AK1621" i="6"/>
  <c r="AR1621" i="6" s="1"/>
  <c r="AS1621" i="6" s="1"/>
  <c r="BD1049" i="6"/>
  <c r="AP1049" i="6"/>
  <c r="BD1301" i="6"/>
  <c r="AP1301" i="6"/>
  <c r="AN216" i="6"/>
  <c r="AT216" i="6"/>
  <c r="BD617" i="6"/>
  <c r="AP617" i="6"/>
  <c r="BD833" i="6"/>
  <c r="AP833" i="6"/>
  <c r="AM72" i="6"/>
  <c r="AL72" i="6"/>
  <c r="AQ77" i="6"/>
  <c r="AM1511" i="6"/>
  <c r="AL1511" i="6"/>
  <c r="BE1264" i="6"/>
  <c r="U1265" i="6" s="1"/>
  <c r="AQ1444" i="6"/>
  <c r="BE1156" i="6"/>
  <c r="U1157" i="6" s="1"/>
  <c r="AR256" i="6"/>
  <c r="AQ256" i="6"/>
  <c r="AM108" i="6"/>
  <c r="AL108" i="6"/>
  <c r="AZ1476" i="6"/>
  <c r="P1477" i="6" s="1"/>
  <c r="AK1476" i="6"/>
  <c r="AR1476" i="6" s="1"/>
  <c r="AS1476" i="6" s="1"/>
  <c r="AG1476" i="6"/>
  <c r="AZ865" i="6"/>
  <c r="P866" i="6" s="1"/>
  <c r="AK865" i="6"/>
  <c r="AR865" i="6" s="1"/>
  <c r="AS865" i="6" s="1"/>
  <c r="AG865" i="6"/>
  <c r="BD1445" i="6"/>
  <c r="AP1445" i="6"/>
  <c r="AR40" i="6"/>
  <c r="AQ40" i="6"/>
  <c r="AT256" i="6"/>
  <c r="BE256" i="6"/>
  <c r="U257" i="6" s="1"/>
  <c r="AT579" i="6"/>
  <c r="BE579" i="6"/>
  <c r="U580" i="6" s="1"/>
  <c r="AM365" i="6"/>
  <c r="AL365" i="6"/>
  <c r="AM684" i="6"/>
  <c r="AL684" i="6"/>
  <c r="BE328" i="6"/>
  <c r="U329" i="6" s="1"/>
  <c r="AT652" i="6"/>
  <c r="BE652" i="6"/>
  <c r="U653" i="6" s="1"/>
  <c r="BD437" i="6"/>
  <c r="AP437" i="6"/>
  <c r="AT1191" i="6"/>
  <c r="AU1191" i="6" s="1"/>
  <c r="BE1191" i="6"/>
  <c r="U1192" i="6" s="1"/>
  <c r="BD257" i="6"/>
  <c r="AP257" i="6"/>
  <c r="AN683" i="6"/>
  <c r="AU683" i="6" s="1"/>
  <c r="AZ73" i="6"/>
  <c r="P74" i="6" s="1"/>
  <c r="AK73" i="6"/>
  <c r="AR73" i="6" s="1"/>
  <c r="AS73" i="6" s="1"/>
  <c r="AG73" i="6"/>
  <c r="BE1372" i="6"/>
  <c r="U1373" i="6" s="1"/>
  <c r="BO1409" i="6"/>
  <c r="AK1409" i="6"/>
  <c r="AM1409" i="6" s="1"/>
  <c r="AN1409" i="6" s="1"/>
  <c r="AZ1512" i="6"/>
  <c r="P1513" i="6" s="1"/>
  <c r="AK1512" i="6"/>
  <c r="AR1512" i="6" s="1"/>
  <c r="AS1512" i="6" s="1"/>
  <c r="AG1512" i="6"/>
  <c r="AQ1624" i="6"/>
  <c r="AQ1082" i="6"/>
  <c r="BD41" i="6"/>
  <c r="AP41" i="6"/>
  <c r="AQ509" i="6"/>
  <c r="BE760" i="6"/>
  <c r="U761" i="6" s="1"/>
  <c r="AZ218" i="6"/>
  <c r="P219" i="6" s="1"/>
  <c r="AG218" i="6"/>
  <c r="AK218" i="6"/>
  <c r="AR218" i="6" s="1"/>
  <c r="AS218" i="6" s="1"/>
  <c r="AT148" i="6"/>
  <c r="BE148" i="6"/>
  <c r="U149" i="6" s="1"/>
  <c r="AQ796" i="6"/>
  <c r="AR796" i="6"/>
  <c r="AR940" i="6"/>
  <c r="AQ940" i="6"/>
  <c r="AS292" i="6"/>
  <c r="BD797" i="6"/>
  <c r="AP797" i="6"/>
  <c r="BE1516" i="6"/>
  <c r="U1517" i="6" s="1"/>
  <c r="BD941" i="6"/>
  <c r="AP941" i="6"/>
  <c r="BE1587" i="6"/>
  <c r="U1588" i="6" s="1"/>
  <c r="AT1587" i="6"/>
  <c r="AS939" i="6"/>
  <c r="AU939" i="6" s="1"/>
  <c r="AT1552" i="6"/>
  <c r="AU1552" i="6" s="1"/>
  <c r="BE1552" i="6"/>
  <c r="U1553" i="6" s="1"/>
  <c r="AR1408" i="6"/>
  <c r="AQ1408" i="6"/>
  <c r="BD1013" i="6"/>
  <c r="AP1013" i="6"/>
  <c r="AM503" i="6"/>
  <c r="AL503" i="6"/>
  <c r="AS1011" i="6"/>
  <c r="AZ109" i="6"/>
  <c r="P110" i="6" s="1"/>
  <c r="AK109" i="6"/>
  <c r="AR109" i="6" s="1"/>
  <c r="AS109" i="6" s="1"/>
  <c r="AG109" i="6"/>
  <c r="AS831" i="6"/>
  <c r="AU831" i="6" s="1"/>
  <c r="AN1228" i="6"/>
  <c r="AN107" i="6"/>
  <c r="AU107" i="6" s="1"/>
  <c r="BD1625" i="6"/>
  <c r="AP1625" i="6"/>
  <c r="BD1083" i="6"/>
  <c r="T1084" i="6" s="1"/>
  <c r="AP1083" i="6"/>
  <c r="AT1227" i="6"/>
  <c r="BE1227" i="6"/>
  <c r="U1228" i="6" s="1"/>
  <c r="AQ580" i="6"/>
  <c r="AR580" i="6"/>
  <c r="AT184" i="6"/>
  <c r="BE184" i="6"/>
  <c r="U185" i="6" s="1"/>
  <c r="AM1193" i="6"/>
  <c r="AL1193" i="6"/>
  <c r="AL1080" i="6"/>
  <c r="AM1080" i="6"/>
  <c r="AP1409" i="6"/>
  <c r="BD1409" i="6"/>
  <c r="BE688" i="6"/>
  <c r="U689" i="6" s="1"/>
  <c r="AQ1012" i="6"/>
  <c r="AR1012" i="6"/>
  <c r="BE1011" i="6"/>
  <c r="U1012" i="6" s="1"/>
  <c r="AT1011" i="6"/>
  <c r="AL1152" i="6"/>
  <c r="AM1152" i="6"/>
  <c r="AT1408" i="6"/>
  <c r="AT473" i="6"/>
  <c r="BE473" i="6"/>
  <c r="AM433" i="6"/>
  <c r="AL433" i="6"/>
  <c r="BE1623" i="6"/>
  <c r="U1624" i="6" s="1"/>
  <c r="AT1623" i="6"/>
  <c r="AN432" i="6"/>
  <c r="AT432" i="6"/>
  <c r="BE1300" i="6"/>
  <c r="U1301" i="6" s="1"/>
  <c r="AT1300" i="6"/>
  <c r="AT867" i="6"/>
  <c r="BE867" i="6"/>
  <c r="U868" i="6" s="1"/>
  <c r="AM797" i="6"/>
  <c r="AL797" i="6"/>
  <c r="AN1553" i="6"/>
  <c r="AT292" i="6"/>
  <c r="BE292" i="6"/>
  <c r="U293" i="6" s="1"/>
  <c r="BD113" i="6"/>
  <c r="AP113" i="6"/>
  <c r="AT1336" i="6"/>
  <c r="AU1336" i="6" s="1"/>
  <c r="BE1336" i="6"/>
  <c r="U1337" i="6" s="1"/>
  <c r="BD581" i="6"/>
  <c r="AP581" i="6"/>
  <c r="AR1048" i="6"/>
  <c r="AQ1048" i="6"/>
  <c r="AL1260" i="6"/>
  <c r="AM1260" i="6"/>
  <c r="AL324" i="6"/>
  <c r="AM324" i="6"/>
  <c r="AT903" i="6"/>
  <c r="BE903" i="6"/>
  <c r="U904" i="6" s="1"/>
  <c r="AN1655" i="6"/>
  <c r="AU1655" i="6" s="1"/>
  <c r="AQ220" i="6"/>
  <c r="BE1048" i="6"/>
  <c r="U1049" i="6" s="1"/>
  <c r="AT1048" i="6"/>
  <c r="AZ504" i="6"/>
  <c r="P505" i="6" s="1"/>
  <c r="AK504" i="6"/>
  <c r="AR504" i="6" s="1"/>
  <c r="AS504" i="6" s="1"/>
  <c r="AG504" i="6"/>
  <c r="AL1372" i="6"/>
  <c r="AM1372" i="6"/>
  <c r="BE1409" i="6"/>
  <c r="AZ434" i="6"/>
  <c r="P435" i="6" s="1"/>
  <c r="AG434" i="6"/>
  <c r="AK434" i="6"/>
  <c r="AR434" i="6" s="1"/>
  <c r="AS434" i="6" s="1"/>
  <c r="AQ1661" i="6"/>
  <c r="AR364" i="6"/>
  <c r="AQ364" i="6"/>
  <c r="AQ1589" i="6"/>
  <c r="AQ112" i="6"/>
  <c r="AS363" i="6"/>
  <c r="AU363" i="6" s="1"/>
  <c r="BE725" i="6"/>
  <c r="AQ436" i="6"/>
  <c r="AS1227" i="6"/>
  <c r="AR184" i="6"/>
  <c r="AQ184" i="6"/>
  <c r="AT940" i="6"/>
  <c r="BE940" i="6"/>
  <c r="U941" i="6" s="1"/>
  <c r="AQ725" i="6"/>
  <c r="AZ1081" i="6"/>
  <c r="P1082" i="6" s="1"/>
  <c r="AK1081" i="6"/>
  <c r="AR1081" i="6" s="1"/>
  <c r="AS1081" i="6" s="1"/>
  <c r="AG1081" i="6"/>
  <c r="BD221" i="6"/>
  <c r="AP221" i="6"/>
  <c r="AN1474" i="6"/>
  <c r="AU1474" i="6" s="1"/>
  <c r="AN941" i="6"/>
  <c r="AM1439" i="6"/>
  <c r="AL1439" i="6"/>
  <c r="BA1373" i="6"/>
  <c r="AG1373" i="6"/>
  <c r="AM756" i="6"/>
  <c r="AL756" i="6"/>
  <c r="AZ1153" i="6"/>
  <c r="P1154" i="6" s="1"/>
  <c r="AK1153" i="6"/>
  <c r="AR1153" i="6" s="1"/>
  <c r="AS1153" i="6" s="1"/>
  <c r="AG1153" i="6"/>
  <c r="AN1371" i="6"/>
  <c r="AU1371" i="6" s="1"/>
  <c r="BE1084" i="6"/>
  <c r="U1085" i="6" s="1"/>
  <c r="AN71" i="6"/>
  <c r="AU71" i="6" s="1"/>
  <c r="AN755" i="6"/>
  <c r="AU755" i="6" s="1"/>
  <c r="BE544" i="6"/>
  <c r="U545" i="6" s="1"/>
  <c r="AR148" i="6"/>
  <c r="AQ148" i="6"/>
  <c r="AS1372" i="6"/>
  <c r="AU795" i="6"/>
  <c r="BD365" i="6"/>
  <c r="AP365" i="6"/>
  <c r="BD401" i="6"/>
  <c r="AP401" i="6"/>
  <c r="AT401" i="6"/>
  <c r="BE401" i="6"/>
  <c r="BD185" i="6"/>
  <c r="AP185" i="6"/>
  <c r="AS901" i="6"/>
  <c r="AU901" i="6" s="1"/>
  <c r="AZ1261" i="6"/>
  <c r="P1262" i="6" s="1"/>
  <c r="AK1261" i="6"/>
  <c r="AR1261" i="6" s="1"/>
  <c r="AS1261" i="6" s="1"/>
  <c r="AG1261" i="6"/>
  <c r="AZ325" i="6"/>
  <c r="P326" i="6" s="1"/>
  <c r="AK325" i="6"/>
  <c r="AR325" i="6" s="1"/>
  <c r="AS325" i="6" s="1"/>
  <c r="AG325" i="6"/>
  <c r="AT1443" i="6"/>
  <c r="BE1443" i="6"/>
  <c r="U1444" i="6" s="1"/>
  <c r="AM1584" i="6"/>
  <c r="AL1584" i="6"/>
  <c r="AN1583" i="6"/>
  <c r="AU1583" i="6" s="1"/>
  <c r="BE76" i="6"/>
  <c r="U77" i="6" s="1"/>
  <c r="AQ1156" i="6"/>
  <c r="AQ1120" i="6"/>
  <c r="AR1120" i="6"/>
  <c r="BE112" i="6"/>
  <c r="U113" i="6" s="1"/>
  <c r="AN832" i="6"/>
  <c r="AT832" i="6"/>
  <c r="BD149" i="6"/>
  <c r="AP149" i="6"/>
  <c r="AS147" i="6"/>
  <c r="AU147" i="6" s="1"/>
  <c r="AN1120" i="6"/>
  <c r="AR293" i="6"/>
  <c r="AQ293" i="6"/>
  <c r="AU579" i="6" l="1"/>
  <c r="AS1408" i="6"/>
  <c r="AS1228" i="6"/>
  <c r="AN719" i="6"/>
  <c r="AU719" i="6" s="1"/>
  <c r="AS1048" i="6"/>
  <c r="AU1048" i="6" s="1"/>
  <c r="AS832" i="6"/>
  <c r="AU832" i="6" s="1"/>
  <c r="AN1439" i="6"/>
  <c r="AU1439" i="6" s="1"/>
  <c r="AS472" i="6"/>
  <c r="AU472" i="6" s="1"/>
  <c r="AT1372" i="6"/>
  <c r="AS902" i="6"/>
  <c r="AU902" i="6" s="1"/>
  <c r="AT1409" i="6"/>
  <c r="AS580" i="6"/>
  <c r="AN1121" i="6"/>
  <c r="AN797" i="6"/>
  <c r="AS364" i="6"/>
  <c r="AU364" i="6" s="1"/>
  <c r="AN1193" i="6"/>
  <c r="AN365" i="6"/>
  <c r="AN217" i="6"/>
  <c r="AU217" i="6" s="1"/>
  <c r="AS1373" i="6"/>
  <c r="AU432" i="6"/>
  <c r="AU1227" i="6"/>
  <c r="AU1408" i="6"/>
  <c r="AQ401" i="6"/>
  <c r="AR401" i="6"/>
  <c r="AS184" i="6"/>
  <c r="AU184" i="6" s="1"/>
  <c r="AL504" i="6"/>
  <c r="AM504" i="6"/>
  <c r="AN433" i="6"/>
  <c r="AU433" i="6" s="1"/>
  <c r="BE689" i="6"/>
  <c r="AS940" i="6"/>
  <c r="AU940" i="6" s="1"/>
  <c r="AZ1513" i="6"/>
  <c r="P1514" i="6" s="1"/>
  <c r="AK1513" i="6"/>
  <c r="AR1513" i="6" s="1"/>
  <c r="AS1513" i="6" s="1"/>
  <c r="AG1513" i="6"/>
  <c r="BE1192" i="6"/>
  <c r="U1193" i="6" s="1"/>
  <c r="AT1192" i="6"/>
  <c r="AU1192" i="6" s="1"/>
  <c r="AT580" i="6"/>
  <c r="BE580" i="6"/>
  <c r="U581" i="6" s="1"/>
  <c r="AR617" i="6"/>
  <c r="AQ617" i="6"/>
  <c r="AQ869" i="6"/>
  <c r="AZ686" i="6"/>
  <c r="P687" i="6" s="1"/>
  <c r="AG686" i="6"/>
  <c r="AK686" i="6"/>
  <c r="AR686" i="6" s="1"/>
  <c r="AS686" i="6" s="1"/>
  <c r="AZ1658" i="6"/>
  <c r="P1659" i="6" s="1"/>
  <c r="AK1658" i="6"/>
  <c r="AR1658" i="6" s="1"/>
  <c r="AS1658" i="6" s="1"/>
  <c r="AG1658" i="6"/>
  <c r="AN1260" i="6"/>
  <c r="AT1260" i="6"/>
  <c r="AQ365" i="6"/>
  <c r="AR365" i="6"/>
  <c r="AQ437" i="6"/>
  <c r="AM1476" i="6"/>
  <c r="AL1476" i="6"/>
  <c r="BE1265" i="6"/>
  <c r="AM1585" i="6"/>
  <c r="AL1585" i="6"/>
  <c r="AZ505" i="6"/>
  <c r="P506" i="6" s="1"/>
  <c r="AK505" i="6"/>
  <c r="AR505" i="6" s="1"/>
  <c r="AS505" i="6" s="1"/>
  <c r="AG505" i="6"/>
  <c r="AL1153" i="6"/>
  <c r="AM1153" i="6"/>
  <c r="BE868" i="6"/>
  <c r="U869" i="6" s="1"/>
  <c r="AR1409" i="6"/>
  <c r="AQ1409" i="6"/>
  <c r="AT1228" i="6"/>
  <c r="AU1228" i="6" s="1"/>
  <c r="BE1228" i="6"/>
  <c r="U1229" i="6" s="1"/>
  <c r="AZ110" i="6"/>
  <c r="P111" i="6" s="1"/>
  <c r="AK110" i="6"/>
  <c r="AR110" i="6" s="1"/>
  <c r="AS110" i="6" s="1"/>
  <c r="AG110" i="6"/>
  <c r="BE1588" i="6"/>
  <c r="U1589" i="6" s="1"/>
  <c r="AS796" i="6"/>
  <c r="AU796" i="6" s="1"/>
  <c r="AT257" i="6"/>
  <c r="BE257" i="6"/>
  <c r="AU216" i="6"/>
  <c r="AS616" i="6"/>
  <c r="AU616" i="6" s="1"/>
  <c r="AR903" i="6"/>
  <c r="AQ903" i="6"/>
  <c r="AN540" i="6"/>
  <c r="AT540" i="6"/>
  <c r="BE221" i="6"/>
  <c r="AQ1157" i="6"/>
  <c r="AZ1586" i="6"/>
  <c r="P1587" i="6" s="1"/>
  <c r="AG1586" i="6"/>
  <c r="AK1586" i="6"/>
  <c r="AR1586" i="6" s="1"/>
  <c r="AS1586" i="6" s="1"/>
  <c r="AR149" i="6"/>
  <c r="AQ149" i="6"/>
  <c r="AQ185" i="6"/>
  <c r="AR185" i="6"/>
  <c r="AQ221" i="6"/>
  <c r="AN1584" i="6"/>
  <c r="AT1584" i="6"/>
  <c r="AT1049" i="6"/>
  <c r="BE1049" i="6"/>
  <c r="AQ581" i="6"/>
  <c r="AR581" i="6"/>
  <c r="AU1011" i="6"/>
  <c r="AR41" i="6"/>
  <c r="AQ41" i="6"/>
  <c r="BE1373" i="6"/>
  <c r="AT653" i="6"/>
  <c r="BE653" i="6"/>
  <c r="AZ1477" i="6"/>
  <c r="P1478" i="6" s="1"/>
  <c r="AK1477" i="6"/>
  <c r="AR1477" i="6" s="1"/>
  <c r="AS1477" i="6" s="1"/>
  <c r="AG1477" i="6"/>
  <c r="AN1511" i="6"/>
  <c r="AU1511" i="6" s="1"/>
  <c r="AR1301" i="6"/>
  <c r="AQ1301" i="6"/>
  <c r="AS1300" i="6"/>
  <c r="AU1300" i="6" s="1"/>
  <c r="BD904" i="6"/>
  <c r="T905" i="6" s="1"/>
  <c r="AP904" i="6"/>
  <c r="AS148" i="6"/>
  <c r="AU148" i="6" s="1"/>
  <c r="AZ1154" i="6"/>
  <c r="P1155" i="6" s="1"/>
  <c r="AK1154" i="6"/>
  <c r="AR1154" i="6" s="1"/>
  <c r="AS1154" i="6" s="1"/>
  <c r="AG1154" i="6"/>
  <c r="AL1081" i="6"/>
  <c r="AM1081" i="6"/>
  <c r="AN1080" i="6"/>
  <c r="AT1080" i="6"/>
  <c r="AQ1083" i="6"/>
  <c r="AN503" i="6"/>
  <c r="AU503" i="6" s="1"/>
  <c r="AR941" i="6"/>
  <c r="AQ941" i="6"/>
  <c r="AT149" i="6"/>
  <c r="BE149" i="6"/>
  <c r="AS40" i="6"/>
  <c r="AU40" i="6" s="1"/>
  <c r="AN108" i="6"/>
  <c r="AT108" i="6"/>
  <c r="AN1656" i="6"/>
  <c r="AT1656" i="6"/>
  <c r="AN864" i="6"/>
  <c r="AT864" i="6"/>
  <c r="AR1229" i="6"/>
  <c r="AQ1229" i="6"/>
  <c r="AN1620" i="6"/>
  <c r="AT1620" i="6"/>
  <c r="AN833" i="6"/>
  <c r="AT833" i="6"/>
  <c r="AM757" i="6"/>
  <c r="AL757" i="6"/>
  <c r="BE1444" i="6"/>
  <c r="U1445" i="6" s="1"/>
  <c r="BE1337" i="6"/>
  <c r="AT1337" i="6"/>
  <c r="AU1337" i="6" s="1"/>
  <c r="AM73" i="6"/>
  <c r="AL73" i="6"/>
  <c r="AR1049" i="6"/>
  <c r="AQ1049" i="6"/>
  <c r="AQ689" i="6"/>
  <c r="AS652" i="6"/>
  <c r="AU652" i="6" s="1"/>
  <c r="AL109" i="6"/>
  <c r="AM109" i="6"/>
  <c r="AN756" i="6"/>
  <c r="AT756" i="6"/>
  <c r="AL434" i="6"/>
  <c r="AM434" i="6"/>
  <c r="BE1301" i="6"/>
  <c r="AT1301" i="6"/>
  <c r="AN1152" i="6"/>
  <c r="AT1152" i="6"/>
  <c r="AP1084" i="6"/>
  <c r="BD1084" i="6"/>
  <c r="T1085" i="6" s="1"/>
  <c r="BE113" i="6"/>
  <c r="BE545" i="6"/>
  <c r="AZ1082" i="6"/>
  <c r="P1083" i="6" s="1"/>
  <c r="AK1082" i="6"/>
  <c r="AR1082" i="6" s="1"/>
  <c r="AS1082" i="6" s="1"/>
  <c r="AG1082" i="6"/>
  <c r="AZ435" i="6"/>
  <c r="P436" i="6" s="1"/>
  <c r="AG435" i="6"/>
  <c r="AK435" i="6"/>
  <c r="AR435" i="6" s="1"/>
  <c r="AS435" i="6" s="1"/>
  <c r="AQ1625" i="6"/>
  <c r="AQ1013" i="6"/>
  <c r="AR1013" i="6"/>
  <c r="BE1517" i="6"/>
  <c r="BE329" i="6"/>
  <c r="AQ1445" i="6"/>
  <c r="AS256" i="6"/>
  <c r="AU256" i="6" s="1"/>
  <c r="AQ1517" i="6"/>
  <c r="AM541" i="6"/>
  <c r="AL541" i="6"/>
  <c r="AM720" i="6"/>
  <c r="AL720" i="6"/>
  <c r="BE41" i="6"/>
  <c r="AT41" i="6"/>
  <c r="BE1661" i="6"/>
  <c r="AZ758" i="6"/>
  <c r="P759" i="6" s="1"/>
  <c r="AK758" i="6"/>
  <c r="AR758" i="6" s="1"/>
  <c r="AS758" i="6" s="1"/>
  <c r="AG758" i="6"/>
  <c r="AL1373" i="6"/>
  <c r="AM1373" i="6"/>
  <c r="BE904" i="6"/>
  <c r="U905" i="6" s="1"/>
  <c r="AT904" i="6"/>
  <c r="AQ113" i="6"/>
  <c r="AL218" i="6"/>
  <c r="AM218" i="6"/>
  <c r="AZ74" i="6"/>
  <c r="P75" i="6" s="1"/>
  <c r="AK74" i="6"/>
  <c r="AR74" i="6" s="1"/>
  <c r="AS74" i="6" s="1"/>
  <c r="AG74" i="6"/>
  <c r="AN684" i="6"/>
  <c r="AT684" i="6"/>
  <c r="AN72" i="6"/>
  <c r="AT72" i="6"/>
  <c r="AT1121" i="6"/>
  <c r="BE1121" i="6"/>
  <c r="AZ542" i="6"/>
  <c r="P543" i="6" s="1"/>
  <c r="AG542" i="6"/>
  <c r="AK542" i="6"/>
  <c r="AR542" i="6" s="1"/>
  <c r="AS542" i="6" s="1"/>
  <c r="P29" i="5"/>
  <c r="F30" i="2" s="1"/>
  <c r="M29" i="5"/>
  <c r="Q29" i="5"/>
  <c r="N29" i="5"/>
  <c r="G30" i="2" s="1"/>
  <c r="S29" i="5"/>
  <c r="R29" i="5"/>
  <c r="O29" i="5"/>
  <c r="H30" i="2" s="1"/>
  <c r="AR473" i="6"/>
  <c r="AQ473" i="6"/>
  <c r="AM1440" i="6"/>
  <c r="AL1440" i="6"/>
  <c r="AT797" i="6"/>
  <c r="BE797" i="6"/>
  <c r="BE77" i="6"/>
  <c r="AT185" i="6"/>
  <c r="BE185" i="6"/>
  <c r="AZ219" i="6"/>
  <c r="P220" i="6" s="1"/>
  <c r="AG219" i="6"/>
  <c r="AK219" i="6"/>
  <c r="AR219" i="6" s="1"/>
  <c r="AS219" i="6" s="1"/>
  <c r="AL1621" i="6"/>
  <c r="AM1621" i="6"/>
  <c r="AT365" i="6"/>
  <c r="BE365" i="6"/>
  <c r="AR653" i="6"/>
  <c r="AQ653" i="6"/>
  <c r="AR1121" i="6"/>
  <c r="AQ1121" i="6"/>
  <c r="AZ1262" i="6"/>
  <c r="P1263" i="6" s="1"/>
  <c r="AK1262" i="6"/>
  <c r="AR1262" i="6" s="1"/>
  <c r="AS1262" i="6" s="1"/>
  <c r="AG1262" i="6"/>
  <c r="AQ797" i="6"/>
  <c r="AR797" i="6"/>
  <c r="AS1120" i="6"/>
  <c r="AU1120" i="6" s="1"/>
  <c r="AT941" i="6"/>
  <c r="BE941" i="6"/>
  <c r="AT293" i="6"/>
  <c r="BE293" i="6"/>
  <c r="AL1512" i="6"/>
  <c r="AM1512" i="6"/>
  <c r="AR257" i="6"/>
  <c r="AQ257" i="6"/>
  <c r="BE1157" i="6"/>
  <c r="AR833" i="6"/>
  <c r="AQ833" i="6"/>
  <c r="AZ1622" i="6"/>
  <c r="P1623" i="6" s="1"/>
  <c r="AK1622" i="6"/>
  <c r="AR1622" i="6" s="1"/>
  <c r="AS1622" i="6" s="1"/>
  <c r="AG1622" i="6"/>
  <c r="AN1475" i="6"/>
  <c r="AU1475" i="6" s="1"/>
  <c r="AZ1441" i="6"/>
  <c r="P1442" i="6" s="1"/>
  <c r="AK1441" i="6"/>
  <c r="AR1441" i="6" s="1"/>
  <c r="AS1441" i="6" s="1"/>
  <c r="AG1441" i="6"/>
  <c r="AL325" i="6"/>
  <c r="AM325" i="6"/>
  <c r="AT1012" i="6"/>
  <c r="BE1012" i="6"/>
  <c r="U1013" i="6" s="1"/>
  <c r="AL865" i="6"/>
  <c r="AM865" i="6"/>
  <c r="AZ721" i="6"/>
  <c r="P722" i="6" s="1"/>
  <c r="AK721" i="6"/>
  <c r="AR721" i="6" s="1"/>
  <c r="AS721" i="6" s="1"/>
  <c r="AG721" i="6"/>
  <c r="AZ326" i="6"/>
  <c r="P327" i="6" s="1"/>
  <c r="AK326" i="6"/>
  <c r="AR326" i="6" s="1"/>
  <c r="AS326" i="6" s="1"/>
  <c r="AG326" i="6"/>
  <c r="AS293" i="6"/>
  <c r="AM1261" i="6"/>
  <c r="AL1261" i="6"/>
  <c r="BE1085" i="6"/>
  <c r="AN1372" i="6"/>
  <c r="AU1372" i="6" s="1"/>
  <c r="AN324" i="6"/>
  <c r="AT324" i="6"/>
  <c r="BE1624" i="6"/>
  <c r="U1625" i="6" s="1"/>
  <c r="AS1012" i="6"/>
  <c r="AT1553" i="6"/>
  <c r="AU1553" i="6" s="1"/>
  <c r="BE1553" i="6"/>
  <c r="AU292" i="6"/>
  <c r="BE761" i="6"/>
  <c r="AZ866" i="6"/>
  <c r="P867" i="6" s="1"/>
  <c r="AK866" i="6"/>
  <c r="AR866" i="6" s="1"/>
  <c r="AS866" i="6" s="1"/>
  <c r="AG866" i="6"/>
  <c r="AQ1481" i="6"/>
  <c r="BE1480" i="6"/>
  <c r="U1481" i="6" s="1"/>
  <c r="AL685" i="6"/>
  <c r="AM685" i="6"/>
  <c r="AM1657" i="6"/>
  <c r="AL1657" i="6"/>
  <c r="AS400" i="6"/>
  <c r="AU400" i="6" s="1"/>
  <c r="AN1229" i="6"/>
  <c r="AU580" i="6" l="1"/>
  <c r="AS653" i="6"/>
  <c r="AU653" i="6" s="1"/>
  <c r="AS149" i="6"/>
  <c r="AN1657" i="6"/>
  <c r="AU1657" i="6" s="1"/>
  <c r="AS797" i="6"/>
  <c r="AS1013" i="6"/>
  <c r="AS1049" i="6"/>
  <c r="AU1049" i="6" s="1"/>
  <c r="AN73" i="6"/>
  <c r="AU73" i="6" s="1"/>
  <c r="AN218" i="6"/>
  <c r="AU218" i="6" s="1"/>
  <c r="AN1153" i="6"/>
  <c r="AU1153" i="6" s="1"/>
  <c r="AU864" i="6"/>
  <c r="AU797" i="6"/>
  <c r="O24" i="5" s="1"/>
  <c r="H25" i="2" s="1"/>
  <c r="AN1373" i="6"/>
  <c r="AU756" i="6"/>
  <c r="AN757" i="6"/>
  <c r="AU757" i="6" s="1"/>
  <c r="AU684" i="6"/>
  <c r="AN109" i="6"/>
  <c r="AU109" i="6" s="1"/>
  <c r="AS617" i="6"/>
  <c r="AU617" i="6" s="1"/>
  <c r="P19" i="5" s="1"/>
  <c r="AS1301" i="6"/>
  <c r="AU1301" i="6" s="1"/>
  <c r="M38" i="5" s="1"/>
  <c r="AU1260" i="6"/>
  <c r="AU324" i="6"/>
  <c r="AS833" i="6"/>
  <c r="AU833" i="6" s="1"/>
  <c r="AU1080" i="6"/>
  <c r="AU1656" i="6"/>
  <c r="AU1584" i="6"/>
  <c r="R24" i="5"/>
  <c r="N24" i="5"/>
  <c r="G25" i="2" s="1"/>
  <c r="Q24" i="5"/>
  <c r="Q45" i="5"/>
  <c r="N45" i="5"/>
  <c r="G46" i="2" s="1"/>
  <c r="M45" i="5"/>
  <c r="R45" i="5"/>
  <c r="S45" i="5"/>
  <c r="F46" i="2" s="1"/>
  <c r="P45" i="5"/>
  <c r="O45" i="5"/>
  <c r="H46" i="2" s="1"/>
  <c r="AL1622" i="6"/>
  <c r="AM1622" i="6"/>
  <c r="AS1121" i="6"/>
  <c r="AU1121" i="6" s="1"/>
  <c r="BD1085" i="6"/>
  <c r="AP1085" i="6"/>
  <c r="BE1445" i="6"/>
  <c r="BD905" i="6"/>
  <c r="AP905" i="6"/>
  <c r="AS41" i="6"/>
  <c r="AU41" i="6" s="1"/>
  <c r="AM505" i="6"/>
  <c r="AL505" i="6"/>
  <c r="AZ1623" i="6"/>
  <c r="P1624" i="6" s="1"/>
  <c r="AK1623" i="6"/>
  <c r="AR1623" i="6" s="1"/>
  <c r="AS1623" i="6" s="1"/>
  <c r="AG1623" i="6"/>
  <c r="C30" i="2"/>
  <c r="I30" i="2" s="1"/>
  <c r="E30" i="2"/>
  <c r="AM758" i="6"/>
  <c r="AL758" i="6"/>
  <c r="R38" i="5"/>
  <c r="Q38" i="5"/>
  <c r="F39" i="2" s="1"/>
  <c r="S38" i="5"/>
  <c r="N38" i="5"/>
  <c r="G39" i="2" s="1"/>
  <c r="AS185" i="6"/>
  <c r="AU185" i="6" s="1"/>
  <c r="AL110" i="6"/>
  <c r="AM110" i="6"/>
  <c r="R19" i="5"/>
  <c r="F20" i="2" s="1"/>
  <c r="Q19" i="5"/>
  <c r="N19" i="5"/>
  <c r="G20" i="2" s="1"/>
  <c r="AZ75" i="6"/>
  <c r="P76" i="6" s="1"/>
  <c r="AK75" i="6"/>
  <c r="AR75" i="6" s="1"/>
  <c r="AS75" i="6" s="1"/>
  <c r="AG75" i="6"/>
  <c r="AL435" i="6"/>
  <c r="AM435" i="6"/>
  <c r="AU1152" i="6"/>
  <c r="S31" i="5"/>
  <c r="N31" i="5"/>
  <c r="G32" i="2" s="1"/>
  <c r="Q31" i="5"/>
  <c r="R31" i="5"/>
  <c r="AU108" i="6"/>
  <c r="AU149" i="6"/>
  <c r="AZ506" i="6"/>
  <c r="P507" i="6" s="1"/>
  <c r="AK506" i="6"/>
  <c r="AR506" i="6" s="1"/>
  <c r="AS506" i="6" s="1"/>
  <c r="AG506" i="6"/>
  <c r="AS365" i="6"/>
  <c r="AU365" i="6" s="1"/>
  <c r="AZ722" i="6"/>
  <c r="P723" i="6" s="1"/>
  <c r="AK722" i="6"/>
  <c r="AR722" i="6" s="1"/>
  <c r="AS722" i="6" s="1"/>
  <c r="AG722" i="6"/>
  <c r="AN865" i="6"/>
  <c r="AU865" i="6" s="1"/>
  <c r="AN685" i="6"/>
  <c r="AU685" i="6" s="1"/>
  <c r="AN1261" i="6"/>
  <c r="AU1261" i="6" s="1"/>
  <c r="AT1013" i="6"/>
  <c r="BE1013" i="6"/>
  <c r="AZ759" i="6"/>
  <c r="P760" i="6" s="1"/>
  <c r="AK759" i="6"/>
  <c r="AR759" i="6" s="1"/>
  <c r="AS759" i="6" s="1"/>
  <c r="AG759" i="6"/>
  <c r="AZ436" i="6"/>
  <c r="P437" i="6" s="1"/>
  <c r="AG436" i="6"/>
  <c r="AK436" i="6"/>
  <c r="AR436" i="6" s="1"/>
  <c r="AS436" i="6" s="1"/>
  <c r="AN1081" i="6"/>
  <c r="AU1081" i="6" s="1"/>
  <c r="AS581" i="6"/>
  <c r="AU540" i="6"/>
  <c r="AZ111" i="6"/>
  <c r="P112" i="6" s="1"/>
  <c r="AK111" i="6"/>
  <c r="AR111" i="6" s="1"/>
  <c r="AS111" i="6" s="1"/>
  <c r="AG111" i="6"/>
  <c r="AN1585" i="6"/>
  <c r="AU1585" i="6" s="1"/>
  <c r="AT581" i="6"/>
  <c r="BE581" i="6"/>
  <c r="AM74" i="6"/>
  <c r="AL74" i="6"/>
  <c r="BE1589" i="6"/>
  <c r="AM542" i="6"/>
  <c r="AL542" i="6"/>
  <c r="AM1082" i="6"/>
  <c r="AL1082" i="6"/>
  <c r="AL1154" i="6"/>
  <c r="AM1154" i="6"/>
  <c r="AM1477" i="6"/>
  <c r="AL1477" i="6"/>
  <c r="AS903" i="6"/>
  <c r="AU903" i="6" s="1"/>
  <c r="BE1229" i="6"/>
  <c r="AT1229" i="6"/>
  <c r="AM1658" i="6"/>
  <c r="AL1658" i="6"/>
  <c r="AN504" i="6"/>
  <c r="AT504" i="6"/>
  <c r="BE1481" i="6"/>
  <c r="AN1440" i="6"/>
  <c r="AT1440" i="6"/>
  <c r="AZ543" i="6"/>
  <c r="P544" i="6" s="1"/>
  <c r="AG543" i="6"/>
  <c r="AK543" i="6"/>
  <c r="AR543" i="6" s="1"/>
  <c r="AS543" i="6" s="1"/>
  <c r="AU1012" i="6"/>
  <c r="AU293" i="6"/>
  <c r="AN325" i="6"/>
  <c r="AU325" i="6" s="1"/>
  <c r="AN1621" i="6"/>
  <c r="AU1621" i="6" s="1"/>
  <c r="AS473" i="6"/>
  <c r="AU473" i="6" s="1"/>
  <c r="AZ1083" i="6"/>
  <c r="P1084" i="6" s="1"/>
  <c r="AK1083" i="6"/>
  <c r="AR1083" i="6" s="1"/>
  <c r="AS1083" i="6" s="1"/>
  <c r="AG1083" i="6"/>
  <c r="AN434" i="6"/>
  <c r="AU434" i="6" s="1"/>
  <c r="AU1620" i="6"/>
  <c r="AS941" i="6"/>
  <c r="AU941" i="6" s="1"/>
  <c r="AZ1155" i="6"/>
  <c r="P1156" i="6" s="1"/>
  <c r="AK1155" i="6"/>
  <c r="AR1155" i="6" s="1"/>
  <c r="AS1155" i="6" s="1"/>
  <c r="AG1155" i="6"/>
  <c r="AZ1478" i="6"/>
  <c r="P1479" i="6" s="1"/>
  <c r="AK1478" i="6"/>
  <c r="AR1478" i="6" s="1"/>
  <c r="AS1478" i="6" s="1"/>
  <c r="AG1478" i="6"/>
  <c r="AS1409" i="6"/>
  <c r="AU1409" i="6" s="1"/>
  <c r="BE1193" i="6"/>
  <c r="AT1193" i="6"/>
  <c r="AU1193" i="6" s="1"/>
  <c r="AQ1084" i="6"/>
  <c r="S20" i="5"/>
  <c r="M20" i="5"/>
  <c r="R20" i="5"/>
  <c r="F21" i="2" s="1"/>
  <c r="N20" i="5"/>
  <c r="G21" i="2" s="1"/>
  <c r="Q20" i="5"/>
  <c r="P20" i="5"/>
  <c r="O20" i="5"/>
  <c r="H21" i="2" s="1"/>
  <c r="BE1625" i="6"/>
  <c r="AL326" i="6"/>
  <c r="AM326" i="6"/>
  <c r="AM1441" i="6"/>
  <c r="AL1441" i="6"/>
  <c r="AS257" i="6"/>
  <c r="AU257" i="6" s="1"/>
  <c r="AS1229" i="6"/>
  <c r="AN1476" i="6"/>
  <c r="AT1476" i="6"/>
  <c r="AZ1659" i="6"/>
  <c r="P1660" i="6" s="1"/>
  <c r="AK1659" i="6"/>
  <c r="AR1659" i="6" s="1"/>
  <c r="AS1659" i="6" s="1"/>
  <c r="AG1659" i="6"/>
  <c r="AM1513" i="6"/>
  <c r="AL1513" i="6"/>
  <c r="AM1262" i="6"/>
  <c r="AL1262" i="6"/>
  <c r="AM219" i="6"/>
  <c r="AL219" i="6"/>
  <c r="AT905" i="6"/>
  <c r="BE905" i="6"/>
  <c r="AN720" i="6"/>
  <c r="AT720" i="6"/>
  <c r="AM1586" i="6"/>
  <c r="AL1586" i="6"/>
  <c r="BE869" i="6"/>
  <c r="AL866" i="6"/>
  <c r="AM866" i="6"/>
  <c r="AZ327" i="6"/>
  <c r="P328" i="6" s="1"/>
  <c r="AK327" i="6"/>
  <c r="AR327" i="6" s="1"/>
  <c r="AS327" i="6" s="1"/>
  <c r="AG327" i="6"/>
  <c r="AZ1442" i="6"/>
  <c r="P1443" i="6" s="1"/>
  <c r="AK1442" i="6"/>
  <c r="AR1442" i="6" s="1"/>
  <c r="AS1442" i="6" s="1"/>
  <c r="AG1442" i="6"/>
  <c r="AZ220" i="6"/>
  <c r="P221" i="6" s="1"/>
  <c r="AG220" i="6"/>
  <c r="AK220" i="6"/>
  <c r="AR220" i="6" s="1"/>
  <c r="AS220" i="6" s="1"/>
  <c r="AU72" i="6"/>
  <c r="Q39" i="5"/>
  <c r="N39" i="5"/>
  <c r="G40" i="2" s="1"/>
  <c r="M39" i="5"/>
  <c r="R39" i="5"/>
  <c r="F40" i="2" s="1"/>
  <c r="S39" i="5"/>
  <c r="P39" i="5"/>
  <c r="O39" i="5"/>
  <c r="H40" i="2" s="1"/>
  <c r="AZ1587" i="6"/>
  <c r="P1588" i="6" s="1"/>
  <c r="AG1587" i="6"/>
  <c r="AK1587" i="6"/>
  <c r="AR1587" i="6" s="1"/>
  <c r="AS1587" i="6" s="1"/>
  <c r="AL686" i="6"/>
  <c r="AM686" i="6"/>
  <c r="AZ1514" i="6"/>
  <c r="P1515" i="6" s="1"/>
  <c r="AK1514" i="6"/>
  <c r="AR1514" i="6" s="1"/>
  <c r="AS1514" i="6" s="1"/>
  <c r="AG1514" i="6"/>
  <c r="AS401" i="6"/>
  <c r="AU401" i="6" s="1"/>
  <c r="AZ867" i="6"/>
  <c r="P868" i="6" s="1"/>
  <c r="AK867" i="6"/>
  <c r="AR867" i="6" s="1"/>
  <c r="AS867" i="6" s="1"/>
  <c r="AG867" i="6"/>
  <c r="AL721" i="6"/>
  <c r="AM721" i="6"/>
  <c r="AN1512" i="6"/>
  <c r="AT1512" i="6"/>
  <c r="AZ1263" i="6"/>
  <c r="P1264" i="6" s="1"/>
  <c r="AK1263" i="6"/>
  <c r="AR1263" i="6" s="1"/>
  <c r="AS1263" i="6" s="1"/>
  <c r="AG1263" i="6"/>
  <c r="AN541" i="6"/>
  <c r="AU541" i="6" s="1"/>
  <c r="AR904" i="6"/>
  <c r="AQ904" i="6"/>
  <c r="AT1373" i="6"/>
  <c r="AU1373" i="6" s="1"/>
  <c r="AZ687" i="6"/>
  <c r="P688" i="6" s="1"/>
  <c r="AG687" i="6"/>
  <c r="AK687" i="6"/>
  <c r="AR687" i="6" s="1"/>
  <c r="AS687" i="6" s="1"/>
  <c r="AN219" i="6" l="1"/>
  <c r="AU219" i="6" s="1"/>
  <c r="P31" i="5"/>
  <c r="F32" i="2" s="1"/>
  <c r="O31" i="5"/>
  <c r="H32" i="2" s="1"/>
  <c r="M31" i="5"/>
  <c r="M24" i="5"/>
  <c r="P24" i="5"/>
  <c r="AU1013" i="6"/>
  <c r="AU504" i="6"/>
  <c r="AN1586" i="6"/>
  <c r="AU1586" i="6" s="1"/>
  <c r="AN74" i="6"/>
  <c r="AU74" i="6" s="1"/>
  <c r="M19" i="5"/>
  <c r="C20" i="2" s="1"/>
  <c r="I20" i="2" s="1"/>
  <c r="O38" i="5"/>
  <c r="H39" i="2" s="1"/>
  <c r="AN110" i="6"/>
  <c r="AU110" i="6" s="1"/>
  <c r="P38" i="5"/>
  <c r="O19" i="5"/>
  <c r="H20" i="2" s="1"/>
  <c r="AN1658" i="6"/>
  <c r="AU1658" i="6" s="1"/>
  <c r="AN542" i="6"/>
  <c r="AU542" i="6" s="1"/>
  <c r="AN866" i="6"/>
  <c r="AU866" i="6" s="1"/>
  <c r="AN1513" i="6"/>
  <c r="AU1513" i="6" s="1"/>
  <c r="AU720" i="6"/>
  <c r="AN758" i="6"/>
  <c r="AU758" i="6" s="1"/>
  <c r="AU1229" i="6"/>
  <c r="M36" i="5" s="1"/>
  <c r="AN1477" i="6"/>
  <c r="AU1477" i="6" s="1"/>
  <c r="P40" i="5"/>
  <c r="S40" i="5"/>
  <c r="M40" i="5"/>
  <c r="N40" i="5"/>
  <c r="G41" i="2" s="1"/>
  <c r="Q40" i="5"/>
  <c r="R40" i="5"/>
  <c r="F41" i="2" s="1"/>
  <c r="O40" i="5"/>
  <c r="H41" i="2" s="1"/>
  <c r="Q36" i="5"/>
  <c r="F37" i="2" s="1"/>
  <c r="S36" i="5"/>
  <c r="N36" i="5"/>
  <c r="G37" i="2" s="1"/>
  <c r="P36" i="5"/>
  <c r="R36" i="5"/>
  <c r="Q30" i="5"/>
  <c r="P30" i="5"/>
  <c r="F31" i="2" s="1"/>
  <c r="M30" i="5"/>
  <c r="N30" i="5"/>
  <c r="G31" i="2" s="1"/>
  <c r="R30" i="5"/>
  <c r="S30" i="5"/>
  <c r="O30" i="5"/>
  <c r="H31" i="2" s="1"/>
  <c r="AL1155" i="6"/>
  <c r="AM1155" i="6"/>
  <c r="AL1263" i="6"/>
  <c r="AM1263" i="6"/>
  <c r="AU1512" i="6"/>
  <c r="AM220" i="6"/>
  <c r="AL220" i="6"/>
  <c r="AM1659" i="6"/>
  <c r="AL1659" i="6"/>
  <c r="AN1659" i="6" s="1"/>
  <c r="AU1659" i="6" s="1"/>
  <c r="AU1440" i="6"/>
  <c r="AZ723" i="6"/>
  <c r="P724" i="6" s="1"/>
  <c r="AK723" i="6"/>
  <c r="AR723" i="6" s="1"/>
  <c r="AS723" i="6" s="1"/>
  <c r="AG723" i="6"/>
  <c r="AR905" i="6"/>
  <c r="AQ905" i="6"/>
  <c r="AL75" i="6"/>
  <c r="AM75" i="6"/>
  <c r="AM1587" i="6"/>
  <c r="AL1587" i="6"/>
  <c r="AZ1588" i="6"/>
  <c r="P1589" i="6" s="1"/>
  <c r="AG1588" i="6"/>
  <c r="AK1588" i="6"/>
  <c r="AR1588" i="6" s="1"/>
  <c r="AS1588" i="6" s="1"/>
  <c r="AZ221" i="6"/>
  <c r="AG221" i="6"/>
  <c r="AK221" i="6"/>
  <c r="AR221" i="6" s="1"/>
  <c r="AS221" i="6" s="1"/>
  <c r="Q41" i="5"/>
  <c r="M41" i="5"/>
  <c r="N41" i="5"/>
  <c r="G42" i="2" s="1"/>
  <c r="P41" i="5"/>
  <c r="S41" i="5"/>
  <c r="R41" i="5"/>
  <c r="F42" i="2" s="1"/>
  <c r="O41" i="5"/>
  <c r="H42" i="2" s="1"/>
  <c r="AZ1084" i="6"/>
  <c r="P1085" i="6" s="1"/>
  <c r="AK1084" i="6"/>
  <c r="AR1084" i="6" s="1"/>
  <c r="AS1084" i="6" s="1"/>
  <c r="AG1084" i="6"/>
  <c r="AM759" i="6"/>
  <c r="AL759" i="6"/>
  <c r="Q12" i="5"/>
  <c r="F13" i="2" s="1"/>
  <c r="N12" i="5"/>
  <c r="G13" i="2" s="1"/>
  <c r="P12" i="5"/>
  <c r="M12" i="5"/>
  <c r="R12" i="5"/>
  <c r="O12" i="5"/>
  <c r="H13" i="2" s="1"/>
  <c r="N6" i="5"/>
  <c r="G7" i="2" s="1"/>
  <c r="M6" i="5"/>
  <c r="R6" i="5"/>
  <c r="P6" i="5"/>
  <c r="F7" i="2" s="1"/>
  <c r="S6" i="5"/>
  <c r="Q6" i="5"/>
  <c r="O6" i="5"/>
  <c r="H7" i="2" s="1"/>
  <c r="AZ688" i="6"/>
  <c r="P689" i="6" s="1"/>
  <c r="AG688" i="6"/>
  <c r="AK688" i="6"/>
  <c r="AR688" i="6" s="1"/>
  <c r="AS688" i="6" s="1"/>
  <c r="AN686" i="6"/>
  <c r="AU686" i="6" s="1"/>
  <c r="AN721" i="6"/>
  <c r="AU721" i="6" s="1"/>
  <c r="AS904" i="6"/>
  <c r="AU904" i="6" s="1"/>
  <c r="AM867" i="6"/>
  <c r="AL867" i="6"/>
  <c r="AM1442" i="6"/>
  <c r="AL1442" i="6"/>
  <c r="AZ1660" i="6"/>
  <c r="P1661" i="6" s="1"/>
  <c r="AG1660" i="6"/>
  <c r="AK1660" i="6"/>
  <c r="AR1660" i="6" s="1"/>
  <c r="AS1660" i="6" s="1"/>
  <c r="AL1478" i="6"/>
  <c r="AM1478" i="6"/>
  <c r="N15" i="5"/>
  <c r="G16" i="2" s="1"/>
  <c r="M15" i="5"/>
  <c r="P15" i="5"/>
  <c r="S15" i="5"/>
  <c r="Q15" i="5"/>
  <c r="F16" i="2" s="1"/>
  <c r="R15" i="5"/>
  <c r="O15" i="5"/>
  <c r="H16" i="2" s="1"/>
  <c r="AN1154" i="6"/>
  <c r="AU1154" i="6" s="1"/>
  <c r="AM506" i="6"/>
  <c r="AL506" i="6"/>
  <c r="R25" i="5"/>
  <c r="N25" i="5"/>
  <c r="G26" i="2" s="1"/>
  <c r="M25" i="5"/>
  <c r="S25" i="5"/>
  <c r="F26" i="2" s="1"/>
  <c r="Q25" i="5"/>
  <c r="P25" i="5"/>
  <c r="O25" i="5"/>
  <c r="H26" i="2" s="1"/>
  <c r="AL111" i="6"/>
  <c r="AM111" i="6"/>
  <c r="AZ760" i="6"/>
  <c r="P761" i="6" s="1"/>
  <c r="AK760" i="6"/>
  <c r="AR760" i="6" s="1"/>
  <c r="AS760" i="6" s="1"/>
  <c r="AG760" i="6"/>
  <c r="C46" i="2"/>
  <c r="I46" i="2" s="1"/>
  <c r="AZ868" i="6"/>
  <c r="P869" i="6" s="1"/>
  <c r="AK868" i="6"/>
  <c r="AR868" i="6" s="1"/>
  <c r="AS868" i="6" s="1"/>
  <c r="AG868" i="6"/>
  <c r="AZ1443" i="6"/>
  <c r="P1444" i="6" s="1"/>
  <c r="AK1443" i="6"/>
  <c r="AR1443" i="6" s="1"/>
  <c r="AS1443" i="6" s="1"/>
  <c r="AG1443" i="6"/>
  <c r="AU1476" i="6"/>
  <c r="AZ1479" i="6"/>
  <c r="P1480" i="6" s="1"/>
  <c r="AK1479" i="6"/>
  <c r="AR1479" i="6" s="1"/>
  <c r="AS1479" i="6" s="1"/>
  <c r="AG1479" i="6"/>
  <c r="AN1082" i="6"/>
  <c r="AU1082" i="6" s="1"/>
  <c r="AZ507" i="6"/>
  <c r="P508" i="6" s="1"/>
  <c r="AK507" i="6"/>
  <c r="AR507" i="6" s="1"/>
  <c r="AS507" i="6" s="1"/>
  <c r="AG507" i="6"/>
  <c r="AN435" i="6"/>
  <c r="AU435" i="6" s="1"/>
  <c r="M7" i="5"/>
  <c r="N7" i="5"/>
  <c r="G8" i="2" s="1"/>
  <c r="P7" i="5"/>
  <c r="F8" i="2" s="1"/>
  <c r="S7" i="5"/>
  <c r="Q7" i="5"/>
  <c r="R7" i="5"/>
  <c r="O7" i="5"/>
  <c r="H8" i="2" s="1"/>
  <c r="AQ1085" i="6"/>
  <c r="AL327" i="6"/>
  <c r="AM327" i="6"/>
  <c r="AZ112" i="6"/>
  <c r="P113" i="6" s="1"/>
  <c r="AK112" i="6"/>
  <c r="AR112" i="6" s="1"/>
  <c r="AS112" i="6" s="1"/>
  <c r="AG112" i="6"/>
  <c r="AM1623" i="6"/>
  <c r="AL1623" i="6"/>
  <c r="AN1623" i="6" s="1"/>
  <c r="AU1623" i="6" s="1"/>
  <c r="Q13" i="5"/>
  <c r="F14" i="2" s="1"/>
  <c r="M13" i="5"/>
  <c r="S13" i="5"/>
  <c r="N13" i="5"/>
  <c r="G14" i="2" s="1"/>
  <c r="R13" i="5"/>
  <c r="P13" i="5"/>
  <c r="O13" i="5"/>
  <c r="H14" i="2" s="1"/>
  <c r="N10" i="5"/>
  <c r="G11" i="2" s="1"/>
  <c r="M10" i="5"/>
  <c r="P10" i="5"/>
  <c r="F11" i="2" s="1"/>
  <c r="S10" i="5"/>
  <c r="R10" i="5"/>
  <c r="Q10" i="5"/>
  <c r="O10" i="5"/>
  <c r="H11" i="2" s="1"/>
  <c r="AM1514" i="6"/>
  <c r="AL1514" i="6"/>
  <c r="M9" i="5"/>
  <c r="N9" i="5"/>
  <c r="G10" i="2" s="1"/>
  <c r="Q9" i="5"/>
  <c r="P9" i="5"/>
  <c r="F10" i="2" s="1"/>
  <c r="R9" i="5"/>
  <c r="S9" i="5"/>
  <c r="O9" i="5"/>
  <c r="H10" i="2" s="1"/>
  <c r="C40" i="2"/>
  <c r="I40" i="2" s="1"/>
  <c r="E40" i="2"/>
  <c r="AZ328" i="6"/>
  <c r="P329" i="6" s="1"/>
  <c r="AK328" i="6"/>
  <c r="AR328" i="6" s="1"/>
  <c r="AS328" i="6" s="1"/>
  <c r="AG328" i="6"/>
  <c r="AN1441" i="6"/>
  <c r="AU1441" i="6" s="1"/>
  <c r="C21" i="2"/>
  <c r="I21" i="2" s="1"/>
  <c r="AZ1156" i="6"/>
  <c r="P1157" i="6" s="1"/>
  <c r="AK1156" i="6"/>
  <c r="AR1156" i="6" s="1"/>
  <c r="AS1156" i="6" s="1"/>
  <c r="AG1156" i="6"/>
  <c r="AU581" i="6"/>
  <c r="AZ76" i="6"/>
  <c r="P77" i="6" s="1"/>
  <c r="AK76" i="6"/>
  <c r="AR76" i="6" s="1"/>
  <c r="AS76" i="6" s="1"/>
  <c r="AG76" i="6"/>
  <c r="AZ1624" i="6"/>
  <c r="P1625" i="6" s="1"/>
  <c r="AG1624" i="6"/>
  <c r="AK1624" i="6"/>
  <c r="AR1624" i="6" s="1"/>
  <c r="AS1624" i="6" s="1"/>
  <c r="AM687" i="6"/>
  <c r="AL687" i="6"/>
  <c r="AZ1515" i="6"/>
  <c r="P1516" i="6" s="1"/>
  <c r="AK1515" i="6"/>
  <c r="AR1515" i="6" s="1"/>
  <c r="AS1515" i="6" s="1"/>
  <c r="AG1515" i="6"/>
  <c r="AN1262" i="6"/>
  <c r="AU1262" i="6" s="1"/>
  <c r="P28" i="5"/>
  <c r="M28" i="5"/>
  <c r="N28" i="5"/>
  <c r="G29" i="2" s="1"/>
  <c r="Q28" i="5"/>
  <c r="R28" i="5"/>
  <c r="S28" i="5"/>
  <c r="F29" i="2" s="1"/>
  <c r="O28" i="5"/>
  <c r="H29" i="2" s="1"/>
  <c r="AN505" i="6"/>
  <c r="AU505" i="6" s="1"/>
  <c r="P33" i="5"/>
  <c r="F34" i="2" s="1"/>
  <c r="N33" i="5"/>
  <c r="G34" i="2" s="1"/>
  <c r="M33" i="5"/>
  <c r="S33" i="5"/>
  <c r="Q33" i="5"/>
  <c r="R33" i="5"/>
  <c r="O33" i="5"/>
  <c r="H34" i="2" s="1"/>
  <c r="AL543" i="6"/>
  <c r="AM543" i="6"/>
  <c r="C39" i="2"/>
  <c r="I39" i="2" s="1"/>
  <c r="AZ1264" i="6"/>
  <c r="P1265" i="6" s="1"/>
  <c r="AK1264" i="6"/>
  <c r="AR1264" i="6" s="1"/>
  <c r="AS1264" i="6" s="1"/>
  <c r="AG1264" i="6"/>
  <c r="AN326" i="6"/>
  <c r="AU326" i="6" s="1"/>
  <c r="AZ544" i="6"/>
  <c r="P545" i="6" s="1"/>
  <c r="AG544" i="6"/>
  <c r="AK544" i="6"/>
  <c r="AR544" i="6" s="1"/>
  <c r="AS544" i="6" s="1"/>
  <c r="AM436" i="6"/>
  <c r="AL436" i="6"/>
  <c r="AM722" i="6"/>
  <c r="AL722" i="6"/>
  <c r="AN1622" i="6"/>
  <c r="AU1622" i="6" s="1"/>
  <c r="C25" i="2"/>
  <c r="I25" i="2" s="1"/>
  <c r="M35" i="5"/>
  <c r="N35" i="5"/>
  <c r="G36" i="2" s="1"/>
  <c r="P35" i="5"/>
  <c r="R35" i="5"/>
  <c r="S35" i="5"/>
  <c r="Q35" i="5"/>
  <c r="F36" i="2" s="1"/>
  <c r="O35" i="5"/>
  <c r="H36" i="2" s="1"/>
  <c r="AM1083" i="6"/>
  <c r="AL1083" i="6"/>
  <c r="AZ437" i="6"/>
  <c r="AG437" i="6"/>
  <c r="AK437" i="6"/>
  <c r="AR437" i="6" s="1"/>
  <c r="AS437" i="6" s="1"/>
  <c r="E32" i="2"/>
  <c r="D32" i="2"/>
  <c r="C32" i="2"/>
  <c r="I32" i="2" s="1"/>
  <c r="Q3" i="5"/>
  <c r="H10" i="1" s="1"/>
  <c r="N3" i="5"/>
  <c r="H7" i="1" s="1"/>
  <c r="M3" i="5"/>
  <c r="T45" i="5" s="1"/>
  <c r="R3" i="5"/>
  <c r="H11" i="1" s="1"/>
  <c r="S3" i="5"/>
  <c r="H12" i="1" s="1"/>
  <c r="P3" i="5"/>
  <c r="H9" i="1" s="1"/>
  <c r="O3" i="5"/>
  <c r="H8" i="1" s="1"/>
  <c r="AN867" i="6" l="1"/>
  <c r="AU867" i="6" s="1"/>
  <c r="D21" i="2"/>
  <c r="AN1263" i="6"/>
  <c r="AU1263" i="6" s="1"/>
  <c r="AN1083" i="6"/>
  <c r="AU1083" i="6" s="1"/>
  <c r="AN327" i="6"/>
  <c r="AU327" i="6" s="1"/>
  <c r="AS905" i="6"/>
  <c r="AU905" i="6" s="1"/>
  <c r="M27" i="5" s="1"/>
  <c r="AN759" i="6"/>
  <c r="AU759" i="6" s="1"/>
  <c r="AN111" i="6"/>
  <c r="AU111" i="6" s="1"/>
  <c r="AN1587" i="6"/>
  <c r="AU1587" i="6" s="1"/>
  <c r="AN687" i="6"/>
  <c r="AU687" i="6" s="1"/>
  <c r="O36" i="5"/>
  <c r="H37" i="2" s="1"/>
  <c r="T38" i="5"/>
  <c r="AN436" i="6"/>
  <c r="AT436" i="6"/>
  <c r="D11" i="2"/>
  <c r="C11" i="2"/>
  <c r="I11" i="2" s="1"/>
  <c r="T10" i="5"/>
  <c r="T7" i="5"/>
  <c r="D8" i="2"/>
  <c r="C8" i="2"/>
  <c r="I8" i="2" s="1"/>
  <c r="AZ1444" i="6"/>
  <c r="P1445" i="6" s="1"/>
  <c r="AK1444" i="6"/>
  <c r="AR1444" i="6" s="1"/>
  <c r="AS1444" i="6" s="1"/>
  <c r="AG1444" i="6"/>
  <c r="AM1084" i="6"/>
  <c r="AL1084" i="6"/>
  <c r="T36" i="5"/>
  <c r="D37" i="2"/>
  <c r="C37" i="2"/>
  <c r="I37" i="2" s="1"/>
  <c r="AZ113" i="6"/>
  <c r="AK113" i="6"/>
  <c r="AR113" i="6" s="1"/>
  <c r="AS113" i="6" s="1"/>
  <c r="AG113" i="6"/>
  <c r="AL868" i="6"/>
  <c r="AM868" i="6"/>
  <c r="T19" i="5"/>
  <c r="AL1624" i="6"/>
  <c r="AM1624" i="6"/>
  <c r="T20" i="5"/>
  <c r="AM507" i="6"/>
  <c r="AL507" i="6"/>
  <c r="T6" i="5"/>
  <c r="C7" i="2"/>
  <c r="I7" i="2" s="1"/>
  <c r="AZ1085" i="6"/>
  <c r="AK1085" i="6"/>
  <c r="AR1085" i="6" s="1"/>
  <c r="AS1085" i="6" s="1"/>
  <c r="AG1085" i="6"/>
  <c r="AL1588" i="6"/>
  <c r="AM1588" i="6"/>
  <c r="AM723" i="6"/>
  <c r="AL723" i="6"/>
  <c r="AN1155" i="6"/>
  <c r="AU1155" i="6" s="1"/>
  <c r="AL544" i="6"/>
  <c r="AM544" i="6"/>
  <c r="AN543" i="6"/>
  <c r="AU543" i="6" s="1"/>
  <c r="AZ1625" i="6"/>
  <c r="AK1625" i="6"/>
  <c r="AR1625" i="6" s="1"/>
  <c r="AS1625" i="6" s="1"/>
  <c r="AG1625" i="6"/>
  <c r="AZ869" i="6"/>
  <c r="AK869" i="6"/>
  <c r="AR869" i="6" s="1"/>
  <c r="AS869" i="6" s="1"/>
  <c r="AG869" i="6"/>
  <c r="AZ1589" i="6"/>
  <c r="AG1589" i="6"/>
  <c r="AK1589" i="6"/>
  <c r="AR1589" i="6" s="1"/>
  <c r="AS1589" i="6" s="1"/>
  <c r="T35" i="5"/>
  <c r="C36" i="2"/>
  <c r="I36" i="2" s="1"/>
  <c r="AZ545" i="6"/>
  <c r="AG545" i="6"/>
  <c r="AK545" i="6"/>
  <c r="AR545" i="6" s="1"/>
  <c r="AS545" i="6" s="1"/>
  <c r="AM76" i="6"/>
  <c r="AL76" i="6"/>
  <c r="AM328" i="6"/>
  <c r="AL328" i="6"/>
  <c r="C10" i="2"/>
  <c r="I10" i="2" s="1"/>
  <c r="T9" i="5"/>
  <c r="AZ508" i="6"/>
  <c r="P509" i="6" s="1"/>
  <c r="AK508" i="6"/>
  <c r="AR508" i="6" s="1"/>
  <c r="AS508" i="6" s="1"/>
  <c r="AG508" i="6"/>
  <c r="T15" i="5"/>
  <c r="C16" i="2"/>
  <c r="I16" i="2" s="1"/>
  <c r="AZ724" i="6"/>
  <c r="P725" i="6" s="1"/>
  <c r="AK724" i="6"/>
  <c r="AR724" i="6" s="1"/>
  <c r="AS724" i="6" s="1"/>
  <c r="AG724" i="6"/>
  <c r="T31" i="5"/>
  <c r="T28" i="5"/>
  <c r="C29" i="2"/>
  <c r="I29" i="2" s="1"/>
  <c r="AN1514" i="6"/>
  <c r="AU1514" i="6" s="1"/>
  <c r="T25" i="5"/>
  <c r="C26" i="2"/>
  <c r="I26" i="2" s="1"/>
  <c r="D26" i="2"/>
  <c r="AL437" i="6"/>
  <c r="AM437" i="6"/>
  <c r="AZ77" i="6"/>
  <c r="AK77" i="6"/>
  <c r="AR77" i="6" s="1"/>
  <c r="AS77" i="6" s="1"/>
  <c r="AG77" i="6"/>
  <c r="AZ329" i="6"/>
  <c r="AK329" i="6"/>
  <c r="AR329" i="6" s="1"/>
  <c r="AS329" i="6" s="1"/>
  <c r="AG329" i="6"/>
  <c r="AM1479" i="6"/>
  <c r="AL1479" i="6"/>
  <c r="T12" i="5"/>
  <c r="C13" i="2"/>
  <c r="I13" i="2" s="1"/>
  <c r="T24" i="5"/>
  <c r="AM1264" i="6"/>
  <c r="AL1264" i="6"/>
  <c r="P18" i="5"/>
  <c r="R18" i="5"/>
  <c r="F19" i="2" s="1"/>
  <c r="M18" i="5"/>
  <c r="N18" i="5"/>
  <c r="G19" i="2" s="1"/>
  <c r="Q18" i="5"/>
  <c r="O18" i="5"/>
  <c r="H19" i="2" s="1"/>
  <c r="T39" i="5"/>
  <c r="T13" i="5"/>
  <c r="C14" i="2"/>
  <c r="I14" i="2" s="1"/>
  <c r="D14" i="2"/>
  <c r="AN1478" i="6"/>
  <c r="AU1478" i="6" s="1"/>
  <c r="AM688" i="6"/>
  <c r="AL688" i="6"/>
  <c r="AN75" i="6"/>
  <c r="AU75" i="6" s="1"/>
  <c r="T30" i="5"/>
  <c r="E31" i="2"/>
  <c r="D31" i="2"/>
  <c r="C31" i="2"/>
  <c r="I31" i="2" s="1"/>
  <c r="E34" i="2"/>
  <c r="C34" i="2"/>
  <c r="I34" i="2" s="1"/>
  <c r="T33" i="5"/>
  <c r="AM1515" i="6"/>
  <c r="AL1515" i="6"/>
  <c r="AM1156" i="6"/>
  <c r="AL1156" i="6"/>
  <c r="AZ1480" i="6"/>
  <c r="P1481" i="6" s="1"/>
  <c r="AK1480" i="6"/>
  <c r="AR1480" i="6" s="1"/>
  <c r="AS1480" i="6" s="1"/>
  <c r="AG1480" i="6"/>
  <c r="AM760" i="6"/>
  <c r="AL760" i="6"/>
  <c r="AN506" i="6"/>
  <c r="AU506" i="6" s="1"/>
  <c r="AZ689" i="6"/>
  <c r="AG689" i="6"/>
  <c r="AK689" i="6"/>
  <c r="AR689" i="6" s="1"/>
  <c r="AS689" i="6" s="1"/>
  <c r="T41" i="5"/>
  <c r="C42" i="2"/>
  <c r="I42" i="2" s="1"/>
  <c r="E42" i="2"/>
  <c r="D42" i="2"/>
  <c r="N27" i="5"/>
  <c r="G28" i="2" s="1"/>
  <c r="S27" i="5"/>
  <c r="F28" i="2" s="1"/>
  <c r="Q27" i="5"/>
  <c r="R27" i="5"/>
  <c r="AN220" i="6"/>
  <c r="AT220" i="6"/>
  <c r="AZ1265" i="6"/>
  <c r="AK1265" i="6"/>
  <c r="AR1265" i="6" s="1"/>
  <c r="AS1265" i="6" s="1"/>
  <c r="AG1265" i="6"/>
  <c r="AL1660" i="6"/>
  <c r="AM1660" i="6"/>
  <c r="T40" i="5"/>
  <c r="E41" i="2"/>
  <c r="D41" i="2"/>
  <c r="C41" i="2"/>
  <c r="I41" i="2" s="1"/>
  <c r="T3" i="5"/>
  <c r="H6" i="1"/>
  <c r="T29" i="5"/>
  <c r="AN722" i="6"/>
  <c r="AU722" i="6" s="1"/>
  <c r="AZ1516" i="6"/>
  <c r="P1517" i="6" s="1"/>
  <c r="AK1516" i="6"/>
  <c r="AR1516" i="6" s="1"/>
  <c r="AS1516" i="6" s="1"/>
  <c r="AG1516" i="6"/>
  <c r="AZ1157" i="6"/>
  <c r="AK1157" i="6"/>
  <c r="AR1157" i="6" s="1"/>
  <c r="AS1157" i="6" s="1"/>
  <c r="AG1157" i="6"/>
  <c r="AL1443" i="6"/>
  <c r="AM1443" i="6"/>
  <c r="AZ761" i="6"/>
  <c r="AK761" i="6"/>
  <c r="AR761" i="6" s="1"/>
  <c r="AS761" i="6" s="1"/>
  <c r="AG761" i="6"/>
  <c r="AZ1661" i="6"/>
  <c r="AG1661" i="6"/>
  <c r="AK1661" i="6"/>
  <c r="AR1661" i="6" s="1"/>
  <c r="AS1661" i="6" s="1"/>
  <c r="AM112" i="6"/>
  <c r="AL112" i="6"/>
  <c r="AN1442" i="6"/>
  <c r="AU1442" i="6" s="1"/>
  <c r="AM221" i="6"/>
  <c r="AL221" i="6"/>
  <c r="AN1479" i="6" l="1"/>
  <c r="AU1479" i="6" s="1"/>
  <c r="AU220" i="6"/>
  <c r="O27" i="5"/>
  <c r="H28" i="2" s="1"/>
  <c r="P27" i="5"/>
  <c r="AN1515" i="6"/>
  <c r="AU1515" i="6" s="1"/>
  <c r="T18" i="5"/>
  <c r="C19" i="2"/>
  <c r="I19" i="2" s="1"/>
  <c r="D20" i="2"/>
  <c r="AM1157" i="6"/>
  <c r="AL1157" i="6"/>
  <c r="AM689" i="6"/>
  <c r="AL689" i="6"/>
  <c r="AN688" i="6"/>
  <c r="AT688" i="6"/>
  <c r="AL724" i="6"/>
  <c r="AM724" i="6"/>
  <c r="AN544" i="6"/>
  <c r="AT544" i="6"/>
  <c r="AN507" i="6"/>
  <c r="AU507" i="6" s="1"/>
  <c r="AN1264" i="6"/>
  <c r="AT1264" i="6"/>
  <c r="AL329" i="6"/>
  <c r="AM329" i="6"/>
  <c r="AZ725" i="6"/>
  <c r="AK725" i="6"/>
  <c r="AR725" i="6" s="1"/>
  <c r="AS725" i="6" s="1"/>
  <c r="AG725" i="6"/>
  <c r="AN328" i="6"/>
  <c r="AT328" i="6"/>
  <c r="AM1589" i="6"/>
  <c r="AL1589" i="6"/>
  <c r="AN723" i="6"/>
  <c r="AU723" i="6" s="1"/>
  <c r="AN760" i="6"/>
  <c r="AT760" i="6"/>
  <c r="AM1265" i="6"/>
  <c r="AL1265" i="6"/>
  <c r="AN76" i="6"/>
  <c r="AT76" i="6"/>
  <c r="AM869" i="6"/>
  <c r="AL869" i="6"/>
  <c r="AN1084" i="6"/>
  <c r="AT1084" i="6"/>
  <c r="AM1661" i="6"/>
  <c r="AL1661" i="6"/>
  <c r="AZ1517" i="6"/>
  <c r="AK1517" i="6"/>
  <c r="AR1517" i="6" s="1"/>
  <c r="AS1517" i="6" s="1"/>
  <c r="AG1517" i="6"/>
  <c r="C28" i="2"/>
  <c r="I28" i="2" s="1"/>
  <c r="T27" i="5"/>
  <c r="AM1480" i="6"/>
  <c r="AL1480" i="6"/>
  <c r="AM77" i="6"/>
  <c r="AL77" i="6"/>
  <c r="AN1588" i="6"/>
  <c r="AT1588" i="6"/>
  <c r="AN1624" i="6"/>
  <c r="AT1624" i="6"/>
  <c r="AM1085" i="6"/>
  <c r="AL1085" i="6"/>
  <c r="AM1444" i="6"/>
  <c r="AL1444" i="6"/>
  <c r="AU436" i="6"/>
  <c r="AN1443" i="6"/>
  <c r="AU1443" i="6" s="1"/>
  <c r="AM761" i="6"/>
  <c r="AL761" i="6"/>
  <c r="AZ1481" i="6"/>
  <c r="AK1481" i="6"/>
  <c r="AR1481" i="6" s="1"/>
  <c r="AS1481" i="6" s="1"/>
  <c r="AG1481" i="6"/>
  <c r="AM508" i="6"/>
  <c r="AL508" i="6"/>
  <c r="AM545" i="6"/>
  <c r="AL545" i="6"/>
  <c r="AM1625" i="6"/>
  <c r="AL1625" i="6"/>
  <c r="AN112" i="6"/>
  <c r="AT112" i="6"/>
  <c r="AM1516" i="6"/>
  <c r="AL1516" i="6"/>
  <c r="AN221" i="6"/>
  <c r="AT221" i="6"/>
  <c r="AN1156" i="6"/>
  <c r="AT1156" i="6"/>
  <c r="AN868" i="6"/>
  <c r="AT868" i="6"/>
  <c r="AZ1445" i="6"/>
  <c r="AK1445" i="6"/>
  <c r="AR1445" i="6" s="1"/>
  <c r="AS1445" i="6" s="1"/>
  <c r="AG1445" i="6"/>
  <c r="AN1660" i="6"/>
  <c r="AT1660" i="6"/>
  <c r="AN437" i="6"/>
  <c r="AT437" i="6"/>
  <c r="D29" i="2"/>
  <c r="AZ509" i="6"/>
  <c r="AK509" i="6"/>
  <c r="AR509" i="6" s="1"/>
  <c r="AS509" i="6" s="1"/>
  <c r="AG509" i="6"/>
  <c r="AM113" i="6"/>
  <c r="AL113" i="6"/>
  <c r="AU688" i="6" l="1"/>
  <c r="AU1588" i="6"/>
  <c r="AN1444" i="6"/>
  <c r="AT1444" i="6"/>
  <c r="AM725" i="6"/>
  <c r="AL725" i="6"/>
  <c r="AN1085" i="6"/>
  <c r="AT1085" i="6"/>
  <c r="AU76" i="6"/>
  <c r="AN689" i="6"/>
  <c r="AT689" i="6"/>
  <c r="AN508" i="6"/>
  <c r="AT508" i="6"/>
  <c r="AN1265" i="6"/>
  <c r="AT1265" i="6"/>
  <c r="AM1517" i="6"/>
  <c r="AL1517" i="6"/>
  <c r="AN329" i="6"/>
  <c r="AT329" i="6"/>
  <c r="AN1157" i="6"/>
  <c r="AT1157" i="6"/>
  <c r="AN545" i="6"/>
  <c r="AT545" i="6"/>
  <c r="AU760" i="6"/>
  <c r="AU1264" i="6"/>
  <c r="AU1156" i="6"/>
  <c r="AM1445" i="6"/>
  <c r="AL1445" i="6"/>
  <c r="AN1516" i="6"/>
  <c r="AT1516" i="6"/>
  <c r="AN1661" i="6"/>
  <c r="AT1661" i="6"/>
  <c r="AU1660" i="6"/>
  <c r="AN761" i="6"/>
  <c r="AT761" i="6"/>
  <c r="AN77" i="6"/>
  <c r="AT77" i="6"/>
  <c r="AN1589" i="6"/>
  <c r="AT1589" i="6"/>
  <c r="AM1481" i="6"/>
  <c r="AL1481" i="6"/>
  <c r="AU221" i="6"/>
  <c r="AU544" i="6"/>
  <c r="AU437" i="6"/>
  <c r="AU112" i="6"/>
  <c r="AN1480" i="6"/>
  <c r="AT1480" i="6"/>
  <c r="AU1084" i="6"/>
  <c r="AU1624" i="6"/>
  <c r="AN113" i="6"/>
  <c r="AT113" i="6"/>
  <c r="AM509" i="6"/>
  <c r="AL509" i="6"/>
  <c r="AU868" i="6"/>
  <c r="AN1625" i="6"/>
  <c r="AT1625" i="6"/>
  <c r="AN869" i="6"/>
  <c r="AT869" i="6"/>
  <c r="AU328" i="6"/>
  <c r="AN724" i="6"/>
  <c r="AT724" i="6"/>
  <c r="AU113" i="6" l="1"/>
  <c r="M5" i="5" s="1"/>
  <c r="AU329" i="6"/>
  <c r="AU1589" i="6"/>
  <c r="AU1265" i="6"/>
  <c r="Q5" i="5"/>
  <c r="N5" i="5"/>
  <c r="G6" i="2" s="1"/>
  <c r="R5" i="5"/>
  <c r="P5" i="5"/>
  <c r="F6" i="2" s="1"/>
  <c r="S5" i="5"/>
  <c r="O5" i="5"/>
  <c r="H6" i="2" s="1"/>
  <c r="AU77" i="6"/>
  <c r="AU508" i="6"/>
  <c r="AU761" i="6"/>
  <c r="AU689" i="6"/>
  <c r="N46" i="5"/>
  <c r="G47" i="2" s="1"/>
  <c r="M46" i="5"/>
  <c r="P46" i="5"/>
  <c r="Q46" i="5"/>
  <c r="S46" i="5"/>
  <c r="F47" i="2" s="1"/>
  <c r="R46" i="5"/>
  <c r="O46" i="5"/>
  <c r="H47" i="2" s="1"/>
  <c r="AU1480" i="6"/>
  <c r="AU724" i="6"/>
  <c r="AU1157" i="6"/>
  <c r="AU869" i="6"/>
  <c r="Q14" i="5"/>
  <c r="F15" i="2" s="1"/>
  <c r="M14" i="5"/>
  <c r="P14" i="5"/>
  <c r="S14" i="5"/>
  <c r="N14" i="5"/>
  <c r="G15" i="2" s="1"/>
  <c r="R14" i="5"/>
  <c r="O14" i="5"/>
  <c r="H15" i="2" s="1"/>
  <c r="AU1625" i="6"/>
  <c r="AU1661" i="6"/>
  <c r="AU1085" i="6"/>
  <c r="M37" i="5"/>
  <c r="N37" i="5"/>
  <c r="G38" i="2" s="1"/>
  <c r="S37" i="5"/>
  <c r="Q37" i="5"/>
  <c r="F38" i="2" s="1"/>
  <c r="R37" i="5"/>
  <c r="P37" i="5"/>
  <c r="O37" i="5"/>
  <c r="H38" i="2" s="1"/>
  <c r="M11" i="5"/>
  <c r="N11" i="5"/>
  <c r="G12" i="2" s="1"/>
  <c r="Q11" i="5"/>
  <c r="F12" i="2" s="1"/>
  <c r="P11" i="5"/>
  <c r="R11" i="5"/>
  <c r="S11" i="5"/>
  <c r="O11" i="5"/>
  <c r="H12" i="2" s="1"/>
  <c r="AN725" i="6"/>
  <c r="AT725" i="6"/>
  <c r="AN509" i="6"/>
  <c r="AT509" i="6"/>
  <c r="AN1481" i="6"/>
  <c r="AT1481" i="6"/>
  <c r="AU1516" i="6"/>
  <c r="AN1517" i="6"/>
  <c r="AT1517" i="6"/>
  <c r="AU545" i="6"/>
  <c r="P8" i="5"/>
  <c r="F9" i="2" s="1"/>
  <c r="M8" i="5"/>
  <c r="N8" i="5"/>
  <c r="G9" i="2" s="1"/>
  <c r="Q8" i="5"/>
  <c r="R8" i="5"/>
  <c r="S8" i="5"/>
  <c r="O8" i="5"/>
  <c r="H9" i="2" s="1"/>
  <c r="AN1445" i="6"/>
  <c r="AT1445" i="6"/>
  <c r="AU1444" i="6"/>
  <c r="AU1481" i="6" l="1"/>
  <c r="AU725" i="6"/>
  <c r="T14" i="5"/>
  <c r="E15" i="2"/>
  <c r="D15" i="2"/>
  <c r="C15" i="2"/>
  <c r="I15" i="2" s="1"/>
  <c r="D16" i="2"/>
  <c r="T8" i="5"/>
  <c r="D9" i="2"/>
  <c r="C9" i="2"/>
  <c r="I9" i="2" s="1"/>
  <c r="E9" i="2"/>
  <c r="D10" i="2"/>
  <c r="M26" i="5"/>
  <c r="R26" i="5"/>
  <c r="P26" i="5"/>
  <c r="N26" i="5"/>
  <c r="G27" i="2" s="1"/>
  <c r="Q26" i="5"/>
  <c r="S26" i="5"/>
  <c r="F27" i="2" s="1"/>
  <c r="O26" i="5"/>
  <c r="H27" i="2" s="1"/>
  <c r="P23" i="5"/>
  <c r="M23" i="5"/>
  <c r="N23" i="5"/>
  <c r="G24" i="2" s="1"/>
  <c r="R23" i="5"/>
  <c r="S23" i="5"/>
  <c r="F24" i="2" s="1"/>
  <c r="Q23" i="5"/>
  <c r="O23" i="5"/>
  <c r="H24" i="2" s="1"/>
  <c r="M21" i="5"/>
  <c r="N21" i="5"/>
  <c r="G22" i="2" s="1"/>
  <c r="P21" i="5"/>
  <c r="Q21" i="5"/>
  <c r="R21" i="5"/>
  <c r="F22" i="2" s="1"/>
  <c r="S21" i="5"/>
  <c r="O21" i="5"/>
  <c r="H22" i="2" s="1"/>
  <c r="T37" i="5"/>
  <c r="D38" i="2"/>
  <c r="C38" i="2"/>
  <c r="I38" i="2" s="1"/>
  <c r="D39" i="2"/>
  <c r="P34" i="5"/>
  <c r="M34" i="5"/>
  <c r="E38" i="2" s="1"/>
  <c r="N34" i="5"/>
  <c r="G35" i="2" s="1"/>
  <c r="S34" i="5"/>
  <c r="Q34" i="5"/>
  <c r="F35" i="2" s="1"/>
  <c r="R34" i="5"/>
  <c r="O34" i="5"/>
  <c r="H35" i="2" s="1"/>
  <c r="N17" i="5"/>
  <c r="G18" i="2" s="1"/>
  <c r="M17" i="5"/>
  <c r="R17" i="5"/>
  <c r="F18" i="2" s="1"/>
  <c r="P17" i="5"/>
  <c r="S17" i="5"/>
  <c r="Q17" i="5"/>
  <c r="O17" i="5"/>
  <c r="H18" i="2" s="1"/>
  <c r="M32" i="5"/>
  <c r="N32" i="5"/>
  <c r="G33" i="2" s="1"/>
  <c r="R32" i="5"/>
  <c r="P32" i="5"/>
  <c r="F33" i="2" s="1"/>
  <c r="Q32" i="5"/>
  <c r="S32" i="5"/>
  <c r="O32" i="5"/>
  <c r="H33" i="2" s="1"/>
  <c r="P4" i="5"/>
  <c r="I9" i="1" s="1"/>
  <c r="N4" i="5"/>
  <c r="I7" i="1" s="1"/>
  <c r="M4" i="5"/>
  <c r="R4" i="5"/>
  <c r="I11" i="1" s="1"/>
  <c r="Q4" i="5"/>
  <c r="I10" i="1" s="1"/>
  <c r="S4" i="5"/>
  <c r="I12" i="1" s="1"/>
  <c r="O4" i="5"/>
  <c r="I8" i="1" s="1"/>
  <c r="N48" i="5"/>
  <c r="G49" i="2" s="1"/>
  <c r="M48" i="5"/>
  <c r="Q48" i="5"/>
  <c r="R48" i="5"/>
  <c r="P48" i="5"/>
  <c r="S48" i="5"/>
  <c r="F49" i="2" s="1"/>
  <c r="O48" i="5"/>
  <c r="H49" i="2" s="1"/>
  <c r="AU1517" i="6"/>
  <c r="P47" i="5"/>
  <c r="M47" i="5"/>
  <c r="Q47" i="5"/>
  <c r="N47" i="5"/>
  <c r="G48" i="2" s="1"/>
  <c r="R47" i="5"/>
  <c r="S47" i="5"/>
  <c r="F48" i="2" s="1"/>
  <c r="O47" i="5"/>
  <c r="H48" i="2" s="1"/>
  <c r="P22" i="5"/>
  <c r="M22" i="5"/>
  <c r="N22" i="5"/>
  <c r="G23" i="2" s="1"/>
  <c r="R22" i="5"/>
  <c r="F23" i="2" s="1"/>
  <c r="S22" i="5"/>
  <c r="Q22" i="5"/>
  <c r="O22" i="5"/>
  <c r="H23" i="2" s="1"/>
  <c r="AU1445" i="6"/>
  <c r="E12" i="2"/>
  <c r="T11" i="5"/>
  <c r="C12" i="2"/>
  <c r="I12" i="2" s="1"/>
  <c r="D13" i="2"/>
  <c r="E16" i="2"/>
  <c r="E14" i="2"/>
  <c r="E13" i="2"/>
  <c r="R43" i="5"/>
  <c r="F44" i="2" s="1"/>
  <c r="P43" i="5"/>
  <c r="M43" i="5"/>
  <c r="Q43" i="5"/>
  <c r="N43" i="5"/>
  <c r="G44" i="2" s="1"/>
  <c r="S43" i="5"/>
  <c r="O43" i="5"/>
  <c r="H44" i="2" s="1"/>
  <c r="AU509" i="6"/>
  <c r="T46" i="5"/>
  <c r="D47" i="2"/>
  <c r="C47" i="2"/>
  <c r="I47" i="2" s="1"/>
  <c r="C6" i="2"/>
  <c r="I6" i="2" s="1"/>
  <c r="T5" i="5"/>
  <c r="E6" i="2"/>
  <c r="E11" i="2"/>
  <c r="E10" i="2"/>
  <c r="E8" i="2"/>
  <c r="E7" i="2"/>
  <c r="D7" i="2"/>
  <c r="M44" i="5" l="1"/>
  <c r="S44" i="5"/>
  <c r="F45" i="2" s="1"/>
  <c r="N44" i="5"/>
  <c r="G45" i="2" s="1"/>
  <c r="P44" i="5"/>
  <c r="Q44" i="5"/>
  <c r="R44" i="5"/>
  <c r="O44" i="5"/>
  <c r="H45" i="2" s="1"/>
  <c r="T4" i="5"/>
  <c r="I6" i="1"/>
  <c r="L9" i="1"/>
  <c r="K9" i="1"/>
  <c r="J9" i="1"/>
  <c r="D23" i="2"/>
  <c r="C23" i="2"/>
  <c r="I23" i="2" s="1"/>
  <c r="T22" i="5"/>
  <c r="E23" i="2"/>
  <c r="C18" i="2"/>
  <c r="I18" i="2" s="1"/>
  <c r="T17" i="5"/>
  <c r="E18" i="2"/>
  <c r="E20" i="2"/>
  <c r="E21" i="2"/>
  <c r="E19" i="2"/>
  <c r="D19" i="2"/>
  <c r="T26" i="5"/>
  <c r="E27" i="2"/>
  <c r="D27" i="2"/>
  <c r="C27" i="2"/>
  <c r="I27" i="2" s="1"/>
  <c r="D28" i="2"/>
  <c r="E24" i="2"/>
  <c r="T23" i="5"/>
  <c r="C24" i="2"/>
  <c r="I24" i="2" s="1"/>
  <c r="E25" i="2"/>
  <c r="D25" i="2"/>
  <c r="E26" i="2"/>
  <c r="E29" i="2"/>
  <c r="E28" i="2"/>
  <c r="M16" i="5"/>
  <c r="N16" i="5"/>
  <c r="G17" i="2" s="1"/>
  <c r="R16" i="5"/>
  <c r="S16" i="5"/>
  <c r="Q16" i="5"/>
  <c r="F17" i="2" s="1"/>
  <c r="P16" i="5"/>
  <c r="O16" i="5"/>
  <c r="H17" i="2" s="1"/>
  <c r="T48" i="5"/>
  <c r="E49" i="2"/>
  <c r="D49" i="2"/>
  <c r="C49" i="2"/>
  <c r="I49" i="2" s="1"/>
  <c r="J8" i="1"/>
  <c r="L8" i="1"/>
  <c r="K8" i="1"/>
  <c r="Q42" i="5"/>
  <c r="M42" i="5"/>
  <c r="N42" i="5"/>
  <c r="G43" i="2" s="1"/>
  <c r="R42" i="5"/>
  <c r="F43" i="2" s="1"/>
  <c r="S42" i="5"/>
  <c r="P42" i="5"/>
  <c r="O42" i="5"/>
  <c r="H43" i="2" s="1"/>
  <c r="L12" i="1"/>
  <c r="K12" i="1"/>
  <c r="J12" i="1"/>
  <c r="T32" i="5"/>
  <c r="E33" i="2"/>
  <c r="C33" i="2"/>
  <c r="I33" i="2" s="1"/>
  <c r="D33" i="2"/>
  <c r="D34" i="2"/>
  <c r="T47" i="5"/>
  <c r="E48" i="2"/>
  <c r="D48" i="2"/>
  <c r="C48" i="2"/>
  <c r="I48" i="2" s="1"/>
  <c r="L10" i="1"/>
  <c r="K10" i="1"/>
  <c r="J10" i="1"/>
  <c r="C35" i="2"/>
  <c r="I35" i="2" s="1"/>
  <c r="T34" i="5"/>
  <c r="E35" i="2"/>
  <c r="E39" i="2"/>
  <c r="E37" i="2"/>
  <c r="E36" i="2"/>
  <c r="D36" i="2"/>
  <c r="K7" i="1"/>
  <c r="L7" i="1"/>
  <c r="J7" i="1"/>
  <c r="T43" i="5"/>
  <c r="E44" i="2"/>
  <c r="C44" i="2"/>
  <c r="I44" i="2" s="1"/>
  <c r="K11" i="1"/>
  <c r="L11" i="1"/>
  <c r="J11" i="1"/>
  <c r="D22" i="2"/>
  <c r="E22" i="2"/>
  <c r="C22" i="2"/>
  <c r="I22" i="2" s="1"/>
  <c r="T21" i="5"/>
  <c r="J6" i="1" l="1"/>
  <c r="L6" i="1"/>
  <c r="K6" i="1"/>
  <c r="T42" i="5"/>
  <c r="E43" i="2"/>
  <c r="D43" i="2"/>
  <c r="C43" i="2"/>
  <c r="I43" i="2" s="1"/>
  <c r="D44" i="2"/>
  <c r="C17" i="2"/>
  <c r="I17" i="2" s="1"/>
  <c r="E17" i="2"/>
  <c r="D17" i="2"/>
  <c r="T16" i="5"/>
  <c r="T44" i="5"/>
  <c r="E45" i="2"/>
  <c r="C45" i="2"/>
  <c r="I45" i="2" s="1"/>
  <c r="D46" i="2"/>
  <c r="E46" i="2"/>
  <c r="E47" i="2"/>
</calcChain>
</file>

<file path=xl/sharedStrings.xml><?xml version="1.0" encoding="utf-8"?>
<sst xmlns="http://schemas.openxmlformats.org/spreadsheetml/2006/main" count="872" uniqueCount="406">
  <si>
    <t>洞知队固定流程配置对比</t>
  </si>
  <si>
    <t>固定3个普通回合＋1次洞穿。木桩不攻击、不施加状态。结果按暴击概率加权，用于比较塑造及原心相的增幅收益。黄色可改，绿色为公式。</t>
  </si>
  <si>
    <t>角色</t>
  </si>
  <si>
    <t>基准塑造</t>
  </si>
  <si>
    <t>对比塑造</t>
  </si>
  <si>
    <t>基准增幅</t>
  </si>
  <si>
    <t>对比增幅</t>
  </si>
  <si>
    <t>固定心相</t>
  </si>
  <si>
    <t>结果</t>
  </si>
  <si>
    <t>基准</t>
  </si>
  <si>
    <t>对比</t>
  </si>
  <si>
    <t>差额</t>
  </si>
  <si>
    <t>提升率</t>
  </si>
  <si>
    <t>说明</t>
  </si>
  <si>
    <t>红弩箭</t>
  </si>
  <si>
    <t>立于风暴脊</t>
  </si>
  <si>
    <t>全队合计</t>
  </si>
  <si>
    <t>37</t>
  </si>
  <si>
    <t>灵知当齐一</t>
  </si>
  <si>
    <t>普通阶段</t>
  </si>
  <si>
    <t>小瑞安侬</t>
  </si>
  <si>
    <t>昨日雨声轻</t>
  </si>
  <si>
    <t>洞穿阶段</t>
  </si>
  <si>
    <t>J</t>
  </si>
  <si>
    <t>家庭指导员</t>
  </si>
  <si>
    <t>红弩箭合计</t>
  </si>
  <si>
    <t>37合计</t>
  </si>
  <si>
    <t>面板使用已装备原心相后的战前数值。增幅仅改变战斗效果，不重复加静态属性。37/J固定狂想IV。其他心相换装不在本版范围。</t>
  </si>
  <si>
    <t>小瑞安侬合计</t>
  </si>
  <si>
    <t>J合计</t>
  </si>
  <si>
    <t>攻击</t>
  </si>
  <si>
    <t>生命</t>
  </si>
  <si>
    <t>暴击率</t>
  </si>
  <si>
    <t>计算暴创</t>
  </si>
  <si>
    <t>创伤加成</t>
  </si>
  <si>
    <t>术法威力</t>
  </si>
  <si>
    <t>仪式威力</t>
  </si>
  <si>
    <t>穿透率</t>
  </si>
  <si>
    <t>本源增益</t>
  </si>
  <si>
    <t>自然克制？</t>
  </si>
  <si>
    <t>显示202.6%，本例按202.5%计算</t>
  </si>
  <si>
    <t>洞悉15%＋灵知暴创按增幅</t>
  </si>
  <si>
    <t>心相入战攻击及洞悉另加</t>
  </si>
  <si>
    <t>显示171.8%，本例按171.7%计算</t>
  </si>
  <si>
    <t>计算暴创为总倍率：202.5%请输入202.5%，不是102.5%。自然克制0=不克制、1=克制。黑莓固定视为克制。生命只保留面板信息，当前木桩模型没有生命比例增伤。</t>
  </si>
  <si>
    <t>木桩基础属性（全程固定）</t>
  </si>
  <si>
    <t>简化场景假设</t>
  </si>
  <si>
    <t>现实防御</t>
  </si>
  <si>
    <t>所有现实攻击使用此防御</t>
  </si>
  <si>
    <t>J燃烧取角色上限</t>
  </si>
  <si>
    <t>1=比较满燃烧；0=使用下行固定层数</t>
  </si>
  <si>
    <t>精神防御</t>
  </si>
  <si>
    <t>所有精神攻击使用此防御</t>
  </si>
  <si>
    <t>J固定燃烧层数</t>
  </si>
  <si>
    <t>选择0时生效，仍不超过该塑造上限</t>
  </si>
  <si>
    <t>暴击防御</t>
  </si>
  <si>
    <t>从暴击创伤扣百分点</t>
  </si>
  <si>
    <t>木桩预置燃烧</t>
  </si>
  <si>
    <t>仅算J仪式溢出，不模拟结算及扣层</t>
  </si>
  <si>
    <t>抗暴率</t>
  </si>
  <si>
    <t>从角色暴击概率扣百分点</t>
  </si>
  <si>
    <t>J溢出实测/文本比例</t>
  </si>
  <si>
    <t>0塑文本50%，本例有效100%；高塑按相同比例推算，未独立验证</t>
  </si>
  <si>
    <t>普通受创减免</t>
  </si>
  <si>
    <t>普通创伤乘区扣减</t>
  </si>
  <si>
    <t>固定追击次数</t>
  </si>
  <si>
    <t>37补充算式固定4次；不随灵光生成变化</t>
  </si>
  <si>
    <t>洞知受创减免</t>
  </si>
  <si>
    <t>洞知威力区扣减</t>
  </si>
  <si>
    <t>状态持续时间</t>
  </si>
  <si>
    <t>短循环近似</t>
  </si>
  <si>
    <t>增益一旦触发，本窗口内不再到期；用于配置相对收益</t>
  </si>
  <si>
    <t>直接本源减免</t>
  </si>
  <si>
    <t>仅影响37技能自带本源</t>
  </si>
  <si>
    <t>洞穿开始</t>
  </si>
  <si>
    <t>固定第3回合后</t>
  </si>
  <si>
    <t>不计算洞知点及提前进入收益</t>
  </si>
  <si>
    <t>最低攻防比例</t>
  </si>
  <si>
    <t>高防时攻防项最低为攻击×此比例</t>
  </si>
  <si>
    <t>受击反击次数</t>
  </si>
  <si>
    <t>木桩不攻击，高温回火不触发</t>
  </si>
  <si>
    <t>普通创伤区下限</t>
  </si>
  <si>
    <t>与原验证模型保持一致</t>
  </si>
  <si>
    <t>基础克制加成</t>
  </si>
  <si>
    <t>克制基础倍率1＋此值</t>
  </si>
  <si>
    <t>木桩没有关卡仰望、保守主义、分段生命减伤、非克制追加暴防及全员术法−40%。角色产生的创伤、暴防降低及洞知减免降低仍计算为技能修正。各方案共用相同流程和木桩。</t>
  </si>
  <si>
    <t>看逐档收益：每次只改变一名角色的塑造或心相增幅，其余配置保持基准。增量=本档相对上一档；累计=本档相对0塑或增幅1。固定流程忽略额外行动机会、提前洞穿和卡牌获取收益。缺失参数时不显示受影响结果。</t>
  </si>
  <si>
    <t>塑造与心相逐档收益</t>
  </si>
  <si>
    <t>每行仅替换一名角色的一个配置项，其余角色保持配置与结果页的基准。上一档提升按相邻档比较；累计按0塑/增幅1比较。普通阶段在红0塑洞知参数缺失时仍可显示。</t>
  </si>
  <si>
    <t>变化项</t>
  </si>
  <si>
    <t>档位</t>
  </si>
  <si>
    <t>全队期望</t>
  </si>
  <si>
    <t>上一档提升</t>
  </si>
  <si>
    <t>累计提升</t>
  </si>
  <si>
    <t>该角色期望</t>
  </si>
  <si>
    <t>塑造及心相效果参数</t>
  </si>
  <si>
    <t>塑造效果逐档累计，37/J均为狂想IV后的有效数值。黄色可按游戏改版修正。倍数100%=1；百分点使用百分比。空白不是0。来源及未验证推算写在右侧。</t>
  </si>
  <si>
    <t>参数</t>
  </si>
  <si>
    <t>0塑</t>
  </si>
  <si>
    <t>1塑</t>
  </si>
  <si>
    <t>2塑</t>
  </si>
  <si>
    <t>3塑</t>
  </si>
  <si>
    <t>4塑</t>
  </si>
  <si>
    <t>5塑</t>
  </si>
  <si>
    <t>单位</t>
  </si>
  <si>
    <t>来源</t>
  </si>
  <si>
    <t>俯冲基础</t>
  </si>
  <si>
    <t>倍率</t>
  </si>
  <si>
    <t>用户提供塑造/狂想文本；0塑沿用实测验证表</t>
  </si>
  <si>
    <t>俯冲雷鸣追加</t>
  </si>
  <si>
    <t>俯冲极限追加</t>
  </si>
  <si>
    <t>雷鸣俯冲伤加Ⅰ</t>
  </si>
  <si>
    <t>百分点</t>
  </si>
  <si>
    <t>Ⅱ/Ⅲ阶额外+10/+20个百分点</t>
  </si>
  <si>
    <t>极限俯冲伤加Ⅰ</t>
  </si>
  <si>
    <t>Ⅱ/Ⅲ阶额外+20/+40个百分点</t>
  </si>
  <si>
    <t>雷鸣术法</t>
  </si>
  <si>
    <t>极限术法</t>
  </si>
  <si>
    <t>每增压术法</t>
  </si>
  <si>
    <t>首次眼镜蛇增压</t>
  </si>
  <si>
    <t>层/点</t>
  </si>
  <si>
    <t>首次俯冲增压</t>
  </si>
  <si>
    <t>每弹药仪式</t>
  </si>
  <si>
    <t>仪式主目标基础</t>
  </si>
  <si>
    <t>基础＋主目标追加合并；高塑1800%＋1800%</t>
  </si>
  <si>
    <t>消耗弹药追加</t>
  </si>
  <si>
    <t>消耗弹药仪式</t>
  </si>
  <si>
    <t>消耗弹药暴创</t>
  </si>
  <si>
    <t>消耗弹药穿透</t>
  </si>
  <si>
    <t>洞知普通</t>
  </si>
  <si>
    <t>0塑900%，用户最新完整文本确认</t>
  </si>
  <si>
    <t>洞知第三击</t>
  </si>
  <si>
    <t>洞知终结</t>
  </si>
  <si>
    <t>终结每行动追加</t>
  </si>
  <si>
    <t>洞知普通暴创</t>
  </si>
  <si>
    <t>洞知第三暴创</t>
  </si>
  <si>
    <t>洞知终结暴创</t>
  </si>
  <si>
    <t>洞知倍率已确认</t>
  </si>
  <si>
    <t>开关</t>
  </si>
  <si>
    <t>0～5塑基础倍率已由用户完整文字补齐</t>
  </si>
  <si>
    <t>入战全队暴击</t>
  </si>
  <si>
    <t>用户提供当前有效全队提升60%；不再乘狂想50%</t>
  </si>
  <si>
    <t>数维攻击比例</t>
  </si>
  <si>
    <t>数维攻击上限</t>
  </si>
  <si>
    <t>攻击值</t>
  </si>
  <si>
    <t>洞穿减免降低</t>
  </si>
  <si>
    <t>两分悖论比例</t>
  </si>
  <si>
    <t>三角正论基础</t>
  </si>
  <si>
    <t>Ⅱ阶×1.5，Ⅲ阶×2.5</t>
  </si>
  <si>
    <t>曲线映射基础</t>
  </si>
  <si>
    <t>普通咒语本源</t>
  </si>
  <si>
    <t>补充算式精神</t>
  </si>
  <si>
    <t>补充算式本源</t>
  </si>
  <si>
    <t>仪式启迪层数</t>
  </si>
  <si>
    <t>启迪本源增加</t>
  </si>
  <si>
    <t>洞知精神</t>
  </si>
  <si>
    <t>群鸟威力</t>
  </si>
  <si>
    <t>每灵犀克制</t>
  </si>
  <si>
    <t>灵犀上限</t>
  </si>
  <si>
    <t>回合开始灵犀</t>
  </si>
  <si>
    <t>消费默契灵犀</t>
  </si>
  <si>
    <t>尘酿鹰攻击比例</t>
  </si>
  <si>
    <t>尘酿鹰攻击上限</t>
  </si>
  <si>
    <t>升华群体伤加</t>
  </si>
  <si>
    <t>升华伤加额外上限</t>
  </si>
  <si>
    <t>升华降低暴防</t>
  </si>
  <si>
    <t>升华暴防额外上限</t>
  </si>
  <si>
    <t>黑莓基础</t>
  </si>
  <si>
    <t>黑莓每灵犀</t>
  </si>
  <si>
    <t>自身燃烧上限</t>
  </si>
  <si>
    <t>燃烧攻击比例</t>
  </si>
  <si>
    <t>原效果加狂想I额外原效果100%</t>
  </si>
  <si>
    <t>仪式基础</t>
  </si>
  <si>
    <t>仪式文本溢出</t>
  </si>
  <si>
    <t>有效倍率=文本×配置H27；0塑实测比例2，高塑沿用该比例仅为近似</t>
  </si>
  <si>
    <t>高温回火基础</t>
  </si>
  <si>
    <t>本表木桩无攻击，不产生高温回火，不计该塑造受击收益</t>
  </si>
  <si>
    <t>高温回火燃烧</t>
  </si>
  <si>
    <t>狂想IV，未用于本木桩计算</t>
  </si>
  <si>
    <t>心相增幅参数（固定原心相，静态面板另行输入）</t>
  </si>
  <si>
    <t>心相</t>
  </si>
  <si>
    <t>增幅1</t>
  </si>
  <si>
    <t>增幅2</t>
  </si>
  <si>
    <t>增幅3</t>
  </si>
  <si>
    <t>增幅4</t>
  </si>
  <si>
    <t>增幅5</t>
  </si>
  <si>
    <t>风暴入战伤害</t>
  </si>
  <si>
    <t>https://wiki.biligame.com/reverse1999/立于风暴脊</t>
  </si>
  <si>
    <t>进入战斗后自身造成伤害提升</t>
  </si>
  <si>
    <t>风暴洞知每行动</t>
  </si>
  <si>
    <t>此前己方每次洞知攻击叠加；洞穿结束清空</t>
  </si>
  <si>
    <t>灵知每额外行动</t>
  </si>
  <si>
    <t>用户最新心相增幅1～5全文</t>
  </si>
  <si>
    <t>37额外行动后，全队洞知增益最多4层</t>
  </si>
  <si>
    <t>灵知档位已确认</t>
  </si>
  <si>
    <t>参数完整性</t>
  </si>
  <si>
    <t>全部档位已由用户确认</t>
  </si>
  <si>
    <t>雨声入战攻击</t>
  </si>
  <si>
    <t>https://wiki.biligame.com/reverse1999/昨日雨声轻</t>
  </si>
  <si>
    <t>小瑞自身入战攻击提升；静态装备面板之外</t>
  </si>
  <si>
    <t>雨声每主动伤害</t>
  </si>
  <si>
    <t>普通主动咒语及仪式伤后叠层，上限6</t>
  </si>
  <si>
    <t>雨声仪式暴创</t>
  </si>
  <si>
    <t>小瑞仪式后全队暴创</t>
  </si>
  <si>
    <t>家庭反击仪式</t>
  </si>
  <si>
    <t>反击后J仪式威力，上限3层</t>
  </si>
  <si>
    <t>家庭每激情暴创</t>
  </si>
  <si>
    <t>己方消耗激情伤后增加，全队上限30点</t>
  </si>
  <si>
    <t>家庭档位已确认</t>
  </si>
  <si>
    <t>灵知入战暴创</t>
  </si>
  <si>
    <t>星系记忆者入战暴创；与洞悉15%相加</t>
  </si>
  <si>
    <t>固定计算流程</t>
  </si>
  <si>
    <t>各方案固定同一36次玩家行动，不模拟发牌、激情合法性、灵光生成或洞知点。普通阶段4次补充算式、2次黑莓固定，不随塑造改变数量。无Boss行动及高温回火。</t>
  </si>
  <si>
    <t>序号</t>
  </si>
  <si>
    <t>阶段</t>
  </si>
  <si>
    <t>普通回合</t>
  </si>
  <si>
    <t>技能</t>
  </si>
  <si>
    <t>阶次</t>
  </si>
  <si>
    <t>角色编号</t>
  </si>
  <si>
    <t>动作代码</t>
  </si>
  <si>
    <t>普通</t>
  </si>
  <si>
    <t>唱予无忧之诗</t>
  </si>
  <si>
    <t>RHI_ULT</t>
  </si>
  <si>
    <t>固定主动技能，小瑞普通咒语假定处于加护</t>
  </si>
  <si>
    <t>悄冥冥术阵·加护</t>
  </si>
  <si>
    <t>RHI_BUFF</t>
  </si>
  <si>
    <t>眼镜蛇机动Ⅰ</t>
  </si>
  <si>
    <t>LILYA_COBRA</t>
  </si>
  <si>
    <t>极限俯冲</t>
  </si>
  <si>
    <t>LILYA_DIVE</t>
  </si>
  <si>
    <t>三角正论</t>
  </si>
  <si>
    <t>37_TRIANGLE</t>
  </si>
  <si>
    <t>补充算式</t>
  </si>
  <si>
    <t>37_FOLLOW</t>
  </si>
  <si>
    <t>固定额外行动；计入心相灵知叠层</t>
  </si>
  <si>
    <t>硬度测试</t>
  </si>
  <si>
    <t>J_HARD</t>
  </si>
  <si>
    <t>主动出牌同时视为反击，触发家庭指导员</t>
  </si>
  <si>
    <t>囫囵囵咒·加护</t>
  </si>
  <si>
    <t>RHI_ATTACK</t>
  </si>
  <si>
    <t>曲线映射</t>
  </si>
  <si>
    <t>37_CURVE</t>
  </si>
  <si>
    <t>虫虫黑莓唤回术</t>
  </si>
  <si>
    <t>RHI_BERRY</t>
  </si>
  <si>
    <t>固定追击；任何灵感视为克制</t>
  </si>
  <si>
    <t>数与几何的王国</t>
  </si>
  <si>
    <t>37_ULT</t>
  </si>
  <si>
    <t>飞跃海特街</t>
  </si>
  <si>
    <t>J_ULT</t>
  </si>
  <si>
    <t>试试杀手锏</t>
  </si>
  <si>
    <t>LILYA_ULT</t>
  </si>
  <si>
    <t>洞穿</t>
  </si>
  <si>
    <t>LILYA_WEAK</t>
  </si>
  <si>
    <t>固定洞穿顺序，不核算洞知点消耗</t>
  </si>
  <si>
    <t>归谬</t>
  </si>
  <si>
    <t>37_WEAK</t>
  </si>
  <si>
    <t>LILYA_THIRD</t>
  </si>
  <si>
    <t>LILYA_FINISH</t>
  </si>
  <si>
    <t>方案号</t>
  </si>
  <si>
    <t>方案</t>
  </si>
  <si>
    <t>红塑造</t>
  </si>
  <si>
    <t>37塑造</t>
  </si>
  <si>
    <t>瑞塑造</t>
  </si>
  <si>
    <t>J塑造</t>
  </si>
  <si>
    <t>红增幅</t>
  </si>
  <si>
    <t>37增幅</t>
  </si>
  <si>
    <t>瑞增幅</t>
  </si>
  <si>
    <t>J增幅</t>
  </si>
  <si>
    <t>普通参数完整</t>
  </si>
  <si>
    <t>洞穿参数完整</t>
  </si>
  <si>
    <t>普通合计</t>
  </si>
  <si>
    <t>洞穿合计</t>
  </si>
  <si>
    <t>红弩箭总伤</t>
  </si>
  <si>
    <t>37总伤</t>
  </si>
  <si>
    <t>小瑞安侬总伤</t>
  </si>
  <si>
    <t>J总伤</t>
  </si>
  <si>
    <t>相对基准</t>
  </si>
  <si>
    <t>J燃烧</t>
  </si>
  <si>
    <t>小瑞入战攻击</t>
  </si>
  <si>
    <t>数维快照攻击</t>
  </si>
  <si>
    <t>尘酿鹰快照攻击</t>
  </si>
  <si>
    <t>流程序号</t>
  </si>
  <si>
    <t>方案参数行</t>
  </si>
  <si>
    <t>阶段1普通2洞穿</t>
  </si>
  <si>
    <t>基础攻击</t>
  </si>
  <si>
    <t>基础暴击率</t>
  </si>
  <si>
    <t>基础暴创</t>
  </si>
  <si>
    <t>红吟诵前</t>
  </si>
  <si>
    <t>增压前</t>
  </si>
  <si>
    <t>极限剩余回合</t>
  </si>
  <si>
    <t>弹药前</t>
  </si>
  <si>
    <t>本次灵犀</t>
  </si>
  <si>
    <t>雨声前</t>
  </si>
  <si>
    <t>已消费激情</t>
  </si>
  <si>
    <t>反击库存前</t>
  </si>
  <si>
    <t>启迪本次可用</t>
  </si>
  <si>
    <t>两分悖论前</t>
  </si>
  <si>
    <t>灵知层数前</t>
  </si>
  <si>
    <t>群鸟前</t>
  </si>
  <si>
    <t>尘酿鹰前</t>
  </si>
  <si>
    <t>瑞伤加前</t>
  </si>
  <si>
    <t>瑞减暴防前</t>
  </si>
  <si>
    <t>瑞攻击提升本次</t>
  </si>
  <si>
    <t>J团队伤加前</t>
  </si>
  <si>
    <t>数维本次</t>
  </si>
  <si>
    <t>有效攻击</t>
  </si>
  <si>
    <t>有效防御</t>
  </si>
  <si>
    <t>主伤倍率</t>
  </si>
  <si>
    <t>普通创伤区</t>
  </si>
  <si>
    <t>威力区</t>
  </si>
  <si>
    <t>克制区</t>
  </si>
  <si>
    <t>有效暴击率</t>
  </si>
  <si>
    <t>有效暴创</t>
  </si>
  <si>
    <t>不暴击主伤</t>
  </si>
  <si>
    <t>暴击主伤</t>
  </si>
  <si>
    <t>主伤期望</t>
  </si>
  <si>
    <t>直接本源倍率</t>
  </si>
  <si>
    <t>本源区</t>
  </si>
  <si>
    <t>不暴击直接本源</t>
  </si>
  <si>
    <t>暴击直接本源</t>
  </si>
  <si>
    <t>直接本源期望</t>
  </si>
  <si>
    <t>稳态期望</t>
  </si>
  <si>
    <t>本次总期望</t>
  </si>
  <si>
    <t>红吟诵后</t>
  </si>
  <si>
    <t>增压后</t>
  </si>
  <si>
    <t>极限剩余后</t>
  </si>
  <si>
    <t>弹药后</t>
  </si>
  <si>
    <t>灵犀后</t>
  </si>
  <si>
    <t>雨声后</t>
  </si>
  <si>
    <t>消费激情后</t>
  </si>
  <si>
    <t>反击库存后</t>
  </si>
  <si>
    <t>启迪后</t>
  </si>
  <si>
    <t>两分悖论后</t>
  </si>
  <si>
    <t>灵知层数后</t>
  </si>
  <si>
    <t>群鸟后</t>
  </si>
  <si>
    <t>尘酿鹰后</t>
  </si>
  <si>
    <t>瑞伤加后</t>
  </si>
  <si>
    <t>瑞减暴防后</t>
  </si>
  <si>
    <t>瑞攻击提升后</t>
  </si>
  <si>
    <t>J团队伤加后</t>
  </si>
  <si>
    <t>数维后</t>
  </si>
  <si>
    <t>雨声仪式暴创前</t>
  </si>
  <si>
    <t>雨声仪式暴创后</t>
  </si>
  <si>
    <t>项目</t>
  </si>
  <si>
    <t>使用方法与公式</t>
  </si>
  <si>
    <t>意义及简化范围</t>
  </si>
  <si>
    <t>先改配置</t>
  </si>
  <si>
    <t>配置与结果B6:E9选择基准/对比塑造和原心相增幅。面板B15:K18输入自己的装备后数值。</t>
  </si>
  <si>
    <t>基准和对比共用面板、木桩、流程，只比较所选效果变化。</t>
  </si>
  <si>
    <t>看结果</t>
  </si>
  <si>
    <t>H/I为基准/对比，J差额，K比例。逐档收益每行改变一项配置。</t>
  </si>
  <si>
    <t>全队期望包含队友收益；一名辅助的收益不等于仅看自己的伤害。</t>
  </si>
  <si>
    <t>百分比输入</t>
  </si>
  <si>
    <t>暴击率70%输入70%。总暴创202.5%输入202.5%。倍率1500%在效果参数填1500%。</t>
  </si>
  <si>
    <t>Excel保存为数值，不要输入文本。显示暴创的精度可依自己游戏面板依据修正。</t>
  </si>
  <si>
    <t>当前角色与心相</t>
  </si>
  <si>
    <t>红弩箭SP、37狂想IV、小瑞安侬、J狂想IV，原四种心相Lv60。</t>
  </si>
  <si>
    <t>可改变0～5塑与1～5增幅。换心相类型需新增完整效果及重新录入装备面板，本版没有自动换装功能。</t>
  </si>
  <si>
    <t>固定流程</t>
  </si>
  <si>
    <t>固定流程页仅供查看：36次行动、3个普通回合＋13次洞穿，4次补充算式、2次黑莓。当前只比较配置，不在Excel内修改牌序。</t>
  </si>
  <si>
    <t>不模拟随机发牌、行动点、激情、灵光、使役能量、洞知点和额外行动机会。流程用于同口径比较，不表示所有0塑配置都能开局照此打。</t>
  </si>
  <si>
    <t>状态近似</t>
  </si>
  <si>
    <t>短窗口内触发的群鸟、数维、雨声、灵犀、J团队增伤等不计算到期。灵犀按回合开始及普通咒语消费默契累积并限上限。</t>
  </si>
  <si>
    <t>不追踪灵犀分批到期、回合末默契、额外回合。37持续时间塑造及小瑞能量塑造收益可能被低估。</t>
  </si>
  <si>
    <t>红弩箭计时</t>
  </si>
  <si>
    <t>按普通回合推进雷鸣/极限，回合末雷鸣+3增压，首次俯冲按塑造+1/+2，满10下回合进入极限2回合。</t>
  </si>
  <si>
    <t>洞穿不消耗此计时。固定高阶牌不核算获取，部分塑造预备牌收益没有计入。</t>
  </si>
  <si>
    <t>默认自身按该塑造燃烧上限、木桩预置30层。H24改0可比较指定固定层数。</t>
  </si>
  <si>
    <t>没有燃烧伤害、扣层、护盾或受击反击。J硬度测试仍计反击，伤后叠家庭仪式威力。J1塑高温回火提升在本木桩可能显示0收益，属于场景限制。</t>
  </si>
  <si>
    <t>J仪式疑点</t>
  </si>
  <si>
    <t>有效溢出倍率=游戏文本×H27。默认H27=2：0塑每层100%，4塑起按文本75%推算为150%。</t>
  </si>
  <si>
    <t>0塑100%由原测试支持；4塑/5塑150%尚未独立测试。可将H27改1看游戏文本口径。</t>
  </si>
  <si>
    <t>战前攻击×角色百分比增益＋数维固定攻击＋尘酿鹰固定攻击，再向下取整。数维和尘酿鹰用各自施放时近似快照。</t>
  </si>
  <si>
    <t>小瑞入战5%与雨声入战攻击另加；J每层燃烧攻击按塑造/狂想。心相静态属性已在输入面板，不重复加。</t>
  </si>
  <si>
    <t>主伤</t>
  </si>
  <si>
    <t>MAX(攻击×最低攻防比例，攻击−有效防御)×技能倍率×普通创伤区×威力区×克制区。分别算不暴击、暴击并取整。</t>
  </si>
  <si>
    <t>普通创伤区含角色伤加、雨声、瑞升华、J团队、反击伤加，减去木桩固定受创减免。</t>
  </si>
  <si>
    <t>普通咒语读取术法；仪式读取仪式；洞知读取独立洞知区。洞穿同时计算37普通减免降低与洞知减免降低。</t>
  </si>
  <si>
    <t>洞知不额外读取术法。木桩基础属性固定，角色技能减免修正随固定动作生效。</t>
  </si>
  <si>
    <t>暴击期望</t>
  </si>
  <si>
    <t>概率=MIN(100%,MAX(0,面板暴率＋37全队入战暴率−抗暴率))。期望=不暴击伤害×(1−概率)＋暴击伤害×概率。</t>
  </si>
  <si>
    <t>有效暴创含狂想/心相、消耗激情库存、技能暴创和小瑞暴防降低，扣木桩固定暴防。结果可能有小数，是平均期望。</t>
  </si>
  <si>
    <t>直接本源</t>
  </si>
  <si>
    <t>先floor(攻击×本源倍率)，再乘启迪、本源增减及暴击，最后取整，再按暴击概率加权。</t>
  </si>
  <si>
    <t>不吃防御、克制、普通伤加或术法区。木桩直接本源减免只用于此部分。</t>
  </si>
  <si>
    <t>稳态附加</t>
  </si>
  <si>
    <t>已有两分悖论时，分别用不暴击主伤和暴击主伤乘对应塑造比例取整，再加权。37洞知攻击后生成一层。</t>
  </si>
  <si>
    <t>附加不再次暴击或再吃直接本源减免，沿用本场验证口径。</t>
  </si>
  <si>
    <t>激情与心相</t>
  </si>
  <si>
    <t>每次固定仪式按消耗5激情处理，家庭全队暴创从本次伤害后开始累计，最多30。</t>
  </si>
  <si>
    <t>不模拟激情获得，不能用本表判断出牌是否合法。</t>
  </si>
  <si>
    <t>缺少档位</t>
  </si>
  <si>
    <t>当前0～5塑造和四种心相增幅1～5均已补齐。数值及来源见效果参数。黄色数值可在游戏改版后修正。</t>
  </si>
  <si>
    <t>已确认开关用于标识未来缺失参数。自行清空参数时应同步将开关设0，避免误读为零效果。</t>
  </si>
  <si>
    <t>为什么会和实测不同</t>
  </si>
  <si>
    <t>木桩无关卡机制，卡牌数量固定，持续时间简化，燃烧预置，缺少资源和行动频率。</t>
  </si>
  <si>
    <t>这是用户要求的配置收益估算器。用于同流程相对比较，不能替代保留的实测验证档案。</t>
  </si>
  <si>
    <t>关于0%收益</t>
  </si>
  <si>
    <t>固定次数场景中不发生的机制不会产生收益，例如木桩不攻击时J1塑反击增强。</t>
  </si>
  <si>
    <t>0%表示此流程未体现，不能据此认定该塑造实战无用。</t>
  </si>
  <si>
    <t>参数来源</t>
  </si>
  <si>
    <t>用户提供本次0～5塑造及37/J狂想全文；原实测表提供0塑基础及结算区；风暴/雨声档位来自参数表所列公开页面。</t>
  </si>
  <si>
    <t>每条参数右侧保留来源或未验证假设。游戏改版后以实际文本和测试修正。</t>
  </si>
  <si>
    <t>使用建议</t>
  </si>
  <si>
    <t>一次只改一个选项，比较角色与全队两种收益；再改木桩防御/暴防，看结论是否稳定。</t>
  </si>
  <si>
    <t>没有实测伤害输入参与结果。其他玩家可按自己的面板使用同一固定流程估算。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</si>
</sst>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"/>
    <numFmt numFmtId="177" formatCode="0.0%"/>
    <numFmt numFmtId="178" formatCode="0.0"/>
  </numFmts>
  <fonts count="6">
    <font>
      <sz val="11"/>
      <name val="Carlito"/>
    </font>
    <font>
      <sz val="10"/>
      <color rgb="FF23354D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03D62"/>
      </patternFill>
    </fill>
    <fill>
      <patternFill patternType="solid">
        <fgColor rgb="FFFFF2CC"/>
      </patternFill>
    </fill>
    <fill>
      <patternFill patternType="solid">
        <fgColor rgb="FFDFF1EB"/>
      </patternFill>
    </fill>
  </fills>
  <borders count="2">
    <border>
      <left/>
      <right/>
      <top/>
      <bottom/>
      <diagonal/>
    </border>
    <border>
      <left style="thin">
        <color rgb="FFD8E1ED"/>
      </left>
      <right style="thin">
        <color rgb="FFD8E1ED"/>
      </right>
      <top style="thin">
        <color rgb="FFD8E1ED"/>
      </top>
      <bottom style="thin">
        <color rgb="FFD8E1ED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76" fontId="1" fillId="4" borderId="1" xfId="1" applyNumberFormat="1" applyFont="1" applyFill="1" applyBorder="1" applyAlignment="1">
      <alignment horizontal="center" vertical="center" wrapText="1"/>
    </xf>
    <xf numFmtId="10" fontId="1" fillId="4" borderId="1" xfId="1" applyNumberFormat="1" applyFont="1" applyFill="1" applyBorder="1" applyAlignment="1">
      <alignment horizontal="center" vertical="center" wrapText="1"/>
    </xf>
    <xf numFmtId="177" fontId="1" fillId="3" borderId="1" xfId="1" applyNumberFormat="1" applyFont="1" applyFill="1" applyBorder="1" applyAlignment="1">
      <alignment horizontal="center" vertical="center" wrapText="1"/>
    </xf>
    <xf numFmtId="1" fontId="1" fillId="3" borderId="1" xfId="1" applyNumberFormat="1" applyFont="1" applyFill="1" applyBorder="1" applyAlignment="1">
      <alignment horizontal="center" vertical="center" wrapText="1"/>
    </xf>
    <xf numFmtId="176" fontId="1" fillId="0" borderId="1" xfId="1" applyNumberFormat="1" applyFont="1" applyBorder="1" applyAlignment="1">
      <alignment horizontal="center" vertical="center" wrapText="1"/>
    </xf>
    <xf numFmtId="10" fontId="1" fillId="0" borderId="1" xfId="1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 applyProtection="1">
      <alignment horizontal="center" vertical="center" wrapText="1"/>
      <protection locked="0"/>
    </xf>
    <xf numFmtId="3" fontId="1" fillId="3" borderId="1" xfId="1" applyNumberFormat="1" applyFont="1" applyFill="1" applyBorder="1" applyAlignment="1" applyProtection="1">
      <alignment horizontal="center" vertical="center" wrapText="1"/>
      <protection locked="0"/>
    </xf>
    <xf numFmtId="177" fontId="1" fillId="3" borderId="1" xfId="1" applyNumberFormat="1" applyFont="1" applyFill="1" applyBorder="1" applyAlignment="1" applyProtection="1">
      <alignment horizontal="center" vertical="center" wrapText="1"/>
      <protection locked="0"/>
    </xf>
    <xf numFmtId="178" fontId="1" fillId="3" borderId="1" xfId="1" applyNumberFormat="1" applyFont="1" applyFill="1" applyBorder="1" applyAlignment="1" applyProtection="1">
      <alignment horizontal="center" vertical="center" wrapText="1"/>
      <protection locked="0"/>
    </xf>
    <xf numFmtId="1" fontId="1" fillId="3" borderId="1" xfId="1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03D62"/>
  </sheetPr>
  <dimension ref="A1:C22"/>
  <sheetViews>
    <sheetView showGridLines="0" workbookViewId="0">
      <pane ySplit="1" topLeftCell="A16" activePane="bottomLeft" state="frozen"/>
      <selection pane="bottomLeft" activeCell="C18" sqref="C18"/>
    </sheetView>
  </sheetViews>
  <sheetFormatPr defaultRowHeight="14.25"/>
  <cols>
    <col min="1" max="1" width="23" customWidth="1"/>
    <col min="2" max="3" width="70" customWidth="1"/>
  </cols>
  <sheetData>
    <row r="1" spans="1:3" ht="38.1" customHeight="1">
      <c r="A1" s="2" t="s">
        <v>343</v>
      </c>
      <c r="B1" s="2" t="s">
        <v>344</v>
      </c>
      <c r="C1" s="2" t="s">
        <v>345</v>
      </c>
    </row>
    <row r="2" spans="1:3" ht="105" customHeight="1">
      <c r="A2" s="1" t="s">
        <v>346</v>
      </c>
      <c r="B2" s="1" t="s">
        <v>347</v>
      </c>
      <c r="C2" s="1" t="s">
        <v>348</v>
      </c>
    </row>
    <row r="3" spans="1:3" ht="105" customHeight="1">
      <c r="A3" s="1" t="s">
        <v>349</v>
      </c>
      <c r="B3" s="1" t="s">
        <v>350</v>
      </c>
      <c r="C3" s="1" t="s">
        <v>351</v>
      </c>
    </row>
    <row r="4" spans="1:3" ht="105" customHeight="1">
      <c r="A4" s="1" t="s">
        <v>352</v>
      </c>
      <c r="B4" s="1" t="s">
        <v>353</v>
      </c>
      <c r="C4" s="1" t="s">
        <v>354</v>
      </c>
    </row>
    <row r="5" spans="1:3" ht="105" customHeight="1">
      <c r="A5" s="1" t="s">
        <v>355</v>
      </c>
      <c r="B5" s="1" t="s">
        <v>356</v>
      </c>
      <c r="C5" s="1" t="s">
        <v>357</v>
      </c>
    </row>
    <row r="6" spans="1:3" ht="105" customHeight="1">
      <c r="A6" s="1" t="s">
        <v>358</v>
      </c>
      <c r="B6" s="1" t="s">
        <v>359</v>
      </c>
      <c r="C6" s="1" t="s">
        <v>360</v>
      </c>
    </row>
    <row r="7" spans="1:3" ht="105" customHeight="1">
      <c r="A7" s="1" t="s">
        <v>361</v>
      </c>
      <c r="B7" s="1" t="s">
        <v>362</v>
      </c>
      <c r="C7" s="1" t="s">
        <v>363</v>
      </c>
    </row>
    <row r="8" spans="1:3" ht="105" customHeight="1">
      <c r="A8" s="1" t="s">
        <v>364</v>
      </c>
      <c r="B8" s="1" t="s">
        <v>365</v>
      </c>
      <c r="C8" s="1" t="s">
        <v>366</v>
      </c>
    </row>
    <row r="9" spans="1:3" ht="105" customHeight="1">
      <c r="A9" s="1" t="s">
        <v>277</v>
      </c>
      <c r="B9" s="1" t="s">
        <v>367</v>
      </c>
      <c r="C9" s="1" t="s">
        <v>368</v>
      </c>
    </row>
    <row r="10" spans="1:3" ht="105" customHeight="1">
      <c r="A10" s="1" t="s">
        <v>369</v>
      </c>
      <c r="B10" s="1" t="s">
        <v>370</v>
      </c>
      <c r="C10" s="1" t="s">
        <v>371</v>
      </c>
    </row>
    <row r="11" spans="1:3" ht="105" customHeight="1">
      <c r="A11" s="1" t="s">
        <v>305</v>
      </c>
      <c r="B11" s="1" t="s">
        <v>372</v>
      </c>
      <c r="C11" s="1" t="s">
        <v>373</v>
      </c>
    </row>
    <row r="12" spans="1:3" ht="105" customHeight="1">
      <c r="A12" s="1" t="s">
        <v>374</v>
      </c>
      <c r="B12" s="1" t="s">
        <v>375</v>
      </c>
      <c r="C12" s="1" t="s">
        <v>376</v>
      </c>
    </row>
    <row r="13" spans="1:3" ht="105" customHeight="1">
      <c r="A13" s="1" t="s">
        <v>309</v>
      </c>
      <c r="B13" s="1" t="s">
        <v>377</v>
      </c>
      <c r="C13" s="1" t="s">
        <v>378</v>
      </c>
    </row>
    <row r="14" spans="1:3" ht="105" customHeight="1">
      <c r="A14" s="1" t="s">
        <v>379</v>
      </c>
      <c r="B14" s="1" t="s">
        <v>380</v>
      </c>
      <c r="C14" s="1" t="s">
        <v>381</v>
      </c>
    </row>
    <row r="15" spans="1:3" ht="105" customHeight="1">
      <c r="A15" s="1" t="s">
        <v>382</v>
      </c>
      <c r="B15" s="1" t="s">
        <v>383</v>
      </c>
      <c r="C15" s="1" t="s">
        <v>384</v>
      </c>
    </row>
    <row r="16" spans="1:3" ht="105" customHeight="1">
      <c r="A16" s="1" t="s">
        <v>385</v>
      </c>
      <c r="B16" s="1" t="s">
        <v>386</v>
      </c>
      <c r="C16" s="1" t="s">
        <v>387</v>
      </c>
    </row>
    <row r="17" spans="1:3" ht="105" customHeight="1">
      <c r="A17" s="1" t="s">
        <v>388</v>
      </c>
      <c r="B17" s="1" t="s">
        <v>389</v>
      </c>
      <c r="C17" s="1" t="s">
        <v>390</v>
      </c>
    </row>
    <row r="18" spans="1:3" ht="105" customHeight="1">
      <c r="A18" s="1" t="s">
        <v>391</v>
      </c>
      <c r="B18" s="1" t="s">
        <v>392</v>
      </c>
      <c r="C18" s="1" t="s">
        <v>393</v>
      </c>
    </row>
    <row r="19" spans="1:3" ht="105" customHeight="1">
      <c r="A19" s="1" t="s">
        <v>394</v>
      </c>
      <c r="B19" s="1" t="s">
        <v>395</v>
      </c>
      <c r="C19" s="1" t="s">
        <v>396</v>
      </c>
    </row>
    <row r="20" spans="1:3" ht="105" customHeight="1">
      <c r="A20" s="1" t="s">
        <v>397</v>
      </c>
      <c r="B20" s="1" t="s">
        <v>398</v>
      </c>
      <c r="C20" s="1" t="s">
        <v>399</v>
      </c>
    </row>
    <row r="21" spans="1:3" ht="105" customHeight="1">
      <c r="A21" s="1" t="s">
        <v>400</v>
      </c>
      <c r="B21" s="1" t="s">
        <v>401</v>
      </c>
      <c r="C21" s="1" t="s">
        <v>402</v>
      </c>
    </row>
    <row r="22" spans="1:3" ht="105" customHeight="1">
      <c r="A22" s="1" t="s">
        <v>403</v>
      </c>
      <c r="B22" s="1" t="s">
        <v>404</v>
      </c>
      <c r="C22" s="1" t="s">
        <v>405</v>
      </c>
    </row>
  </sheetData>
  <sheetProtection algorithmName="SHA-512" hashValue="/irsEqCIc98RExEjT1VMxLI5BbIF2/9yZG2utoy4MKMM6z7PNskcbqvjmOPLCaBBeavyxeJgArlD49Q67Dte/A==" saltValue="wufEaXhk2BxT91p4x83vIQ==" spinCount="100000" sheet="1" objects="1" scenarios="1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D62"/>
  </sheetPr>
  <dimension ref="A1:L42"/>
  <sheetViews>
    <sheetView showGridLines="0" tabSelected="1" workbookViewId="0">
      <pane ySplit="5" topLeftCell="A6" activePane="bottomLeft" state="frozen"/>
      <selection pane="bottomLeft" activeCell="F10" sqref="F10"/>
    </sheetView>
  </sheetViews>
  <sheetFormatPr defaultRowHeight="14.25"/>
  <cols>
    <col min="1" max="1" width="22" customWidth="1"/>
    <col min="2" max="5" width="14" customWidth="1"/>
    <col min="6" max="6" width="22" customWidth="1"/>
    <col min="7" max="12" width="17" customWidth="1"/>
  </cols>
  <sheetData>
    <row r="1" spans="1:12" ht="38.1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33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33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ht="38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8.1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</row>
    <row r="6" spans="1:12" ht="38.1" customHeight="1">
      <c r="A6" s="1" t="s">
        <v>14</v>
      </c>
      <c r="B6" s="12">
        <v>0</v>
      </c>
      <c r="C6" s="12">
        <v>2</v>
      </c>
      <c r="D6" s="12">
        <v>5</v>
      </c>
      <c r="E6" s="12">
        <v>5</v>
      </c>
      <c r="F6" s="1" t="s">
        <v>15</v>
      </c>
      <c r="G6" s="1" t="s">
        <v>16</v>
      </c>
      <c r="H6" s="3">
        <f>IF(ISNUMBER(方案参数!M3),方案参数!M3,"")</f>
        <v>8766611.9739999995</v>
      </c>
      <c r="I6" s="3">
        <f>IF(ISNUMBER(方案参数!M4),方案参数!M4,"")</f>
        <v>13566809.974000001</v>
      </c>
      <c r="J6" s="3">
        <f t="shared" ref="J6:J12" si="0">IF(AND(ISNUMBER(H6),ISNUMBER(I6)),I6-H6,"")</f>
        <v>4800198.0000000019</v>
      </c>
      <c r="K6" s="4">
        <f t="shared" ref="K6:K12" si="1">IF(AND(ISNUMBER(H6),ISNUMBER(I6),H6&gt;0),I6/H6-1,"")</f>
        <v>0.54755451869392879</v>
      </c>
      <c r="L6" s="1" t="str">
        <f t="shared" ref="L6:L12" si="2">IF(AND(ISNUMBER(H6),ISNUMBER(I6)),"固定流程期望","待补效果参数")</f>
        <v>固定流程期望</v>
      </c>
    </row>
    <row r="7" spans="1:12" ht="38.1" customHeight="1">
      <c r="A7" s="1" t="s">
        <v>17</v>
      </c>
      <c r="B7" s="12">
        <v>0</v>
      </c>
      <c r="C7" s="12">
        <v>0</v>
      </c>
      <c r="D7" s="12">
        <v>1</v>
      </c>
      <c r="E7" s="12">
        <v>1</v>
      </c>
      <c r="F7" s="1" t="s">
        <v>18</v>
      </c>
      <c r="G7" s="1" t="s">
        <v>19</v>
      </c>
      <c r="H7" s="3">
        <f>IF(ISNUMBER(方案参数!N3),方案参数!N3,"")</f>
        <v>3133250.6940000001</v>
      </c>
      <c r="I7" s="3">
        <f>IF(ISNUMBER(方案参数!N4),方案参数!N4,"")</f>
        <v>4620699.6939999992</v>
      </c>
      <c r="J7" s="3">
        <f t="shared" si="0"/>
        <v>1487448.9999999991</v>
      </c>
      <c r="K7" s="4">
        <f t="shared" si="1"/>
        <v>0.47473028661523342</v>
      </c>
      <c r="L7" s="1" t="str">
        <f t="shared" si="2"/>
        <v>固定流程期望</v>
      </c>
    </row>
    <row r="8" spans="1:12" ht="38.1" customHeight="1">
      <c r="A8" s="1" t="s">
        <v>20</v>
      </c>
      <c r="B8" s="12">
        <v>0</v>
      </c>
      <c r="C8" s="12">
        <v>0</v>
      </c>
      <c r="D8" s="12">
        <v>5</v>
      </c>
      <c r="E8" s="12">
        <v>5</v>
      </c>
      <c r="F8" s="1" t="s">
        <v>21</v>
      </c>
      <c r="G8" s="1" t="s">
        <v>22</v>
      </c>
      <c r="H8" s="3">
        <f>IF(ISNUMBER(方案参数!O3),方案参数!O3,"")</f>
        <v>5633361.2799999993</v>
      </c>
      <c r="I8" s="3">
        <f>IF(ISNUMBER(方案参数!O4),方案参数!O4,"")</f>
        <v>8946110.2800000012</v>
      </c>
      <c r="J8" s="3">
        <f t="shared" si="0"/>
        <v>3312749.0000000019</v>
      </c>
      <c r="K8" s="4">
        <f t="shared" si="1"/>
        <v>0.58805903533316473</v>
      </c>
      <c r="L8" s="1" t="str">
        <f t="shared" si="2"/>
        <v>固定流程期望</v>
      </c>
    </row>
    <row r="9" spans="1:12" ht="38.1" customHeight="1">
      <c r="A9" s="1" t="s">
        <v>23</v>
      </c>
      <c r="B9" s="12">
        <v>0</v>
      </c>
      <c r="C9" s="12">
        <v>0</v>
      </c>
      <c r="D9" s="12">
        <v>1</v>
      </c>
      <c r="E9" s="12">
        <v>1</v>
      </c>
      <c r="F9" s="1" t="s">
        <v>24</v>
      </c>
      <c r="G9" s="1" t="s">
        <v>25</v>
      </c>
      <c r="H9" s="3">
        <f>IF(ISNUMBER(方案参数!P3),方案参数!P3,"")</f>
        <v>7363386</v>
      </c>
      <c r="I9" s="3">
        <f>IF(ISNUMBER(方案参数!P4),方案参数!P4,"")</f>
        <v>12163584</v>
      </c>
      <c r="J9" s="3">
        <f t="shared" si="0"/>
        <v>4800198</v>
      </c>
      <c r="K9" s="4">
        <f t="shared" si="1"/>
        <v>0.65190090537152345</v>
      </c>
      <c r="L9" s="1" t="str">
        <f t="shared" si="2"/>
        <v>固定流程期望</v>
      </c>
    </row>
    <row r="10" spans="1:12" ht="38.1" customHeight="1">
      <c r="A10" s="1"/>
      <c r="B10" s="1"/>
      <c r="C10" s="1"/>
      <c r="D10" s="1"/>
      <c r="E10" s="1"/>
      <c r="F10" s="1"/>
      <c r="G10" s="1" t="s">
        <v>26</v>
      </c>
      <c r="H10" s="3">
        <f>IF(ISNUMBER(方案参数!Q3),方案参数!Q3,"")</f>
        <v>642844.12</v>
      </c>
      <c r="I10" s="3">
        <f>IF(ISNUMBER(方案参数!Q4),方案参数!Q4,"")</f>
        <v>642844.12</v>
      </c>
      <c r="J10" s="3">
        <f t="shared" si="0"/>
        <v>0</v>
      </c>
      <c r="K10" s="4">
        <f t="shared" si="1"/>
        <v>0</v>
      </c>
      <c r="L10" s="1" t="str">
        <f t="shared" si="2"/>
        <v>固定流程期望</v>
      </c>
    </row>
    <row r="11" spans="1:12" ht="48.95" customHeight="1">
      <c r="A11" s="9" t="s">
        <v>27</v>
      </c>
      <c r="B11" s="9"/>
      <c r="C11" s="9"/>
      <c r="D11" s="9"/>
      <c r="E11" s="9"/>
      <c r="F11" s="9"/>
      <c r="G11" s="1" t="s">
        <v>28</v>
      </c>
      <c r="H11" s="3">
        <f>IF(ISNUMBER(方案参数!R3),方案参数!R3,"")</f>
        <v>489818.29000000004</v>
      </c>
      <c r="I11" s="3">
        <f>IF(ISNUMBER(方案参数!R4),方案参数!R4,"")</f>
        <v>489818.29000000004</v>
      </c>
      <c r="J11" s="3">
        <f t="shared" si="0"/>
        <v>0</v>
      </c>
      <c r="K11" s="4">
        <f t="shared" si="1"/>
        <v>0</v>
      </c>
      <c r="L11" s="1" t="str">
        <f t="shared" si="2"/>
        <v>固定流程期望</v>
      </c>
    </row>
    <row r="12" spans="1:12" ht="48.95" customHeight="1">
      <c r="A12" s="9"/>
      <c r="B12" s="9"/>
      <c r="C12" s="9"/>
      <c r="D12" s="9"/>
      <c r="E12" s="9"/>
      <c r="F12" s="9"/>
      <c r="G12" s="1" t="s">
        <v>29</v>
      </c>
      <c r="H12" s="3">
        <f>IF(ISNUMBER(方案参数!S3),方案参数!S3,"")</f>
        <v>270563.56400000001</v>
      </c>
      <c r="I12" s="3">
        <f>IF(ISNUMBER(方案参数!S4),方案参数!S4,"")</f>
        <v>270563.56400000001</v>
      </c>
      <c r="J12" s="3">
        <f t="shared" si="0"/>
        <v>0</v>
      </c>
      <c r="K12" s="4">
        <f t="shared" si="1"/>
        <v>0</v>
      </c>
      <c r="L12" s="1" t="str">
        <f t="shared" si="2"/>
        <v>固定流程期望</v>
      </c>
    </row>
    <row r="13" spans="1:12" ht="38.1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45.95" customHeight="1">
      <c r="A14" s="2" t="s">
        <v>2</v>
      </c>
      <c r="B14" s="2" t="s">
        <v>30</v>
      </c>
      <c r="C14" s="2" t="s">
        <v>31</v>
      </c>
      <c r="D14" s="2" t="s">
        <v>32</v>
      </c>
      <c r="E14" s="2" t="s">
        <v>33</v>
      </c>
      <c r="F14" s="2" t="s">
        <v>34</v>
      </c>
      <c r="G14" s="2" t="s">
        <v>35</v>
      </c>
      <c r="H14" s="2" t="s">
        <v>36</v>
      </c>
      <c r="I14" s="2" t="s">
        <v>37</v>
      </c>
      <c r="J14" s="2" t="s">
        <v>38</v>
      </c>
      <c r="K14" s="2" t="s">
        <v>39</v>
      </c>
      <c r="L14" s="2" t="s">
        <v>13</v>
      </c>
    </row>
    <row r="15" spans="1:12" ht="62.1" customHeight="1">
      <c r="A15" s="1" t="s">
        <v>14</v>
      </c>
      <c r="B15" s="13">
        <v>2296</v>
      </c>
      <c r="C15" s="13">
        <v>9354</v>
      </c>
      <c r="D15" s="14">
        <v>0.7</v>
      </c>
      <c r="E15" s="14">
        <v>2.0249999999999999</v>
      </c>
      <c r="F15" s="14">
        <v>0.1</v>
      </c>
      <c r="G15" s="14">
        <v>0</v>
      </c>
      <c r="H15" s="14">
        <v>0</v>
      </c>
      <c r="I15" s="14">
        <v>0</v>
      </c>
      <c r="J15" s="14">
        <v>0</v>
      </c>
      <c r="K15" s="12">
        <v>0</v>
      </c>
      <c r="L15" s="1" t="s">
        <v>40</v>
      </c>
    </row>
    <row r="16" spans="1:12" ht="62.1" customHeight="1">
      <c r="A16" s="1" t="s">
        <v>17</v>
      </c>
      <c r="B16" s="13">
        <v>2306</v>
      </c>
      <c r="C16" s="13">
        <v>11089</v>
      </c>
      <c r="D16" s="14">
        <v>0.46</v>
      </c>
      <c r="E16" s="14">
        <v>1.9279999999999999</v>
      </c>
      <c r="F16" s="14">
        <v>5.0000000000000001E-3</v>
      </c>
      <c r="G16" s="14">
        <v>0</v>
      </c>
      <c r="H16" s="14">
        <v>0</v>
      </c>
      <c r="I16" s="14">
        <v>0</v>
      </c>
      <c r="J16" s="14">
        <v>0</v>
      </c>
      <c r="K16" s="12">
        <v>0</v>
      </c>
      <c r="L16" s="1" t="s">
        <v>41</v>
      </c>
    </row>
    <row r="17" spans="1:12" ht="62.1" customHeight="1">
      <c r="A17" s="1" t="s">
        <v>20</v>
      </c>
      <c r="B17" s="13">
        <v>2597</v>
      </c>
      <c r="C17" s="13">
        <v>12240</v>
      </c>
      <c r="D17" s="14">
        <v>0.255</v>
      </c>
      <c r="E17" s="14">
        <v>1.55</v>
      </c>
      <c r="F17" s="14">
        <v>3.5000000000000003E-2</v>
      </c>
      <c r="G17" s="14">
        <v>0</v>
      </c>
      <c r="H17" s="14">
        <v>0</v>
      </c>
      <c r="I17" s="14">
        <v>0</v>
      </c>
      <c r="J17" s="14">
        <v>0</v>
      </c>
      <c r="K17" s="12">
        <v>0</v>
      </c>
      <c r="L17" s="1" t="s">
        <v>42</v>
      </c>
    </row>
    <row r="18" spans="1:12" ht="62.1" customHeight="1">
      <c r="A18" s="1" t="s">
        <v>23</v>
      </c>
      <c r="B18" s="13">
        <v>1906</v>
      </c>
      <c r="C18" s="13">
        <v>12876</v>
      </c>
      <c r="D18" s="14">
        <v>0.36699999999999999</v>
      </c>
      <c r="E18" s="14">
        <v>1.7170000000000001</v>
      </c>
      <c r="F18" s="14">
        <v>2.5000000000000001E-2</v>
      </c>
      <c r="G18" s="14">
        <v>0</v>
      </c>
      <c r="H18" s="14">
        <v>0</v>
      </c>
      <c r="I18" s="14">
        <v>0</v>
      </c>
      <c r="J18" s="14">
        <v>0</v>
      </c>
      <c r="K18" s="12">
        <v>0</v>
      </c>
      <c r="L18" s="1" t="s">
        <v>43</v>
      </c>
    </row>
    <row r="19" spans="1:12" ht="38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38.1" customHeight="1">
      <c r="A20" s="9" t="s">
        <v>44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8.1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8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38.1" customHeight="1">
      <c r="A23" s="11" t="s">
        <v>45</v>
      </c>
      <c r="B23" s="11"/>
      <c r="C23" s="11"/>
      <c r="D23" s="11"/>
      <c r="E23" s="11"/>
      <c r="F23" s="11"/>
      <c r="G23" s="11" t="s">
        <v>46</v>
      </c>
      <c r="H23" s="11"/>
      <c r="I23" s="11"/>
      <c r="J23" s="11"/>
      <c r="K23" s="11"/>
      <c r="L23" s="11"/>
    </row>
    <row r="24" spans="1:12" ht="65.099999999999994" customHeight="1">
      <c r="A24" s="1" t="s">
        <v>47</v>
      </c>
      <c r="B24" s="12">
        <v>1200</v>
      </c>
      <c r="C24" s="9" t="s">
        <v>48</v>
      </c>
      <c r="D24" s="9"/>
      <c r="E24" s="9"/>
      <c r="F24" s="9"/>
      <c r="G24" s="1" t="s">
        <v>49</v>
      </c>
      <c r="H24" s="12">
        <v>1</v>
      </c>
      <c r="I24" s="9" t="s">
        <v>50</v>
      </c>
      <c r="J24" s="9"/>
      <c r="K24" s="9"/>
      <c r="L24" s="9"/>
    </row>
    <row r="25" spans="1:12" ht="65.099999999999994" customHeight="1">
      <c r="A25" s="1" t="s">
        <v>51</v>
      </c>
      <c r="B25" s="12">
        <v>1000</v>
      </c>
      <c r="C25" s="9" t="s">
        <v>52</v>
      </c>
      <c r="D25" s="9"/>
      <c r="E25" s="9"/>
      <c r="F25" s="9"/>
      <c r="G25" s="1" t="s">
        <v>53</v>
      </c>
      <c r="H25" s="12">
        <v>35</v>
      </c>
      <c r="I25" s="9" t="s">
        <v>54</v>
      </c>
      <c r="J25" s="9"/>
      <c r="K25" s="9"/>
      <c r="L25" s="9"/>
    </row>
    <row r="26" spans="1:12" ht="65.099999999999994" customHeight="1">
      <c r="A26" s="1" t="s">
        <v>55</v>
      </c>
      <c r="B26" s="14">
        <v>0.4</v>
      </c>
      <c r="C26" s="9" t="s">
        <v>56</v>
      </c>
      <c r="D26" s="9"/>
      <c r="E26" s="9"/>
      <c r="F26" s="9"/>
      <c r="G26" s="1" t="s">
        <v>57</v>
      </c>
      <c r="H26" s="12">
        <v>30</v>
      </c>
      <c r="I26" s="9" t="s">
        <v>58</v>
      </c>
      <c r="J26" s="9"/>
      <c r="K26" s="9"/>
      <c r="L26" s="9"/>
    </row>
    <row r="27" spans="1:12" ht="65.099999999999994" customHeight="1">
      <c r="A27" s="1" t="s">
        <v>59</v>
      </c>
      <c r="B27" s="14">
        <v>0</v>
      </c>
      <c r="C27" s="9" t="s">
        <v>60</v>
      </c>
      <c r="D27" s="9"/>
      <c r="E27" s="9"/>
      <c r="F27" s="9"/>
      <c r="G27" s="1" t="s">
        <v>61</v>
      </c>
      <c r="H27" s="15">
        <v>2</v>
      </c>
      <c r="I27" s="9" t="s">
        <v>62</v>
      </c>
      <c r="J27" s="9"/>
      <c r="K27" s="9"/>
      <c r="L27" s="9"/>
    </row>
    <row r="28" spans="1:12" ht="65.099999999999994" customHeight="1">
      <c r="A28" s="1" t="s">
        <v>63</v>
      </c>
      <c r="B28" s="14">
        <v>0.4</v>
      </c>
      <c r="C28" s="9" t="s">
        <v>64</v>
      </c>
      <c r="D28" s="9"/>
      <c r="E28" s="9"/>
      <c r="F28" s="9"/>
      <c r="G28" s="1" t="s">
        <v>65</v>
      </c>
      <c r="H28" s="1">
        <v>4</v>
      </c>
      <c r="I28" s="9" t="s">
        <v>66</v>
      </c>
      <c r="J28" s="9"/>
      <c r="K28" s="9"/>
      <c r="L28" s="9"/>
    </row>
    <row r="29" spans="1:12" ht="65.099999999999994" customHeight="1">
      <c r="A29" s="1" t="s">
        <v>67</v>
      </c>
      <c r="B29" s="14">
        <v>0</v>
      </c>
      <c r="C29" s="9" t="s">
        <v>68</v>
      </c>
      <c r="D29" s="9"/>
      <c r="E29" s="9"/>
      <c r="F29" s="9"/>
      <c r="G29" s="1" t="s">
        <v>69</v>
      </c>
      <c r="H29" s="1" t="s">
        <v>70</v>
      </c>
      <c r="I29" s="9" t="s">
        <v>71</v>
      </c>
      <c r="J29" s="9"/>
      <c r="K29" s="9"/>
      <c r="L29" s="9"/>
    </row>
    <row r="30" spans="1:12" ht="65.099999999999994" customHeight="1">
      <c r="A30" s="1" t="s">
        <v>72</v>
      </c>
      <c r="B30" s="14">
        <v>0</v>
      </c>
      <c r="C30" s="9" t="s">
        <v>73</v>
      </c>
      <c r="D30" s="9"/>
      <c r="E30" s="9"/>
      <c r="F30" s="9"/>
      <c r="G30" s="1" t="s">
        <v>74</v>
      </c>
      <c r="H30" s="1" t="s">
        <v>75</v>
      </c>
      <c r="I30" s="9" t="s">
        <v>76</v>
      </c>
      <c r="J30" s="9"/>
      <c r="K30" s="9"/>
      <c r="L30" s="9"/>
    </row>
    <row r="31" spans="1:12" ht="65.099999999999994" customHeight="1">
      <c r="A31" s="1" t="s">
        <v>77</v>
      </c>
      <c r="B31" s="14">
        <v>0.1</v>
      </c>
      <c r="C31" s="9" t="s">
        <v>78</v>
      </c>
      <c r="D31" s="9"/>
      <c r="E31" s="9"/>
      <c r="F31" s="9"/>
      <c r="G31" s="1" t="s">
        <v>79</v>
      </c>
      <c r="H31" s="1">
        <v>0</v>
      </c>
      <c r="I31" s="9" t="s">
        <v>80</v>
      </c>
      <c r="J31" s="9"/>
      <c r="K31" s="9"/>
      <c r="L31" s="9"/>
    </row>
    <row r="32" spans="1:12" ht="38.1" customHeight="1">
      <c r="A32" s="1" t="s">
        <v>81</v>
      </c>
      <c r="B32" s="14">
        <v>0.3</v>
      </c>
      <c r="C32" s="9" t="s">
        <v>82</v>
      </c>
      <c r="D32" s="9"/>
      <c r="E32" s="9"/>
      <c r="F32" s="9"/>
      <c r="G32" s="1"/>
      <c r="H32" s="1"/>
      <c r="I32" s="1"/>
      <c r="J32" s="1"/>
      <c r="K32" s="1"/>
      <c r="L32" s="1"/>
    </row>
    <row r="33" spans="1:12" ht="38.1" customHeight="1">
      <c r="A33" s="1" t="s">
        <v>83</v>
      </c>
      <c r="B33" s="14">
        <v>0.3</v>
      </c>
      <c r="C33" s="9" t="s">
        <v>84</v>
      </c>
      <c r="D33" s="9"/>
      <c r="E33" s="9"/>
      <c r="F33" s="9"/>
      <c r="G33" s="1"/>
      <c r="H33" s="1"/>
      <c r="I33" s="1"/>
      <c r="J33" s="1"/>
      <c r="K33" s="1"/>
      <c r="L33" s="1"/>
    </row>
    <row r="34" spans="1:12" ht="38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38.1" customHeight="1">
      <c r="A35" s="9" t="s">
        <v>85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38.1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38.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38.1" customHeight="1">
      <c r="A38" s="9" t="s">
        <v>86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38.1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38.1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38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38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sheetProtection algorithmName="SHA-512" hashValue="6hYNNg2qdmsM7Hi8rXSZyb4gwv21+3n7Vz9uN2z3fUBngPd7ffbFfRscH8Ajg/wYaDSq6bx5FRFHDbgKNINIoA==" saltValue="Ao6C0OrpO4nWbWctStZSeA==" spinCount="100000" sheet="1" objects="1" scenarios="1"/>
  <mergeCells count="26">
    <mergeCell ref="A1:L1"/>
    <mergeCell ref="A2:L3"/>
    <mergeCell ref="A11:F12"/>
    <mergeCell ref="A20:L21"/>
    <mergeCell ref="A23:F23"/>
    <mergeCell ref="G23:L23"/>
    <mergeCell ref="C24:F24"/>
    <mergeCell ref="C25:F25"/>
    <mergeCell ref="C26:F26"/>
    <mergeCell ref="C27:F27"/>
    <mergeCell ref="C28:F28"/>
    <mergeCell ref="I24:L24"/>
    <mergeCell ref="I25:L25"/>
    <mergeCell ref="I26:L26"/>
    <mergeCell ref="I27:L27"/>
    <mergeCell ref="I28:L28"/>
    <mergeCell ref="I29:L29"/>
    <mergeCell ref="I30:L30"/>
    <mergeCell ref="I31:L31"/>
    <mergeCell ref="A35:L36"/>
    <mergeCell ref="A38:L40"/>
    <mergeCell ref="C29:F29"/>
    <mergeCell ref="C30:F30"/>
    <mergeCell ref="C31:F31"/>
    <mergeCell ref="C32:F32"/>
    <mergeCell ref="C33:F33"/>
  </mergeCells>
  <phoneticPr fontId="5" type="noConversion"/>
  <dataValidations count="3">
    <dataValidation type="list" sqref="B6:C9" xr:uid="{00000000-0002-0000-0000-000000000000}">
      <formula1>"0,1,2,3,4,5"</formula1>
    </dataValidation>
    <dataValidation type="list" sqref="D6:E9" xr:uid="{00000000-0002-0000-0000-000001000000}">
      <formula1>"1,2,3,4,5"</formula1>
    </dataValidation>
    <dataValidation type="list" sqref="K15:K18 H24" xr:uid="{00000000-0002-0000-0000-000002000000}">
      <formula1>"0,1"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03D62"/>
  </sheetPr>
  <dimension ref="A1:I56"/>
  <sheetViews>
    <sheetView showGridLines="0" workbookViewId="0">
      <pane ySplit="5" topLeftCell="A6" activePane="bottomLeft" state="frozen"/>
      <selection pane="bottomLeft" activeCell="G8" sqref="G8"/>
    </sheetView>
  </sheetViews>
  <sheetFormatPr defaultRowHeight="14.25"/>
  <cols>
    <col min="1" max="1" width="22" customWidth="1"/>
    <col min="2" max="2" width="14" customWidth="1"/>
    <col min="3" max="8" width="18" customWidth="1"/>
    <col min="9" max="9" width="45" customWidth="1"/>
  </cols>
  <sheetData>
    <row r="1" spans="1:9" ht="38.1" customHeight="1">
      <c r="A1" s="10" t="s">
        <v>87</v>
      </c>
      <c r="B1" s="10"/>
      <c r="C1" s="10"/>
      <c r="D1" s="10"/>
      <c r="E1" s="10"/>
      <c r="F1" s="10"/>
      <c r="G1" s="10"/>
      <c r="H1" s="10"/>
      <c r="I1" s="10"/>
    </row>
    <row r="2" spans="1:9" ht="38.1" customHeight="1">
      <c r="A2" s="9" t="s">
        <v>88</v>
      </c>
      <c r="B2" s="9"/>
      <c r="C2" s="9"/>
      <c r="D2" s="9"/>
      <c r="E2" s="9"/>
      <c r="F2" s="9"/>
      <c r="G2" s="9"/>
      <c r="H2" s="9"/>
      <c r="I2" s="9"/>
    </row>
    <row r="3" spans="1:9" ht="38.1" customHeight="1">
      <c r="A3" s="9"/>
      <c r="B3" s="9"/>
      <c r="C3" s="9"/>
      <c r="D3" s="9"/>
      <c r="E3" s="9"/>
      <c r="F3" s="9"/>
      <c r="G3" s="9"/>
      <c r="H3" s="9"/>
      <c r="I3" s="9"/>
    </row>
    <row r="4" spans="1:9" ht="38.1" customHeight="1">
      <c r="A4" s="1"/>
      <c r="B4" s="1"/>
      <c r="C4" s="1"/>
      <c r="D4" s="1"/>
      <c r="E4" s="1"/>
      <c r="F4" s="1"/>
      <c r="G4" s="1"/>
      <c r="H4" s="1"/>
      <c r="I4" s="1"/>
    </row>
    <row r="5" spans="1:9" ht="38.1" customHeight="1">
      <c r="A5" s="2" t="s">
        <v>89</v>
      </c>
      <c r="B5" s="2" t="s">
        <v>90</v>
      </c>
      <c r="C5" s="2" t="s">
        <v>91</v>
      </c>
      <c r="D5" s="2" t="s">
        <v>92</v>
      </c>
      <c r="E5" s="2" t="s">
        <v>93</v>
      </c>
      <c r="F5" s="2" t="s">
        <v>94</v>
      </c>
      <c r="G5" s="2" t="s">
        <v>19</v>
      </c>
      <c r="H5" s="2" t="s">
        <v>22</v>
      </c>
      <c r="I5" s="2" t="s">
        <v>13</v>
      </c>
    </row>
    <row r="6" spans="1:9" ht="38.1" customHeight="1">
      <c r="A6" s="1" t="s">
        <v>14</v>
      </c>
      <c r="B6" s="1">
        <v>0</v>
      </c>
      <c r="C6" s="7">
        <f>IF(ISNUMBER(方案参数!M5),方案参数!M5,"")</f>
        <v>8766611.9739999995</v>
      </c>
      <c r="D6" s="8" t="str">
        <f>""</f>
        <v/>
      </c>
      <c r="E6" s="8">
        <f>IF(AND(ISNUMBER(方案参数!M5),ISNUMBER(方案参数!M5),方案参数!M5&gt;0),方案参数!M5/方案参数!M5-1,"")</f>
        <v>0</v>
      </c>
      <c r="F6" s="7">
        <f>IF(ISNUMBER(方案参数!P5),方案参数!P5,"")</f>
        <v>7363386</v>
      </c>
      <c r="G6" s="7">
        <f>IF(ISNUMBER(方案参数!N5),方案参数!N5,"")</f>
        <v>3133250.6940000001</v>
      </c>
      <c r="H6" s="7">
        <f>IF(ISNUMBER(方案参数!O5),方案参数!O5,"")</f>
        <v>5633361.2799999993</v>
      </c>
      <c r="I6" s="1" t="str">
        <f t="shared" ref="I6:I49" si="0">IF(ISNUMBER(C6),"固定次数的相对收益","待补参数；普通阶段可单独查看")</f>
        <v>固定次数的相对收益</v>
      </c>
    </row>
    <row r="7" spans="1:9" ht="38.1" customHeight="1">
      <c r="A7" s="1" t="s">
        <v>14</v>
      </c>
      <c r="B7" s="1">
        <v>1</v>
      </c>
      <c r="C7" s="7">
        <f>IF(ISNUMBER(方案参数!M6),方案参数!M6,"")</f>
        <v>12079360.973999999</v>
      </c>
      <c r="D7" s="8">
        <f>IF(AND(ISNUMBER(方案参数!M6),ISNUMBER(方案参数!M5),方案参数!M5&gt;0),方案参数!M6/方案参数!M5-1,"")</f>
        <v>0.37788247156654631</v>
      </c>
      <c r="E7" s="8">
        <f>IF(AND(ISNUMBER(方案参数!M6),ISNUMBER(方案参数!M5),方案参数!M5&gt;0),方案参数!M6/方案参数!M5-1,"")</f>
        <v>0.37788247156654631</v>
      </c>
      <c r="F7" s="7">
        <f>IF(ISNUMBER(方案参数!P6),方案参数!P6,"")</f>
        <v>10676135</v>
      </c>
      <c r="G7" s="7">
        <f>IF(ISNUMBER(方案参数!N6),方案参数!N6,"")</f>
        <v>3133250.6940000001</v>
      </c>
      <c r="H7" s="7">
        <f>IF(ISNUMBER(方案参数!O6),方案参数!O6,"")</f>
        <v>8946110.2800000012</v>
      </c>
      <c r="I7" s="1" t="str">
        <f t="shared" si="0"/>
        <v>固定次数的相对收益</v>
      </c>
    </row>
    <row r="8" spans="1:9" ht="38.1" customHeight="1">
      <c r="A8" s="1" t="s">
        <v>14</v>
      </c>
      <c r="B8" s="1">
        <v>2</v>
      </c>
      <c r="C8" s="7">
        <f>IF(ISNUMBER(方案参数!M7),方案参数!M7,"")</f>
        <v>13566809.974000001</v>
      </c>
      <c r="D8" s="8">
        <f>IF(AND(ISNUMBER(方案参数!M7),ISNUMBER(方案参数!M6),方案参数!M6&gt;0),方案参数!M7/方案参数!M6-1,"")</f>
        <v>0.12313970939370344</v>
      </c>
      <c r="E8" s="8">
        <f>IF(AND(ISNUMBER(方案参数!M7),ISNUMBER(方案参数!M5),方案参数!M5&gt;0),方案参数!M7/方案参数!M5-1,"")</f>
        <v>0.54755451869392879</v>
      </c>
      <c r="F8" s="7">
        <f>IF(ISNUMBER(方案参数!P7),方案参数!P7,"")</f>
        <v>12163584</v>
      </c>
      <c r="G8" s="7">
        <f>IF(ISNUMBER(方案参数!N7),方案参数!N7,"")</f>
        <v>4620699.6939999992</v>
      </c>
      <c r="H8" s="7">
        <f>IF(ISNUMBER(方案参数!O7),方案参数!O7,"")</f>
        <v>8946110.2800000012</v>
      </c>
      <c r="I8" s="1" t="str">
        <f t="shared" si="0"/>
        <v>固定次数的相对收益</v>
      </c>
    </row>
    <row r="9" spans="1:9" ht="38.1" customHeight="1">
      <c r="A9" s="1" t="s">
        <v>14</v>
      </c>
      <c r="B9" s="1">
        <v>3</v>
      </c>
      <c r="C9" s="7">
        <f>IF(ISNUMBER(方案参数!M8),方案参数!M8,"")</f>
        <v>15110629.973999999</v>
      </c>
      <c r="D9" s="8">
        <f>IF(AND(ISNUMBER(方案参数!M8),ISNUMBER(方案参数!M7),方案参数!M7&gt;0),方案参数!M8/方案参数!M7-1,"")</f>
        <v>0.11379388396820178</v>
      </c>
      <c r="E9" s="8">
        <f>IF(AND(ISNUMBER(方案参数!M8),ISNUMBER(方案参数!M5),方案参数!M5&gt;0),方案参数!M8/方案参数!M5-1,"")</f>
        <v>0.72365675802865193</v>
      </c>
      <c r="F9" s="7">
        <f>IF(ISNUMBER(方案参数!P8),方案参数!P8,"")</f>
        <v>13707404</v>
      </c>
      <c r="G9" s="7">
        <f>IF(ISNUMBER(方案参数!N8),方案参数!N8,"")</f>
        <v>6164519.6939999992</v>
      </c>
      <c r="H9" s="7">
        <f>IF(ISNUMBER(方案参数!O8),方案参数!O8,"")</f>
        <v>8946110.2800000012</v>
      </c>
      <c r="I9" s="1" t="str">
        <f t="shared" si="0"/>
        <v>固定次数的相对收益</v>
      </c>
    </row>
    <row r="10" spans="1:9" ht="38.1" customHeight="1">
      <c r="A10" s="1" t="s">
        <v>14</v>
      </c>
      <c r="B10" s="1">
        <v>4</v>
      </c>
      <c r="C10" s="7">
        <f>IF(ISNUMBER(方案参数!M9),方案参数!M9,"")</f>
        <v>16284948.973999999</v>
      </c>
      <c r="D10" s="8">
        <f>IF(AND(ISNUMBER(方案参数!M9),ISNUMBER(方案参数!M8),方案参数!M8&gt;0),方案参数!M9/方案参数!M8-1,"")</f>
        <v>7.7714761199273896E-2</v>
      </c>
      <c r="E10" s="8">
        <f>IF(AND(ISNUMBER(方案参数!M9),ISNUMBER(方案参数!M5),方案参数!M5&gt;0),方案参数!M9/方案参数!M5-1,"")</f>
        <v>0.85761033136836318</v>
      </c>
      <c r="F10" s="7">
        <f>IF(ISNUMBER(方案参数!P9),方案参数!P9,"")</f>
        <v>14881723</v>
      </c>
      <c r="G10" s="7">
        <f>IF(ISNUMBER(方案参数!N9),方案参数!N9,"")</f>
        <v>7338838.6939999992</v>
      </c>
      <c r="H10" s="7">
        <f>IF(ISNUMBER(方案参数!O9),方案参数!O9,"")</f>
        <v>8946110.2800000012</v>
      </c>
      <c r="I10" s="1" t="str">
        <f t="shared" si="0"/>
        <v>固定次数的相对收益</v>
      </c>
    </row>
    <row r="11" spans="1:9" ht="38.1" customHeight="1">
      <c r="A11" s="1" t="s">
        <v>14</v>
      </c>
      <c r="B11" s="1">
        <v>5</v>
      </c>
      <c r="C11" s="7">
        <f>IF(ISNUMBER(方案参数!M10),方案参数!M10,"")</f>
        <v>20939647.973999999</v>
      </c>
      <c r="D11" s="8">
        <f>IF(AND(ISNUMBER(方案参数!M10),ISNUMBER(方案参数!M9),方案参数!M9&gt;0),方案参数!M10/方案参数!M9-1,"")</f>
        <v>0.28582828275553918</v>
      </c>
      <c r="E11" s="8">
        <f>IF(AND(ISNUMBER(方案参数!M10),ISNUMBER(方案参数!M5),方案参数!M5&gt;0),方案参数!M10/方案参数!M5-1,"")</f>
        <v>1.3885679024123307</v>
      </c>
      <c r="F11" s="7">
        <f>IF(ISNUMBER(方案参数!P10),方案参数!P10,"")</f>
        <v>19536422</v>
      </c>
      <c r="G11" s="7">
        <f>IF(ISNUMBER(方案参数!N10),方案参数!N10,"")</f>
        <v>7338838.6939999992</v>
      </c>
      <c r="H11" s="7">
        <f>IF(ISNUMBER(方案参数!O10),方案参数!O10,"")</f>
        <v>13600809.280000001</v>
      </c>
      <c r="I11" s="1" t="str">
        <f t="shared" si="0"/>
        <v>固定次数的相对收益</v>
      </c>
    </row>
    <row r="12" spans="1:9" ht="38.1" customHeight="1">
      <c r="A12" s="1" t="s">
        <v>17</v>
      </c>
      <c r="B12" s="1">
        <v>0</v>
      </c>
      <c r="C12" s="7">
        <f>IF(ISNUMBER(方案参数!M11),方案参数!M11,"")</f>
        <v>8766611.9739999995</v>
      </c>
      <c r="D12" s="8" t="str">
        <f>""</f>
        <v/>
      </c>
      <c r="E12" s="8">
        <f>IF(AND(ISNUMBER(方案参数!M11),ISNUMBER(方案参数!M11),方案参数!M11&gt;0),方案参数!M11/方案参数!M11-1,"")</f>
        <v>0</v>
      </c>
      <c r="F12" s="7">
        <f>IF(ISNUMBER(方案参数!Q11),方案参数!Q11,"")</f>
        <v>642844.12</v>
      </c>
      <c r="G12" s="7">
        <f>IF(ISNUMBER(方案参数!N11),方案参数!N11,"")</f>
        <v>3133250.6940000001</v>
      </c>
      <c r="H12" s="7">
        <f>IF(ISNUMBER(方案参数!O11),方案参数!O11,"")</f>
        <v>5633361.2799999993</v>
      </c>
      <c r="I12" s="1" t="str">
        <f t="shared" si="0"/>
        <v>固定次数的相对收益</v>
      </c>
    </row>
    <row r="13" spans="1:9" ht="38.1" customHeight="1">
      <c r="A13" s="1" t="s">
        <v>17</v>
      </c>
      <c r="B13" s="1">
        <v>1</v>
      </c>
      <c r="C13" s="7">
        <f>IF(ISNUMBER(方案参数!M12),方案参数!M12,"")</f>
        <v>8981207.8539999984</v>
      </c>
      <c r="D13" s="8">
        <f>IF(AND(ISNUMBER(方案参数!M12),ISNUMBER(方案参数!M11),方案参数!M11&gt;0),方案参数!M12/方案参数!M11-1,"")</f>
        <v>2.4478770206374678E-2</v>
      </c>
      <c r="E13" s="8">
        <f>IF(AND(ISNUMBER(方案参数!M12),ISNUMBER(方案参数!M11),方案参数!M11&gt;0),方案参数!M12/方案参数!M11-1,"")</f>
        <v>2.4478770206374678E-2</v>
      </c>
      <c r="F13" s="7">
        <f>IF(ISNUMBER(方案参数!Q12),方案参数!Q12,"")</f>
        <v>744289</v>
      </c>
      <c r="G13" s="7">
        <f>IF(ISNUMBER(方案参数!N12),方案参数!N12,"")</f>
        <v>3265669.8539999994</v>
      </c>
      <c r="H13" s="7">
        <f>IF(ISNUMBER(方案参数!O12),方案参数!O12,"")</f>
        <v>5715538</v>
      </c>
      <c r="I13" s="1" t="str">
        <f t="shared" si="0"/>
        <v>固定次数的相对收益</v>
      </c>
    </row>
    <row r="14" spans="1:9" ht="38.1" customHeight="1">
      <c r="A14" s="1" t="s">
        <v>17</v>
      </c>
      <c r="B14" s="1">
        <v>2</v>
      </c>
      <c r="C14" s="7">
        <f>IF(ISNUMBER(方案参数!M13),方案参数!M13,"")</f>
        <v>11519915.854</v>
      </c>
      <c r="D14" s="8">
        <f>IF(AND(ISNUMBER(方案参数!M13),ISNUMBER(方案参数!M12),方案参数!M12&gt;0),方案参数!M13/方案参数!M12-1,"")</f>
        <v>0.2826688838817295</v>
      </c>
      <c r="E14" s="8">
        <f>IF(AND(ISNUMBER(方案参数!M13),ISNUMBER(方案参数!M11),方案参数!M11&gt;0),方案参数!M13/方案参数!M11-1,"")</f>
        <v>0.31406704074113745</v>
      </c>
      <c r="F14" s="7">
        <f>IF(ISNUMBER(方案参数!Q13),方案参数!Q13,"")</f>
        <v>1156054</v>
      </c>
      <c r="G14" s="7">
        <f>IF(ISNUMBER(方案参数!N13),方案参数!N13,"")</f>
        <v>3326324.8540000003</v>
      </c>
      <c r="H14" s="7">
        <f>IF(ISNUMBER(方案参数!O13),方案参数!O13,"")</f>
        <v>8193591</v>
      </c>
      <c r="I14" s="1" t="str">
        <f t="shared" si="0"/>
        <v>固定次数的相对收益</v>
      </c>
    </row>
    <row r="15" spans="1:9" ht="38.1" customHeight="1">
      <c r="A15" s="1" t="s">
        <v>17</v>
      </c>
      <c r="B15" s="1">
        <v>3</v>
      </c>
      <c r="C15" s="7">
        <f>IF(ISNUMBER(方案参数!M14),方案参数!M14,"")</f>
        <v>12114966.302000001</v>
      </c>
      <c r="D15" s="8">
        <f>IF(AND(ISNUMBER(方案参数!M14),ISNUMBER(方案参数!M13),方案参数!M13&gt;0),方案参数!M14/方案参数!M13-1,"")</f>
        <v>5.1654062021067926E-2</v>
      </c>
      <c r="E15" s="8">
        <f>IF(AND(ISNUMBER(方案参数!M14),ISNUMBER(方案参数!M11),方案参数!M11&gt;0),方案参数!M14/方案参数!M11-1,"")</f>
        <v>0.38194394116342134</v>
      </c>
      <c r="F15" s="7">
        <f>IF(ISNUMBER(方案参数!Q14),方案参数!Q14,"")</f>
        <v>1211568</v>
      </c>
      <c r="G15" s="7">
        <f>IF(ISNUMBER(方案参数!N14),方案参数!N14,"")</f>
        <v>3479932.3020000001</v>
      </c>
      <c r="H15" s="7">
        <f>IF(ISNUMBER(方案参数!O14),方案参数!O14,"")</f>
        <v>8635034</v>
      </c>
      <c r="I15" s="1" t="str">
        <f t="shared" si="0"/>
        <v>固定次数的相对收益</v>
      </c>
    </row>
    <row r="16" spans="1:9" ht="38.1" customHeight="1">
      <c r="A16" s="1" t="s">
        <v>17</v>
      </c>
      <c r="B16" s="1">
        <v>4</v>
      </c>
      <c r="C16" s="7">
        <f>IF(ISNUMBER(方案参数!M15),方案参数!M15,"")</f>
        <v>12216608.302000001</v>
      </c>
      <c r="D16" s="8">
        <f>IF(AND(ISNUMBER(方案参数!M15),ISNUMBER(方案参数!M14),方案参数!M14&gt;0),方案参数!M15/方案参数!M14-1,"")</f>
        <v>8.3897880907204403E-3</v>
      </c>
      <c r="E16" s="8">
        <f>IF(AND(ISNUMBER(方案参数!M15),ISNUMBER(方案参数!M11),方案参数!M11&gt;0),方案参数!M15/方案参数!M11-1,"")</f>
        <v>0.39353815798303771</v>
      </c>
      <c r="F16" s="7">
        <f>IF(ISNUMBER(方案参数!Q15),方案参数!Q15,"")</f>
        <v>1313210</v>
      </c>
      <c r="G16" s="7">
        <f>IF(ISNUMBER(方案参数!N15),方案参数!N15,"")</f>
        <v>3581574.3020000001</v>
      </c>
      <c r="H16" s="7">
        <f>IF(ISNUMBER(方案参数!O15),方案参数!O15,"")</f>
        <v>8635034</v>
      </c>
      <c r="I16" s="1" t="str">
        <f t="shared" si="0"/>
        <v>固定次数的相对收益</v>
      </c>
    </row>
    <row r="17" spans="1:9" ht="38.1" customHeight="1">
      <c r="A17" s="1" t="s">
        <v>17</v>
      </c>
      <c r="B17" s="1">
        <v>5</v>
      </c>
      <c r="C17" s="7">
        <f>IF(ISNUMBER(方案参数!M16),方案参数!M16,"")</f>
        <v>15496514.302000001</v>
      </c>
      <c r="D17" s="8">
        <f>IF(AND(ISNUMBER(方案参数!M16),ISNUMBER(方案参数!M15),方案参数!M15&gt;0),方案参数!M16/方案参数!M15-1,"")</f>
        <v>0.26847926355001839</v>
      </c>
      <c r="E17" s="8">
        <f>IF(AND(ISNUMBER(方案参数!M16),ISNUMBER(方案参数!M11),方案参数!M11&gt;0),方案参数!M16/方案参数!M11-1,"")</f>
        <v>0.76767425636717279</v>
      </c>
      <c r="F17" s="7">
        <f>IF(ISNUMBER(方案参数!Q16),方案参数!Q16,"")</f>
        <v>1814117</v>
      </c>
      <c r="G17" s="7">
        <f>IF(ISNUMBER(方案参数!N16),方案参数!N16,"")</f>
        <v>3581574.3020000001</v>
      </c>
      <c r="H17" s="7">
        <f>IF(ISNUMBER(方案参数!O16),方案参数!O16,"")</f>
        <v>11914940</v>
      </c>
      <c r="I17" s="1" t="str">
        <f t="shared" si="0"/>
        <v>固定次数的相对收益</v>
      </c>
    </row>
    <row r="18" spans="1:9" ht="38.1" customHeight="1">
      <c r="A18" s="1" t="s">
        <v>20</v>
      </c>
      <c r="B18" s="1">
        <v>0</v>
      </c>
      <c r="C18" s="7">
        <f>IF(ISNUMBER(方案参数!M17),方案参数!M17,"")</f>
        <v>8766611.9739999995</v>
      </c>
      <c r="D18" s="8" t="str">
        <f>""</f>
        <v/>
      </c>
      <c r="E18" s="8">
        <f>IF(AND(ISNUMBER(方案参数!M17),ISNUMBER(方案参数!M17),方案参数!M17&gt;0),方案参数!M17/方案参数!M17-1,"")</f>
        <v>0</v>
      </c>
      <c r="F18" s="7">
        <f>IF(ISNUMBER(方案参数!R17),方案参数!R17,"")</f>
        <v>489818.29000000004</v>
      </c>
      <c r="G18" s="7">
        <f>IF(ISNUMBER(方案参数!N17),方案参数!N17,"")</f>
        <v>3133250.6940000001</v>
      </c>
      <c r="H18" s="7">
        <f>IF(ISNUMBER(方案参数!O17),方案参数!O17,"")</f>
        <v>5633361.2799999993</v>
      </c>
      <c r="I18" s="1" t="str">
        <f t="shared" si="0"/>
        <v>固定次数的相对收益</v>
      </c>
    </row>
    <row r="19" spans="1:9" ht="38.1" customHeight="1">
      <c r="A19" s="1" t="s">
        <v>20</v>
      </c>
      <c r="B19" s="1">
        <v>1</v>
      </c>
      <c r="C19" s="7">
        <f>IF(ISNUMBER(方案参数!M18),方案参数!M18,"")</f>
        <v>8986839.716</v>
      </c>
      <c r="D19" s="8">
        <f>IF(AND(ISNUMBER(方案参数!M18),ISNUMBER(方案参数!M17),方案参数!M17&gt;0),方案参数!M18/方案参数!M17-1,"")</f>
        <v>2.5121191932887088E-2</v>
      </c>
      <c r="E19" s="8">
        <f>IF(AND(ISNUMBER(方案参数!M18),ISNUMBER(方案参数!M17),方案参数!M17&gt;0),方案参数!M18/方案参数!M17-1,"")</f>
        <v>2.5121191932887088E-2</v>
      </c>
      <c r="F19" s="7">
        <f>IF(ISNUMBER(方案参数!R18),方案参数!R18,"")</f>
        <v>546336.90999999992</v>
      </c>
      <c r="G19" s="7">
        <f>IF(ISNUMBER(方案参数!N18),方案参数!N18,"")</f>
        <v>3353478.4359999993</v>
      </c>
      <c r="H19" s="7">
        <f>IF(ISNUMBER(方案参数!O18),方案参数!O18,"")</f>
        <v>5633361.2799999993</v>
      </c>
      <c r="I19" s="1" t="str">
        <f t="shared" si="0"/>
        <v>固定次数的相对收益</v>
      </c>
    </row>
    <row r="20" spans="1:9" ht="38.1" customHeight="1">
      <c r="A20" s="1" t="s">
        <v>20</v>
      </c>
      <c r="B20" s="1">
        <v>2</v>
      </c>
      <c r="C20" s="7">
        <f>IF(ISNUMBER(方案参数!M19),方案参数!M19,"")</f>
        <v>9754459.5660000015</v>
      </c>
      <c r="D20" s="8">
        <f>IF(AND(ISNUMBER(方案参数!M19),ISNUMBER(方案参数!M18),方案参数!M18&gt;0),方案参数!M19/方案参数!M18-1,"")</f>
        <v>8.5415994304799403E-2</v>
      </c>
      <c r="E20" s="8">
        <f>IF(AND(ISNUMBER(方案参数!M19),ISNUMBER(方案参数!M17),方案参数!M17&gt;0),方案参数!M19/方案参数!M17-1,"")</f>
        <v>0.1126829378247558</v>
      </c>
      <c r="F20" s="7">
        <f>IF(ISNUMBER(方案参数!R19),方案参数!R19,"")</f>
        <v>1311975.825</v>
      </c>
      <c r="G20" s="7">
        <f>IF(ISNUMBER(方案参数!N19),方案参数!N19,"")</f>
        <v>4121098.2859999998</v>
      </c>
      <c r="H20" s="7">
        <f>IF(ISNUMBER(方案参数!O19),方案参数!O19,"")</f>
        <v>5633361.2799999993</v>
      </c>
      <c r="I20" s="1" t="str">
        <f t="shared" si="0"/>
        <v>固定次数的相对收益</v>
      </c>
    </row>
    <row r="21" spans="1:9" ht="38.1" customHeight="1">
      <c r="A21" s="1" t="s">
        <v>20</v>
      </c>
      <c r="B21" s="1">
        <v>3</v>
      </c>
      <c r="C21" s="7">
        <f>IF(ISNUMBER(方案参数!M20),方案参数!M20,"")</f>
        <v>10642502.414999999</v>
      </c>
      <c r="D21" s="8">
        <f>IF(AND(ISNUMBER(方案参数!M20),ISNUMBER(方案参数!M19),方案参数!M19&gt;0),方案参数!M20/方案参数!M19-1,"")</f>
        <v>9.1039677082197956E-2</v>
      </c>
      <c r="E21" s="8">
        <f>IF(AND(ISNUMBER(方案参数!M20),ISNUMBER(方案参数!M17),方案参数!M17&gt;0),方案参数!M20/方案参数!M17-1,"")</f>
        <v>0.21398123317919304</v>
      </c>
      <c r="F21" s="7">
        <f>IF(ISNUMBER(方案参数!R20),方案参数!R20,"")</f>
        <v>1471186.19</v>
      </c>
      <c r="G21" s="7">
        <f>IF(ISNUMBER(方案参数!N20),方案参数!N20,"")</f>
        <v>4550742.0950000007</v>
      </c>
      <c r="H21" s="7">
        <f>IF(ISNUMBER(方案参数!O20),方案参数!O20,"")</f>
        <v>6091760.3200000003</v>
      </c>
      <c r="I21" s="1" t="str">
        <f t="shared" si="0"/>
        <v>固定次数的相对收益</v>
      </c>
    </row>
    <row r="22" spans="1:9" ht="38.1" customHeight="1">
      <c r="A22" s="1" t="s">
        <v>20</v>
      </c>
      <c r="B22" s="1">
        <v>4</v>
      </c>
      <c r="C22" s="7">
        <f>IF(ISNUMBER(方案参数!M21),方案参数!M21,"")</f>
        <v>10947941.120999999</v>
      </c>
      <c r="D22" s="8">
        <f>IF(AND(ISNUMBER(方案参数!M21),ISNUMBER(方案参数!M20),方案参数!M20&gt;0),方案参数!M21/方案参数!M20-1,"")</f>
        <v>2.8699895390157604E-2</v>
      </c>
      <c r="E22" s="8">
        <f>IF(AND(ISNUMBER(方案参数!M21),ISNUMBER(方案参数!M17),方案参数!M17&gt;0),方案参数!M21/方案参数!M17-1,"")</f>
        <v>0.24882236757705045</v>
      </c>
      <c r="F22" s="7">
        <f>IF(ISNUMBER(方案参数!R21),方案参数!R21,"")</f>
        <v>1471186.19</v>
      </c>
      <c r="G22" s="7">
        <f>IF(ISNUMBER(方案参数!N21),方案参数!N21,"")</f>
        <v>4658778.801</v>
      </c>
      <c r="H22" s="7">
        <f>IF(ISNUMBER(方案参数!O21),方案参数!O21,"")</f>
        <v>6289162.3200000003</v>
      </c>
      <c r="I22" s="1" t="str">
        <f t="shared" si="0"/>
        <v>固定次数的相对收益</v>
      </c>
    </row>
    <row r="23" spans="1:9" ht="38.1" customHeight="1">
      <c r="A23" s="1" t="s">
        <v>20</v>
      </c>
      <c r="B23" s="1">
        <v>5</v>
      </c>
      <c r="C23" s="7">
        <f>IF(ISNUMBER(方案参数!M22),方案参数!M22,"")</f>
        <v>12584224.584000001</v>
      </c>
      <c r="D23" s="8">
        <f>IF(AND(ISNUMBER(方案参数!M22),ISNUMBER(方案参数!M21),方案参数!M21&gt;0),方案参数!M22/方案参数!M21-1,"")</f>
        <v>0.1494603820860283</v>
      </c>
      <c r="E23" s="8">
        <f>IF(AND(ISNUMBER(方案参数!M22),ISNUMBER(方案参数!M17),方案参数!M17&gt;0),方案参数!M22/方案参数!M17-1,"")</f>
        <v>0.43547183579269499</v>
      </c>
      <c r="F23" s="7">
        <f>IF(ISNUMBER(方案参数!R22),方案参数!R22,"")</f>
        <v>3103341.9799999995</v>
      </c>
      <c r="G23" s="7">
        <f>IF(ISNUMBER(方案参数!N22),方案参数!N22,"")</f>
        <v>6295062.2639999995</v>
      </c>
      <c r="H23" s="7">
        <f>IF(ISNUMBER(方案参数!O22),方案参数!O22,"")</f>
        <v>6289162.3200000003</v>
      </c>
      <c r="I23" s="1" t="str">
        <f t="shared" si="0"/>
        <v>固定次数的相对收益</v>
      </c>
    </row>
    <row r="24" spans="1:9" ht="38.1" customHeight="1">
      <c r="A24" s="1" t="s">
        <v>23</v>
      </c>
      <c r="B24" s="1">
        <v>0</v>
      </c>
      <c r="C24" s="7">
        <f>IF(ISNUMBER(方案参数!M23),方案参数!M23,"")</f>
        <v>8766611.9739999995</v>
      </c>
      <c r="D24" s="8" t="str">
        <f>""</f>
        <v/>
      </c>
      <c r="E24" s="8">
        <f>IF(AND(ISNUMBER(方案参数!M23),ISNUMBER(方案参数!M23),方案参数!M23&gt;0),方案参数!M23/方案参数!M23-1,"")</f>
        <v>0</v>
      </c>
      <c r="F24" s="7">
        <f>IF(ISNUMBER(方案参数!S23),方案参数!S23,"")</f>
        <v>270563.56400000001</v>
      </c>
      <c r="G24" s="7">
        <f>IF(ISNUMBER(方案参数!N23),方案参数!N23,"")</f>
        <v>3133250.6940000001</v>
      </c>
      <c r="H24" s="7">
        <f>IF(ISNUMBER(方案参数!O23),方案参数!O23,"")</f>
        <v>5633361.2799999993</v>
      </c>
      <c r="I24" s="1" t="str">
        <f t="shared" si="0"/>
        <v>固定次数的相对收益</v>
      </c>
    </row>
    <row r="25" spans="1:9" ht="38.1" customHeight="1">
      <c r="A25" s="1" t="s">
        <v>23</v>
      </c>
      <c r="B25" s="1">
        <v>1</v>
      </c>
      <c r="C25" s="7">
        <f>IF(ISNUMBER(方案参数!M24),方案参数!M24,"")</f>
        <v>8766611.9739999995</v>
      </c>
      <c r="D25" s="8">
        <f>IF(AND(ISNUMBER(方案参数!M24),ISNUMBER(方案参数!M23),方案参数!M23&gt;0),方案参数!M24/方案参数!M23-1,"")</f>
        <v>0</v>
      </c>
      <c r="E25" s="8">
        <f>IF(AND(ISNUMBER(方案参数!M24),ISNUMBER(方案参数!M23),方案参数!M23&gt;0),方案参数!M24/方案参数!M23-1,"")</f>
        <v>0</v>
      </c>
      <c r="F25" s="7">
        <f>IF(ISNUMBER(方案参数!S24),方案参数!S24,"")</f>
        <v>270563.56400000001</v>
      </c>
      <c r="G25" s="7">
        <f>IF(ISNUMBER(方案参数!N24),方案参数!N24,"")</f>
        <v>3133250.6940000001</v>
      </c>
      <c r="H25" s="7">
        <f>IF(ISNUMBER(方案参数!O24),方案参数!O24,"")</f>
        <v>5633361.2799999993</v>
      </c>
      <c r="I25" s="1" t="str">
        <f t="shared" si="0"/>
        <v>固定次数的相对收益</v>
      </c>
    </row>
    <row r="26" spans="1:9" ht="38.1" customHeight="1">
      <c r="A26" s="1" t="s">
        <v>23</v>
      </c>
      <c r="B26" s="1">
        <v>2</v>
      </c>
      <c r="C26" s="7">
        <f>IF(ISNUMBER(方案参数!M25),方案参数!M25,"")</f>
        <v>8855228.932</v>
      </c>
      <c r="D26" s="8">
        <f>IF(AND(ISNUMBER(方案参数!M25),ISNUMBER(方案参数!M24),方案参数!M24&gt;0),方案参数!M25/方案参数!M24-1,"")</f>
        <v>1.010846131468135E-2</v>
      </c>
      <c r="E26" s="8">
        <f>IF(AND(ISNUMBER(方案参数!M25),ISNUMBER(方案参数!M23),方案参数!M23&gt;0),方案参数!M25/方案参数!M23-1,"")</f>
        <v>1.010846131468135E-2</v>
      </c>
      <c r="F26" s="7">
        <f>IF(ISNUMBER(方案参数!S25),方案参数!S25,"")</f>
        <v>359180.522</v>
      </c>
      <c r="G26" s="7">
        <f>IF(ISNUMBER(方案参数!N25),方案参数!N25,"")</f>
        <v>3221867.6520000002</v>
      </c>
      <c r="H26" s="7">
        <f>IF(ISNUMBER(方案参数!O25),方案参数!O25,"")</f>
        <v>5633361.2799999993</v>
      </c>
      <c r="I26" s="1" t="str">
        <f t="shared" si="0"/>
        <v>固定次数的相对收益</v>
      </c>
    </row>
    <row r="27" spans="1:9" ht="38.1" customHeight="1">
      <c r="A27" s="1" t="s">
        <v>23</v>
      </c>
      <c r="B27" s="1">
        <v>3</v>
      </c>
      <c r="C27" s="7">
        <f>IF(ISNUMBER(方案参数!M26),方案参数!M26,"")</f>
        <v>9783412.3319999985</v>
      </c>
      <c r="D27" s="8">
        <f>IF(AND(ISNUMBER(方案参数!M26),ISNUMBER(方案参数!M25),方案参数!M25&gt;0),方案参数!M26/方案参数!M25-1,"")</f>
        <v>0.10481754984852354</v>
      </c>
      <c r="E27" s="8">
        <f>IF(AND(ISNUMBER(方案参数!M26),ISNUMBER(方案参数!M23),方案参数!M23&gt;0),方案参数!M26/方案参数!M23-1,"")</f>
        <v>0.11598555531094834</v>
      </c>
      <c r="F27" s="7">
        <f>IF(ISNUMBER(方案参数!S26),方案参数!S26,"")</f>
        <v>492226.36200000008</v>
      </c>
      <c r="G27" s="7">
        <f>IF(ISNUMBER(方案参数!N26),方案参数!N26,"")</f>
        <v>3604233.0919999997</v>
      </c>
      <c r="H27" s="7">
        <f>IF(ISNUMBER(方案参数!O26),方案参数!O26,"")</f>
        <v>6179179.2400000002</v>
      </c>
      <c r="I27" s="1" t="str">
        <f t="shared" si="0"/>
        <v>固定次数的相对收益</v>
      </c>
    </row>
    <row r="28" spans="1:9" ht="38.1" customHeight="1">
      <c r="A28" s="1" t="s">
        <v>23</v>
      </c>
      <c r="B28" s="1">
        <v>4</v>
      </c>
      <c r="C28" s="7">
        <f>IF(ISNUMBER(方案参数!M27),方案参数!M27,"")</f>
        <v>9971031.4039999992</v>
      </c>
      <c r="D28" s="8">
        <f>IF(AND(ISNUMBER(方案参数!M27),ISNUMBER(方案参数!M26),方案参数!M26&gt;0),方案参数!M27/方案参数!M26-1,"")</f>
        <v>1.9177263068666628E-2</v>
      </c>
      <c r="E28" s="8">
        <f>IF(AND(ISNUMBER(方案参数!M27),ISNUMBER(方案参数!M23),方案参数!M23&gt;0),方案参数!M27/方案参数!M23-1,"")</f>
        <v>0.13738710388597841</v>
      </c>
      <c r="F28" s="7">
        <f>IF(ISNUMBER(方案参数!S27),方案参数!S27,"")</f>
        <v>679845.43400000001</v>
      </c>
      <c r="G28" s="7">
        <f>IF(ISNUMBER(方案参数!N27),方案参数!N27,"")</f>
        <v>3791852.1640000003</v>
      </c>
      <c r="H28" s="7">
        <f>IF(ISNUMBER(方案参数!O27),方案参数!O27,"")</f>
        <v>6179179.2400000002</v>
      </c>
      <c r="I28" s="1" t="str">
        <f t="shared" si="0"/>
        <v>固定次数的相对收益</v>
      </c>
    </row>
    <row r="29" spans="1:9" ht="38.1" customHeight="1">
      <c r="A29" s="1" t="s">
        <v>23</v>
      </c>
      <c r="B29" s="1">
        <v>5</v>
      </c>
      <c r="C29" s="7">
        <f>IF(ISNUMBER(方案参数!M28),方案参数!M28,"")</f>
        <v>10158553.338999998</v>
      </c>
      <c r="D29" s="8">
        <f>IF(AND(ISNUMBER(方案参数!M28),ISNUMBER(方案参数!M27),方案参数!M27&gt;0),方案参数!M28/方案参数!M27-1,"")</f>
        <v>1.8806673793522632E-2</v>
      </c>
      <c r="E29" s="8">
        <f>IF(AND(ISNUMBER(方案参数!M28),ISNUMBER(方案参数!M23),方案参数!M23&gt;0),方案参数!M28/方案参数!M23-1,"")</f>
        <v>0.15877757212572141</v>
      </c>
      <c r="F29" s="7">
        <f>IF(ISNUMBER(方案参数!S28),方案参数!S28,"")</f>
        <v>867367.36900000006</v>
      </c>
      <c r="G29" s="7">
        <f>IF(ISNUMBER(方案参数!N28),方案参数!N28,"")</f>
        <v>3979374.0989999999</v>
      </c>
      <c r="H29" s="7">
        <f>IF(ISNUMBER(方案参数!O28),方案参数!O28,"")</f>
        <v>6179179.2400000002</v>
      </c>
      <c r="I29" s="1" t="str">
        <f t="shared" si="0"/>
        <v>固定次数的相对收益</v>
      </c>
    </row>
    <row r="30" spans="1:9" ht="38.1" customHeight="1">
      <c r="A30" s="1" t="s">
        <v>15</v>
      </c>
      <c r="B30" s="1">
        <v>1</v>
      </c>
      <c r="C30" s="7">
        <f>IF(ISNUMBER(方案参数!M29),方案参数!M29,"")</f>
        <v>7967878.9740000004</v>
      </c>
      <c r="D30" s="8" t="str">
        <f>""</f>
        <v/>
      </c>
      <c r="E30" s="8">
        <f>IF(AND(ISNUMBER(方案参数!M29),ISNUMBER(方案参数!M29),方案参数!M29&gt;0),方案参数!M29/方案参数!M29-1,"")</f>
        <v>0</v>
      </c>
      <c r="F30" s="7">
        <f>IF(ISNUMBER(方案参数!P29),方案参数!P29,"")</f>
        <v>6564653</v>
      </c>
      <c r="G30" s="7">
        <f>IF(ISNUMBER(方案参数!N29),方案参数!N29,"")</f>
        <v>3056550.6940000001</v>
      </c>
      <c r="H30" s="7">
        <f>IF(ISNUMBER(方案参数!O29),方案参数!O29,"")</f>
        <v>4911328.2799999993</v>
      </c>
      <c r="I30" s="1" t="str">
        <f t="shared" si="0"/>
        <v>固定次数的相对收益</v>
      </c>
    </row>
    <row r="31" spans="1:9" ht="38.1" customHeight="1">
      <c r="A31" s="1" t="s">
        <v>15</v>
      </c>
      <c r="B31" s="1">
        <v>2</v>
      </c>
      <c r="C31" s="7">
        <f>IF(ISNUMBER(方案参数!M30),方案参数!M30,"")</f>
        <v>8075579.9740000004</v>
      </c>
      <c r="D31" s="8">
        <f>IF(AND(ISNUMBER(方案参数!M30),ISNUMBER(方案参数!M29),方案参数!M29&gt;0),方案参数!M30/方案参数!M29-1,"")</f>
        <v>1.3516897075299461E-2</v>
      </c>
      <c r="E31" s="8">
        <f>IF(AND(ISNUMBER(方案参数!M30),ISNUMBER(方案参数!M29),方案参数!M29&gt;0),方案参数!M30/方案参数!M29-1,"")</f>
        <v>1.3516897075299461E-2</v>
      </c>
      <c r="F31" s="7">
        <f>IF(ISNUMBER(方案参数!P30),方案参数!P30,"")</f>
        <v>6672354</v>
      </c>
      <c r="G31" s="7">
        <f>IF(ISNUMBER(方案参数!N30),方案参数!N30,"")</f>
        <v>3094900.6940000001</v>
      </c>
      <c r="H31" s="7">
        <f>IF(ISNUMBER(方案参数!O30),方案参数!O30,"")</f>
        <v>4980679.2799999993</v>
      </c>
      <c r="I31" s="1" t="str">
        <f t="shared" si="0"/>
        <v>固定次数的相对收益</v>
      </c>
    </row>
    <row r="32" spans="1:9" ht="38.1" customHeight="1">
      <c r="A32" s="1" t="s">
        <v>15</v>
      </c>
      <c r="B32" s="1">
        <v>3</v>
      </c>
      <c r="C32" s="7">
        <f>IF(ISNUMBER(方案参数!M31),方案参数!M31,"")</f>
        <v>8362784.9740000004</v>
      </c>
      <c r="D32" s="8">
        <f>IF(AND(ISNUMBER(方案参数!M31),ISNUMBER(方案参数!M30),方案参数!M30&gt;0),方案参数!M31/方案参数!M30-1,"")</f>
        <v>3.5564628289816991E-2</v>
      </c>
      <c r="E32" s="8">
        <f>IF(AND(ISNUMBER(方案参数!M31),ISNUMBER(方案参数!M29),方案参数!M29&gt;0),方案参数!M31/方案参数!M29-1,"")</f>
        <v>4.9562248785231189E-2</v>
      </c>
      <c r="F32" s="7">
        <f>IF(ISNUMBER(方案参数!P31),方案参数!P31,"")</f>
        <v>6959559</v>
      </c>
      <c r="G32" s="7">
        <f>IF(ISNUMBER(方案参数!N31),方案参数!N31,"")</f>
        <v>3094900.6940000001</v>
      </c>
      <c r="H32" s="7">
        <f>IF(ISNUMBER(方案参数!O31),方案参数!O31,"")</f>
        <v>5267884.2799999993</v>
      </c>
      <c r="I32" s="1" t="str">
        <f t="shared" si="0"/>
        <v>固定次数的相对收益</v>
      </c>
    </row>
    <row r="33" spans="1:9" ht="38.1" customHeight="1">
      <c r="A33" s="1" t="s">
        <v>15</v>
      </c>
      <c r="B33" s="1">
        <v>4</v>
      </c>
      <c r="C33" s="7">
        <f>IF(ISNUMBER(方案参数!M32),方案参数!M32,"")</f>
        <v>8474948.9739999995</v>
      </c>
      <c r="D33" s="8">
        <f>IF(AND(ISNUMBER(方案参数!M32),ISNUMBER(方案参数!M31),方案参数!M31&gt;0),方案参数!M32/方案参数!M31-1,"")</f>
        <v>1.3412278367639363E-2</v>
      </c>
      <c r="E33" s="8">
        <f>IF(AND(ISNUMBER(方案参数!M32),ISNUMBER(方案参数!M29),方案参数!M29&gt;0),方案参数!M32/方案参数!M29-1,"")</f>
        <v>6.3639269830104039E-2</v>
      </c>
      <c r="F33" s="7">
        <f>IF(ISNUMBER(方案参数!P32),方案参数!P32,"")</f>
        <v>7071723</v>
      </c>
      <c r="G33" s="7">
        <f>IF(ISNUMBER(方案参数!N32),方案参数!N32,"")</f>
        <v>3133250.6940000001</v>
      </c>
      <c r="H33" s="7">
        <f>IF(ISNUMBER(方案参数!O32),方案参数!O32,"")</f>
        <v>5341698.2799999993</v>
      </c>
      <c r="I33" s="1" t="str">
        <f t="shared" si="0"/>
        <v>固定次数的相对收益</v>
      </c>
    </row>
    <row r="34" spans="1:9" ht="38.1" customHeight="1">
      <c r="A34" s="1" t="s">
        <v>15</v>
      </c>
      <c r="B34" s="1">
        <v>5</v>
      </c>
      <c r="C34" s="7">
        <f>IF(ISNUMBER(方案参数!M33),方案参数!M33,"")</f>
        <v>8766611.9739999995</v>
      </c>
      <c r="D34" s="8">
        <f>IF(AND(ISNUMBER(方案参数!M33),ISNUMBER(方案参数!M32),方案参数!M32&gt;0),方案参数!M33/方案参数!M32-1,"")</f>
        <v>3.4414720477348393E-2</v>
      </c>
      <c r="E34" s="8">
        <f>IF(AND(ISNUMBER(方案参数!M33),ISNUMBER(方案参数!M29),方案参数!M29&gt;0),方案参数!M33/方案参数!M29-1,"")</f>
        <v>0.10024411799003796</v>
      </c>
      <c r="F34" s="7">
        <f>IF(ISNUMBER(方案参数!P33),方案参数!P33,"")</f>
        <v>7363386</v>
      </c>
      <c r="G34" s="7">
        <f>IF(ISNUMBER(方案参数!N33),方案参数!N33,"")</f>
        <v>3133250.6940000001</v>
      </c>
      <c r="H34" s="7">
        <f>IF(ISNUMBER(方案参数!O33),方案参数!O33,"")</f>
        <v>5633361.2799999993</v>
      </c>
      <c r="I34" s="1" t="str">
        <f t="shared" si="0"/>
        <v>固定次数的相对收益</v>
      </c>
    </row>
    <row r="35" spans="1:9" ht="38.1" customHeight="1">
      <c r="A35" s="1" t="s">
        <v>18</v>
      </c>
      <c r="B35" s="1">
        <v>1</v>
      </c>
      <c r="C35" s="7">
        <f>IF(ISNUMBER(方案参数!M34),方案参数!M34,"")</f>
        <v>8766611.9739999995</v>
      </c>
      <c r="D35" s="8" t="str">
        <f>""</f>
        <v/>
      </c>
      <c r="E35" s="8">
        <f>IF(AND(ISNUMBER(方案参数!M34),ISNUMBER(方案参数!M34),方案参数!M34&gt;0),方案参数!M34/方案参数!M34-1,"")</f>
        <v>0</v>
      </c>
      <c r="F35" s="7">
        <f>IF(ISNUMBER(方案参数!Q34),方案参数!Q34,"")</f>
        <v>642844.12</v>
      </c>
      <c r="G35" s="7">
        <f>IF(ISNUMBER(方案参数!N34),方案参数!N34,"")</f>
        <v>3133250.6940000001</v>
      </c>
      <c r="H35" s="7">
        <f>IF(ISNUMBER(方案参数!O34),方案参数!O34,"")</f>
        <v>5633361.2799999993</v>
      </c>
      <c r="I35" s="1" t="str">
        <f t="shared" si="0"/>
        <v>固定次数的相对收益</v>
      </c>
    </row>
    <row r="36" spans="1:9" ht="38.1" customHeight="1">
      <c r="A36" s="1" t="s">
        <v>18</v>
      </c>
      <c r="B36" s="1">
        <v>2</v>
      </c>
      <c r="C36" s="7">
        <f>IF(ISNUMBER(方案参数!M35),方案参数!M35,"")</f>
        <v>8888625.2140000015</v>
      </c>
      <c r="D36" s="8">
        <f>IF(AND(ISNUMBER(方案参数!M35),ISNUMBER(方案参数!M34),方案参数!M34&gt;0),方案参数!M35/方案参数!M34-1,"")</f>
        <v>1.3917946906041756E-2</v>
      </c>
      <c r="E36" s="8">
        <f>IF(AND(ISNUMBER(方案参数!M35),ISNUMBER(方案参数!M34),方案参数!M34&gt;0),方案参数!M35/方案参数!M34-1,"")</f>
        <v>1.3917946906041756E-2</v>
      </c>
      <c r="F36" s="7">
        <f>IF(ISNUMBER(方案参数!Q35),方案参数!Q35,"")</f>
        <v>663562.36</v>
      </c>
      <c r="G36" s="7">
        <f>IF(ISNUMBER(方案参数!N35),方案参数!N35,"")</f>
        <v>3134747.1340000001</v>
      </c>
      <c r="H36" s="7">
        <f>IF(ISNUMBER(方案参数!O35),方案参数!O35,"")</f>
        <v>5753878.0800000001</v>
      </c>
      <c r="I36" s="1" t="str">
        <f t="shared" si="0"/>
        <v>固定次数的相对收益</v>
      </c>
    </row>
    <row r="37" spans="1:9" ht="38.1" customHeight="1">
      <c r="A37" s="1" t="s">
        <v>18</v>
      </c>
      <c r="B37" s="1">
        <v>3</v>
      </c>
      <c r="C37" s="7">
        <f>IF(ISNUMBER(方案参数!M36),方案参数!M36,"")</f>
        <v>9010937.1339999996</v>
      </c>
      <c r="D37" s="8">
        <f>IF(AND(ISNUMBER(方案参数!M36),ISNUMBER(方案参数!M35),方案参数!M35&gt;0),方案参数!M36/方案参数!M35-1,"")</f>
        <v>1.3760499183535169E-2</v>
      </c>
      <c r="E37" s="8">
        <f>IF(AND(ISNUMBER(方案参数!M36),ISNUMBER(方案参数!M34),方案参数!M34&gt;0),方案参数!M36/方案参数!M34-1,"")</f>
        <v>2.7869963986614232E-2</v>
      </c>
      <c r="F37" s="7">
        <f>IF(ISNUMBER(方案参数!Q36),方案参数!Q36,"")</f>
        <v>684576.28</v>
      </c>
      <c r="G37" s="7">
        <f>IF(ISNUMBER(方案参数!N36),方案参数!N36,"")</f>
        <v>3136245.8540000003</v>
      </c>
      <c r="H37" s="7">
        <f>IF(ISNUMBER(方案参数!O36),方案参数!O36,"")</f>
        <v>5874691.2799999993</v>
      </c>
      <c r="I37" s="1" t="str">
        <f t="shared" si="0"/>
        <v>固定次数的相对收益</v>
      </c>
    </row>
    <row r="38" spans="1:9" ht="38.1" customHeight="1">
      <c r="A38" s="1" t="s">
        <v>18</v>
      </c>
      <c r="B38" s="1">
        <v>4</v>
      </c>
      <c r="C38" s="7">
        <f>IF(ISNUMBER(方案参数!M37),方案参数!M37,"")</f>
        <v>9133551.0539999995</v>
      </c>
      <c r="D38" s="8">
        <f>IF(AND(ISNUMBER(方案参数!M37),ISNUMBER(方案参数!M36),方案参数!M36&gt;0),方案参数!M37/方案参数!M36-1,"")</f>
        <v>1.3607232874520259E-2</v>
      </c>
      <c r="E38" s="8">
        <f>IF(AND(ISNUMBER(方案参数!M37),ISNUMBER(方案参数!M34),方案参数!M34&gt;0),方案参数!M37/方案参数!M34-1,"")</f>
        <v>4.1856429951304674E-2</v>
      </c>
      <c r="F38" s="7">
        <f>IF(ISNUMBER(方案参数!Q37),方案参数!Q37,"")</f>
        <v>705893.2</v>
      </c>
      <c r="G38" s="7">
        <f>IF(ISNUMBER(方案参数!N37),方案参数!N37,"")</f>
        <v>3137743.8139999998</v>
      </c>
      <c r="H38" s="7">
        <f>IF(ISNUMBER(方案参数!O37),方案参数!O37,"")</f>
        <v>5995807.2400000002</v>
      </c>
      <c r="I38" s="1" t="str">
        <f t="shared" si="0"/>
        <v>固定次数的相对收益</v>
      </c>
    </row>
    <row r="39" spans="1:9" ht="38.1" customHeight="1">
      <c r="A39" s="1" t="s">
        <v>18</v>
      </c>
      <c r="B39" s="1">
        <v>5</v>
      </c>
      <c r="C39" s="7">
        <f>IF(ISNUMBER(方案参数!M38),方案参数!M38,"")</f>
        <v>9256463.0540000014</v>
      </c>
      <c r="D39" s="8">
        <f>IF(AND(ISNUMBER(方案参数!M38),ISNUMBER(方案参数!M37),方案参数!M37&gt;0),方案参数!M38/方案参数!M37-1,"")</f>
        <v>1.3457197455109648E-2</v>
      </c>
      <c r="E39" s="8">
        <f>IF(AND(ISNUMBER(方案参数!M38),ISNUMBER(方案参数!M34),方案参数!M34&gt;0),方案参数!M38/方案参数!M34-1,"")</f>
        <v>5.5876897649034918E-2</v>
      </c>
      <c r="F39" s="7">
        <f>IF(ISNUMBER(方案参数!Q38),方案参数!Q38,"")</f>
        <v>727506.20000000007</v>
      </c>
      <c r="G39" s="7">
        <f>IF(ISNUMBER(方案参数!N38),方案参数!N38,"")</f>
        <v>3139241.7740000002</v>
      </c>
      <c r="H39" s="7">
        <f>IF(ISNUMBER(方案参数!O38),方案参数!O38,"")</f>
        <v>6117221.2800000003</v>
      </c>
      <c r="I39" s="1" t="str">
        <f t="shared" si="0"/>
        <v>固定次数的相对收益</v>
      </c>
    </row>
    <row r="40" spans="1:9" ht="38.1" customHeight="1">
      <c r="A40" s="1" t="s">
        <v>21</v>
      </c>
      <c r="B40" s="1">
        <v>1</v>
      </c>
      <c r="C40" s="7">
        <f>IF(ISNUMBER(方案参数!M39),方案参数!M39,"")</f>
        <v>8291958.4280000003</v>
      </c>
      <c r="D40" s="8" t="str">
        <f>""</f>
        <v/>
      </c>
      <c r="E40" s="8">
        <f>IF(AND(ISNUMBER(方案参数!M39),ISNUMBER(方案参数!M39),方案参数!M39&gt;0),方案参数!M39/方案参数!M39-1,"")</f>
        <v>0</v>
      </c>
      <c r="F40" s="7">
        <f>IF(ISNUMBER(方案参数!R39),方案参数!R39,"")</f>
        <v>435716.05</v>
      </c>
      <c r="G40" s="7">
        <f>IF(ISNUMBER(方案参数!N39),方案参数!N39,"")</f>
        <v>2930760.3880000003</v>
      </c>
      <c r="H40" s="7">
        <f>IF(ISNUMBER(方案参数!O39),方案参数!O39,"")</f>
        <v>5361198.0399999991</v>
      </c>
      <c r="I40" s="1" t="str">
        <f t="shared" si="0"/>
        <v>固定次数的相对收益</v>
      </c>
    </row>
    <row r="41" spans="1:9" ht="38.1" customHeight="1">
      <c r="A41" s="1" t="s">
        <v>21</v>
      </c>
      <c r="B41" s="1">
        <v>2</v>
      </c>
      <c r="C41" s="7">
        <f>IF(ISNUMBER(方案参数!M40),方案参数!M40,"")</f>
        <v>8402306.9419999998</v>
      </c>
      <c r="D41" s="8">
        <f>IF(AND(ISNUMBER(方案参数!M40),ISNUMBER(方案参数!M39),方案参数!M39&gt;0),方案参数!M40/方案参数!M39-1,"")</f>
        <v>1.3307895228632516E-2</v>
      </c>
      <c r="E41" s="8">
        <f>IF(AND(ISNUMBER(方案参数!M40),ISNUMBER(方案参数!M39),方案参数!M39&gt;0),方案参数!M40/方案参数!M39-1,"")</f>
        <v>1.3307895228632516E-2</v>
      </c>
      <c r="F41" s="7">
        <f>IF(ISNUMBER(方案参数!R40),方案参数!R40,"")</f>
        <v>446538.37999999995</v>
      </c>
      <c r="G41" s="7">
        <f>IF(ISNUMBER(方案参数!N40),方案参数!N40,"")</f>
        <v>2976743.5019999999</v>
      </c>
      <c r="H41" s="7">
        <f>IF(ISNUMBER(方案参数!O40),方案参数!O40,"")</f>
        <v>5425563.4399999995</v>
      </c>
      <c r="I41" s="1" t="str">
        <f t="shared" si="0"/>
        <v>固定次数的相对收益</v>
      </c>
    </row>
    <row r="42" spans="1:9" ht="38.1" customHeight="1">
      <c r="A42" s="1" t="s">
        <v>21</v>
      </c>
      <c r="B42" s="1">
        <v>3</v>
      </c>
      <c r="C42" s="7">
        <f>IF(ISNUMBER(方案参数!M41),方案参数!M41,"")</f>
        <v>8513503.3949999996</v>
      </c>
      <c r="D42" s="8">
        <f>IF(AND(ISNUMBER(方案参数!M41),ISNUMBER(方案参数!M40),方案参数!M40&gt;0),方案参数!M41/方案参数!M40-1,"")</f>
        <v>1.3234038433441508E-2</v>
      </c>
      <c r="E42" s="8">
        <f>IF(AND(ISNUMBER(方案参数!M41),ISNUMBER(方案参数!M39),方案参数!M39&gt;0),方案参数!M41/方案参数!M39-1,"")</f>
        <v>2.6718050858997699E-2</v>
      </c>
      <c r="F42" s="7">
        <f>IF(ISNUMBER(方案参数!R41),方案参数!R41,"")</f>
        <v>457532.80000000005</v>
      </c>
      <c r="G42" s="7">
        <f>IF(ISNUMBER(方案参数!N41),方案参数!N41,"")</f>
        <v>3023154.4749999996</v>
      </c>
      <c r="H42" s="7">
        <f>IF(ISNUMBER(方案参数!O41),方案参数!O41,"")</f>
        <v>5490348.9199999999</v>
      </c>
      <c r="I42" s="1" t="str">
        <f t="shared" si="0"/>
        <v>固定次数的相对收益</v>
      </c>
    </row>
    <row r="43" spans="1:9" ht="38.1" customHeight="1">
      <c r="A43" s="1" t="s">
        <v>21</v>
      </c>
      <c r="B43" s="1">
        <v>4</v>
      </c>
      <c r="C43" s="7">
        <f>IF(ISNUMBER(方案参数!M42),方案参数!M42,"")</f>
        <v>8639461.1150000021</v>
      </c>
      <c r="D43" s="8">
        <f>IF(AND(ISNUMBER(方案参数!M42),ISNUMBER(方案参数!M41),方案参数!M41&gt;0),方案参数!M42/方案参数!M41-1,"")</f>
        <v>1.479505136204895E-2</v>
      </c>
      <c r="E43" s="8">
        <f>IF(AND(ISNUMBER(方案参数!M42),ISNUMBER(方案参数!M39),方案参数!M39&gt;0),方案参数!M42/方案参数!M39-1,"")</f>
        <v>4.1908397155799415E-2</v>
      </c>
      <c r="F43" s="7">
        <f>IF(ISNUMBER(方案参数!R42),方案参数!R42,"")</f>
        <v>473521.71500000003</v>
      </c>
      <c r="G43" s="7">
        <f>IF(ISNUMBER(方案参数!N42),方案参数!N42,"")</f>
        <v>3077880.6350000002</v>
      </c>
      <c r="H43" s="7">
        <f>IF(ISNUMBER(方案参数!O42),方案参数!O42,"")</f>
        <v>5561580.4800000004</v>
      </c>
      <c r="I43" s="1" t="str">
        <f t="shared" si="0"/>
        <v>固定次数的相对收益</v>
      </c>
    </row>
    <row r="44" spans="1:9" ht="38.1" customHeight="1">
      <c r="A44" s="1" t="s">
        <v>21</v>
      </c>
      <c r="B44" s="1">
        <v>5</v>
      </c>
      <c r="C44" s="7">
        <f>IF(ISNUMBER(方案参数!M43),方案参数!M43,"")</f>
        <v>8766611.9739999995</v>
      </c>
      <c r="D44" s="8">
        <f>IF(AND(ISNUMBER(方案参数!M43),ISNUMBER(方案参数!M42),方案参数!M42&gt;0),方案参数!M43/方案参数!M42-1,"")</f>
        <v>1.4717452547964527E-2</v>
      </c>
      <c r="E44" s="8">
        <f>IF(AND(ISNUMBER(方案参数!M43),ISNUMBER(方案参数!M39),方案参数!M39&gt;0),方案参数!M43/方案参数!M39-1,"")</f>
        <v>5.7242634550265681E-2</v>
      </c>
      <c r="F44" s="7">
        <f>IF(ISNUMBER(方案参数!R43),方案参数!R43,"")</f>
        <v>489818.29000000004</v>
      </c>
      <c r="G44" s="7">
        <f>IF(ISNUMBER(方案参数!N43),方案参数!N43,"")</f>
        <v>3133250.6940000001</v>
      </c>
      <c r="H44" s="7">
        <f>IF(ISNUMBER(方案参数!O43),方案参数!O43,"")</f>
        <v>5633361.2799999993</v>
      </c>
      <c r="I44" s="1" t="str">
        <f t="shared" si="0"/>
        <v>固定次数的相对收益</v>
      </c>
    </row>
    <row r="45" spans="1:9" ht="38.1" customHeight="1">
      <c r="A45" s="1" t="s">
        <v>24</v>
      </c>
      <c r="B45" s="1">
        <v>1</v>
      </c>
      <c r="C45" s="7">
        <f>IF(ISNUMBER(方案参数!M44),方案参数!M44,"")</f>
        <v>8766611.9739999995</v>
      </c>
      <c r="D45" s="8" t="str">
        <f>""</f>
        <v/>
      </c>
      <c r="E45" s="8">
        <f>IF(AND(ISNUMBER(方案参数!M44),ISNUMBER(方案参数!M44),方案参数!M44&gt;0),方案参数!M44/方案参数!M44-1,"")</f>
        <v>0</v>
      </c>
      <c r="F45" s="7">
        <f>IF(ISNUMBER(方案参数!S44),方案参数!S44,"")</f>
        <v>270563.56400000001</v>
      </c>
      <c r="G45" s="7">
        <f>IF(ISNUMBER(方案参数!N44),方案参数!N44,"")</f>
        <v>3133250.6940000001</v>
      </c>
      <c r="H45" s="7">
        <f>IF(ISNUMBER(方案参数!O44),方案参数!O44,"")</f>
        <v>5633361.2799999993</v>
      </c>
      <c r="I45" s="1" t="str">
        <f t="shared" si="0"/>
        <v>固定次数的相对收益</v>
      </c>
    </row>
    <row r="46" spans="1:9" ht="38.1" customHeight="1">
      <c r="A46" s="1" t="s">
        <v>24</v>
      </c>
      <c r="B46" s="1">
        <v>2</v>
      </c>
      <c r="C46" s="7">
        <f>IF(ISNUMBER(方案参数!M45),方案参数!M45,"")</f>
        <v>8828655.5250000004</v>
      </c>
      <c r="D46" s="8">
        <f>IF(AND(ISNUMBER(方案参数!M45),ISNUMBER(方案参数!M44),方案参数!M44&gt;0),方案参数!M45/方案参数!M44-1,"")</f>
        <v>7.0772552936082533E-3</v>
      </c>
      <c r="E46" s="8">
        <f>IF(AND(ISNUMBER(方案参数!M45),ISNUMBER(方案参数!M44),方案参数!M44&gt;0),方案参数!M45/方案参数!M44-1,"")</f>
        <v>7.0772552936082533E-3</v>
      </c>
      <c r="F46" s="7">
        <f>IF(ISNUMBER(方案参数!S45),方案参数!S45,"")</f>
        <v>276229.26</v>
      </c>
      <c r="G46" s="7">
        <f>IF(ISNUMBER(方案参数!N45),方案参数!N45,"")</f>
        <v>3157234.5249999999</v>
      </c>
      <c r="H46" s="7">
        <f>IF(ISNUMBER(方案参数!O45),方案参数!O45,"")</f>
        <v>5671421</v>
      </c>
      <c r="I46" s="1" t="str">
        <f t="shared" si="0"/>
        <v>固定次数的相对收益</v>
      </c>
    </row>
    <row r="47" spans="1:9" ht="38.1" customHeight="1">
      <c r="A47" s="1" t="s">
        <v>24</v>
      </c>
      <c r="B47" s="1">
        <v>3</v>
      </c>
      <c r="C47" s="7">
        <f>IF(ISNUMBER(方案参数!M46),方案参数!M46,"")</f>
        <v>8890733.8320000004</v>
      </c>
      <c r="D47" s="8">
        <f>IF(AND(ISNUMBER(方案参数!M46),ISNUMBER(方案参数!M45),方案参数!M45&gt;0),方案参数!M46/方案参数!M45-1,"")</f>
        <v>7.0314564685658443E-3</v>
      </c>
      <c r="E47" s="8">
        <f>IF(AND(ISNUMBER(方案参数!M46),ISNUMBER(方案参数!M44),方案参数!M44&gt;0),方案参数!M46/方案参数!M44-1,"")</f>
        <v>1.4158475174687934E-2</v>
      </c>
      <c r="F47" s="7">
        <f>IF(ISNUMBER(方案参数!S46),方案参数!S46,"")</f>
        <v>281933.64199999999</v>
      </c>
      <c r="G47" s="7">
        <f>IF(ISNUMBER(方案参数!N46),方案参数!N46,"")</f>
        <v>3181259.9120000005</v>
      </c>
      <c r="H47" s="7">
        <f>IF(ISNUMBER(方案参数!O46),方案参数!O46,"")</f>
        <v>5709473.9199999999</v>
      </c>
      <c r="I47" s="1" t="str">
        <f t="shared" si="0"/>
        <v>固定次数的相对收益</v>
      </c>
    </row>
    <row r="48" spans="1:9" ht="38.1" customHeight="1">
      <c r="A48" s="1" t="s">
        <v>24</v>
      </c>
      <c r="B48" s="1">
        <v>4</v>
      </c>
      <c r="C48" s="7">
        <f>IF(ISNUMBER(方案参数!M47),方案参数!M47,"")</f>
        <v>8952847.2879999988</v>
      </c>
      <c r="D48" s="8">
        <f>IF(AND(ISNUMBER(方案参数!M47),ISNUMBER(方案参数!M46),方案参数!M46&gt;0),方案参数!M47/方案参数!M46-1,"")</f>
        <v>6.9863137479648785E-3</v>
      </c>
      <c r="E48" s="8">
        <f>IF(AND(ISNUMBER(方案参数!M47),ISNUMBER(方案参数!M44),方案参数!M44&gt;0),方案参数!M47/方案参数!M44-1,"")</f>
        <v>2.1243704472416081E-2</v>
      </c>
      <c r="F48" s="7">
        <f>IF(ISNUMBER(方案参数!S47),方案参数!S47,"")</f>
        <v>287676.04300000001</v>
      </c>
      <c r="G48" s="7">
        <f>IF(ISNUMBER(方案参数!N47),方案参数!N47,"")</f>
        <v>3205318.4479999999</v>
      </c>
      <c r="H48" s="7">
        <f>IF(ISNUMBER(方案参数!O47),方案参数!O47,"")</f>
        <v>5747528.8399999999</v>
      </c>
      <c r="I48" s="1" t="str">
        <f t="shared" si="0"/>
        <v>固定次数的相对收益</v>
      </c>
    </row>
    <row r="49" spans="1:9" ht="38.1" customHeight="1">
      <c r="A49" s="1" t="s">
        <v>24</v>
      </c>
      <c r="B49" s="1">
        <v>5</v>
      </c>
      <c r="C49" s="7">
        <f>IF(ISNUMBER(方案参数!M48),方案参数!M48,"")</f>
        <v>9015004.9670000002</v>
      </c>
      <c r="D49" s="8">
        <f>IF(AND(ISNUMBER(方案参数!M48),ISNUMBER(方案参数!M47),方案参数!M47&gt;0),方案参数!M48/方案参数!M47-1,"")</f>
        <v>6.9427833403699069E-3</v>
      </c>
      <c r="E49" s="8">
        <f>IF(AND(ISNUMBER(方案参数!M48),ISNUMBER(方案参数!M44),方案参数!M44&gt;0),方案参数!M48/方案参数!M44-1,"")</f>
        <v>2.8333978250284719E-2</v>
      </c>
      <c r="F49" s="7">
        <f>IF(ISNUMBER(方案参数!S48),方案参数!S48,"")</f>
        <v>293458.79700000002</v>
      </c>
      <c r="G49" s="7">
        <f>IF(ISNUMBER(方案参数!N48),方案参数!N48,"")</f>
        <v>3229422.2069999999</v>
      </c>
      <c r="H49" s="7">
        <f>IF(ISNUMBER(方案参数!O48),方案参数!O48,"")</f>
        <v>5785582.7599999998</v>
      </c>
      <c r="I49" s="1" t="str">
        <f t="shared" si="0"/>
        <v>固定次数的相对收益</v>
      </c>
    </row>
    <row r="50" spans="1:9" ht="38.1" customHeight="1">
      <c r="A50" s="1"/>
      <c r="B50" s="1"/>
      <c r="C50" s="1"/>
      <c r="D50" s="1"/>
      <c r="E50" s="1"/>
      <c r="F50" s="1"/>
      <c r="G50" s="1"/>
      <c r="H50" s="1"/>
      <c r="I50" s="1"/>
    </row>
    <row r="51" spans="1:9" ht="38.1" customHeight="1">
      <c r="A51" s="1"/>
      <c r="B51" s="1"/>
      <c r="C51" s="1"/>
      <c r="D51" s="1"/>
      <c r="E51" s="1"/>
      <c r="F51" s="1"/>
      <c r="G51" s="1"/>
      <c r="H51" s="1"/>
      <c r="I51" s="1"/>
    </row>
    <row r="52" spans="1:9" ht="38.1" customHeight="1">
      <c r="A52" s="1"/>
      <c r="B52" s="1"/>
      <c r="C52" s="1"/>
      <c r="D52" s="1"/>
      <c r="E52" s="1"/>
      <c r="F52" s="1"/>
      <c r="G52" s="1"/>
      <c r="H52" s="1"/>
      <c r="I52" s="1"/>
    </row>
    <row r="53" spans="1:9" ht="38.1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ht="38.1" customHeight="1">
      <c r="A54" s="1"/>
      <c r="B54" s="1"/>
      <c r="C54" s="1"/>
      <c r="D54" s="1"/>
      <c r="E54" s="1"/>
      <c r="F54" s="1"/>
      <c r="G54" s="1"/>
      <c r="H54" s="1"/>
      <c r="I54" s="1"/>
    </row>
    <row r="55" spans="1:9" ht="38.1" customHeight="1">
      <c r="A55" s="1"/>
      <c r="B55" s="1"/>
      <c r="C55" s="1"/>
      <c r="D55" s="1"/>
      <c r="E55" s="1"/>
      <c r="F55" s="1"/>
      <c r="G55" s="1"/>
      <c r="H55" s="1"/>
      <c r="I55" s="1"/>
    </row>
    <row r="56" spans="1:9" ht="38.1" customHeight="1">
      <c r="A56" s="1"/>
      <c r="B56" s="1"/>
      <c r="C56" s="1"/>
      <c r="D56" s="1"/>
      <c r="E56" s="1"/>
      <c r="F56" s="1"/>
      <c r="G56" s="1"/>
      <c r="H56" s="1"/>
      <c r="I56" s="1"/>
    </row>
  </sheetData>
  <sheetProtection algorithmName="SHA-512" hashValue="NXc79KCZGULWsJ5vBVYeu1NEym9p4CEqPWBImyrZCYVjwzmJC1j7xw5cNWBWc36D/BjWWmXEA6DqdbC56C7+oQ==" saltValue="T63lsg6gk6g58xxKiQyaEA==" spinCount="100000" sheet="1" objects="1" scenarios="1"/>
  <mergeCells count="2">
    <mergeCell ref="A1:I1"/>
    <mergeCell ref="A2:I3"/>
  </mergeCells>
  <phoneticPr fontId="5" type="noConversion"/>
  <conditionalFormatting sqref="D6:E49">
    <cfRule type="colorScale" priority="1">
      <colorScale>
        <cfvo type="min"/>
        <cfvo type="percentile" val="50"/>
        <cfvo type="max"/>
        <color rgb="FFF4F7FA"/>
        <color rgb="FFDBEDE7"/>
        <color rgb="FF4EAD8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03D62"/>
  </sheetPr>
  <dimension ref="A1:K111"/>
  <sheetViews>
    <sheetView showGridLines="0" workbookViewId="0">
      <pane ySplit="5" topLeftCell="A50" activePane="bottomLeft" state="frozen"/>
      <selection pane="bottomLeft" activeCell="E61" sqref="E61"/>
    </sheetView>
  </sheetViews>
  <sheetFormatPr defaultRowHeight="14.25"/>
  <cols>
    <col min="1" max="1" width="18" customWidth="1"/>
    <col min="2" max="2" width="28" customWidth="1"/>
    <col min="3" max="9" width="13" customWidth="1"/>
    <col min="10" max="10" width="55" customWidth="1"/>
    <col min="11" max="11" width="66" customWidth="1"/>
  </cols>
  <sheetData>
    <row r="1" spans="1:11" ht="38.1" customHeight="1">
      <c r="A1" s="10" t="s">
        <v>95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44.1" customHeight="1">
      <c r="A2" s="9" t="s">
        <v>96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44.1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44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44.1" customHeight="1">
      <c r="A5" s="2" t="s">
        <v>2</v>
      </c>
      <c r="B5" s="2" t="s">
        <v>97</v>
      </c>
      <c r="C5" s="2" t="s">
        <v>98</v>
      </c>
      <c r="D5" s="2" t="s">
        <v>99</v>
      </c>
      <c r="E5" s="2" t="s">
        <v>100</v>
      </c>
      <c r="F5" s="2" t="s">
        <v>101</v>
      </c>
      <c r="G5" s="2" t="s">
        <v>102</v>
      </c>
      <c r="H5" s="2" t="s">
        <v>103</v>
      </c>
      <c r="I5" s="2" t="s">
        <v>104</v>
      </c>
      <c r="J5" s="2" t="s">
        <v>105</v>
      </c>
      <c r="K5" s="2" t="s">
        <v>13</v>
      </c>
    </row>
    <row r="6" spans="1:11" ht="44.1" customHeight="1">
      <c r="A6" s="1" t="s">
        <v>14</v>
      </c>
      <c r="B6" s="1" t="s">
        <v>106</v>
      </c>
      <c r="C6" s="14">
        <v>2</v>
      </c>
      <c r="D6" s="14">
        <v>2</v>
      </c>
      <c r="E6" s="14">
        <v>3</v>
      </c>
      <c r="F6" s="14">
        <v>3</v>
      </c>
      <c r="G6" s="14">
        <v>3</v>
      </c>
      <c r="H6" s="14">
        <v>3</v>
      </c>
      <c r="I6" s="1" t="s">
        <v>107</v>
      </c>
      <c r="J6" s="1" t="s">
        <v>108</v>
      </c>
      <c r="K6" s="1"/>
    </row>
    <row r="7" spans="1:11" ht="44.1" customHeight="1">
      <c r="A7" s="1" t="s">
        <v>14</v>
      </c>
      <c r="B7" s="1" t="s">
        <v>109</v>
      </c>
      <c r="C7" s="14">
        <v>4</v>
      </c>
      <c r="D7" s="14">
        <v>4</v>
      </c>
      <c r="E7" s="14">
        <v>6</v>
      </c>
      <c r="F7" s="14">
        <v>6</v>
      </c>
      <c r="G7" s="14">
        <v>6</v>
      </c>
      <c r="H7" s="14">
        <v>6</v>
      </c>
      <c r="I7" s="1" t="s">
        <v>107</v>
      </c>
      <c r="J7" s="1" t="s">
        <v>108</v>
      </c>
      <c r="K7" s="1"/>
    </row>
    <row r="8" spans="1:11" ht="44.1" customHeight="1">
      <c r="A8" s="1" t="s">
        <v>14</v>
      </c>
      <c r="B8" s="1" t="s">
        <v>110</v>
      </c>
      <c r="C8" s="14">
        <v>8</v>
      </c>
      <c r="D8" s="14">
        <v>8</v>
      </c>
      <c r="E8" s="14">
        <v>12</v>
      </c>
      <c r="F8" s="14">
        <v>12</v>
      </c>
      <c r="G8" s="14">
        <v>12</v>
      </c>
      <c r="H8" s="14">
        <v>12</v>
      </c>
      <c r="I8" s="1" t="s">
        <v>107</v>
      </c>
      <c r="J8" s="1" t="s">
        <v>108</v>
      </c>
      <c r="K8" s="1"/>
    </row>
    <row r="9" spans="1:11" ht="44.1" customHeight="1">
      <c r="A9" s="1" t="s">
        <v>14</v>
      </c>
      <c r="B9" s="1" t="s">
        <v>111</v>
      </c>
      <c r="C9" s="14">
        <v>0.1</v>
      </c>
      <c r="D9" s="14">
        <v>0.1</v>
      </c>
      <c r="E9" s="14">
        <v>0.3</v>
      </c>
      <c r="F9" s="14">
        <v>0.3</v>
      </c>
      <c r="G9" s="14">
        <v>0.3</v>
      </c>
      <c r="H9" s="14">
        <v>0.3</v>
      </c>
      <c r="I9" s="1" t="s">
        <v>112</v>
      </c>
      <c r="J9" s="1" t="s">
        <v>108</v>
      </c>
      <c r="K9" s="1" t="s">
        <v>113</v>
      </c>
    </row>
    <row r="10" spans="1:11" ht="44.1" customHeight="1">
      <c r="A10" s="1" t="s">
        <v>14</v>
      </c>
      <c r="B10" s="1" t="s">
        <v>114</v>
      </c>
      <c r="C10" s="14">
        <v>0.2</v>
      </c>
      <c r="D10" s="14">
        <v>0.2</v>
      </c>
      <c r="E10" s="14">
        <v>0.6</v>
      </c>
      <c r="F10" s="14">
        <v>0.6</v>
      </c>
      <c r="G10" s="14">
        <v>0.6</v>
      </c>
      <c r="H10" s="14">
        <v>0.6</v>
      </c>
      <c r="I10" s="1" t="s">
        <v>112</v>
      </c>
      <c r="J10" s="1" t="s">
        <v>108</v>
      </c>
      <c r="K10" s="1" t="s">
        <v>115</v>
      </c>
    </row>
    <row r="11" spans="1:11" ht="44.1" customHeight="1">
      <c r="A11" s="1" t="s">
        <v>14</v>
      </c>
      <c r="B11" s="1" t="s">
        <v>116</v>
      </c>
      <c r="C11" s="14">
        <v>0.6</v>
      </c>
      <c r="D11" s="14">
        <v>0.6</v>
      </c>
      <c r="E11" s="14">
        <v>0.6</v>
      </c>
      <c r="F11" s="14">
        <v>0.6</v>
      </c>
      <c r="G11" s="14">
        <v>1</v>
      </c>
      <c r="H11" s="14">
        <v>1</v>
      </c>
      <c r="I11" s="1" t="s">
        <v>107</v>
      </c>
      <c r="J11" s="1" t="s">
        <v>108</v>
      </c>
      <c r="K11" s="1"/>
    </row>
    <row r="12" spans="1:11" ht="44.1" customHeight="1">
      <c r="A12" s="1" t="s">
        <v>14</v>
      </c>
      <c r="B12" s="1" t="s">
        <v>117</v>
      </c>
      <c r="C12" s="14">
        <v>1.2</v>
      </c>
      <c r="D12" s="14">
        <v>1.2</v>
      </c>
      <c r="E12" s="14">
        <v>1.2</v>
      </c>
      <c r="F12" s="14">
        <v>1.2</v>
      </c>
      <c r="G12" s="14">
        <v>2</v>
      </c>
      <c r="H12" s="14">
        <v>2</v>
      </c>
      <c r="I12" s="1" t="s">
        <v>107</v>
      </c>
      <c r="J12" s="1" t="s">
        <v>108</v>
      </c>
      <c r="K12" s="1"/>
    </row>
    <row r="13" spans="1:11" ht="44.1" customHeight="1">
      <c r="A13" s="1" t="s">
        <v>14</v>
      </c>
      <c r="B13" s="1" t="s">
        <v>118</v>
      </c>
      <c r="C13" s="14">
        <v>0.06</v>
      </c>
      <c r="D13" s="14">
        <v>0.06</v>
      </c>
      <c r="E13" s="14">
        <v>0.06</v>
      </c>
      <c r="F13" s="14">
        <v>0.06</v>
      </c>
      <c r="G13" s="14">
        <v>0.1</v>
      </c>
      <c r="H13" s="14">
        <v>0.1</v>
      </c>
      <c r="I13" s="1" t="s">
        <v>107</v>
      </c>
      <c r="J13" s="1" t="s">
        <v>108</v>
      </c>
      <c r="K13" s="1"/>
    </row>
    <row r="14" spans="1:11" ht="44.1" customHeight="1">
      <c r="A14" s="1" t="s">
        <v>14</v>
      </c>
      <c r="B14" s="1" t="s">
        <v>119</v>
      </c>
      <c r="C14" s="16">
        <v>3</v>
      </c>
      <c r="D14" s="16">
        <v>3</v>
      </c>
      <c r="E14" s="16">
        <v>5</v>
      </c>
      <c r="F14" s="16">
        <v>5</v>
      </c>
      <c r="G14" s="16">
        <v>5</v>
      </c>
      <c r="H14" s="16">
        <v>5</v>
      </c>
      <c r="I14" s="1" t="s">
        <v>120</v>
      </c>
      <c r="J14" s="1" t="s">
        <v>108</v>
      </c>
      <c r="K14" s="1"/>
    </row>
    <row r="15" spans="1:11" ht="44.1" customHeight="1">
      <c r="A15" s="1" t="s">
        <v>14</v>
      </c>
      <c r="B15" s="1" t="s">
        <v>121</v>
      </c>
      <c r="C15" s="16">
        <v>1</v>
      </c>
      <c r="D15" s="16">
        <v>1</v>
      </c>
      <c r="E15" s="16">
        <v>2</v>
      </c>
      <c r="F15" s="16">
        <v>2</v>
      </c>
      <c r="G15" s="16">
        <v>2</v>
      </c>
      <c r="H15" s="16">
        <v>2</v>
      </c>
      <c r="I15" s="1" t="s">
        <v>120</v>
      </c>
      <c r="J15" s="1" t="s">
        <v>108</v>
      </c>
      <c r="K15" s="1"/>
    </row>
    <row r="16" spans="1:11" ht="44.1" customHeight="1">
      <c r="A16" s="1" t="s">
        <v>14</v>
      </c>
      <c r="B16" s="1" t="s">
        <v>122</v>
      </c>
      <c r="C16" s="14">
        <v>2.5000000000000001E-2</v>
      </c>
      <c r="D16" s="14">
        <v>2.5000000000000001E-2</v>
      </c>
      <c r="E16" s="14">
        <v>2.5000000000000001E-2</v>
      </c>
      <c r="F16" s="14">
        <v>2.5000000000000001E-2</v>
      </c>
      <c r="G16" s="14">
        <v>0.05</v>
      </c>
      <c r="H16" s="14">
        <v>0.05</v>
      </c>
      <c r="I16" s="1" t="s">
        <v>107</v>
      </c>
      <c r="J16" s="1" t="s">
        <v>108</v>
      </c>
      <c r="K16" s="1"/>
    </row>
    <row r="17" spans="1:11" ht="44.1" customHeight="1">
      <c r="A17" s="1" t="s">
        <v>14</v>
      </c>
      <c r="B17" s="1" t="s">
        <v>123</v>
      </c>
      <c r="C17" s="14">
        <v>18</v>
      </c>
      <c r="D17" s="14">
        <v>18</v>
      </c>
      <c r="E17" s="14">
        <v>18</v>
      </c>
      <c r="F17" s="14">
        <v>36</v>
      </c>
      <c r="G17" s="14">
        <v>36</v>
      </c>
      <c r="H17" s="14">
        <v>36</v>
      </c>
      <c r="I17" s="1" t="s">
        <v>107</v>
      </c>
      <c r="J17" s="1" t="s">
        <v>108</v>
      </c>
      <c r="K17" s="1" t="s">
        <v>124</v>
      </c>
    </row>
    <row r="18" spans="1:11" ht="44.1" customHeight="1">
      <c r="A18" s="1" t="s">
        <v>14</v>
      </c>
      <c r="B18" s="1" t="s">
        <v>125</v>
      </c>
      <c r="C18" s="14">
        <v>18</v>
      </c>
      <c r="D18" s="14">
        <v>18</v>
      </c>
      <c r="E18" s="14">
        <v>18</v>
      </c>
      <c r="F18" s="14">
        <v>36</v>
      </c>
      <c r="G18" s="14">
        <v>36</v>
      </c>
      <c r="H18" s="14">
        <v>36</v>
      </c>
      <c r="I18" s="1" t="s">
        <v>107</v>
      </c>
      <c r="J18" s="1" t="s">
        <v>108</v>
      </c>
      <c r="K18" s="1"/>
    </row>
    <row r="19" spans="1:11" ht="44.1" customHeight="1">
      <c r="A19" s="1" t="s">
        <v>14</v>
      </c>
      <c r="B19" s="1" t="s">
        <v>126</v>
      </c>
      <c r="C19" s="14">
        <v>1</v>
      </c>
      <c r="D19" s="14">
        <v>1</v>
      </c>
      <c r="E19" s="14">
        <v>1</v>
      </c>
      <c r="F19" s="14">
        <v>1.8</v>
      </c>
      <c r="G19" s="14">
        <v>1.8</v>
      </c>
      <c r="H19" s="14">
        <v>1.8</v>
      </c>
      <c r="I19" s="1" t="s">
        <v>107</v>
      </c>
      <c r="J19" s="1" t="s">
        <v>108</v>
      </c>
      <c r="K19" s="1"/>
    </row>
    <row r="20" spans="1:11" ht="44.1" customHeight="1">
      <c r="A20" s="1" t="s">
        <v>14</v>
      </c>
      <c r="B20" s="1" t="s">
        <v>127</v>
      </c>
      <c r="C20" s="14">
        <v>1</v>
      </c>
      <c r="D20" s="14">
        <v>1</v>
      </c>
      <c r="E20" s="14">
        <v>1</v>
      </c>
      <c r="F20" s="14">
        <v>1.8</v>
      </c>
      <c r="G20" s="14">
        <v>1.8</v>
      </c>
      <c r="H20" s="14">
        <v>1.8</v>
      </c>
      <c r="I20" s="1" t="s">
        <v>107</v>
      </c>
      <c r="J20" s="1" t="s">
        <v>108</v>
      </c>
      <c r="K20" s="1"/>
    </row>
    <row r="21" spans="1:11" ht="44.1" customHeight="1">
      <c r="A21" s="1" t="s">
        <v>14</v>
      </c>
      <c r="B21" s="1" t="s">
        <v>128</v>
      </c>
      <c r="C21" s="14">
        <v>0.2</v>
      </c>
      <c r="D21" s="14">
        <v>0.2</v>
      </c>
      <c r="E21" s="14">
        <v>0.2</v>
      </c>
      <c r="F21" s="14">
        <v>0.5</v>
      </c>
      <c r="G21" s="14">
        <v>0.5</v>
      </c>
      <c r="H21" s="14">
        <v>0.5</v>
      </c>
      <c r="I21" s="1" t="s">
        <v>107</v>
      </c>
      <c r="J21" s="1" t="s">
        <v>108</v>
      </c>
      <c r="K21" s="1"/>
    </row>
    <row r="22" spans="1:11" ht="44.1" customHeight="1">
      <c r="A22" s="1" t="s">
        <v>14</v>
      </c>
      <c r="B22" s="1" t="s">
        <v>129</v>
      </c>
      <c r="C22" s="14">
        <v>9</v>
      </c>
      <c r="D22" s="14">
        <v>15</v>
      </c>
      <c r="E22" s="14">
        <v>15</v>
      </c>
      <c r="F22" s="14">
        <v>15</v>
      </c>
      <c r="G22" s="14">
        <v>15</v>
      </c>
      <c r="H22" s="14">
        <v>22</v>
      </c>
      <c r="I22" s="1" t="s">
        <v>107</v>
      </c>
      <c r="J22" s="1" t="s">
        <v>108</v>
      </c>
      <c r="K22" s="1" t="s">
        <v>130</v>
      </c>
    </row>
    <row r="23" spans="1:11" ht="44.1" customHeight="1">
      <c r="A23" s="1" t="s">
        <v>14</v>
      </c>
      <c r="B23" s="1" t="s">
        <v>131</v>
      </c>
      <c r="C23" s="14">
        <v>20</v>
      </c>
      <c r="D23" s="14">
        <v>32</v>
      </c>
      <c r="E23" s="14">
        <v>32</v>
      </c>
      <c r="F23" s="14">
        <v>32</v>
      </c>
      <c r="G23" s="14">
        <v>32</v>
      </c>
      <c r="H23" s="14">
        <v>48</v>
      </c>
      <c r="I23" s="1" t="s">
        <v>107</v>
      </c>
      <c r="J23" s="1" t="s">
        <v>108</v>
      </c>
      <c r="K23" s="1"/>
    </row>
    <row r="24" spans="1:11" ht="44.1" customHeight="1">
      <c r="A24" s="1" t="s">
        <v>14</v>
      </c>
      <c r="B24" s="1" t="s">
        <v>132</v>
      </c>
      <c r="C24" s="14">
        <v>30</v>
      </c>
      <c r="D24" s="14">
        <v>50</v>
      </c>
      <c r="E24" s="14">
        <v>50</v>
      </c>
      <c r="F24" s="14">
        <v>50</v>
      </c>
      <c r="G24" s="14">
        <v>50</v>
      </c>
      <c r="H24" s="14">
        <v>70</v>
      </c>
      <c r="I24" s="1" t="s">
        <v>107</v>
      </c>
      <c r="J24" s="1" t="s">
        <v>108</v>
      </c>
      <c r="K24" s="1"/>
    </row>
    <row r="25" spans="1:11" ht="44.1" customHeight="1">
      <c r="A25" s="1" t="s">
        <v>14</v>
      </c>
      <c r="B25" s="1" t="s">
        <v>133</v>
      </c>
      <c r="C25" s="14">
        <v>1.5</v>
      </c>
      <c r="D25" s="14">
        <v>2.5</v>
      </c>
      <c r="E25" s="14">
        <v>2.5</v>
      </c>
      <c r="F25" s="14">
        <v>2.5</v>
      </c>
      <c r="G25" s="14">
        <v>2.5</v>
      </c>
      <c r="H25" s="14">
        <v>3.5</v>
      </c>
      <c r="I25" s="1" t="s">
        <v>107</v>
      </c>
      <c r="J25" s="1" t="s">
        <v>108</v>
      </c>
      <c r="K25" s="1"/>
    </row>
    <row r="26" spans="1:11" ht="44.1" customHeight="1">
      <c r="A26" s="1" t="s">
        <v>14</v>
      </c>
      <c r="B26" s="1" t="s">
        <v>134</v>
      </c>
      <c r="C26" s="14">
        <v>0.6</v>
      </c>
      <c r="D26" s="14">
        <v>0.6</v>
      </c>
      <c r="E26" s="14">
        <v>0.6</v>
      </c>
      <c r="F26" s="14">
        <v>0.6</v>
      </c>
      <c r="G26" s="14">
        <v>0.6</v>
      </c>
      <c r="H26" s="14">
        <v>0.8</v>
      </c>
      <c r="I26" s="1" t="s">
        <v>107</v>
      </c>
      <c r="J26" s="1" t="s">
        <v>108</v>
      </c>
      <c r="K26" s="1"/>
    </row>
    <row r="27" spans="1:11" ht="44.1" customHeight="1">
      <c r="A27" s="1" t="s">
        <v>14</v>
      </c>
      <c r="B27" s="1" t="s">
        <v>135</v>
      </c>
      <c r="C27" s="14">
        <v>0.8</v>
      </c>
      <c r="D27" s="14">
        <v>0.8</v>
      </c>
      <c r="E27" s="14">
        <v>0.8</v>
      </c>
      <c r="F27" s="14">
        <v>0.8</v>
      </c>
      <c r="G27" s="14">
        <v>0.8</v>
      </c>
      <c r="H27" s="14">
        <v>1</v>
      </c>
      <c r="I27" s="1" t="s">
        <v>107</v>
      </c>
      <c r="J27" s="1" t="s">
        <v>108</v>
      </c>
      <c r="K27" s="1"/>
    </row>
    <row r="28" spans="1:11" ht="44.1" customHeight="1">
      <c r="A28" s="1" t="s">
        <v>14</v>
      </c>
      <c r="B28" s="1" t="s">
        <v>136</v>
      </c>
      <c r="C28" s="14">
        <v>1</v>
      </c>
      <c r="D28" s="14">
        <v>1</v>
      </c>
      <c r="E28" s="14">
        <v>1</v>
      </c>
      <c r="F28" s="14">
        <v>1</v>
      </c>
      <c r="G28" s="14">
        <v>1</v>
      </c>
      <c r="H28" s="14">
        <v>1.25</v>
      </c>
      <c r="I28" s="1" t="s">
        <v>107</v>
      </c>
      <c r="J28" s="1" t="s">
        <v>108</v>
      </c>
      <c r="K28" s="1"/>
    </row>
    <row r="29" spans="1:11" ht="44.1" customHeight="1">
      <c r="A29" s="1" t="s">
        <v>14</v>
      </c>
      <c r="B29" s="1" t="s">
        <v>137</v>
      </c>
      <c r="C29" s="16">
        <v>1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" t="s">
        <v>138</v>
      </c>
      <c r="J29" s="1" t="s">
        <v>108</v>
      </c>
      <c r="K29" s="1" t="s">
        <v>139</v>
      </c>
    </row>
    <row r="30" spans="1:11" ht="44.1" customHeight="1">
      <c r="A30" s="1" t="s">
        <v>17</v>
      </c>
      <c r="B30" s="1" t="s">
        <v>140</v>
      </c>
      <c r="C30" s="14">
        <v>0.3</v>
      </c>
      <c r="D30" s="14">
        <v>0.6</v>
      </c>
      <c r="E30" s="14">
        <v>0.6</v>
      </c>
      <c r="F30" s="14">
        <v>0.6</v>
      </c>
      <c r="G30" s="14">
        <v>0.6</v>
      </c>
      <c r="H30" s="14">
        <v>0.6</v>
      </c>
      <c r="I30" s="1" t="s">
        <v>112</v>
      </c>
      <c r="J30" s="1" t="s">
        <v>108</v>
      </c>
      <c r="K30" s="1" t="s">
        <v>141</v>
      </c>
    </row>
    <row r="31" spans="1:11" ht="44.1" customHeight="1">
      <c r="A31" s="1" t="s">
        <v>17</v>
      </c>
      <c r="B31" s="1" t="s">
        <v>142</v>
      </c>
      <c r="C31" s="14">
        <v>0.2</v>
      </c>
      <c r="D31" s="14">
        <v>0.2</v>
      </c>
      <c r="E31" s="14">
        <v>0.2</v>
      </c>
      <c r="F31" s="14">
        <v>0.24</v>
      </c>
      <c r="G31" s="14">
        <v>0.24</v>
      </c>
      <c r="H31" s="14">
        <v>0.24</v>
      </c>
      <c r="I31" s="1" t="s">
        <v>107</v>
      </c>
      <c r="J31" s="1" t="s">
        <v>108</v>
      </c>
      <c r="K31" s="1"/>
    </row>
    <row r="32" spans="1:11" ht="44.1" customHeight="1">
      <c r="A32" s="1" t="s">
        <v>17</v>
      </c>
      <c r="B32" s="1" t="s">
        <v>143</v>
      </c>
      <c r="C32" s="16">
        <v>500</v>
      </c>
      <c r="D32" s="16">
        <v>500</v>
      </c>
      <c r="E32" s="16">
        <v>500</v>
      </c>
      <c r="F32" s="16">
        <v>600</v>
      </c>
      <c r="G32" s="16">
        <v>600</v>
      </c>
      <c r="H32" s="16">
        <v>600</v>
      </c>
      <c r="I32" s="1" t="s">
        <v>144</v>
      </c>
      <c r="J32" s="1" t="s">
        <v>108</v>
      </c>
      <c r="K32" s="1"/>
    </row>
    <row r="33" spans="1:11" ht="44.1" customHeight="1">
      <c r="A33" s="1" t="s">
        <v>17</v>
      </c>
      <c r="B33" s="1" t="s">
        <v>145</v>
      </c>
      <c r="C33" s="14">
        <v>0.4</v>
      </c>
      <c r="D33" s="14">
        <v>0.4</v>
      </c>
      <c r="E33" s="14">
        <v>0.7</v>
      </c>
      <c r="F33" s="14">
        <v>0.7</v>
      </c>
      <c r="G33" s="14">
        <v>0.7</v>
      </c>
      <c r="H33" s="14">
        <v>1</v>
      </c>
      <c r="I33" s="1" t="s">
        <v>107</v>
      </c>
      <c r="J33" s="1" t="s">
        <v>108</v>
      </c>
      <c r="K33" s="1"/>
    </row>
    <row r="34" spans="1:11" ht="44.1" customHeight="1">
      <c r="A34" s="1" t="s">
        <v>17</v>
      </c>
      <c r="B34" s="1" t="s">
        <v>146</v>
      </c>
      <c r="C34" s="14">
        <v>0.4</v>
      </c>
      <c r="D34" s="14">
        <v>0.4</v>
      </c>
      <c r="E34" s="14">
        <v>0.6</v>
      </c>
      <c r="F34" s="14">
        <v>0.6</v>
      </c>
      <c r="G34" s="14">
        <v>0.6</v>
      </c>
      <c r="H34" s="14">
        <v>0.8</v>
      </c>
      <c r="I34" s="1" t="s">
        <v>107</v>
      </c>
      <c r="J34" s="1" t="s">
        <v>108</v>
      </c>
      <c r="K34" s="1"/>
    </row>
    <row r="35" spans="1:11" ht="44.1" customHeight="1">
      <c r="A35" s="1" t="s">
        <v>17</v>
      </c>
      <c r="B35" s="1" t="s">
        <v>147</v>
      </c>
      <c r="C35" s="14">
        <v>2.8</v>
      </c>
      <c r="D35" s="14">
        <v>2.8</v>
      </c>
      <c r="E35" s="14">
        <v>2.8</v>
      </c>
      <c r="F35" s="14">
        <v>3</v>
      </c>
      <c r="G35" s="14">
        <v>3</v>
      </c>
      <c r="H35" s="14">
        <v>3</v>
      </c>
      <c r="I35" s="1" t="s">
        <v>107</v>
      </c>
      <c r="J35" s="1" t="s">
        <v>108</v>
      </c>
      <c r="K35" s="1" t="s">
        <v>148</v>
      </c>
    </row>
    <row r="36" spans="1:11" ht="44.1" customHeight="1">
      <c r="A36" s="1" t="s">
        <v>17</v>
      </c>
      <c r="B36" s="1" t="s">
        <v>149</v>
      </c>
      <c r="C36" s="14">
        <v>1.4</v>
      </c>
      <c r="D36" s="14">
        <v>1.4</v>
      </c>
      <c r="E36" s="14">
        <v>1.4</v>
      </c>
      <c r="F36" s="14">
        <v>1.6</v>
      </c>
      <c r="G36" s="14">
        <v>1.6</v>
      </c>
      <c r="H36" s="14">
        <v>1.6</v>
      </c>
      <c r="I36" s="1" t="s">
        <v>107</v>
      </c>
      <c r="J36" s="1" t="s">
        <v>108</v>
      </c>
      <c r="K36" s="1"/>
    </row>
    <row r="37" spans="1:11" ht="44.1" customHeight="1">
      <c r="A37" s="1" t="s">
        <v>17</v>
      </c>
      <c r="B37" s="1" t="s">
        <v>150</v>
      </c>
      <c r="C37" s="14">
        <v>0.8</v>
      </c>
      <c r="D37" s="14">
        <v>0.8</v>
      </c>
      <c r="E37" s="14">
        <v>0.8</v>
      </c>
      <c r="F37" s="14">
        <v>1</v>
      </c>
      <c r="G37" s="14">
        <v>1</v>
      </c>
      <c r="H37" s="14">
        <v>1</v>
      </c>
      <c r="I37" s="1" t="s">
        <v>107</v>
      </c>
      <c r="J37" s="1" t="s">
        <v>108</v>
      </c>
      <c r="K37" s="1"/>
    </row>
    <row r="38" spans="1:11" ht="44.1" customHeight="1">
      <c r="A38" s="1" t="s">
        <v>17</v>
      </c>
      <c r="B38" s="1" t="s">
        <v>151</v>
      </c>
      <c r="C38" s="14">
        <v>3</v>
      </c>
      <c r="D38" s="14">
        <v>3</v>
      </c>
      <c r="E38" s="14">
        <v>4.5</v>
      </c>
      <c r="F38" s="14">
        <v>4.5</v>
      </c>
      <c r="G38" s="14">
        <v>6</v>
      </c>
      <c r="H38" s="14">
        <v>6</v>
      </c>
      <c r="I38" s="1" t="s">
        <v>107</v>
      </c>
      <c r="J38" s="1" t="s">
        <v>108</v>
      </c>
      <c r="K38" s="1"/>
    </row>
    <row r="39" spans="1:11" ht="44.1" customHeight="1">
      <c r="A39" s="1" t="s">
        <v>17</v>
      </c>
      <c r="B39" s="1" t="s">
        <v>152</v>
      </c>
      <c r="C39" s="14">
        <v>1</v>
      </c>
      <c r="D39" s="14">
        <v>1</v>
      </c>
      <c r="E39" s="14">
        <v>1.5</v>
      </c>
      <c r="F39" s="14">
        <v>1.5</v>
      </c>
      <c r="G39" s="14">
        <v>2</v>
      </c>
      <c r="H39" s="14">
        <v>2</v>
      </c>
      <c r="I39" s="1" t="s">
        <v>107</v>
      </c>
      <c r="J39" s="1" t="s">
        <v>108</v>
      </c>
      <c r="K39" s="1"/>
    </row>
    <row r="40" spans="1:11" ht="44.1" customHeight="1">
      <c r="A40" s="1" t="s">
        <v>17</v>
      </c>
      <c r="B40" s="1" t="s">
        <v>153</v>
      </c>
      <c r="C40" s="16">
        <v>2</v>
      </c>
      <c r="D40" s="16">
        <v>2</v>
      </c>
      <c r="E40" s="16">
        <v>2</v>
      </c>
      <c r="F40" s="16">
        <v>3</v>
      </c>
      <c r="G40" s="16">
        <v>3</v>
      </c>
      <c r="H40" s="16">
        <v>3</v>
      </c>
      <c r="I40" s="1" t="s">
        <v>120</v>
      </c>
      <c r="J40" s="1" t="s">
        <v>108</v>
      </c>
      <c r="K40" s="1"/>
    </row>
    <row r="41" spans="1:11" ht="44.1" customHeight="1">
      <c r="A41" s="1" t="s">
        <v>17</v>
      </c>
      <c r="B41" s="1" t="s">
        <v>154</v>
      </c>
      <c r="C41" s="14">
        <v>1</v>
      </c>
      <c r="D41" s="14">
        <v>1</v>
      </c>
      <c r="E41" s="14">
        <v>1</v>
      </c>
      <c r="F41" s="14">
        <v>1</v>
      </c>
      <c r="G41" s="14">
        <v>2</v>
      </c>
      <c r="H41" s="14">
        <v>2</v>
      </c>
      <c r="I41" s="1" t="s">
        <v>107</v>
      </c>
      <c r="J41" s="1" t="s">
        <v>108</v>
      </c>
      <c r="K41" s="1"/>
    </row>
    <row r="42" spans="1:11" ht="44.1" customHeight="1">
      <c r="A42" s="1" t="s">
        <v>17</v>
      </c>
      <c r="B42" s="1" t="s">
        <v>155</v>
      </c>
      <c r="C42" s="14">
        <v>8</v>
      </c>
      <c r="D42" s="14">
        <v>8</v>
      </c>
      <c r="E42" s="14">
        <v>9</v>
      </c>
      <c r="F42" s="14">
        <v>9</v>
      </c>
      <c r="G42" s="14">
        <v>9</v>
      </c>
      <c r="H42" s="14">
        <v>10</v>
      </c>
      <c r="I42" s="1" t="s">
        <v>107</v>
      </c>
      <c r="J42" s="1" t="s">
        <v>108</v>
      </c>
      <c r="K42" s="1"/>
    </row>
    <row r="43" spans="1:11" ht="44.1" customHeight="1">
      <c r="A43" s="1" t="s">
        <v>20</v>
      </c>
      <c r="B43" s="1" t="s">
        <v>156</v>
      </c>
      <c r="C43" s="14">
        <v>0.3</v>
      </c>
      <c r="D43" s="14">
        <v>0.45</v>
      </c>
      <c r="E43" s="14">
        <v>0.45</v>
      </c>
      <c r="F43" s="14">
        <v>0.45</v>
      </c>
      <c r="G43" s="14">
        <v>0.45</v>
      </c>
      <c r="H43" s="14">
        <v>0.45</v>
      </c>
      <c r="I43" s="1" t="s">
        <v>107</v>
      </c>
      <c r="J43" s="1" t="s">
        <v>108</v>
      </c>
      <c r="K43" s="1"/>
    </row>
    <row r="44" spans="1:11" ht="44.1" customHeight="1">
      <c r="A44" s="1" t="s">
        <v>20</v>
      </c>
      <c r="B44" s="1" t="s">
        <v>157</v>
      </c>
      <c r="C44" s="14">
        <v>0.04</v>
      </c>
      <c r="D44" s="14">
        <v>0.04</v>
      </c>
      <c r="E44" s="14">
        <v>0.05</v>
      </c>
      <c r="F44" s="14">
        <v>0.05</v>
      </c>
      <c r="G44" s="14">
        <v>0.05</v>
      </c>
      <c r="H44" s="14">
        <v>0.05</v>
      </c>
      <c r="I44" s="1" t="s">
        <v>107</v>
      </c>
      <c r="J44" s="1" t="s">
        <v>108</v>
      </c>
      <c r="K44" s="1"/>
    </row>
    <row r="45" spans="1:11" ht="44.1" customHeight="1">
      <c r="A45" s="1" t="s">
        <v>20</v>
      </c>
      <c r="B45" s="1" t="s">
        <v>158</v>
      </c>
      <c r="C45" s="16">
        <v>5</v>
      </c>
      <c r="D45" s="16">
        <v>5</v>
      </c>
      <c r="E45" s="16">
        <v>7</v>
      </c>
      <c r="F45" s="16">
        <v>7</v>
      </c>
      <c r="G45" s="16">
        <v>7</v>
      </c>
      <c r="H45" s="16">
        <v>10</v>
      </c>
      <c r="I45" s="1" t="s">
        <v>120</v>
      </c>
      <c r="J45" s="1" t="s">
        <v>108</v>
      </c>
      <c r="K45" s="1"/>
    </row>
    <row r="46" spans="1:11" ht="44.1" customHeight="1">
      <c r="A46" s="1" t="s">
        <v>20</v>
      </c>
      <c r="B46" s="1" t="s">
        <v>159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2</v>
      </c>
      <c r="I46" s="1" t="s">
        <v>120</v>
      </c>
      <c r="J46" s="1" t="s">
        <v>108</v>
      </c>
      <c r="K46" s="1"/>
    </row>
    <row r="47" spans="1:11" ht="44.1" customHeight="1">
      <c r="A47" s="1" t="s">
        <v>20</v>
      </c>
      <c r="B47" s="1" t="s">
        <v>160</v>
      </c>
      <c r="C47" s="16">
        <v>2</v>
      </c>
      <c r="D47" s="16">
        <v>2</v>
      </c>
      <c r="E47" s="16">
        <v>3</v>
      </c>
      <c r="F47" s="16">
        <v>3</v>
      </c>
      <c r="G47" s="16">
        <v>3</v>
      </c>
      <c r="H47" s="16">
        <v>4</v>
      </c>
      <c r="I47" s="1" t="s">
        <v>120</v>
      </c>
      <c r="J47" s="1" t="s">
        <v>108</v>
      </c>
      <c r="K47" s="1"/>
    </row>
    <row r="48" spans="1:11" ht="44.1" customHeight="1">
      <c r="A48" s="1" t="s">
        <v>20</v>
      </c>
      <c r="B48" s="1" t="s">
        <v>161</v>
      </c>
      <c r="C48" s="14">
        <v>0.08</v>
      </c>
      <c r="D48" s="14">
        <v>0.08</v>
      </c>
      <c r="E48" s="14">
        <v>0.08</v>
      </c>
      <c r="F48" s="14">
        <v>0.08</v>
      </c>
      <c r="G48" s="14">
        <v>0.1</v>
      </c>
      <c r="H48" s="14">
        <v>0.1</v>
      </c>
      <c r="I48" s="1" t="s">
        <v>107</v>
      </c>
      <c r="J48" s="1" t="s">
        <v>108</v>
      </c>
      <c r="K48" s="1"/>
    </row>
    <row r="49" spans="1:11" ht="44.1" customHeight="1">
      <c r="A49" s="1" t="s">
        <v>20</v>
      </c>
      <c r="B49" s="1" t="s">
        <v>162</v>
      </c>
      <c r="C49" s="16">
        <v>250</v>
      </c>
      <c r="D49" s="16">
        <v>250</v>
      </c>
      <c r="E49" s="16">
        <v>250</v>
      </c>
      <c r="F49" s="16">
        <v>250</v>
      </c>
      <c r="G49" s="16">
        <v>310</v>
      </c>
      <c r="H49" s="16">
        <v>310</v>
      </c>
      <c r="I49" s="1" t="s">
        <v>144</v>
      </c>
      <c r="J49" s="1" t="s">
        <v>108</v>
      </c>
      <c r="K49" s="1"/>
    </row>
    <row r="50" spans="1:11" ht="44.1" customHeight="1">
      <c r="A50" s="1" t="s">
        <v>20</v>
      </c>
      <c r="B50" s="1" t="s">
        <v>163</v>
      </c>
      <c r="C50" s="14">
        <v>0.15</v>
      </c>
      <c r="D50" s="14">
        <v>0.15</v>
      </c>
      <c r="E50" s="14">
        <v>0.15</v>
      </c>
      <c r="F50" s="14">
        <v>0.2</v>
      </c>
      <c r="G50" s="14">
        <v>0.2</v>
      </c>
      <c r="H50" s="14">
        <v>0.2</v>
      </c>
      <c r="I50" s="1" t="s">
        <v>107</v>
      </c>
      <c r="J50" s="1" t="s">
        <v>108</v>
      </c>
      <c r="K50" s="1"/>
    </row>
    <row r="51" spans="1:11" ht="44.1" customHeight="1">
      <c r="A51" s="1" t="s">
        <v>20</v>
      </c>
      <c r="B51" s="1" t="s">
        <v>164</v>
      </c>
      <c r="C51" s="14">
        <v>0.15</v>
      </c>
      <c r="D51" s="14">
        <v>0.15</v>
      </c>
      <c r="E51" s="14">
        <v>0.15</v>
      </c>
      <c r="F51" s="14">
        <v>0.21</v>
      </c>
      <c r="G51" s="14">
        <v>0.21</v>
      </c>
      <c r="H51" s="14">
        <v>0.21</v>
      </c>
      <c r="I51" s="1" t="s">
        <v>107</v>
      </c>
      <c r="J51" s="1" t="s">
        <v>108</v>
      </c>
      <c r="K51" s="1"/>
    </row>
    <row r="52" spans="1:11" ht="44.1" customHeight="1">
      <c r="A52" s="1" t="s">
        <v>20</v>
      </c>
      <c r="B52" s="1" t="s">
        <v>165</v>
      </c>
      <c r="C52" s="14">
        <v>0.15</v>
      </c>
      <c r="D52" s="14">
        <v>0.15</v>
      </c>
      <c r="E52" s="14">
        <v>0.15</v>
      </c>
      <c r="F52" s="14">
        <v>0.2</v>
      </c>
      <c r="G52" s="14">
        <v>0.2</v>
      </c>
      <c r="H52" s="14">
        <v>0.2</v>
      </c>
      <c r="I52" s="1" t="s">
        <v>107</v>
      </c>
      <c r="J52" s="1" t="s">
        <v>108</v>
      </c>
      <c r="K52" s="1"/>
    </row>
    <row r="53" spans="1:11" ht="44.1" customHeight="1">
      <c r="A53" s="1" t="s">
        <v>20</v>
      </c>
      <c r="B53" s="1" t="s">
        <v>166</v>
      </c>
      <c r="C53" s="14">
        <v>0.15</v>
      </c>
      <c r="D53" s="14">
        <v>0.15</v>
      </c>
      <c r="E53" s="14">
        <v>0.15</v>
      </c>
      <c r="F53" s="14">
        <v>0.21</v>
      </c>
      <c r="G53" s="14">
        <v>0.21</v>
      </c>
      <c r="H53" s="14">
        <v>0.21</v>
      </c>
      <c r="I53" s="1" t="s">
        <v>107</v>
      </c>
      <c r="J53" s="1" t="s">
        <v>108</v>
      </c>
      <c r="K53" s="1"/>
    </row>
    <row r="54" spans="1:11" ht="44.1" customHeight="1">
      <c r="A54" s="1" t="s">
        <v>20</v>
      </c>
      <c r="B54" s="1" t="s">
        <v>167</v>
      </c>
      <c r="C54" s="14">
        <v>15</v>
      </c>
      <c r="D54" s="14">
        <v>15</v>
      </c>
      <c r="E54" s="14">
        <v>30</v>
      </c>
      <c r="F54" s="14">
        <v>30</v>
      </c>
      <c r="G54" s="14">
        <v>30</v>
      </c>
      <c r="H54" s="14">
        <v>50</v>
      </c>
      <c r="I54" s="1" t="s">
        <v>107</v>
      </c>
      <c r="J54" s="1" t="s">
        <v>108</v>
      </c>
      <c r="K54" s="1"/>
    </row>
    <row r="55" spans="1:11" ht="44.1" customHeight="1">
      <c r="A55" s="1" t="s">
        <v>20</v>
      </c>
      <c r="B55" s="1" t="s">
        <v>168</v>
      </c>
      <c r="C55" s="14">
        <v>1.5</v>
      </c>
      <c r="D55" s="14">
        <v>1.5</v>
      </c>
      <c r="E55" s="14">
        <v>3</v>
      </c>
      <c r="F55" s="14">
        <v>3</v>
      </c>
      <c r="G55" s="14">
        <v>3</v>
      </c>
      <c r="H55" s="14">
        <v>5</v>
      </c>
      <c r="I55" s="1" t="s">
        <v>107</v>
      </c>
      <c r="J55" s="1" t="s">
        <v>108</v>
      </c>
      <c r="K55" s="1"/>
    </row>
    <row r="56" spans="1:11" ht="44.1" customHeight="1">
      <c r="A56" s="1" t="s">
        <v>23</v>
      </c>
      <c r="B56" s="1" t="s">
        <v>169</v>
      </c>
      <c r="C56" s="16">
        <v>35</v>
      </c>
      <c r="D56" s="16">
        <v>35</v>
      </c>
      <c r="E56" s="16">
        <v>35</v>
      </c>
      <c r="F56" s="16">
        <v>45</v>
      </c>
      <c r="G56" s="16">
        <v>45</v>
      </c>
      <c r="H56" s="16">
        <v>45</v>
      </c>
      <c r="I56" s="1" t="s">
        <v>120</v>
      </c>
      <c r="J56" s="1" t="s">
        <v>108</v>
      </c>
      <c r="K56" s="1"/>
    </row>
    <row r="57" spans="1:11" ht="44.1" customHeight="1">
      <c r="A57" s="1" t="s">
        <v>23</v>
      </c>
      <c r="B57" s="1" t="s">
        <v>170</v>
      </c>
      <c r="C57" s="14">
        <v>0.01</v>
      </c>
      <c r="D57" s="14">
        <v>0.01</v>
      </c>
      <c r="E57" s="14">
        <v>0.02</v>
      </c>
      <c r="F57" s="14">
        <v>0.02</v>
      </c>
      <c r="G57" s="14">
        <v>0.02</v>
      </c>
      <c r="H57" s="14">
        <v>0.03</v>
      </c>
      <c r="I57" s="1" t="s">
        <v>112</v>
      </c>
      <c r="J57" s="1" t="s">
        <v>108</v>
      </c>
      <c r="K57" s="1" t="s">
        <v>171</v>
      </c>
    </row>
    <row r="58" spans="1:11" ht="44.1" customHeight="1">
      <c r="A58" s="1" t="s">
        <v>23</v>
      </c>
      <c r="B58" s="1" t="s">
        <v>172</v>
      </c>
      <c r="C58" s="14">
        <v>7</v>
      </c>
      <c r="D58" s="14">
        <v>7</v>
      </c>
      <c r="E58" s="14">
        <v>7</v>
      </c>
      <c r="F58" s="14">
        <v>7</v>
      </c>
      <c r="G58" s="14">
        <v>9</v>
      </c>
      <c r="H58" s="14">
        <v>9</v>
      </c>
      <c r="I58" s="1" t="s">
        <v>107</v>
      </c>
      <c r="J58" s="1" t="s">
        <v>108</v>
      </c>
      <c r="K58" s="1"/>
    </row>
    <row r="59" spans="1:11" ht="44.1" customHeight="1">
      <c r="A59" s="1" t="s">
        <v>23</v>
      </c>
      <c r="B59" s="1" t="s">
        <v>173</v>
      </c>
      <c r="C59" s="14">
        <v>0.5</v>
      </c>
      <c r="D59" s="14">
        <v>0.5</v>
      </c>
      <c r="E59" s="14">
        <v>0.5</v>
      </c>
      <c r="F59" s="14">
        <v>0.5</v>
      </c>
      <c r="G59" s="14">
        <v>0.75</v>
      </c>
      <c r="H59" s="14">
        <v>0.75</v>
      </c>
      <c r="I59" s="1" t="s">
        <v>107</v>
      </c>
      <c r="J59" s="1" t="s">
        <v>108</v>
      </c>
      <c r="K59" s="1" t="s">
        <v>174</v>
      </c>
    </row>
    <row r="60" spans="1:11" ht="44.1" customHeight="1">
      <c r="A60" s="1" t="s">
        <v>23</v>
      </c>
      <c r="B60" s="1" t="s">
        <v>175</v>
      </c>
      <c r="C60" s="14">
        <v>3</v>
      </c>
      <c r="D60" s="14">
        <v>4</v>
      </c>
      <c r="E60" s="14">
        <v>4</v>
      </c>
      <c r="F60" s="14">
        <v>4</v>
      </c>
      <c r="G60" s="14">
        <v>4</v>
      </c>
      <c r="H60" s="14">
        <v>4</v>
      </c>
      <c r="I60" s="1" t="s">
        <v>107</v>
      </c>
      <c r="J60" s="1" t="s">
        <v>108</v>
      </c>
      <c r="K60" s="1" t="s">
        <v>176</v>
      </c>
    </row>
    <row r="61" spans="1:11" ht="44.1" customHeight="1">
      <c r="A61" s="1" t="s">
        <v>23</v>
      </c>
      <c r="B61" s="1" t="s">
        <v>177</v>
      </c>
      <c r="C61" s="14">
        <v>0.05</v>
      </c>
      <c r="D61" s="14">
        <v>7.4999999999999997E-2</v>
      </c>
      <c r="E61" s="14">
        <v>7.4999999999999997E-2</v>
      </c>
      <c r="F61" s="14">
        <v>7.4999999999999997E-2</v>
      </c>
      <c r="G61" s="14">
        <v>7.4999999999999997E-2</v>
      </c>
      <c r="H61" s="14">
        <v>7.4999999999999997E-2</v>
      </c>
      <c r="I61" s="1" t="s">
        <v>107</v>
      </c>
      <c r="J61" s="1" t="s">
        <v>108</v>
      </c>
      <c r="K61" s="1" t="s">
        <v>178</v>
      </c>
    </row>
    <row r="62" spans="1:11" ht="44.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44.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44.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44.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44.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44.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44.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44.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44.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44.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44.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44.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44.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44.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44.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44.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44.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44.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44.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44.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44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44.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44.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44.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44.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44.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44.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44.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44.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44.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44.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44.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44.1" customHeight="1">
      <c r="A94" s="11" t="s">
        <v>179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spans="1:11" ht="44.1" customHeight="1">
      <c r="A95" s="2" t="s">
        <v>180</v>
      </c>
      <c r="B95" s="2" t="s">
        <v>97</v>
      </c>
      <c r="C95" s="2" t="s">
        <v>181</v>
      </c>
      <c r="D95" s="2" t="s">
        <v>182</v>
      </c>
      <c r="E95" s="2" t="s">
        <v>183</v>
      </c>
      <c r="F95" s="2" t="s">
        <v>184</v>
      </c>
      <c r="G95" s="2" t="s">
        <v>185</v>
      </c>
      <c r="H95" s="2"/>
      <c r="I95" s="2" t="s">
        <v>104</v>
      </c>
      <c r="J95" s="2" t="s">
        <v>105</v>
      </c>
      <c r="K95" s="2" t="s">
        <v>13</v>
      </c>
    </row>
    <row r="96" spans="1:11" ht="44.1" customHeight="1">
      <c r="A96" s="1" t="s">
        <v>15</v>
      </c>
      <c r="B96" s="1" t="s">
        <v>186</v>
      </c>
      <c r="C96" s="5">
        <v>0.08</v>
      </c>
      <c r="D96" s="5">
        <v>0.12</v>
      </c>
      <c r="E96" s="5">
        <v>0.12</v>
      </c>
      <c r="F96" s="5">
        <v>0.16</v>
      </c>
      <c r="G96" s="5">
        <v>0.16</v>
      </c>
      <c r="H96" s="1"/>
      <c r="I96" s="1" t="s">
        <v>112</v>
      </c>
      <c r="J96" s="1" t="s">
        <v>187</v>
      </c>
      <c r="K96" s="1" t="s">
        <v>188</v>
      </c>
    </row>
    <row r="97" spans="1:11" ht="44.1" customHeight="1">
      <c r="A97" s="1" t="s">
        <v>15</v>
      </c>
      <c r="B97" s="1" t="s">
        <v>189</v>
      </c>
      <c r="C97" s="5">
        <v>0.03</v>
      </c>
      <c r="D97" s="5">
        <v>0.03</v>
      </c>
      <c r="E97" s="5">
        <v>4.4999999999999998E-2</v>
      </c>
      <c r="F97" s="5">
        <v>4.4999999999999998E-2</v>
      </c>
      <c r="G97" s="5">
        <v>0.06</v>
      </c>
      <c r="H97" s="1"/>
      <c r="I97" s="1" t="s">
        <v>112</v>
      </c>
      <c r="J97" s="1" t="s">
        <v>187</v>
      </c>
      <c r="K97" s="1" t="s">
        <v>190</v>
      </c>
    </row>
    <row r="98" spans="1:11" ht="44.1" customHeight="1">
      <c r="A98" s="1" t="s">
        <v>18</v>
      </c>
      <c r="B98" s="1" t="s">
        <v>191</v>
      </c>
      <c r="C98" s="5">
        <v>0.04</v>
      </c>
      <c r="D98" s="5">
        <v>0.05</v>
      </c>
      <c r="E98" s="5">
        <v>0.06</v>
      </c>
      <c r="F98" s="5">
        <v>7.0000000000000007E-2</v>
      </c>
      <c r="G98" s="5">
        <v>0.08</v>
      </c>
      <c r="H98" s="1"/>
      <c r="I98" s="1" t="s">
        <v>112</v>
      </c>
      <c r="J98" s="1" t="s">
        <v>192</v>
      </c>
      <c r="K98" s="1" t="s">
        <v>193</v>
      </c>
    </row>
    <row r="99" spans="1:11" ht="44.1" customHeight="1">
      <c r="A99" s="1" t="s">
        <v>18</v>
      </c>
      <c r="B99" s="1" t="s">
        <v>194</v>
      </c>
      <c r="C99" s="6">
        <v>1</v>
      </c>
      <c r="D99" s="6">
        <v>1</v>
      </c>
      <c r="E99" s="6">
        <v>1</v>
      </c>
      <c r="F99" s="6">
        <v>1</v>
      </c>
      <c r="G99" s="6">
        <v>1</v>
      </c>
      <c r="H99" s="1"/>
      <c r="I99" s="1" t="s">
        <v>138</v>
      </c>
      <c r="J99" s="1" t="s">
        <v>195</v>
      </c>
      <c r="K99" s="1" t="s">
        <v>196</v>
      </c>
    </row>
    <row r="100" spans="1:11" ht="44.1" customHeight="1">
      <c r="A100" s="1" t="s">
        <v>21</v>
      </c>
      <c r="B100" s="1" t="s">
        <v>197</v>
      </c>
      <c r="C100" s="5">
        <v>0.04</v>
      </c>
      <c r="D100" s="5">
        <v>0.05</v>
      </c>
      <c r="E100" s="5">
        <v>0.06</v>
      </c>
      <c r="F100" s="5">
        <v>0.08</v>
      </c>
      <c r="G100" s="5">
        <v>0.1</v>
      </c>
      <c r="H100" s="1"/>
      <c r="I100" s="1" t="s">
        <v>112</v>
      </c>
      <c r="J100" s="1" t="s">
        <v>198</v>
      </c>
      <c r="K100" s="1" t="s">
        <v>199</v>
      </c>
    </row>
    <row r="101" spans="1:11" ht="44.1" customHeight="1">
      <c r="A101" s="1" t="s">
        <v>21</v>
      </c>
      <c r="B101" s="1" t="s">
        <v>200</v>
      </c>
      <c r="C101" s="5">
        <v>1.2E-2</v>
      </c>
      <c r="D101" s="5">
        <v>1.4E-2</v>
      </c>
      <c r="E101" s="5">
        <v>1.6E-2</v>
      </c>
      <c r="F101" s="5">
        <v>1.7999999999999999E-2</v>
      </c>
      <c r="G101" s="5">
        <v>0.02</v>
      </c>
      <c r="H101" s="1"/>
      <c r="I101" s="1" t="s">
        <v>112</v>
      </c>
      <c r="J101" s="1" t="s">
        <v>198</v>
      </c>
      <c r="K101" s="1" t="s">
        <v>201</v>
      </c>
    </row>
    <row r="102" spans="1:11" ht="44.1" customHeight="1">
      <c r="A102" s="1" t="s">
        <v>21</v>
      </c>
      <c r="B102" s="1" t="s">
        <v>202</v>
      </c>
      <c r="C102" s="5">
        <v>0.08</v>
      </c>
      <c r="D102" s="5">
        <v>0.1</v>
      </c>
      <c r="E102" s="5">
        <v>0.12</v>
      </c>
      <c r="F102" s="5">
        <v>0.14000000000000001</v>
      </c>
      <c r="G102" s="5">
        <v>0.16</v>
      </c>
      <c r="H102" s="1"/>
      <c r="I102" s="1" t="s">
        <v>112</v>
      </c>
      <c r="J102" s="1" t="s">
        <v>198</v>
      </c>
      <c r="K102" s="1" t="s">
        <v>203</v>
      </c>
    </row>
    <row r="103" spans="1:11" ht="44.1" customHeight="1">
      <c r="A103" s="1" t="s">
        <v>24</v>
      </c>
      <c r="B103" s="1" t="s">
        <v>204</v>
      </c>
      <c r="C103" s="5">
        <v>0.04</v>
      </c>
      <c r="D103" s="5">
        <v>0.05</v>
      </c>
      <c r="E103" s="5">
        <v>0.06</v>
      </c>
      <c r="F103" s="5">
        <v>7.0000000000000007E-2</v>
      </c>
      <c r="G103" s="5">
        <v>0.08</v>
      </c>
      <c r="H103" s="1"/>
      <c r="I103" s="1" t="s">
        <v>112</v>
      </c>
      <c r="J103" s="1" t="s">
        <v>192</v>
      </c>
      <c r="K103" s="1" t="s">
        <v>205</v>
      </c>
    </row>
    <row r="104" spans="1:11" ht="44.1" customHeight="1">
      <c r="A104" s="1" t="s">
        <v>24</v>
      </c>
      <c r="B104" s="1" t="s">
        <v>206</v>
      </c>
      <c r="C104" s="5">
        <v>4.0000000000000001E-3</v>
      </c>
      <c r="D104" s="5">
        <v>5.0000000000000001E-3</v>
      </c>
      <c r="E104" s="5">
        <v>6.0000000000000001E-3</v>
      </c>
      <c r="F104" s="5">
        <v>7.0000000000000001E-3</v>
      </c>
      <c r="G104" s="5">
        <v>8.0000000000000002E-3</v>
      </c>
      <c r="H104" s="1"/>
      <c r="I104" s="1" t="s">
        <v>112</v>
      </c>
      <c r="J104" s="1" t="s">
        <v>192</v>
      </c>
      <c r="K104" s="1" t="s">
        <v>207</v>
      </c>
    </row>
    <row r="105" spans="1:11" ht="44.1" customHeight="1">
      <c r="A105" s="1" t="s">
        <v>24</v>
      </c>
      <c r="B105" s="1" t="s">
        <v>208</v>
      </c>
      <c r="C105" s="6">
        <v>1</v>
      </c>
      <c r="D105" s="6">
        <v>1</v>
      </c>
      <c r="E105" s="6">
        <v>1</v>
      </c>
      <c r="F105" s="6">
        <v>1</v>
      </c>
      <c r="G105" s="6">
        <v>1</v>
      </c>
      <c r="H105" s="1"/>
      <c r="I105" s="1" t="s">
        <v>138</v>
      </c>
      <c r="J105" s="1" t="s">
        <v>195</v>
      </c>
      <c r="K105" s="1" t="s">
        <v>196</v>
      </c>
    </row>
    <row r="106" spans="1:11" ht="44.1" customHeight="1">
      <c r="A106" s="1" t="s">
        <v>18</v>
      </c>
      <c r="B106" s="1" t="s">
        <v>209</v>
      </c>
      <c r="C106" s="5">
        <v>0.12</v>
      </c>
      <c r="D106" s="5">
        <v>0.15</v>
      </c>
      <c r="E106" s="5">
        <v>0.18</v>
      </c>
      <c r="F106" s="5">
        <v>0.21</v>
      </c>
      <c r="G106" s="5">
        <v>0.24</v>
      </c>
      <c r="H106" s="1"/>
      <c r="I106" s="1" t="s">
        <v>112</v>
      </c>
      <c r="J106" s="1" t="s">
        <v>192</v>
      </c>
      <c r="K106" s="1" t="s">
        <v>210</v>
      </c>
    </row>
    <row r="107" spans="1:11" ht="44.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44.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44.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44.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44.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</sheetData>
  <sheetProtection algorithmName="SHA-512" hashValue="VQuR9bNF08jw8rneHiVeNM41UPNqXUzkIYRtlCc3Tg05AZKrKG3Vzlr34nVHrYhQCWrF7O1uYMtvUwCpOsZddw==" saltValue="5JvdgWm/T0plQ+u/d57zNA==" spinCount="100000" sheet="1" objects="1" scenarios="1"/>
  <mergeCells count="3">
    <mergeCell ref="A1:K1"/>
    <mergeCell ref="A2:K3"/>
    <mergeCell ref="A94:K94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03D62"/>
  </sheetPr>
  <dimension ref="A1:I43"/>
  <sheetViews>
    <sheetView showGridLines="0" workbookViewId="0">
      <pane ySplit="5" topLeftCell="A36" activePane="bottomLeft" state="frozen"/>
      <selection pane="bottomLeft" activeCell="F48" sqref="F48"/>
    </sheetView>
  </sheetViews>
  <sheetFormatPr defaultRowHeight="14.25"/>
  <cols>
    <col min="1" max="1" width="9" customWidth="1"/>
    <col min="2" max="3" width="14" customWidth="1"/>
    <col min="4" max="4" width="18" customWidth="1"/>
    <col min="5" max="5" width="30" customWidth="1"/>
    <col min="6" max="8" width="15" customWidth="1"/>
    <col min="9" max="9" width="50" customWidth="1"/>
  </cols>
  <sheetData>
    <row r="1" spans="1:9" ht="38.1" customHeight="1">
      <c r="A1" s="10" t="s">
        <v>211</v>
      </c>
      <c r="B1" s="10"/>
      <c r="C1" s="10"/>
      <c r="D1" s="10"/>
      <c r="E1" s="10"/>
      <c r="F1" s="10"/>
      <c r="G1" s="10"/>
      <c r="H1" s="10"/>
      <c r="I1" s="10"/>
    </row>
    <row r="2" spans="1:9" ht="38.1" customHeight="1">
      <c r="A2" s="9" t="s">
        <v>212</v>
      </c>
      <c r="B2" s="9"/>
      <c r="C2" s="9"/>
      <c r="D2" s="9"/>
      <c r="E2" s="9"/>
      <c r="F2" s="9"/>
      <c r="G2" s="9"/>
      <c r="H2" s="9"/>
      <c r="I2" s="9"/>
    </row>
    <row r="3" spans="1:9" ht="38.1" customHeight="1">
      <c r="A3" s="9"/>
      <c r="B3" s="9"/>
      <c r="C3" s="9"/>
      <c r="D3" s="9"/>
      <c r="E3" s="9"/>
      <c r="F3" s="9"/>
      <c r="G3" s="9"/>
      <c r="H3" s="9"/>
      <c r="I3" s="9"/>
    </row>
    <row r="4" spans="1:9" ht="38.1" customHeight="1">
      <c r="A4" s="1"/>
      <c r="B4" s="1"/>
      <c r="C4" s="1"/>
      <c r="D4" s="1"/>
      <c r="E4" s="1"/>
      <c r="F4" s="1"/>
      <c r="G4" s="1"/>
      <c r="H4" s="1"/>
      <c r="I4" s="1"/>
    </row>
    <row r="5" spans="1:9" ht="38.1" customHeight="1">
      <c r="A5" s="2" t="s">
        <v>213</v>
      </c>
      <c r="B5" s="2" t="s">
        <v>214</v>
      </c>
      <c r="C5" s="2" t="s">
        <v>215</v>
      </c>
      <c r="D5" s="2" t="s">
        <v>2</v>
      </c>
      <c r="E5" s="2" t="s">
        <v>216</v>
      </c>
      <c r="F5" s="2" t="s">
        <v>217</v>
      </c>
      <c r="G5" s="2" t="s">
        <v>218</v>
      </c>
      <c r="H5" s="2" t="s">
        <v>219</v>
      </c>
      <c r="I5" s="2" t="s">
        <v>13</v>
      </c>
    </row>
    <row r="6" spans="1:9" ht="38.1" customHeight="1">
      <c r="A6" s="1">
        <v>1</v>
      </c>
      <c r="B6" s="1" t="s">
        <v>220</v>
      </c>
      <c r="C6" s="1">
        <v>1</v>
      </c>
      <c r="D6" s="1" t="s">
        <v>20</v>
      </c>
      <c r="E6" s="1" t="s">
        <v>221</v>
      </c>
      <c r="F6" s="1">
        <v>1</v>
      </c>
      <c r="G6" s="1">
        <v>3</v>
      </c>
      <c r="H6" s="1" t="s">
        <v>222</v>
      </c>
      <c r="I6" s="1" t="s">
        <v>223</v>
      </c>
    </row>
    <row r="7" spans="1:9" ht="38.1" customHeight="1">
      <c r="A7" s="1">
        <v>2</v>
      </c>
      <c r="B7" s="1" t="s">
        <v>220</v>
      </c>
      <c r="C7" s="1">
        <v>1</v>
      </c>
      <c r="D7" s="1" t="s">
        <v>20</v>
      </c>
      <c r="E7" s="1" t="s">
        <v>224</v>
      </c>
      <c r="F7" s="1">
        <v>1</v>
      </c>
      <c r="G7" s="1">
        <v>3</v>
      </c>
      <c r="H7" s="1" t="s">
        <v>225</v>
      </c>
      <c r="I7" s="1" t="s">
        <v>223</v>
      </c>
    </row>
    <row r="8" spans="1:9" ht="38.1" customHeight="1">
      <c r="A8" s="1">
        <v>3</v>
      </c>
      <c r="B8" s="1" t="s">
        <v>220</v>
      </c>
      <c r="C8" s="1">
        <v>1</v>
      </c>
      <c r="D8" s="1" t="s">
        <v>14</v>
      </c>
      <c r="E8" s="1" t="s">
        <v>226</v>
      </c>
      <c r="F8" s="1">
        <v>1</v>
      </c>
      <c r="G8" s="1">
        <v>1</v>
      </c>
      <c r="H8" s="1" t="s">
        <v>227</v>
      </c>
      <c r="I8" s="1" t="s">
        <v>223</v>
      </c>
    </row>
    <row r="9" spans="1:9" ht="38.1" customHeight="1">
      <c r="A9" s="1">
        <v>4</v>
      </c>
      <c r="B9" s="1" t="s">
        <v>220</v>
      </c>
      <c r="C9" s="1">
        <v>1</v>
      </c>
      <c r="D9" s="1" t="s">
        <v>14</v>
      </c>
      <c r="E9" s="1" t="s">
        <v>228</v>
      </c>
      <c r="F9" s="1">
        <v>1</v>
      </c>
      <c r="G9" s="1">
        <v>1</v>
      </c>
      <c r="H9" s="1" t="s">
        <v>229</v>
      </c>
      <c r="I9" s="1" t="s">
        <v>223</v>
      </c>
    </row>
    <row r="10" spans="1:9" ht="38.1" customHeight="1">
      <c r="A10" s="1">
        <v>5</v>
      </c>
      <c r="B10" s="1" t="s">
        <v>220</v>
      </c>
      <c r="C10" s="1">
        <v>1</v>
      </c>
      <c r="D10" s="1" t="s">
        <v>17</v>
      </c>
      <c r="E10" s="1" t="s">
        <v>230</v>
      </c>
      <c r="F10" s="1">
        <v>1</v>
      </c>
      <c r="G10" s="1">
        <v>2</v>
      </c>
      <c r="H10" s="1" t="s">
        <v>231</v>
      </c>
      <c r="I10" s="1" t="s">
        <v>223</v>
      </c>
    </row>
    <row r="11" spans="1:9" ht="38.1" customHeight="1">
      <c r="A11" s="1">
        <v>6</v>
      </c>
      <c r="B11" s="1" t="s">
        <v>220</v>
      </c>
      <c r="C11" s="1">
        <v>1</v>
      </c>
      <c r="D11" s="1" t="s">
        <v>17</v>
      </c>
      <c r="E11" s="1" t="s">
        <v>232</v>
      </c>
      <c r="F11" s="1">
        <v>1</v>
      </c>
      <c r="G11" s="1">
        <v>2</v>
      </c>
      <c r="H11" s="1" t="s">
        <v>233</v>
      </c>
      <c r="I11" s="1" t="s">
        <v>234</v>
      </c>
    </row>
    <row r="12" spans="1:9" ht="38.1" customHeight="1">
      <c r="A12" s="1">
        <v>7</v>
      </c>
      <c r="B12" s="1" t="s">
        <v>220</v>
      </c>
      <c r="C12" s="1">
        <v>1</v>
      </c>
      <c r="D12" s="1" t="s">
        <v>23</v>
      </c>
      <c r="E12" s="1" t="s">
        <v>235</v>
      </c>
      <c r="F12" s="1">
        <v>1</v>
      </c>
      <c r="G12" s="1">
        <v>4</v>
      </c>
      <c r="H12" s="1" t="s">
        <v>236</v>
      </c>
      <c r="I12" s="1" t="s">
        <v>237</v>
      </c>
    </row>
    <row r="13" spans="1:9" ht="38.1" customHeight="1">
      <c r="A13" s="1">
        <v>8</v>
      </c>
      <c r="B13" s="1" t="s">
        <v>220</v>
      </c>
      <c r="C13" s="1">
        <v>2</v>
      </c>
      <c r="D13" s="1" t="s">
        <v>20</v>
      </c>
      <c r="E13" s="1" t="s">
        <v>238</v>
      </c>
      <c r="F13" s="1">
        <v>1</v>
      </c>
      <c r="G13" s="1">
        <v>3</v>
      </c>
      <c r="H13" s="1" t="s">
        <v>239</v>
      </c>
      <c r="I13" s="1" t="s">
        <v>223</v>
      </c>
    </row>
    <row r="14" spans="1:9" ht="38.1" customHeight="1">
      <c r="A14" s="1">
        <v>9</v>
      </c>
      <c r="B14" s="1" t="s">
        <v>220</v>
      </c>
      <c r="C14" s="1">
        <v>2</v>
      </c>
      <c r="D14" s="1" t="s">
        <v>14</v>
      </c>
      <c r="E14" s="1" t="s">
        <v>228</v>
      </c>
      <c r="F14" s="1">
        <v>3</v>
      </c>
      <c r="G14" s="1">
        <v>1</v>
      </c>
      <c r="H14" s="1" t="s">
        <v>229</v>
      </c>
      <c r="I14" s="1" t="s">
        <v>223</v>
      </c>
    </row>
    <row r="15" spans="1:9" ht="38.1" customHeight="1">
      <c r="A15" s="1">
        <v>10</v>
      </c>
      <c r="B15" s="1" t="s">
        <v>220</v>
      </c>
      <c r="C15" s="1">
        <v>2</v>
      </c>
      <c r="D15" s="1" t="s">
        <v>23</v>
      </c>
      <c r="E15" s="1" t="s">
        <v>235</v>
      </c>
      <c r="F15" s="1">
        <v>1</v>
      </c>
      <c r="G15" s="1">
        <v>4</v>
      </c>
      <c r="H15" s="1" t="s">
        <v>236</v>
      </c>
      <c r="I15" s="1" t="s">
        <v>237</v>
      </c>
    </row>
    <row r="16" spans="1:9" ht="38.1" customHeight="1">
      <c r="A16" s="1">
        <v>11</v>
      </c>
      <c r="B16" s="1" t="s">
        <v>220</v>
      </c>
      <c r="C16" s="1">
        <v>2</v>
      </c>
      <c r="D16" s="1" t="s">
        <v>17</v>
      </c>
      <c r="E16" s="1" t="s">
        <v>240</v>
      </c>
      <c r="F16" s="1">
        <v>1</v>
      </c>
      <c r="G16" s="1">
        <v>2</v>
      </c>
      <c r="H16" s="1" t="s">
        <v>241</v>
      </c>
      <c r="I16" s="1" t="s">
        <v>223</v>
      </c>
    </row>
    <row r="17" spans="1:9" ht="38.1" customHeight="1">
      <c r="A17" s="1">
        <v>12</v>
      </c>
      <c r="B17" s="1" t="s">
        <v>220</v>
      </c>
      <c r="C17" s="1">
        <v>2</v>
      </c>
      <c r="D17" s="1" t="s">
        <v>17</v>
      </c>
      <c r="E17" s="1" t="s">
        <v>232</v>
      </c>
      <c r="F17" s="1">
        <v>1</v>
      </c>
      <c r="G17" s="1">
        <v>2</v>
      </c>
      <c r="H17" s="1" t="s">
        <v>233</v>
      </c>
      <c r="I17" s="1" t="s">
        <v>234</v>
      </c>
    </row>
    <row r="18" spans="1:9" ht="38.1" customHeight="1">
      <c r="A18" s="1">
        <v>13</v>
      </c>
      <c r="B18" s="1" t="s">
        <v>220</v>
      </c>
      <c r="C18" s="1">
        <v>2</v>
      </c>
      <c r="D18" s="1" t="s">
        <v>20</v>
      </c>
      <c r="E18" s="1" t="s">
        <v>242</v>
      </c>
      <c r="F18" s="1">
        <v>1</v>
      </c>
      <c r="G18" s="1">
        <v>3</v>
      </c>
      <c r="H18" s="1" t="s">
        <v>243</v>
      </c>
      <c r="I18" s="1" t="s">
        <v>244</v>
      </c>
    </row>
    <row r="19" spans="1:9" ht="38.1" customHeight="1">
      <c r="A19" s="1">
        <v>14</v>
      </c>
      <c r="B19" s="1" t="s">
        <v>220</v>
      </c>
      <c r="C19" s="1">
        <v>3</v>
      </c>
      <c r="D19" s="1" t="s">
        <v>20</v>
      </c>
      <c r="E19" s="1" t="s">
        <v>224</v>
      </c>
      <c r="F19" s="1">
        <v>1</v>
      </c>
      <c r="G19" s="1">
        <v>3</v>
      </c>
      <c r="H19" s="1" t="s">
        <v>225</v>
      </c>
      <c r="I19" s="1" t="s">
        <v>223</v>
      </c>
    </row>
    <row r="20" spans="1:9" ht="38.1" customHeight="1">
      <c r="A20" s="1">
        <v>15</v>
      </c>
      <c r="B20" s="1" t="s">
        <v>220</v>
      </c>
      <c r="C20" s="1">
        <v>3</v>
      </c>
      <c r="D20" s="1" t="s">
        <v>20</v>
      </c>
      <c r="E20" s="1" t="s">
        <v>238</v>
      </c>
      <c r="F20" s="1">
        <v>1</v>
      </c>
      <c r="G20" s="1">
        <v>3</v>
      </c>
      <c r="H20" s="1" t="s">
        <v>239</v>
      </c>
      <c r="I20" s="1" t="s">
        <v>223</v>
      </c>
    </row>
    <row r="21" spans="1:9" ht="38.1" customHeight="1">
      <c r="A21" s="1">
        <v>16</v>
      </c>
      <c r="B21" s="1" t="s">
        <v>220</v>
      </c>
      <c r="C21" s="1">
        <v>3</v>
      </c>
      <c r="D21" s="1" t="s">
        <v>17</v>
      </c>
      <c r="E21" s="1" t="s">
        <v>245</v>
      </c>
      <c r="F21" s="1">
        <v>1</v>
      </c>
      <c r="G21" s="1">
        <v>2</v>
      </c>
      <c r="H21" s="1" t="s">
        <v>246</v>
      </c>
      <c r="I21" s="1" t="s">
        <v>223</v>
      </c>
    </row>
    <row r="22" spans="1:9" ht="38.1" customHeight="1">
      <c r="A22" s="1">
        <v>17</v>
      </c>
      <c r="B22" s="1" t="s">
        <v>220</v>
      </c>
      <c r="C22" s="1">
        <v>3</v>
      </c>
      <c r="D22" s="1" t="s">
        <v>17</v>
      </c>
      <c r="E22" s="1" t="s">
        <v>232</v>
      </c>
      <c r="F22" s="1">
        <v>1</v>
      </c>
      <c r="G22" s="1">
        <v>2</v>
      </c>
      <c r="H22" s="1" t="s">
        <v>233</v>
      </c>
      <c r="I22" s="1" t="s">
        <v>234</v>
      </c>
    </row>
    <row r="23" spans="1:9" ht="38.1" customHeight="1">
      <c r="A23" s="1">
        <v>18</v>
      </c>
      <c r="B23" s="1" t="s">
        <v>220</v>
      </c>
      <c r="C23" s="1">
        <v>3</v>
      </c>
      <c r="D23" s="1" t="s">
        <v>23</v>
      </c>
      <c r="E23" s="1" t="s">
        <v>235</v>
      </c>
      <c r="F23" s="1">
        <v>1</v>
      </c>
      <c r="G23" s="1">
        <v>4</v>
      </c>
      <c r="H23" s="1" t="s">
        <v>236</v>
      </c>
      <c r="I23" s="1" t="s">
        <v>237</v>
      </c>
    </row>
    <row r="24" spans="1:9" ht="38.1" customHeight="1">
      <c r="A24" s="1">
        <v>19</v>
      </c>
      <c r="B24" s="1" t="s">
        <v>220</v>
      </c>
      <c r="C24" s="1">
        <v>3</v>
      </c>
      <c r="D24" s="1" t="s">
        <v>23</v>
      </c>
      <c r="E24" s="1" t="s">
        <v>247</v>
      </c>
      <c r="F24" s="1">
        <v>1</v>
      </c>
      <c r="G24" s="1">
        <v>4</v>
      </c>
      <c r="H24" s="1" t="s">
        <v>248</v>
      </c>
      <c r="I24" s="1" t="s">
        <v>223</v>
      </c>
    </row>
    <row r="25" spans="1:9" ht="38.1" customHeight="1">
      <c r="A25" s="1">
        <v>20</v>
      </c>
      <c r="B25" s="1" t="s">
        <v>220</v>
      </c>
      <c r="C25" s="1">
        <v>3</v>
      </c>
      <c r="D25" s="1" t="s">
        <v>14</v>
      </c>
      <c r="E25" s="1" t="s">
        <v>249</v>
      </c>
      <c r="F25" s="1">
        <v>1</v>
      </c>
      <c r="G25" s="1">
        <v>1</v>
      </c>
      <c r="H25" s="1" t="s">
        <v>250</v>
      </c>
      <c r="I25" s="1" t="s">
        <v>223</v>
      </c>
    </row>
    <row r="26" spans="1:9" ht="38.1" customHeight="1">
      <c r="A26" s="1">
        <v>21</v>
      </c>
      <c r="B26" s="1" t="s">
        <v>220</v>
      </c>
      <c r="C26" s="1">
        <v>3</v>
      </c>
      <c r="D26" s="1" t="s">
        <v>14</v>
      </c>
      <c r="E26" s="1" t="s">
        <v>228</v>
      </c>
      <c r="F26" s="1">
        <v>3</v>
      </c>
      <c r="G26" s="1">
        <v>1</v>
      </c>
      <c r="H26" s="1" t="s">
        <v>229</v>
      </c>
      <c r="I26" s="1" t="s">
        <v>223</v>
      </c>
    </row>
    <row r="27" spans="1:9" ht="38.1" customHeight="1">
      <c r="A27" s="1">
        <v>22</v>
      </c>
      <c r="B27" s="1" t="s">
        <v>220</v>
      </c>
      <c r="C27" s="1">
        <v>3</v>
      </c>
      <c r="D27" s="1" t="s">
        <v>20</v>
      </c>
      <c r="E27" s="1" t="s">
        <v>242</v>
      </c>
      <c r="F27" s="1">
        <v>1</v>
      </c>
      <c r="G27" s="1">
        <v>3</v>
      </c>
      <c r="H27" s="1" t="s">
        <v>243</v>
      </c>
      <c r="I27" s="1" t="s">
        <v>244</v>
      </c>
    </row>
    <row r="28" spans="1:9" ht="38.1" customHeight="1">
      <c r="A28" s="1">
        <v>23</v>
      </c>
      <c r="B28" s="1" t="s">
        <v>220</v>
      </c>
      <c r="C28" s="1">
        <v>3</v>
      </c>
      <c r="D28" s="1" t="s">
        <v>17</v>
      </c>
      <c r="E28" s="1" t="s">
        <v>232</v>
      </c>
      <c r="F28" s="1">
        <v>1</v>
      </c>
      <c r="G28" s="1">
        <v>2</v>
      </c>
      <c r="H28" s="1" t="s">
        <v>233</v>
      </c>
      <c r="I28" s="1" t="s">
        <v>234</v>
      </c>
    </row>
    <row r="29" spans="1:9" ht="38.1" customHeight="1">
      <c r="A29" s="1">
        <v>24</v>
      </c>
      <c r="B29" s="1" t="s">
        <v>251</v>
      </c>
      <c r="C29" s="1">
        <v>3</v>
      </c>
      <c r="D29" s="1" t="s">
        <v>14</v>
      </c>
      <c r="E29" s="1" t="s">
        <v>129</v>
      </c>
      <c r="F29" s="1">
        <v>1</v>
      </c>
      <c r="G29" s="1">
        <v>1</v>
      </c>
      <c r="H29" s="1" t="s">
        <v>252</v>
      </c>
      <c r="I29" s="1" t="s">
        <v>253</v>
      </c>
    </row>
    <row r="30" spans="1:9" ht="38.1" customHeight="1">
      <c r="A30" s="1">
        <v>25</v>
      </c>
      <c r="B30" s="1" t="s">
        <v>251</v>
      </c>
      <c r="C30" s="1">
        <v>3</v>
      </c>
      <c r="D30" s="1" t="s">
        <v>14</v>
      </c>
      <c r="E30" s="1" t="s">
        <v>129</v>
      </c>
      <c r="F30" s="1">
        <v>1</v>
      </c>
      <c r="G30" s="1">
        <v>1</v>
      </c>
      <c r="H30" s="1" t="s">
        <v>252</v>
      </c>
      <c r="I30" s="1" t="s">
        <v>253</v>
      </c>
    </row>
    <row r="31" spans="1:9" ht="38.1" customHeight="1">
      <c r="A31" s="1">
        <v>26</v>
      </c>
      <c r="B31" s="1" t="s">
        <v>251</v>
      </c>
      <c r="C31" s="1">
        <v>3</v>
      </c>
      <c r="D31" s="1" t="s">
        <v>17</v>
      </c>
      <c r="E31" s="1" t="s">
        <v>254</v>
      </c>
      <c r="F31" s="1">
        <v>1</v>
      </c>
      <c r="G31" s="1">
        <v>2</v>
      </c>
      <c r="H31" s="1" t="s">
        <v>255</v>
      </c>
      <c r="I31" s="1" t="s">
        <v>253</v>
      </c>
    </row>
    <row r="32" spans="1:9" ht="38.1" customHeight="1">
      <c r="A32" s="1">
        <v>27</v>
      </c>
      <c r="B32" s="1" t="s">
        <v>251</v>
      </c>
      <c r="C32" s="1">
        <v>3</v>
      </c>
      <c r="D32" s="1" t="s">
        <v>14</v>
      </c>
      <c r="E32" s="1" t="s">
        <v>131</v>
      </c>
      <c r="F32" s="1">
        <v>1</v>
      </c>
      <c r="G32" s="1">
        <v>1</v>
      </c>
      <c r="H32" s="1" t="s">
        <v>256</v>
      </c>
      <c r="I32" s="1" t="s">
        <v>253</v>
      </c>
    </row>
    <row r="33" spans="1:9" ht="38.1" customHeight="1">
      <c r="A33" s="1">
        <v>28</v>
      </c>
      <c r="B33" s="1" t="s">
        <v>251</v>
      </c>
      <c r="C33" s="1">
        <v>3</v>
      </c>
      <c r="D33" s="1" t="s">
        <v>14</v>
      </c>
      <c r="E33" s="1" t="s">
        <v>129</v>
      </c>
      <c r="F33" s="1">
        <v>1</v>
      </c>
      <c r="G33" s="1">
        <v>1</v>
      </c>
      <c r="H33" s="1" t="s">
        <v>252</v>
      </c>
      <c r="I33" s="1" t="s">
        <v>253</v>
      </c>
    </row>
    <row r="34" spans="1:9" ht="38.1" customHeight="1">
      <c r="A34" s="1">
        <v>29</v>
      </c>
      <c r="B34" s="1" t="s">
        <v>251</v>
      </c>
      <c r="C34" s="1">
        <v>3</v>
      </c>
      <c r="D34" s="1" t="s">
        <v>14</v>
      </c>
      <c r="E34" s="1" t="s">
        <v>129</v>
      </c>
      <c r="F34" s="1">
        <v>1</v>
      </c>
      <c r="G34" s="1">
        <v>1</v>
      </c>
      <c r="H34" s="1" t="s">
        <v>252</v>
      </c>
      <c r="I34" s="1" t="s">
        <v>253</v>
      </c>
    </row>
    <row r="35" spans="1:9" ht="38.1" customHeight="1">
      <c r="A35" s="1">
        <v>30</v>
      </c>
      <c r="B35" s="1" t="s">
        <v>251</v>
      </c>
      <c r="C35" s="1">
        <v>3</v>
      </c>
      <c r="D35" s="1" t="s">
        <v>17</v>
      </c>
      <c r="E35" s="1" t="s">
        <v>254</v>
      </c>
      <c r="F35" s="1">
        <v>1</v>
      </c>
      <c r="G35" s="1">
        <v>2</v>
      </c>
      <c r="H35" s="1" t="s">
        <v>255</v>
      </c>
      <c r="I35" s="1" t="s">
        <v>253</v>
      </c>
    </row>
    <row r="36" spans="1:9" ht="38.1" customHeight="1">
      <c r="A36" s="1">
        <v>31</v>
      </c>
      <c r="B36" s="1" t="s">
        <v>251</v>
      </c>
      <c r="C36" s="1">
        <v>3</v>
      </c>
      <c r="D36" s="1" t="s">
        <v>14</v>
      </c>
      <c r="E36" s="1" t="s">
        <v>131</v>
      </c>
      <c r="F36" s="1">
        <v>1</v>
      </c>
      <c r="G36" s="1">
        <v>1</v>
      </c>
      <c r="H36" s="1" t="s">
        <v>256</v>
      </c>
      <c r="I36" s="1" t="s">
        <v>253</v>
      </c>
    </row>
    <row r="37" spans="1:9" ht="38.1" customHeight="1">
      <c r="A37" s="1">
        <v>32</v>
      </c>
      <c r="B37" s="1" t="s">
        <v>251</v>
      </c>
      <c r="C37" s="1">
        <v>3</v>
      </c>
      <c r="D37" s="1" t="s">
        <v>14</v>
      </c>
      <c r="E37" s="1" t="s">
        <v>129</v>
      </c>
      <c r="F37" s="1">
        <v>1</v>
      </c>
      <c r="G37" s="1">
        <v>1</v>
      </c>
      <c r="H37" s="1" t="s">
        <v>252</v>
      </c>
      <c r="I37" s="1" t="s">
        <v>253</v>
      </c>
    </row>
    <row r="38" spans="1:9" ht="38.1" customHeight="1">
      <c r="A38" s="1">
        <v>33</v>
      </c>
      <c r="B38" s="1" t="s">
        <v>251</v>
      </c>
      <c r="C38" s="1">
        <v>3</v>
      </c>
      <c r="D38" s="1" t="s">
        <v>14</v>
      </c>
      <c r="E38" s="1" t="s">
        <v>129</v>
      </c>
      <c r="F38" s="1">
        <v>1</v>
      </c>
      <c r="G38" s="1">
        <v>1</v>
      </c>
      <c r="H38" s="1" t="s">
        <v>252</v>
      </c>
      <c r="I38" s="1" t="s">
        <v>253</v>
      </c>
    </row>
    <row r="39" spans="1:9" ht="38.1" customHeight="1">
      <c r="A39" s="1">
        <v>34</v>
      </c>
      <c r="B39" s="1" t="s">
        <v>251</v>
      </c>
      <c r="C39" s="1">
        <v>3</v>
      </c>
      <c r="D39" s="1" t="s">
        <v>17</v>
      </c>
      <c r="E39" s="1" t="s">
        <v>254</v>
      </c>
      <c r="F39" s="1">
        <v>1</v>
      </c>
      <c r="G39" s="1">
        <v>2</v>
      </c>
      <c r="H39" s="1" t="s">
        <v>255</v>
      </c>
      <c r="I39" s="1" t="s">
        <v>253</v>
      </c>
    </row>
    <row r="40" spans="1:9" ht="38.1" customHeight="1">
      <c r="A40" s="1">
        <v>35</v>
      </c>
      <c r="B40" s="1" t="s">
        <v>251</v>
      </c>
      <c r="C40" s="1">
        <v>3</v>
      </c>
      <c r="D40" s="1" t="s">
        <v>17</v>
      </c>
      <c r="E40" s="1" t="s">
        <v>254</v>
      </c>
      <c r="F40" s="1">
        <v>1</v>
      </c>
      <c r="G40" s="1">
        <v>2</v>
      </c>
      <c r="H40" s="1" t="s">
        <v>255</v>
      </c>
      <c r="I40" s="1" t="s">
        <v>253</v>
      </c>
    </row>
    <row r="41" spans="1:9" ht="38.1" customHeight="1">
      <c r="A41" s="1">
        <v>36</v>
      </c>
      <c r="B41" s="1" t="s">
        <v>251</v>
      </c>
      <c r="C41" s="1">
        <v>3</v>
      </c>
      <c r="D41" s="1" t="s">
        <v>14</v>
      </c>
      <c r="E41" s="1" t="s">
        <v>132</v>
      </c>
      <c r="F41" s="1">
        <v>1</v>
      </c>
      <c r="G41" s="1">
        <v>1</v>
      </c>
      <c r="H41" s="1" t="s">
        <v>257</v>
      </c>
      <c r="I41" s="1" t="s">
        <v>253</v>
      </c>
    </row>
    <row r="42" spans="1:9" ht="38.1" customHeight="1">
      <c r="A42" s="1"/>
      <c r="B42" s="1"/>
      <c r="C42" s="1"/>
      <c r="D42" s="1"/>
      <c r="E42" s="1"/>
      <c r="F42" s="1"/>
      <c r="G42" s="1"/>
      <c r="H42" s="1"/>
      <c r="I42" s="1"/>
    </row>
    <row r="43" spans="1:9" ht="38.1" customHeight="1">
      <c r="A43" s="1"/>
      <c r="B43" s="1"/>
      <c r="C43" s="1"/>
      <c r="D43" s="1"/>
      <c r="E43" s="1"/>
      <c r="F43" s="1"/>
      <c r="G43" s="1"/>
      <c r="H43" s="1"/>
      <c r="I43" s="1"/>
    </row>
  </sheetData>
  <sheetProtection algorithmName="SHA-512" hashValue="IB1p7+ohOGOKyI4zlWSE4P2oyy+6Fru/b5+hu30mBQFSlF48UTgE2Yp2Eoa5Bw6tu1wgjmfdmlsyMVo4q+t0Iw==" saltValue="Zfa4rW0eBSJvTUTjokl25Q==" spinCount="100000" sheet="1" objects="1" scenarios="1"/>
  <mergeCells count="2">
    <mergeCell ref="A1:I1"/>
    <mergeCell ref="A2:I3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03D62"/>
  </sheetPr>
  <dimension ref="A2:CH48"/>
  <sheetViews>
    <sheetView showGridLines="0" topLeftCell="BR1" workbookViewId="0">
      <pane ySplit="2" topLeftCell="A3" activePane="bottomLeft" state="frozen"/>
      <selection pane="bottomLeft" activeCell="BU6" sqref="BU6"/>
    </sheetView>
  </sheetViews>
  <sheetFormatPr defaultRowHeight="14.25"/>
  <cols>
    <col min="1" max="1" width="19" customWidth="1"/>
    <col min="2" max="2" width="30" customWidth="1"/>
    <col min="3" max="86" width="19" customWidth="1"/>
  </cols>
  <sheetData>
    <row r="2" spans="1:86" ht="33.950000000000003" customHeight="1">
      <c r="A2" s="2" t="s">
        <v>258</v>
      </c>
      <c r="B2" s="2" t="s">
        <v>259</v>
      </c>
      <c r="C2" s="2" t="s">
        <v>260</v>
      </c>
      <c r="D2" s="2" t="s">
        <v>261</v>
      </c>
      <c r="E2" s="2" t="s">
        <v>262</v>
      </c>
      <c r="F2" s="2" t="s">
        <v>263</v>
      </c>
      <c r="G2" s="2" t="s">
        <v>264</v>
      </c>
      <c r="H2" s="2" t="s">
        <v>265</v>
      </c>
      <c r="I2" s="2" t="s">
        <v>266</v>
      </c>
      <c r="J2" s="2" t="s">
        <v>267</v>
      </c>
      <c r="K2" s="2" t="s">
        <v>268</v>
      </c>
      <c r="L2" s="2" t="s">
        <v>269</v>
      </c>
      <c r="M2" s="2" t="s">
        <v>16</v>
      </c>
      <c r="N2" s="2" t="s">
        <v>270</v>
      </c>
      <c r="O2" s="2" t="s">
        <v>271</v>
      </c>
      <c r="P2" s="2" t="s">
        <v>272</v>
      </c>
      <c r="Q2" s="2" t="s">
        <v>273</v>
      </c>
      <c r="R2" s="2" t="s">
        <v>274</v>
      </c>
      <c r="S2" s="2" t="s">
        <v>275</v>
      </c>
      <c r="T2" s="2" t="s">
        <v>276</v>
      </c>
      <c r="U2" s="2" t="s">
        <v>191</v>
      </c>
      <c r="V2" s="2" t="s">
        <v>189</v>
      </c>
      <c r="W2" s="2" t="s">
        <v>200</v>
      </c>
      <c r="X2" s="2" t="s">
        <v>202</v>
      </c>
      <c r="Y2" s="2" t="s">
        <v>197</v>
      </c>
      <c r="Z2" s="2" t="s">
        <v>204</v>
      </c>
      <c r="AA2" s="2" t="s">
        <v>206</v>
      </c>
      <c r="AB2" s="2" t="s">
        <v>140</v>
      </c>
      <c r="AC2" s="2" t="s">
        <v>142</v>
      </c>
      <c r="AD2" s="2" t="s">
        <v>143</v>
      </c>
      <c r="AE2" s="2" t="s">
        <v>145</v>
      </c>
      <c r="AF2" s="2" t="s">
        <v>146</v>
      </c>
      <c r="AG2" s="2" t="s">
        <v>156</v>
      </c>
      <c r="AH2" s="2" t="s">
        <v>157</v>
      </c>
      <c r="AI2" s="2" t="s">
        <v>158</v>
      </c>
      <c r="AJ2" s="2" t="s">
        <v>159</v>
      </c>
      <c r="AK2" s="2" t="s">
        <v>160</v>
      </c>
      <c r="AL2" s="2" t="s">
        <v>161</v>
      </c>
      <c r="AM2" s="2" t="s">
        <v>162</v>
      </c>
      <c r="AN2" s="2" t="s">
        <v>163</v>
      </c>
      <c r="AO2" s="2" t="s">
        <v>164</v>
      </c>
      <c r="AP2" s="2" t="s">
        <v>165</v>
      </c>
      <c r="AQ2" s="2" t="s">
        <v>166</v>
      </c>
      <c r="AR2" s="2" t="s">
        <v>169</v>
      </c>
      <c r="AS2" s="2" t="s">
        <v>170</v>
      </c>
      <c r="AT2" s="2" t="s">
        <v>172</v>
      </c>
      <c r="AU2" s="2" t="s">
        <v>173</v>
      </c>
      <c r="AV2" s="2" t="s">
        <v>106</v>
      </c>
      <c r="AW2" s="2" t="s">
        <v>109</v>
      </c>
      <c r="AX2" s="2" t="s">
        <v>110</v>
      </c>
      <c r="AY2" s="2" t="s">
        <v>111</v>
      </c>
      <c r="AZ2" s="2" t="s">
        <v>114</v>
      </c>
      <c r="BA2" s="2" t="s">
        <v>116</v>
      </c>
      <c r="BB2" s="2" t="s">
        <v>117</v>
      </c>
      <c r="BC2" s="2" t="s">
        <v>118</v>
      </c>
      <c r="BD2" s="2" t="s">
        <v>119</v>
      </c>
      <c r="BE2" s="2" t="s">
        <v>121</v>
      </c>
      <c r="BF2" s="2" t="s">
        <v>122</v>
      </c>
      <c r="BG2" s="2" t="s">
        <v>123</v>
      </c>
      <c r="BH2" s="2" t="s">
        <v>125</v>
      </c>
      <c r="BI2" s="2" t="s">
        <v>126</v>
      </c>
      <c r="BJ2" s="2" t="s">
        <v>127</v>
      </c>
      <c r="BK2" s="2" t="s">
        <v>128</v>
      </c>
      <c r="BL2" s="2" t="s">
        <v>129</v>
      </c>
      <c r="BM2" s="2" t="s">
        <v>131</v>
      </c>
      <c r="BN2" s="2" t="s">
        <v>132</v>
      </c>
      <c r="BO2" s="2" t="s">
        <v>133</v>
      </c>
      <c r="BP2" s="2" t="s">
        <v>134</v>
      </c>
      <c r="BQ2" s="2" t="s">
        <v>135</v>
      </c>
      <c r="BR2" s="2" t="s">
        <v>136</v>
      </c>
      <c r="BS2" s="2" t="s">
        <v>147</v>
      </c>
      <c r="BT2" s="2" t="s">
        <v>149</v>
      </c>
      <c r="BU2" s="2" t="s">
        <v>150</v>
      </c>
      <c r="BV2" s="2" t="s">
        <v>151</v>
      </c>
      <c r="BW2" s="2" t="s">
        <v>152</v>
      </c>
      <c r="BX2" s="2" t="s">
        <v>153</v>
      </c>
      <c r="BY2" s="2" t="s">
        <v>154</v>
      </c>
      <c r="BZ2" s="2" t="s">
        <v>277</v>
      </c>
      <c r="CA2" s="2" t="s">
        <v>278</v>
      </c>
      <c r="CB2" s="2" t="s">
        <v>279</v>
      </c>
      <c r="CC2" s="2" t="s">
        <v>280</v>
      </c>
      <c r="CD2" s="2" t="s">
        <v>186</v>
      </c>
      <c r="CE2" s="2" t="s">
        <v>155</v>
      </c>
      <c r="CF2" s="2" t="s">
        <v>167</v>
      </c>
      <c r="CG2" s="2" t="s">
        <v>168</v>
      </c>
      <c r="CH2" s="2" t="s">
        <v>209</v>
      </c>
    </row>
    <row r="3" spans="1:86" ht="33.950000000000003" customHeight="1">
      <c r="A3" s="1">
        <f>0</f>
        <v>0</v>
      </c>
      <c r="B3" s="1" t="str">
        <f>"基准配置"</f>
        <v>基准配置</v>
      </c>
      <c r="C3" s="1">
        <f>配置与结果!B6</f>
        <v>0</v>
      </c>
      <c r="D3" s="1">
        <f>配置与结果!B7</f>
        <v>0</v>
      </c>
      <c r="E3" s="1">
        <f>配置与结果!B8</f>
        <v>0</v>
      </c>
      <c r="F3" s="1">
        <f>配置与结果!B9</f>
        <v>0</v>
      </c>
      <c r="G3" s="1">
        <f>配置与结果!D6</f>
        <v>5</v>
      </c>
      <c r="H3" s="1">
        <f>配置与结果!D7</f>
        <v>1</v>
      </c>
      <c r="I3" s="1">
        <f>配置与结果!D8</f>
        <v>5</v>
      </c>
      <c r="J3" s="1">
        <f>配置与结果!D9</f>
        <v>1</v>
      </c>
      <c r="K3" s="1">
        <f>INDEX(效果参数!$C$105:$G$105,1,J3)</f>
        <v>1</v>
      </c>
      <c r="L3" s="1" t="b">
        <f>AND(K3=1,INDEX(效果参数!$C$99:$G$99,1,H3)=1,INDEX(效果参数!$C$29:$H$29,1,C3+1)=1)</f>
        <v>1</v>
      </c>
      <c r="M3" s="7">
        <f>IF(AND(K3=1,L3),SUM(行动计算!AU6:AU41),"")</f>
        <v>8766611.9739999995</v>
      </c>
      <c r="N3" s="7">
        <f>IF(K3=1,SUMIFS(行动计算!AU6:AU41,行动计算!D6:D41,1),"")</f>
        <v>3133250.6940000001</v>
      </c>
      <c r="O3" s="7">
        <f>IF(L3,SUMIFS(行动计算!AU6:AU41,行动计算!D6:D41,2),"")</f>
        <v>5633361.2799999993</v>
      </c>
      <c r="P3" s="7">
        <f>IF(AND(K3=1,L3),SUMIFS(行动计算!AU6:AU41,行动计算!F6:F41,1),"")</f>
        <v>7363386</v>
      </c>
      <c r="Q3" s="7">
        <f>IF(AND(K3=1,L3),SUMIFS(行动计算!AU6:AU41,行动计算!F6:F41,2),"")</f>
        <v>642844.12</v>
      </c>
      <c r="R3" s="7">
        <f>IF(AND(K3=1,L3),SUMIFS(行动计算!AU6:AU41,行动计算!F6:F41,3),"")</f>
        <v>489818.29000000004</v>
      </c>
      <c r="S3" s="7">
        <f>IF(AND(K3=1,L3),SUMIFS(行动计算!AU6:AU41,行动计算!F6:F41,4),"")</f>
        <v>270563.56400000001</v>
      </c>
      <c r="T3" s="8">
        <f t="shared" ref="T3:T48" si="0">IF(AND(ISNUMBER(M3),ISNUMBER($M$3),$M$3&gt;0),M3/$M$3-1,"")</f>
        <v>0</v>
      </c>
      <c r="U3" s="1">
        <f>INDEX(效果参数!$C$98:$G$98,1,H3)</f>
        <v>0.04</v>
      </c>
      <c r="V3" s="1">
        <f>INDEX(效果参数!$C$97:$G$97,1,G3)</f>
        <v>0.06</v>
      </c>
      <c r="W3" s="1">
        <f>INDEX(效果参数!$C$101:$G$101,1,I3)</f>
        <v>0.02</v>
      </c>
      <c r="X3" s="1">
        <f>INDEX(效果参数!$C$102:$G$102,1,I3)</f>
        <v>0.16</v>
      </c>
      <c r="Y3" s="1">
        <f>INDEX(效果参数!$C$100:$G$100,1,I3)</f>
        <v>0.1</v>
      </c>
      <c r="Z3" s="1">
        <f>INDEX(效果参数!$C$103:$G$103,1,J3)</f>
        <v>0.04</v>
      </c>
      <c r="AA3" s="1">
        <f>INDEX(效果参数!$C$104:$G$104,1,J3)</f>
        <v>4.0000000000000001E-3</v>
      </c>
      <c r="AB3" s="1">
        <f>INDEX(效果参数!$C$30:$H$30,1,D3+1)</f>
        <v>0.3</v>
      </c>
      <c r="AC3" s="1">
        <f>INDEX(效果参数!$C$31:$H$31,1,D3+1)</f>
        <v>0.2</v>
      </c>
      <c r="AD3" s="1">
        <f>INDEX(效果参数!$C$32:$H$32,1,D3+1)</f>
        <v>500</v>
      </c>
      <c r="AE3" s="1">
        <f>INDEX(效果参数!$C$33:$H$33,1,D3+1)</f>
        <v>0.4</v>
      </c>
      <c r="AF3" s="1">
        <f>INDEX(效果参数!$C$34:$H$34,1,D3+1)</f>
        <v>0.4</v>
      </c>
      <c r="AG3" s="1">
        <f>INDEX(效果参数!$C$43:$H$43,1,E3+1)</f>
        <v>0.3</v>
      </c>
      <c r="AH3" s="1">
        <f>INDEX(效果参数!$C$44:$H$44,1,E3+1)</f>
        <v>0.04</v>
      </c>
      <c r="AI3" s="1">
        <f>INDEX(效果参数!$C$45:$H$45,1,E3+1)</f>
        <v>5</v>
      </c>
      <c r="AJ3" s="1">
        <f>INDEX(效果参数!$C$46:$H$46,1,E3+1)</f>
        <v>1</v>
      </c>
      <c r="AK3" s="1">
        <f>INDEX(效果参数!$C$47:$H$47,1,E3+1)</f>
        <v>2</v>
      </c>
      <c r="AL3" s="1">
        <f>INDEX(效果参数!$C$48:$H$48,1,E3+1)</f>
        <v>0.08</v>
      </c>
      <c r="AM3" s="1">
        <f>INDEX(效果参数!$C$49:$H$49,1,E3+1)</f>
        <v>250</v>
      </c>
      <c r="AN3" s="1">
        <f>INDEX(效果参数!$C$50:$H$50,1,E3+1)</f>
        <v>0.15</v>
      </c>
      <c r="AO3" s="1">
        <f>INDEX(效果参数!$C$51:$H$51,1,E3+1)</f>
        <v>0.15</v>
      </c>
      <c r="AP3" s="1">
        <f>INDEX(效果参数!$C$52:$H$52,1,E3+1)</f>
        <v>0.15</v>
      </c>
      <c r="AQ3" s="1">
        <f>INDEX(效果参数!$C$53:$H$53,1,E3+1)</f>
        <v>0.15</v>
      </c>
      <c r="AR3" s="1">
        <f>INDEX(效果参数!$C$56:$H$56,1,F3+1)</f>
        <v>35</v>
      </c>
      <c r="AS3" s="1">
        <f>INDEX(效果参数!$C$57:$H$57,1,F3+1)</f>
        <v>0.01</v>
      </c>
      <c r="AT3" s="1">
        <f>INDEX(效果参数!$C$58:$H$58,1,F3+1)</f>
        <v>7</v>
      </c>
      <c r="AU3" s="1">
        <f>INDEX(效果参数!$C$59:$H$59,1,F3+1)</f>
        <v>0.5</v>
      </c>
      <c r="AV3" s="1">
        <f>INDEX(效果参数!$C$6:$H$6,1,C3+1)</f>
        <v>2</v>
      </c>
      <c r="AW3" s="1">
        <f>INDEX(效果参数!$C$7:$H$7,1,C3+1)</f>
        <v>4</v>
      </c>
      <c r="AX3" s="1">
        <f>INDEX(效果参数!$C$8:$H$8,1,C3+1)</f>
        <v>8</v>
      </c>
      <c r="AY3" s="1">
        <f>INDEX(效果参数!$C$9:$H$9,1,C3+1)</f>
        <v>0.1</v>
      </c>
      <c r="AZ3" s="1">
        <f>INDEX(效果参数!$C$10:$H$10,1,C3+1)</f>
        <v>0.2</v>
      </c>
      <c r="BA3" s="1">
        <f>INDEX(效果参数!$C$11:$H$11,1,C3+1)</f>
        <v>0.6</v>
      </c>
      <c r="BB3" s="1">
        <f>INDEX(效果参数!$C$12:$H$12,1,C3+1)</f>
        <v>1.2</v>
      </c>
      <c r="BC3" s="1">
        <f>INDEX(效果参数!$C$13:$H$13,1,C3+1)</f>
        <v>0.06</v>
      </c>
      <c r="BD3" s="1">
        <f>INDEX(效果参数!$C$14:$H$14,1,C3+1)</f>
        <v>3</v>
      </c>
      <c r="BE3" s="1">
        <f>INDEX(效果参数!$C$15:$H$15,1,C3+1)</f>
        <v>1</v>
      </c>
      <c r="BF3" s="1">
        <f>INDEX(效果参数!$C$16:$H$16,1,C3+1)</f>
        <v>2.5000000000000001E-2</v>
      </c>
      <c r="BG3" s="1">
        <f>INDEX(效果参数!$C$17:$H$17,1,C3+1)</f>
        <v>18</v>
      </c>
      <c r="BH3" s="1">
        <f>INDEX(效果参数!$C$18:$H$18,1,C3+1)</f>
        <v>18</v>
      </c>
      <c r="BI3" s="1">
        <f>INDEX(效果参数!$C$19:$H$19,1,C3+1)</f>
        <v>1</v>
      </c>
      <c r="BJ3" s="1">
        <f>INDEX(效果参数!$C$20:$H$20,1,C3+1)</f>
        <v>1</v>
      </c>
      <c r="BK3" s="1">
        <f>INDEX(效果参数!$C$21:$H$21,1,C3+1)</f>
        <v>0.2</v>
      </c>
      <c r="BL3" s="1">
        <f>INDEX(效果参数!$C$22:$H$22,1,C3+1)</f>
        <v>9</v>
      </c>
      <c r="BM3" s="1">
        <f>INDEX(效果参数!$C$23:$H$23,1,C3+1)</f>
        <v>20</v>
      </c>
      <c r="BN3" s="1">
        <f>INDEX(效果参数!$C$24:$H$24,1,C3+1)</f>
        <v>30</v>
      </c>
      <c r="BO3" s="1">
        <f>INDEX(效果参数!$C$25:$H$25,1,C3+1)</f>
        <v>1.5</v>
      </c>
      <c r="BP3" s="1">
        <f>INDEX(效果参数!$C$26:$H$26,1,C3+1)</f>
        <v>0.6</v>
      </c>
      <c r="BQ3" s="1">
        <f>INDEX(效果参数!$C$27:$H$27,1,C3+1)</f>
        <v>0.8</v>
      </c>
      <c r="BR3" s="1">
        <f>INDEX(效果参数!$C$28:$H$28,1,C3+1)</f>
        <v>1</v>
      </c>
      <c r="BS3" s="1">
        <f>INDEX(效果参数!$C$35:$H$35,1,D3+1)</f>
        <v>2.8</v>
      </c>
      <c r="BT3" s="1">
        <f>INDEX(效果参数!$C$36:$H$36,1,D3+1)</f>
        <v>1.4</v>
      </c>
      <c r="BU3" s="1">
        <f>INDEX(效果参数!$C$37:$H$37,1,D3+1)</f>
        <v>0.8</v>
      </c>
      <c r="BV3" s="1">
        <f>INDEX(效果参数!$C$38:$H$38,1,D3+1)</f>
        <v>3</v>
      </c>
      <c r="BW3" s="1">
        <f>INDEX(效果参数!$C$39:$H$39,1,D3+1)</f>
        <v>1</v>
      </c>
      <c r="BX3" s="1">
        <f>INDEX(效果参数!$C$40:$H$40,1,D3+1)</f>
        <v>2</v>
      </c>
      <c r="BY3" s="1">
        <f>INDEX(效果参数!$C$41:$H$41,1,D3+1)</f>
        <v>1</v>
      </c>
      <c r="BZ3" s="1">
        <f>IF(配置与结果!$H$24=1,AR3,MIN(AR3,MAX(0,配置与结果!$H$25)))</f>
        <v>35</v>
      </c>
      <c r="CA3" s="1">
        <f>ROUNDDOWN(配置与结果!$B$17*(1+0.05+Y3),0)</f>
        <v>2986</v>
      </c>
      <c r="CB3" s="1">
        <f>MIN(AD3,ROUNDDOWN((配置与结果!$B$16+CC3)*AC3,0))</f>
        <v>500</v>
      </c>
      <c r="CC3" s="1">
        <f t="shared" ref="CC3:CC48" si="1">MIN(AM3,ROUNDDOWN(CA3*AL3,0))</f>
        <v>238</v>
      </c>
      <c r="CD3" s="1">
        <f>INDEX(效果参数!$C$96:$G$96,1,G3)</f>
        <v>0.16</v>
      </c>
      <c r="CE3" s="1">
        <f>INDEX(效果参数!$C$42:$H$42,1,D3+1)</f>
        <v>8</v>
      </c>
      <c r="CF3" s="1">
        <f>INDEX(效果参数!$C$54:$H$54,1,E3+1)</f>
        <v>15</v>
      </c>
      <c r="CG3" s="1">
        <f>INDEX(效果参数!$C$55:$H$55,1,E3+1)</f>
        <v>1.5</v>
      </c>
      <c r="CH3" s="1">
        <f>INDEX(效果参数!$C$106:$G$106,1,H3)</f>
        <v>0.12</v>
      </c>
    </row>
    <row r="4" spans="1:86" ht="33.950000000000003" customHeight="1">
      <c r="A4" s="1">
        <f>1</f>
        <v>1</v>
      </c>
      <c r="B4" s="1" t="str">
        <f>"对比配置"</f>
        <v>对比配置</v>
      </c>
      <c r="C4" s="1">
        <f>配置与结果!C6</f>
        <v>2</v>
      </c>
      <c r="D4" s="1">
        <f>配置与结果!C7</f>
        <v>0</v>
      </c>
      <c r="E4" s="1">
        <f>配置与结果!C8</f>
        <v>0</v>
      </c>
      <c r="F4" s="1">
        <f>配置与结果!C9</f>
        <v>0</v>
      </c>
      <c r="G4" s="1">
        <f>配置与结果!E6</f>
        <v>5</v>
      </c>
      <c r="H4" s="1">
        <f>配置与结果!E7</f>
        <v>1</v>
      </c>
      <c r="I4" s="1">
        <f>配置与结果!E8</f>
        <v>5</v>
      </c>
      <c r="J4" s="1">
        <f>配置与结果!E9</f>
        <v>1</v>
      </c>
      <c r="K4" s="1">
        <f>INDEX(效果参数!$C$105:$G$105,1,J4)</f>
        <v>1</v>
      </c>
      <c r="L4" s="1" t="b">
        <f>AND(K4=1,INDEX(效果参数!$C$99:$G$99,1,H4)=1,INDEX(效果参数!$C$29:$H$29,1,C4+1)=1)</f>
        <v>1</v>
      </c>
      <c r="M4" s="7">
        <f>IF(AND(K4=1,L4),SUM(行动计算!AU42:AU77),"")</f>
        <v>13566809.974000001</v>
      </c>
      <c r="N4" s="7">
        <f>IF(K4=1,SUMIFS(行动计算!AU42:AU77,行动计算!D42:D77,1),"")</f>
        <v>4620699.6939999992</v>
      </c>
      <c r="O4" s="7">
        <f>IF(L4,SUMIFS(行动计算!AU42:AU77,行动计算!D42:D77,2),"")</f>
        <v>8946110.2800000012</v>
      </c>
      <c r="P4" s="7">
        <f>IF(AND(K4=1,L4),SUMIFS(行动计算!AU42:AU77,行动计算!F42:F77,1),"")</f>
        <v>12163584</v>
      </c>
      <c r="Q4" s="7">
        <f>IF(AND(K4=1,L4),SUMIFS(行动计算!AU42:AU77,行动计算!F42:F77,2),"")</f>
        <v>642844.12</v>
      </c>
      <c r="R4" s="7">
        <f>IF(AND(K4=1,L4),SUMIFS(行动计算!AU42:AU77,行动计算!F42:F77,3),"")</f>
        <v>489818.29000000004</v>
      </c>
      <c r="S4" s="7">
        <f>IF(AND(K4=1,L4),SUMIFS(行动计算!AU42:AU77,行动计算!F42:F77,4),"")</f>
        <v>270563.56400000001</v>
      </c>
      <c r="T4" s="8">
        <f t="shared" si="0"/>
        <v>0.54755451869392879</v>
      </c>
      <c r="U4" s="1">
        <f>INDEX(效果参数!$C$98:$G$98,1,H4)</f>
        <v>0.04</v>
      </c>
      <c r="V4" s="1">
        <f>INDEX(效果参数!$C$97:$G$97,1,G4)</f>
        <v>0.06</v>
      </c>
      <c r="W4" s="1">
        <f>INDEX(效果参数!$C$101:$G$101,1,I4)</f>
        <v>0.02</v>
      </c>
      <c r="X4" s="1">
        <f>INDEX(效果参数!$C$102:$G$102,1,I4)</f>
        <v>0.16</v>
      </c>
      <c r="Y4" s="1">
        <f>INDEX(效果参数!$C$100:$G$100,1,I4)</f>
        <v>0.1</v>
      </c>
      <c r="Z4" s="1">
        <f>INDEX(效果参数!$C$103:$G$103,1,J4)</f>
        <v>0.04</v>
      </c>
      <c r="AA4" s="1">
        <f>INDEX(效果参数!$C$104:$G$104,1,J4)</f>
        <v>4.0000000000000001E-3</v>
      </c>
      <c r="AB4" s="1">
        <f>INDEX(效果参数!$C$30:$H$30,1,D4+1)</f>
        <v>0.3</v>
      </c>
      <c r="AC4" s="1">
        <f>INDEX(效果参数!$C$31:$H$31,1,D4+1)</f>
        <v>0.2</v>
      </c>
      <c r="AD4" s="1">
        <f>INDEX(效果参数!$C$32:$H$32,1,D4+1)</f>
        <v>500</v>
      </c>
      <c r="AE4" s="1">
        <f>INDEX(效果参数!$C$33:$H$33,1,D4+1)</f>
        <v>0.4</v>
      </c>
      <c r="AF4" s="1">
        <f>INDEX(效果参数!$C$34:$H$34,1,D4+1)</f>
        <v>0.4</v>
      </c>
      <c r="AG4" s="1">
        <f>INDEX(效果参数!$C$43:$H$43,1,E4+1)</f>
        <v>0.3</v>
      </c>
      <c r="AH4" s="1">
        <f>INDEX(效果参数!$C$44:$H$44,1,E4+1)</f>
        <v>0.04</v>
      </c>
      <c r="AI4" s="1">
        <f>INDEX(效果参数!$C$45:$H$45,1,E4+1)</f>
        <v>5</v>
      </c>
      <c r="AJ4" s="1">
        <f>INDEX(效果参数!$C$46:$H$46,1,E4+1)</f>
        <v>1</v>
      </c>
      <c r="AK4" s="1">
        <f>INDEX(效果参数!$C$47:$H$47,1,E4+1)</f>
        <v>2</v>
      </c>
      <c r="AL4" s="1">
        <f>INDEX(效果参数!$C$48:$H$48,1,E4+1)</f>
        <v>0.08</v>
      </c>
      <c r="AM4" s="1">
        <f>INDEX(效果参数!$C$49:$H$49,1,E4+1)</f>
        <v>250</v>
      </c>
      <c r="AN4" s="1">
        <f>INDEX(效果参数!$C$50:$H$50,1,E4+1)</f>
        <v>0.15</v>
      </c>
      <c r="AO4" s="1">
        <f>INDEX(效果参数!$C$51:$H$51,1,E4+1)</f>
        <v>0.15</v>
      </c>
      <c r="AP4" s="1">
        <f>INDEX(效果参数!$C$52:$H$52,1,E4+1)</f>
        <v>0.15</v>
      </c>
      <c r="AQ4" s="1">
        <f>INDEX(效果参数!$C$53:$H$53,1,E4+1)</f>
        <v>0.15</v>
      </c>
      <c r="AR4" s="1">
        <f>INDEX(效果参数!$C$56:$H$56,1,F4+1)</f>
        <v>35</v>
      </c>
      <c r="AS4" s="1">
        <f>INDEX(效果参数!$C$57:$H$57,1,F4+1)</f>
        <v>0.01</v>
      </c>
      <c r="AT4" s="1">
        <f>INDEX(效果参数!$C$58:$H$58,1,F4+1)</f>
        <v>7</v>
      </c>
      <c r="AU4" s="1">
        <f>INDEX(效果参数!$C$59:$H$59,1,F4+1)</f>
        <v>0.5</v>
      </c>
      <c r="AV4" s="1">
        <f>INDEX(效果参数!$C$6:$H$6,1,C4+1)</f>
        <v>3</v>
      </c>
      <c r="AW4" s="1">
        <f>INDEX(效果参数!$C$7:$H$7,1,C4+1)</f>
        <v>6</v>
      </c>
      <c r="AX4" s="1">
        <f>INDEX(效果参数!$C$8:$H$8,1,C4+1)</f>
        <v>12</v>
      </c>
      <c r="AY4" s="1">
        <f>INDEX(效果参数!$C$9:$H$9,1,C4+1)</f>
        <v>0.3</v>
      </c>
      <c r="AZ4" s="1">
        <f>INDEX(效果参数!$C$10:$H$10,1,C4+1)</f>
        <v>0.6</v>
      </c>
      <c r="BA4" s="1">
        <f>INDEX(效果参数!$C$11:$H$11,1,C4+1)</f>
        <v>0.6</v>
      </c>
      <c r="BB4" s="1">
        <f>INDEX(效果参数!$C$12:$H$12,1,C4+1)</f>
        <v>1.2</v>
      </c>
      <c r="BC4" s="1">
        <f>INDEX(效果参数!$C$13:$H$13,1,C4+1)</f>
        <v>0.06</v>
      </c>
      <c r="BD4" s="1">
        <f>INDEX(效果参数!$C$14:$H$14,1,C4+1)</f>
        <v>5</v>
      </c>
      <c r="BE4" s="1">
        <f>INDEX(效果参数!$C$15:$H$15,1,C4+1)</f>
        <v>2</v>
      </c>
      <c r="BF4" s="1">
        <f>INDEX(效果参数!$C$16:$H$16,1,C4+1)</f>
        <v>2.5000000000000001E-2</v>
      </c>
      <c r="BG4" s="1">
        <f>INDEX(效果参数!$C$17:$H$17,1,C4+1)</f>
        <v>18</v>
      </c>
      <c r="BH4" s="1">
        <f>INDEX(效果参数!$C$18:$H$18,1,C4+1)</f>
        <v>18</v>
      </c>
      <c r="BI4" s="1">
        <f>INDEX(效果参数!$C$19:$H$19,1,C4+1)</f>
        <v>1</v>
      </c>
      <c r="BJ4" s="1">
        <f>INDEX(效果参数!$C$20:$H$20,1,C4+1)</f>
        <v>1</v>
      </c>
      <c r="BK4" s="1">
        <f>INDEX(效果参数!$C$21:$H$21,1,C4+1)</f>
        <v>0.2</v>
      </c>
      <c r="BL4" s="1">
        <f>INDEX(效果参数!$C$22:$H$22,1,C4+1)</f>
        <v>15</v>
      </c>
      <c r="BM4" s="1">
        <f>INDEX(效果参数!$C$23:$H$23,1,C4+1)</f>
        <v>32</v>
      </c>
      <c r="BN4" s="1">
        <f>INDEX(效果参数!$C$24:$H$24,1,C4+1)</f>
        <v>50</v>
      </c>
      <c r="BO4" s="1">
        <f>INDEX(效果参数!$C$25:$H$25,1,C4+1)</f>
        <v>2.5</v>
      </c>
      <c r="BP4" s="1">
        <f>INDEX(效果参数!$C$26:$H$26,1,C4+1)</f>
        <v>0.6</v>
      </c>
      <c r="BQ4" s="1">
        <f>INDEX(效果参数!$C$27:$H$27,1,C4+1)</f>
        <v>0.8</v>
      </c>
      <c r="BR4" s="1">
        <f>INDEX(效果参数!$C$28:$H$28,1,C4+1)</f>
        <v>1</v>
      </c>
      <c r="BS4" s="1">
        <f>INDEX(效果参数!$C$35:$H$35,1,D4+1)</f>
        <v>2.8</v>
      </c>
      <c r="BT4" s="1">
        <f>INDEX(效果参数!$C$36:$H$36,1,D4+1)</f>
        <v>1.4</v>
      </c>
      <c r="BU4" s="1">
        <f>INDEX(效果参数!$C$37:$H$37,1,D4+1)</f>
        <v>0.8</v>
      </c>
      <c r="BV4" s="1">
        <f>INDEX(效果参数!$C$38:$H$38,1,D4+1)</f>
        <v>3</v>
      </c>
      <c r="BW4" s="1">
        <f>INDEX(效果参数!$C$39:$H$39,1,D4+1)</f>
        <v>1</v>
      </c>
      <c r="BX4" s="1">
        <f>INDEX(效果参数!$C$40:$H$40,1,D4+1)</f>
        <v>2</v>
      </c>
      <c r="BY4" s="1">
        <f>INDEX(效果参数!$C$41:$H$41,1,D4+1)</f>
        <v>1</v>
      </c>
      <c r="BZ4" s="1">
        <f>IF(配置与结果!$H$24=1,AR4,MIN(AR4,MAX(0,配置与结果!$H$25)))</f>
        <v>35</v>
      </c>
      <c r="CA4" s="1">
        <f>ROUNDDOWN(配置与结果!$B$17*(1+0.05+Y4),0)</f>
        <v>2986</v>
      </c>
      <c r="CB4" s="1">
        <f>MIN(AD4,ROUNDDOWN((配置与结果!$B$16+CC4)*AC4,0))</f>
        <v>500</v>
      </c>
      <c r="CC4" s="1">
        <f t="shared" si="1"/>
        <v>238</v>
      </c>
      <c r="CD4" s="1">
        <f>INDEX(效果参数!$C$96:$G$96,1,G4)</f>
        <v>0.16</v>
      </c>
      <c r="CE4" s="1">
        <f>INDEX(效果参数!$C$42:$H$42,1,D4+1)</f>
        <v>8</v>
      </c>
      <c r="CF4" s="1">
        <f>INDEX(效果参数!$C$54:$H$54,1,E4+1)</f>
        <v>15</v>
      </c>
      <c r="CG4" s="1">
        <f>INDEX(效果参数!$C$55:$H$55,1,E4+1)</f>
        <v>1.5</v>
      </c>
      <c r="CH4" s="1">
        <f>INDEX(效果参数!$C$106:$G$106,1,H4)</f>
        <v>0.12</v>
      </c>
    </row>
    <row r="5" spans="1:86" ht="33.950000000000003" customHeight="1">
      <c r="A5" s="1">
        <f>2</f>
        <v>2</v>
      </c>
      <c r="B5" s="1" t="str">
        <f>"红弩箭 0塑"</f>
        <v>红弩箭 0塑</v>
      </c>
      <c r="C5" s="1">
        <f>0</f>
        <v>0</v>
      </c>
      <c r="D5" s="1">
        <f>配置与结果!B7</f>
        <v>0</v>
      </c>
      <c r="E5" s="1">
        <f>配置与结果!B8</f>
        <v>0</v>
      </c>
      <c r="F5" s="1">
        <f>配置与结果!B9</f>
        <v>0</v>
      </c>
      <c r="G5" s="1">
        <f>配置与结果!D6</f>
        <v>5</v>
      </c>
      <c r="H5" s="1">
        <f>配置与结果!D7</f>
        <v>1</v>
      </c>
      <c r="I5" s="1">
        <f>配置与结果!D8</f>
        <v>5</v>
      </c>
      <c r="J5" s="1">
        <f>配置与结果!D9</f>
        <v>1</v>
      </c>
      <c r="K5" s="1">
        <f>INDEX(效果参数!$C$105:$G$105,1,J5)</f>
        <v>1</v>
      </c>
      <c r="L5" s="1" t="b">
        <f>AND(K5=1,INDEX(效果参数!$C$99:$G$99,1,H5)=1,INDEX(效果参数!$C$29:$H$29,1,C5+1)=1)</f>
        <v>1</v>
      </c>
      <c r="M5" s="7">
        <f>IF(AND(K5=1,L5),SUM(行动计算!AU78:AU113),"")</f>
        <v>8766611.9739999995</v>
      </c>
      <c r="N5" s="7">
        <f>IF(K5=1,SUMIFS(行动计算!AU78:AU113,行动计算!D78:D113,1),"")</f>
        <v>3133250.6940000001</v>
      </c>
      <c r="O5" s="7">
        <f>IF(L5,SUMIFS(行动计算!AU78:AU113,行动计算!D78:D113,2),"")</f>
        <v>5633361.2799999993</v>
      </c>
      <c r="P5" s="7">
        <f>IF(AND(K5=1,L5),SUMIFS(行动计算!AU78:AU113,行动计算!F78:F113,1),"")</f>
        <v>7363386</v>
      </c>
      <c r="Q5" s="7">
        <f>IF(AND(K5=1,L5),SUMIFS(行动计算!AU78:AU113,行动计算!F78:F113,2),"")</f>
        <v>642844.12</v>
      </c>
      <c r="R5" s="7">
        <f>IF(AND(K5=1,L5),SUMIFS(行动计算!AU78:AU113,行动计算!F78:F113,3),"")</f>
        <v>489818.29000000004</v>
      </c>
      <c r="S5" s="7">
        <f>IF(AND(K5=1,L5),SUMIFS(行动计算!AU78:AU113,行动计算!F78:F113,4),"")</f>
        <v>270563.56400000001</v>
      </c>
      <c r="T5" s="8">
        <f t="shared" si="0"/>
        <v>0</v>
      </c>
      <c r="U5" s="1">
        <f>INDEX(效果参数!$C$98:$G$98,1,H5)</f>
        <v>0.04</v>
      </c>
      <c r="V5" s="1">
        <f>INDEX(效果参数!$C$97:$G$97,1,G5)</f>
        <v>0.06</v>
      </c>
      <c r="W5" s="1">
        <f>INDEX(效果参数!$C$101:$G$101,1,I5)</f>
        <v>0.02</v>
      </c>
      <c r="X5" s="1">
        <f>INDEX(效果参数!$C$102:$G$102,1,I5)</f>
        <v>0.16</v>
      </c>
      <c r="Y5" s="1">
        <f>INDEX(效果参数!$C$100:$G$100,1,I5)</f>
        <v>0.1</v>
      </c>
      <c r="Z5" s="1">
        <f>INDEX(效果参数!$C$103:$G$103,1,J5)</f>
        <v>0.04</v>
      </c>
      <c r="AA5" s="1">
        <f>INDEX(效果参数!$C$104:$G$104,1,J5)</f>
        <v>4.0000000000000001E-3</v>
      </c>
      <c r="AB5" s="1">
        <f>INDEX(效果参数!$C$30:$H$30,1,D5+1)</f>
        <v>0.3</v>
      </c>
      <c r="AC5" s="1">
        <f>INDEX(效果参数!$C$31:$H$31,1,D5+1)</f>
        <v>0.2</v>
      </c>
      <c r="AD5" s="1">
        <f>INDEX(效果参数!$C$32:$H$32,1,D5+1)</f>
        <v>500</v>
      </c>
      <c r="AE5" s="1">
        <f>INDEX(效果参数!$C$33:$H$33,1,D5+1)</f>
        <v>0.4</v>
      </c>
      <c r="AF5" s="1">
        <f>INDEX(效果参数!$C$34:$H$34,1,D5+1)</f>
        <v>0.4</v>
      </c>
      <c r="AG5" s="1">
        <f>INDEX(效果参数!$C$43:$H$43,1,E5+1)</f>
        <v>0.3</v>
      </c>
      <c r="AH5" s="1">
        <f>INDEX(效果参数!$C$44:$H$44,1,E5+1)</f>
        <v>0.04</v>
      </c>
      <c r="AI5" s="1">
        <f>INDEX(效果参数!$C$45:$H$45,1,E5+1)</f>
        <v>5</v>
      </c>
      <c r="AJ5" s="1">
        <f>INDEX(效果参数!$C$46:$H$46,1,E5+1)</f>
        <v>1</v>
      </c>
      <c r="AK5" s="1">
        <f>INDEX(效果参数!$C$47:$H$47,1,E5+1)</f>
        <v>2</v>
      </c>
      <c r="AL5" s="1">
        <f>INDEX(效果参数!$C$48:$H$48,1,E5+1)</f>
        <v>0.08</v>
      </c>
      <c r="AM5" s="1">
        <f>INDEX(效果参数!$C$49:$H$49,1,E5+1)</f>
        <v>250</v>
      </c>
      <c r="AN5" s="1">
        <f>INDEX(效果参数!$C$50:$H$50,1,E5+1)</f>
        <v>0.15</v>
      </c>
      <c r="AO5" s="1">
        <f>INDEX(效果参数!$C$51:$H$51,1,E5+1)</f>
        <v>0.15</v>
      </c>
      <c r="AP5" s="1">
        <f>INDEX(效果参数!$C$52:$H$52,1,E5+1)</f>
        <v>0.15</v>
      </c>
      <c r="AQ5" s="1">
        <f>INDEX(效果参数!$C$53:$H$53,1,E5+1)</f>
        <v>0.15</v>
      </c>
      <c r="AR5" s="1">
        <f>INDEX(效果参数!$C$56:$H$56,1,F5+1)</f>
        <v>35</v>
      </c>
      <c r="AS5" s="1">
        <f>INDEX(效果参数!$C$57:$H$57,1,F5+1)</f>
        <v>0.01</v>
      </c>
      <c r="AT5" s="1">
        <f>INDEX(效果参数!$C$58:$H$58,1,F5+1)</f>
        <v>7</v>
      </c>
      <c r="AU5" s="1">
        <f>INDEX(效果参数!$C$59:$H$59,1,F5+1)</f>
        <v>0.5</v>
      </c>
      <c r="AV5" s="1">
        <f>INDEX(效果参数!$C$6:$H$6,1,C5+1)</f>
        <v>2</v>
      </c>
      <c r="AW5" s="1">
        <f>INDEX(效果参数!$C$7:$H$7,1,C5+1)</f>
        <v>4</v>
      </c>
      <c r="AX5" s="1">
        <f>INDEX(效果参数!$C$8:$H$8,1,C5+1)</f>
        <v>8</v>
      </c>
      <c r="AY5" s="1">
        <f>INDEX(效果参数!$C$9:$H$9,1,C5+1)</f>
        <v>0.1</v>
      </c>
      <c r="AZ5" s="1">
        <f>INDEX(效果参数!$C$10:$H$10,1,C5+1)</f>
        <v>0.2</v>
      </c>
      <c r="BA5" s="1">
        <f>INDEX(效果参数!$C$11:$H$11,1,C5+1)</f>
        <v>0.6</v>
      </c>
      <c r="BB5" s="1">
        <f>INDEX(效果参数!$C$12:$H$12,1,C5+1)</f>
        <v>1.2</v>
      </c>
      <c r="BC5" s="1">
        <f>INDEX(效果参数!$C$13:$H$13,1,C5+1)</f>
        <v>0.06</v>
      </c>
      <c r="BD5" s="1">
        <f>INDEX(效果参数!$C$14:$H$14,1,C5+1)</f>
        <v>3</v>
      </c>
      <c r="BE5" s="1">
        <f>INDEX(效果参数!$C$15:$H$15,1,C5+1)</f>
        <v>1</v>
      </c>
      <c r="BF5" s="1">
        <f>INDEX(效果参数!$C$16:$H$16,1,C5+1)</f>
        <v>2.5000000000000001E-2</v>
      </c>
      <c r="BG5" s="1">
        <f>INDEX(效果参数!$C$17:$H$17,1,C5+1)</f>
        <v>18</v>
      </c>
      <c r="BH5" s="1">
        <f>INDEX(效果参数!$C$18:$H$18,1,C5+1)</f>
        <v>18</v>
      </c>
      <c r="BI5" s="1">
        <f>INDEX(效果参数!$C$19:$H$19,1,C5+1)</f>
        <v>1</v>
      </c>
      <c r="BJ5" s="1">
        <f>INDEX(效果参数!$C$20:$H$20,1,C5+1)</f>
        <v>1</v>
      </c>
      <c r="BK5" s="1">
        <f>INDEX(效果参数!$C$21:$H$21,1,C5+1)</f>
        <v>0.2</v>
      </c>
      <c r="BL5" s="1">
        <f>INDEX(效果参数!$C$22:$H$22,1,C5+1)</f>
        <v>9</v>
      </c>
      <c r="BM5" s="1">
        <f>INDEX(效果参数!$C$23:$H$23,1,C5+1)</f>
        <v>20</v>
      </c>
      <c r="BN5" s="1">
        <f>INDEX(效果参数!$C$24:$H$24,1,C5+1)</f>
        <v>30</v>
      </c>
      <c r="BO5" s="1">
        <f>INDEX(效果参数!$C$25:$H$25,1,C5+1)</f>
        <v>1.5</v>
      </c>
      <c r="BP5" s="1">
        <f>INDEX(效果参数!$C$26:$H$26,1,C5+1)</f>
        <v>0.6</v>
      </c>
      <c r="BQ5" s="1">
        <f>INDEX(效果参数!$C$27:$H$27,1,C5+1)</f>
        <v>0.8</v>
      </c>
      <c r="BR5" s="1">
        <f>INDEX(效果参数!$C$28:$H$28,1,C5+1)</f>
        <v>1</v>
      </c>
      <c r="BS5" s="1">
        <f>INDEX(效果参数!$C$35:$H$35,1,D5+1)</f>
        <v>2.8</v>
      </c>
      <c r="BT5" s="1">
        <f>INDEX(效果参数!$C$36:$H$36,1,D5+1)</f>
        <v>1.4</v>
      </c>
      <c r="BU5" s="1">
        <f>INDEX(效果参数!$C$37:$H$37,1,D5+1)</f>
        <v>0.8</v>
      </c>
      <c r="BV5" s="1">
        <f>INDEX(效果参数!$C$38:$H$38,1,D5+1)</f>
        <v>3</v>
      </c>
      <c r="BW5" s="1">
        <f>INDEX(效果参数!$C$39:$H$39,1,D5+1)</f>
        <v>1</v>
      </c>
      <c r="BX5" s="1">
        <f>INDEX(效果参数!$C$40:$H$40,1,D5+1)</f>
        <v>2</v>
      </c>
      <c r="BY5" s="1">
        <f>INDEX(效果参数!$C$41:$H$41,1,D5+1)</f>
        <v>1</v>
      </c>
      <c r="BZ5" s="1">
        <f>IF(配置与结果!$H$24=1,AR5,MIN(AR5,MAX(0,配置与结果!$H$25)))</f>
        <v>35</v>
      </c>
      <c r="CA5" s="1">
        <f>ROUNDDOWN(配置与结果!$B$17*(1+0.05+Y5),0)</f>
        <v>2986</v>
      </c>
      <c r="CB5" s="1">
        <f>MIN(AD5,ROUNDDOWN((配置与结果!$B$16+CC5)*AC5,0))</f>
        <v>500</v>
      </c>
      <c r="CC5" s="1">
        <f t="shared" si="1"/>
        <v>238</v>
      </c>
      <c r="CD5" s="1">
        <f>INDEX(效果参数!$C$96:$G$96,1,G5)</f>
        <v>0.16</v>
      </c>
      <c r="CE5" s="1">
        <f>INDEX(效果参数!$C$42:$H$42,1,D5+1)</f>
        <v>8</v>
      </c>
      <c r="CF5" s="1">
        <f>INDEX(效果参数!$C$54:$H$54,1,E5+1)</f>
        <v>15</v>
      </c>
      <c r="CG5" s="1">
        <f>INDEX(效果参数!$C$55:$H$55,1,E5+1)</f>
        <v>1.5</v>
      </c>
      <c r="CH5" s="1">
        <f>INDEX(效果参数!$C$106:$G$106,1,H5)</f>
        <v>0.12</v>
      </c>
    </row>
    <row r="6" spans="1:86" ht="33.950000000000003" customHeight="1">
      <c r="A6" s="1">
        <f>3</f>
        <v>3</v>
      </c>
      <c r="B6" s="1" t="str">
        <f>"红弩箭 1塑"</f>
        <v>红弩箭 1塑</v>
      </c>
      <c r="C6" s="1">
        <f>1</f>
        <v>1</v>
      </c>
      <c r="D6" s="1">
        <f>配置与结果!B7</f>
        <v>0</v>
      </c>
      <c r="E6" s="1">
        <f>配置与结果!B8</f>
        <v>0</v>
      </c>
      <c r="F6" s="1">
        <f>配置与结果!B9</f>
        <v>0</v>
      </c>
      <c r="G6" s="1">
        <f>配置与结果!D6</f>
        <v>5</v>
      </c>
      <c r="H6" s="1">
        <f>配置与结果!D7</f>
        <v>1</v>
      </c>
      <c r="I6" s="1">
        <f>配置与结果!D8</f>
        <v>5</v>
      </c>
      <c r="J6" s="1">
        <f>配置与结果!D9</f>
        <v>1</v>
      </c>
      <c r="K6" s="1">
        <f>INDEX(效果参数!$C$105:$G$105,1,J6)</f>
        <v>1</v>
      </c>
      <c r="L6" s="1" t="b">
        <f>AND(K6=1,INDEX(效果参数!$C$99:$G$99,1,H6)=1,INDEX(效果参数!$C$29:$H$29,1,C6+1)=1)</f>
        <v>1</v>
      </c>
      <c r="M6" s="7">
        <f>IF(AND(K6=1,L6),SUM(行动计算!AU114:AU149),"")</f>
        <v>12079360.973999999</v>
      </c>
      <c r="N6" s="7">
        <f>IF(K6=1,SUMIFS(行动计算!AU114:AU149,行动计算!D114:D149,1),"")</f>
        <v>3133250.6940000001</v>
      </c>
      <c r="O6" s="7">
        <f>IF(L6,SUMIFS(行动计算!AU114:AU149,行动计算!D114:D149,2),"")</f>
        <v>8946110.2800000012</v>
      </c>
      <c r="P6" s="7">
        <f>IF(AND(K6=1,L6),SUMIFS(行动计算!AU114:AU149,行动计算!F114:F149,1),"")</f>
        <v>10676135</v>
      </c>
      <c r="Q6" s="7">
        <f>IF(AND(K6=1,L6),SUMIFS(行动计算!AU114:AU149,行动计算!F114:F149,2),"")</f>
        <v>642844.12</v>
      </c>
      <c r="R6" s="7">
        <f>IF(AND(K6=1,L6),SUMIFS(行动计算!AU114:AU149,行动计算!F114:F149,3),"")</f>
        <v>489818.29000000004</v>
      </c>
      <c r="S6" s="7">
        <f>IF(AND(K6=1,L6),SUMIFS(行动计算!AU114:AU149,行动计算!F114:F149,4),"")</f>
        <v>270563.56400000001</v>
      </c>
      <c r="T6" s="8">
        <f t="shared" si="0"/>
        <v>0.37788247156654631</v>
      </c>
      <c r="U6" s="1">
        <f>INDEX(效果参数!$C$98:$G$98,1,H6)</f>
        <v>0.04</v>
      </c>
      <c r="V6" s="1">
        <f>INDEX(效果参数!$C$97:$G$97,1,G6)</f>
        <v>0.06</v>
      </c>
      <c r="W6" s="1">
        <f>INDEX(效果参数!$C$101:$G$101,1,I6)</f>
        <v>0.02</v>
      </c>
      <c r="X6" s="1">
        <f>INDEX(效果参数!$C$102:$G$102,1,I6)</f>
        <v>0.16</v>
      </c>
      <c r="Y6" s="1">
        <f>INDEX(效果参数!$C$100:$G$100,1,I6)</f>
        <v>0.1</v>
      </c>
      <c r="Z6" s="1">
        <f>INDEX(效果参数!$C$103:$G$103,1,J6)</f>
        <v>0.04</v>
      </c>
      <c r="AA6" s="1">
        <f>INDEX(效果参数!$C$104:$G$104,1,J6)</f>
        <v>4.0000000000000001E-3</v>
      </c>
      <c r="AB6" s="1">
        <f>INDEX(效果参数!$C$30:$H$30,1,D6+1)</f>
        <v>0.3</v>
      </c>
      <c r="AC6" s="1">
        <f>INDEX(效果参数!$C$31:$H$31,1,D6+1)</f>
        <v>0.2</v>
      </c>
      <c r="AD6" s="1">
        <f>INDEX(效果参数!$C$32:$H$32,1,D6+1)</f>
        <v>500</v>
      </c>
      <c r="AE6" s="1">
        <f>INDEX(效果参数!$C$33:$H$33,1,D6+1)</f>
        <v>0.4</v>
      </c>
      <c r="AF6" s="1">
        <f>INDEX(效果参数!$C$34:$H$34,1,D6+1)</f>
        <v>0.4</v>
      </c>
      <c r="AG6" s="1">
        <f>INDEX(效果参数!$C$43:$H$43,1,E6+1)</f>
        <v>0.3</v>
      </c>
      <c r="AH6" s="1">
        <f>INDEX(效果参数!$C$44:$H$44,1,E6+1)</f>
        <v>0.04</v>
      </c>
      <c r="AI6" s="1">
        <f>INDEX(效果参数!$C$45:$H$45,1,E6+1)</f>
        <v>5</v>
      </c>
      <c r="AJ6" s="1">
        <f>INDEX(效果参数!$C$46:$H$46,1,E6+1)</f>
        <v>1</v>
      </c>
      <c r="AK6" s="1">
        <f>INDEX(效果参数!$C$47:$H$47,1,E6+1)</f>
        <v>2</v>
      </c>
      <c r="AL6" s="1">
        <f>INDEX(效果参数!$C$48:$H$48,1,E6+1)</f>
        <v>0.08</v>
      </c>
      <c r="AM6" s="1">
        <f>INDEX(效果参数!$C$49:$H$49,1,E6+1)</f>
        <v>250</v>
      </c>
      <c r="AN6" s="1">
        <f>INDEX(效果参数!$C$50:$H$50,1,E6+1)</f>
        <v>0.15</v>
      </c>
      <c r="AO6" s="1">
        <f>INDEX(效果参数!$C$51:$H$51,1,E6+1)</f>
        <v>0.15</v>
      </c>
      <c r="AP6" s="1">
        <f>INDEX(效果参数!$C$52:$H$52,1,E6+1)</f>
        <v>0.15</v>
      </c>
      <c r="AQ6" s="1">
        <f>INDEX(效果参数!$C$53:$H$53,1,E6+1)</f>
        <v>0.15</v>
      </c>
      <c r="AR6" s="1">
        <f>INDEX(效果参数!$C$56:$H$56,1,F6+1)</f>
        <v>35</v>
      </c>
      <c r="AS6" s="1">
        <f>INDEX(效果参数!$C$57:$H$57,1,F6+1)</f>
        <v>0.01</v>
      </c>
      <c r="AT6" s="1">
        <f>INDEX(效果参数!$C$58:$H$58,1,F6+1)</f>
        <v>7</v>
      </c>
      <c r="AU6" s="1">
        <f>INDEX(效果参数!$C$59:$H$59,1,F6+1)</f>
        <v>0.5</v>
      </c>
      <c r="AV6" s="1">
        <f>INDEX(效果参数!$C$6:$H$6,1,C6+1)</f>
        <v>2</v>
      </c>
      <c r="AW6" s="1">
        <f>INDEX(效果参数!$C$7:$H$7,1,C6+1)</f>
        <v>4</v>
      </c>
      <c r="AX6" s="1">
        <f>INDEX(效果参数!$C$8:$H$8,1,C6+1)</f>
        <v>8</v>
      </c>
      <c r="AY6" s="1">
        <f>INDEX(效果参数!$C$9:$H$9,1,C6+1)</f>
        <v>0.1</v>
      </c>
      <c r="AZ6" s="1">
        <f>INDEX(效果参数!$C$10:$H$10,1,C6+1)</f>
        <v>0.2</v>
      </c>
      <c r="BA6" s="1">
        <f>INDEX(效果参数!$C$11:$H$11,1,C6+1)</f>
        <v>0.6</v>
      </c>
      <c r="BB6" s="1">
        <f>INDEX(效果参数!$C$12:$H$12,1,C6+1)</f>
        <v>1.2</v>
      </c>
      <c r="BC6" s="1">
        <f>INDEX(效果参数!$C$13:$H$13,1,C6+1)</f>
        <v>0.06</v>
      </c>
      <c r="BD6" s="1">
        <f>INDEX(效果参数!$C$14:$H$14,1,C6+1)</f>
        <v>3</v>
      </c>
      <c r="BE6" s="1">
        <f>INDEX(效果参数!$C$15:$H$15,1,C6+1)</f>
        <v>1</v>
      </c>
      <c r="BF6" s="1">
        <f>INDEX(效果参数!$C$16:$H$16,1,C6+1)</f>
        <v>2.5000000000000001E-2</v>
      </c>
      <c r="BG6" s="1">
        <f>INDEX(效果参数!$C$17:$H$17,1,C6+1)</f>
        <v>18</v>
      </c>
      <c r="BH6" s="1">
        <f>INDEX(效果参数!$C$18:$H$18,1,C6+1)</f>
        <v>18</v>
      </c>
      <c r="BI6" s="1">
        <f>INDEX(效果参数!$C$19:$H$19,1,C6+1)</f>
        <v>1</v>
      </c>
      <c r="BJ6" s="1">
        <f>INDEX(效果参数!$C$20:$H$20,1,C6+1)</f>
        <v>1</v>
      </c>
      <c r="BK6" s="1">
        <f>INDEX(效果参数!$C$21:$H$21,1,C6+1)</f>
        <v>0.2</v>
      </c>
      <c r="BL6" s="1">
        <f>INDEX(效果参数!$C$22:$H$22,1,C6+1)</f>
        <v>15</v>
      </c>
      <c r="BM6" s="1">
        <f>INDEX(效果参数!$C$23:$H$23,1,C6+1)</f>
        <v>32</v>
      </c>
      <c r="BN6" s="1">
        <f>INDEX(效果参数!$C$24:$H$24,1,C6+1)</f>
        <v>50</v>
      </c>
      <c r="BO6" s="1">
        <f>INDEX(效果参数!$C$25:$H$25,1,C6+1)</f>
        <v>2.5</v>
      </c>
      <c r="BP6" s="1">
        <f>INDEX(效果参数!$C$26:$H$26,1,C6+1)</f>
        <v>0.6</v>
      </c>
      <c r="BQ6" s="1">
        <f>INDEX(效果参数!$C$27:$H$27,1,C6+1)</f>
        <v>0.8</v>
      </c>
      <c r="BR6" s="1">
        <f>INDEX(效果参数!$C$28:$H$28,1,C6+1)</f>
        <v>1</v>
      </c>
      <c r="BS6" s="1">
        <f>INDEX(效果参数!$C$35:$H$35,1,D6+1)</f>
        <v>2.8</v>
      </c>
      <c r="BT6" s="1">
        <f>INDEX(效果参数!$C$36:$H$36,1,D6+1)</f>
        <v>1.4</v>
      </c>
      <c r="BU6" s="1">
        <f>INDEX(效果参数!$C$37:$H$37,1,D6+1)</f>
        <v>0.8</v>
      </c>
      <c r="BV6" s="1">
        <f>INDEX(效果参数!$C$38:$H$38,1,D6+1)</f>
        <v>3</v>
      </c>
      <c r="BW6" s="1">
        <f>INDEX(效果参数!$C$39:$H$39,1,D6+1)</f>
        <v>1</v>
      </c>
      <c r="BX6" s="1">
        <f>INDEX(效果参数!$C$40:$H$40,1,D6+1)</f>
        <v>2</v>
      </c>
      <c r="BY6" s="1">
        <f>INDEX(效果参数!$C$41:$H$41,1,D6+1)</f>
        <v>1</v>
      </c>
      <c r="BZ6" s="1">
        <f>IF(配置与结果!$H$24=1,AR6,MIN(AR6,MAX(0,配置与结果!$H$25)))</f>
        <v>35</v>
      </c>
      <c r="CA6" s="1">
        <f>ROUNDDOWN(配置与结果!$B$17*(1+0.05+Y6),0)</f>
        <v>2986</v>
      </c>
      <c r="CB6" s="1">
        <f>MIN(AD6,ROUNDDOWN((配置与结果!$B$16+CC6)*AC6,0))</f>
        <v>500</v>
      </c>
      <c r="CC6" s="1">
        <f t="shared" si="1"/>
        <v>238</v>
      </c>
      <c r="CD6" s="1">
        <f>INDEX(效果参数!$C$96:$G$96,1,G6)</f>
        <v>0.16</v>
      </c>
      <c r="CE6" s="1">
        <f>INDEX(效果参数!$C$42:$H$42,1,D6+1)</f>
        <v>8</v>
      </c>
      <c r="CF6" s="1">
        <f>INDEX(效果参数!$C$54:$H$54,1,E6+1)</f>
        <v>15</v>
      </c>
      <c r="CG6" s="1">
        <f>INDEX(效果参数!$C$55:$H$55,1,E6+1)</f>
        <v>1.5</v>
      </c>
      <c r="CH6" s="1">
        <f>INDEX(效果参数!$C$106:$G$106,1,H6)</f>
        <v>0.12</v>
      </c>
    </row>
    <row r="7" spans="1:86" ht="33.950000000000003" customHeight="1">
      <c r="A7" s="1">
        <f>4</f>
        <v>4</v>
      </c>
      <c r="B7" s="1" t="str">
        <f>"红弩箭 2塑"</f>
        <v>红弩箭 2塑</v>
      </c>
      <c r="C7" s="1">
        <f>2</f>
        <v>2</v>
      </c>
      <c r="D7" s="1">
        <f>配置与结果!B7</f>
        <v>0</v>
      </c>
      <c r="E7" s="1">
        <f>配置与结果!B8</f>
        <v>0</v>
      </c>
      <c r="F7" s="1">
        <f>配置与结果!B9</f>
        <v>0</v>
      </c>
      <c r="G7" s="1">
        <f>配置与结果!D6</f>
        <v>5</v>
      </c>
      <c r="H7" s="1">
        <f>配置与结果!D7</f>
        <v>1</v>
      </c>
      <c r="I7" s="1">
        <f>配置与结果!D8</f>
        <v>5</v>
      </c>
      <c r="J7" s="1">
        <f>配置与结果!D9</f>
        <v>1</v>
      </c>
      <c r="K7" s="1">
        <f>INDEX(效果参数!$C$105:$G$105,1,J7)</f>
        <v>1</v>
      </c>
      <c r="L7" s="1" t="b">
        <f>AND(K7=1,INDEX(效果参数!$C$99:$G$99,1,H7)=1,INDEX(效果参数!$C$29:$H$29,1,C7+1)=1)</f>
        <v>1</v>
      </c>
      <c r="M7" s="7">
        <f>IF(AND(K7=1,L7),SUM(行动计算!AU150:AU185),"")</f>
        <v>13566809.974000001</v>
      </c>
      <c r="N7" s="7">
        <f>IF(K7=1,SUMIFS(行动计算!AU150:AU185,行动计算!D150:D185,1),"")</f>
        <v>4620699.6939999992</v>
      </c>
      <c r="O7" s="7">
        <f>IF(L7,SUMIFS(行动计算!AU150:AU185,行动计算!D150:D185,2),"")</f>
        <v>8946110.2800000012</v>
      </c>
      <c r="P7" s="7">
        <f>IF(AND(K7=1,L7),SUMIFS(行动计算!AU150:AU185,行动计算!F150:F185,1),"")</f>
        <v>12163584</v>
      </c>
      <c r="Q7" s="7">
        <f>IF(AND(K7=1,L7),SUMIFS(行动计算!AU150:AU185,行动计算!F150:F185,2),"")</f>
        <v>642844.12</v>
      </c>
      <c r="R7" s="7">
        <f>IF(AND(K7=1,L7),SUMIFS(行动计算!AU150:AU185,行动计算!F150:F185,3),"")</f>
        <v>489818.29000000004</v>
      </c>
      <c r="S7" s="7">
        <f>IF(AND(K7=1,L7),SUMIFS(行动计算!AU150:AU185,行动计算!F150:F185,4),"")</f>
        <v>270563.56400000001</v>
      </c>
      <c r="T7" s="8">
        <f t="shared" si="0"/>
        <v>0.54755451869392879</v>
      </c>
      <c r="U7" s="1">
        <f>INDEX(效果参数!$C$98:$G$98,1,H7)</f>
        <v>0.04</v>
      </c>
      <c r="V7" s="1">
        <f>INDEX(效果参数!$C$97:$G$97,1,G7)</f>
        <v>0.06</v>
      </c>
      <c r="W7" s="1">
        <f>INDEX(效果参数!$C$101:$G$101,1,I7)</f>
        <v>0.02</v>
      </c>
      <c r="X7" s="1">
        <f>INDEX(效果参数!$C$102:$G$102,1,I7)</f>
        <v>0.16</v>
      </c>
      <c r="Y7" s="1">
        <f>INDEX(效果参数!$C$100:$G$100,1,I7)</f>
        <v>0.1</v>
      </c>
      <c r="Z7" s="1">
        <f>INDEX(效果参数!$C$103:$G$103,1,J7)</f>
        <v>0.04</v>
      </c>
      <c r="AA7" s="1">
        <f>INDEX(效果参数!$C$104:$G$104,1,J7)</f>
        <v>4.0000000000000001E-3</v>
      </c>
      <c r="AB7" s="1">
        <f>INDEX(效果参数!$C$30:$H$30,1,D7+1)</f>
        <v>0.3</v>
      </c>
      <c r="AC7" s="1">
        <f>INDEX(效果参数!$C$31:$H$31,1,D7+1)</f>
        <v>0.2</v>
      </c>
      <c r="AD7" s="1">
        <f>INDEX(效果参数!$C$32:$H$32,1,D7+1)</f>
        <v>500</v>
      </c>
      <c r="AE7" s="1">
        <f>INDEX(效果参数!$C$33:$H$33,1,D7+1)</f>
        <v>0.4</v>
      </c>
      <c r="AF7" s="1">
        <f>INDEX(效果参数!$C$34:$H$34,1,D7+1)</f>
        <v>0.4</v>
      </c>
      <c r="AG7" s="1">
        <f>INDEX(效果参数!$C$43:$H$43,1,E7+1)</f>
        <v>0.3</v>
      </c>
      <c r="AH7" s="1">
        <f>INDEX(效果参数!$C$44:$H$44,1,E7+1)</f>
        <v>0.04</v>
      </c>
      <c r="AI7" s="1">
        <f>INDEX(效果参数!$C$45:$H$45,1,E7+1)</f>
        <v>5</v>
      </c>
      <c r="AJ7" s="1">
        <f>INDEX(效果参数!$C$46:$H$46,1,E7+1)</f>
        <v>1</v>
      </c>
      <c r="AK7" s="1">
        <f>INDEX(效果参数!$C$47:$H$47,1,E7+1)</f>
        <v>2</v>
      </c>
      <c r="AL7" s="1">
        <f>INDEX(效果参数!$C$48:$H$48,1,E7+1)</f>
        <v>0.08</v>
      </c>
      <c r="AM7" s="1">
        <f>INDEX(效果参数!$C$49:$H$49,1,E7+1)</f>
        <v>250</v>
      </c>
      <c r="AN7" s="1">
        <f>INDEX(效果参数!$C$50:$H$50,1,E7+1)</f>
        <v>0.15</v>
      </c>
      <c r="AO7" s="1">
        <f>INDEX(效果参数!$C$51:$H$51,1,E7+1)</f>
        <v>0.15</v>
      </c>
      <c r="AP7" s="1">
        <f>INDEX(效果参数!$C$52:$H$52,1,E7+1)</f>
        <v>0.15</v>
      </c>
      <c r="AQ7" s="1">
        <f>INDEX(效果参数!$C$53:$H$53,1,E7+1)</f>
        <v>0.15</v>
      </c>
      <c r="AR7" s="1">
        <f>INDEX(效果参数!$C$56:$H$56,1,F7+1)</f>
        <v>35</v>
      </c>
      <c r="AS7" s="1">
        <f>INDEX(效果参数!$C$57:$H$57,1,F7+1)</f>
        <v>0.01</v>
      </c>
      <c r="AT7" s="1">
        <f>INDEX(效果参数!$C$58:$H$58,1,F7+1)</f>
        <v>7</v>
      </c>
      <c r="AU7" s="1">
        <f>INDEX(效果参数!$C$59:$H$59,1,F7+1)</f>
        <v>0.5</v>
      </c>
      <c r="AV7" s="1">
        <f>INDEX(效果参数!$C$6:$H$6,1,C7+1)</f>
        <v>3</v>
      </c>
      <c r="AW7" s="1">
        <f>INDEX(效果参数!$C$7:$H$7,1,C7+1)</f>
        <v>6</v>
      </c>
      <c r="AX7" s="1">
        <f>INDEX(效果参数!$C$8:$H$8,1,C7+1)</f>
        <v>12</v>
      </c>
      <c r="AY7" s="1">
        <f>INDEX(效果参数!$C$9:$H$9,1,C7+1)</f>
        <v>0.3</v>
      </c>
      <c r="AZ7" s="1">
        <f>INDEX(效果参数!$C$10:$H$10,1,C7+1)</f>
        <v>0.6</v>
      </c>
      <c r="BA7" s="1">
        <f>INDEX(效果参数!$C$11:$H$11,1,C7+1)</f>
        <v>0.6</v>
      </c>
      <c r="BB7" s="1">
        <f>INDEX(效果参数!$C$12:$H$12,1,C7+1)</f>
        <v>1.2</v>
      </c>
      <c r="BC7" s="1">
        <f>INDEX(效果参数!$C$13:$H$13,1,C7+1)</f>
        <v>0.06</v>
      </c>
      <c r="BD7" s="1">
        <f>INDEX(效果参数!$C$14:$H$14,1,C7+1)</f>
        <v>5</v>
      </c>
      <c r="BE7" s="1">
        <f>INDEX(效果参数!$C$15:$H$15,1,C7+1)</f>
        <v>2</v>
      </c>
      <c r="BF7" s="1">
        <f>INDEX(效果参数!$C$16:$H$16,1,C7+1)</f>
        <v>2.5000000000000001E-2</v>
      </c>
      <c r="BG7" s="1">
        <f>INDEX(效果参数!$C$17:$H$17,1,C7+1)</f>
        <v>18</v>
      </c>
      <c r="BH7" s="1">
        <f>INDEX(效果参数!$C$18:$H$18,1,C7+1)</f>
        <v>18</v>
      </c>
      <c r="BI7" s="1">
        <f>INDEX(效果参数!$C$19:$H$19,1,C7+1)</f>
        <v>1</v>
      </c>
      <c r="BJ7" s="1">
        <f>INDEX(效果参数!$C$20:$H$20,1,C7+1)</f>
        <v>1</v>
      </c>
      <c r="BK7" s="1">
        <f>INDEX(效果参数!$C$21:$H$21,1,C7+1)</f>
        <v>0.2</v>
      </c>
      <c r="BL7" s="1">
        <f>INDEX(效果参数!$C$22:$H$22,1,C7+1)</f>
        <v>15</v>
      </c>
      <c r="BM7" s="1">
        <f>INDEX(效果参数!$C$23:$H$23,1,C7+1)</f>
        <v>32</v>
      </c>
      <c r="BN7" s="1">
        <f>INDEX(效果参数!$C$24:$H$24,1,C7+1)</f>
        <v>50</v>
      </c>
      <c r="BO7" s="1">
        <f>INDEX(效果参数!$C$25:$H$25,1,C7+1)</f>
        <v>2.5</v>
      </c>
      <c r="BP7" s="1">
        <f>INDEX(效果参数!$C$26:$H$26,1,C7+1)</f>
        <v>0.6</v>
      </c>
      <c r="BQ7" s="1">
        <f>INDEX(效果参数!$C$27:$H$27,1,C7+1)</f>
        <v>0.8</v>
      </c>
      <c r="BR7" s="1">
        <f>INDEX(效果参数!$C$28:$H$28,1,C7+1)</f>
        <v>1</v>
      </c>
      <c r="BS7" s="1">
        <f>INDEX(效果参数!$C$35:$H$35,1,D7+1)</f>
        <v>2.8</v>
      </c>
      <c r="BT7" s="1">
        <f>INDEX(效果参数!$C$36:$H$36,1,D7+1)</f>
        <v>1.4</v>
      </c>
      <c r="BU7" s="1">
        <f>INDEX(效果参数!$C$37:$H$37,1,D7+1)</f>
        <v>0.8</v>
      </c>
      <c r="BV7" s="1">
        <f>INDEX(效果参数!$C$38:$H$38,1,D7+1)</f>
        <v>3</v>
      </c>
      <c r="BW7" s="1">
        <f>INDEX(效果参数!$C$39:$H$39,1,D7+1)</f>
        <v>1</v>
      </c>
      <c r="BX7" s="1">
        <f>INDEX(效果参数!$C$40:$H$40,1,D7+1)</f>
        <v>2</v>
      </c>
      <c r="BY7" s="1">
        <f>INDEX(效果参数!$C$41:$H$41,1,D7+1)</f>
        <v>1</v>
      </c>
      <c r="BZ7" s="1">
        <f>IF(配置与结果!$H$24=1,AR7,MIN(AR7,MAX(0,配置与结果!$H$25)))</f>
        <v>35</v>
      </c>
      <c r="CA7" s="1">
        <f>ROUNDDOWN(配置与结果!$B$17*(1+0.05+Y7),0)</f>
        <v>2986</v>
      </c>
      <c r="CB7" s="1">
        <f>MIN(AD7,ROUNDDOWN((配置与结果!$B$16+CC7)*AC7,0))</f>
        <v>500</v>
      </c>
      <c r="CC7" s="1">
        <f t="shared" si="1"/>
        <v>238</v>
      </c>
      <c r="CD7" s="1">
        <f>INDEX(效果参数!$C$96:$G$96,1,G7)</f>
        <v>0.16</v>
      </c>
      <c r="CE7" s="1">
        <f>INDEX(效果参数!$C$42:$H$42,1,D7+1)</f>
        <v>8</v>
      </c>
      <c r="CF7" s="1">
        <f>INDEX(效果参数!$C$54:$H$54,1,E7+1)</f>
        <v>15</v>
      </c>
      <c r="CG7" s="1">
        <f>INDEX(效果参数!$C$55:$H$55,1,E7+1)</f>
        <v>1.5</v>
      </c>
      <c r="CH7" s="1">
        <f>INDEX(效果参数!$C$106:$G$106,1,H7)</f>
        <v>0.12</v>
      </c>
    </row>
    <row r="8" spans="1:86" ht="33.950000000000003" customHeight="1">
      <c r="A8" s="1">
        <f>5</f>
        <v>5</v>
      </c>
      <c r="B8" s="1" t="str">
        <f>"红弩箭 3塑"</f>
        <v>红弩箭 3塑</v>
      </c>
      <c r="C8" s="1">
        <f>3</f>
        <v>3</v>
      </c>
      <c r="D8" s="1">
        <f>配置与结果!B7</f>
        <v>0</v>
      </c>
      <c r="E8" s="1">
        <f>配置与结果!B8</f>
        <v>0</v>
      </c>
      <c r="F8" s="1">
        <f>配置与结果!B9</f>
        <v>0</v>
      </c>
      <c r="G8" s="1">
        <f>配置与结果!D6</f>
        <v>5</v>
      </c>
      <c r="H8" s="1">
        <f>配置与结果!D7</f>
        <v>1</v>
      </c>
      <c r="I8" s="1">
        <f>配置与结果!D8</f>
        <v>5</v>
      </c>
      <c r="J8" s="1">
        <f>配置与结果!D9</f>
        <v>1</v>
      </c>
      <c r="K8" s="1">
        <f>INDEX(效果参数!$C$105:$G$105,1,J8)</f>
        <v>1</v>
      </c>
      <c r="L8" s="1" t="b">
        <f>AND(K8=1,INDEX(效果参数!$C$99:$G$99,1,H8)=1,INDEX(效果参数!$C$29:$H$29,1,C8+1)=1)</f>
        <v>1</v>
      </c>
      <c r="M8" s="7">
        <f>IF(AND(K8=1,L8),SUM(行动计算!AU186:AU221),"")</f>
        <v>15110629.973999999</v>
      </c>
      <c r="N8" s="7">
        <f>IF(K8=1,SUMIFS(行动计算!AU186:AU221,行动计算!D186:D221,1),"")</f>
        <v>6164519.6939999992</v>
      </c>
      <c r="O8" s="7">
        <f>IF(L8,SUMIFS(行动计算!AU186:AU221,行动计算!D186:D221,2),"")</f>
        <v>8946110.2800000012</v>
      </c>
      <c r="P8" s="7">
        <f>IF(AND(K8=1,L8),SUMIFS(行动计算!AU186:AU221,行动计算!F186:F221,1),"")</f>
        <v>13707404</v>
      </c>
      <c r="Q8" s="7">
        <f>IF(AND(K8=1,L8),SUMIFS(行动计算!AU186:AU221,行动计算!F186:F221,2),"")</f>
        <v>642844.12</v>
      </c>
      <c r="R8" s="7">
        <f>IF(AND(K8=1,L8),SUMIFS(行动计算!AU186:AU221,行动计算!F186:F221,3),"")</f>
        <v>489818.29000000004</v>
      </c>
      <c r="S8" s="7">
        <f>IF(AND(K8=1,L8),SUMIFS(行动计算!AU186:AU221,行动计算!F186:F221,4),"")</f>
        <v>270563.56400000001</v>
      </c>
      <c r="T8" s="8">
        <f t="shared" si="0"/>
        <v>0.72365675802865193</v>
      </c>
      <c r="U8" s="1">
        <f>INDEX(效果参数!$C$98:$G$98,1,H8)</f>
        <v>0.04</v>
      </c>
      <c r="V8" s="1">
        <f>INDEX(效果参数!$C$97:$G$97,1,G8)</f>
        <v>0.06</v>
      </c>
      <c r="W8" s="1">
        <f>INDEX(效果参数!$C$101:$G$101,1,I8)</f>
        <v>0.02</v>
      </c>
      <c r="X8" s="1">
        <f>INDEX(效果参数!$C$102:$G$102,1,I8)</f>
        <v>0.16</v>
      </c>
      <c r="Y8" s="1">
        <f>INDEX(效果参数!$C$100:$G$100,1,I8)</f>
        <v>0.1</v>
      </c>
      <c r="Z8" s="1">
        <f>INDEX(效果参数!$C$103:$G$103,1,J8)</f>
        <v>0.04</v>
      </c>
      <c r="AA8" s="1">
        <f>INDEX(效果参数!$C$104:$G$104,1,J8)</f>
        <v>4.0000000000000001E-3</v>
      </c>
      <c r="AB8" s="1">
        <f>INDEX(效果参数!$C$30:$H$30,1,D8+1)</f>
        <v>0.3</v>
      </c>
      <c r="AC8" s="1">
        <f>INDEX(效果参数!$C$31:$H$31,1,D8+1)</f>
        <v>0.2</v>
      </c>
      <c r="AD8" s="1">
        <f>INDEX(效果参数!$C$32:$H$32,1,D8+1)</f>
        <v>500</v>
      </c>
      <c r="AE8" s="1">
        <f>INDEX(效果参数!$C$33:$H$33,1,D8+1)</f>
        <v>0.4</v>
      </c>
      <c r="AF8" s="1">
        <f>INDEX(效果参数!$C$34:$H$34,1,D8+1)</f>
        <v>0.4</v>
      </c>
      <c r="AG8" s="1">
        <f>INDEX(效果参数!$C$43:$H$43,1,E8+1)</f>
        <v>0.3</v>
      </c>
      <c r="AH8" s="1">
        <f>INDEX(效果参数!$C$44:$H$44,1,E8+1)</f>
        <v>0.04</v>
      </c>
      <c r="AI8" s="1">
        <f>INDEX(效果参数!$C$45:$H$45,1,E8+1)</f>
        <v>5</v>
      </c>
      <c r="AJ8" s="1">
        <f>INDEX(效果参数!$C$46:$H$46,1,E8+1)</f>
        <v>1</v>
      </c>
      <c r="AK8" s="1">
        <f>INDEX(效果参数!$C$47:$H$47,1,E8+1)</f>
        <v>2</v>
      </c>
      <c r="AL8" s="1">
        <f>INDEX(效果参数!$C$48:$H$48,1,E8+1)</f>
        <v>0.08</v>
      </c>
      <c r="AM8" s="1">
        <f>INDEX(效果参数!$C$49:$H$49,1,E8+1)</f>
        <v>250</v>
      </c>
      <c r="AN8" s="1">
        <f>INDEX(效果参数!$C$50:$H$50,1,E8+1)</f>
        <v>0.15</v>
      </c>
      <c r="AO8" s="1">
        <f>INDEX(效果参数!$C$51:$H$51,1,E8+1)</f>
        <v>0.15</v>
      </c>
      <c r="AP8" s="1">
        <f>INDEX(效果参数!$C$52:$H$52,1,E8+1)</f>
        <v>0.15</v>
      </c>
      <c r="AQ8" s="1">
        <f>INDEX(效果参数!$C$53:$H$53,1,E8+1)</f>
        <v>0.15</v>
      </c>
      <c r="AR8" s="1">
        <f>INDEX(效果参数!$C$56:$H$56,1,F8+1)</f>
        <v>35</v>
      </c>
      <c r="AS8" s="1">
        <f>INDEX(效果参数!$C$57:$H$57,1,F8+1)</f>
        <v>0.01</v>
      </c>
      <c r="AT8" s="1">
        <f>INDEX(效果参数!$C$58:$H$58,1,F8+1)</f>
        <v>7</v>
      </c>
      <c r="AU8" s="1">
        <f>INDEX(效果参数!$C$59:$H$59,1,F8+1)</f>
        <v>0.5</v>
      </c>
      <c r="AV8" s="1">
        <f>INDEX(效果参数!$C$6:$H$6,1,C8+1)</f>
        <v>3</v>
      </c>
      <c r="AW8" s="1">
        <f>INDEX(效果参数!$C$7:$H$7,1,C8+1)</f>
        <v>6</v>
      </c>
      <c r="AX8" s="1">
        <f>INDEX(效果参数!$C$8:$H$8,1,C8+1)</f>
        <v>12</v>
      </c>
      <c r="AY8" s="1">
        <f>INDEX(效果参数!$C$9:$H$9,1,C8+1)</f>
        <v>0.3</v>
      </c>
      <c r="AZ8" s="1">
        <f>INDEX(效果参数!$C$10:$H$10,1,C8+1)</f>
        <v>0.6</v>
      </c>
      <c r="BA8" s="1">
        <f>INDEX(效果参数!$C$11:$H$11,1,C8+1)</f>
        <v>0.6</v>
      </c>
      <c r="BB8" s="1">
        <f>INDEX(效果参数!$C$12:$H$12,1,C8+1)</f>
        <v>1.2</v>
      </c>
      <c r="BC8" s="1">
        <f>INDEX(效果参数!$C$13:$H$13,1,C8+1)</f>
        <v>0.06</v>
      </c>
      <c r="BD8" s="1">
        <f>INDEX(效果参数!$C$14:$H$14,1,C8+1)</f>
        <v>5</v>
      </c>
      <c r="BE8" s="1">
        <f>INDEX(效果参数!$C$15:$H$15,1,C8+1)</f>
        <v>2</v>
      </c>
      <c r="BF8" s="1">
        <f>INDEX(效果参数!$C$16:$H$16,1,C8+1)</f>
        <v>2.5000000000000001E-2</v>
      </c>
      <c r="BG8" s="1">
        <f>INDEX(效果参数!$C$17:$H$17,1,C8+1)</f>
        <v>36</v>
      </c>
      <c r="BH8" s="1">
        <f>INDEX(效果参数!$C$18:$H$18,1,C8+1)</f>
        <v>36</v>
      </c>
      <c r="BI8" s="1">
        <f>INDEX(效果参数!$C$19:$H$19,1,C8+1)</f>
        <v>1.8</v>
      </c>
      <c r="BJ8" s="1">
        <f>INDEX(效果参数!$C$20:$H$20,1,C8+1)</f>
        <v>1.8</v>
      </c>
      <c r="BK8" s="1">
        <f>INDEX(效果参数!$C$21:$H$21,1,C8+1)</f>
        <v>0.5</v>
      </c>
      <c r="BL8" s="1">
        <f>INDEX(效果参数!$C$22:$H$22,1,C8+1)</f>
        <v>15</v>
      </c>
      <c r="BM8" s="1">
        <f>INDEX(效果参数!$C$23:$H$23,1,C8+1)</f>
        <v>32</v>
      </c>
      <c r="BN8" s="1">
        <f>INDEX(效果参数!$C$24:$H$24,1,C8+1)</f>
        <v>50</v>
      </c>
      <c r="BO8" s="1">
        <f>INDEX(效果参数!$C$25:$H$25,1,C8+1)</f>
        <v>2.5</v>
      </c>
      <c r="BP8" s="1">
        <f>INDEX(效果参数!$C$26:$H$26,1,C8+1)</f>
        <v>0.6</v>
      </c>
      <c r="BQ8" s="1">
        <f>INDEX(效果参数!$C$27:$H$27,1,C8+1)</f>
        <v>0.8</v>
      </c>
      <c r="BR8" s="1">
        <f>INDEX(效果参数!$C$28:$H$28,1,C8+1)</f>
        <v>1</v>
      </c>
      <c r="BS8" s="1">
        <f>INDEX(效果参数!$C$35:$H$35,1,D8+1)</f>
        <v>2.8</v>
      </c>
      <c r="BT8" s="1">
        <f>INDEX(效果参数!$C$36:$H$36,1,D8+1)</f>
        <v>1.4</v>
      </c>
      <c r="BU8" s="1">
        <f>INDEX(效果参数!$C$37:$H$37,1,D8+1)</f>
        <v>0.8</v>
      </c>
      <c r="BV8" s="1">
        <f>INDEX(效果参数!$C$38:$H$38,1,D8+1)</f>
        <v>3</v>
      </c>
      <c r="BW8" s="1">
        <f>INDEX(效果参数!$C$39:$H$39,1,D8+1)</f>
        <v>1</v>
      </c>
      <c r="BX8" s="1">
        <f>INDEX(效果参数!$C$40:$H$40,1,D8+1)</f>
        <v>2</v>
      </c>
      <c r="BY8" s="1">
        <f>INDEX(效果参数!$C$41:$H$41,1,D8+1)</f>
        <v>1</v>
      </c>
      <c r="BZ8" s="1">
        <f>IF(配置与结果!$H$24=1,AR8,MIN(AR8,MAX(0,配置与结果!$H$25)))</f>
        <v>35</v>
      </c>
      <c r="CA8" s="1">
        <f>ROUNDDOWN(配置与结果!$B$17*(1+0.05+Y8),0)</f>
        <v>2986</v>
      </c>
      <c r="CB8" s="1">
        <f>MIN(AD8,ROUNDDOWN((配置与结果!$B$16+CC8)*AC8,0))</f>
        <v>500</v>
      </c>
      <c r="CC8" s="1">
        <f t="shared" si="1"/>
        <v>238</v>
      </c>
      <c r="CD8" s="1">
        <f>INDEX(效果参数!$C$96:$G$96,1,G8)</f>
        <v>0.16</v>
      </c>
      <c r="CE8" s="1">
        <f>INDEX(效果参数!$C$42:$H$42,1,D8+1)</f>
        <v>8</v>
      </c>
      <c r="CF8" s="1">
        <f>INDEX(效果参数!$C$54:$H$54,1,E8+1)</f>
        <v>15</v>
      </c>
      <c r="CG8" s="1">
        <f>INDEX(效果参数!$C$55:$H$55,1,E8+1)</f>
        <v>1.5</v>
      </c>
      <c r="CH8" s="1">
        <f>INDEX(效果参数!$C$106:$G$106,1,H8)</f>
        <v>0.12</v>
      </c>
    </row>
    <row r="9" spans="1:86" ht="33.950000000000003" customHeight="1">
      <c r="A9" s="1">
        <f>6</f>
        <v>6</v>
      </c>
      <c r="B9" s="1" t="str">
        <f>"红弩箭 4塑"</f>
        <v>红弩箭 4塑</v>
      </c>
      <c r="C9" s="1">
        <f>4</f>
        <v>4</v>
      </c>
      <c r="D9" s="1">
        <f>配置与结果!B7</f>
        <v>0</v>
      </c>
      <c r="E9" s="1">
        <f>配置与结果!B8</f>
        <v>0</v>
      </c>
      <c r="F9" s="1">
        <f>配置与结果!B9</f>
        <v>0</v>
      </c>
      <c r="G9" s="1">
        <f>配置与结果!D6</f>
        <v>5</v>
      </c>
      <c r="H9" s="1">
        <f>配置与结果!D7</f>
        <v>1</v>
      </c>
      <c r="I9" s="1">
        <f>配置与结果!D8</f>
        <v>5</v>
      </c>
      <c r="J9" s="1">
        <f>配置与结果!D9</f>
        <v>1</v>
      </c>
      <c r="K9" s="1">
        <f>INDEX(效果参数!$C$105:$G$105,1,J9)</f>
        <v>1</v>
      </c>
      <c r="L9" s="1" t="b">
        <f>AND(K9=1,INDEX(效果参数!$C$99:$G$99,1,H9)=1,INDEX(效果参数!$C$29:$H$29,1,C9+1)=1)</f>
        <v>1</v>
      </c>
      <c r="M9" s="7">
        <f>IF(AND(K9=1,L9),SUM(行动计算!AU222:AU257),"")</f>
        <v>16284948.973999999</v>
      </c>
      <c r="N9" s="7">
        <f>IF(K9=1,SUMIFS(行动计算!AU222:AU257,行动计算!D222:D257,1),"")</f>
        <v>7338838.6939999992</v>
      </c>
      <c r="O9" s="7">
        <f>IF(L9,SUMIFS(行动计算!AU222:AU257,行动计算!D222:D257,2),"")</f>
        <v>8946110.2800000012</v>
      </c>
      <c r="P9" s="7">
        <f>IF(AND(K9=1,L9),SUMIFS(行动计算!AU222:AU257,行动计算!F222:F257,1),"")</f>
        <v>14881723</v>
      </c>
      <c r="Q9" s="7">
        <f>IF(AND(K9=1,L9),SUMIFS(行动计算!AU222:AU257,行动计算!F222:F257,2),"")</f>
        <v>642844.12</v>
      </c>
      <c r="R9" s="7">
        <f>IF(AND(K9=1,L9),SUMIFS(行动计算!AU222:AU257,行动计算!F222:F257,3),"")</f>
        <v>489818.29000000004</v>
      </c>
      <c r="S9" s="7">
        <f>IF(AND(K9=1,L9),SUMIFS(行动计算!AU222:AU257,行动计算!F222:F257,4),"")</f>
        <v>270563.56400000001</v>
      </c>
      <c r="T9" s="8">
        <f t="shared" si="0"/>
        <v>0.85761033136836318</v>
      </c>
      <c r="U9" s="1">
        <f>INDEX(效果参数!$C$98:$G$98,1,H9)</f>
        <v>0.04</v>
      </c>
      <c r="V9" s="1">
        <f>INDEX(效果参数!$C$97:$G$97,1,G9)</f>
        <v>0.06</v>
      </c>
      <c r="W9" s="1">
        <f>INDEX(效果参数!$C$101:$G$101,1,I9)</f>
        <v>0.02</v>
      </c>
      <c r="X9" s="1">
        <f>INDEX(效果参数!$C$102:$G$102,1,I9)</f>
        <v>0.16</v>
      </c>
      <c r="Y9" s="1">
        <f>INDEX(效果参数!$C$100:$G$100,1,I9)</f>
        <v>0.1</v>
      </c>
      <c r="Z9" s="1">
        <f>INDEX(效果参数!$C$103:$G$103,1,J9)</f>
        <v>0.04</v>
      </c>
      <c r="AA9" s="1">
        <f>INDEX(效果参数!$C$104:$G$104,1,J9)</f>
        <v>4.0000000000000001E-3</v>
      </c>
      <c r="AB9" s="1">
        <f>INDEX(效果参数!$C$30:$H$30,1,D9+1)</f>
        <v>0.3</v>
      </c>
      <c r="AC9" s="1">
        <f>INDEX(效果参数!$C$31:$H$31,1,D9+1)</f>
        <v>0.2</v>
      </c>
      <c r="AD9" s="1">
        <f>INDEX(效果参数!$C$32:$H$32,1,D9+1)</f>
        <v>500</v>
      </c>
      <c r="AE9" s="1">
        <f>INDEX(效果参数!$C$33:$H$33,1,D9+1)</f>
        <v>0.4</v>
      </c>
      <c r="AF9" s="1">
        <f>INDEX(效果参数!$C$34:$H$34,1,D9+1)</f>
        <v>0.4</v>
      </c>
      <c r="AG9" s="1">
        <f>INDEX(效果参数!$C$43:$H$43,1,E9+1)</f>
        <v>0.3</v>
      </c>
      <c r="AH9" s="1">
        <f>INDEX(效果参数!$C$44:$H$44,1,E9+1)</f>
        <v>0.04</v>
      </c>
      <c r="AI9" s="1">
        <f>INDEX(效果参数!$C$45:$H$45,1,E9+1)</f>
        <v>5</v>
      </c>
      <c r="AJ9" s="1">
        <f>INDEX(效果参数!$C$46:$H$46,1,E9+1)</f>
        <v>1</v>
      </c>
      <c r="AK9" s="1">
        <f>INDEX(效果参数!$C$47:$H$47,1,E9+1)</f>
        <v>2</v>
      </c>
      <c r="AL9" s="1">
        <f>INDEX(效果参数!$C$48:$H$48,1,E9+1)</f>
        <v>0.08</v>
      </c>
      <c r="AM9" s="1">
        <f>INDEX(效果参数!$C$49:$H$49,1,E9+1)</f>
        <v>250</v>
      </c>
      <c r="AN9" s="1">
        <f>INDEX(效果参数!$C$50:$H$50,1,E9+1)</f>
        <v>0.15</v>
      </c>
      <c r="AO9" s="1">
        <f>INDEX(效果参数!$C$51:$H$51,1,E9+1)</f>
        <v>0.15</v>
      </c>
      <c r="AP9" s="1">
        <f>INDEX(效果参数!$C$52:$H$52,1,E9+1)</f>
        <v>0.15</v>
      </c>
      <c r="AQ9" s="1">
        <f>INDEX(效果参数!$C$53:$H$53,1,E9+1)</f>
        <v>0.15</v>
      </c>
      <c r="AR9" s="1">
        <f>INDEX(效果参数!$C$56:$H$56,1,F9+1)</f>
        <v>35</v>
      </c>
      <c r="AS9" s="1">
        <f>INDEX(效果参数!$C$57:$H$57,1,F9+1)</f>
        <v>0.01</v>
      </c>
      <c r="AT9" s="1">
        <f>INDEX(效果参数!$C$58:$H$58,1,F9+1)</f>
        <v>7</v>
      </c>
      <c r="AU9" s="1">
        <f>INDEX(效果参数!$C$59:$H$59,1,F9+1)</f>
        <v>0.5</v>
      </c>
      <c r="AV9" s="1">
        <f>INDEX(效果参数!$C$6:$H$6,1,C9+1)</f>
        <v>3</v>
      </c>
      <c r="AW9" s="1">
        <f>INDEX(效果参数!$C$7:$H$7,1,C9+1)</f>
        <v>6</v>
      </c>
      <c r="AX9" s="1">
        <f>INDEX(效果参数!$C$8:$H$8,1,C9+1)</f>
        <v>12</v>
      </c>
      <c r="AY9" s="1">
        <f>INDEX(效果参数!$C$9:$H$9,1,C9+1)</f>
        <v>0.3</v>
      </c>
      <c r="AZ9" s="1">
        <f>INDEX(效果参数!$C$10:$H$10,1,C9+1)</f>
        <v>0.6</v>
      </c>
      <c r="BA9" s="1">
        <f>INDEX(效果参数!$C$11:$H$11,1,C9+1)</f>
        <v>1</v>
      </c>
      <c r="BB9" s="1">
        <f>INDEX(效果参数!$C$12:$H$12,1,C9+1)</f>
        <v>2</v>
      </c>
      <c r="BC9" s="1">
        <f>INDEX(效果参数!$C$13:$H$13,1,C9+1)</f>
        <v>0.1</v>
      </c>
      <c r="BD9" s="1">
        <f>INDEX(效果参数!$C$14:$H$14,1,C9+1)</f>
        <v>5</v>
      </c>
      <c r="BE9" s="1">
        <f>INDEX(效果参数!$C$15:$H$15,1,C9+1)</f>
        <v>2</v>
      </c>
      <c r="BF9" s="1">
        <f>INDEX(效果参数!$C$16:$H$16,1,C9+1)</f>
        <v>0.05</v>
      </c>
      <c r="BG9" s="1">
        <f>INDEX(效果参数!$C$17:$H$17,1,C9+1)</f>
        <v>36</v>
      </c>
      <c r="BH9" s="1">
        <f>INDEX(效果参数!$C$18:$H$18,1,C9+1)</f>
        <v>36</v>
      </c>
      <c r="BI9" s="1">
        <f>INDEX(效果参数!$C$19:$H$19,1,C9+1)</f>
        <v>1.8</v>
      </c>
      <c r="BJ9" s="1">
        <f>INDEX(效果参数!$C$20:$H$20,1,C9+1)</f>
        <v>1.8</v>
      </c>
      <c r="BK9" s="1">
        <f>INDEX(效果参数!$C$21:$H$21,1,C9+1)</f>
        <v>0.5</v>
      </c>
      <c r="BL9" s="1">
        <f>INDEX(效果参数!$C$22:$H$22,1,C9+1)</f>
        <v>15</v>
      </c>
      <c r="BM9" s="1">
        <f>INDEX(效果参数!$C$23:$H$23,1,C9+1)</f>
        <v>32</v>
      </c>
      <c r="BN9" s="1">
        <f>INDEX(效果参数!$C$24:$H$24,1,C9+1)</f>
        <v>50</v>
      </c>
      <c r="BO9" s="1">
        <f>INDEX(效果参数!$C$25:$H$25,1,C9+1)</f>
        <v>2.5</v>
      </c>
      <c r="BP9" s="1">
        <f>INDEX(效果参数!$C$26:$H$26,1,C9+1)</f>
        <v>0.6</v>
      </c>
      <c r="BQ9" s="1">
        <f>INDEX(效果参数!$C$27:$H$27,1,C9+1)</f>
        <v>0.8</v>
      </c>
      <c r="BR9" s="1">
        <f>INDEX(效果参数!$C$28:$H$28,1,C9+1)</f>
        <v>1</v>
      </c>
      <c r="BS9" s="1">
        <f>INDEX(效果参数!$C$35:$H$35,1,D9+1)</f>
        <v>2.8</v>
      </c>
      <c r="BT9" s="1">
        <f>INDEX(效果参数!$C$36:$H$36,1,D9+1)</f>
        <v>1.4</v>
      </c>
      <c r="BU9" s="1">
        <f>INDEX(效果参数!$C$37:$H$37,1,D9+1)</f>
        <v>0.8</v>
      </c>
      <c r="BV9" s="1">
        <f>INDEX(效果参数!$C$38:$H$38,1,D9+1)</f>
        <v>3</v>
      </c>
      <c r="BW9" s="1">
        <f>INDEX(效果参数!$C$39:$H$39,1,D9+1)</f>
        <v>1</v>
      </c>
      <c r="BX9" s="1">
        <f>INDEX(效果参数!$C$40:$H$40,1,D9+1)</f>
        <v>2</v>
      </c>
      <c r="BY9" s="1">
        <f>INDEX(效果参数!$C$41:$H$41,1,D9+1)</f>
        <v>1</v>
      </c>
      <c r="BZ9" s="1">
        <f>IF(配置与结果!$H$24=1,AR9,MIN(AR9,MAX(0,配置与结果!$H$25)))</f>
        <v>35</v>
      </c>
      <c r="CA9" s="1">
        <f>ROUNDDOWN(配置与结果!$B$17*(1+0.05+Y9),0)</f>
        <v>2986</v>
      </c>
      <c r="CB9" s="1">
        <f>MIN(AD9,ROUNDDOWN((配置与结果!$B$16+CC9)*AC9,0))</f>
        <v>500</v>
      </c>
      <c r="CC9" s="1">
        <f t="shared" si="1"/>
        <v>238</v>
      </c>
      <c r="CD9" s="1">
        <f>INDEX(效果参数!$C$96:$G$96,1,G9)</f>
        <v>0.16</v>
      </c>
      <c r="CE9" s="1">
        <f>INDEX(效果参数!$C$42:$H$42,1,D9+1)</f>
        <v>8</v>
      </c>
      <c r="CF9" s="1">
        <f>INDEX(效果参数!$C$54:$H$54,1,E9+1)</f>
        <v>15</v>
      </c>
      <c r="CG9" s="1">
        <f>INDEX(效果参数!$C$55:$H$55,1,E9+1)</f>
        <v>1.5</v>
      </c>
      <c r="CH9" s="1">
        <f>INDEX(效果参数!$C$106:$G$106,1,H9)</f>
        <v>0.12</v>
      </c>
    </row>
    <row r="10" spans="1:86" ht="33.950000000000003" customHeight="1">
      <c r="A10" s="1">
        <f>7</f>
        <v>7</v>
      </c>
      <c r="B10" s="1" t="str">
        <f>"红弩箭 5塑"</f>
        <v>红弩箭 5塑</v>
      </c>
      <c r="C10" s="1">
        <f>5</f>
        <v>5</v>
      </c>
      <c r="D10" s="1">
        <f>配置与结果!B7</f>
        <v>0</v>
      </c>
      <c r="E10" s="1">
        <f>配置与结果!B8</f>
        <v>0</v>
      </c>
      <c r="F10" s="1">
        <f>配置与结果!B9</f>
        <v>0</v>
      </c>
      <c r="G10" s="1">
        <f>配置与结果!D6</f>
        <v>5</v>
      </c>
      <c r="H10" s="1">
        <f>配置与结果!D7</f>
        <v>1</v>
      </c>
      <c r="I10" s="1">
        <f>配置与结果!D8</f>
        <v>5</v>
      </c>
      <c r="J10" s="1">
        <f>配置与结果!D9</f>
        <v>1</v>
      </c>
      <c r="K10" s="1">
        <f>INDEX(效果参数!$C$105:$G$105,1,J10)</f>
        <v>1</v>
      </c>
      <c r="L10" s="1" t="b">
        <f>AND(K10=1,INDEX(效果参数!$C$99:$G$99,1,H10)=1,INDEX(效果参数!$C$29:$H$29,1,C10+1)=1)</f>
        <v>1</v>
      </c>
      <c r="M10" s="7">
        <f>IF(AND(K10=1,L10),SUM(行动计算!AU258:AU293),"")</f>
        <v>20939647.973999999</v>
      </c>
      <c r="N10" s="7">
        <f>IF(K10=1,SUMIFS(行动计算!AU258:AU293,行动计算!D258:D293,1),"")</f>
        <v>7338838.6939999992</v>
      </c>
      <c r="O10" s="7">
        <f>IF(L10,SUMIFS(行动计算!AU258:AU293,行动计算!D258:D293,2),"")</f>
        <v>13600809.280000001</v>
      </c>
      <c r="P10" s="7">
        <f>IF(AND(K10=1,L10),SUMIFS(行动计算!AU258:AU293,行动计算!F258:F293,1),"")</f>
        <v>19536422</v>
      </c>
      <c r="Q10" s="7">
        <f>IF(AND(K10=1,L10),SUMIFS(行动计算!AU258:AU293,行动计算!F258:F293,2),"")</f>
        <v>642844.12</v>
      </c>
      <c r="R10" s="7">
        <f>IF(AND(K10=1,L10),SUMIFS(行动计算!AU258:AU293,行动计算!F258:F293,3),"")</f>
        <v>489818.29000000004</v>
      </c>
      <c r="S10" s="7">
        <f>IF(AND(K10=1,L10),SUMIFS(行动计算!AU258:AU293,行动计算!F258:F293,4),"")</f>
        <v>270563.56400000001</v>
      </c>
      <c r="T10" s="8">
        <f t="shared" si="0"/>
        <v>1.3885679024123307</v>
      </c>
      <c r="U10" s="1">
        <f>INDEX(效果参数!$C$98:$G$98,1,H10)</f>
        <v>0.04</v>
      </c>
      <c r="V10" s="1">
        <f>INDEX(效果参数!$C$97:$G$97,1,G10)</f>
        <v>0.06</v>
      </c>
      <c r="W10" s="1">
        <f>INDEX(效果参数!$C$101:$G$101,1,I10)</f>
        <v>0.02</v>
      </c>
      <c r="X10" s="1">
        <f>INDEX(效果参数!$C$102:$G$102,1,I10)</f>
        <v>0.16</v>
      </c>
      <c r="Y10" s="1">
        <f>INDEX(效果参数!$C$100:$G$100,1,I10)</f>
        <v>0.1</v>
      </c>
      <c r="Z10" s="1">
        <f>INDEX(效果参数!$C$103:$G$103,1,J10)</f>
        <v>0.04</v>
      </c>
      <c r="AA10" s="1">
        <f>INDEX(效果参数!$C$104:$G$104,1,J10)</f>
        <v>4.0000000000000001E-3</v>
      </c>
      <c r="AB10" s="1">
        <f>INDEX(效果参数!$C$30:$H$30,1,D10+1)</f>
        <v>0.3</v>
      </c>
      <c r="AC10" s="1">
        <f>INDEX(效果参数!$C$31:$H$31,1,D10+1)</f>
        <v>0.2</v>
      </c>
      <c r="AD10" s="1">
        <f>INDEX(效果参数!$C$32:$H$32,1,D10+1)</f>
        <v>500</v>
      </c>
      <c r="AE10" s="1">
        <f>INDEX(效果参数!$C$33:$H$33,1,D10+1)</f>
        <v>0.4</v>
      </c>
      <c r="AF10" s="1">
        <f>INDEX(效果参数!$C$34:$H$34,1,D10+1)</f>
        <v>0.4</v>
      </c>
      <c r="AG10" s="1">
        <f>INDEX(效果参数!$C$43:$H$43,1,E10+1)</f>
        <v>0.3</v>
      </c>
      <c r="AH10" s="1">
        <f>INDEX(效果参数!$C$44:$H$44,1,E10+1)</f>
        <v>0.04</v>
      </c>
      <c r="AI10" s="1">
        <f>INDEX(效果参数!$C$45:$H$45,1,E10+1)</f>
        <v>5</v>
      </c>
      <c r="AJ10" s="1">
        <f>INDEX(效果参数!$C$46:$H$46,1,E10+1)</f>
        <v>1</v>
      </c>
      <c r="AK10" s="1">
        <f>INDEX(效果参数!$C$47:$H$47,1,E10+1)</f>
        <v>2</v>
      </c>
      <c r="AL10" s="1">
        <f>INDEX(效果参数!$C$48:$H$48,1,E10+1)</f>
        <v>0.08</v>
      </c>
      <c r="AM10" s="1">
        <f>INDEX(效果参数!$C$49:$H$49,1,E10+1)</f>
        <v>250</v>
      </c>
      <c r="AN10" s="1">
        <f>INDEX(效果参数!$C$50:$H$50,1,E10+1)</f>
        <v>0.15</v>
      </c>
      <c r="AO10" s="1">
        <f>INDEX(效果参数!$C$51:$H$51,1,E10+1)</f>
        <v>0.15</v>
      </c>
      <c r="AP10" s="1">
        <f>INDEX(效果参数!$C$52:$H$52,1,E10+1)</f>
        <v>0.15</v>
      </c>
      <c r="AQ10" s="1">
        <f>INDEX(效果参数!$C$53:$H$53,1,E10+1)</f>
        <v>0.15</v>
      </c>
      <c r="AR10" s="1">
        <f>INDEX(效果参数!$C$56:$H$56,1,F10+1)</f>
        <v>35</v>
      </c>
      <c r="AS10" s="1">
        <f>INDEX(效果参数!$C$57:$H$57,1,F10+1)</f>
        <v>0.01</v>
      </c>
      <c r="AT10" s="1">
        <f>INDEX(效果参数!$C$58:$H$58,1,F10+1)</f>
        <v>7</v>
      </c>
      <c r="AU10" s="1">
        <f>INDEX(效果参数!$C$59:$H$59,1,F10+1)</f>
        <v>0.5</v>
      </c>
      <c r="AV10" s="1">
        <f>INDEX(效果参数!$C$6:$H$6,1,C10+1)</f>
        <v>3</v>
      </c>
      <c r="AW10" s="1">
        <f>INDEX(效果参数!$C$7:$H$7,1,C10+1)</f>
        <v>6</v>
      </c>
      <c r="AX10" s="1">
        <f>INDEX(效果参数!$C$8:$H$8,1,C10+1)</f>
        <v>12</v>
      </c>
      <c r="AY10" s="1">
        <f>INDEX(效果参数!$C$9:$H$9,1,C10+1)</f>
        <v>0.3</v>
      </c>
      <c r="AZ10" s="1">
        <f>INDEX(效果参数!$C$10:$H$10,1,C10+1)</f>
        <v>0.6</v>
      </c>
      <c r="BA10" s="1">
        <f>INDEX(效果参数!$C$11:$H$11,1,C10+1)</f>
        <v>1</v>
      </c>
      <c r="BB10" s="1">
        <f>INDEX(效果参数!$C$12:$H$12,1,C10+1)</f>
        <v>2</v>
      </c>
      <c r="BC10" s="1">
        <f>INDEX(效果参数!$C$13:$H$13,1,C10+1)</f>
        <v>0.1</v>
      </c>
      <c r="BD10" s="1">
        <f>INDEX(效果参数!$C$14:$H$14,1,C10+1)</f>
        <v>5</v>
      </c>
      <c r="BE10" s="1">
        <f>INDEX(效果参数!$C$15:$H$15,1,C10+1)</f>
        <v>2</v>
      </c>
      <c r="BF10" s="1">
        <f>INDEX(效果参数!$C$16:$H$16,1,C10+1)</f>
        <v>0.05</v>
      </c>
      <c r="BG10" s="1">
        <f>INDEX(效果参数!$C$17:$H$17,1,C10+1)</f>
        <v>36</v>
      </c>
      <c r="BH10" s="1">
        <f>INDEX(效果参数!$C$18:$H$18,1,C10+1)</f>
        <v>36</v>
      </c>
      <c r="BI10" s="1">
        <f>INDEX(效果参数!$C$19:$H$19,1,C10+1)</f>
        <v>1.8</v>
      </c>
      <c r="BJ10" s="1">
        <f>INDEX(效果参数!$C$20:$H$20,1,C10+1)</f>
        <v>1.8</v>
      </c>
      <c r="BK10" s="1">
        <f>INDEX(效果参数!$C$21:$H$21,1,C10+1)</f>
        <v>0.5</v>
      </c>
      <c r="BL10" s="1">
        <f>INDEX(效果参数!$C$22:$H$22,1,C10+1)</f>
        <v>22</v>
      </c>
      <c r="BM10" s="1">
        <f>INDEX(效果参数!$C$23:$H$23,1,C10+1)</f>
        <v>48</v>
      </c>
      <c r="BN10" s="1">
        <f>INDEX(效果参数!$C$24:$H$24,1,C10+1)</f>
        <v>70</v>
      </c>
      <c r="BO10" s="1">
        <f>INDEX(效果参数!$C$25:$H$25,1,C10+1)</f>
        <v>3.5</v>
      </c>
      <c r="BP10" s="1">
        <f>INDEX(效果参数!$C$26:$H$26,1,C10+1)</f>
        <v>0.8</v>
      </c>
      <c r="BQ10" s="1">
        <f>INDEX(效果参数!$C$27:$H$27,1,C10+1)</f>
        <v>1</v>
      </c>
      <c r="BR10" s="1">
        <f>INDEX(效果参数!$C$28:$H$28,1,C10+1)</f>
        <v>1.25</v>
      </c>
      <c r="BS10" s="1">
        <f>INDEX(效果参数!$C$35:$H$35,1,D10+1)</f>
        <v>2.8</v>
      </c>
      <c r="BT10" s="1">
        <f>INDEX(效果参数!$C$36:$H$36,1,D10+1)</f>
        <v>1.4</v>
      </c>
      <c r="BU10" s="1">
        <f>INDEX(效果参数!$C$37:$H$37,1,D10+1)</f>
        <v>0.8</v>
      </c>
      <c r="BV10" s="1">
        <f>INDEX(效果参数!$C$38:$H$38,1,D10+1)</f>
        <v>3</v>
      </c>
      <c r="BW10" s="1">
        <f>INDEX(效果参数!$C$39:$H$39,1,D10+1)</f>
        <v>1</v>
      </c>
      <c r="BX10" s="1">
        <f>INDEX(效果参数!$C$40:$H$40,1,D10+1)</f>
        <v>2</v>
      </c>
      <c r="BY10" s="1">
        <f>INDEX(效果参数!$C$41:$H$41,1,D10+1)</f>
        <v>1</v>
      </c>
      <c r="BZ10" s="1">
        <f>IF(配置与结果!$H$24=1,AR10,MIN(AR10,MAX(0,配置与结果!$H$25)))</f>
        <v>35</v>
      </c>
      <c r="CA10" s="1">
        <f>ROUNDDOWN(配置与结果!$B$17*(1+0.05+Y10),0)</f>
        <v>2986</v>
      </c>
      <c r="CB10" s="1">
        <f>MIN(AD10,ROUNDDOWN((配置与结果!$B$16+CC10)*AC10,0))</f>
        <v>500</v>
      </c>
      <c r="CC10" s="1">
        <f t="shared" si="1"/>
        <v>238</v>
      </c>
      <c r="CD10" s="1">
        <f>INDEX(效果参数!$C$96:$G$96,1,G10)</f>
        <v>0.16</v>
      </c>
      <c r="CE10" s="1">
        <f>INDEX(效果参数!$C$42:$H$42,1,D10+1)</f>
        <v>8</v>
      </c>
      <c r="CF10" s="1">
        <f>INDEX(效果参数!$C$54:$H$54,1,E10+1)</f>
        <v>15</v>
      </c>
      <c r="CG10" s="1">
        <f>INDEX(效果参数!$C$55:$H$55,1,E10+1)</f>
        <v>1.5</v>
      </c>
      <c r="CH10" s="1">
        <f>INDEX(效果参数!$C$106:$G$106,1,H10)</f>
        <v>0.12</v>
      </c>
    </row>
    <row r="11" spans="1:86" ht="33.950000000000003" customHeight="1">
      <c r="A11" s="1">
        <f>8</f>
        <v>8</v>
      </c>
      <c r="B11" s="1" t="str">
        <f>"37 0塑"</f>
        <v>37 0塑</v>
      </c>
      <c r="C11" s="1">
        <f>配置与结果!B6</f>
        <v>0</v>
      </c>
      <c r="D11" s="1">
        <f>0</f>
        <v>0</v>
      </c>
      <c r="E11" s="1">
        <f>配置与结果!B8</f>
        <v>0</v>
      </c>
      <c r="F11" s="1">
        <f>配置与结果!B9</f>
        <v>0</v>
      </c>
      <c r="G11" s="1">
        <f>配置与结果!D6</f>
        <v>5</v>
      </c>
      <c r="H11" s="1">
        <f>配置与结果!D7</f>
        <v>1</v>
      </c>
      <c r="I11" s="1">
        <f>配置与结果!D8</f>
        <v>5</v>
      </c>
      <c r="J11" s="1">
        <f>配置与结果!D9</f>
        <v>1</v>
      </c>
      <c r="K11" s="1">
        <f>INDEX(效果参数!$C$105:$G$105,1,J11)</f>
        <v>1</v>
      </c>
      <c r="L11" s="1" t="b">
        <f>AND(K11=1,INDEX(效果参数!$C$99:$G$99,1,H11)=1,INDEX(效果参数!$C$29:$H$29,1,C11+1)=1)</f>
        <v>1</v>
      </c>
      <c r="M11" s="7">
        <f>IF(AND(K11=1,L11),SUM(行动计算!AU294:AU329),"")</f>
        <v>8766611.9739999995</v>
      </c>
      <c r="N11" s="7">
        <f>IF(K11=1,SUMIFS(行动计算!AU294:AU329,行动计算!D294:D329,1),"")</f>
        <v>3133250.6940000001</v>
      </c>
      <c r="O11" s="7">
        <f>IF(L11,SUMIFS(行动计算!AU294:AU329,行动计算!D294:D329,2),"")</f>
        <v>5633361.2799999993</v>
      </c>
      <c r="P11" s="7">
        <f>IF(AND(K11=1,L11),SUMIFS(行动计算!AU294:AU329,行动计算!F294:F329,1),"")</f>
        <v>7363386</v>
      </c>
      <c r="Q11" s="7">
        <f>IF(AND(K11=1,L11),SUMIFS(行动计算!AU294:AU329,行动计算!F294:F329,2),"")</f>
        <v>642844.12</v>
      </c>
      <c r="R11" s="7">
        <f>IF(AND(K11=1,L11),SUMIFS(行动计算!AU294:AU329,行动计算!F294:F329,3),"")</f>
        <v>489818.29000000004</v>
      </c>
      <c r="S11" s="7">
        <f>IF(AND(K11=1,L11),SUMIFS(行动计算!AU294:AU329,行动计算!F294:F329,4),"")</f>
        <v>270563.56400000001</v>
      </c>
      <c r="T11" s="8">
        <f t="shared" si="0"/>
        <v>0</v>
      </c>
      <c r="U11" s="1">
        <f>INDEX(效果参数!$C$98:$G$98,1,H11)</f>
        <v>0.04</v>
      </c>
      <c r="V11" s="1">
        <f>INDEX(效果参数!$C$97:$G$97,1,G11)</f>
        <v>0.06</v>
      </c>
      <c r="W11" s="1">
        <f>INDEX(效果参数!$C$101:$G$101,1,I11)</f>
        <v>0.02</v>
      </c>
      <c r="X11" s="1">
        <f>INDEX(效果参数!$C$102:$G$102,1,I11)</f>
        <v>0.16</v>
      </c>
      <c r="Y11" s="1">
        <f>INDEX(效果参数!$C$100:$G$100,1,I11)</f>
        <v>0.1</v>
      </c>
      <c r="Z11" s="1">
        <f>INDEX(效果参数!$C$103:$G$103,1,J11)</f>
        <v>0.04</v>
      </c>
      <c r="AA11" s="1">
        <f>INDEX(效果参数!$C$104:$G$104,1,J11)</f>
        <v>4.0000000000000001E-3</v>
      </c>
      <c r="AB11" s="1">
        <f>INDEX(效果参数!$C$30:$H$30,1,D11+1)</f>
        <v>0.3</v>
      </c>
      <c r="AC11" s="1">
        <f>INDEX(效果参数!$C$31:$H$31,1,D11+1)</f>
        <v>0.2</v>
      </c>
      <c r="AD11" s="1">
        <f>INDEX(效果参数!$C$32:$H$32,1,D11+1)</f>
        <v>500</v>
      </c>
      <c r="AE11" s="1">
        <f>INDEX(效果参数!$C$33:$H$33,1,D11+1)</f>
        <v>0.4</v>
      </c>
      <c r="AF11" s="1">
        <f>INDEX(效果参数!$C$34:$H$34,1,D11+1)</f>
        <v>0.4</v>
      </c>
      <c r="AG11" s="1">
        <f>INDEX(效果参数!$C$43:$H$43,1,E11+1)</f>
        <v>0.3</v>
      </c>
      <c r="AH11" s="1">
        <f>INDEX(效果参数!$C$44:$H$44,1,E11+1)</f>
        <v>0.04</v>
      </c>
      <c r="AI11" s="1">
        <f>INDEX(效果参数!$C$45:$H$45,1,E11+1)</f>
        <v>5</v>
      </c>
      <c r="AJ11" s="1">
        <f>INDEX(效果参数!$C$46:$H$46,1,E11+1)</f>
        <v>1</v>
      </c>
      <c r="AK11" s="1">
        <f>INDEX(效果参数!$C$47:$H$47,1,E11+1)</f>
        <v>2</v>
      </c>
      <c r="AL11" s="1">
        <f>INDEX(效果参数!$C$48:$H$48,1,E11+1)</f>
        <v>0.08</v>
      </c>
      <c r="AM11" s="1">
        <f>INDEX(效果参数!$C$49:$H$49,1,E11+1)</f>
        <v>250</v>
      </c>
      <c r="AN11" s="1">
        <f>INDEX(效果参数!$C$50:$H$50,1,E11+1)</f>
        <v>0.15</v>
      </c>
      <c r="AO11" s="1">
        <f>INDEX(效果参数!$C$51:$H$51,1,E11+1)</f>
        <v>0.15</v>
      </c>
      <c r="AP11" s="1">
        <f>INDEX(效果参数!$C$52:$H$52,1,E11+1)</f>
        <v>0.15</v>
      </c>
      <c r="AQ11" s="1">
        <f>INDEX(效果参数!$C$53:$H$53,1,E11+1)</f>
        <v>0.15</v>
      </c>
      <c r="AR11" s="1">
        <f>INDEX(效果参数!$C$56:$H$56,1,F11+1)</f>
        <v>35</v>
      </c>
      <c r="AS11" s="1">
        <f>INDEX(效果参数!$C$57:$H$57,1,F11+1)</f>
        <v>0.01</v>
      </c>
      <c r="AT11" s="1">
        <f>INDEX(效果参数!$C$58:$H$58,1,F11+1)</f>
        <v>7</v>
      </c>
      <c r="AU11" s="1">
        <f>INDEX(效果参数!$C$59:$H$59,1,F11+1)</f>
        <v>0.5</v>
      </c>
      <c r="AV11" s="1">
        <f>INDEX(效果参数!$C$6:$H$6,1,C11+1)</f>
        <v>2</v>
      </c>
      <c r="AW11" s="1">
        <f>INDEX(效果参数!$C$7:$H$7,1,C11+1)</f>
        <v>4</v>
      </c>
      <c r="AX11" s="1">
        <f>INDEX(效果参数!$C$8:$H$8,1,C11+1)</f>
        <v>8</v>
      </c>
      <c r="AY11" s="1">
        <f>INDEX(效果参数!$C$9:$H$9,1,C11+1)</f>
        <v>0.1</v>
      </c>
      <c r="AZ11" s="1">
        <f>INDEX(效果参数!$C$10:$H$10,1,C11+1)</f>
        <v>0.2</v>
      </c>
      <c r="BA11" s="1">
        <f>INDEX(效果参数!$C$11:$H$11,1,C11+1)</f>
        <v>0.6</v>
      </c>
      <c r="BB11" s="1">
        <f>INDEX(效果参数!$C$12:$H$12,1,C11+1)</f>
        <v>1.2</v>
      </c>
      <c r="BC11" s="1">
        <f>INDEX(效果参数!$C$13:$H$13,1,C11+1)</f>
        <v>0.06</v>
      </c>
      <c r="BD11" s="1">
        <f>INDEX(效果参数!$C$14:$H$14,1,C11+1)</f>
        <v>3</v>
      </c>
      <c r="BE11" s="1">
        <f>INDEX(效果参数!$C$15:$H$15,1,C11+1)</f>
        <v>1</v>
      </c>
      <c r="BF11" s="1">
        <f>INDEX(效果参数!$C$16:$H$16,1,C11+1)</f>
        <v>2.5000000000000001E-2</v>
      </c>
      <c r="BG11" s="1">
        <f>INDEX(效果参数!$C$17:$H$17,1,C11+1)</f>
        <v>18</v>
      </c>
      <c r="BH11" s="1">
        <f>INDEX(效果参数!$C$18:$H$18,1,C11+1)</f>
        <v>18</v>
      </c>
      <c r="BI11" s="1">
        <f>INDEX(效果参数!$C$19:$H$19,1,C11+1)</f>
        <v>1</v>
      </c>
      <c r="BJ11" s="1">
        <f>INDEX(效果参数!$C$20:$H$20,1,C11+1)</f>
        <v>1</v>
      </c>
      <c r="BK11" s="1">
        <f>INDEX(效果参数!$C$21:$H$21,1,C11+1)</f>
        <v>0.2</v>
      </c>
      <c r="BL11" s="1">
        <f>INDEX(效果参数!$C$22:$H$22,1,C11+1)</f>
        <v>9</v>
      </c>
      <c r="BM11" s="1">
        <f>INDEX(效果参数!$C$23:$H$23,1,C11+1)</f>
        <v>20</v>
      </c>
      <c r="BN11" s="1">
        <f>INDEX(效果参数!$C$24:$H$24,1,C11+1)</f>
        <v>30</v>
      </c>
      <c r="BO11" s="1">
        <f>INDEX(效果参数!$C$25:$H$25,1,C11+1)</f>
        <v>1.5</v>
      </c>
      <c r="BP11" s="1">
        <f>INDEX(效果参数!$C$26:$H$26,1,C11+1)</f>
        <v>0.6</v>
      </c>
      <c r="BQ11" s="1">
        <f>INDEX(效果参数!$C$27:$H$27,1,C11+1)</f>
        <v>0.8</v>
      </c>
      <c r="BR11" s="1">
        <f>INDEX(效果参数!$C$28:$H$28,1,C11+1)</f>
        <v>1</v>
      </c>
      <c r="BS11" s="1">
        <f>INDEX(效果参数!$C$35:$H$35,1,D11+1)</f>
        <v>2.8</v>
      </c>
      <c r="BT11" s="1">
        <f>INDEX(效果参数!$C$36:$H$36,1,D11+1)</f>
        <v>1.4</v>
      </c>
      <c r="BU11" s="1">
        <f>INDEX(效果参数!$C$37:$H$37,1,D11+1)</f>
        <v>0.8</v>
      </c>
      <c r="BV11" s="1">
        <f>INDEX(效果参数!$C$38:$H$38,1,D11+1)</f>
        <v>3</v>
      </c>
      <c r="BW11" s="1">
        <f>INDEX(效果参数!$C$39:$H$39,1,D11+1)</f>
        <v>1</v>
      </c>
      <c r="BX11" s="1">
        <f>INDEX(效果参数!$C$40:$H$40,1,D11+1)</f>
        <v>2</v>
      </c>
      <c r="BY11" s="1">
        <f>INDEX(效果参数!$C$41:$H$41,1,D11+1)</f>
        <v>1</v>
      </c>
      <c r="BZ11" s="1">
        <f>IF(配置与结果!$H$24=1,AR11,MIN(AR11,MAX(0,配置与结果!$H$25)))</f>
        <v>35</v>
      </c>
      <c r="CA11" s="1">
        <f>ROUNDDOWN(配置与结果!$B$17*(1+0.05+Y11),0)</f>
        <v>2986</v>
      </c>
      <c r="CB11" s="1">
        <f>MIN(AD11,ROUNDDOWN((配置与结果!$B$16+CC11)*AC11,0))</f>
        <v>500</v>
      </c>
      <c r="CC11" s="1">
        <f t="shared" si="1"/>
        <v>238</v>
      </c>
      <c r="CD11" s="1">
        <f>INDEX(效果参数!$C$96:$G$96,1,G11)</f>
        <v>0.16</v>
      </c>
      <c r="CE11" s="1">
        <f>INDEX(效果参数!$C$42:$H$42,1,D11+1)</f>
        <v>8</v>
      </c>
      <c r="CF11" s="1">
        <f>INDEX(效果参数!$C$54:$H$54,1,E11+1)</f>
        <v>15</v>
      </c>
      <c r="CG11" s="1">
        <f>INDEX(效果参数!$C$55:$H$55,1,E11+1)</f>
        <v>1.5</v>
      </c>
      <c r="CH11" s="1">
        <f>INDEX(效果参数!$C$106:$G$106,1,H11)</f>
        <v>0.12</v>
      </c>
    </row>
    <row r="12" spans="1:86" ht="33.950000000000003" customHeight="1">
      <c r="A12" s="1">
        <f>9</f>
        <v>9</v>
      </c>
      <c r="B12" s="1" t="str">
        <f>"37 1塑"</f>
        <v>37 1塑</v>
      </c>
      <c r="C12" s="1">
        <f>配置与结果!B6</f>
        <v>0</v>
      </c>
      <c r="D12" s="1">
        <f>1</f>
        <v>1</v>
      </c>
      <c r="E12" s="1">
        <f>配置与结果!B8</f>
        <v>0</v>
      </c>
      <c r="F12" s="1">
        <f>配置与结果!B9</f>
        <v>0</v>
      </c>
      <c r="G12" s="1">
        <f>配置与结果!D6</f>
        <v>5</v>
      </c>
      <c r="H12" s="1">
        <f>配置与结果!D7</f>
        <v>1</v>
      </c>
      <c r="I12" s="1">
        <f>配置与结果!D8</f>
        <v>5</v>
      </c>
      <c r="J12" s="1">
        <f>配置与结果!D9</f>
        <v>1</v>
      </c>
      <c r="K12" s="1">
        <f>INDEX(效果参数!$C$105:$G$105,1,J12)</f>
        <v>1</v>
      </c>
      <c r="L12" s="1" t="b">
        <f>AND(K12=1,INDEX(效果参数!$C$99:$G$99,1,H12)=1,INDEX(效果参数!$C$29:$H$29,1,C12+1)=1)</f>
        <v>1</v>
      </c>
      <c r="M12" s="7">
        <f>IF(AND(K12=1,L12),SUM(行动计算!AU330:AU365),"")</f>
        <v>8981207.8539999984</v>
      </c>
      <c r="N12" s="7">
        <f>IF(K12=1,SUMIFS(行动计算!AU330:AU365,行动计算!D330:D365,1),"")</f>
        <v>3265669.8539999994</v>
      </c>
      <c r="O12" s="7">
        <f>IF(L12,SUMIFS(行动计算!AU330:AU365,行动计算!D330:D365,2),"")</f>
        <v>5715538</v>
      </c>
      <c r="P12" s="7">
        <f>IF(AND(K12=1,L12),SUMIFS(行动计算!AU330:AU365,行动计算!F330:F365,1),"")</f>
        <v>7363386</v>
      </c>
      <c r="Q12" s="7">
        <f>IF(AND(K12=1,L12),SUMIFS(行动计算!AU330:AU365,行动计算!F330:F365,2),"")</f>
        <v>744289</v>
      </c>
      <c r="R12" s="7">
        <f>IF(AND(K12=1,L12),SUMIFS(行动计算!AU330:AU365,行动计算!F330:F365,3),"")</f>
        <v>560761.68999999994</v>
      </c>
      <c r="S12" s="7">
        <f>IF(AND(K12=1,L12),SUMIFS(行动计算!AU330:AU365,行动计算!F330:F365,4),"")</f>
        <v>312771.16399999999</v>
      </c>
      <c r="T12" s="8">
        <f t="shared" si="0"/>
        <v>2.4478770206374678E-2</v>
      </c>
      <c r="U12" s="1">
        <f>INDEX(效果参数!$C$98:$G$98,1,H12)</f>
        <v>0.04</v>
      </c>
      <c r="V12" s="1">
        <f>INDEX(效果参数!$C$97:$G$97,1,G12)</f>
        <v>0.06</v>
      </c>
      <c r="W12" s="1">
        <f>INDEX(效果参数!$C$101:$G$101,1,I12)</f>
        <v>0.02</v>
      </c>
      <c r="X12" s="1">
        <f>INDEX(效果参数!$C$102:$G$102,1,I12)</f>
        <v>0.16</v>
      </c>
      <c r="Y12" s="1">
        <f>INDEX(效果参数!$C$100:$G$100,1,I12)</f>
        <v>0.1</v>
      </c>
      <c r="Z12" s="1">
        <f>INDEX(效果参数!$C$103:$G$103,1,J12)</f>
        <v>0.04</v>
      </c>
      <c r="AA12" s="1">
        <f>INDEX(效果参数!$C$104:$G$104,1,J12)</f>
        <v>4.0000000000000001E-3</v>
      </c>
      <c r="AB12" s="1">
        <f>INDEX(效果参数!$C$30:$H$30,1,D12+1)</f>
        <v>0.6</v>
      </c>
      <c r="AC12" s="1">
        <f>INDEX(效果参数!$C$31:$H$31,1,D12+1)</f>
        <v>0.2</v>
      </c>
      <c r="AD12" s="1">
        <f>INDEX(效果参数!$C$32:$H$32,1,D12+1)</f>
        <v>500</v>
      </c>
      <c r="AE12" s="1">
        <f>INDEX(效果参数!$C$33:$H$33,1,D12+1)</f>
        <v>0.4</v>
      </c>
      <c r="AF12" s="1">
        <f>INDEX(效果参数!$C$34:$H$34,1,D12+1)</f>
        <v>0.4</v>
      </c>
      <c r="AG12" s="1">
        <f>INDEX(效果参数!$C$43:$H$43,1,E12+1)</f>
        <v>0.3</v>
      </c>
      <c r="AH12" s="1">
        <f>INDEX(效果参数!$C$44:$H$44,1,E12+1)</f>
        <v>0.04</v>
      </c>
      <c r="AI12" s="1">
        <f>INDEX(效果参数!$C$45:$H$45,1,E12+1)</f>
        <v>5</v>
      </c>
      <c r="AJ12" s="1">
        <f>INDEX(效果参数!$C$46:$H$46,1,E12+1)</f>
        <v>1</v>
      </c>
      <c r="AK12" s="1">
        <f>INDEX(效果参数!$C$47:$H$47,1,E12+1)</f>
        <v>2</v>
      </c>
      <c r="AL12" s="1">
        <f>INDEX(效果参数!$C$48:$H$48,1,E12+1)</f>
        <v>0.08</v>
      </c>
      <c r="AM12" s="1">
        <f>INDEX(效果参数!$C$49:$H$49,1,E12+1)</f>
        <v>250</v>
      </c>
      <c r="AN12" s="1">
        <f>INDEX(效果参数!$C$50:$H$50,1,E12+1)</f>
        <v>0.15</v>
      </c>
      <c r="AO12" s="1">
        <f>INDEX(效果参数!$C$51:$H$51,1,E12+1)</f>
        <v>0.15</v>
      </c>
      <c r="AP12" s="1">
        <f>INDEX(效果参数!$C$52:$H$52,1,E12+1)</f>
        <v>0.15</v>
      </c>
      <c r="AQ12" s="1">
        <f>INDEX(效果参数!$C$53:$H$53,1,E12+1)</f>
        <v>0.15</v>
      </c>
      <c r="AR12" s="1">
        <f>INDEX(效果参数!$C$56:$H$56,1,F12+1)</f>
        <v>35</v>
      </c>
      <c r="AS12" s="1">
        <f>INDEX(效果参数!$C$57:$H$57,1,F12+1)</f>
        <v>0.01</v>
      </c>
      <c r="AT12" s="1">
        <f>INDEX(效果参数!$C$58:$H$58,1,F12+1)</f>
        <v>7</v>
      </c>
      <c r="AU12" s="1">
        <f>INDEX(效果参数!$C$59:$H$59,1,F12+1)</f>
        <v>0.5</v>
      </c>
      <c r="AV12" s="1">
        <f>INDEX(效果参数!$C$6:$H$6,1,C12+1)</f>
        <v>2</v>
      </c>
      <c r="AW12" s="1">
        <f>INDEX(效果参数!$C$7:$H$7,1,C12+1)</f>
        <v>4</v>
      </c>
      <c r="AX12" s="1">
        <f>INDEX(效果参数!$C$8:$H$8,1,C12+1)</f>
        <v>8</v>
      </c>
      <c r="AY12" s="1">
        <f>INDEX(效果参数!$C$9:$H$9,1,C12+1)</f>
        <v>0.1</v>
      </c>
      <c r="AZ12" s="1">
        <f>INDEX(效果参数!$C$10:$H$10,1,C12+1)</f>
        <v>0.2</v>
      </c>
      <c r="BA12" s="1">
        <f>INDEX(效果参数!$C$11:$H$11,1,C12+1)</f>
        <v>0.6</v>
      </c>
      <c r="BB12" s="1">
        <f>INDEX(效果参数!$C$12:$H$12,1,C12+1)</f>
        <v>1.2</v>
      </c>
      <c r="BC12" s="1">
        <f>INDEX(效果参数!$C$13:$H$13,1,C12+1)</f>
        <v>0.06</v>
      </c>
      <c r="BD12" s="1">
        <f>INDEX(效果参数!$C$14:$H$14,1,C12+1)</f>
        <v>3</v>
      </c>
      <c r="BE12" s="1">
        <f>INDEX(效果参数!$C$15:$H$15,1,C12+1)</f>
        <v>1</v>
      </c>
      <c r="BF12" s="1">
        <f>INDEX(效果参数!$C$16:$H$16,1,C12+1)</f>
        <v>2.5000000000000001E-2</v>
      </c>
      <c r="BG12" s="1">
        <f>INDEX(效果参数!$C$17:$H$17,1,C12+1)</f>
        <v>18</v>
      </c>
      <c r="BH12" s="1">
        <f>INDEX(效果参数!$C$18:$H$18,1,C12+1)</f>
        <v>18</v>
      </c>
      <c r="BI12" s="1">
        <f>INDEX(效果参数!$C$19:$H$19,1,C12+1)</f>
        <v>1</v>
      </c>
      <c r="BJ12" s="1">
        <f>INDEX(效果参数!$C$20:$H$20,1,C12+1)</f>
        <v>1</v>
      </c>
      <c r="BK12" s="1">
        <f>INDEX(效果参数!$C$21:$H$21,1,C12+1)</f>
        <v>0.2</v>
      </c>
      <c r="BL12" s="1">
        <f>INDEX(效果参数!$C$22:$H$22,1,C12+1)</f>
        <v>9</v>
      </c>
      <c r="BM12" s="1">
        <f>INDEX(效果参数!$C$23:$H$23,1,C12+1)</f>
        <v>20</v>
      </c>
      <c r="BN12" s="1">
        <f>INDEX(效果参数!$C$24:$H$24,1,C12+1)</f>
        <v>30</v>
      </c>
      <c r="BO12" s="1">
        <f>INDEX(效果参数!$C$25:$H$25,1,C12+1)</f>
        <v>1.5</v>
      </c>
      <c r="BP12" s="1">
        <f>INDEX(效果参数!$C$26:$H$26,1,C12+1)</f>
        <v>0.6</v>
      </c>
      <c r="BQ12" s="1">
        <f>INDEX(效果参数!$C$27:$H$27,1,C12+1)</f>
        <v>0.8</v>
      </c>
      <c r="BR12" s="1">
        <f>INDEX(效果参数!$C$28:$H$28,1,C12+1)</f>
        <v>1</v>
      </c>
      <c r="BS12" s="1">
        <f>INDEX(效果参数!$C$35:$H$35,1,D12+1)</f>
        <v>2.8</v>
      </c>
      <c r="BT12" s="1">
        <f>INDEX(效果参数!$C$36:$H$36,1,D12+1)</f>
        <v>1.4</v>
      </c>
      <c r="BU12" s="1">
        <f>INDEX(效果参数!$C$37:$H$37,1,D12+1)</f>
        <v>0.8</v>
      </c>
      <c r="BV12" s="1">
        <f>INDEX(效果参数!$C$38:$H$38,1,D12+1)</f>
        <v>3</v>
      </c>
      <c r="BW12" s="1">
        <f>INDEX(效果参数!$C$39:$H$39,1,D12+1)</f>
        <v>1</v>
      </c>
      <c r="BX12" s="1">
        <f>INDEX(效果参数!$C$40:$H$40,1,D12+1)</f>
        <v>2</v>
      </c>
      <c r="BY12" s="1">
        <f>INDEX(效果参数!$C$41:$H$41,1,D12+1)</f>
        <v>1</v>
      </c>
      <c r="BZ12" s="1">
        <f>IF(配置与结果!$H$24=1,AR12,MIN(AR12,MAX(0,配置与结果!$H$25)))</f>
        <v>35</v>
      </c>
      <c r="CA12" s="1">
        <f>ROUNDDOWN(配置与结果!$B$17*(1+0.05+Y12),0)</f>
        <v>2986</v>
      </c>
      <c r="CB12" s="1">
        <f>MIN(AD12,ROUNDDOWN((配置与结果!$B$16+CC12)*AC12,0))</f>
        <v>500</v>
      </c>
      <c r="CC12" s="1">
        <f t="shared" si="1"/>
        <v>238</v>
      </c>
      <c r="CD12" s="1">
        <f>INDEX(效果参数!$C$96:$G$96,1,G12)</f>
        <v>0.16</v>
      </c>
      <c r="CE12" s="1">
        <f>INDEX(效果参数!$C$42:$H$42,1,D12+1)</f>
        <v>8</v>
      </c>
      <c r="CF12" s="1">
        <f>INDEX(效果参数!$C$54:$H$54,1,E12+1)</f>
        <v>15</v>
      </c>
      <c r="CG12" s="1">
        <f>INDEX(效果参数!$C$55:$H$55,1,E12+1)</f>
        <v>1.5</v>
      </c>
      <c r="CH12" s="1">
        <f>INDEX(效果参数!$C$106:$G$106,1,H12)</f>
        <v>0.12</v>
      </c>
    </row>
    <row r="13" spans="1:86" ht="33.950000000000003" customHeight="1">
      <c r="A13" s="1">
        <f>10</f>
        <v>10</v>
      </c>
      <c r="B13" s="1" t="str">
        <f>"37 2塑"</f>
        <v>37 2塑</v>
      </c>
      <c r="C13" s="1">
        <f>配置与结果!B6</f>
        <v>0</v>
      </c>
      <c r="D13" s="1">
        <f>2</f>
        <v>2</v>
      </c>
      <c r="E13" s="1">
        <f>配置与结果!B8</f>
        <v>0</v>
      </c>
      <c r="F13" s="1">
        <f>配置与结果!B9</f>
        <v>0</v>
      </c>
      <c r="G13" s="1">
        <f>配置与结果!D6</f>
        <v>5</v>
      </c>
      <c r="H13" s="1">
        <f>配置与结果!D7</f>
        <v>1</v>
      </c>
      <c r="I13" s="1">
        <f>配置与结果!D8</f>
        <v>5</v>
      </c>
      <c r="J13" s="1">
        <f>配置与结果!D9</f>
        <v>1</v>
      </c>
      <c r="K13" s="1">
        <f>INDEX(效果参数!$C$105:$G$105,1,J13)</f>
        <v>1</v>
      </c>
      <c r="L13" s="1" t="b">
        <f>AND(K13=1,INDEX(效果参数!$C$99:$G$99,1,H13)=1,INDEX(效果参数!$C$29:$H$29,1,C13+1)=1)</f>
        <v>1</v>
      </c>
      <c r="M13" s="7">
        <f>IF(AND(K13=1,L13),SUM(行动计算!AU366:AU401),"")</f>
        <v>11519915.854</v>
      </c>
      <c r="N13" s="7">
        <f>IF(K13=1,SUMIFS(行动计算!AU366:AU401,行动计算!D366:D401,1),"")</f>
        <v>3326324.8540000003</v>
      </c>
      <c r="O13" s="7">
        <f>IF(L13,SUMIFS(行动计算!AU366:AU401,行动计算!D366:D401,2),"")</f>
        <v>8193591</v>
      </c>
      <c r="P13" s="7">
        <f>IF(AND(K13=1,L13),SUMIFS(行动计算!AU366:AU401,行动计算!F366:F401,1),"")</f>
        <v>9490329</v>
      </c>
      <c r="Q13" s="7">
        <f>IF(AND(K13=1,L13),SUMIFS(行动计算!AU366:AU401,行动计算!F366:F401,2),"")</f>
        <v>1156054</v>
      </c>
      <c r="R13" s="7">
        <f>IF(AND(K13=1,L13),SUMIFS(行动计算!AU366:AU401,行动计算!F366:F401,3),"")</f>
        <v>560761.68999999994</v>
      </c>
      <c r="S13" s="7">
        <f>IF(AND(K13=1,L13),SUMIFS(行动计算!AU366:AU401,行动计算!F366:F401,4),"")</f>
        <v>312771.16399999999</v>
      </c>
      <c r="T13" s="8">
        <f t="shared" si="0"/>
        <v>0.31406704074113745</v>
      </c>
      <c r="U13" s="1">
        <f>INDEX(效果参数!$C$98:$G$98,1,H13)</f>
        <v>0.04</v>
      </c>
      <c r="V13" s="1">
        <f>INDEX(效果参数!$C$97:$G$97,1,G13)</f>
        <v>0.06</v>
      </c>
      <c r="W13" s="1">
        <f>INDEX(效果参数!$C$101:$G$101,1,I13)</f>
        <v>0.02</v>
      </c>
      <c r="X13" s="1">
        <f>INDEX(效果参数!$C$102:$G$102,1,I13)</f>
        <v>0.16</v>
      </c>
      <c r="Y13" s="1">
        <f>INDEX(效果参数!$C$100:$G$100,1,I13)</f>
        <v>0.1</v>
      </c>
      <c r="Z13" s="1">
        <f>INDEX(效果参数!$C$103:$G$103,1,J13)</f>
        <v>0.04</v>
      </c>
      <c r="AA13" s="1">
        <f>INDEX(效果参数!$C$104:$G$104,1,J13)</f>
        <v>4.0000000000000001E-3</v>
      </c>
      <c r="AB13" s="1">
        <f>INDEX(效果参数!$C$30:$H$30,1,D13+1)</f>
        <v>0.6</v>
      </c>
      <c r="AC13" s="1">
        <f>INDEX(效果参数!$C$31:$H$31,1,D13+1)</f>
        <v>0.2</v>
      </c>
      <c r="AD13" s="1">
        <f>INDEX(效果参数!$C$32:$H$32,1,D13+1)</f>
        <v>500</v>
      </c>
      <c r="AE13" s="1">
        <f>INDEX(效果参数!$C$33:$H$33,1,D13+1)</f>
        <v>0.7</v>
      </c>
      <c r="AF13" s="1">
        <f>INDEX(效果参数!$C$34:$H$34,1,D13+1)</f>
        <v>0.6</v>
      </c>
      <c r="AG13" s="1">
        <f>INDEX(效果参数!$C$43:$H$43,1,E13+1)</f>
        <v>0.3</v>
      </c>
      <c r="AH13" s="1">
        <f>INDEX(效果参数!$C$44:$H$44,1,E13+1)</f>
        <v>0.04</v>
      </c>
      <c r="AI13" s="1">
        <f>INDEX(效果参数!$C$45:$H$45,1,E13+1)</f>
        <v>5</v>
      </c>
      <c r="AJ13" s="1">
        <f>INDEX(效果参数!$C$46:$H$46,1,E13+1)</f>
        <v>1</v>
      </c>
      <c r="AK13" s="1">
        <f>INDEX(效果参数!$C$47:$H$47,1,E13+1)</f>
        <v>2</v>
      </c>
      <c r="AL13" s="1">
        <f>INDEX(效果参数!$C$48:$H$48,1,E13+1)</f>
        <v>0.08</v>
      </c>
      <c r="AM13" s="1">
        <f>INDEX(效果参数!$C$49:$H$49,1,E13+1)</f>
        <v>250</v>
      </c>
      <c r="AN13" s="1">
        <f>INDEX(效果参数!$C$50:$H$50,1,E13+1)</f>
        <v>0.15</v>
      </c>
      <c r="AO13" s="1">
        <f>INDEX(效果参数!$C$51:$H$51,1,E13+1)</f>
        <v>0.15</v>
      </c>
      <c r="AP13" s="1">
        <f>INDEX(效果参数!$C$52:$H$52,1,E13+1)</f>
        <v>0.15</v>
      </c>
      <c r="AQ13" s="1">
        <f>INDEX(效果参数!$C$53:$H$53,1,E13+1)</f>
        <v>0.15</v>
      </c>
      <c r="AR13" s="1">
        <f>INDEX(效果参数!$C$56:$H$56,1,F13+1)</f>
        <v>35</v>
      </c>
      <c r="AS13" s="1">
        <f>INDEX(效果参数!$C$57:$H$57,1,F13+1)</f>
        <v>0.01</v>
      </c>
      <c r="AT13" s="1">
        <f>INDEX(效果参数!$C$58:$H$58,1,F13+1)</f>
        <v>7</v>
      </c>
      <c r="AU13" s="1">
        <f>INDEX(效果参数!$C$59:$H$59,1,F13+1)</f>
        <v>0.5</v>
      </c>
      <c r="AV13" s="1">
        <f>INDEX(效果参数!$C$6:$H$6,1,C13+1)</f>
        <v>2</v>
      </c>
      <c r="AW13" s="1">
        <f>INDEX(效果参数!$C$7:$H$7,1,C13+1)</f>
        <v>4</v>
      </c>
      <c r="AX13" s="1">
        <f>INDEX(效果参数!$C$8:$H$8,1,C13+1)</f>
        <v>8</v>
      </c>
      <c r="AY13" s="1">
        <f>INDEX(效果参数!$C$9:$H$9,1,C13+1)</f>
        <v>0.1</v>
      </c>
      <c r="AZ13" s="1">
        <f>INDEX(效果参数!$C$10:$H$10,1,C13+1)</f>
        <v>0.2</v>
      </c>
      <c r="BA13" s="1">
        <f>INDEX(效果参数!$C$11:$H$11,1,C13+1)</f>
        <v>0.6</v>
      </c>
      <c r="BB13" s="1">
        <f>INDEX(效果参数!$C$12:$H$12,1,C13+1)</f>
        <v>1.2</v>
      </c>
      <c r="BC13" s="1">
        <f>INDEX(效果参数!$C$13:$H$13,1,C13+1)</f>
        <v>0.06</v>
      </c>
      <c r="BD13" s="1">
        <f>INDEX(效果参数!$C$14:$H$14,1,C13+1)</f>
        <v>3</v>
      </c>
      <c r="BE13" s="1">
        <f>INDEX(效果参数!$C$15:$H$15,1,C13+1)</f>
        <v>1</v>
      </c>
      <c r="BF13" s="1">
        <f>INDEX(效果参数!$C$16:$H$16,1,C13+1)</f>
        <v>2.5000000000000001E-2</v>
      </c>
      <c r="BG13" s="1">
        <f>INDEX(效果参数!$C$17:$H$17,1,C13+1)</f>
        <v>18</v>
      </c>
      <c r="BH13" s="1">
        <f>INDEX(效果参数!$C$18:$H$18,1,C13+1)</f>
        <v>18</v>
      </c>
      <c r="BI13" s="1">
        <f>INDEX(效果参数!$C$19:$H$19,1,C13+1)</f>
        <v>1</v>
      </c>
      <c r="BJ13" s="1">
        <f>INDEX(效果参数!$C$20:$H$20,1,C13+1)</f>
        <v>1</v>
      </c>
      <c r="BK13" s="1">
        <f>INDEX(效果参数!$C$21:$H$21,1,C13+1)</f>
        <v>0.2</v>
      </c>
      <c r="BL13" s="1">
        <f>INDEX(效果参数!$C$22:$H$22,1,C13+1)</f>
        <v>9</v>
      </c>
      <c r="BM13" s="1">
        <f>INDEX(效果参数!$C$23:$H$23,1,C13+1)</f>
        <v>20</v>
      </c>
      <c r="BN13" s="1">
        <f>INDEX(效果参数!$C$24:$H$24,1,C13+1)</f>
        <v>30</v>
      </c>
      <c r="BO13" s="1">
        <f>INDEX(效果参数!$C$25:$H$25,1,C13+1)</f>
        <v>1.5</v>
      </c>
      <c r="BP13" s="1">
        <f>INDEX(效果参数!$C$26:$H$26,1,C13+1)</f>
        <v>0.6</v>
      </c>
      <c r="BQ13" s="1">
        <f>INDEX(效果参数!$C$27:$H$27,1,C13+1)</f>
        <v>0.8</v>
      </c>
      <c r="BR13" s="1">
        <f>INDEX(效果参数!$C$28:$H$28,1,C13+1)</f>
        <v>1</v>
      </c>
      <c r="BS13" s="1">
        <f>INDEX(效果参数!$C$35:$H$35,1,D13+1)</f>
        <v>2.8</v>
      </c>
      <c r="BT13" s="1">
        <f>INDEX(效果参数!$C$36:$H$36,1,D13+1)</f>
        <v>1.4</v>
      </c>
      <c r="BU13" s="1">
        <f>INDEX(效果参数!$C$37:$H$37,1,D13+1)</f>
        <v>0.8</v>
      </c>
      <c r="BV13" s="1">
        <f>INDEX(效果参数!$C$38:$H$38,1,D13+1)</f>
        <v>4.5</v>
      </c>
      <c r="BW13" s="1">
        <f>INDEX(效果参数!$C$39:$H$39,1,D13+1)</f>
        <v>1.5</v>
      </c>
      <c r="BX13" s="1">
        <f>INDEX(效果参数!$C$40:$H$40,1,D13+1)</f>
        <v>2</v>
      </c>
      <c r="BY13" s="1">
        <f>INDEX(效果参数!$C$41:$H$41,1,D13+1)</f>
        <v>1</v>
      </c>
      <c r="BZ13" s="1">
        <f>IF(配置与结果!$H$24=1,AR13,MIN(AR13,MAX(0,配置与结果!$H$25)))</f>
        <v>35</v>
      </c>
      <c r="CA13" s="1">
        <f>ROUNDDOWN(配置与结果!$B$17*(1+0.05+Y13),0)</f>
        <v>2986</v>
      </c>
      <c r="CB13" s="1">
        <f>MIN(AD13,ROUNDDOWN((配置与结果!$B$16+CC13)*AC13,0))</f>
        <v>500</v>
      </c>
      <c r="CC13" s="1">
        <f t="shared" si="1"/>
        <v>238</v>
      </c>
      <c r="CD13" s="1">
        <f>INDEX(效果参数!$C$96:$G$96,1,G13)</f>
        <v>0.16</v>
      </c>
      <c r="CE13" s="1">
        <f>INDEX(效果参数!$C$42:$H$42,1,D13+1)</f>
        <v>9</v>
      </c>
      <c r="CF13" s="1">
        <f>INDEX(效果参数!$C$54:$H$54,1,E13+1)</f>
        <v>15</v>
      </c>
      <c r="CG13" s="1">
        <f>INDEX(效果参数!$C$55:$H$55,1,E13+1)</f>
        <v>1.5</v>
      </c>
      <c r="CH13" s="1">
        <f>INDEX(效果参数!$C$106:$G$106,1,H13)</f>
        <v>0.12</v>
      </c>
    </row>
    <row r="14" spans="1:86" ht="33.950000000000003" customHeight="1">
      <c r="A14" s="1">
        <f>11</f>
        <v>11</v>
      </c>
      <c r="B14" s="1" t="str">
        <f>"37 3塑"</f>
        <v>37 3塑</v>
      </c>
      <c r="C14" s="1">
        <f>配置与结果!B6</f>
        <v>0</v>
      </c>
      <c r="D14" s="1">
        <f>3</f>
        <v>3</v>
      </c>
      <c r="E14" s="1">
        <f>配置与结果!B8</f>
        <v>0</v>
      </c>
      <c r="F14" s="1">
        <f>配置与结果!B9</f>
        <v>0</v>
      </c>
      <c r="G14" s="1">
        <f>配置与结果!D6</f>
        <v>5</v>
      </c>
      <c r="H14" s="1">
        <f>配置与结果!D7</f>
        <v>1</v>
      </c>
      <c r="I14" s="1">
        <f>配置与结果!D8</f>
        <v>5</v>
      </c>
      <c r="J14" s="1">
        <f>配置与结果!D9</f>
        <v>1</v>
      </c>
      <c r="K14" s="1">
        <f>INDEX(效果参数!$C$105:$G$105,1,J14)</f>
        <v>1</v>
      </c>
      <c r="L14" s="1" t="b">
        <f>AND(K14=1,INDEX(效果参数!$C$99:$G$99,1,H14)=1,INDEX(效果参数!$C$29:$H$29,1,C14+1)=1)</f>
        <v>1</v>
      </c>
      <c r="M14" s="7">
        <f>IF(AND(K14=1,L14),SUM(行动计算!AU402:AU437),"")</f>
        <v>12114966.302000001</v>
      </c>
      <c r="N14" s="7">
        <f>IF(K14=1,SUMIFS(行动计算!AU402:AU437,行动计算!D402:D437,1),"")</f>
        <v>3479932.3020000001</v>
      </c>
      <c r="O14" s="7">
        <f>IF(L14,SUMIFS(行动计算!AU402:AU437,行动计算!D402:D437,2),"")</f>
        <v>8635034</v>
      </c>
      <c r="P14" s="7">
        <f>IF(AND(K14=1,L14),SUMIFS(行动计算!AU402:AU437,行动计算!F402:F437,1),"")</f>
        <v>10003442</v>
      </c>
      <c r="Q14" s="7">
        <f>IF(AND(K14=1,L14),SUMIFS(行动计算!AU402:AU437,行动计算!F402:F437,2),"")</f>
        <v>1211568</v>
      </c>
      <c r="R14" s="7">
        <f>IF(AND(K14=1,L14),SUMIFS(行动计算!AU402:AU437,行动计算!F402:F437,3),"")</f>
        <v>574085.44499999995</v>
      </c>
      <c r="S14" s="7">
        <f>IF(AND(K14=1,L14),SUMIFS(行动计算!AU402:AU437,行动计算!F402:F437,4),"")</f>
        <v>325870.85699999996</v>
      </c>
      <c r="T14" s="8">
        <f t="shared" si="0"/>
        <v>0.38194394116342134</v>
      </c>
      <c r="U14" s="1">
        <f>INDEX(效果参数!$C$98:$G$98,1,H14)</f>
        <v>0.04</v>
      </c>
      <c r="V14" s="1">
        <f>INDEX(效果参数!$C$97:$G$97,1,G14)</f>
        <v>0.06</v>
      </c>
      <c r="W14" s="1">
        <f>INDEX(效果参数!$C$101:$G$101,1,I14)</f>
        <v>0.02</v>
      </c>
      <c r="X14" s="1">
        <f>INDEX(效果参数!$C$102:$G$102,1,I14)</f>
        <v>0.16</v>
      </c>
      <c r="Y14" s="1">
        <f>INDEX(效果参数!$C$100:$G$100,1,I14)</f>
        <v>0.1</v>
      </c>
      <c r="Z14" s="1">
        <f>INDEX(效果参数!$C$103:$G$103,1,J14)</f>
        <v>0.04</v>
      </c>
      <c r="AA14" s="1">
        <f>INDEX(效果参数!$C$104:$G$104,1,J14)</f>
        <v>4.0000000000000001E-3</v>
      </c>
      <c r="AB14" s="1">
        <f>INDEX(效果参数!$C$30:$H$30,1,D14+1)</f>
        <v>0.6</v>
      </c>
      <c r="AC14" s="1">
        <f>INDEX(效果参数!$C$31:$H$31,1,D14+1)</f>
        <v>0.24</v>
      </c>
      <c r="AD14" s="1">
        <f>INDEX(效果参数!$C$32:$H$32,1,D14+1)</f>
        <v>600</v>
      </c>
      <c r="AE14" s="1">
        <f>INDEX(效果参数!$C$33:$H$33,1,D14+1)</f>
        <v>0.7</v>
      </c>
      <c r="AF14" s="1">
        <f>INDEX(效果参数!$C$34:$H$34,1,D14+1)</f>
        <v>0.6</v>
      </c>
      <c r="AG14" s="1">
        <f>INDEX(效果参数!$C$43:$H$43,1,E14+1)</f>
        <v>0.3</v>
      </c>
      <c r="AH14" s="1">
        <f>INDEX(效果参数!$C$44:$H$44,1,E14+1)</f>
        <v>0.04</v>
      </c>
      <c r="AI14" s="1">
        <f>INDEX(效果参数!$C$45:$H$45,1,E14+1)</f>
        <v>5</v>
      </c>
      <c r="AJ14" s="1">
        <f>INDEX(效果参数!$C$46:$H$46,1,E14+1)</f>
        <v>1</v>
      </c>
      <c r="AK14" s="1">
        <f>INDEX(效果参数!$C$47:$H$47,1,E14+1)</f>
        <v>2</v>
      </c>
      <c r="AL14" s="1">
        <f>INDEX(效果参数!$C$48:$H$48,1,E14+1)</f>
        <v>0.08</v>
      </c>
      <c r="AM14" s="1">
        <f>INDEX(效果参数!$C$49:$H$49,1,E14+1)</f>
        <v>250</v>
      </c>
      <c r="AN14" s="1">
        <f>INDEX(效果参数!$C$50:$H$50,1,E14+1)</f>
        <v>0.15</v>
      </c>
      <c r="AO14" s="1">
        <f>INDEX(效果参数!$C$51:$H$51,1,E14+1)</f>
        <v>0.15</v>
      </c>
      <c r="AP14" s="1">
        <f>INDEX(效果参数!$C$52:$H$52,1,E14+1)</f>
        <v>0.15</v>
      </c>
      <c r="AQ14" s="1">
        <f>INDEX(效果参数!$C$53:$H$53,1,E14+1)</f>
        <v>0.15</v>
      </c>
      <c r="AR14" s="1">
        <f>INDEX(效果参数!$C$56:$H$56,1,F14+1)</f>
        <v>35</v>
      </c>
      <c r="AS14" s="1">
        <f>INDEX(效果参数!$C$57:$H$57,1,F14+1)</f>
        <v>0.01</v>
      </c>
      <c r="AT14" s="1">
        <f>INDEX(效果参数!$C$58:$H$58,1,F14+1)</f>
        <v>7</v>
      </c>
      <c r="AU14" s="1">
        <f>INDEX(效果参数!$C$59:$H$59,1,F14+1)</f>
        <v>0.5</v>
      </c>
      <c r="AV14" s="1">
        <f>INDEX(效果参数!$C$6:$H$6,1,C14+1)</f>
        <v>2</v>
      </c>
      <c r="AW14" s="1">
        <f>INDEX(效果参数!$C$7:$H$7,1,C14+1)</f>
        <v>4</v>
      </c>
      <c r="AX14" s="1">
        <f>INDEX(效果参数!$C$8:$H$8,1,C14+1)</f>
        <v>8</v>
      </c>
      <c r="AY14" s="1">
        <f>INDEX(效果参数!$C$9:$H$9,1,C14+1)</f>
        <v>0.1</v>
      </c>
      <c r="AZ14" s="1">
        <f>INDEX(效果参数!$C$10:$H$10,1,C14+1)</f>
        <v>0.2</v>
      </c>
      <c r="BA14" s="1">
        <f>INDEX(效果参数!$C$11:$H$11,1,C14+1)</f>
        <v>0.6</v>
      </c>
      <c r="BB14" s="1">
        <f>INDEX(效果参数!$C$12:$H$12,1,C14+1)</f>
        <v>1.2</v>
      </c>
      <c r="BC14" s="1">
        <f>INDEX(效果参数!$C$13:$H$13,1,C14+1)</f>
        <v>0.06</v>
      </c>
      <c r="BD14" s="1">
        <f>INDEX(效果参数!$C$14:$H$14,1,C14+1)</f>
        <v>3</v>
      </c>
      <c r="BE14" s="1">
        <f>INDEX(效果参数!$C$15:$H$15,1,C14+1)</f>
        <v>1</v>
      </c>
      <c r="BF14" s="1">
        <f>INDEX(效果参数!$C$16:$H$16,1,C14+1)</f>
        <v>2.5000000000000001E-2</v>
      </c>
      <c r="BG14" s="1">
        <f>INDEX(效果参数!$C$17:$H$17,1,C14+1)</f>
        <v>18</v>
      </c>
      <c r="BH14" s="1">
        <f>INDEX(效果参数!$C$18:$H$18,1,C14+1)</f>
        <v>18</v>
      </c>
      <c r="BI14" s="1">
        <f>INDEX(效果参数!$C$19:$H$19,1,C14+1)</f>
        <v>1</v>
      </c>
      <c r="BJ14" s="1">
        <f>INDEX(效果参数!$C$20:$H$20,1,C14+1)</f>
        <v>1</v>
      </c>
      <c r="BK14" s="1">
        <f>INDEX(效果参数!$C$21:$H$21,1,C14+1)</f>
        <v>0.2</v>
      </c>
      <c r="BL14" s="1">
        <f>INDEX(效果参数!$C$22:$H$22,1,C14+1)</f>
        <v>9</v>
      </c>
      <c r="BM14" s="1">
        <f>INDEX(效果参数!$C$23:$H$23,1,C14+1)</f>
        <v>20</v>
      </c>
      <c r="BN14" s="1">
        <f>INDEX(效果参数!$C$24:$H$24,1,C14+1)</f>
        <v>30</v>
      </c>
      <c r="BO14" s="1">
        <f>INDEX(效果参数!$C$25:$H$25,1,C14+1)</f>
        <v>1.5</v>
      </c>
      <c r="BP14" s="1">
        <f>INDEX(效果参数!$C$26:$H$26,1,C14+1)</f>
        <v>0.6</v>
      </c>
      <c r="BQ14" s="1">
        <f>INDEX(效果参数!$C$27:$H$27,1,C14+1)</f>
        <v>0.8</v>
      </c>
      <c r="BR14" s="1">
        <f>INDEX(效果参数!$C$28:$H$28,1,C14+1)</f>
        <v>1</v>
      </c>
      <c r="BS14" s="1">
        <f>INDEX(效果参数!$C$35:$H$35,1,D14+1)</f>
        <v>3</v>
      </c>
      <c r="BT14" s="1">
        <f>INDEX(效果参数!$C$36:$H$36,1,D14+1)</f>
        <v>1.6</v>
      </c>
      <c r="BU14" s="1">
        <f>INDEX(效果参数!$C$37:$H$37,1,D14+1)</f>
        <v>1</v>
      </c>
      <c r="BV14" s="1">
        <f>INDEX(效果参数!$C$38:$H$38,1,D14+1)</f>
        <v>4.5</v>
      </c>
      <c r="BW14" s="1">
        <f>INDEX(效果参数!$C$39:$H$39,1,D14+1)</f>
        <v>1.5</v>
      </c>
      <c r="BX14" s="1">
        <f>INDEX(效果参数!$C$40:$H$40,1,D14+1)</f>
        <v>3</v>
      </c>
      <c r="BY14" s="1">
        <f>INDEX(效果参数!$C$41:$H$41,1,D14+1)</f>
        <v>1</v>
      </c>
      <c r="BZ14" s="1">
        <f>IF(配置与结果!$H$24=1,AR14,MIN(AR14,MAX(0,配置与结果!$H$25)))</f>
        <v>35</v>
      </c>
      <c r="CA14" s="1">
        <f>ROUNDDOWN(配置与结果!$B$17*(1+0.05+Y14),0)</f>
        <v>2986</v>
      </c>
      <c r="CB14" s="1">
        <f>MIN(AD14,ROUNDDOWN((配置与结果!$B$16+CC14)*AC14,0))</f>
        <v>600</v>
      </c>
      <c r="CC14" s="1">
        <f t="shared" si="1"/>
        <v>238</v>
      </c>
      <c r="CD14" s="1">
        <f>INDEX(效果参数!$C$96:$G$96,1,G14)</f>
        <v>0.16</v>
      </c>
      <c r="CE14" s="1">
        <f>INDEX(效果参数!$C$42:$H$42,1,D14+1)</f>
        <v>9</v>
      </c>
      <c r="CF14" s="1">
        <f>INDEX(效果参数!$C$54:$H$54,1,E14+1)</f>
        <v>15</v>
      </c>
      <c r="CG14" s="1">
        <f>INDEX(效果参数!$C$55:$H$55,1,E14+1)</f>
        <v>1.5</v>
      </c>
      <c r="CH14" s="1">
        <f>INDEX(效果参数!$C$106:$G$106,1,H14)</f>
        <v>0.12</v>
      </c>
    </row>
    <row r="15" spans="1:86" ht="33.950000000000003" customHeight="1">
      <c r="A15" s="1">
        <f>12</f>
        <v>12</v>
      </c>
      <c r="B15" s="1" t="str">
        <f>"37 4塑"</f>
        <v>37 4塑</v>
      </c>
      <c r="C15" s="1">
        <f>配置与结果!B6</f>
        <v>0</v>
      </c>
      <c r="D15" s="1">
        <f>4</f>
        <v>4</v>
      </c>
      <c r="E15" s="1">
        <f>配置与结果!B8</f>
        <v>0</v>
      </c>
      <c r="F15" s="1">
        <f>配置与结果!B9</f>
        <v>0</v>
      </c>
      <c r="G15" s="1">
        <f>配置与结果!D6</f>
        <v>5</v>
      </c>
      <c r="H15" s="1">
        <f>配置与结果!D7</f>
        <v>1</v>
      </c>
      <c r="I15" s="1">
        <f>配置与结果!D8</f>
        <v>5</v>
      </c>
      <c r="J15" s="1">
        <f>配置与结果!D9</f>
        <v>1</v>
      </c>
      <c r="K15" s="1">
        <f>INDEX(效果参数!$C$105:$G$105,1,J15)</f>
        <v>1</v>
      </c>
      <c r="L15" s="1" t="b">
        <f>AND(K15=1,INDEX(效果参数!$C$99:$G$99,1,H15)=1,INDEX(效果参数!$C$29:$H$29,1,C15+1)=1)</f>
        <v>1</v>
      </c>
      <c r="M15" s="7">
        <f>IF(AND(K15=1,L15),SUM(行动计算!AU438:AU473),"")</f>
        <v>12216608.302000001</v>
      </c>
      <c r="N15" s="7">
        <f>IF(K15=1,SUMIFS(行动计算!AU438:AU473,行动计算!D438:D473,1),"")</f>
        <v>3581574.3020000001</v>
      </c>
      <c r="O15" s="7">
        <f>IF(L15,SUMIFS(行动计算!AU438:AU473,行动计算!D438:D473,2),"")</f>
        <v>8635034</v>
      </c>
      <c r="P15" s="7">
        <f>IF(AND(K15=1,L15),SUMIFS(行动计算!AU438:AU473,行动计算!F438:F473,1),"")</f>
        <v>10003442</v>
      </c>
      <c r="Q15" s="7">
        <f>IF(AND(K15=1,L15),SUMIFS(行动计算!AU438:AU473,行动计算!F438:F473,2),"")</f>
        <v>1313210</v>
      </c>
      <c r="R15" s="7">
        <f>IF(AND(K15=1,L15),SUMIFS(行动计算!AU438:AU473,行动计算!F438:F473,3),"")</f>
        <v>574085.44499999995</v>
      </c>
      <c r="S15" s="7">
        <f>IF(AND(K15=1,L15),SUMIFS(行动计算!AU438:AU473,行动计算!F438:F473,4),"")</f>
        <v>325870.85699999996</v>
      </c>
      <c r="T15" s="8">
        <f t="shared" si="0"/>
        <v>0.39353815798303771</v>
      </c>
      <c r="U15" s="1">
        <f>INDEX(效果参数!$C$98:$G$98,1,H15)</f>
        <v>0.04</v>
      </c>
      <c r="V15" s="1">
        <f>INDEX(效果参数!$C$97:$G$97,1,G15)</f>
        <v>0.06</v>
      </c>
      <c r="W15" s="1">
        <f>INDEX(效果参数!$C$101:$G$101,1,I15)</f>
        <v>0.02</v>
      </c>
      <c r="X15" s="1">
        <f>INDEX(效果参数!$C$102:$G$102,1,I15)</f>
        <v>0.16</v>
      </c>
      <c r="Y15" s="1">
        <f>INDEX(效果参数!$C$100:$G$100,1,I15)</f>
        <v>0.1</v>
      </c>
      <c r="Z15" s="1">
        <f>INDEX(效果参数!$C$103:$G$103,1,J15)</f>
        <v>0.04</v>
      </c>
      <c r="AA15" s="1">
        <f>INDEX(效果参数!$C$104:$G$104,1,J15)</f>
        <v>4.0000000000000001E-3</v>
      </c>
      <c r="AB15" s="1">
        <f>INDEX(效果参数!$C$30:$H$30,1,D15+1)</f>
        <v>0.6</v>
      </c>
      <c r="AC15" s="1">
        <f>INDEX(效果参数!$C$31:$H$31,1,D15+1)</f>
        <v>0.24</v>
      </c>
      <c r="AD15" s="1">
        <f>INDEX(效果参数!$C$32:$H$32,1,D15+1)</f>
        <v>600</v>
      </c>
      <c r="AE15" s="1">
        <f>INDEX(效果参数!$C$33:$H$33,1,D15+1)</f>
        <v>0.7</v>
      </c>
      <c r="AF15" s="1">
        <f>INDEX(效果参数!$C$34:$H$34,1,D15+1)</f>
        <v>0.6</v>
      </c>
      <c r="AG15" s="1">
        <f>INDEX(效果参数!$C$43:$H$43,1,E15+1)</f>
        <v>0.3</v>
      </c>
      <c r="AH15" s="1">
        <f>INDEX(效果参数!$C$44:$H$44,1,E15+1)</f>
        <v>0.04</v>
      </c>
      <c r="AI15" s="1">
        <f>INDEX(效果参数!$C$45:$H$45,1,E15+1)</f>
        <v>5</v>
      </c>
      <c r="AJ15" s="1">
        <f>INDEX(效果参数!$C$46:$H$46,1,E15+1)</f>
        <v>1</v>
      </c>
      <c r="AK15" s="1">
        <f>INDEX(效果参数!$C$47:$H$47,1,E15+1)</f>
        <v>2</v>
      </c>
      <c r="AL15" s="1">
        <f>INDEX(效果参数!$C$48:$H$48,1,E15+1)</f>
        <v>0.08</v>
      </c>
      <c r="AM15" s="1">
        <f>INDEX(效果参数!$C$49:$H$49,1,E15+1)</f>
        <v>250</v>
      </c>
      <c r="AN15" s="1">
        <f>INDEX(效果参数!$C$50:$H$50,1,E15+1)</f>
        <v>0.15</v>
      </c>
      <c r="AO15" s="1">
        <f>INDEX(效果参数!$C$51:$H$51,1,E15+1)</f>
        <v>0.15</v>
      </c>
      <c r="AP15" s="1">
        <f>INDEX(效果参数!$C$52:$H$52,1,E15+1)</f>
        <v>0.15</v>
      </c>
      <c r="AQ15" s="1">
        <f>INDEX(效果参数!$C$53:$H$53,1,E15+1)</f>
        <v>0.15</v>
      </c>
      <c r="AR15" s="1">
        <f>INDEX(效果参数!$C$56:$H$56,1,F15+1)</f>
        <v>35</v>
      </c>
      <c r="AS15" s="1">
        <f>INDEX(效果参数!$C$57:$H$57,1,F15+1)</f>
        <v>0.01</v>
      </c>
      <c r="AT15" s="1">
        <f>INDEX(效果参数!$C$58:$H$58,1,F15+1)</f>
        <v>7</v>
      </c>
      <c r="AU15" s="1">
        <f>INDEX(效果参数!$C$59:$H$59,1,F15+1)</f>
        <v>0.5</v>
      </c>
      <c r="AV15" s="1">
        <f>INDEX(效果参数!$C$6:$H$6,1,C15+1)</f>
        <v>2</v>
      </c>
      <c r="AW15" s="1">
        <f>INDEX(效果参数!$C$7:$H$7,1,C15+1)</f>
        <v>4</v>
      </c>
      <c r="AX15" s="1">
        <f>INDEX(效果参数!$C$8:$H$8,1,C15+1)</f>
        <v>8</v>
      </c>
      <c r="AY15" s="1">
        <f>INDEX(效果参数!$C$9:$H$9,1,C15+1)</f>
        <v>0.1</v>
      </c>
      <c r="AZ15" s="1">
        <f>INDEX(效果参数!$C$10:$H$10,1,C15+1)</f>
        <v>0.2</v>
      </c>
      <c r="BA15" s="1">
        <f>INDEX(效果参数!$C$11:$H$11,1,C15+1)</f>
        <v>0.6</v>
      </c>
      <c r="BB15" s="1">
        <f>INDEX(效果参数!$C$12:$H$12,1,C15+1)</f>
        <v>1.2</v>
      </c>
      <c r="BC15" s="1">
        <f>INDEX(效果参数!$C$13:$H$13,1,C15+1)</f>
        <v>0.06</v>
      </c>
      <c r="BD15" s="1">
        <f>INDEX(效果参数!$C$14:$H$14,1,C15+1)</f>
        <v>3</v>
      </c>
      <c r="BE15" s="1">
        <f>INDEX(效果参数!$C$15:$H$15,1,C15+1)</f>
        <v>1</v>
      </c>
      <c r="BF15" s="1">
        <f>INDEX(效果参数!$C$16:$H$16,1,C15+1)</f>
        <v>2.5000000000000001E-2</v>
      </c>
      <c r="BG15" s="1">
        <f>INDEX(效果参数!$C$17:$H$17,1,C15+1)</f>
        <v>18</v>
      </c>
      <c r="BH15" s="1">
        <f>INDEX(效果参数!$C$18:$H$18,1,C15+1)</f>
        <v>18</v>
      </c>
      <c r="BI15" s="1">
        <f>INDEX(效果参数!$C$19:$H$19,1,C15+1)</f>
        <v>1</v>
      </c>
      <c r="BJ15" s="1">
        <f>INDEX(效果参数!$C$20:$H$20,1,C15+1)</f>
        <v>1</v>
      </c>
      <c r="BK15" s="1">
        <f>INDEX(效果参数!$C$21:$H$21,1,C15+1)</f>
        <v>0.2</v>
      </c>
      <c r="BL15" s="1">
        <f>INDEX(效果参数!$C$22:$H$22,1,C15+1)</f>
        <v>9</v>
      </c>
      <c r="BM15" s="1">
        <f>INDEX(效果参数!$C$23:$H$23,1,C15+1)</f>
        <v>20</v>
      </c>
      <c r="BN15" s="1">
        <f>INDEX(效果参数!$C$24:$H$24,1,C15+1)</f>
        <v>30</v>
      </c>
      <c r="BO15" s="1">
        <f>INDEX(效果参数!$C$25:$H$25,1,C15+1)</f>
        <v>1.5</v>
      </c>
      <c r="BP15" s="1">
        <f>INDEX(效果参数!$C$26:$H$26,1,C15+1)</f>
        <v>0.6</v>
      </c>
      <c r="BQ15" s="1">
        <f>INDEX(效果参数!$C$27:$H$27,1,C15+1)</f>
        <v>0.8</v>
      </c>
      <c r="BR15" s="1">
        <f>INDEX(效果参数!$C$28:$H$28,1,C15+1)</f>
        <v>1</v>
      </c>
      <c r="BS15" s="1">
        <f>INDEX(效果参数!$C$35:$H$35,1,D15+1)</f>
        <v>3</v>
      </c>
      <c r="BT15" s="1">
        <f>INDEX(效果参数!$C$36:$H$36,1,D15+1)</f>
        <v>1.6</v>
      </c>
      <c r="BU15" s="1">
        <f>INDEX(效果参数!$C$37:$H$37,1,D15+1)</f>
        <v>1</v>
      </c>
      <c r="BV15" s="1">
        <f>INDEX(效果参数!$C$38:$H$38,1,D15+1)</f>
        <v>6</v>
      </c>
      <c r="BW15" s="1">
        <f>INDEX(效果参数!$C$39:$H$39,1,D15+1)</f>
        <v>2</v>
      </c>
      <c r="BX15" s="1">
        <f>INDEX(效果参数!$C$40:$H$40,1,D15+1)</f>
        <v>3</v>
      </c>
      <c r="BY15" s="1">
        <f>INDEX(效果参数!$C$41:$H$41,1,D15+1)</f>
        <v>2</v>
      </c>
      <c r="BZ15" s="1">
        <f>IF(配置与结果!$H$24=1,AR15,MIN(AR15,MAX(0,配置与结果!$H$25)))</f>
        <v>35</v>
      </c>
      <c r="CA15" s="1">
        <f>ROUNDDOWN(配置与结果!$B$17*(1+0.05+Y15),0)</f>
        <v>2986</v>
      </c>
      <c r="CB15" s="1">
        <f>MIN(AD15,ROUNDDOWN((配置与结果!$B$16+CC15)*AC15,0))</f>
        <v>600</v>
      </c>
      <c r="CC15" s="1">
        <f t="shared" si="1"/>
        <v>238</v>
      </c>
      <c r="CD15" s="1">
        <f>INDEX(效果参数!$C$96:$G$96,1,G15)</f>
        <v>0.16</v>
      </c>
      <c r="CE15" s="1">
        <f>INDEX(效果参数!$C$42:$H$42,1,D15+1)</f>
        <v>9</v>
      </c>
      <c r="CF15" s="1">
        <f>INDEX(效果参数!$C$54:$H$54,1,E15+1)</f>
        <v>15</v>
      </c>
      <c r="CG15" s="1">
        <f>INDEX(效果参数!$C$55:$H$55,1,E15+1)</f>
        <v>1.5</v>
      </c>
      <c r="CH15" s="1">
        <f>INDEX(效果参数!$C$106:$G$106,1,H15)</f>
        <v>0.12</v>
      </c>
    </row>
    <row r="16" spans="1:86" ht="33.950000000000003" customHeight="1">
      <c r="A16" s="1">
        <f>13</f>
        <v>13</v>
      </c>
      <c r="B16" s="1" t="str">
        <f>"37 5塑"</f>
        <v>37 5塑</v>
      </c>
      <c r="C16" s="1">
        <f>配置与结果!B6</f>
        <v>0</v>
      </c>
      <c r="D16" s="1">
        <f>5</f>
        <v>5</v>
      </c>
      <c r="E16" s="1">
        <f>配置与结果!B8</f>
        <v>0</v>
      </c>
      <c r="F16" s="1">
        <f>配置与结果!B9</f>
        <v>0</v>
      </c>
      <c r="G16" s="1">
        <f>配置与结果!D6</f>
        <v>5</v>
      </c>
      <c r="H16" s="1">
        <f>配置与结果!D7</f>
        <v>1</v>
      </c>
      <c r="I16" s="1">
        <f>配置与结果!D8</f>
        <v>5</v>
      </c>
      <c r="J16" s="1">
        <f>配置与结果!D9</f>
        <v>1</v>
      </c>
      <c r="K16" s="1">
        <f>INDEX(效果参数!$C$105:$G$105,1,J16)</f>
        <v>1</v>
      </c>
      <c r="L16" s="1" t="b">
        <f>AND(K16=1,INDEX(效果参数!$C$99:$G$99,1,H16)=1,INDEX(效果参数!$C$29:$H$29,1,C16+1)=1)</f>
        <v>1</v>
      </c>
      <c r="M16" s="7">
        <f>IF(AND(K16=1,L16),SUM(行动计算!AU474:AU509),"")</f>
        <v>15496514.302000001</v>
      </c>
      <c r="N16" s="7">
        <f>IF(K16=1,SUMIFS(行动计算!AU474:AU509,行动计算!D474:D509,1),"")</f>
        <v>3581574.3020000001</v>
      </c>
      <c r="O16" s="7">
        <f>IF(L16,SUMIFS(行动计算!AU474:AU509,行动计算!D474:D509,2),"")</f>
        <v>11914940</v>
      </c>
      <c r="P16" s="7">
        <f>IF(AND(K16=1,L16),SUMIFS(行动计算!AU474:AU509,行动计算!F474:F509,1),"")</f>
        <v>12782441</v>
      </c>
      <c r="Q16" s="7">
        <f>IF(AND(K16=1,L16),SUMIFS(行动计算!AU474:AU509,行动计算!F474:F509,2),"")</f>
        <v>1814117</v>
      </c>
      <c r="R16" s="7">
        <f>IF(AND(K16=1,L16),SUMIFS(行动计算!AU474:AU509,行动计算!F474:F509,3),"")</f>
        <v>574085.44499999995</v>
      </c>
      <c r="S16" s="7">
        <f>IF(AND(K16=1,L16),SUMIFS(行动计算!AU474:AU509,行动计算!F474:F509,4),"")</f>
        <v>325870.85699999996</v>
      </c>
      <c r="T16" s="8">
        <f t="shared" si="0"/>
        <v>0.76767425636717279</v>
      </c>
      <c r="U16" s="1">
        <f>INDEX(效果参数!$C$98:$G$98,1,H16)</f>
        <v>0.04</v>
      </c>
      <c r="V16" s="1">
        <f>INDEX(效果参数!$C$97:$G$97,1,G16)</f>
        <v>0.06</v>
      </c>
      <c r="W16" s="1">
        <f>INDEX(效果参数!$C$101:$G$101,1,I16)</f>
        <v>0.02</v>
      </c>
      <c r="X16" s="1">
        <f>INDEX(效果参数!$C$102:$G$102,1,I16)</f>
        <v>0.16</v>
      </c>
      <c r="Y16" s="1">
        <f>INDEX(效果参数!$C$100:$G$100,1,I16)</f>
        <v>0.1</v>
      </c>
      <c r="Z16" s="1">
        <f>INDEX(效果参数!$C$103:$G$103,1,J16)</f>
        <v>0.04</v>
      </c>
      <c r="AA16" s="1">
        <f>INDEX(效果参数!$C$104:$G$104,1,J16)</f>
        <v>4.0000000000000001E-3</v>
      </c>
      <c r="AB16" s="1">
        <f>INDEX(效果参数!$C$30:$H$30,1,D16+1)</f>
        <v>0.6</v>
      </c>
      <c r="AC16" s="1">
        <f>INDEX(效果参数!$C$31:$H$31,1,D16+1)</f>
        <v>0.24</v>
      </c>
      <c r="AD16" s="1">
        <f>INDEX(效果参数!$C$32:$H$32,1,D16+1)</f>
        <v>600</v>
      </c>
      <c r="AE16" s="1">
        <f>INDEX(效果参数!$C$33:$H$33,1,D16+1)</f>
        <v>1</v>
      </c>
      <c r="AF16" s="1">
        <f>INDEX(效果参数!$C$34:$H$34,1,D16+1)</f>
        <v>0.8</v>
      </c>
      <c r="AG16" s="1">
        <f>INDEX(效果参数!$C$43:$H$43,1,E16+1)</f>
        <v>0.3</v>
      </c>
      <c r="AH16" s="1">
        <f>INDEX(效果参数!$C$44:$H$44,1,E16+1)</f>
        <v>0.04</v>
      </c>
      <c r="AI16" s="1">
        <f>INDEX(效果参数!$C$45:$H$45,1,E16+1)</f>
        <v>5</v>
      </c>
      <c r="AJ16" s="1">
        <f>INDEX(效果参数!$C$46:$H$46,1,E16+1)</f>
        <v>1</v>
      </c>
      <c r="AK16" s="1">
        <f>INDEX(效果参数!$C$47:$H$47,1,E16+1)</f>
        <v>2</v>
      </c>
      <c r="AL16" s="1">
        <f>INDEX(效果参数!$C$48:$H$48,1,E16+1)</f>
        <v>0.08</v>
      </c>
      <c r="AM16" s="1">
        <f>INDEX(效果参数!$C$49:$H$49,1,E16+1)</f>
        <v>250</v>
      </c>
      <c r="AN16" s="1">
        <f>INDEX(效果参数!$C$50:$H$50,1,E16+1)</f>
        <v>0.15</v>
      </c>
      <c r="AO16" s="1">
        <f>INDEX(效果参数!$C$51:$H$51,1,E16+1)</f>
        <v>0.15</v>
      </c>
      <c r="AP16" s="1">
        <f>INDEX(效果参数!$C$52:$H$52,1,E16+1)</f>
        <v>0.15</v>
      </c>
      <c r="AQ16" s="1">
        <f>INDEX(效果参数!$C$53:$H$53,1,E16+1)</f>
        <v>0.15</v>
      </c>
      <c r="AR16" s="1">
        <f>INDEX(效果参数!$C$56:$H$56,1,F16+1)</f>
        <v>35</v>
      </c>
      <c r="AS16" s="1">
        <f>INDEX(效果参数!$C$57:$H$57,1,F16+1)</f>
        <v>0.01</v>
      </c>
      <c r="AT16" s="1">
        <f>INDEX(效果参数!$C$58:$H$58,1,F16+1)</f>
        <v>7</v>
      </c>
      <c r="AU16" s="1">
        <f>INDEX(效果参数!$C$59:$H$59,1,F16+1)</f>
        <v>0.5</v>
      </c>
      <c r="AV16" s="1">
        <f>INDEX(效果参数!$C$6:$H$6,1,C16+1)</f>
        <v>2</v>
      </c>
      <c r="AW16" s="1">
        <f>INDEX(效果参数!$C$7:$H$7,1,C16+1)</f>
        <v>4</v>
      </c>
      <c r="AX16" s="1">
        <f>INDEX(效果参数!$C$8:$H$8,1,C16+1)</f>
        <v>8</v>
      </c>
      <c r="AY16" s="1">
        <f>INDEX(效果参数!$C$9:$H$9,1,C16+1)</f>
        <v>0.1</v>
      </c>
      <c r="AZ16" s="1">
        <f>INDEX(效果参数!$C$10:$H$10,1,C16+1)</f>
        <v>0.2</v>
      </c>
      <c r="BA16" s="1">
        <f>INDEX(效果参数!$C$11:$H$11,1,C16+1)</f>
        <v>0.6</v>
      </c>
      <c r="BB16" s="1">
        <f>INDEX(效果参数!$C$12:$H$12,1,C16+1)</f>
        <v>1.2</v>
      </c>
      <c r="BC16" s="1">
        <f>INDEX(效果参数!$C$13:$H$13,1,C16+1)</f>
        <v>0.06</v>
      </c>
      <c r="BD16" s="1">
        <f>INDEX(效果参数!$C$14:$H$14,1,C16+1)</f>
        <v>3</v>
      </c>
      <c r="BE16" s="1">
        <f>INDEX(效果参数!$C$15:$H$15,1,C16+1)</f>
        <v>1</v>
      </c>
      <c r="BF16" s="1">
        <f>INDEX(效果参数!$C$16:$H$16,1,C16+1)</f>
        <v>2.5000000000000001E-2</v>
      </c>
      <c r="BG16" s="1">
        <f>INDEX(效果参数!$C$17:$H$17,1,C16+1)</f>
        <v>18</v>
      </c>
      <c r="BH16" s="1">
        <f>INDEX(效果参数!$C$18:$H$18,1,C16+1)</f>
        <v>18</v>
      </c>
      <c r="BI16" s="1">
        <f>INDEX(效果参数!$C$19:$H$19,1,C16+1)</f>
        <v>1</v>
      </c>
      <c r="BJ16" s="1">
        <f>INDEX(效果参数!$C$20:$H$20,1,C16+1)</f>
        <v>1</v>
      </c>
      <c r="BK16" s="1">
        <f>INDEX(效果参数!$C$21:$H$21,1,C16+1)</f>
        <v>0.2</v>
      </c>
      <c r="BL16" s="1">
        <f>INDEX(效果参数!$C$22:$H$22,1,C16+1)</f>
        <v>9</v>
      </c>
      <c r="BM16" s="1">
        <f>INDEX(效果参数!$C$23:$H$23,1,C16+1)</f>
        <v>20</v>
      </c>
      <c r="BN16" s="1">
        <f>INDEX(效果参数!$C$24:$H$24,1,C16+1)</f>
        <v>30</v>
      </c>
      <c r="BO16" s="1">
        <f>INDEX(效果参数!$C$25:$H$25,1,C16+1)</f>
        <v>1.5</v>
      </c>
      <c r="BP16" s="1">
        <f>INDEX(效果参数!$C$26:$H$26,1,C16+1)</f>
        <v>0.6</v>
      </c>
      <c r="BQ16" s="1">
        <f>INDEX(效果参数!$C$27:$H$27,1,C16+1)</f>
        <v>0.8</v>
      </c>
      <c r="BR16" s="1">
        <f>INDEX(效果参数!$C$28:$H$28,1,C16+1)</f>
        <v>1</v>
      </c>
      <c r="BS16" s="1">
        <f>INDEX(效果参数!$C$35:$H$35,1,D16+1)</f>
        <v>3</v>
      </c>
      <c r="BT16" s="1">
        <f>INDEX(效果参数!$C$36:$H$36,1,D16+1)</f>
        <v>1.6</v>
      </c>
      <c r="BU16" s="1">
        <f>INDEX(效果参数!$C$37:$H$37,1,D16+1)</f>
        <v>1</v>
      </c>
      <c r="BV16" s="1">
        <f>INDEX(效果参数!$C$38:$H$38,1,D16+1)</f>
        <v>6</v>
      </c>
      <c r="BW16" s="1">
        <f>INDEX(效果参数!$C$39:$H$39,1,D16+1)</f>
        <v>2</v>
      </c>
      <c r="BX16" s="1">
        <f>INDEX(效果参数!$C$40:$H$40,1,D16+1)</f>
        <v>3</v>
      </c>
      <c r="BY16" s="1">
        <f>INDEX(效果参数!$C$41:$H$41,1,D16+1)</f>
        <v>2</v>
      </c>
      <c r="BZ16" s="1">
        <f>IF(配置与结果!$H$24=1,AR16,MIN(AR16,MAX(0,配置与结果!$H$25)))</f>
        <v>35</v>
      </c>
      <c r="CA16" s="1">
        <f>ROUNDDOWN(配置与结果!$B$17*(1+0.05+Y16),0)</f>
        <v>2986</v>
      </c>
      <c r="CB16" s="1">
        <f>MIN(AD16,ROUNDDOWN((配置与结果!$B$16+CC16)*AC16,0))</f>
        <v>600</v>
      </c>
      <c r="CC16" s="1">
        <f t="shared" si="1"/>
        <v>238</v>
      </c>
      <c r="CD16" s="1">
        <f>INDEX(效果参数!$C$96:$G$96,1,G16)</f>
        <v>0.16</v>
      </c>
      <c r="CE16" s="1">
        <f>INDEX(效果参数!$C$42:$H$42,1,D16+1)</f>
        <v>10</v>
      </c>
      <c r="CF16" s="1">
        <f>INDEX(效果参数!$C$54:$H$54,1,E16+1)</f>
        <v>15</v>
      </c>
      <c r="CG16" s="1">
        <f>INDEX(效果参数!$C$55:$H$55,1,E16+1)</f>
        <v>1.5</v>
      </c>
      <c r="CH16" s="1">
        <f>INDEX(效果参数!$C$106:$G$106,1,H16)</f>
        <v>0.12</v>
      </c>
    </row>
    <row r="17" spans="1:86" ht="33.950000000000003" customHeight="1">
      <c r="A17" s="1">
        <f>14</f>
        <v>14</v>
      </c>
      <c r="B17" s="1" t="str">
        <f>"小瑞安侬 0塑"</f>
        <v>小瑞安侬 0塑</v>
      </c>
      <c r="C17" s="1">
        <f>配置与结果!B6</f>
        <v>0</v>
      </c>
      <c r="D17" s="1">
        <f>配置与结果!B7</f>
        <v>0</v>
      </c>
      <c r="E17" s="1">
        <f>0</f>
        <v>0</v>
      </c>
      <c r="F17" s="1">
        <f>配置与结果!B9</f>
        <v>0</v>
      </c>
      <c r="G17" s="1">
        <f>配置与结果!D6</f>
        <v>5</v>
      </c>
      <c r="H17" s="1">
        <f>配置与结果!D7</f>
        <v>1</v>
      </c>
      <c r="I17" s="1">
        <f>配置与结果!D8</f>
        <v>5</v>
      </c>
      <c r="J17" s="1">
        <f>配置与结果!D9</f>
        <v>1</v>
      </c>
      <c r="K17" s="1">
        <f>INDEX(效果参数!$C$105:$G$105,1,J17)</f>
        <v>1</v>
      </c>
      <c r="L17" s="1" t="b">
        <f>AND(K17=1,INDEX(效果参数!$C$99:$G$99,1,H17)=1,INDEX(效果参数!$C$29:$H$29,1,C17+1)=1)</f>
        <v>1</v>
      </c>
      <c r="M17" s="7">
        <f>IF(AND(K17=1,L17),SUM(行动计算!AU510:AU545),"")</f>
        <v>8766611.9739999995</v>
      </c>
      <c r="N17" s="7">
        <f>IF(K17=1,SUMIFS(行动计算!AU510:AU545,行动计算!D510:D545,1),"")</f>
        <v>3133250.6940000001</v>
      </c>
      <c r="O17" s="7">
        <f>IF(L17,SUMIFS(行动计算!AU510:AU545,行动计算!D510:D545,2),"")</f>
        <v>5633361.2799999993</v>
      </c>
      <c r="P17" s="7">
        <f>IF(AND(K17=1,L17),SUMIFS(行动计算!AU510:AU545,行动计算!F510:F545,1),"")</f>
        <v>7363386</v>
      </c>
      <c r="Q17" s="7">
        <f>IF(AND(K17=1,L17),SUMIFS(行动计算!AU510:AU545,行动计算!F510:F545,2),"")</f>
        <v>642844.12</v>
      </c>
      <c r="R17" s="7">
        <f>IF(AND(K17=1,L17),SUMIFS(行动计算!AU510:AU545,行动计算!F510:F545,3),"")</f>
        <v>489818.29000000004</v>
      </c>
      <c r="S17" s="7">
        <f>IF(AND(K17=1,L17),SUMIFS(行动计算!AU510:AU545,行动计算!F510:F545,4),"")</f>
        <v>270563.56400000001</v>
      </c>
      <c r="T17" s="8">
        <f t="shared" si="0"/>
        <v>0</v>
      </c>
      <c r="U17" s="1">
        <f>INDEX(效果参数!$C$98:$G$98,1,H17)</f>
        <v>0.04</v>
      </c>
      <c r="V17" s="1">
        <f>INDEX(效果参数!$C$97:$G$97,1,G17)</f>
        <v>0.06</v>
      </c>
      <c r="W17" s="1">
        <f>INDEX(效果参数!$C$101:$G$101,1,I17)</f>
        <v>0.02</v>
      </c>
      <c r="X17" s="1">
        <f>INDEX(效果参数!$C$102:$G$102,1,I17)</f>
        <v>0.16</v>
      </c>
      <c r="Y17" s="1">
        <f>INDEX(效果参数!$C$100:$G$100,1,I17)</f>
        <v>0.1</v>
      </c>
      <c r="Z17" s="1">
        <f>INDEX(效果参数!$C$103:$G$103,1,J17)</f>
        <v>0.04</v>
      </c>
      <c r="AA17" s="1">
        <f>INDEX(效果参数!$C$104:$G$104,1,J17)</f>
        <v>4.0000000000000001E-3</v>
      </c>
      <c r="AB17" s="1">
        <f>INDEX(效果参数!$C$30:$H$30,1,D17+1)</f>
        <v>0.3</v>
      </c>
      <c r="AC17" s="1">
        <f>INDEX(效果参数!$C$31:$H$31,1,D17+1)</f>
        <v>0.2</v>
      </c>
      <c r="AD17" s="1">
        <f>INDEX(效果参数!$C$32:$H$32,1,D17+1)</f>
        <v>500</v>
      </c>
      <c r="AE17" s="1">
        <f>INDEX(效果参数!$C$33:$H$33,1,D17+1)</f>
        <v>0.4</v>
      </c>
      <c r="AF17" s="1">
        <f>INDEX(效果参数!$C$34:$H$34,1,D17+1)</f>
        <v>0.4</v>
      </c>
      <c r="AG17" s="1">
        <f>INDEX(效果参数!$C$43:$H$43,1,E17+1)</f>
        <v>0.3</v>
      </c>
      <c r="AH17" s="1">
        <f>INDEX(效果参数!$C$44:$H$44,1,E17+1)</f>
        <v>0.04</v>
      </c>
      <c r="AI17" s="1">
        <f>INDEX(效果参数!$C$45:$H$45,1,E17+1)</f>
        <v>5</v>
      </c>
      <c r="AJ17" s="1">
        <f>INDEX(效果参数!$C$46:$H$46,1,E17+1)</f>
        <v>1</v>
      </c>
      <c r="AK17" s="1">
        <f>INDEX(效果参数!$C$47:$H$47,1,E17+1)</f>
        <v>2</v>
      </c>
      <c r="AL17" s="1">
        <f>INDEX(效果参数!$C$48:$H$48,1,E17+1)</f>
        <v>0.08</v>
      </c>
      <c r="AM17" s="1">
        <f>INDEX(效果参数!$C$49:$H$49,1,E17+1)</f>
        <v>250</v>
      </c>
      <c r="AN17" s="1">
        <f>INDEX(效果参数!$C$50:$H$50,1,E17+1)</f>
        <v>0.15</v>
      </c>
      <c r="AO17" s="1">
        <f>INDEX(效果参数!$C$51:$H$51,1,E17+1)</f>
        <v>0.15</v>
      </c>
      <c r="AP17" s="1">
        <f>INDEX(效果参数!$C$52:$H$52,1,E17+1)</f>
        <v>0.15</v>
      </c>
      <c r="AQ17" s="1">
        <f>INDEX(效果参数!$C$53:$H$53,1,E17+1)</f>
        <v>0.15</v>
      </c>
      <c r="AR17" s="1">
        <f>INDEX(效果参数!$C$56:$H$56,1,F17+1)</f>
        <v>35</v>
      </c>
      <c r="AS17" s="1">
        <f>INDEX(效果参数!$C$57:$H$57,1,F17+1)</f>
        <v>0.01</v>
      </c>
      <c r="AT17" s="1">
        <f>INDEX(效果参数!$C$58:$H$58,1,F17+1)</f>
        <v>7</v>
      </c>
      <c r="AU17" s="1">
        <f>INDEX(效果参数!$C$59:$H$59,1,F17+1)</f>
        <v>0.5</v>
      </c>
      <c r="AV17" s="1">
        <f>INDEX(效果参数!$C$6:$H$6,1,C17+1)</f>
        <v>2</v>
      </c>
      <c r="AW17" s="1">
        <f>INDEX(效果参数!$C$7:$H$7,1,C17+1)</f>
        <v>4</v>
      </c>
      <c r="AX17" s="1">
        <f>INDEX(效果参数!$C$8:$H$8,1,C17+1)</f>
        <v>8</v>
      </c>
      <c r="AY17" s="1">
        <f>INDEX(效果参数!$C$9:$H$9,1,C17+1)</f>
        <v>0.1</v>
      </c>
      <c r="AZ17" s="1">
        <f>INDEX(效果参数!$C$10:$H$10,1,C17+1)</f>
        <v>0.2</v>
      </c>
      <c r="BA17" s="1">
        <f>INDEX(效果参数!$C$11:$H$11,1,C17+1)</f>
        <v>0.6</v>
      </c>
      <c r="BB17" s="1">
        <f>INDEX(效果参数!$C$12:$H$12,1,C17+1)</f>
        <v>1.2</v>
      </c>
      <c r="BC17" s="1">
        <f>INDEX(效果参数!$C$13:$H$13,1,C17+1)</f>
        <v>0.06</v>
      </c>
      <c r="BD17" s="1">
        <f>INDEX(效果参数!$C$14:$H$14,1,C17+1)</f>
        <v>3</v>
      </c>
      <c r="BE17" s="1">
        <f>INDEX(效果参数!$C$15:$H$15,1,C17+1)</f>
        <v>1</v>
      </c>
      <c r="BF17" s="1">
        <f>INDEX(效果参数!$C$16:$H$16,1,C17+1)</f>
        <v>2.5000000000000001E-2</v>
      </c>
      <c r="BG17" s="1">
        <f>INDEX(效果参数!$C$17:$H$17,1,C17+1)</f>
        <v>18</v>
      </c>
      <c r="BH17" s="1">
        <f>INDEX(效果参数!$C$18:$H$18,1,C17+1)</f>
        <v>18</v>
      </c>
      <c r="BI17" s="1">
        <f>INDEX(效果参数!$C$19:$H$19,1,C17+1)</f>
        <v>1</v>
      </c>
      <c r="BJ17" s="1">
        <f>INDEX(效果参数!$C$20:$H$20,1,C17+1)</f>
        <v>1</v>
      </c>
      <c r="BK17" s="1">
        <f>INDEX(效果参数!$C$21:$H$21,1,C17+1)</f>
        <v>0.2</v>
      </c>
      <c r="BL17" s="1">
        <f>INDEX(效果参数!$C$22:$H$22,1,C17+1)</f>
        <v>9</v>
      </c>
      <c r="BM17" s="1">
        <f>INDEX(效果参数!$C$23:$H$23,1,C17+1)</f>
        <v>20</v>
      </c>
      <c r="BN17" s="1">
        <f>INDEX(效果参数!$C$24:$H$24,1,C17+1)</f>
        <v>30</v>
      </c>
      <c r="BO17" s="1">
        <f>INDEX(效果参数!$C$25:$H$25,1,C17+1)</f>
        <v>1.5</v>
      </c>
      <c r="BP17" s="1">
        <f>INDEX(效果参数!$C$26:$H$26,1,C17+1)</f>
        <v>0.6</v>
      </c>
      <c r="BQ17" s="1">
        <f>INDEX(效果参数!$C$27:$H$27,1,C17+1)</f>
        <v>0.8</v>
      </c>
      <c r="BR17" s="1">
        <f>INDEX(效果参数!$C$28:$H$28,1,C17+1)</f>
        <v>1</v>
      </c>
      <c r="BS17" s="1">
        <f>INDEX(效果参数!$C$35:$H$35,1,D17+1)</f>
        <v>2.8</v>
      </c>
      <c r="BT17" s="1">
        <f>INDEX(效果参数!$C$36:$H$36,1,D17+1)</f>
        <v>1.4</v>
      </c>
      <c r="BU17" s="1">
        <f>INDEX(效果参数!$C$37:$H$37,1,D17+1)</f>
        <v>0.8</v>
      </c>
      <c r="BV17" s="1">
        <f>INDEX(效果参数!$C$38:$H$38,1,D17+1)</f>
        <v>3</v>
      </c>
      <c r="BW17" s="1">
        <f>INDEX(效果参数!$C$39:$H$39,1,D17+1)</f>
        <v>1</v>
      </c>
      <c r="BX17" s="1">
        <f>INDEX(效果参数!$C$40:$H$40,1,D17+1)</f>
        <v>2</v>
      </c>
      <c r="BY17" s="1">
        <f>INDEX(效果参数!$C$41:$H$41,1,D17+1)</f>
        <v>1</v>
      </c>
      <c r="BZ17" s="1">
        <f>IF(配置与结果!$H$24=1,AR17,MIN(AR17,MAX(0,配置与结果!$H$25)))</f>
        <v>35</v>
      </c>
      <c r="CA17" s="1">
        <f>ROUNDDOWN(配置与结果!$B$17*(1+0.05+Y17),0)</f>
        <v>2986</v>
      </c>
      <c r="CB17" s="1">
        <f>MIN(AD17,ROUNDDOWN((配置与结果!$B$16+CC17)*AC17,0))</f>
        <v>500</v>
      </c>
      <c r="CC17" s="1">
        <f t="shared" si="1"/>
        <v>238</v>
      </c>
      <c r="CD17" s="1">
        <f>INDEX(效果参数!$C$96:$G$96,1,G17)</f>
        <v>0.16</v>
      </c>
      <c r="CE17" s="1">
        <f>INDEX(效果参数!$C$42:$H$42,1,D17+1)</f>
        <v>8</v>
      </c>
      <c r="CF17" s="1">
        <f>INDEX(效果参数!$C$54:$H$54,1,E17+1)</f>
        <v>15</v>
      </c>
      <c r="CG17" s="1">
        <f>INDEX(效果参数!$C$55:$H$55,1,E17+1)</f>
        <v>1.5</v>
      </c>
      <c r="CH17" s="1">
        <f>INDEX(效果参数!$C$106:$G$106,1,H17)</f>
        <v>0.12</v>
      </c>
    </row>
    <row r="18" spans="1:86" ht="33.950000000000003" customHeight="1">
      <c r="A18" s="1">
        <f>15</f>
        <v>15</v>
      </c>
      <c r="B18" s="1" t="str">
        <f>"小瑞安侬 1塑"</f>
        <v>小瑞安侬 1塑</v>
      </c>
      <c r="C18" s="1">
        <f>配置与结果!B6</f>
        <v>0</v>
      </c>
      <c r="D18" s="1">
        <f>配置与结果!B7</f>
        <v>0</v>
      </c>
      <c r="E18" s="1">
        <f>1</f>
        <v>1</v>
      </c>
      <c r="F18" s="1">
        <f>配置与结果!B9</f>
        <v>0</v>
      </c>
      <c r="G18" s="1">
        <f>配置与结果!D6</f>
        <v>5</v>
      </c>
      <c r="H18" s="1">
        <f>配置与结果!D7</f>
        <v>1</v>
      </c>
      <c r="I18" s="1">
        <f>配置与结果!D8</f>
        <v>5</v>
      </c>
      <c r="J18" s="1">
        <f>配置与结果!D9</f>
        <v>1</v>
      </c>
      <c r="K18" s="1">
        <f>INDEX(效果参数!$C$105:$G$105,1,J18)</f>
        <v>1</v>
      </c>
      <c r="L18" s="1" t="b">
        <f>AND(K18=1,INDEX(效果参数!$C$99:$G$99,1,H18)=1,INDEX(效果参数!$C$29:$H$29,1,C18+1)=1)</f>
        <v>1</v>
      </c>
      <c r="M18" s="7">
        <f>IF(AND(K18=1,L18),SUM(行动计算!AU546:AU581),"")</f>
        <v>8986839.716</v>
      </c>
      <c r="N18" s="7">
        <f>IF(K18=1,SUMIFS(行动计算!AU546:AU581,行动计算!D546:D581,1),"")</f>
        <v>3353478.4359999993</v>
      </c>
      <c r="O18" s="7">
        <f>IF(L18,SUMIFS(行动计算!AU546:AU581,行动计算!D546:D581,2),"")</f>
        <v>5633361.2799999993</v>
      </c>
      <c r="P18" s="7">
        <f>IF(AND(K18=1,L18),SUMIFS(行动计算!AU546:AU581,行动计算!F546:F581,1),"")</f>
        <v>7488636</v>
      </c>
      <c r="Q18" s="7">
        <f>IF(AND(K18=1,L18),SUMIFS(行动计算!AU546:AU581,行动计算!F546:F581,2),"")</f>
        <v>652179.19999999995</v>
      </c>
      <c r="R18" s="7">
        <f>IF(AND(K18=1,L18),SUMIFS(行动计算!AU546:AU581,行动计算!F546:F581,3),"")</f>
        <v>546336.90999999992</v>
      </c>
      <c r="S18" s="7">
        <f>IF(AND(K18=1,L18),SUMIFS(行动计算!AU546:AU581,行动计算!F546:F581,4),"")</f>
        <v>299687.60600000003</v>
      </c>
      <c r="T18" s="8">
        <f t="shared" si="0"/>
        <v>2.5121191932887088E-2</v>
      </c>
      <c r="U18" s="1">
        <f>INDEX(效果参数!$C$98:$G$98,1,H18)</f>
        <v>0.04</v>
      </c>
      <c r="V18" s="1">
        <f>INDEX(效果参数!$C$97:$G$97,1,G18)</f>
        <v>0.06</v>
      </c>
      <c r="W18" s="1">
        <f>INDEX(效果参数!$C$101:$G$101,1,I18)</f>
        <v>0.02</v>
      </c>
      <c r="X18" s="1">
        <f>INDEX(效果参数!$C$102:$G$102,1,I18)</f>
        <v>0.16</v>
      </c>
      <c r="Y18" s="1">
        <f>INDEX(效果参数!$C$100:$G$100,1,I18)</f>
        <v>0.1</v>
      </c>
      <c r="Z18" s="1">
        <f>INDEX(效果参数!$C$103:$G$103,1,J18)</f>
        <v>0.04</v>
      </c>
      <c r="AA18" s="1">
        <f>INDEX(效果参数!$C$104:$G$104,1,J18)</f>
        <v>4.0000000000000001E-3</v>
      </c>
      <c r="AB18" s="1">
        <f>INDEX(效果参数!$C$30:$H$30,1,D18+1)</f>
        <v>0.3</v>
      </c>
      <c r="AC18" s="1">
        <f>INDEX(效果参数!$C$31:$H$31,1,D18+1)</f>
        <v>0.2</v>
      </c>
      <c r="AD18" s="1">
        <f>INDEX(效果参数!$C$32:$H$32,1,D18+1)</f>
        <v>500</v>
      </c>
      <c r="AE18" s="1">
        <f>INDEX(效果参数!$C$33:$H$33,1,D18+1)</f>
        <v>0.4</v>
      </c>
      <c r="AF18" s="1">
        <f>INDEX(效果参数!$C$34:$H$34,1,D18+1)</f>
        <v>0.4</v>
      </c>
      <c r="AG18" s="1">
        <f>INDEX(效果参数!$C$43:$H$43,1,E18+1)</f>
        <v>0.45</v>
      </c>
      <c r="AH18" s="1">
        <f>INDEX(效果参数!$C$44:$H$44,1,E18+1)</f>
        <v>0.04</v>
      </c>
      <c r="AI18" s="1">
        <f>INDEX(效果参数!$C$45:$H$45,1,E18+1)</f>
        <v>5</v>
      </c>
      <c r="AJ18" s="1">
        <f>INDEX(效果参数!$C$46:$H$46,1,E18+1)</f>
        <v>1</v>
      </c>
      <c r="AK18" s="1">
        <f>INDEX(效果参数!$C$47:$H$47,1,E18+1)</f>
        <v>2</v>
      </c>
      <c r="AL18" s="1">
        <f>INDEX(效果参数!$C$48:$H$48,1,E18+1)</f>
        <v>0.08</v>
      </c>
      <c r="AM18" s="1">
        <f>INDEX(效果参数!$C$49:$H$49,1,E18+1)</f>
        <v>250</v>
      </c>
      <c r="AN18" s="1">
        <f>INDEX(效果参数!$C$50:$H$50,1,E18+1)</f>
        <v>0.15</v>
      </c>
      <c r="AO18" s="1">
        <f>INDEX(效果参数!$C$51:$H$51,1,E18+1)</f>
        <v>0.15</v>
      </c>
      <c r="AP18" s="1">
        <f>INDEX(效果参数!$C$52:$H$52,1,E18+1)</f>
        <v>0.15</v>
      </c>
      <c r="AQ18" s="1">
        <f>INDEX(效果参数!$C$53:$H$53,1,E18+1)</f>
        <v>0.15</v>
      </c>
      <c r="AR18" s="1">
        <f>INDEX(效果参数!$C$56:$H$56,1,F18+1)</f>
        <v>35</v>
      </c>
      <c r="AS18" s="1">
        <f>INDEX(效果参数!$C$57:$H$57,1,F18+1)</f>
        <v>0.01</v>
      </c>
      <c r="AT18" s="1">
        <f>INDEX(效果参数!$C$58:$H$58,1,F18+1)</f>
        <v>7</v>
      </c>
      <c r="AU18" s="1">
        <f>INDEX(效果参数!$C$59:$H$59,1,F18+1)</f>
        <v>0.5</v>
      </c>
      <c r="AV18" s="1">
        <f>INDEX(效果参数!$C$6:$H$6,1,C18+1)</f>
        <v>2</v>
      </c>
      <c r="AW18" s="1">
        <f>INDEX(效果参数!$C$7:$H$7,1,C18+1)</f>
        <v>4</v>
      </c>
      <c r="AX18" s="1">
        <f>INDEX(效果参数!$C$8:$H$8,1,C18+1)</f>
        <v>8</v>
      </c>
      <c r="AY18" s="1">
        <f>INDEX(效果参数!$C$9:$H$9,1,C18+1)</f>
        <v>0.1</v>
      </c>
      <c r="AZ18" s="1">
        <f>INDEX(效果参数!$C$10:$H$10,1,C18+1)</f>
        <v>0.2</v>
      </c>
      <c r="BA18" s="1">
        <f>INDEX(效果参数!$C$11:$H$11,1,C18+1)</f>
        <v>0.6</v>
      </c>
      <c r="BB18" s="1">
        <f>INDEX(效果参数!$C$12:$H$12,1,C18+1)</f>
        <v>1.2</v>
      </c>
      <c r="BC18" s="1">
        <f>INDEX(效果参数!$C$13:$H$13,1,C18+1)</f>
        <v>0.06</v>
      </c>
      <c r="BD18" s="1">
        <f>INDEX(效果参数!$C$14:$H$14,1,C18+1)</f>
        <v>3</v>
      </c>
      <c r="BE18" s="1">
        <f>INDEX(效果参数!$C$15:$H$15,1,C18+1)</f>
        <v>1</v>
      </c>
      <c r="BF18" s="1">
        <f>INDEX(效果参数!$C$16:$H$16,1,C18+1)</f>
        <v>2.5000000000000001E-2</v>
      </c>
      <c r="BG18" s="1">
        <f>INDEX(效果参数!$C$17:$H$17,1,C18+1)</f>
        <v>18</v>
      </c>
      <c r="BH18" s="1">
        <f>INDEX(效果参数!$C$18:$H$18,1,C18+1)</f>
        <v>18</v>
      </c>
      <c r="BI18" s="1">
        <f>INDEX(效果参数!$C$19:$H$19,1,C18+1)</f>
        <v>1</v>
      </c>
      <c r="BJ18" s="1">
        <f>INDEX(效果参数!$C$20:$H$20,1,C18+1)</f>
        <v>1</v>
      </c>
      <c r="BK18" s="1">
        <f>INDEX(效果参数!$C$21:$H$21,1,C18+1)</f>
        <v>0.2</v>
      </c>
      <c r="BL18" s="1">
        <f>INDEX(效果参数!$C$22:$H$22,1,C18+1)</f>
        <v>9</v>
      </c>
      <c r="BM18" s="1">
        <f>INDEX(效果参数!$C$23:$H$23,1,C18+1)</f>
        <v>20</v>
      </c>
      <c r="BN18" s="1">
        <f>INDEX(效果参数!$C$24:$H$24,1,C18+1)</f>
        <v>30</v>
      </c>
      <c r="BO18" s="1">
        <f>INDEX(效果参数!$C$25:$H$25,1,C18+1)</f>
        <v>1.5</v>
      </c>
      <c r="BP18" s="1">
        <f>INDEX(效果参数!$C$26:$H$26,1,C18+1)</f>
        <v>0.6</v>
      </c>
      <c r="BQ18" s="1">
        <f>INDEX(效果参数!$C$27:$H$27,1,C18+1)</f>
        <v>0.8</v>
      </c>
      <c r="BR18" s="1">
        <f>INDEX(效果参数!$C$28:$H$28,1,C18+1)</f>
        <v>1</v>
      </c>
      <c r="BS18" s="1">
        <f>INDEX(效果参数!$C$35:$H$35,1,D18+1)</f>
        <v>2.8</v>
      </c>
      <c r="BT18" s="1">
        <f>INDEX(效果参数!$C$36:$H$36,1,D18+1)</f>
        <v>1.4</v>
      </c>
      <c r="BU18" s="1">
        <f>INDEX(效果参数!$C$37:$H$37,1,D18+1)</f>
        <v>0.8</v>
      </c>
      <c r="BV18" s="1">
        <f>INDEX(效果参数!$C$38:$H$38,1,D18+1)</f>
        <v>3</v>
      </c>
      <c r="BW18" s="1">
        <f>INDEX(效果参数!$C$39:$H$39,1,D18+1)</f>
        <v>1</v>
      </c>
      <c r="BX18" s="1">
        <f>INDEX(效果参数!$C$40:$H$40,1,D18+1)</f>
        <v>2</v>
      </c>
      <c r="BY18" s="1">
        <f>INDEX(效果参数!$C$41:$H$41,1,D18+1)</f>
        <v>1</v>
      </c>
      <c r="BZ18" s="1">
        <f>IF(配置与结果!$H$24=1,AR18,MIN(AR18,MAX(0,配置与结果!$H$25)))</f>
        <v>35</v>
      </c>
      <c r="CA18" s="1">
        <f>ROUNDDOWN(配置与结果!$B$17*(1+0.05+Y18),0)</f>
        <v>2986</v>
      </c>
      <c r="CB18" s="1">
        <f>MIN(AD18,ROUNDDOWN((配置与结果!$B$16+CC18)*AC18,0))</f>
        <v>500</v>
      </c>
      <c r="CC18" s="1">
        <f t="shared" si="1"/>
        <v>238</v>
      </c>
      <c r="CD18" s="1">
        <f>INDEX(效果参数!$C$96:$G$96,1,G18)</f>
        <v>0.16</v>
      </c>
      <c r="CE18" s="1">
        <f>INDEX(效果参数!$C$42:$H$42,1,D18+1)</f>
        <v>8</v>
      </c>
      <c r="CF18" s="1">
        <f>INDEX(效果参数!$C$54:$H$54,1,E18+1)</f>
        <v>15</v>
      </c>
      <c r="CG18" s="1">
        <f>INDEX(效果参数!$C$55:$H$55,1,E18+1)</f>
        <v>1.5</v>
      </c>
      <c r="CH18" s="1">
        <f>INDEX(效果参数!$C$106:$G$106,1,H18)</f>
        <v>0.12</v>
      </c>
    </row>
    <row r="19" spans="1:86" ht="33.950000000000003" customHeight="1">
      <c r="A19" s="1">
        <f>16</f>
        <v>16</v>
      </c>
      <c r="B19" s="1" t="str">
        <f>"小瑞安侬 2塑"</f>
        <v>小瑞安侬 2塑</v>
      </c>
      <c r="C19" s="1">
        <f>配置与结果!B6</f>
        <v>0</v>
      </c>
      <c r="D19" s="1">
        <f>配置与结果!B7</f>
        <v>0</v>
      </c>
      <c r="E19" s="1">
        <f>2</f>
        <v>2</v>
      </c>
      <c r="F19" s="1">
        <f>配置与结果!B9</f>
        <v>0</v>
      </c>
      <c r="G19" s="1">
        <f>配置与结果!D6</f>
        <v>5</v>
      </c>
      <c r="H19" s="1">
        <f>配置与结果!D7</f>
        <v>1</v>
      </c>
      <c r="I19" s="1">
        <f>配置与结果!D8</f>
        <v>5</v>
      </c>
      <c r="J19" s="1">
        <f>配置与结果!D9</f>
        <v>1</v>
      </c>
      <c r="K19" s="1">
        <f>INDEX(效果参数!$C$105:$G$105,1,J19)</f>
        <v>1</v>
      </c>
      <c r="L19" s="1" t="b">
        <f>AND(K19=1,INDEX(效果参数!$C$99:$G$99,1,H19)=1,INDEX(效果参数!$C$29:$H$29,1,C19+1)=1)</f>
        <v>1</v>
      </c>
      <c r="M19" s="7">
        <f>IF(AND(K19=1,L19),SUM(行动计算!AU582:AU617),"")</f>
        <v>9754459.5660000015</v>
      </c>
      <c r="N19" s="7">
        <f>IF(K19=1,SUMIFS(行动计算!AU582:AU617,行动计算!D582:D617,1),"")</f>
        <v>4121098.2859999998</v>
      </c>
      <c r="O19" s="7">
        <f>IF(L19,SUMIFS(行动计算!AU582:AU617,行动计算!D582:D617,2),"")</f>
        <v>5633361.2799999993</v>
      </c>
      <c r="P19" s="7">
        <f>IF(AND(K19=1,L19),SUMIFS(行动计算!AU582:AU617,行动计算!F582:F617,1),"")</f>
        <v>7489603</v>
      </c>
      <c r="Q19" s="7">
        <f>IF(AND(K19=1,L19),SUMIFS(行动计算!AU582:AU617,行动计算!F582:F617,2),"")</f>
        <v>652857.76</v>
      </c>
      <c r="R19" s="7">
        <f>IF(AND(K19=1,L19),SUMIFS(行动计算!AU582:AU617,行动计算!F582:F617,3),"")</f>
        <v>1311975.825</v>
      </c>
      <c r="S19" s="7">
        <f>IF(AND(K19=1,L19),SUMIFS(行动计算!AU582:AU617,行动计算!F582:F617,4),"")</f>
        <v>300022.98100000003</v>
      </c>
      <c r="T19" s="8">
        <f t="shared" si="0"/>
        <v>0.1126829378247558</v>
      </c>
      <c r="U19" s="1">
        <f>INDEX(效果参数!$C$98:$G$98,1,H19)</f>
        <v>0.04</v>
      </c>
      <c r="V19" s="1">
        <f>INDEX(效果参数!$C$97:$G$97,1,G19)</f>
        <v>0.06</v>
      </c>
      <c r="W19" s="1">
        <f>INDEX(效果参数!$C$101:$G$101,1,I19)</f>
        <v>0.02</v>
      </c>
      <c r="X19" s="1">
        <f>INDEX(效果参数!$C$102:$G$102,1,I19)</f>
        <v>0.16</v>
      </c>
      <c r="Y19" s="1">
        <f>INDEX(效果参数!$C$100:$G$100,1,I19)</f>
        <v>0.1</v>
      </c>
      <c r="Z19" s="1">
        <f>INDEX(效果参数!$C$103:$G$103,1,J19)</f>
        <v>0.04</v>
      </c>
      <c r="AA19" s="1">
        <f>INDEX(效果参数!$C$104:$G$104,1,J19)</f>
        <v>4.0000000000000001E-3</v>
      </c>
      <c r="AB19" s="1">
        <f>INDEX(效果参数!$C$30:$H$30,1,D19+1)</f>
        <v>0.3</v>
      </c>
      <c r="AC19" s="1">
        <f>INDEX(效果参数!$C$31:$H$31,1,D19+1)</f>
        <v>0.2</v>
      </c>
      <c r="AD19" s="1">
        <f>INDEX(效果参数!$C$32:$H$32,1,D19+1)</f>
        <v>500</v>
      </c>
      <c r="AE19" s="1">
        <f>INDEX(效果参数!$C$33:$H$33,1,D19+1)</f>
        <v>0.4</v>
      </c>
      <c r="AF19" s="1">
        <f>INDEX(效果参数!$C$34:$H$34,1,D19+1)</f>
        <v>0.4</v>
      </c>
      <c r="AG19" s="1">
        <f>INDEX(效果参数!$C$43:$H$43,1,E19+1)</f>
        <v>0.45</v>
      </c>
      <c r="AH19" s="1">
        <f>INDEX(效果参数!$C$44:$H$44,1,E19+1)</f>
        <v>0.05</v>
      </c>
      <c r="AI19" s="1">
        <f>INDEX(效果参数!$C$45:$H$45,1,E19+1)</f>
        <v>7</v>
      </c>
      <c r="AJ19" s="1">
        <f>INDEX(效果参数!$C$46:$H$46,1,E19+1)</f>
        <v>1</v>
      </c>
      <c r="AK19" s="1">
        <f>INDEX(效果参数!$C$47:$H$47,1,E19+1)</f>
        <v>3</v>
      </c>
      <c r="AL19" s="1">
        <f>INDEX(效果参数!$C$48:$H$48,1,E19+1)</f>
        <v>0.08</v>
      </c>
      <c r="AM19" s="1">
        <f>INDEX(效果参数!$C$49:$H$49,1,E19+1)</f>
        <v>250</v>
      </c>
      <c r="AN19" s="1">
        <f>INDEX(效果参数!$C$50:$H$50,1,E19+1)</f>
        <v>0.15</v>
      </c>
      <c r="AO19" s="1">
        <f>INDEX(效果参数!$C$51:$H$51,1,E19+1)</f>
        <v>0.15</v>
      </c>
      <c r="AP19" s="1">
        <f>INDEX(效果参数!$C$52:$H$52,1,E19+1)</f>
        <v>0.15</v>
      </c>
      <c r="AQ19" s="1">
        <f>INDEX(效果参数!$C$53:$H$53,1,E19+1)</f>
        <v>0.15</v>
      </c>
      <c r="AR19" s="1">
        <f>INDEX(效果参数!$C$56:$H$56,1,F19+1)</f>
        <v>35</v>
      </c>
      <c r="AS19" s="1">
        <f>INDEX(效果参数!$C$57:$H$57,1,F19+1)</f>
        <v>0.01</v>
      </c>
      <c r="AT19" s="1">
        <f>INDEX(效果参数!$C$58:$H$58,1,F19+1)</f>
        <v>7</v>
      </c>
      <c r="AU19" s="1">
        <f>INDEX(效果参数!$C$59:$H$59,1,F19+1)</f>
        <v>0.5</v>
      </c>
      <c r="AV19" s="1">
        <f>INDEX(效果参数!$C$6:$H$6,1,C19+1)</f>
        <v>2</v>
      </c>
      <c r="AW19" s="1">
        <f>INDEX(效果参数!$C$7:$H$7,1,C19+1)</f>
        <v>4</v>
      </c>
      <c r="AX19" s="1">
        <f>INDEX(效果参数!$C$8:$H$8,1,C19+1)</f>
        <v>8</v>
      </c>
      <c r="AY19" s="1">
        <f>INDEX(效果参数!$C$9:$H$9,1,C19+1)</f>
        <v>0.1</v>
      </c>
      <c r="AZ19" s="1">
        <f>INDEX(效果参数!$C$10:$H$10,1,C19+1)</f>
        <v>0.2</v>
      </c>
      <c r="BA19" s="1">
        <f>INDEX(效果参数!$C$11:$H$11,1,C19+1)</f>
        <v>0.6</v>
      </c>
      <c r="BB19" s="1">
        <f>INDEX(效果参数!$C$12:$H$12,1,C19+1)</f>
        <v>1.2</v>
      </c>
      <c r="BC19" s="1">
        <f>INDEX(效果参数!$C$13:$H$13,1,C19+1)</f>
        <v>0.06</v>
      </c>
      <c r="BD19" s="1">
        <f>INDEX(效果参数!$C$14:$H$14,1,C19+1)</f>
        <v>3</v>
      </c>
      <c r="BE19" s="1">
        <f>INDEX(效果参数!$C$15:$H$15,1,C19+1)</f>
        <v>1</v>
      </c>
      <c r="BF19" s="1">
        <f>INDEX(效果参数!$C$16:$H$16,1,C19+1)</f>
        <v>2.5000000000000001E-2</v>
      </c>
      <c r="BG19" s="1">
        <f>INDEX(效果参数!$C$17:$H$17,1,C19+1)</f>
        <v>18</v>
      </c>
      <c r="BH19" s="1">
        <f>INDEX(效果参数!$C$18:$H$18,1,C19+1)</f>
        <v>18</v>
      </c>
      <c r="BI19" s="1">
        <f>INDEX(效果参数!$C$19:$H$19,1,C19+1)</f>
        <v>1</v>
      </c>
      <c r="BJ19" s="1">
        <f>INDEX(效果参数!$C$20:$H$20,1,C19+1)</f>
        <v>1</v>
      </c>
      <c r="BK19" s="1">
        <f>INDEX(效果参数!$C$21:$H$21,1,C19+1)</f>
        <v>0.2</v>
      </c>
      <c r="BL19" s="1">
        <f>INDEX(效果参数!$C$22:$H$22,1,C19+1)</f>
        <v>9</v>
      </c>
      <c r="BM19" s="1">
        <f>INDEX(效果参数!$C$23:$H$23,1,C19+1)</f>
        <v>20</v>
      </c>
      <c r="BN19" s="1">
        <f>INDEX(效果参数!$C$24:$H$24,1,C19+1)</f>
        <v>30</v>
      </c>
      <c r="BO19" s="1">
        <f>INDEX(效果参数!$C$25:$H$25,1,C19+1)</f>
        <v>1.5</v>
      </c>
      <c r="BP19" s="1">
        <f>INDEX(效果参数!$C$26:$H$26,1,C19+1)</f>
        <v>0.6</v>
      </c>
      <c r="BQ19" s="1">
        <f>INDEX(效果参数!$C$27:$H$27,1,C19+1)</f>
        <v>0.8</v>
      </c>
      <c r="BR19" s="1">
        <f>INDEX(效果参数!$C$28:$H$28,1,C19+1)</f>
        <v>1</v>
      </c>
      <c r="BS19" s="1">
        <f>INDEX(效果参数!$C$35:$H$35,1,D19+1)</f>
        <v>2.8</v>
      </c>
      <c r="BT19" s="1">
        <f>INDEX(效果参数!$C$36:$H$36,1,D19+1)</f>
        <v>1.4</v>
      </c>
      <c r="BU19" s="1">
        <f>INDEX(效果参数!$C$37:$H$37,1,D19+1)</f>
        <v>0.8</v>
      </c>
      <c r="BV19" s="1">
        <f>INDEX(效果参数!$C$38:$H$38,1,D19+1)</f>
        <v>3</v>
      </c>
      <c r="BW19" s="1">
        <f>INDEX(效果参数!$C$39:$H$39,1,D19+1)</f>
        <v>1</v>
      </c>
      <c r="BX19" s="1">
        <f>INDEX(效果参数!$C$40:$H$40,1,D19+1)</f>
        <v>2</v>
      </c>
      <c r="BY19" s="1">
        <f>INDEX(效果参数!$C$41:$H$41,1,D19+1)</f>
        <v>1</v>
      </c>
      <c r="BZ19" s="1">
        <f>IF(配置与结果!$H$24=1,AR19,MIN(AR19,MAX(0,配置与结果!$H$25)))</f>
        <v>35</v>
      </c>
      <c r="CA19" s="1">
        <f>ROUNDDOWN(配置与结果!$B$17*(1+0.05+Y19),0)</f>
        <v>2986</v>
      </c>
      <c r="CB19" s="1">
        <f>MIN(AD19,ROUNDDOWN((配置与结果!$B$16+CC19)*AC19,0))</f>
        <v>500</v>
      </c>
      <c r="CC19" s="1">
        <f t="shared" si="1"/>
        <v>238</v>
      </c>
      <c r="CD19" s="1">
        <f>INDEX(效果参数!$C$96:$G$96,1,G19)</f>
        <v>0.16</v>
      </c>
      <c r="CE19" s="1">
        <f>INDEX(效果参数!$C$42:$H$42,1,D19+1)</f>
        <v>8</v>
      </c>
      <c r="CF19" s="1">
        <f>INDEX(效果参数!$C$54:$H$54,1,E19+1)</f>
        <v>30</v>
      </c>
      <c r="CG19" s="1">
        <f>INDEX(效果参数!$C$55:$H$55,1,E19+1)</f>
        <v>3</v>
      </c>
      <c r="CH19" s="1">
        <f>INDEX(效果参数!$C$106:$G$106,1,H19)</f>
        <v>0.12</v>
      </c>
    </row>
    <row r="20" spans="1:86" ht="33.950000000000003" customHeight="1">
      <c r="A20" s="1">
        <f>17</f>
        <v>17</v>
      </c>
      <c r="B20" s="1" t="str">
        <f>"小瑞安侬 3塑"</f>
        <v>小瑞安侬 3塑</v>
      </c>
      <c r="C20" s="1">
        <f>配置与结果!B6</f>
        <v>0</v>
      </c>
      <c r="D20" s="1">
        <f>配置与结果!B7</f>
        <v>0</v>
      </c>
      <c r="E20" s="1">
        <f>3</f>
        <v>3</v>
      </c>
      <c r="F20" s="1">
        <f>配置与结果!B9</f>
        <v>0</v>
      </c>
      <c r="G20" s="1">
        <f>配置与结果!D6</f>
        <v>5</v>
      </c>
      <c r="H20" s="1">
        <f>配置与结果!D7</f>
        <v>1</v>
      </c>
      <c r="I20" s="1">
        <f>配置与结果!D8</f>
        <v>5</v>
      </c>
      <c r="J20" s="1">
        <f>配置与结果!D9</f>
        <v>1</v>
      </c>
      <c r="K20" s="1">
        <f>INDEX(效果参数!$C$105:$G$105,1,J20)</f>
        <v>1</v>
      </c>
      <c r="L20" s="1" t="b">
        <f>AND(K20=1,INDEX(效果参数!$C$99:$G$99,1,H20)=1,INDEX(效果参数!$C$29:$H$29,1,C20+1)=1)</f>
        <v>1</v>
      </c>
      <c r="M20" s="7">
        <f>IF(AND(K20=1,L20),SUM(行动计算!AU618:AU653),"")</f>
        <v>10642502.414999999</v>
      </c>
      <c r="N20" s="7">
        <f>IF(K20=1,SUMIFS(行动计算!AU618:AU653,行动计算!D618:D653,1),"")</f>
        <v>4550742.0950000007</v>
      </c>
      <c r="O20" s="7">
        <f>IF(L20,SUMIFS(行动计算!AU618:AU653,行动计算!D618:D653,2),"")</f>
        <v>6091760.3200000003</v>
      </c>
      <c r="P20" s="7">
        <f>IF(AND(K20=1,L20),SUMIFS(行动计算!AU618:AU653,行动计算!F618:F653,1),"")</f>
        <v>8117066</v>
      </c>
      <c r="Q20" s="7">
        <f>IF(AND(K20=1,L20),SUMIFS(行动计算!AU618:AU653,行动计算!F618:F653,2),"")</f>
        <v>711963.72000000009</v>
      </c>
      <c r="R20" s="7">
        <f>IF(AND(K20=1,L20),SUMIFS(行动计算!AU618:AU653,行动计算!F618:F653,3),"")</f>
        <v>1471186.19</v>
      </c>
      <c r="S20" s="7">
        <f>IF(AND(K20=1,L20),SUMIFS(行动计算!AU618:AU653,行动计算!F618:F653,4),"")</f>
        <v>342286.50499999995</v>
      </c>
      <c r="T20" s="8">
        <f t="shared" si="0"/>
        <v>0.21398123317919304</v>
      </c>
      <c r="U20" s="1">
        <f>INDEX(效果参数!$C$98:$G$98,1,H20)</f>
        <v>0.04</v>
      </c>
      <c r="V20" s="1">
        <f>INDEX(效果参数!$C$97:$G$97,1,G20)</f>
        <v>0.06</v>
      </c>
      <c r="W20" s="1">
        <f>INDEX(效果参数!$C$101:$G$101,1,I20)</f>
        <v>0.02</v>
      </c>
      <c r="X20" s="1">
        <f>INDEX(效果参数!$C$102:$G$102,1,I20)</f>
        <v>0.16</v>
      </c>
      <c r="Y20" s="1">
        <f>INDEX(效果参数!$C$100:$G$100,1,I20)</f>
        <v>0.1</v>
      </c>
      <c r="Z20" s="1">
        <f>INDEX(效果参数!$C$103:$G$103,1,J20)</f>
        <v>0.04</v>
      </c>
      <c r="AA20" s="1">
        <f>INDEX(效果参数!$C$104:$G$104,1,J20)</f>
        <v>4.0000000000000001E-3</v>
      </c>
      <c r="AB20" s="1">
        <f>INDEX(效果参数!$C$30:$H$30,1,D20+1)</f>
        <v>0.3</v>
      </c>
      <c r="AC20" s="1">
        <f>INDEX(效果参数!$C$31:$H$31,1,D20+1)</f>
        <v>0.2</v>
      </c>
      <c r="AD20" s="1">
        <f>INDEX(效果参数!$C$32:$H$32,1,D20+1)</f>
        <v>500</v>
      </c>
      <c r="AE20" s="1">
        <f>INDEX(效果参数!$C$33:$H$33,1,D20+1)</f>
        <v>0.4</v>
      </c>
      <c r="AF20" s="1">
        <f>INDEX(效果参数!$C$34:$H$34,1,D20+1)</f>
        <v>0.4</v>
      </c>
      <c r="AG20" s="1">
        <f>INDEX(效果参数!$C$43:$H$43,1,E20+1)</f>
        <v>0.45</v>
      </c>
      <c r="AH20" s="1">
        <f>INDEX(效果参数!$C$44:$H$44,1,E20+1)</f>
        <v>0.05</v>
      </c>
      <c r="AI20" s="1">
        <f>INDEX(效果参数!$C$45:$H$45,1,E20+1)</f>
        <v>7</v>
      </c>
      <c r="AJ20" s="1">
        <f>INDEX(效果参数!$C$46:$H$46,1,E20+1)</f>
        <v>1</v>
      </c>
      <c r="AK20" s="1">
        <f>INDEX(效果参数!$C$47:$H$47,1,E20+1)</f>
        <v>3</v>
      </c>
      <c r="AL20" s="1">
        <f>INDEX(效果参数!$C$48:$H$48,1,E20+1)</f>
        <v>0.08</v>
      </c>
      <c r="AM20" s="1">
        <f>INDEX(效果参数!$C$49:$H$49,1,E20+1)</f>
        <v>250</v>
      </c>
      <c r="AN20" s="1">
        <f>INDEX(效果参数!$C$50:$H$50,1,E20+1)</f>
        <v>0.2</v>
      </c>
      <c r="AO20" s="1">
        <f>INDEX(效果参数!$C$51:$H$51,1,E20+1)</f>
        <v>0.21</v>
      </c>
      <c r="AP20" s="1">
        <f>INDEX(效果参数!$C$52:$H$52,1,E20+1)</f>
        <v>0.2</v>
      </c>
      <c r="AQ20" s="1">
        <f>INDEX(效果参数!$C$53:$H$53,1,E20+1)</f>
        <v>0.21</v>
      </c>
      <c r="AR20" s="1">
        <f>INDEX(效果参数!$C$56:$H$56,1,F20+1)</f>
        <v>35</v>
      </c>
      <c r="AS20" s="1">
        <f>INDEX(效果参数!$C$57:$H$57,1,F20+1)</f>
        <v>0.01</v>
      </c>
      <c r="AT20" s="1">
        <f>INDEX(效果参数!$C$58:$H$58,1,F20+1)</f>
        <v>7</v>
      </c>
      <c r="AU20" s="1">
        <f>INDEX(效果参数!$C$59:$H$59,1,F20+1)</f>
        <v>0.5</v>
      </c>
      <c r="AV20" s="1">
        <f>INDEX(效果参数!$C$6:$H$6,1,C20+1)</f>
        <v>2</v>
      </c>
      <c r="AW20" s="1">
        <f>INDEX(效果参数!$C$7:$H$7,1,C20+1)</f>
        <v>4</v>
      </c>
      <c r="AX20" s="1">
        <f>INDEX(效果参数!$C$8:$H$8,1,C20+1)</f>
        <v>8</v>
      </c>
      <c r="AY20" s="1">
        <f>INDEX(效果参数!$C$9:$H$9,1,C20+1)</f>
        <v>0.1</v>
      </c>
      <c r="AZ20" s="1">
        <f>INDEX(效果参数!$C$10:$H$10,1,C20+1)</f>
        <v>0.2</v>
      </c>
      <c r="BA20" s="1">
        <f>INDEX(效果参数!$C$11:$H$11,1,C20+1)</f>
        <v>0.6</v>
      </c>
      <c r="BB20" s="1">
        <f>INDEX(效果参数!$C$12:$H$12,1,C20+1)</f>
        <v>1.2</v>
      </c>
      <c r="BC20" s="1">
        <f>INDEX(效果参数!$C$13:$H$13,1,C20+1)</f>
        <v>0.06</v>
      </c>
      <c r="BD20" s="1">
        <f>INDEX(效果参数!$C$14:$H$14,1,C20+1)</f>
        <v>3</v>
      </c>
      <c r="BE20" s="1">
        <f>INDEX(效果参数!$C$15:$H$15,1,C20+1)</f>
        <v>1</v>
      </c>
      <c r="BF20" s="1">
        <f>INDEX(效果参数!$C$16:$H$16,1,C20+1)</f>
        <v>2.5000000000000001E-2</v>
      </c>
      <c r="BG20" s="1">
        <f>INDEX(效果参数!$C$17:$H$17,1,C20+1)</f>
        <v>18</v>
      </c>
      <c r="BH20" s="1">
        <f>INDEX(效果参数!$C$18:$H$18,1,C20+1)</f>
        <v>18</v>
      </c>
      <c r="BI20" s="1">
        <f>INDEX(效果参数!$C$19:$H$19,1,C20+1)</f>
        <v>1</v>
      </c>
      <c r="BJ20" s="1">
        <f>INDEX(效果参数!$C$20:$H$20,1,C20+1)</f>
        <v>1</v>
      </c>
      <c r="BK20" s="1">
        <f>INDEX(效果参数!$C$21:$H$21,1,C20+1)</f>
        <v>0.2</v>
      </c>
      <c r="BL20" s="1">
        <f>INDEX(效果参数!$C$22:$H$22,1,C20+1)</f>
        <v>9</v>
      </c>
      <c r="BM20" s="1">
        <f>INDEX(效果参数!$C$23:$H$23,1,C20+1)</f>
        <v>20</v>
      </c>
      <c r="BN20" s="1">
        <f>INDEX(效果参数!$C$24:$H$24,1,C20+1)</f>
        <v>30</v>
      </c>
      <c r="BO20" s="1">
        <f>INDEX(效果参数!$C$25:$H$25,1,C20+1)</f>
        <v>1.5</v>
      </c>
      <c r="BP20" s="1">
        <f>INDEX(效果参数!$C$26:$H$26,1,C20+1)</f>
        <v>0.6</v>
      </c>
      <c r="BQ20" s="1">
        <f>INDEX(效果参数!$C$27:$H$27,1,C20+1)</f>
        <v>0.8</v>
      </c>
      <c r="BR20" s="1">
        <f>INDEX(效果参数!$C$28:$H$28,1,C20+1)</f>
        <v>1</v>
      </c>
      <c r="BS20" s="1">
        <f>INDEX(效果参数!$C$35:$H$35,1,D20+1)</f>
        <v>2.8</v>
      </c>
      <c r="BT20" s="1">
        <f>INDEX(效果参数!$C$36:$H$36,1,D20+1)</f>
        <v>1.4</v>
      </c>
      <c r="BU20" s="1">
        <f>INDEX(效果参数!$C$37:$H$37,1,D20+1)</f>
        <v>0.8</v>
      </c>
      <c r="BV20" s="1">
        <f>INDEX(效果参数!$C$38:$H$38,1,D20+1)</f>
        <v>3</v>
      </c>
      <c r="BW20" s="1">
        <f>INDEX(效果参数!$C$39:$H$39,1,D20+1)</f>
        <v>1</v>
      </c>
      <c r="BX20" s="1">
        <f>INDEX(效果参数!$C$40:$H$40,1,D20+1)</f>
        <v>2</v>
      </c>
      <c r="BY20" s="1">
        <f>INDEX(效果参数!$C$41:$H$41,1,D20+1)</f>
        <v>1</v>
      </c>
      <c r="BZ20" s="1">
        <f>IF(配置与结果!$H$24=1,AR20,MIN(AR20,MAX(0,配置与结果!$H$25)))</f>
        <v>35</v>
      </c>
      <c r="CA20" s="1">
        <f>ROUNDDOWN(配置与结果!$B$17*(1+0.05+Y20),0)</f>
        <v>2986</v>
      </c>
      <c r="CB20" s="1">
        <f>MIN(AD20,ROUNDDOWN((配置与结果!$B$16+CC20)*AC20,0))</f>
        <v>500</v>
      </c>
      <c r="CC20" s="1">
        <f t="shared" si="1"/>
        <v>238</v>
      </c>
      <c r="CD20" s="1">
        <f>INDEX(效果参数!$C$96:$G$96,1,G20)</f>
        <v>0.16</v>
      </c>
      <c r="CE20" s="1">
        <f>INDEX(效果参数!$C$42:$H$42,1,D20+1)</f>
        <v>8</v>
      </c>
      <c r="CF20" s="1">
        <f>INDEX(效果参数!$C$54:$H$54,1,E20+1)</f>
        <v>30</v>
      </c>
      <c r="CG20" s="1">
        <f>INDEX(效果参数!$C$55:$H$55,1,E20+1)</f>
        <v>3</v>
      </c>
      <c r="CH20" s="1">
        <f>INDEX(效果参数!$C$106:$G$106,1,H20)</f>
        <v>0.12</v>
      </c>
    </row>
    <row r="21" spans="1:86" ht="33.950000000000003" customHeight="1">
      <c r="A21" s="1">
        <f>18</f>
        <v>18</v>
      </c>
      <c r="B21" s="1" t="str">
        <f>"小瑞安侬 4塑"</f>
        <v>小瑞安侬 4塑</v>
      </c>
      <c r="C21" s="1">
        <f>配置与结果!B6</f>
        <v>0</v>
      </c>
      <c r="D21" s="1">
        <f>配置与结果!B7</f>
        <v>0</v>
      </c>
      <c r="E21" s="1">
        <f>4</f>
        <v>4</v>
      </c>
      <c r="F21" s="1">
        <f>配置与结果!B9</f>
        <v>0</v>
      </c>
      <c r="G21" s="1">
        <f>配置与结果!D6</f>
        <v>5</v>
      </c>
      <c r="H21" s="1">
        <f>配置与结果!D7</f>
        <v>1</v>
      </c>
      <c r="I21" s="1">
        <f>配置与结果!D8</f>
        <v>5</v>
      </c>
      <c r="J21" s="1">
        <f>配置与结果!D9</f>
        <v>1</v>
      </c>
      <c r="K21" s="1">
        <f>INDEX(效果参数!$C$105:$G$105,1,J21)</f>
        <v>1</v>
      </c>
      <c r="L21" s="1" t="b">
        <f>AND(K21=1,INDEX(效果参数!$C$99:$G$99,1,H21)=1,INDEX(效果参数!$C$29:$H$29,1,C21+1)=1)</f>
        <v>1</v>
      </c>
      <c r="M21" s="7">
        <f>IF(AND(K21=1,L21),SUM(行动计算!AU654:AU689),"")</f>
        <v>10947941.120999999</v>
      </c>
      <c r="N21" s="7">
        <f>IF(K21=1,SUMIFS(行动计算!AU654:AU689,行动计算!D654:D689,1),"")</f>
        <v>4658778.801</v>
      </c>
      <c r="O21" s="7">
        <f>IF(L21,SUMIFS(行动计算!AU654:AU689,行动计算!D654:D689,2),"")</f>
        <v>6289162.3200000003</v>
      </c>
      <c r="P21" s="7">
        <f>IF(AND(K21=1,L21),SUMIFS(行动计算!AU654:AU689,行动计算!F654:F689,1),"")</f>
        <v>8391490</v>
      </c>
      <c r="Q21" s="7">
        <f>IF(AND(K21=1,L21),SUMIFS(行动计算!AU654:AU689,行动计算!F654:F689,2),"")</f>
        <v>732906.87999999989</v>
      </c>
      <c r="R21" s="7">
        <f>IF(AND(K21=1,L21),SUMIFS(行动计算!AU654:AU689,行动计算!F654:F689,3),"")</f>
        <v>1471186.19</v>
      </c>
      <c r="S21" s="7">
        <f>IF(AND(K21=1,L21),SUMIFS(行动计算!AU654:AU689,行动计算!F654:F689,4),"")</f>
        <v>352358.05099999998</v>
      </c>
      <c r="T21" s="8">
        <f t="shared" si="0"/>
        <v>0.24882236757705045</v>
      </c>
      <c r="U21" s="1">
        <f>INDEX(效果参数!$C$98:$G$98,1,H21)</f>
        <v>0.04</v>
      </c>
      <c r="V21" s="1">
        <f>INDEX(效果参数!$C$97:$G$97,1,G21)</f>
        <v>0.06</v>
      </c>
      <c r="W21" s="1">
        <f>INDEX(效果参数!$C$101:$G$101,1,I21)</f>
        <v>0.02</v>
      </c>
      <c r="X21" s="1">
        <f>INDEX(效果参数!$C$102:$G$102,1,I21)</f>
        <v>0.16</v>
      </c>
      <c r="Y21" s="1">
        <f>INDEX(效果参数!$C$100:$G$100,1,I21)</f>
        <v>0.1</v>
      </c>
      <c r="Z21" s="1">
        <f>INDEX(效果参数!$C$103:$G$103,1,J21)</f>
        <v>0.04</v>
      </c>
      <c r="AA21" s="1">
        <f>INDEX(效果参数!$C$104:$G$104,1,J21)</f>
        <v>4.0000000000000001E-3</v>
      </c>
      <c r="AB21" s="1">
        <f>INDEX(效果参数!$C$30:$H$30,1,D21+1)</f>
        <v>0.3</v>
      </c>
      <c r="AC21" s="1">
        <f>INDEX(效果参数!$C$31:$H$31,1,D21+1)</f>
        <v>0.2</v>
      </c>
      <c r="AD21" s="1">
        <f>INDEX(效果参数!$C$32:$H$32,1,D21+1)</f>
        <v>500</v>
      </c>
      <c r="AE21" s="1">
        <f>INDEX(效果参数!$C$33:$H$33,1,D21+1)</f>
        <v>0.4</v>
      </c>
      <c r="AF21" s="1">
        <f>INDEX(效果参数!$C$34:$H$34,1,D21+1)</f>
        <v>0.4</v>
      </c>
      <c r="AG21" s="1">
        <f>INDEX(效果参数!$C$43:$H$43,1,E21+1)</f>
        <v>0.45</v>
      </c>
      <c r="AH21" s="1">
        <f>INDEX(效果参数!$C$44:$H$44,1,E21+1)</f>
        <v>0.05</v>
      </c>
      <c r="AI21" s="1">
        <f>INDEX(效果参数!$C$45:$H$45,1,E21+1)</f>
        <v>7</v>
      </c>
      <c r="AJ21" s="1">
        <f>INDEX(效果参数!$C$46:$H$46,1,E21+1)</f>
        <v>1</v>
      </c>
      <c r="AK21" s="1">
        <f>INDEX(效果参数!$C$47:$H$47,1,E21+1)</f>
        <v>3</v>
      </c>
      <c r="AL21" s="1">
        <f>INDEX(效果参数!$C$48:$H$48,1,E21+1)</f>
        <v>0.1</v>
      </c>
      <c r="AM21" s="1">
        <f>INDEX(效果参数!$C$49:$H$49,1,E21+1)</f>
        <v>310</v>
      </c>
      <c r="AN21" s="1">
        <f>INDEX(效果参数!$C$50:$H$50,1,E21+1)</f>
        <v>0.2</v>
      </c>
      <c r="AO21" s="1">
        <f>INDEX(效果参数!$C$51:$H$51,1,E21+1)</f>
        <v>0.21</v>
      </c>
      <c r="AP21" s="1">
        <f>INDEX(效果参数!$C$52:$H$52,1,E21+1)</f>
        <v>0.2</v>
      </c>
      <c r="AQ21" s="1">
        <f>INDEX(效果参数!$C$53:$H$53,1,E21+1)</f>
        <v>0.21</v>
      </c>
      <c r="AR21" s="1">
        <f>INDEX(效果参数!$C$56:$H$56,1,F21+1)</f>
        <v>35</v>
      </c>
      <c r="AS21" s="1">
        <f>INDEX(效果参数!$C$57:$H$57,1,F21+1)</f>
        <v>0.01</v>
      </c>
      <c r="AT21" s="1">
        <f>INDEX(效果参数!$C$58:$H$58,1,F21+1)</f>
        <v>7</v>
      </c>
      <c r="AU21" s="1">
        <f>INDEX(效果参数!$C$59:$H$59,1,F21+1)</f>
        <v>0.5</v>
      </c>
      <c r="AV21" s="1">
        <f>INDEX(效果参数!$C$6:$H$6,1,C21+1)</f>
        <v>2</v>
      </c>
      <c r="AW21" s="1">
        <f>INDEX(效果参数!$C$7:$H$7,1,C21+1)</f>
        <v>4</v>
      </c>
      <c r="AX21" s="1">
        <f>INDEX(效果参数!$C$8:$H$8,1,C21+1)</f>
        <v>8</v>
      </c>
      <c r="AY21" s="1">
        <f>INDEX(效果参数!$C$9:$H$9,1,C21+1)</f>
        <v>0.1</v>
      </c>
      <c r="AZ21" s="1">
        <f>INDEX(效果参数!$C$10:$H$10,1,C21+1)</f>
        <v>0.2</v>
      </c>
      <c r="BA21" s="1">
        <f>INDEX(效果参数!$C$11:$H$11,1,C21+1)</f>
        <v>0.6</v>
      </c>
      <c r="BB21" s="1">
        <f>INDEX(效果参数!$C$12:$H$12,1,C21+1)</f>
        <v>1.2</v>
      </c>
      <c r="BC21" s="1">
        <f>INDEX(效果参数!$C$13:$H$13,1,C21+1)</f>
        <v>0.06</v>
      </c>
      <c r="BD21" s="1">
        <f>INDEX(效果参数!$C$14:$H$14,1,C21+1)</f>
        <v>3</v>
      </c>
      <c r="BE21" s="1">
        <f>INDEX(效果参数!$C$15:$H$15,1,C21+1)</f>
        <v>1</v>
      </c>
      <c r="BF21" s="1">
        <f>INDEX(效果参数!$C$16:$H$16,1,C21+1)</f>
        <v>2.5000000000000001E-2</v>
      </c>
      <c r="BG21" s="1">
        <f>INDEX(效果参数!$C$17:$H$17,1,C21+1)</f>
        <v>18</v>
      </c>
      <c r="BH21" s="1">
        <f>INDEX(效果参数!$C$18:$H$18,1,C21+1)</f>
        <v>18</v>
      </c>
      <c r="BI21" s="1">
        <f>INDEX(效果参数!$C$19:$H$19,1,C21+1)</f>
        <v>1</v>
      </c>
      <c r="BJ21" s="1">
        <f>INDEX(效果参数!$C$20:$H$20,1,C21+1)</f>
        <v>1</v>
      </c>
      <c r="BK21" s="1">
        <f>INDEX(效果参数!$C$21:$H$21,1,C21+1)</f>
        <v>0.2</v>
      </c>
      <c r="BL21" s="1">
        <f>INDEX(效果参数!$C$22:$H$22,1,C21+1)</f>
        <v>9</v>
      </c>
      <c r="BM21" s="1">
        <f>INDEX(效果参数!$C$23:$H$23,1,C21+1)</f>
        <v>20</v>
      </c>
      <c r="BN21" s="1">
        <f>INDEX(效果参数!$C$24:$H$24,1,C21+1)</f>
        <v>30</v>
      </c>
      <c r="BO21" s="1">
        <f>INDEX(效果参数!$C$25:$H$25,1,C21+1)</f>
        <v>1.5</v>
      </c>
      <c r="BP21" s="1">
        <f>INDEX(效果参数!$C$26:$H$26,1,C21+1)</f>
        <v>0.6</v>
      </c>
      <c r="BQ21" s="1">
        <f>INDEX(效果参数!$C$27:$H$27,1,C21+1)</f>
        <v>0.8</v>
      </c>
      <c r="BR21" s="1">
        <f>INDEX(效果参数!$C$28:$H$28,1,C21+1)</f>
        <v>1</v>
      </c>
      <c r="BS21" s="1">
        <f>INDEX(效果参数!$C$35:$H$35,1,D21+1)</f>
        <v>2.8</v>
      </c>
      <c r="BT21" s="1">
        <f>INDEX(效果参数!$C$36:$H$36,1,D21+1)</f>
        <v>1.4</v>
      </c>
      <c r="BU21" s="1">
        <f>INDEX(效果参数!$C$37:$H$37,1,D21+1)</f>
        <v>0.8</v>
      </c>
      <c r="BV21" s="1">
        <f>INDEX(效果参数!$C$38:$H$38,1,D21+1)</f>
        <v>3</v>
      </c>
      <c r="BW21" s="1">
        <f>INDEX(效果参数!$C$39:$H$39,1,D21+1)</f>
        <v>1</v>
      </c>
      <c r="BX21" s="1">
        <f>INDEX(效果参数!$C$40:$H$40,1,D21+1)</f>
        <v>2</v>
      </c>
      <c r="BY21" s="1">
        <f>INDEX(效果参数!$C$41:$H$41,1,D21+1)</f>
        <v>1</v>
      </c>
      <c r="BZ21" s="1">
        <f>IF(配置与结果!$H$24=1,AR21,MIN(AR21,MAX(0,配置与结果!$H$25)))</f>
        <v>35</v>
      </c>
      <c r="CA21" s="1">
        <f>ROUNDDOWN(配置与结果!$B$17*(1+0.05+Y21),0)</f>
        <v>2986</v>
      </c>
      <c r="CB21" s="1">
        <f>MIN(AD21,ROUNDDOWN((配置与结果!$B$16+CC21)*AC21,0))</f>
        <v>500</v>
      </c>
      <c r="CC21" s="1">
        <f t="shared" si="1"/>
        <v>298</v>
      </c>
      <c r="CD21" s="1">
        <f>INDEX(效果参数!$C$96:$G$96,1,G21)</f>
        <v>0.16</v>
      </c>
      <c r="CE21" s="1">
        <f>INDEX(效果参数!$C$42:$H$42,1,D21+1)</f>
        <v>8</v>
      </c>
      <c r="CF21" s="1">
        <f>INDEX(效果参数!$C$54:$H$54,1,E21+1)</f>
        <v>30</v>
      </c>
      <c r="CG21" s="1">
        <f>INDEX(效果参数!$C$55:$H$55,1,E21+1)</f>
        <v>3</v>
      </c>
      <c r="CH21" s="1">
        <f>INDEX(效果参数!$C$106:$G$106,1,H21)</f>
        <v>0.12</v>
      </c>
    </row>
    <row r="22" spans="1:86" ht="33.950000000000003" customHeight="1">
      <c r="A22" s="1">
        <f>19</f>
        <v>19</v>
      </c>
      <c r="B22" s="1" t="str">
        <f>"小瑞安侬 5塑"</f>
        <v>小瑞安侬 5塑</v>
      </c>
      <c r="C22" s="1">
        <f>配置与结果!B6</f>
        <v>0</v>
      </c>
      <c r="D22" s="1">
        <f>配置与结果!B7</f>
        <v>0</v>
      </c>
      <c r="E22" s="1">
        <f>5</f>
        <v>5</v>
      </c>
      <c r="F22" s="1">
        <f>配置与结果!B9</f>
        <v>0</v>
      </c>
      <c r="G22" s="1">
        <f>配置与结果!D6</f>
        <v>5</v>
      </c>
      <c r="H22" s="1">
        <f>配置与结果!D7</f>
        <v>1</v>
      </c>
      <c r="I22" s="1">
        <f>配置与结果!D8</f>
        <v>5</v>
      </c>
      <c r="J22" s="1">
        <f>配置与结果!D9</f>
        <v>1</v>
      </c>
      <c r="K22" s="1">
        <f>INDEX(效果参数!$C$105:$G$105,1,J22)</f>
        <v>1</v>
      </c>
      <c r="L22" s="1" t="b">
        <f>AND(K22=1,INDEX(效果参数!$C$99:$G$99,1,H22)=1,INDEX(效果参数!$C$29:$H$29,1,C22+1)=1)</f>
        <v>1</v>
      </c>
      <c r="M22" s="7">
        <f>IF(AND(K22=1,L22),SUM(行动计算!AU690:AU725),"")</f>
        <v>12584224.584000001</v>
      </c>
      <c r="N22" s="7">
        <f>IF(K22=1,SUMIFS(行动计算!AU690:AU725,行动计算!D690:D725,1),"")</f>
        <v>6295062.2639999995</v>
      </c>
      <c r="O22" s="7">
        <f>IF(L22,SUMIFS(行动计算!AU690:AU725,行动计算!D690:D725,2),"")</f>
        <v>6289162.3200000003</v>
      </c>
      <c r="P22" s="7">
        <f>IF(AND(K22=1,L22),SUMIFS(行动计算!AU690:AU725,行动计算!F690:F725,1),"")</f>
        <v>8393510</v>
      </c>
      <c r="Q22" s="7">
        <f>IF(AND(K22=1,L22),SUMIFS(行动计算!AU690:AU725,行动计算!F690:F725,2),"")</f>
        <v>734317.79999999981</v>
      </c>
      <c r="R22" s="7">
        <f>IF(AND(K22=1,L22),SUMIFS(行动计算!AU690:AU725,行动计算!F690:F725,3),"")</f>
        <v>3103341.9799999995</v>
      </c>
      <c r="S22" s="7">
        <f>IF(AND(K22=1,L22),SUMIFS(行动计算!AU690:AU725,行动计算!F690:F725,4),"")</f>
        <v>353054.804</v>
      </c>
      <c r="T22" s="8">
        <f t="shared" si="0"/>
        <v>0.43547183579269499</v>
      </c>
      <c r="U22" s="1">
        <f>INDEX(效果参数!$C$98:$G$98,1,H22)</f>
        <v>0.04</v>
      </c>
      <c r="V22" s="1">
        <f>INDEX(效果参数!$C$97:$G$97,1,G22)</f>
        <v>0.06</v>
      </c>
      <c r="W22" s="1">
        <f>INDEX(效果参数!$C$101:$G$101,1,I22)</f>
        <v>0.02</v>
      </c>
      <c r="X22" s="1">
        <f>INDEX(效果参数!$C$102:$G$102,1,I22)</f>
        <v>0.16</v>
      </c>
      <c r="Y22" s="1">
        <f>INDEX(效果参数!$C$100:$G$100,1,I22)</f>
        <v>0.1</v>
      </c>
      <c r="Z22" s="1">
        <f>INDEX(效果参数!$C$103:$G$103,1,J22)</f>
        <v>0.04</v>
      </c>
      <c r="AA22" s="1">
        <f>INDEX(效果参数!$C$104:$G$104,1,J22)</f>
        <v>4.0000000000000001E-3</v>
      </c>
      <c r="AB22" s="1">
        <f>INDEX(效果参数!$C$30:$H$30,1,D22+1)</f>
        <v>0.3</v>
      </c>
      <c r="AC22" s="1">
        <f>INDEX(效果参数!$C$31:$H$31,1,D22+1)</f>
        <v>0.2</v>
      </c>
      <c r="AD22" s="1">
        <f>INDEX(效果参数!$C$32:$H$32,1,D22+1)</f>
        <v>500</v>
      </c>
      <c r="AE22" s="1">
        <f>INDEX(效果参数!$C$33:$H$33,1,D22+1)</f>
        <v>0.4</v>
      </c>
      <c r="AF22" s="1">
        <f>INDEX(效果参数!$C$34:$H$34,1,D22+1)</f>
        <v>0.4</v>
      </c>
      <c r="AG22" s="1">
        <f>INDEX(效果参数!$C$43:$H$43,1,E22+1)</f>
        <v>0.45</v>
      </c>
      <c r="AH22" s="1">
        <f>INDEX(效果参数!$C$44:$H$44,1,E22+1)</f>
        <v>0.05</v>
      </c>
      <c r="AI22" s="1">
        <f>INDEX(效果参数!$C$45:$H$45,1,E22+1)</f>
        <v>10</v>
      </c>
      <c r="AJ22" s="1">
        <f>INDEX(效果参数!$C$46:$H$46,1,E22+1)</f>
        <v>2</v>
      </c>
      <c r="AK22" s="1">
        <f>INDEX(效果参数!$C$47:$H$47,1,E22+1)</f>
        <v>4</v>
      </c>
      <c r="AL22" s="1">
        <f>INDEX(效果参数!$C$48:$H$48,1,E22+1)</f>
        <v>0.1</v>
      </c>
      <c r="AM22" s="1">
        <f>INDEX(效果参数!$C$49:$H$49,1,E22+1)</f>
        <v>310</v>
      </c>
      <c r="AN22" s="1">
        <f>INDEX(效果参数!$C$50:$H$50,1,E22+1)</f>
        <v>0.2</v>
      </c>
      <c r="AO22" s="1">
        <f>INDEX(效果参数!$C$51:$H$51,1,E22+1)</f>
        <v>0.21</v>
      </c>
      <c r="AP22" s="1">
        <f>INDEX(效果参数!$C$52:$H$52,1,E22+1)</f>
        <v>0.2</v>
      </c>
      <c r="AQ22" s="1">
        <f>INDEX(效果参数!$C$53:$H$53,1,E22+1)</f>
        <v>0.21</v>
      </c>
      <c r="AR22" s="1">
        <f>INDEX(效果参数!$C$56:$H$56,1,F22+1)</f>
        <v>35</v>
      </c>
      <c r="AS22" s="1">
        <f>INDEX(效果参数!$C$57:$H$57,1,F22+1)</f>
        <v>0.01</v>
      </c>
      <c r="AT22" s="1">
        <f>INDEX(效果参数!$C$58:$H$58,1,F22+1)</f>
        <v>7</v>
      </c>
      <c r="AU22" s="1">
        <f>INDEX(效果参数!$C$59:$H$59,1,F22+1)</f>
        <v>0.5</v>
      </c>
      <c r="AV22" s="1">
        <f>INDEX(效果参数!$C$6:$H$6,1,C22+1)</f>
        <v>2</v>
      </c>
      <c r="AW22" s="1">
        <f>INDEX(效果参数!$C$7:$H$7,1,C22+1)</f>
        <v>4</v>
      </c>
      <c r="AX22" s="1">
        <f>INDEX(效果参数!$C$8:$H$8,1,C22+1)</f>
        <v>8</v>
      </c>
      <c r="AY22" s="1">
        <f>INDEX(效果参数!$C$9:$H$9,1,C22+1)</f>
        <v>0.1</v>
      </c>
      <c r="AZ22" s="1">
        <f>INDEX(效果参数!$C$10:$H$10,1,C22+1)</f>
        <v>0.2</v>
      </c>
      <c r="BA22" s="1">
        <f>INDEX(效果参数!$C$11:$H$11,1,C22+1)</f>
        <v>0.6</v>
      </c>
      <c r="BB22" s="1">
        <f>INDEX(效果参数!$C$12:$H$12,1,C22+1)</f>
        <v>1.2</v>
      </c>
      <c r="BC22" s="1">
        <f>INDEX(效果参数!$C$13:$H$13,1,C22+1)</f>
        <v>0.06</v>
      </c>
      <c r="BD22" s="1">
        <f>INDEX(效果参数!$C$14:$H$14,1,C22+1)</f>
        <v>3</v>
      </c>
      <c r="BE22" s="1">
        <f>INDEX(效果参数!$C$15:$H$15,1,C22+1)</f>
        <v>1</v>
      </c>
      <c r="BF22" s="1">
        <f>INDEX(效果参数!$C$16:$H$16,1,C22+1)</f>
        <v>2.5000000000000001E-2</v>
      </c>
      <c r="BG22" s="1">
        <f>INDEX(效果参数!$C$17:$H$17,1,C22+1)</f>
        <v>18</v>
      </c>
      <c r="BH22" s="1">
        <f>INDEX(效果参数!$C$18:$H$18,1,C22+1)</f>
        <v>18</v>
      </c>
      <c r="BI22" s="1">
        <f>INDEX(效果参数!$C$19:$H$19,1,C22+1)</f>
        <v>1</v>
      </c>
      <c r="BJ22" s="1">
        <f>INDEX(效果参数!$C$20:$H$20,1,C22+1)</f>
        <v>1</v>
      </c>
      <c r="BK22" s="1">
        <f>INDEX(效果参数!$C$21:$H$21,1,C22+1)</f>
        <v>0.2</v>
      </c>
      <c r="BL22" s="1">
        <f>INDEX(效果参数!$C$22:$H$22,1,C22+1)</f>
        <v>9</v>
      </c>
      <c r="BM22" s="1">
        <f>INDEX(效果参数!$C$23:$H$23,1,C22+1)</f>
        <v>20</v>
      </c>
      <c r="BN22" s="1">
        <f>INDEX(效果参数!$C$24:$H$24,1,C22+1)</f>
        <v>30</v>
      </c>
      <c r="BO22" s="1">
        <f>INDEX(效果参数!$C$25:$H$25,1,C22+1)</f>
        <v>1.5</v>
      </c>
      <c r="BP22" s="1">
        <f>INDEX(效果参数!$C$26:$H$26,1,C22+1)</f>
        <v>0.6</v>
      </c>
      <c r="BQ22" s="1">
        <f>INDEX(效果参数!$C$27:$H$27,1,C22+1)</f>
        <v>0.8</v>
      </c>
      <c r="BR22" s="1">
        <f>INDEX(效果参数!$C$28:$H$28,1,C22+1)</f>
        <v>1</v>
      </c>
      <c r="BS22" s="1">
        <f>INDEX(效果参数!$C$35:$H$35,1,D22+1)</f>
        <v>2.8</v>
      </c>
      <c r="BT22" s="1">
        <f>INDEX(效果参数!$C$36:$H$36,1,D22+1)</f>
        <v>1.4</v>
      </c>
      <c r="BU22" s="1">
        <f>INDEX(效果参数!$C$37:$H$37,1,D22+1)</f>
        <v>0.8</v>
      </c>
      <c r="BV22" s="1">
        <f>INDEX(效果参数!$C$38:$H$38,1,D22+1)</f>
        <v>3</v>
      </c>
      <c r="BW22" s="1">
        <f>INDEX(效果参数!$C$39:$H$39,1,D22+1)</f>
        <v>1</v>
      </c>
      <c r="BX22" s="1">
        <f>INDEX(效果参数!$C$40:$H$40,1,D22+1)</f>
        <v>2</v>
      </c>
      <c r="BY22" s="1">
        <f>INDEX(效果参数!$C$41:$H$41,1,D22+1)</f>
        <v>1</v>
      </c>
      <c r="BZ22" s="1">
        <f>IF(配置与结果!$H$24=1,AR22,MIN(AR22,MAX(0,配置与结果!$H$25)))</f>
        <v>35</v>
      </c>
      <c r="CA22" s="1">
        <f>ROUNDDOWN(配置与结果!$B$17*(1+0.05+Y22),0)</f>
        <v>2986</v>
      </c>
      <c r="CB22" s="1">
        <f>MIN(AD22,ROUNDDOWN((配置与结果!$B$16+CC22)*AC22,0))</f>
        <v>500</v>
      </c>
      <c r="CC22" s="1">
        <f t="shared" si="1"/>
        <v>298</v>
      </c>
      <c r="CD22" s="1">
        <f>INDEX(效果参数!$C$96:$G$96,1,G22)</f>
        <v>0.16</v>
      </c>
      <c r="CE22" s="1">
        <f>INDEX(效果参数!$C$42:$H$42,1,D22+1)</f>
        <v>8</v>
      </c>
      <c r="CF22" s="1">
        <f>INDEX(效果参数!$C$54:$H$54,1,E22+1)</f>
        <v>50</v>
      </c>
      <c r="CG22" s="1">
        <f>INDEX(效果参数!$C$55:$H$55,1,E22+1)</f>
        <v>5</v>
      </c>
      <c r="CH22" s="1">
        <f>INDEX(效果参数!$C$106:$G$106,1,H22)</f>
        <v>0.12</v>
      </c>
    </row>
    <row r="23" spans="1:86" ht="33.950000000000003" customHeight="1">
      <c r="A23" s="1">
        <f>20</f>
        <v>20</v>
      </c>
      <c r="B23" s="1" t="str">
        <f>"J 0塑"</f>
        <v>J 0塑</v>
      </c>
      <c r="C23" s="1">
        <f>配置与结果!B6</f>
        <v>0</v>
      </c>
      <c r="D23" s="1">
        <f>配置与结果!B7</f>
        <v>0</v>
      </c>
      <c r="E23" s="1">
        <f>配置与结果!B8</f>
        <v>0</v>
      </c>
      <c r="F23" s="1">
        <f>0</f>
        <v>0</v>
      </c>
      <c r="G23" s="1">
        <f>配置与结果!D6</f>
        <v>5</v>
      </c>
      <c r="H23" s="1">
        <f>配置与结果!D7</f>
        <v>1</v>
      </c>
      <c r="I23" s="1">
        <f>配置与结果!D8</f>
        <v>5</v>
      </c>
      <c r="J23" s="1">
        <f>配置与结果!D9</f>
        <v>1</v>
      </c>
      <c r="K23" s="1">
        <f>INDEX(效果参数!$C$105:$G$105,1,J23)</f>
        <v>1</v>
      </c>
      <c r="L23" s="1" t="b">
        <f>AND(K23=1,INDEX(效果参数!$C$99:$G$99,1,H23)=1,INDEX(效果参数!$C$29:$H$29,1,C23+1)=1)</f>
        <v>1</v>
      </c>
      <c r="M23" s="7">
        <f>IF(AND(K23=1,L23),SUM(行动计算!AU726:AU761),"")</f>
        <v>8766611.9739999995</v>
      </c>
      <c r="N23" s="7">
        <f>IF(K23=1,SUMIFS(行动计算!AU726:AU761,行动计算!D726:D761,1),"")</f>
        <v>3133250.6940000001</v>
      </c>
      <c r="O23" s="7">
        <f>IF(L23,SUMIFS(行动计算!AU726:AU761,行动计算!D726:D761,2),"")</f>
        <v>5633361.2799999993</v>
      </c>
      <c r="P23" s="7">
        <f>IF(AND(K23=1,L23),SUMIFS(行动计算!AU726:AU761,行动计算!F726:F761,1),"")</f>
        <v>7363386</v>
      </c>
      <c r="Q23" s="7">
        <f>IF(AND(K23=1,L23),SUMIFS(行动计算!AU726:AU761,行动计算!F726:F761,2),"")</f>
        <v>642844.12</v>
      </c>
      <c r="R23" s="7">
        <f>IF(AND(K23=1,L23),SUMIFS(行动计算!AU726:AU761,行动计算!F726:F761,3),"")</f>
        <v>489818.29000000004</v>
      </c>
      <c r="S23" s="7">
        <f>IF(AND(K23=1,L23),SUMIFS(行动计算!AU726:AU761,行动计算!F726:F761,4),"")</f>
        <v>270563.56400000001</v>
      </c>
      <c r="T23" s="8">
        <f t="shared" si="0"/>
        <v>0</v>
      </c>
      <c r="U23" s="1">
        <f>INDEX(效果参数!$C$98:$G$98,1,H23)</f>
        <v>0.04</v>
      </c>
      <c r="V23" s="1">
        <f>INDEX(效果参数!$C$97:$G$97,1,G23)</f>
        <v>0.06</v>
      </c>
      <c r="W23" s="1">
        <f>INDEX(效果参数!$C$101:$G$101,1,I23)</f>
        <v>0.02</v>
      </c>
      <c r="X23" s="1">
        <f>INDEX(效果参数!$C$102:$G$102,1,I23)</f>
        <v>0.16</v>
      </c>
      <c r="Y23" s="1">
        <f>INDEX(效果参数!$C$100:$G$100,1,I23)</f>
        <v>0.1</v>
      </c>
      <c r="Z23" s="1">
        <f>INDEX(效果参数!$C$103:$G$103,1,J23)</f>
        <v>0.04</v>
      </c>
      <c r="AA23" s="1">
        <f>INDEX(效果参数!$C$104:$G$104,1,J23)</f>
        <v>4.0000000000000001E-3</v>
      </c>
      <c r="AB23" s="1">
        <f>INDEX(效果参数!$C$30:$H$30,1,D23+1)</f>
        <v>0.3</v>
      </c>
      <c r="AC23" s="1">
        <f>INDEX(效果参数!$C$31:$H$31,1,D23+1)</f>
        <v>0.2</v>
      </c>
      <c r="AD23" s="1">
        <f>INDEX(效果参数!$C$32:$H$32,1,D23+1)</f>
        <v>500</v>
      </c>
      <c r="AE23" s="1">
        <f>INDEX(效果参数!$C$33:$H$33,1,D23+1)</f>
        <v>0.4</v>
      </c>
      <c r="AF23" s="1">
        <f>INDEX(效果参数!$C$34:$H$34,1,D23+1)</f>
        <v>0.4</v>
      </c>
      <c r="AG23" s="1">
        <f>INDEX(效果参数!$C$43:$H$43,1,E23+1)</f>
        <v>0.3</v>
      </c>
      <c r="AH23" s="1">
        <f>INDEX(效果参数!$C$44:$H$44,1,E23+1)</f>
        <v>0.04</v>
      </c>
      <c r="AI23" s="1">
        <f>INDEX(效果参数!$C$45:$H$45,1,E23+1)</f>
        <v>5</v>
      </c>
      <c r="AJ23" s="1">
        <f>INDEX(效果参数!$C$46:$H$46,1,E23+1)</f>
        <v>1</v>
      </c>
      <c r="AK23" s="1">
        <f>INDEX(效果参数!$C$47:$H$47,1,E23+1)</f>
        <v>2</v>
      </c>
      <c r="AL23" s="1">
        <f>INDEX(效果参数!$C$48:$H$48,1,E23+1)</f>
        <v>0.08</v>
      </c>
      <c r="AM23" s="1">
        <f>INDEX(效果参数!$C$49:$H$49,1,E23+1)</f>
        <v>250</v>
      </c>
      <c r="AN23" s="1">
        <f>INDEX(效果参数!$C$50:$H$50,1,E23+1)</f>
        <v>0.15</v>
      </c>
      <c r="AO23" s="1">
        <f>INDEX(效果参数!$C$51:$H$51,1,E23+1)</f>
        <v>0.15</v>
      </c>
      <c r="AP23" s="1">
        <f>INDEX(效果参数!$C$52:$H$52,1,E23+1)</f>
        <v>0.15</v>
      </c>
      <c r="AQ23" s="1">
        <f>INDEX(效果参数!$C$53:$H$53,1,E23+1)</f>
        <v>0.15</v>
      </c>
      <c r="AR23" s="1">
        <f>INDEX(效果参数!$C$56:$H$56,1,F23+1)</f>
        <v>35</v>
      </c>
      <c r="AS23" s="1">
        <f>INDEX(效果参数!$C$57:$H$57,1,F23+1)</f>
        <v>0.01</v>
      </c>
      <c r="AT23" s="1">
        <f>INDEX(效果参数!$C$58:$H$58,1,F23+1)</f>
        <v>7</v>
      </c>
      <c r="AU23" s="1">
        <f>INDEX(效果参数!$C$59:$H$59,1,F23+1)</f>
        <v>0.5</v>
      </c>
      <c r="AV23" s="1">
        <f>INDEX(效果参数!$C$6:$H$6,1,C23+1)</f>
        <v>2</v>
      </c>
      <c r="AW23" s="1">
        <f>INDEX(效果参数!$C$7:$H$7,1,C23+1)</f>
        <v>4</v>
      </c>
      <c r="AX23" s="1">
        <f>INDEX(效果参数!$C$8:$H$8,1,C23+1)</f>
        <v>8</v>
      </c>
      <c r="AY23" s="1">
        <f>INDEX(效果参数!$C$9:$H$9,1,C23+1)</f>
        <v>0.1</v>
      </c>
      <c r="AZ23" s="1">
        <f>INDEX(效果参数!$C$10:$H$10,1,C23+1)</f>
        <v>0.2</v>
      </c>
      <c r="BA23" s="1">
        <f>INDEX(效果参数!$C$11:$H$11,1,C23+1)</f>
        <v>0.6</v>
      </c>
      <c r="BB23" s="1">
        <f>INDEX(效果参数!$C$12:$H$12,1,C23+1)</f>
        <v>1.2</v>
      </c>
      <c r="BC23" s="1">
        <f>INDEX(效果参数!$C$13:$H$13,1,C23+1)</f>
        <v>0.06</v>
      </c>
      <c r="BD23" s="1">
        <f>INDEX(效果参数!$C$14:$H$14,1,C23+1)</f>
        <v>3</v>
      </c>
      <c r="BE23" s="1">
        <f>INDEX(效果参数!$C$15:$H$15,1,C23+1)</f>
        <v>1</v>
      </c>
      <c r="BF23" s="1">
        <f>INDEX(效果参数!$C$16:$H$16,1,C23+1)</f>
        <v>2.5000000000000001E-2</v>
      </c>
      <c r="BG23" s="1">
        <f>INDEX(效果参数!$C$17:$H$17,1,C23+1)</f>
        <v>18</v>
      </c>
      <c r="BH23" s="1">
        <f>INDEX(效果参数!$C$18:$H$18,1,C23+1)</f>
        <v>18</v>
      </c>
      <c r="BI23" s="1">
        <f>INDEX(效果参数!$C$19:$H$19,1,C23+1)</f>
        <v>1</v>
      </c>
      <c r="BJ23" s="1">
        <f>INDEX(效果参数!$C$20:$H$20,1,C23+1)</f>
        <v>1</v>
      </c>
      <c r="BK23" s="1">
        <f>INDEX(效果参数!$C$21:$H$21,1,C23+1)</f>
        <v>0.2</v>
      </c>
      <c r="BL23" s="1">
        <f>INDEX(效果参数!$C$22:$H$22,1,C23+1)</f>
        <v>9</v>
      </c>
      <c r="BM23" s="1">
        <f>INDEX(效果参数!$C$23:$H$23,1,C23+1)</f>
        <v>20</v>
      </c>
      <c r="BN23" s="1">
        <f>INDEX(效果参数!$C$24:$H$24,1,C23+1)</f>
        <v>30</v>
      </c>
      <c r="BO23" s="1">
        <f>INDEX(效果参数!$C$25:$H$25,1,C23+1)</f>
        <v>1.5</v>
      </c>
      <c r="BP23" s="1">
        <f>INDEX(效果参数!$C$26:$H$26,1,C23+1)</f>
        <v>0.6</v>
      </c>
      <c r="BQ23" s="1">
        <f>INDEX(效果参数!$C$27:$H$27,1,C23+1)</f>
        <v>0.8</v>
      </c>
      <c r="BR23" s="1">
        <f>INDEX(效果参数!$C$28:$H$28,1,C23+1)</f>
        <v>1</v>
      </c>
      <c r="BS23" s="1">
        <f>INDEX(效果参数!$C$35:$H$35,1,D23+1)</f>
        <v>2.8</v>
      </c>
      <c r="BT23" s="1">
        <f>INDEX(效果参数!$C$36:$H$36,1,D23+1)</f>
        <v>1.4</v>
      </c>
      <c r="BU23" s="1">
        <f>INDEX(效果参数!$C$37:$H$37,1,D23+1)</f>
        <v>0.8</v>
      </c>
      <c r="BV23" s="1">
        <f>INDEX(效果参数!$C$38:$H$38,1,D23+1)</f>
        <v>3</v>
      </c>
      <c r="BW23" s="1">
        <f>INDEX(效果参数!$C$39:$H$39,1,D23+1)</f>
        <v>1</v>
      </c>
      <c r="BX23" s="1">
        <f>INDEX(效果参数!$C$40:$H$40,1,D23+1)</f>
        <v>2</v>
      </c>
      <c r="BY23" s="1">
        <f>INDEX(效果参数!$C$41:$H$41,1,D23+1)</f>
        <v>1</v>
      </c>
      <c r="BZ23" s="1">
        <f>IF(配置与结果!$H$24=1,AR23,MIN(AR23,MAX(0,配置与结果!$H$25)))</f>
        <v>35</v>
      </c>
      <c r="CA23" s="1">
        <f>ROUNDDOWN(配置与结果!$B$17*(1+0.05+Y23),0)</f>
        <v>2986</v>
      </c>
      <c r="CB23" s="1">
        <f>MIN(AD23,ROUNDDOWN((配置与结果!$B$16+CC23)*AC23,0))</f>
        <v>500</v>
      </c>
      <c r="CC23" s="1">
        <f t="shared" si="1"/>
        <v>238</v>
      </c>
      <c r="CD23" s="1">
        <f>INDEX(效果参数!$C$96:$G$96,1,G23)</f>
        <v>0.16</v>
      </c>
      <c r="CE23" s="1">
        <f>INDEX(效果参数!$C$42:$H$42,1,D23+1)</f>
        <v>8</v>
      </c>
      <c r="CF23" s="1">
        <f>INDEX(效果参数!$C$54:$H$54,1,E23+1)</f>
        <v>15</v>
      </c>
      <c r="CG23" s="1">
        <f>INDEX(效果参数!$C$55:$H$55,1,E23+1)</f>
        <v>1.5</v>
      </c>
      <c r="CH23" s="1">
        <f>INDEX(效果参数!$C$106:$G$106,1,H23)</f>
        <v>0.12</v>
      </c>
    </row>
    <row r="24" spans="1:86" ht="33.950000000000003" customHeight="1">
      <c r="A24" s="1">
        <f>21</f>
        <v>21</v>
      </c>
      <c r="B24" s="1" t="str">
        <f>"J 1塑"</f>
        <v>J 1塑</v>
      </c>
      <c r="C24" s="1">
        <f>配置与结果!B6</f>
        <v>0</v>
      </c>
      <c r="D24" s="1">
        <f>配置与结果!B7</f>
        <v>0</v>
      </c>
      <c r="E24" s="1">
        <f>配置与结果!B8</f>
        <v>0</v>
      </c>
      <c r="F24" s="1">
        <f>1</f>
        <v>1</v>
      </c>
      <c r="G24" s="1">
        <f>配置与结果!D6</f>
        <v>5</v>
      </c>
      <c r="H24" s="1">
        <f>配置与结果!D7</f>
        <v>1</v>
      </c>
      <c r="I24" s="1">
        <f>配置与结果!D8</f>
        <v>5</v>
      </c>
      <c r="J24" s="1">
        <f>配置与结果!D9</f>
        <v>1</v>
      </c>
      <c r="K24" s="1">
        <f>INDEX(效果参数!$C$105:$G$105,1,J24)</f>
        <v>1</v>
      </c>
      <c r="L24" s="1" t="b">
        <f>AND(K24=1,INDEX(效果参数!$C$99:$G$99,1,H24)=1,INDEX(效果参数!$C$29:$H$29,1,C24+1)=1)</f>
        <v>1</v>
      </c>
      <c r="M24" s="7">
        <f>IF(AND(K24=1,L24),SUM(行动计算!AU762:AU797),"")</f>
        <v>8766611.9739999995</v>
      </c>
      <c r="N24" s="7">
        <f>IF(K24=1,SUMIFS(行动计算!AU762:AU797,行动计算!D762:D797,1),"")</f>
        <v>3133250.6940000001</v>
      </c>
      <c r="O24" s="7">
        <f>IF(L24,SUMIFS(行动计算!AU762:AU797,行动计算!D762:D797,2),"")</f>
        <v>5633361.2799999993</v>
      </c>
      <c r="P24" s="7">
        <f>IF(AND(K24=1,L24),SUMIFS(行动计算!AU762:AU797,行动计算!F762:F797,1),"")</f>
        <v>7363386</v>
      </c>
      <c r="Q24" s="7">
        <f>IF(AND(K24=1,L24),SUMIFS(行动计算!AU762:AU797,行动计算!F762:F797,2),"")</f>
        <v>642844.12</v>
      </c>
      <c r="R24" s="7">
        <f>IF(AND(K24=1,L24),SUMIFS(行动计算!AU762:AU797,行动计算!F762:F797,3),"")</f>
        <v>489818.29000000004</v>
      </c>
      <c r="S24" s="7">
        <f>IF(AND(K24=1,L24),SUMIFS(行动计算!AU762:AU797,行动计算!F762:F797,4),"")</f>
        <v>270563.56400000001</v>
      </c>
      <c r="T24" s="8">
        <f t="shared" si="0"/>
        <v>0</v>
      </c>
      <c r="U24" s="1">
        <f>INDEX(效果参数!$C$98:$G$98,1,H24)</f>
        <v>0.04</v>
      </c>
      <c r="V24" s="1">
        <f>INDEX(效果参数!$C$97:$G$97,1,G24)</f>
        <v>0.06</v>
      </c>
      <c r="W24" s="1">
        <f>INDEX(效果参数!$C$101:$G$101,1,I24)</f>
        <v>0.02</v>
      </c>
      <c r="X24" s="1">
        <f>INDEX(效果参数!$C$102:$G$102,1,I24)</f>
        <v>0.16</v>
      </c>
      <c r="Y24" s="1">
        <f>INDEX(效果参数!$C$100:$G$100,1,I24)</f>
        <v>0.1</v>
      </c>
      <c r="Z24" s="1">
        <f>INDEX(效果参数!$C$103:$G$103,1,J24)</f>
        <v>0.04</v>
      </c>
      <c r="AA24" s="1">
        <f>INDEX(效果参数!$C$104:$G$104,1,J24)</f>
        <v>4.0000000000000001E-3</v>
      </c>
      <c r="AB24" s="1">
        <f>INDEX(效果参数!$C$30:$H$30,1,D24+1)</f>
        <v>0.3</v>
      </c>
      <c r="AC24" s="1">
        <f>INDEX(效果参数!$C$31:$H$31,1,D24+1)</f>
        <v>0.2</v>
      </c>
      <c r="AD24" s="1">
        <f>INDEX(效果参数!$C$32:$H$32,1,D24+1)</f>
        <v>500</v>
      </c>
      <c r="AE24" s="1">
        <f>INDEX(效果参数!$C$33:$H$33,1,D24+1)</f>
        <v>0.4</v>
      </c>
      <c r="AF24" s="1">
        <f>INDEX(效果参数!$C$34:$H$34,1,D24+1)</f>
        <v>0.4</v>
      </c>
      <c r="AG24" s="1">
        <f>INDEX(效果参数!$C$43:$H$43,1,E24+1)</f>
        <v>0.3</v>
      </c>
      <c r="AH24" s="1">
        <f>INDEX(效果参数!$C$44:$H$44,1,E24+1)</f>
        <v>0.04</v>
      </c>
      <c r="AI24" s="1">
        <f>INDEX(效果参数!$C$45:$H$45,1,E24+1)</f>
        <v>5</v>
      </c>
      <c r="AJ24" s="1">
        <f>INDEX(效果参数!$C$46:$H$46,1,E24+1)</f>
        <v>1</v>
      </c>
      <c r="AK24" s="1">
        <f>INDEX(效果参数!$C$47:$H$47,1,E24+1)</f>
        <v>2</v>
      </c>
      <c r="AL24" s="1">
        <f>INDEX(效果参数!$C$48:$H$48,1,E24+1)</f>
        <v>0.08</v>
      </c>
      <c r="AM24" s="1">
        <f>INDEX(效果参数!$C$49:$H$49,1,E24+1)</f>
        <v>250</v>
      </c>
      <c r="AN24" s="1">
        <f>INDEX(效果参数!$C$50:$H$50,1,E24+1)</f>
        <v>0.15</v>
      </c>
      <c r="AO24" s="1">
        <f>INDEX(效果参数!$C$51:$H$51,1,E24+1)</f>
        <v>0.15</v>
      </c>
      <c r="AP24" s="1">
        <f>INDEX(效果参数!$C$52:$H$52,1,E24+1)</f>
        <v>0.15</v>
      </c>
      <c r="AQ24" s="1">
        <f>INDEX(效果参数!$C$53:$H$53,1,E24+1)</f>
        <v>0.15</v>
      </c>
      <c r="AR24" s="1">
        <f>INDEX(效果参数!$C$56:$H$56,1,F24+1)</f>
        <v>35</v>
      </c>
      <c r="AS24" s="1">
        <f>INDEX(效果参数!$C$57:$H$57,1,F24+1)</f>
        <v>0.01</v>
      </c>
      <c r="AT24" s="1">
        <f>INDEX(效果参数!$C$58:$H$58,1,F24+1)</f>
        <v>7</v>
      </c>
      <c r="AU24" s="1">
        <f>INDEX(效果参数!$C$59:$H$59,1,F24+1)</f>
        <v>0.5</v>
      </c>
      <c r="AV24" s="1">
        <f>INDEX(效果参数!$C$6:$H$6,1,C24+1)</f>
        <v>2</v>
      </c>
      <c r="AW24" s="1">
        <f>INDEX(效果参数!$C$7:$H$7,1,C24+1)</f>
        <v>4</v>
      </c>
      <c r="AX24" s="1">
        <f>INDEX(效果参数!$C$8:$H$8,1,C24+1)</f>
        <v>8</v>
      </c>
      <c r="AY24" s="1">
        <f>INDEX(效果参数!$C$9:$H$9,1,C24+1)</f>
        <v>0.1</v>
      </c>
      <c r="AZ24" s="1">
        <f>INDEX(效果参数!$C$10:$H$10,1,C24+1)</f>
        <v>0.2</v>
      </c>
      <c r="BA24" s="1">
        <f>INDEX(效果参数!$C$11:$H$11,1,C24+1)</f>
        <v>0.6</v>
      </c>
      <c r="BB24" s="1">
        <f>INDEX(效果参数!$C$12:$H$12,1,C24+1)</f>
        <v>1.2</v>
      </c>
      <c r="BC24" s="1">
        <f>INDEX(效果参数!$C$13:$H$13,1,C24+1)</f>
        <v>0.06</v>
      </c>
      <c r="BD24" s="1">
        <f>INDEX(效果参数!$C$14:$H$14,1,C24+1)</f>
        <v>3</v>
      </c>
      <c r="BE24" s="1">
        <f>INDEX(效果参数!$C$15:$H$15,1,C24+1)</f>
        <v>1</v>
      </c>
      <c r="BF24" s="1">
        <f>INDEX(效果参数!$C$16:$H$16,1,C24+1)</f>
        <v>2.5000000000000001E-2</v>
      </c>
      <c r="BG24" s="1">
        <f>INDEX(效果参数!$C$17:$H$17,1,C24+1)</f>
        <v>18</v>
      </c>
      <c r="BH24" s="1">
        <f>INDEX(效果参数!$C$18:$H$18,1,C24+1)</f>
        <v>18</v>
      </c>
      <c r="BI24" s="1">
        <f>INDEX(效果参数!$C$19:$H$19,1,C24+1)</f>
        <v>1</v>
      </c>
      <c r="BJ24" s="1">
        <f>INDEX(效果参数!$C$20:$H$20,1,C24+1)</f>
        <v>1</v>
      </c>
      <c r="BK24" s="1">
        <f>INDEX(效果参数!$C$21:$H$21,1,C24+1)</f>
        <v>0.2</v>
      </c>
      <c r="BL24" s="1">
        <f>INDEX(效果参数!$C$22:$H$22,1,C24+1)</f>
        <v>9</v>
      </c>
      <c r="BM24" s="1">
        <f>INDEX(效果参数!$C$23:$H$23,1,C24+1)</f>
        <v>20</v>
      </c>
      <c r="BN24" s="1">
        <f>INDEX(效果参数!$C$24:$H$24,1,C24+1)</f>
        <v>30</v>
      </c>
      <c r="BO24" s="1">
        <f>INDEX(效果参数!$C$25:$H$25,1,C24+1)</f>
        <v>1.5</v>
      </c>
      <c r="BP24" s="1">
        <f>INDEX(效果参数!$C$26:$H$26,1,C24+1)</f>
        <v>0.6</v>
      </c>
      <c r="BQ24" s="1">
        <f>INDEX(效果参数!$C$27:$H$27,1,C24+1)</f>
        <v>0.8</v>
      </c>
      <c r="BR24" s="1">
        <f>INDEX(效果参数!$C$28:$H$28,1,C24+1)</f>
        <v>1</v>
      </c>
      <c r="BS24" s="1">
        <f>INDEX(效果参数!$C$35:$H$35,1,D24+1)</f>
        <v>2.8</v>
      </c>
      <c r="BT24" s="1">
        <f>INDEX(效果参数!$C$36:$H$36,1,D24+1)</f>
        <v>1.4</v>
      </c>
      <c r="BU24" s="1">
        <f>INDEX(效果参数!$C$37:$H$37,1,D24+1)</f>
        <v>0.8</v>
      </c>
      <c r="BV24" s="1">
        <f>INDEX(效果参数!$C$38:$H$38,1,D24+1)</f>
        <v>3</v>
      </c>
      <c r="BW24" s="1">
        <f>INDEX(效果参数!$C$39:$H$39,1,D24+1)</f>
        <v>1</v>
      </c>
      <c r="BX24" s="1">
        <f>INDEX(效果参数!$C$40:$H$40,1,D24+1)</f>
        <v>2</v>
      </c>
      <c r="BY24" s="1">
        <f>INDEX(效果参数!$C$41:$H$41,1,D24+1)</f>
        <v>1</v>
      </c>
      <c r="BZ24" s="1">
        <f>IF(配置与结果!$H$24=1,AR24,MIN(AR24,MAX(0,配置与结果!$H$25)))</f>
        <v>35</v>
      </c>
      <c r="CA24" s="1">
        <f>ROUNDDOWN(配置与结果!$B$17*(1+0.05+Y24),0)</f>
        <v>2986</v>
      </c>
      <c r="CB24" s="1">
        <f>MIN(AD24,ROUNDDOWN((配置与结果!$B$16+CC24)*AC24,0))</f>
        <v>500</v>
      </c>
      <c r="CC24" s="1">
        <f t="shared" si="1"/>
        <v>238</v>
      </c>
      <c r="CD24" s="1">
        <f>INDEX(效果参数!$C$96:$G$96,1,G24)</f>
        <v>0.16</v>
      </c>
      <c r="CE24" s="1">
        <f>INDEX(效果参数!$C$42:$H$42,1,D24+1)</f>
        <v>8</v>
      </c>
      <c r="CF24" s="1">
        <f>INDEX(效果参数!$C$54:$H$54,1,E24+1)</f>
        <v>15</v>
      </c>
      <c r="CG24" s="1">
        <f>INDEX(效果参数!$C$55:$H$55,1,E24+1)</f>
        <v>1.5</v>
      </c>
      <c r="CH24" s="1">
        <f>INDEX(效果参数!$C$106:$G$106,1,H24)</f>
        <v>0.12</v>
      </c>
    </row>
    <row r="25" spans="1:86" ht="33.950000000000003" customHeight="1">
      <c r="A25" s="1">
        <f>22</f>
        <v>22</v>
      </c>
      <c r="B25" s="1" t="str">
        <f>"J 2塑"</f>
        <v>J 2塑</v>
      </c>
      <c r="C25" s="1">
        <f>配置与结果!B6</f>
        <v>0</v>
      </c>
      <c r="D25" s="1">
        <f>配置与结果!B7</f>
        <v>0</v>
      </c>
      <c r="E25" s="1">
        <f>配置与结果!B8</f>
        <v>0</v>
      </c>
      <c r="F25" s="1">
        <f>2</f>
        <v>2</v>
      </c>
      <c r="G25" s="1">
        <f>配置与结果!D6</f>
        <v>5</v>
      </c>
      <c r="H25" s="1">
        <f>配置与结果!D7</f>
        <v>1</v>
      </c>
      <c r="I25" s="1">
        <f>配置与结果!D8</f>
        <v>5</v>
      </c>
      <c r="J25" s="1">
        <f>配置与结果!D9</f>
        <v>1</v>
      </c>
      <c r="K25" s="1">
        <f>INDEX(效果参数!$C$105:$G$105,1,J25)</f>
        <v>1</v>
      </c>
      <c r="L25" s="1" t="b">
        <f>AND(K25=1,INDEX(效果参数!$C$99:$G$99,1,H25)=1,INDEX(效果参数!$C$29:$H$29,1,C25+1)=1)</f>
        <v>1</v>
      </c>
      <c r="M25" s="7">
        <f>IF(AND(K25=1,L25),SUM(行动计算!AU798:AU833),"")</f>
        <v>8855228.932</v>
      </c>
      <c r="N25" s="7">
        <f>IF(K25=1,SUMIFS(行动计算!AU798:AU833,行动计算!D798:D833,1),"")</f>
        <v>3221867.6520000002</v>
      </c>
      <c r="O25" s="7">
        <f>IF(L25,SUMIFS(行动计算!AU798:AU833,行动计算!D798:D833,2),"")</f>
        <v>5633361.2799999993</v>
      </c>
      <c r="P25" s="7">
        <f>IF(AND(K25=1,L25),SUMIFS(行动计算!AU798:AU833,行动计算!F798:F833,1),"")</f>
        <v>7363386</v>
      </c>
      <c r="Q25" s="7">
        <f>IF(AND(K25=1,L25),SUMIFS(行动计算!AU798:AU833,行动计算!F798:F833,2),"")</f>
        <v>642844.12</v>
      </c>
      <c r="R25" s="7">
        <f>IF(AND(K25=1,L25),SUMIFS(行动计算!AU798:AU833,行动计算!F798:F833,3),"")</f>
        <v>489818.29000000004</v>
      </c>
      <c r="S25" s="7">
        <f>IF(AND(K25=1,L25),SUMIFS(行动计算!AU798:AU833,行动计算!F798:F833,4),"")</f>
        <v>359180.522</v>
      </c>
      <c r="T25" s="8">
        <f t="shared" si="0"/>
        <v>1.010846131468135E-2</v>
      </c>
      <c r="U25" s="1">
        <f>INDEX(效果参数!$C$98:$G$98,1,H25)</f>
        <v>0.04</v>
      </c>
      <c r="V25" s="1">
        <f>INDEX(效果参数!$C$97:$G$97,1,G25)</f>
        <v>0.06</v>
      </c>
      <c r="W25" s="1">
        <f>INDEX(效果参数!$C$101:$G$101,1,I25)</f>
        <v>0.02</v>
      </c>
      <c r="X25" s="1">
        <f>INDEX(效果参数!$C$102:$G$102,1,I25)</f>
        <v>0.16</v>
      </c>
      <c r="Y25" s="1">
        <f>INDEX(效果参数!$C$100:$G$100,1,I25)</f>
        <v>0.1</v>
      </c>
      <c r="Z25" s="1">
        <f>INDEX(效果参数!$C$103:$G$103,1,J25)</f>
        <v>0.04</v>
      </c>
      <c r="AA25" s="1">
        <f>INDEX(效果参数!$C$104:$G$104,1,J25)</f>
        <v>4.0000000000000001E-3</v>
      </c>
      <c r="AB25" s="1">
        <f>INDEX(效果参数!$C$30:$H$30,1,D25+1)</f>
        <v>0.3</v>
      </c>
      <c r="AC25" s="1">
        <f>INDEX(效果参数!$C$31:$H$31,1,D25+1)</f>
        <v>0.2</v>
      </c>
      <c r="AD25" s="1">
        <f>INDEX(效果参数!$C$32:$H$32,1,D25+1)</f>
        <v>500</v>
      </c>
      <c r="AE25" s="1">
        <f>INDEX(效果参数!$C$33:$H$33,1,D25+1)</f>
        <v>0.4</v>
      </c>
      <c r="AF25" s="1">
        <f>INDEX(效果参数!$C$34:$H$34,1,D25+1)</f>
        <v>0.4</v>
      </c>
      <c r="AG25" s="1">
        <f>INDEX(效果参数!$C$43:$H$43,1,E25+1)</f>
        <v>0.3</v>
      </c>
      <c r="AH25" s="1">
        <f>INDEX(效果参数!$C$44:$H$44,1,E25+1)</f>
        <v>0.04</v>
      </c>
      <c r="AI25" s="1">
        <f>INDEX(效果参数!$C$45:$H$45,1,E25+1)</f>
        <v>5</v>
      </c>
      <c r="AJ25" s="1">
        <f>INDEX(效果参数!$C$46:$H$46,1,E25+1)</f>
        <v>1</v>
      </c>
      <c r="AK25" s="1">
        <f>INDEX(效果参数!$C$47:$H$47,1,E25+1)</f>
        <v>2</v>
      </c>
      <c r="AL25" s="1">
        <f>INDEX(效果参数!$C$48:$H$48,1,E25+1)</f>
        <v>0.08</v>
      </c>
      <c r="AM25" s="1">
        <f>INDEX(效果参数!$C$49:$H$49,1,E25+1)</f>
        <v>250</v>
      </c>
      <c r="AN25" s="1">
        <f>INDEX(效果参数!$C$50:$H$50,1,E25+1)</f>
        <v>0.15</v>
      </c>
      <c r="AO25" s="1">
        <f>INDEX(效果参数!$C$51:$H$51,1,E25+1)</f>
        <v>0.15</v>
      </c>
      <c r="AP25" s="1">
        <f>INDEX(效果参数!$C$52:$H$52,1,E25+1)</f>
        <v>0.15</v>
      </c>
      <c r="AQ25" s="1">
        <f>INDEX(效果参数!$C$53:$H$53,1,E25+1)</f>
        <v>0.15</v>
      </c>
      <c r="AR25" s="1">
        <f>INDEX(效果参数!$C$56:$H$56,1,F25+1)</f>
        <v>35</v>
      </c>
      <c r="AS25" s="1">
        <f>INDEX(效果参数!$C$57:$H$57,1,F25+1)</f>
        <v>0.02</v>
      </c>
      <c r="AT25" s="1">
        <f>INDEX(效果参数!$C$58:$H$58,1,F25+1)</f>
        <v>7</v>
      </c>
      <c r="AU25" s="1">
        <f>INDEX(效果参数!$C$59:$H$59,1,F25+1)</f>
        <v>0.5</v>
      </c>
      <c r="AV25" s="1">
        <f>INDEX(效果参数!$C$6:$H$6,1,C25+1)</f>
        <v>2</v>
      </c>
      <c r="AW25" s="1">
        <f>INDEX(效果参数!$C$7:$H$7,1,C25+1)</f>
        <v>4</v>
      </c>
      <c r="AX25" s="1">
        <f>INDEX(效果参数!$C$8:$H$8,1,C25+1)</f>
        <v>8</v>
      </c>
      <c r="AY25" s="1">
        <f>INDEX(效果参数!$C$9:$H$9,1,C25+1)</f>
        <v>0.1</v>
      </c>
      <c r="AZ25" s="1">
        <f>INDEX(效果参数!$C$10:$H$10,1,C25+1)</f>
        <v>0.2</v>
      </c>
      <c r="BA25" s="1">
        <f>INDEX(效果参数!$C$11:$H$11,1,C25+1)</f>
        <v>0.6</v>
      </c>
      <c r="BB25" s="1">
        <f>INDEX(效果参数!$C$12:$H$12,1,C25+1)</f>
        <v>1.2</v>
      </c>
      <c r="BC25" s="1">
        <f>INDEX(效果参数!$C$13:$H$13,1,C25+1)</f>
        <v>0.06</v>
      </c>
      <c r="BD25" s="1">
        <f>INDEX(效果参数!$C$14:$H$14,1,C25+1)</f>
        <v>3</v>
      </c>
      <c r="BE25" s="1">
        <f>INDEX(效果参数!$C$15:$H$15,1,C25+1)</f>
        <v>1</v>
      </c>
      <c r="BF25" s="1">
        <f>INDEX(效果参数!$C$16:$H$16,1,C25+1)</f>
        <v>2.5000000000000001E-2</v>
      </c>
      <c r="BG25" s="1">
        <f>INDEX(效果参数!$C$17:$H$17,1,C25+1)</f>
        <v>18</v>
      </c>
      <c r="BH25" s="1">
        <f>INDEX(效果参数!$C$18:$H$18,1,C25+1)</f>
        <v>18</v>
      </c>
      <c r="BI25" s="1">
        <f>INDEX(效果参数!$C$19:$H$19,1,C25+1)</f>
        <v>1</v>
      </c>
      <c r="BJ25" s="1">
        <f>INDEX(效果参数!$C$20:$H$20,1,C25+1)</f>
        <v>1</v>
      </c>
      <c r="BK25" s="1">
        <f>INDEX(效果参数!$C$21:$H$21,1,C25+1)</f>
        <v>0.2</v>
      </c>
      <c r="BL25" s="1">
        <f>INDEX(效果参数!$C$22:$H$22,1,C25+1)</f>
        <v>9</v>
      </c>
      <c r="BM25" s="1">
        <f>INDEX(效果参数!$C$23:$H$23,1,C25+1)</f>
        <v>20</v>
      </c>
      <c r="BN25" s="1">
        <f>INDEX(效果参数!$C$24:$H$24,1,C25+1)</f>
        <v>30</v>
      </c>
      <c r="BO25" s="1">
        <f>INDEX(效果参数!$C$25:$H$25,1,C25+1)</f>
        <v>1.5</v>
      </c>
      <c r="BP25" s="1">
        <f>INDEX(效果参数!$C$26:$H$26,1,C25+1)</f>
        <v>0.6</v>
      </c>
      <c r="BQ25" s="1">
        <f>INDEX(效果参数!$C$27:$H$27,1,C25+1)</f>
        <v>0.8</v>
      </c>
      <c r="BR25" s="1">
        <f>INDEX(效果参数!$C$28:$H$28,1,C25+1)</f>
        <v>1</v>
      </c>
      <c r="BS25" s="1">
        <f>INDEX(效果参数!$C$35:$H$35,1,D25+1)</f>
        <v>2.8</v>
      </c>
      <c r="BT25" s="1">
        <f>INDEX(效果参数!$C$36:$H$36,1,D25+1)</f>
        <v>1.4</v>
      </c>
      <c r="BU25" s="1">
        <f>INDEX(效果参数!$C$37:$H$37,1,D25+1)</f>
        <v>0.8</v>
      </c>
      <c r="BV25" s="1">
        <f>INDEX(效果参数!$C$38:$H$38,1,D25+1)</f>
        <v>3</v>
      </c>
      <c r="BW25" s="1">
        <f>INDEX(效果参数!$C$39:$H$39,1,D25+1)</f>
        <v>1</v>
      </c>
      <c r="BX25" s="1">
        <f>INDEX(效果参数!$C$40:$H$40,1,D25+1)</f>
        <v>2</v>
      </c>
      <c r="BY25" s="1">
        <f>INDEX(效果参数!$C$41:$H$41,1,D25+1)</f>
        <v>1</v>
      </c>
      <c r="BZ25" s="1">
        <f>IF(配置与结果!$H$24=1,AR25,MIN(AR25,MAX(0,配置与结果!$H$25)))</f>
        <v>35</v>
      </c>
      <c r="CA25" s="1">
        <f>ROUNDDOWN(配置与结果!$B$17*(1+0.05+Y25),0)</f>
        <v>2986</v>
      </c>
      <c r="CB25" s="1">
        <f>MIN(AD25,ROUNDDOWN((配置与结果!$B$16+CC25)*AC25,0))</f>
        <v>500</v>
      </c>
      <c r="CC25" s="1">
        <f t="shared" si="1"/>
        <v>238</v>
      </c>
      <c r="CD25" s="1">
        <f>INDEX(效果参数!$C$96:$G$96,1,G25)</f>
        <v>0.16</v>
      </c>
      <c r="CE25" s="1">
        <f>INDEX(效果参数!$C$42:$H$42,1,D25+1)</f>
        <v>8</v>
      </c>
      <c r="CF25" s="1">
        <f>INDEX(效果参数!$C$54:$H$54,1,E25+1)</f>
        <v>15</v>
      </c>
      <c r="CG25" s="1">
        <f>INDEX(效果参数!$C$55:$H$55,1,E25+1)</f>
        <v>1.5</v>
      </c>
      <c r="CH25" s="1">
        <f>INDEX(效果参数!$C$106:$G$106,1,H25)</f>
        <v>0.12</v>
      </c>
    </row>
    <row r="26" spans="1:86" ht="33.950000000000003" customHeight="1">
      <c r="A26" s="1">
        <f>23</f>
        <v>23</v>
      </c>
      <c r="B26" s="1" t="str">
        <f>"J 3塑"</f>
        <v>J 3塑</v>
      </c>
      <c r="C26" s="1">
        <f>配置与结果!B6</f>
        <v>0</v>
      </c>
      <c r="D26" s="1">
        <f>配置与结果!B7</f>
        <v>0</v>
      </c>
      <c r="E26" s="1">
        <f>配置与结果!B8</f>
        <v>0</v>
      </c>
      <c r="F26" s="1">
        <f>3</f>
        <v>3</v>
      </c>
      <c r="G26" s="1">
        <f>配置与结果!D6</f>
        <v>5</v>
      </c>
      <c r="H26" s="1">
        <f>配置与结果!D7</f>
        <v>1</v>
      </c>
      <c r="I26" s="1">
        <f>配置与结果!D8</f>
        <v>5</v>
      </c>
      <c r="J26" s="1">
        <f>配置与结果!D9</f>
        <v>1</v>
      </c>
      <c r="K26" s="1">
        <f>INDEX(效果参数!$C$105:$G$105,1,J26)</f>
        <v>1</v>
      </c>
      <c r="L26" s="1" t="b">
        <f>AND(K26=1,INDEX(效果参数!$C$99:$G$99,1,H26)=1,INDEX(效果参数!$C$29:$H$29,1,C26+1)=1)</f>
        <v>1</v>
      </c>
      <c r="M26" s="7">
        <f>IF(AND(K26=1,L26),SUM(行动计算!AU834:AU869),"")</f>
        <v>9783412.3319999985</v>
      </c>
      <c r="N26" s="7">
        <f>IF(K26=1,SUMIFS(行动计算!AU834:AU869,行动计算!D834:D869,1),"")</f>
        <v>3604233.0919999997</v>
      </c>
      <c r="O26" s="7">
        <f>IF(L26,SUMIFS(行动计算!AU834:AU869,行动计算!D834:D869,2),"")</f>
        <v>6179179.2400000002</v>
      </c>
      <c r="P26" s="7">
        <f>IF(AND(K26=1,L26),SUMIFS(行动计算!AU834:AU869,行动计算!F834:F869,1),"")</f>
        <v>8055462</v>
      </c>
      <c r="Q26" s="7">
        <f>IF(AND(K26=1,L26),SUMIFS(行动计算!AU834:AU869,行动计算!F834:F869,2),"")</f>
        <v>703462</v>
      </c>
      <c r="R26" s="7">
        <f>IF(AND(K26=1,L26),SUMIFS(行动计算!AU834:AU869,行动计算!F834:F869,3),"")</f>
        <v>532261.97</v>
      </c>
      <c r="S26" s="7">
        <f>IF(AND(K26=1,L26),SUMIFS(行动计算!AU834:AU869,行动计算!F834:F869,4),"")</f>
        <v>492226.36200000008</v>
      </c>
      <c r="T26" s="8">
        <f t="shared" si="0"/>
        <v>0.11598555531094834</v>
      </c>
      <c r="U26" s="1">
        <f>INDEX(效果参数!$C$98:$G$98,1,H26)</f>
        <v>0.04</v>
      </c>
      <c r="V26" s="1">
        <f>INDEX(效果参数!$C$97:$G$97,1,G26)</f>
        <v>0.06</v>
      </c>
      <c r="W26" s="1">
        <f>INDEX(效果参数!$C$101:$G$101,1,I26)</f>
        <v>0.02</v>
      </c>
      <c r="X26" s="1">
        <f>INDEX(效果参数!$C$102:$G$102,1,I26)</f>
        <v>0.16</v>
      </c>
      <c r="Y26" s="1">
        <f>INDEX(效果参数!$C$100:$G$100,1,I26)</f>
        <v>0.1</v>
      </c>
      <c r="Z26" s="1">
        <f>INDEX(效果参数!$C$103:$G$103,1,J26)</f>
        <v>0.04</v>
      </c>
      <c r="AA26" s="1">
        <f>INDEX(效果参数!$C$104:$G$104,1,J26)</f>
        <v>4.0000000000000001E-3</v>
      </c>
      <c r="AB26" s="1">
        <f>INDEX(效果参数!$C$30:$H$30,1,D26+1)</f>
        <v>0.3</v>
      </c>
      <c r="AC26" s="1">
        <f>INDEX(效果参数!$C$31:$H$31,1,D26+1)</f>
        <v>0.2</v>
      </c>
      <c r="AD26" s="1">
        <f>INDEX(效果参数!$C$32:$H$32,1,D26+1)</f>
        <v>500</v>
      </c>
      <c r="AE26" s="1">
        <f>INDEX(效果参数!$C$33:$H$33,1,D26+1)</f>
        <v>0.4</v>
      </c>
      <c r="AF26" s="1">
        <f>INDEX(效果参数!$C$34:$H$34,1,D26+1)</f>
        <v>0.4</v>
      </c>
      <c r="AG26" s="1">
        <f>INDEX(效果参数!$C$43:$H$43,1,E26+1)</f>
        <v>0.3</v>
      </c>
      <c r="AH26" s="1">
        <f>INDEX(效果参数!$C$44:$H$44,1,E26+1)</f>
        <v>0.04</v>
      </c>
      <c r="AI26" s="1">
        <f>INDEX(效果参数!$C$45:$H$45,1,E26+1)</f>
        <v>5</v>
      </c>
      <c r="AJ26" s="1">
        <f>INDEX(效果参数!$C$46:$H$46,1,E26+1)</f>
        <v>1</v>
      </c>
      <c r="AK26" s="1">
        <f>INDEX(效果参数!$C$47:$H$47,1,E26+1)</f>
        <v>2</v>
      </c>
      <c r="AL26" s="1">
        <f>INDEX(效果参数!$C$48:$H$48,1,E26+1)</f>
        <v>0.08</v>
      </c>
      <c r="AM26" s="1">
        <f>INDEX(效果参数!$C$49:$H$49,1,E26+1)</f>
        <v>250</v>
      </c>
      <c r="AN26" s="1">
        <f>INDEX(效果参数!$C$50:$H$50,1,E26+1)</f>
        <v>0.15</v>
      </c>
      <c r="AO26" s="1">
        <f>INDEX(效果参数!$C$51:$H$51,1,E26+1)</f>
        <v>0.15</v>
      </c>
      <c r="AP26" s="1">
        <f>INDEX(效果参数!$C$52:$H$52,1,E26+1)</f>
        <v>0.15</v>
      </c>
      <c r="AQ26" s="1">
        <f>INDEX(效果参数!$C$53:$H$53,1,E26+1)</f>
        <v>0.15</v>
      </c>
      <c r="AR26" s="1">
        <f>INDEX(效果参数!$C$56:$H$56,1,F26+1)</f>
        <v>45</v>
      </c>
      <c r="AS26" s="1">
        <f>INDEX(效果参数!$C$57:$H$57,1,F26+1)</f>
        <v>0.02</v>
      </c>
      <c r="AT26" s="1">
        <f>INDEX(效果参数!$C$58:$H$58,1,F26+1)</f>
        <v>7</v>
      </c>
      <c r="AU26" s="1">
        <f>INDEX(效果参数!$C$59:$H$59,1,F26+1)</f>
        <v>0.5</v>
      </c>
      <c r="AV26" s="1">
        <f>INDEX(效果参数!$C$6:$H$6,1,C26+1)</f>
        <v>2</v>
      </c>
      <c r="AW26" s="1">
        <f>INDEX(效果参数!$C$7:$H$7,1,C26+1)</f>
        <v>4</v>
      </c>
      <c r="AX26" s="1">
        <f>INDEX(效果参数!$C$8:$H$8,1,C26+1)</f>
        <v>8</v>
      </c>
      <c r="AY26" s="1">
        <f>INDEX(效果参数!$C$9:$H$9,1,C26+1)</f>
        <v>0.1</v>
      </c>
      <c r="AZ26" s="1">
        <f>INDEX(效果参数!$C$10:$H$10,1,C26+1)</f>
        <v>0.2</v>
      </c>
      <c r="BA26" s="1">
        <f>INDEX(效果参数!$C$11:$H$11,1,C26+1)</f>
        <v>0.6</v>
      </c>
      <c r="BB26" s="1">
        <f>INDEX(效果参数!$C$12:$H$12,1,C26+1)</f>
        <v>1.2</v>
      </c>
      <c r="BC26" s="1">
        <f>INDEX(效果参数!$C$13:$H$13,1,C26+1)</f>
        <v>0.06</v>
      </c>
      <c r="BD26" s="1">
        <f>INDEX(效果参数!$C$14:$H$14,1,C26+1)</f>
        <v>3</v>
      </c>
      <c r="BE26" s="1">
        <f>INDEX(效果参数!$C$15:$H$15,1,C26+1)</f>
        <v>1</v>
      </c>
      <c r="BF26" s="1">
        <f>INDEX(效果参数!$C$16:$H$16,1,C26+1)</f>
        <v>2.5000000000000001E-2</v>
      </c>
      <c r="BG26" s="1">
        <f>INDEX(效果参数!$C$17:$H$17,1,C26+1)</f>
        <v>18</v>
      </c>
      <c r="BH26" s="1">
        <f>INDEX(效果参数!$C$18:$H$18,1,C26+1)</f>
        <v>18</v>
      </c>
      <c r="BI26" s="1">
        <f>INDEX(效果参数!$C$19:$H$19,1,C26+1)</f>
        <v>1</v>
      </c>
      <c r="BJ26" s="1">
        <f>INDEX(效果参数!$C$20:$H$20,1,C26+1)</f>
        <v>1</v>
      </c>
      <c r="BK26" s="1">
        <f>INDEX(效果参数!$C$21:$H$21,1,C26+1)</f>
        <v>0.2</v>
      </c>
      <c r="BL26" s="1">
        <f>INDEX(效果参数!$C$22:$H$22,1,C26+1)</f>
        <v>9</v>
      </c>
      <c r="BM26" s="1">
        <f>INDEX(效果参数!$C$23:$H$23,1,C26+1)</f>
        <v>20</v>
      </c>
      <c r="BN26" s="1">
        <f>INDEX(效果参数!$C$24:$H$24,1,C26+1)</f>
        <v>30</v>
      </c>
      <c r="BO26" s="1">
        <f>INDEX(效果参数!$C$25:$H$25,1,C26+1)</f>
        <v>1.5</v>
      </c>
      <c r="BP26" s="1">
        <f>INDEX(效果参数!$C$26:$H$26,1,C26+1)</f>
        <v>0.6</v>
      </c>
      <c r="BQ26" s="1">
        <f>INDEX(效果参数!$C$27:$H$27,1,C26+1)</f>
        <v>0.8</v>
      </c>
      <c r="BR26" s="1">
        <f>INDEX(效果参数!$C$28:$H$28,1,C26+1)</f>
        <v>1</v>
      </c>
      <c r="BS26" s="1">
        <f>INDEX(效果参数!$C$35:$H$35,1,D26+1)</f>
        <v>2.8</v>
      </c>
      <c r="BT26" s="1">
        <f>INDEX(效果参数!$C$36:$H$36,1,D26+1)</f>
        <v>1.4</v>
      </c>
      <c r="BU26" s="1">
        <f>INDEX(效果参数!$C$37:$H$37,1,D26+1)</f>
        <v>0.8</v>
      </c>
      <c r="BV26" s="1">
        <f>INDEX(效果参数!$C$38:$H$38,1,D26+1)</f>
        <v>3</v>
      </c>
      <c r="BW26" s="1">
        <f>INDEX(效果参数!$C$39:$H$39,1,D26+1)</f>
        <v>1</v>
      </c>
      <c r="BX26" s="1">
        <f>INDEX(效果参数!$C$40:$H$40,1,D26+1)</f>
        <v>2</v>
      </c>
      <c r="BY26" s="1">
        <f>INDEX(效果参数!$C$41:$H$41,1,D26+1)</f>
        <v>1</v>
      </c>
      <c r="BZ26" s="1">
        <f>IF(配置与结果!$H$24=1,AR26,MIN(AR26,MAX(0,配置与结果!$H$25)))</f>
        <v>45</v>
      </c>
      <c r="CA26" s="1">
        <f>ROUNDDOWN(配置与结果!$B$17*(1+0.05+Y26),0)</f>
        <v>2986</v>
      </c>
      <c r="CB26" s="1">
        <f>MIN(AD26,ROUNDDOWN((配置与结果!$B$16+CC26)*AC26,0))</f>
        <v>500</v>
      </c>
      <c r="CC26" s="1">
        <f t="shared" si="1"/>
        <v>238</v>
      </c>
      <c r="CD26" s="1">
        <f>INDEX(效果参数!$C$96:$G$96,1,G26)</f>
        <v>0.16</v>
      </c>
      <c r="CE26" s="1">
        <f>INDEX(效果参数!$C$42:$H$42,1,D26+1)</f>
        <v>8</v>
      </c>
      <c r="CF26" s="1">
        <f>INDEX(效果参数!$C$54:$H$54,1,E26+1)</f>
        <v>15</v>
      </c>
      <c r="CG26" s="1">
        <f>INDEX(效果参数!$C$55:$H$55,1,E26+1)</f>
        <v>1.5</v>
      </c>
      <c r="CH26" s="1">
        <f>INDEX(效果参数!$C$106:$G$106,1,H26)</f>
        <v>0.12</v>
      </c>
    </row>
    <row r="27" spans="1:86" ht="33.950000000000003" customHeight="1">
      <c r="A27" s="1">
        <f>24</f>
        <v>24</v>
      </c>
      <c r="B27" s="1" t="str">
        <f>"J 4塑"</f>
        <v>J 4塑</v>
      </c>
      <c r="C27" s="1">
        <f>配置与结果!B6</f>
        <v>0</v>
      </c>
      <c r="D27" s="1">
        <f>配置与结果!B7</f>
        <v>0</v>
      </c>
      <c r="E27" s="1">
        <f>配置与结果!B8</f>
        <v>0</v>
      </c>
      <c r="F27" s="1">
        <f>4</f>
        <v>4</v>
      </c>
      <c r="G27" s="1">
        <f>配置与结果!D6</f>
        <v>5</v>
      </c>
      <c r="H27" s="1">
        <f>配置与结果!D7</f>
        <v>1</v>
      </c>
      <c r="I27" s="1">
        <f>配置与结果!D8</f>
        <v>5</v>
      </c>
      <c r="J27" s="1">
        <f>配置与结果!D9</f>
        <v>1</v>
      </c>
      <c r="K27" s="1">
        <f>INDEX(效果参数!$C$105:$G$105,1,J27)</f>
        <v>1</v>
      </c>
      <c r="L27" s="1" t="b">
        <f>AND(K27=1,INDEX(效果参数!$C$99:$G$99,1,H27)=1,INDEX(效果参数!$C$29:$H$29,1,C27+1)=1)</f>
        <v>1</v>
      </c>
      <c r="M27" s="7">
        <f>IF(AND(K27=1,L27),SUM(行动计算!AU870:AU905),"")</f>
        <v>9971031.4039999992</v>
      </c>
      <c r="N27" s="7">
        <f>IF(K27=1,SUMIFS(行动计算!AU870:AU905,行动计算!D870:D905,1),"")</f>
        <v>3791852.1640000003</v>
      </c>
      <c r="O27" s="7">
        <f>IF(L27,SUMIFS(行动计算!AU870:AU905,行动计算!D870:D905,2),"")</f>
        <v>6179179.2400000002</v>
      </c>
      <c r="P27" s="7">
        <f>IF(AND(K27=1,L27),SUMIFS(行动计算!AU870:AU905,行动计算!F870:F905,1),"")</f>
        <v>8055462</v>
      </c>
      <c r="Q27" s="7">
        <f>IF(AND(K27=1,L27),SUMIFS(行动计算!AU870:AU905,行动计算!F870:F905,2),"")</f>
        <v>703462</v>
      </c>
      <c r="R27" s="7">
        <f>IF(AND(K27=1,L27),SUMIFS(行动计算!AU870:AU905,行动计算!F870:F905,3),"")</f>
        <v>532261.97</v>
      </c>
      <c r="S27" s="7">
        <f>IF(AND(K27=1,L27),SUMIFS(行动计算!AU870:AU905,行动计算!F870:F905,4),"")</f>
        <v>679845.43400000001</v>
      </c>
      <c r="T27" s="8">
        <f t="shared" si="0"/>
        <v>0.13738710388597841</v>
      </c>
      <c r="U27" s="1">
        <f>INDEX(效果参数!$C$98:$G$98,1,H27)</f>
        <v>0.04</v>
      </c>
      <c r="V27" s="1">
        <f>INDEX(效果参数!$C$97:$G$97,1,G27)</f>
        <v>0.06</v>
      </c>
      <c r="W27" s="1">
        <f>INDEX(效果参数!$C$101:$G$101,1,I27)</f>
        <v>0.02</v>
      </c>
      <c r="X27" s="1">
        <f>INDEX(效果参数!$C$102:$G$102,1,I27)</f>
        <v>0.16</v>
      </c>
      <c r="Y27" s="1">
        <f>INDEX(效果参数!$C$100:$G$100,1,I27)</f>
        <v>0.1</v>
      </c>
      <c r="Z27" s="1">
        <f>INDEX(效果参数!$C$103:$G$103,1,J27)</f>
        <v>0.04</v>
      </c>
      <c r="AA27" s="1">
        <f>INDEX(效果参数!$C$104:$G$104,1,J27)</f>
        <v>4.0000000000000001E-3</v>
      </c>
      <c r="AB27" s="1">
        <f>INDEX(效果参数!$C$30:$H$30,1,D27+1)</f>
        <v>0.3</v>
      </c>
      <c r="AC27" s="1">
        <f>INDEX(效果参数!$C$31:$H$31,1,D27+1)</f>
        <v>0.2</v>
      </c>
      <c r="AD27" s="1">
        <f>INDEX(效果参数!$C$32:$H$32,1,D27+1)</f>
        <v>500</v>
      </c>
      <c r="AE27" s="1">
        <f>INDEX(效果参数!$C$33:$H$33,1,D27+1)</f>
        <v>0.4</v>
      </c>
      <c r="AF27" s="1">
        <f>INDEX(效果参数!$C$34:$H$34,1,D27+1)</f>
        <v>0.4</v>
      </c>
      <c r="AG27" s="1">
        <f>INDEX(效果参数!$C$43:$H$43,1,E27+1)</f>
        <v>0.3</v>
      </c>
      <c r="AH27" s="1">
        <f>INDEX(效果参数!$C$44:$H$44,1,E27+1)</f>
        <v>0.04</v>
      </c>
      <c r="AI27" s="1">
        <f>INDEX(效果参数!$C$45:$H$45,1,E27+1)</f>
        <v>5</v>
      </c>
      <c r="AJ27" s="1">
        <f>INDEX(效果参数!$C$46:$H$46,1,E27+1)</f>
        <v>1</v>
      </c>
      <c r="AK27" s="1">
        <f>INDEX(效果参数!$C$47:$H$47,1,E27+1)</f>
        <v>2</v>
      </c>
      <c r="AL27" s="1">
        <f>INDEX(效果参数!$C$48:$H$48,1,E27+1)</f>
        <v>0.08</v>
      </c>
      <c r="AM27" s="1">
        <f>INDEX(效果参数!$C$49:$H$49,1,E27+1)</f>
        <v>250</v>
      </c>
      <c r="AN27" s="1">
        <f>INDEX(效果参数!$C$50:$H$50,1,E27+1)</f>
        <v>0.15</v>
      </c>
      <c r="AO27" s="1">
        <f>INDEX(效果参数!$C$51:$H$51,1,E27+1)</f>
        <v>0.15</v>
      </c>
      <c r="AP27" s="1">
        <f>INDEX(效果参数!$C$52:$H$52,1,E27+1)</f>
        <v>0.15</v>
      </c>
      <c r="AQ27" s="1">
        <f>INDEX(效果参数!$C$53:$H$53,1,E27+1)</f>
        <v>0.15</v>
      </c>
      <c r="AR27" s="1">
        <f>INDEX(效果参数!$C$56:$H$56,1,F27+1)</f>
        <v>45</v>
      </c>
      <c r="AS27" s="1">
        <f>INDEX(效果参数!$C$57:$H$57,1,F27+1)</f>
        <v>0.02</v>
      </c>
      <c r="AT27" s="1">
        <f>INDEX(效果参数!$C$58:$H$58,1,F27+1)</f>
        <v>9</v>
      </c>
      <c r="AU27" s="1">
        <f>INDEX(效果参数!$C$59:$H$59,1,F27+1)</f>
        <v>0.75</v>
      </c>
      <c r="AV27" s="1">
        <f>INDEX(效果参数!$C$6:$H$6,1,C27+1)</f>
        <v>2</v>
      </c>
      <c r="AW27" s="1">
        <f>INDEX(效果参数!$C$7:$H$7,1,C27+1)</f>
        <v>4</v>
      </c>
      <c r="AX27" s="1">
        <f>INDEX(效果参数!$C$8:$H$8,1,C27+1)</f>
        <v>8</v>
      </c>
      <c r="AY27" s="1">
        <f>INDEX(效果参数!$C$9:$H$9,1,C27+1)</f>
        <v>0.1</v>
      </c>
      <c r="AZ27" s="1">
        <f>INDEX(效果参数!$C$10:$H$10,1,C27+1)</f>
        <v>0.2</v>
      </c>
      <c r="BA27" s="1">
        <f>INDEX(效果参数!$C$11:$H$11,1,C27+1)</f>
        <v>0.6</v>
      </c>
      <c r="BB27" s="1">
        <f>INDEX(效果参数!$C$12:$H$12,1,C27+1)</f>
        <v>1.2</v>
      </c>
      <c r="BC27" s="1">
        <f>INDEX(效果参数!$C$13:$H$13,1,C27+1)</f>
        <v>0.06</v>
      </c>
      <c r="BD27" s="1">
        <f>INDEX(效果参数!$C$14:$H$14,1,C27+1)</f>
        <v>3</v>
      </c>
      <c r="BE27" s="1">
        <f>INDEX(效果参数!$C$15:$H$15,1,C27+1)</f>
        <v>1</v>
      </c>
      <c r="BF27" s="1">
        <f>INDEX(效果参数!$C$16:$H$16,1,C27+1)</f>
        <v>2.5000000000000001E-2</v>
      </c>
      <c r="BG27" s="1">
        <f>INDEX(效果参数!$C$17:$H$17,1,C27+1)</f>
        <v>18</v>
      </c>
      <c r="BH27" s="1">
        <f>INDEX(效果参数!$C$18:$H$18,1,C27+1)</f>
        <v>18</v>
      </c>
      <c r="BI27" s="1">
        <f>INDEX(效果参数!$C$19:$H$19,1,C27+1)</f>
        <v>1</v>
      </c>
      <c r="BJ27" s="1">
        <f>INDEX(效果参数!$C$20:$H$20,1,C27+1)</f>
        <v>1</v>
      </c>
      <c r="BK27" s="1">
        <f>INDEX(效果参数!$C$21:$H$21,1,C27+1)</f>
        <v>0.2</v>
      </c>
      <c r="BL27" s="1">
        <f>INDEX(效果参数!$C$22:$H$22,1,C27+1)</f>
        <v>9</v>
      </c>
      <c r="BM27" s="1">
        <f>INDEX(效果参数!$C$23:$H$23,1,C27+1)</f>
        <v>20</v>
      </c>
      <c r="BN27" s="1">
        <f>INDEX(效果参数!$C$24:$H$24,1,C27+1)</f>
        <v>30</v>
      </c>
      <c r="BO27" s="1">
        <f>INDEX(效果参数!$C$25:$H$25,1,C27+1)</f>
        <v>1.5</v>
      </c>
      <c r="BP27" s="1">
        <f>INDEX(效果参数!$C$26:$H$26,1,C27+1)</f>
        <v>0.6</v>
      </c>
      <c r="BQ27" s="1">
        <f>INDEX(效果参数!$C$27:$H$27,1,C27+1)</f>
        <v>0.8</v>
      </c>
      <c r="BR27" s="1">
        <f>INDEX(效果参数!$C$28:$H$28,1,C27+1)</f>
        <v>1</v>
      </c>
      <c r="BS27" s="1">
        <f>INDEX(效果参数!$C$35:$H$35,1,D27+1)</f>
        <v>2.8</v>
      </c>
      <c r="BT27" s="1">
        <f>INDEX(效果参数!$C$36:$H$36,1,D27+1)</f>
        <v>1.4</v>
      </c>
      <c r="BU27" s="1">
        <f>INDEX(效果参数!$C$37:$H$37,1,D27+1)</f>
        <v>0.8</v>
      </c>
      <c r="BV27" s="1">
        <f>INDEX(效果参数!$C$38:$H$38,1,D27+1)</f>
        <v>3</v>
      </c>
      <c r="BW27" s="1">
        <f>INDEX(效果参数!$C$39:$H$39,1,D27+1)</f>
        <v>1</v>
      </c>
      <c r="BX27" s="1">
        <f>INDEX(效果参数!$C$40:$H$40,1,D27+1)</f>
        <v>2</v>
      </c>
      <c r="BY27" s="1">
        <f>INDEX(效果参数!$C$41:$H$41,1,D27+1)</f>
        <v>1</v>
      </c>
      <c r="BZ27" s="1">
        <f>IF(配置与结果!$H$24=1,AR27,MIN(AR27,MAX(0,配置与结果!$H$25)))</f>
        <v>45</v>
      </c>
      <c r="CA27" s="1">
        <f>ROUNDDOWN(配置与结果!$B$17*(1+0.05+Y27),0)</f>
        <v>2986</v>
      </c>
      <c r="CB27" s="1">
        <f>MIN(AD27,ROUNDDOWN((配置与结果!$B$16+CC27)*AC27,0))</f>
        <v>500</v>
      </c>
      <c r="CC27" s="1">
        <f t="shared" si="1"/>
        <v>238</v>
      </c>
      <c r="CD27" s="1">
        <f>INDEX(效果参数!$C$96:$G$96,1,G27)</f>
        <v>0.16</v>
      </c>
      <c r="CE27" s="1">
        <f>INDEX(效果参数!$C$42:$H$42,1,D27+1)</f>
        <v>8</v>
      </c>
      <c r="CF27" s="1">
        <f>INDEX(效果参数!$C$54:$H$54,1,E27+1)</f>
        <v>15</v>
      </c>
      <c r="CG27" s="1">
        <f>INDEX(效果参数!$C$55:$H$55,1,E27+1)</f>
        <v>1.5</v>
      </c>
      <c r="CH27" s="1">
        <f>INDEX(效果参数!$C$106:$G$106,1,H27)</f>
        <v>0.12</v>
      </c>
    </row>
    <row r="28" spans="1:86" ht="33.950000000000003" customHeight="1">
      <c r="A28" s="1">
        <f>25</f>
        <v>25</v>
      </c>
      <c r="B28" s="1" t="str">
        <f>"J 5塑"</f>
        <v>J 5塑</v>
      </c>
      <c r="C28" s="1">
        <f>配置与结果!B6</f>
        <v>0</v>
      </c>
      <c r="D28" s="1">
        <f>配置与结果!B7</f>
        <v>0</v>
      </c>
      <c r="E28" s="1">
        <f>配置与结果!B8</f>
        <v>0</v>
      </c>
      <c r="F28" s="1">
        <f>5</f>
        <v>5</v>
      </c>
      <c r="G28" s="1">
        <f>配置与结果!D6</f>
        <v>5</v>
      </c>
      <c r="H28" s="1">
        <f>配置与结果!D7</f>
        <v>1</v>
      </c>
      <c r="I28" s="1">
        <f>配置与结果!D8</f>
        <v>5</v>
      </c>
      <c r="J28" s="1">
        <f>配置与结果!D9</f>
        <v>1</v>
      </c>
      <c r="K28" s="1">
        <f>INDEX(效果参数!$C$105:$G$105,1,J28)</f>
        <v>1</v>
      </c>
      <c r="L28" s="1" t="b">
        <f>AND(K28=1,INDEX(效果参数!$C$99:$G$99,1,H28)=1,INDEX(效果参数!$C$29:$H$29,1,C28+1)=1)</f>
        <v>1</v>
      </c>
      <c r="M28" s="7">
        <f>IF(AND(K28=1,L28),SUM(行动计算!AU906:AU941),"")</f>
        <v>10158553.338999998</v>
      </c>
      <c r="N28" s="7">
        <f>IF(K28=1,SUMIFS(行动计算!AU906:AU941,行动计算!D906:D941,1),"")</f>
        <v>3979374.0989999999</v>
      </c>
      <c r="O28" s="7">
        <f>IF(L28,SUMIFS(行动计算!AU906:AU941,行动计算!D906:D941,2),"")</f>
        <v>6179179.2400000002</v>
      </c>
      <c r="P28" s="7">
        <f>IF(AND(K28=1,L28),SUMIFS(行动计算!AU906:AU941,行动计算!F906:F941,1),"")</f>
        <v>8055462</v>
      </c>
      <c r="Q28" s="7">
        <f>IF(AND(K28=1,L28),SUMIFS(行动计算!AU906:AU941,行动计算!F906:F941,2),"")</f>
        <v>703462</v>
      </c>
      <c r="R28" s="7">
        <f>IF(AND(K28=1,L28),SUMIFS(行动计算!AU906:AU941,行动计算!F906:F941,3),"")</f>
        <v>532261.97</v>
      </c>
      <c r="S28" s="7">
        <f>IF(AND(K28=1,L28),SUMIFS(行动计算!AU906:AU941,行动计算!F906:F941,4),"")</f>
        <v>867367.36900000006</v>
      </c>
      <c r="T28" s="8">
        <f t="shared" si="0"/>
        <v>0.15877757212572141</v>
      </c>
      <c r="U28" s="1">
        <f>INDEX(效果参数!$C$98:$G$98,1,H28)</f>
        <v>0.04</v>
      </c>
      <c r="V28" s="1">
        <f>INDEX(效果参数!$C$97:$G$97,1,G28)</f>
        <v>0.06</v>
      </c>
      <c r="W28" s="1">
        <f>INDEX(效果参数!$C$101:$G$101,1,I28)</f>
        <v>0.02</v>
      </c>
      <c r="X28" s="1">
        <f>INDEX(效果参数!$C$102:$G$102,1,I28)</f>
        <v>0.16</v>
      </c>
      <c r="Y28" s="1">
        <f>INDEX(效果参数!$C$100:$G$100,1,I28)</f>
        <v>0.1</v>
      </c>
      <c r="Z28" s="1">
        <f>INDEX(效果参数!$C$103:$G$103,1,J28)</f>
        <v>0.04</v>
      </c>
      <c r="AA28" s="1">
        <f>INDEX(效果参数!$C$104:$G$104,1,J28)</f>
        <v>4.0000000000000001E-3</v>
      </c>
      <c r="AB28" s="1">
        <f>INDEX(效果参数!$C$30:$H$30,1,D28+1)</f>
        <v>0.3</v>
      </c>
      <c r="AC28" s="1">
        <f>INDEX(效果参数!$C$31:$H$31,1,D28+1)</f>
        <v>0.2</v>
      </c>
      <c r="AD28" s="1">
        <f>INDEX(效果参数!$C$32:$H$32,1,D28+1)</f>
        <v>500</v>
      </c>
      <c r="AE28" s="1">
        <f>INDEX(效果参数!$C$33:$H$33,1,D28+1)</f>
        <v>0.4</v>
      </c>
      <c r="AF28" s="1">
        <f>INDEX(效果参数!$C$34:$H$34,1,D28+1)</f>
        <v>0.4</v>
      </c>
      <c r="AG28" s="1">
        <f>INDEX(效果参数!$C$43:$H$43,1,E28+1)</f>
        <v>0.3</v>
      </c>
      <c r="AH28" s="1">
        <f>INDEX(效果参数!$C$44:$H$44,1,E28+1)</f>
        <v>0.04</v>
      </c>
      <c r="AI28" s="1">
        <f>INDEX(效果参数!$C$45:$H$45,1,E28+1)</f>
        <v>5</v>
      </c>
      <c r="AJ28" s="1">
        <f>INDEX(效果参数!$C$46:$H$46,1,E28+1)</f>
        <v>1</v>
      </c>
      <c r="AK28" s="1">
        <f>INDEX(效果参数!$C$47:$H$47,1,E28+1)</f>
        <v>2</v>
      </c>
      <c r="AL28" s="1">
        <f>INDEX(效果参数!$C$48:$H$48,1,E28+1)</f>
        <v>0.08</v>
      </c>
      <c r="AM28" s="1">
        <f>INDEX(效果参数!$C$49:$H$49,1,E28+1)</f>
        <v>250</v>
      </c>
      <c r="AN28" s="1">
        <f>INDEX(效果参数!$C$50:$H$50,1,E28+1)</f>
        <v>0.15</v>
      </c>
      <c r="AO28" s="1">
        <f>INDEX(效果参数!$C$51:$H$51,1,E28+1)</f>
        <v>0.15</v>
      </c>
      <c r="AP28" s="1">
        <f>INDEX(效果参数!$C$52:$H$52,1,E28+1)</f>
        <v>0.15</v>
      </c>
      <c r="AQ28" s="1">
        <f>INDEX(效果参数!$C$53:$H$53,1,E28+1)</f>
        <v>0.15</v>
      </c>
      <c r="AR28" s="1">
        <f>INDEX(效果参数!$C$56:$H$56,1,F28+1)</f>
        <v>45</v>
      </c>
      <c r="AS28" s="1">
        <f>INDEX(效果参数!$C$57:$H$57,1,F28+1)</f>
        <v>0.03</v>
      </c>
      <c r="AT28" s="1">
        <f>INDEX(效果参数!$C$58:$H$58,1,F28+1)</f>
        <v>9</v>
      </c>
      <c r="AU28" s="1">
        <f>INDEX(效果参数!$C$59:$H$59,1,F28+1)</f>
        <v>0.75</v>
      </c>
      <c r="AV28" s="1">
        <f>INDEX(效果参数!$C$6:$H$6,1,C28+1)</f>
        <v>2</v>
      </c>
      <c r="AW28" s="1">
        <f>INDEX(效果参数!$C$7:$H$7,1,C28+1)</f>
        <v>4</v>
      </c>
      <c r="AX28" s="1">
        <f>INDEX(效果参数!$C$8:$H$8,1,C28+1)</f>
        <v>8</v>
      </c>
      <c r="AY28" s="1">
        <f>INDEX(效果参数!$C$9:$H$9,1,C28+1)</f>
        <v>0.1</v>
      </c>
      <c r="AZ28" s="1">
        <f>INDEX(效果参数!$C$10:$H$10,1,C28+1)</f>
        <v>0.2</v>
      </c>
      <c r="BA28" s="1">
        <f>INDEX(效果参数!$C$11:$H$11,1,C28+1)</f>
        <v>0.6</v>
      </c>
      <c r="BB28" s="1">
        <f>INDEX(效果参数!$C$12:$H$12,1,C28+1)</f>
        <v>1.2</v>
      </c>
      <c r="BC28" s="1">
        <f>INDEX(效果参数!$C$13:$H$13,1,C28+1)</f>
        <v>0.06</v>
      </c>
      <c r="BD28" s="1">
        <f>INDEX(效果参数!$C$14:$H$14,1,C28+1)</f>
        <v>3</v>
      </c>
      <c r="BE28" s="1">
        <f>INDEX(效果参数!$C$15:$H$15,1,C28+1)</f>
        <v>1</v>
      </c>
      <c r="BF28" s="1">
        <f>INDEX(效果参数!$C$16:$H$16,1,C28+1)</f>
        <v>2.5000000000000001E-2</v>
      </c>
      <c r="BG28" s="1">
        <f>INDEX(效果参数!$C$17:$H$17,1,C28+1)</f>
        <v>18</v>
      </c>
      <c r="BH28" s="1">
        <f>INDEX(效果参数!$C$18:$H$18,1,C28+1)</f>
        <v>18</v>
      </c>
      <c r="BI28" s="1">
        <f>INDEX(效果参数!$C$19:$H$19,1,C28+1)</f>
        <v>1</v>
      </c>
      <c r="BJ28" s="1">
        <f>INDEX(效果参数!$C$20:$H$20,1,C28+1)</f>
        <v>1</v>
      </c>
      <c r="BK28" s="1">
        <f>INDEX(效果参数!$C$21:$H$21,1,C28+1)</f>
        <v>0.2</v>
      </c>
      <c r="BL28" s="1">
        <f>INDEX(效果参数!$C$22:$H$22,1,C28+1)</f>
        <v>9</v>
      </c>
      <c r="BM28" s="1">
        <f>INDEX(效果参数!$C$23:$H$23,1,C28+1)</f>
        <v>20</v>
      </c>
      <c r="BN28" s="1">
        <f>INDEX(效果参数!$C$24:$H$24,1,C28+1)</f>
        <v>30</v>
      </c>
      <c r="BO28" s="1">
        <f>INDEX(效果参数!$C$25:$H$25,1,C28+1)</f>
        <v>1.5</v>
      </c>
      <c r="BP28" s="1">
        <f>INDEX(效果参数!$C$26:$H$26,1,C28+1)</f>
        <v>0.6</v>
      </c>
      <c r="BQ28" s="1">
        <f>INDEX(效果参数!$C$27:$H$27,1,C28+1)</f>
        <v>0.8</v>
      </c>
      <c r="BR28" s="1">
        <f>INDEX(效果参数!$C$28:$H$28,1,C28+1)</f>
        <v>1</v>
      </c>
      <c r="BS28" s="1">
        <f>INDEX(效果参数!$C$35:$H$35,1,D28+1)</f>
        <v>2.8</v>
      </c>
      <c r="BT28" s="1">
        <f>INDEX(效果参数!$C$36:$H$36,1,D28+1)</f>
        <v>1.4</v>
      </c>
      <c r="BU28" s="1">
        <f>INDEX(效果参数!$C$37:$H$37,1,D28+1)</f>
        <v>0.8</v>
      </c>
      <c r="BV28" s="1">
        <f>INDEX(效果参数!$C$38:$H$38,1,D28+1)</f>
        <v>3</v>
      </c>
      <c r="BW28" s="1">
        <f>INDEX(效果参数!$C$39:$H$39,1,D28+1)</f>
        <v>1</v>
      </c>
      <c r="BX28" s="1">
        <f>INDEX(效果参数!$C$40:$H$40,1,D28+1)</f>
        <v>2</v>
      </c>
      <c r="BY28" s="1">
        <f>INDEX(效果参数!$C$41:$H$41,1,D28+1)</f>
        <v>1</v>
      </c>
      <c r="BZ28" s="1">
        <f>IF(配置与结果!$H$24=1,AR28,MIN(AR28,MAX(0,配置与结果!$H$25)))</f>
        <v>45</v>
      </c>
      <c r="CA28" s="1">
        <f>ROUNDDOWN(配置与结果!$B$17*(1+0.05+Y28),0)</f>
        <v>2986</v>
      </c>
      <c r="CB28" s="1">
        <f>MIN(AD28,ROUNDDOWN((配置与结果!$B$16+CC28)*AC28,0))</f>
        <v>500</v>
      </c>
      <c r="CC28" s="1">
        <f t="shared" si="1"/>
        <v>238</v>
      </c>
      <c r="CD28" s="1">
        <f>INDEX(效果参数!$C$96:$G$96,1,G28)</f>
        <v>0.16</v>
      </c>
      <c r="CE28" s="1">
        <f>INDEX(效果参数!$C$42:$H$42,1,D28+1)</f>
        <v>8</v>
      </c>
      <c r="CF28" s="1">
        <f>INDEX(效果参数!$C$54:$H$54,1,E28+1)</f>
        <v>15</v>
      </c>
      <c r="CG28" s="1">
        <f>INDEX(效果参数!$C$55:$H$55,1,E28+1)</f>
        <v>1.5</v>
      </c>
      <c r="CH28" s="1">
        <f>INDEX(效果参数!$C$106:$G$106,1,H28)</f>
        <v>0.12</v>
      </c>
    </row>
    <row r="29" spans="1:86" ht="33.950000000000003" customHeight="1">
      <c r="A29" s="1">
        <f>26</f>
        <v>26</v>
      </c>
      <c r="B29" s="1" t="str">
        <f>"立于风暴脊 增幅1"</f>
        <v>立于风暴脊 增幅1</v>
      </c>
      <c r="C29" s="1">
        <f>配置与结果!B6</f>
        <v>0</v>
      </c>
      <c r="D29" s="1">
        <f>配置与结果!B7</f>
        <v>0</v>
      </c>
      <c r="E29" s="1">
        <f>配置与结果!B8</f>
        <v>0</v>
      </c>
      <c r="F29" s="1">
        <f>配置与结果!B9</f>
        <v>0</v>
      </c>
      <c r="G29" s="1">
        <f>1</f>
        <v>1</v>
      </c>
      <c r="H29" s="1">
        <f>配置与结果!D7</f>
        <v>1</v>
      </c>
      <c r="I29" s="1">
        <f>配置与结果!D8</f>
        <v>5</v>
      </c>
      <c r="J29" s="1">
        <f>配置与结果!D9</f>
        <v>1</v>
      </c>
      <c r="K29" s="1">
        <f>INDEX(效果参数!$C$105:$G$105,1,J29)</f>
        <v>1</v>
      </c>
      <c r="L29" s="1" t="b">
        <f>AND(K29=1,INDEX(效果参数!$C$99:$G$99,1,H29)=1,INDEX(效果参数!$C$29:$H$29,1,C29+1)=1)</f>
        <v>1</v>
      </c>
      <c r="M29" s="7">
        <f>IF(AND(K29=1,L29),SUM(行动计算!AU942:AU977),"")</f>
        <v>7967878.9740000004</v>
      </c>
      <c r="N29" s="7">
        <f>IF(K29=1,SUMIFS(行动计算!AU942:AU977,行动计算!D942:D977,1),"")</f>
        <v>3056550.6940000001</v>
      </c>
      <c r="O29" s="7">
        <f>IF(L29,SUMIFS(行动计算!AU942:AU977,行动计算!D942:D977,2),"")</f>
        <v>4911328.2799999993</v>
      </c>
      <c r="P29" s="7">
        <f>IF(AND(K29=1,L29),SUMIFS(行动计算!AU942:AU977,行动计算!F942:F977,1),"")</f>
        <v>6564653</v>
      </c>
      <c r="Q29" s="7">
        <f>IF(AND(K29=1,L29),SUMIFS(行动计算!AU942:AU977,行动计算!F942:F977,2),"")</f>
        <v>642844.12</v>
      </c>
      <c r="R29" s="7">
        <f>IF(AND(K29=1,L29),SUMIFS(行动计算!AU942:AU977,行动计算!F942:F977,3),"")</f>
        <v>489818.29000000004</v>
      </c>
      <c r="S29" s="7">
        <f>IF(AND(K29=1,L29),SUMIFS(行动计算!AU942:AU977,行动计算!F942:F977,4),"")</f>
        <v>270563.56400000001</v>
      </c>
      <c r="T29" s="8">
        <f t="shared" si="0"/>
        <v>-9.1110796550466722E-2</v>
      </c>
      <c r="U29" s="1">
        <f>INDEX(效果参数!$C$98:$G$98,1,H29)</f>
        <v>0.04</v>
      </c>
      <c r="V29" s="1">
        <f>INDEX(效果参数!$C$97:$G$97,1,G29)</f>
        <v>0.03</v>
      </c>
      <c r="W29" s="1">
        <f>INDEX(效果参数!$C$101:$G$101,1,I29)</f>
        <v>0.02</v>
      </c>
      <c r="X29" s="1">
        <f>INDEX(效果参数!$C$102:$G$102,1,I29)</f>
        <v>0.16</v>
      </c>
      <c r="Y29" s="1">
        <f>INDEX(效果参数!$C$100:$G$100,1,I29)</f>
        <v>0.1</v>
      </c>
      <c r="Z29" s="1">
        <f>INDEX(效果参数!$C$103:$G$103,1,J29)</f>
        <v>0.04</v>
      </c>
      <c r="AA29" s="1">
        <f>INDEX(效果参数!$C$104:$G$104,1,J29)</f>
        <v>4.0000000000000001E-3</v>
      </c>
      <c r="AB29" s="1">
        <f>INDEX(效果参数!$C$30:$H$30,1,D29+1)</f>
        <v>0.3</v>
      </c>
      <c r="AC29" s="1">
        <f>INDEX(效果参数!$C$31:$H$31,1,D29+1)</f>
        <v>0.2</v>
      </c>
      <c r="AD29" s="1">
        <f>INDEX(效果参数!$C$32:$H$32,1,D29+1)</f>
        <v>500</v>
      </c>
      <c r="AE29" s="1">
        <f>INDEX(效果参数!$C$33:$H$33,1,D29+1)</f>
        <v>0.4</v>
      </c>
      <c r="AF29" s="1">
        <f>INDEX(效果参数!$C$34:$H$34,1,D29+1)</f>
        <v>0.4</v>
      </c>
      <c r="AG29" s="1">
        <f>INDEX(效果参数!$C$43:$H$43,1,E29+1)</f>
        <v>0.3</v>
      </c>
      <c r="AH29" s="1">
        <f>INDEX(效果参数!$C$44:$H$44,1,E29+1)</f>
        <v>0.04</v>
      </c>
      <c r="AI29" s="1">
        <f>INDEX(效果参数!$C$45:$H$45,1,E29+1)</f>
        <v>5</v>
      </c>
      <c r="AJ29" s="1">
        <f>INDEX(效果参数!$C$46:$H$46,1,E29+1)</f>
        <v>1</v>
      </c>
      <c r="AK29" s="1">
        <f>INDEX(效果参数!$C$47:$H$47,1,E29+1)</f>
        <v>2</v>
      </c>
      <c r="AL29" s="1">
        <f>INDEX(效果参数!$C$48:$H$48,1,E29+1)</f>
        <v>0.08</v>
      </c>
      <c r="AM29" s="1">
        <f>INDEX(效果参数!$C$49:$H$49,1,E29+1)</f>
        <v>250</v>
      </c>
      <c r="AN29" s="1">
        <f>INDEX(效果参数!$C$50:$H$50,1,E29+1)</f>
        <v>0.15</v>
      </c>
      <c r="AO29" s="1">
        <f>INDEX(效果参数!$C$51:$H$51,1,E29+1)</f>
        <v>0.15</v>
      </c>
      <c r="AP29" s="1">
        <f>INDEX(效果参数!$C$52:$H$52,1,E29+1)</f>
        <v>0.15</v>
      </c>
      <c r="AQ29" s="1">
        <f>INDEX(效果参数!$C$53:$H$53,1,E29+1)</f>
        <v>0.15</v>
      </c>
      <c r="AR29" s="1">
        <f>INDEX(效果参数!$C$56:$H$56,1,F29+1)</f>
        <v>35</v>
      </c>
      <c r="AS29" s="1">
        <f>INDEX(效果参数!$C$57:$H$57,1,F29+1)</f>
        <v>0.01</v>
      </c>
      <c r="AT29" s="1">
        <f>INDEX(效果参数!$C$58:$H$58,1,F29+1)</f>
        <v>7</v>
      </c>
      <c r="AU29" s="1">
        <f>INDEX(效果参数!$C$59:$H$59,1,F29+1)</f>
        <v>0.5</v>
      </c>
      <c r="AV29" s="1">
        <f>INDEX(效果参数!$C$6:$H$6,1,C29+1)</f>
        <v>2</v>
      </c>
      <c r="AW29" s="1">
        <f>INDEX(效果参数!$C$7:$H$7,1,C29+1)</f>
        <v>4</v>
      </c>
      <c r="AX29" s="1">
        <f>INDEX(效果参数!$C$8:$H$8,1,C29+1)</f>
        <v>8</v>
      </c>
      <c r="AY29" s="1">
        <f>INDEX(效果参数!$C$9:$H$9,1,C29+1)</f>
        <v>0.1</v>
      </c>
      <c r="AZ29" s="1">
        <f>INDEX(效果参数!$C$10:$H$10,1,C29+1)</f>
        <v>0.2</v>
      </c>
      <c r="BA29" s="1">
        <f>INDEX(效果参数!$C$11:$H$11,1,C29+1)</f>
        <v>0.6</v>
      </c>
      <c r="BB29" s="1">
        <f>INDEX(效果参数!$C$12:$H$12,1,C29+1)</f>
        <v>1.2</v>
      </c>
      <c r="BC29" s="1">
        <f>INDEX(效果参数!$C$13:$H$13,1,C29+1)</f>
        <v>0.06</v>
      </c>
      <c r="BD29" s="1">
        <f>INDEX(效果参数!$C$14:$H$14,1,C29+1)</f>
        <v>3</v>
      </c>
      <c r="BE29" s="1">
        <f>INDEX(效果参数!$C$15:$H$15,1,C29+1)</f>
        <v>1</v>
      </c>
      <c r="BF29" s="1">
        <f>INDEX(效果参数!$C$16:$H$16,1,C29+1)</f>
        <v>2.5000000000000001E-2</v>
      </c>
      <c r="BG29" s="1">
        <f>INDEX(效果参数!$C$17:$H$17,1,C29+1)</f>
        <v>18</v>
      </c>
      <c r="BH29" s="1">
        <f>INDEX(效果参数!$C$18:$H$18,1,C29+1)</f>
        <v>18</v>
      </c>
      <c r="BI29" s="1">
        <f>INDEX(效果参数!$C$19:$H$19,1,C29+1)</f>
        <v>1</v>
      </c>
      <c r="BJ29" s="1">
        <f>INDEX(效果参数!$C$20:$H$20,1,C29+1)</f>
        <v>1</v>
      </c>
      <c r="BK29" s="1">
        <f>INDEX(效果参数!$C$21:$H$21,1,C29+1)</f>
        <v>0.2</v>
      </c>
      <c r="BL29" s="1">
        <f>INDEX(效果参数!$C$22:$H$22,1,C29+1)</f>
        <v>9</v>
      </c>
      <c r="BM29" s="1">
        <f>INDEX(效果参数!$C$23:$H$23,1,C29+1)</f>
        <v>20</v>
      </c>
      <c r="BN29" s="1">
        <f>INDEX(效果参数!$C$24:$H$24,1,C29+1)</f>
        <v>30</v>
      </c>
      <c r="BO29" s="1">
        <f>INDEX(效果参数!$C$25:$H$25,1,C29+1)</f>
        <v>1.5</v>
      </c>
      <c r="BP29" s="1">
        <f>INDEX(效果参数!$C$26:$H$26,1,C29+1)</f>
        <v>0.6</v>
      </c>
      <c r="BQ29" s="1">
        <f>INDEX(效果参数!$C$27:$H$27,1,C29+1)</f>
        <v>0.8</v>
      </c>
      <c r="BR29" s="1">
        <f>INDEX(效果参数!$C$28:$H$28,1,C29+1)</f>
        <v>1</v>
      </c>
      <c r="BS29" s="1">
        <f>INDEX(效果参数!$C$35:$H$35,1,D29+1)</f>
        <v>2.8</v>
      </c>
      <c r="BT29" s="1">
        <f>INDEX(效果参数!$C$36:$H$36,1,D29+1)</f>
        <v>1.4</v>
      </c>
      <c r="BU29" s="1">
        <f>INDEX(效果参数!$C$37:$H$37,1,D29+1)</f>
        <v>0.8</v>
      </c>
      <c r="BV29" s="1">
        <f>INDEX(效果参数!$C$38:$H$38,1,D29+1)</f>
        <v>3</v>
      </c>
      <c r="BW29" s="1">
        <f>INDEX(效果参数!$C$39:$H$39,1,D29+1)</f>
        <v>1</v>
      </c>
      <c r="BX29" s="1">
        <f>INDEX(效果参数!$C$40:$H$40,1,D29+1)</f>
        <v>2</v>
      </c>
      <c r="BY29" s="1">
        <f>INDEX(效果参数!$C$41:$H$41,1,D29+1)</f>
        <v>1</v>
      </c>
      <c r="BZ29" s="1">
        <f>IF(配置与结果!$H$24=1,AR29,MIN(AR29,MAX(0,配置与结果!$H$25)))</f>
        <v>35</v>
      </c>
      <c r="CA29" s="1">
        <f>ROUNDDOWN(配置与结果!$B$17*(1+0.05+Y29),0)</f>
        <v>2986</v>
      </c>
      <c r="CB29" s="1">
        <f>MIN(AD29,ROUNDDOWN((配置与结果!$B$16+CC29)*AC29,0))</f>
        <v>500</v>
      </c>
      <c r="CC29" s="1">
        <f t="shared" si="1"/>
        <v>238</v>
      </c>
      <c r="CD29" s="1">
        <f>INDEX(效果参数!$C$96:$G$96,1,G29)</f>
        <v>0.08</v>
      </c>
      <c r="CE29" s="1">
        <f>INDEX(效果参数!$C$42:$H$42,1,D29+1)</f>
        <v>8</v>
      </c>
      <c r="CF29" s="1">
        <f>INDEX(效果参数!$C$54:$H$54,1,E29+1)</f>
        <v>15</v>
      </c>
      <c r="CG29" s="1">
        <f>INDEX(效果参数!$C$55:$H$55,1,E29+1)</f>
        <v>1.5</v>
      </c>
      <c r="CH29" s="1">
        <f>INDEX(效果参数!$C$106:$G$106,1,H29)</f>
        <v>0.12</v>
      </c>
    </row>
    <row r="30" spans="1:86" ht="33.950000000000003" customHeight="1">
      <c r="A30" s="1">
        <f>27</f>
        <v>27</v>
      </c>
      <c r="B30" s="1" t="str">
        <f>"立于风暴脊 增幅2"</f>
        <v>立于风暴脊 增幅2</v>
      </c>
      <c r="C30" s="1">
        <f>配置与结果!B6</f>
        <v>0</v>
      </c>
      <c r="D30" s="1">
        <f>配置与结果!B7</f>
        <v>0</v>
      </c>
      <c r="E30" s="1">
        <f>配置与结果!B8</f>
        <v>0</v>
      </c>
      <c r="F30" s="1">
        <f>配置与结果!B9</f>
        <v>0</v>
      </c>
      <c r="G30" s="1">
        <f>2</f>
        <v>2</v>
      </c>
      <c r="H30" s="1">
        <f>配置与结果!D7</f>
        <v>1</v>
      </c>
      <c r="I30" s="1">
        <f>配置与结果!D8</f>
        <v>5</v>
      </c>
      <c r="J30" s="1">
        <f>配置与结果!D9</f>
        <v>1</v>
      </c>
      <c r="K30" s="1">
        <f>INDEX(效果参数!$C$105:$G$105,1,J30)</f>
        <v>1</v>
      </c>
      <c r="L30" s="1" t="b">
        <f>AND(K30=1,INDEX(效果参数!$C$99:$G$99,1,H30)=1,INDEX(效果参数!$C$29:$H$29,1,C30+1)=1)</f>
        <v>1</v>
      </c>
      <c r="M30" s="7">
        <f>IF(AND(K30=1,L30),SUM(行动计算!AU978:AU1013),"")</f>
        <v>8075579.9740000004</v>
      </c>
      <c r="N30" s="7">
        <f>IF(K30=1,SUMIFS(行动计算!AU978:AU1013,行动计算!D978:D1013,1),"")</f>
        <v>3094900.6940000001</v>
      </c>
      <c r="O30" s="7">
        <f>IF(L30,SUMIFS(行动计算!AU978:AU1013,行动计算!D978:D1013,2),"")</f>
        <v>4980679.2799999993</v>
      </c>
      <c r="P30" s="7">
        <f>IF(AND(K30=1,L30),SUMIFS(行动计算!AU978:AU1013,行动计算!F978:F1013,1),"")</f>
        <v>6672354</v>
      </c>
      <c r="Q30" s="7">
        <f>IF(AND(K30=1,L30),SUMIFS(行动计算!AU978:AU1013,行动计算!F978:F1013,2),"")</f>
        <v>642844.12</v>
      </c>
      <c r="R30" s="7">
        <f>IF(AND(K30=1,L30),SUMIFS(行动计算!AU978:AU1013,行动计算!F978:F1013,3),"")</f>
        <v>489818.29000000004</v>
      </c>
      <c r="S30" s="7">
        <f>IF(AND(K30=1,L30),SUMIFS(行动计算!AU978:AU1013,行动计算!F978:F1013,4),"")</f>
        <v>270563.56400000001</v>
      </c>
      <c r="T30" s="8">
        <f t="shared" si="0"/>
        <v>-7.8825434734588473E-2</v>
      </c>
      <c r="U30" s="1">
        <f>INDEX(效果参数!$C$98:$G$98,1,H30)</f>
        <v>0.04</v>
      </c>
      <c r="V30" s="1">
        <f>INDEX(效果参数!$C$97:$G$97,1,G30)</f>
        <v>0.03</v>
      </c>
      <c r="W30" s="1">
        <f>INDEX(效果参数!$C$101:$G$101,1,I30)</f>
        <v>0.02</v>
      </c>
      <c r="X30" s="1">
        <f>INDEX(效果参数!$C$102:$G$102,1,I30)</f>
        <v>0.16</v>
      </c>
      <c r="Y30" s="1">
        <f>INDEX(效果参数!$C$100:$G$100,1,I30)</f>
        <v>0.1</v>
      </c>
      <c r="Z30" s="1">
        <f>INDEX(效果参数!$C$103:$G$103,1,J30)</f>
        <v>0.04</v>
      </c>
      <c r="AA30" s="1">
        <f>INDEX(效果参数!$C$104:$G$104,1,J30)</f>
        <v>4.0000000000000001E-3</v>
      </c>
      <c r="AB30" s="1">
        <f>INDEX(效果参数!$C$30:$H$30,1,D30+1)</f>
        <v>0.3</v>
      </c>
      <c r="AC30" s="1">
        <f>INDEX(效果参数!$C$31:$H$31,1,D30+1)</f>
        <v>0.2</v>
      </c>
      <c r="AD30" s="1">
        <f>INDEX(效果参数!$C$32:$H$32,1,D30+1)</f>
        <v>500</v>
      </c>
      <c r="AE30" s="1">
        <f>INDEX(效果参数!$C$33:$H$33,1,D30+1)</f>
        <v>0.4</v>
      </c>
      <c r="AF30" s="1">
        <f>INDEX(效果参数!$C$34:$H$34,1,D30+1)</f>
        <v>0.4</v>
      </c>
      <c r="AG30" s="1">
        <f>INDEX(效果参数!$C$43:$H$43,1,E30+1)</f>
        <v>0.3</v>
      </c>
      <c r="AH30" s="1">
        <f>INDEX(效果参数!$C$44:$H$44,1,E30+1)</f>
        <v>0.04</v>
      </c>
      <c r="AI30" s="1">
        <f>INDEX(效果参数!$C$45:$H$45,1,E30+1)</f>
        <v>5</v>
      </c>
      <c r="AJ30" s="1">
        <f>INDEX(效果参数!$C$46:$H$46,1,E30+1)</f>
        <v>1</v>
      </c>
      <c r="AK30" s="1">
        <f>INDEX(效果参数!$C$47:$H$47,1,E30+1)</f>
        <v>2</v>
      </c>
      <c r="AL30" s="1">
        <f>INDEX(效果参数!$C$48:$H$48,1,E30+1)</f>
        <v>0.08</v>
      </c>
      <c r="AM30" s="1">
        <f>INDEX(效果参数!$C$49:$H$49,1,E30+1)</f>
        <v>250</v>
      </c>
      <c r="AN30" s="1">
        <f>INDEX(效果参数!$C$50:$H$50,1,E30+1)</f>
        <v>0.15</v>
      </c>
      <c r="AO30" s="1">
        <f>INDEX(效果参数!$C$51:$H$51,1,E30+1)</f>
        <v>0.15</v>
      </c>
      <c r="AP30" s="1">
        <f>INDEX(效果参数!$C$52:$H$52,1,E30+1)</f>
        <v>0.15</v>
      </c>
      <c r="AQ30" s="1">
        <f>INDEX(效果参数!$C$53:$H$53,1,E30+1)</f>
        <v>0.15</v>
      </c>
      <c r="AR30" s="1">
        <f>INDEX(效果参数!$C$56:$H$56,1,F30+1)</f>
        <v>35</v>
      </c>
      <c r="AS30" s="1">
        <f>INDEX(效果参数!$C$57:$H$57,1,F30+1)</f>
        <v>0.01</v>
      </c>
      <c r="AT30" s="1">
        <f>INDEX(效果参数!$C$58:$H$58,1,F30+1)</f>
        <v>7</v>
      </c>
      <c r="AU30" s="1">
        <f>INDEX(效果参数!$C$59:$H$59,1,F30+1)</f>
        <v>0.5</v>
      </c>
      <c r="AV30" s="1">
        <f>INDEX(效果参数!$C$6:$H$6,1,C30+1)</f>
        <v>2</v>
      </c>
      <c r="AW30" s="1">
        <f>INDEX(效果参数!$C$7:$H$7,1,C30+1)</f>
        <v>4</v>
      </c>
      <c r="AX30" s="1">
        <f>INDEX(效果参数!$C$8:$H$8,1,C30+1)</f>
        <v>8</v>
      </c>
      <c r="AY30" s="1">
        <f>INDEX(效果参数!$C$9:$H$9,1,C30+1)</f>
        <v>0.1</v>
      </c>
      <c r="AZ30" s="1">
        <f>INDEX(效果参数!$C$10:$H$10,1,C30+1)</f>
        <v>0.2</v>
      </c>
      <c r="BA30" s="1">
        <f>INDEX(效果参数!$C$11:$H$11,1,C30+1)</f>
        <v>0.6</v>
      </c>
      <c r="BB30" s="1">
        <f>INDEX(效果参数!$C$12:$H$12,1,C30+1)</f>
        <v>1.2</v>
      </c>
      <c r="BC30" s="1">
        <f>INDEX(效果参数!$C$13:$H$13,1,C30+1)</f>
        <v>0.06</v>
      </c>
      <c r="BD30" s="1">
        <f>INDEX(效果参数!$C$14:$H$14,1,C30+1)</f>
        <v>3</v>
      </c>
      <c r="BE30" s="1">
        <f>INDEX(效果参数!$C$15:$H$15,1,C30+1)</f>
        <v>1</v>
      </c>
      <c r="BF30" s="1">
        <f>INDEX(效果参数!$C$16:$H$16,1,C30+1)</f>
        <v>2.5000000000000001E-2</v>
      </c>
      <c r="BG30" s="1">
        <f>INDEX(效果参数!$C$17:$H$17,1,C30+1)</f>
        <v>18</v>
      </c>
      <c r="BH30" s="1">
        <f>INDEX(效果参数!$C$18:$H$18,1,C30+1)</f>
        <v>18</v>
      </c>
      <c r="BI30" s="1">
        <f>INDEX(效果参数!$C$19:$H$19,1,C30+1)</f>
        <v>1</v>
      </c>
      <c r="BJ30" s="1">
        <f>INDEX(效果参数!$C$20:$H$20,1,C30+1)</f>
        <v>1</v>
      </c>
      <c r="BK30" s="1">
        <f>INDEX(效果参数!$C$21:$H$21,1,C30+1)</f>
        <v>0.2</v>
      </c>
      <c r="BL30" s="1">
        <f>INDEX(效果参数!$C$22:$H$22,1,C30+1)</f>
        <v>9</v>
      </c>
      <c r="BM30" s="1">
        <f>INDEX(效果参数!$C$23:$H$23,1,C30+1)</f>
        <v>20</v>
      </c>
      <c r="BN30" s="1">
        <f>INDEX(效果参数!$C$24:$H$24,1,C30+1)</f>
        <v>30</v>
      </c>
      <c r="BO30" s="1">
        <f>INDEX(效果参数!$C$25:$H$25,1,C30+1)</f>
        <v>1.5</v>
      </c>
      <c r="BP30" s="1">
        <f>INDEX(效果参数!$C$26:$H$26,1,C30+1)</f>
        <v>0.6</v>
      </c>
      <c r="BQ30" s="1">
        <f>INDEX(效果参数!$C$27:$H$27,1,C30+1)</f>
        <v>0.8</v>
      </c>
      <c r="BR30" s="1">
        <f>INDEX(效果参数!$C$28:$H$28,1,C30+1)</f>
        <v>1</v>
      </c>
      <c r="BS30" s="1">
        <f>INDEX(效果参数!$C$35:$H$35,1,D30+1)</f>
        <v>2.8</v>
      </c>
      <c r="BT30" s="1">
        <f>INDEX(效果参数!$C$36:$H$36,1,D30+1)</f>
        <v>1.4</v>
      </c>
      <c r="BU30" s="1">
        <f>INDEX(效果参数!$C$37:$H$37,1,D30+1)</f>
        <v>0.8</v>
      </c>
      <c r="BV30" s="1">
        <f>INDEX(效果参数!$C$38:$H$38,1,D30+1)</f>
        <v>3</v>
      </c>
      <c r="BW30" s="1">
        <f>INDEX(效果参数!$C$39:$H$39,1,D30+1)</f>
        <v>1</v>
      </c>
      <c r="BX30" s="1">
        <f>INDEX(效果参数!$C$40:$H$40,1,D30+1)</f>
        <v>2</v>
      </c>
      <c r="BY30" s="1">
        <f>INDEX(效果参数!$C$41:$H$41,1,D30+1)</f>
        <v>1</v>
      </c>
      <c r="BZ30" s="1">
        <f>IF(配置与结果!$H$24=1,AR30,MIN(AR30,MAX(0,配置与结果!$H$25)))</f>
        <v>35</v>
      </c>
      <c r="CA30" s="1">
        <f>ROUNDDOWN(配置与结果!$B$17*(1+0.05+Y30),0)</f>
        <v>2986</v>
      </c>
      <c r="CB30" s="1">
        <f>MIN(AD30,ROUNDDOWN((配置与结果!$B$16+CC30)*AC30,0))</f>
        <v>500</v>
      </c>
      <c r="CC30" s="1">
        <f t="shared" si="1"/>
        <v>238</v>
      </c>
      <c r="CD30" s="1">
        <f>INDEX(效果参数!$C$96:$G$96,1,G30)</f>
        <v>0.12</v>
      </c>
      <c r="CE30" s="1">
        <f>INDEX(效果参数!$C$42:$H$42,1,D30+1)</f>
        <v>8</v>
      </c>
      <c r="CF30" s="1">
        <f>INDEX(效果参数!$C$54:$H$54,1,E30+1)</f>
        <v>15</v>
      </c>
      <c r="CG30" s="1">
        <f>INDEX(效果参数!$C$55:$H$55,1,E30+1)</f>
        <v>1.5</v>
      </c>
      <c r="CH30" s="1">
        <f>INDEX(效果参数!$C$106:$G$106,1,H30)</f>
        <v>0.12</v>
      </c>
    </row>
    <row r="31" spans="1:86" ht="33.950000000000003" customHeight="1">
      <c r="A31" s="1">
        <f>28</f>
        <v>28</v>
      </c>
      <c r="B31" s="1" t="str">
        <f>"立于风暴脊 增幅3"</f>
        <v>立于风暴脊 增幅3</v>
      </c>
      <c r="C31" s="1">
        <f>配置与结果!B6</f>
        <v>0</v>
      </c>
      <c r="D31" s="1">
        <f>配置与结果!B7</f>
        <v>0</v>
      </c>
      <c r="E31" s="1">
        <f>配置与结果!B8</f>
        <v>0</v>
      </c>
      <c r="F31" s="1">
        <f>配置与结果!B9</f>
        <v>0</v>
      </c>
      <c r="G31" s="1">
        <f>3</f>
        <v>3</v>
      </c>
      <c r="H31" s="1">
        <f>配置与结果!D7</f>
        <v>1</v>
      </c>
      <c r="I31" s="1">
        <f>配置与结果!D8</f>
        <v>5</v>
      </c>
      <c r="J31" s="1">
        <f>配置与结果!D9</f>
        <v>1</v>
      </c>
      <c r="K31" s="1">
        <f>INDEX(效果参数!$C$105:$G$105,1,J31)</f>
        <v>1</v>
      </c>
      <c r="L31" s="1" t="b">
        <f>AND(K31=1,INDEX(效果参数!$C$99:$G$99,1,H31)=1,INDEX(效果参数!$C$29:$H$29,1,C31+1)=1)</f>
        <v>1</v>
      </c>
      <c r="M31" s="7">
        <f>IF(AND(K31=1,L31),SUM(行动计算!AU1014:AU1049),"")</f>
        <v>8362784.9740000004</v>
      </c>
      <c r="N31" s="7">
        <f>IF(K31=1,SUMIFS(行动计算!AU1014:AU1049,行动计算!D1014:D1049,1),"")</f>
        <v>3094900.6940000001</v>
      </c>
      <c r="O31" s="7">
        <f>IF(L31,SUMIFS(行动计算!AU1014:AU1049,行动计算!D1014:D1049,2),"")</f>
        <v>5267884.2799999993</v>
      </c>
      <c r="P31" s="7">
        <f>IF(AND(K31=1,L31),SUMIFS(行动计算!AU1014:AU1049,行动计算!F1014:F1049,1),"")</f>
        <v>6959559</v>
      </c>
      <c r="Q31" s="7">
        <f>IF(AND(K31=1,L31),SUMIFS(行动计算!AU1014:AU1049,行动计算!F1014:F1049,2),"")</f>
        <v>642844.12</v>
      </c>
      <c r="R31" s="7">
        <f>IF(AND(K31=1,L31),SUMIFS(行动计算!AU1014:AU1049,行动计算!F1014:F1049,3),"")</f>
        <v>489818.29000000004</v>
      </c>
      <c r="S31" s="7">
        <f>IF(AND(K31=1,L31),SUMIFS(行动计算!AU1014:AU1049,行动计算!F1014:F1049,4),"")</f>
        <v>270563.56400000001</v>
      </c>
      <c r="T31" s="8">
        <f t="shared" si="0"/>
        <v>-4.6064203730890374E-2</v>
      </c>
      <c r="U31" s="1">
        <f>INDEX(效果参数!$C$98:$G$98,1,H31)</f>
        <v>0.04</v>
      </c>
      <c r="V31" s="1">
        <f>INDEX(效果参数!$C$97:$G$97,1,G31)</f>
        <v>4.4999999999999998E-2</v>
      </c>
      <c r="W31" s="1">
        <f>INDEX(效果参数!$C$101:$G$101,1,I31)</f>
        <v>0.02</v>
      </c>
      <c r="X31" s="1">
        <f>INDEX(效果参数!$C$102:$G$102,1,I31)</f>
        <v>0.16</v>
      </c>
      <c r="Y31" s="1">
        <f>INDEX(效果参数!$C$100:$G$100,1,I31)</f>
        <v>0.1</v>
      </c>
      <c r="Z31" s="1">
        <f>INDEX(效果参数!$C$103:$G$103,1,J31)</f>
        <v>0.04</v>
      </c>
      <c r="AA31" s="1">
        <f>INDEX(效果参数!$C$104:$G$104,1,J31)</f>
        <v>4.0000000000000001E-3</v>
      </c>
      <c r="AB31" s="1">
        <f>INDEX(效果参数!$C$30:$H$30,1,D31+1)</f>
        <v>0.3</v>
      </c>
      <c r="AC31" s="1">
        <f>INDEX(效果参数!$C$31:$H$31,1,D31+1)</f>
        <v>0.2</v>
      </c>
      <c r="AD31" s="1">
        <f>INDEX(效果参数!$C$32:$H$32,1,D31+1)</f>
        <v>500</v>
      </c>
      <c r="AE31" s="1">
        <f>INDEX(效果参数!$C$33:$H$33,1,D31+1)</f>
        <v>0.4</v>
      </c>
      <c r="AF31" s="1">
        <f>INDEX(效果参数!$C$34:$H$34,1,D31+1)</f>
        <v>0.4</v>
      </c>
      <c r="AG31" s="1">
        <f>INDEX(效果参数!$C$43:$H$43,1,E31+1)</f>
        <v>0.3</v>
      </c>
      <c r="AH31" s="1">
        <f>INDEX(效果参数!$C$44:$H$44,1,E31+1)</f>
        <v>0.04</v>
      </c>
      <c r="AI31" s="1">
        <f>INDEX(效果参数!$C$45:$H$45,1,E31+1)</f>
        <v>5</v>
      </c>
      <c r="AJ31" s="1">
        <f>INDEX(效果参数!$C$46:$H$46,1,E31+1)</f>
        <v>1</v>
      </c>
      <c r="AK31" s="1">
        <f>INDEX(效果参数!$C$47:$H$47,1,E31+1)</f>
        <v>2</v>
      </c>
      <c r="AL31" s="1">
        <f>INDEX(效果参数!$C$48:$H$48,1,E31+1)</f>
        <v>0.08</v>
      </c>
      <c r="AM31" s="1">
        <f>INDEX(效果参数!$C$49:$H$49,1,E31+1)</f>
        <v>250</v>
      </c>
      <c r="AN31" s="1">
        <f>INDEX(效果参数!$C$50:$H$50,1,E31+1)</f>
        <v>0.15</v>
      </c>
      <c r="AO31" s="1">
        <f>INDEX(效果参数!$C$51:$H$51,1,E31+1)</f>
        <v>0.15</v>
      </c>
      <c r="AP31" s="1">
        <f>INDEX(效果参数!$C$52:$H$52,1,E31+1)</f>
        <v>0.15</v>
      </c>
      <c r="AQ31" s="1">
        <f>INDEX(效果参数!$C$53:$H$53,1,E31+1)</f>
        <v>0.15</v>
      </c>
      <c r="AR31" s="1">
        <f>INDEX(效果参数!$C$56:$H$56,1,F31+1)</f>
        <v>35</v>
      </c>
      <c r="AS31" s="1">
        <f>INDEX(效果参数!$C$57:$H$57,1,F31+1)</f>
        <v>0.01</v>
      </c>
      <c r="AT31" s="1">
        <f>INDEX(效果参数!$C$58:$H$58,1,F31+1)</f>
        <v>7</v>
      </c>
      <c r="AU31" s="1">
        <f>INDEX(效果参数!$C$59:$H$59,1,F31+1)</f>
        <v>0.5</v>
      </c>
      <c r="AV31" s="1">
        <f>INDEX(效果参数!$C$6:$H$6,1,C31+1)</f>
        <v>2</v>
      </c>
      <c r="AW31" s="1">
        <f>INDEX(效果参数!$C$7:$H$7,1,C31+1)</f>
        <v>4</v>
      </c>
      <c r="AX31" s="1">
        <f>INDEX(效果参数!$C$8:$H$8,1,C31+1)</f>
        <v>8</v>
      </c>
      <c r="AY31" s="1">
        <f>INDEX(效果参数!$C$9:$H$9,1,C31+1)</f>
        <v>0.1</v>
      </c>
      <c r="AZ31" s="1">
        <f>INDEX(效果参数!$C$10:$H$10,1,C31+1)</f>
        <v>0.2</v>
      </c>
      <c r="BA31" s="1">
        <f>INDEX(效果参数!$C$11:$H$11,1,C31+1)</f>
        <v>0.6</v>
      </c>
      <c r="BB31" s="1">
        <f>INDEX(效果参数!$C$12:$H$12,1,C31+1)</f>
        <v>1.2</v>
      </c>
      <c r="BC31" s="1">
        <f>INDEX(效果参数!$C$13:$H$13,1,C31+1)</f>
        <v>0.06</v>
      </c>
      <c r="BD31" s="1">
        <f>INDEX(效果参数!$C$14:$H$14,1,C31+1)</f>
        <v>3</v>
      </c>
      <c r="BE31" s="1">
        <f>INDEX(效果参数!$C$15:$H$15,1,C31+1)</f>
        <v>1</v>
      </c>
      <c r="BF31" s="1">
        <f>INDEX(效果参数!$C$16:$H$16,1,C31+1)</f>
        <v>2.5000000000000001E-2</v>
      </c>
      <c r="BG31" s="1">
        <f>INDEX(效果参数!$C$17:$H$17,1,C31+1)</f>
        <v>18</v>
      </c>
      <c r="BH31" s="1">
        <f>INDEX(效果参数!$C$18:$H$18,1,C31+1)</f>
        <v>18</v>
      </c>
      <c r="BI31" s="1">
        <f>INDEX(效果参数!$C$19:$H$19,1,C31+1)</f>
        <v>1</v>
      </c>
      <c r="BJ31" s="1">
        <f>INDEX(效果参数!$C$20:$H$20,1,C31+1)</f>
        <v>1</v>
      </c>
      <c r="BK31" s="1">
        <f>INDEX(效果参数!$C$21:$H$21,1,C31+1)</f>
        <v>0.2</v>
      </c>
      <c r="BL31" s="1">
        <f>INDEX(效果参数!$C$22:$H$22,1,C31+1)</f>
        <v>9</v>
      </c>
      <c r="BM31" s="1">
        <f>INDEX(效果参数!$C$23:$H$23,1,C31+1)</f>
        <v>20</v>
      </c>
      <c r="BN31" s="1">
        <f>INDEX(效果参数!$C$24:$H$24,1,C31+1)</f>
        <v>30</v>
      </c>
      <c r="BO31" s="1">
        <f>INDEX(效果参数!$C$25:$H$25,1,C31+1)</f>
        <v>1.5</v>
      </c>
      <c r="BP31" s="1">
        <f>INDEX(效果参数!$C$26:$H$26,1,C31+1)</f>
        <v>0.6</v>
      </c>
      <c r="BQ31" s="1">
        <f>INDEX(效果参数!$C$27:$H$27,1,C31+1)</f>
        <v>0.8</v>
      </c>
      <c r="BR31" s="1">
        <f>INDEX(效果参数!$C$28:$H$28,1,C31+1)</f>
        <v>1</v>
      </c>
      <c r="BS31" s="1">
        <f>INDEX(效果参数!$C$35:$H$35,1,D31+1)</f>
        <v>2.8</v>
      </c>
      <c r="BT31" s="1">
        <f>INDEX(效果参数!$C$36:$H$36,1,D31+1)</f>
        <v>1.4</v>
      </c>
      <c r="BU31" s="1">
        <f>INDEX(效果参数!$C$37:$H$37,1,D31+1)</f>
        <v>0.8</v>
      </c>
      <c r="BV31" s="1">
        <f>INDEX(效果参数!$C$38:$H$38,1,D31+1)</f>
        <v>3</v>
      </c>
      <c r="BW31" s="1">
        <f>INDEX(效果参数!$C$39:$H$39,1,D31+1)</f>
        <v>1</v>
      </c>
      <c r="BX31" s="1">
        <f>INDEX(效果参数!$C$40:$H$40,1,D31+1)</f>
        <v>2</v>
      </c>
      <c r="BY31" s="1">
        <f>INDEX(效果参数!$C$41:$H$41,1,D31+1)</f>
        <v>1</v>
      </c>
      <c r="BZ31" s="1">
        <f>IF(配置与结果!$H$24=1,AR31,MIN(AR31,MAX(0,配置与结果!$H$25)))</f>
        <v>35</v>
      </c>
      <c r="CA31" s="1">
        <f>ROUNDDOWN(配置与结果!$B$17*(1+0.05+Y31),0)</f>
        <v>2986</v>
      </c>
      <c r="CB31" s="1">
        <f>MIN(AD31,ROUNDDOWN((配置与结果!$B$16+CC31)*AC31,0))</f>
        <v>500</v>
      </c>
      <c r="CC31" s="1">
        <f t="shared" si="1"/>
        <v>238</v>
      </c>
      <c r="CD31" s="1">
        <f>INDEX(效果参数!$C$96:$G$96,1,G31)</f>
        <v>0.12</v>
      </c>
      <c r="CE31" s="1">
        <f>INDEX(效果参数!$C$42:$H$42,1,D31+1)</f>
        <v>8</v>
      </c>
      <c r="CF31" s="1">
        <f>INDEX(效果参数!$C$54:$H$54,1,E31+1)</f>
        <v>15</v>
      </c>
      <c r="CG31" s="1">
        <f>INDEX(效果参数!$C$55:$H$55,1,E31+1)</f>
        <v>1.5</v>
      </c>
      <c r="CH31" s="1">
        <f>INDEX(效果参数!$C$106:$G$106,1,H31)</f>
        <v>0.12</v>
      </c>
    </row>
    <row r="32" spans="1:86" ht="33.950000000000003" customHeight="1">
      <c r="A32" s="1">
        <f>29</f>
        <v>29</v>
      </c>
      <c r="B32" s="1" t="str">
        <f>"立于风暴脊 增幅4"</f>
        <v>立于风暴脊 增幅4</v>
      </c>
      <c r="C32" s="1">
        <f>配置与结果!B6</f>
        <v>0</v>
      </c>
      <c r="D32" s="1">
        <f>配置与结果!B7</f>
        <v>0</v>
      </c>
      <c r="E32" s="1">
        <f>配置与结果!B8</f>
        <v>0</v>
      </c>
      <c r="F32" s="1">
        <f>配置与结果!B9</f>
        <v>0</v>
      </c>
      <c r="G32" s="1">
        <f>4</f>
        <v>4</v>
      </c>
      <c r="H32" s="1">
        <f>配置与结果!D7</f>
        <v>1</v>
      </c>
      <c r="I32" s="1">
        <f>配置与结果!D8</f>
        <v>5</v>
      </c>
      <c r="J32" s="1">
        <f>配置与结果!D9</f>
        <v>1</v>
      </c>
      <c r="K32" s="1">
        <f>INDEX(效果参数!$C$105:$G$105,1,J32)</f>
        <v>1</v>
      </c>
      <c r="L32" s="1" t="b">
        <f>AND(K32=1,INDEX(效果参数!$C$99:$G$99,1,H32)=1,INDEX(效果参数!$C$29:$H$29,1,C32+1)=1)</f>
        <v>1</v>
      </c>
      <c r="M32" s="7">
        <f>IF(AND(K32=1,L32),SUM(行动计算!AU1050:AU1085),"")</f>
        <v>8474948.9739999995</v>
      </c>
      <c r="N32" s="7">
        <f>IF(K32=1,SUMIFS(行动计算!AU1050:AU1085,行动计算!D1050:D1085,1),"")</f>
        <v>3133250.6940000001</v>
      </c>
      <c r="O32" s="7">
        <f>IF(L32,SUMIFS(行动计算!AU1050:AU1085,行动计算!D1050:D1085,2),"")</f>
        <v>5341698.2799999993</v>
      </c>
      <c r="P32" s="7">
        <f>IF(AND(K32=1,L32),SUMIFS(行动计算!AU1050:AU1085,行动计算!F1050:F1085,1),"")</f>
        <v>7071723</v>
      </c>
      <c r="Q32" s="7">
        <f>IF(AND(K32=1,L32),SUMIFS(行动计算!AU1050:AU1085,行动计算!F1050:F1085,2),"")</f>
        <v>642844.12</v>
      </c>
      <c r="R32" s="7">
        <f>IF(AND(K32=1,L32),SUMIFS(行动计算!AU1050:AU1085,行动计算!F1050:F1085,3),"")</f>
        <v>489818.29000000004</v>
      </c>
      <c r="S32" s="7">
        <f>IF(AND(K32=1,L32),SUMIFS(行动计算!AU1050:AU1085,行动计算!F1050:F1085,4),"")</f>
        <v>270563.56400000001</v>
      </c>
      <c r="T32" s="8">
        <f t="shared" si="0"/>
        <v>-3.326975128647347E-2</v>
      </c>
      <c r="U32" s="1">
        <f>INDEX(效果参数!$C$98:$G$98,1,H32)</f>
        <v>0.04</v>
      </c>
      <c r="V32" s="1">
        <f>INDEX(效果参数!$C$97:$G$97,1,G32)</f>
        <v>4.4999999999999998E-2</v>
      </c>
      <c r="W32" s="1">
        <f>INDEX(效果参数!$C$101:$G$101,1,I32)</f>
        <v>0.02</v>
      </c>
      <c r="X32" s="1">
        <f>INDEX(效果参数!$C$102:$G$102,1,I32)</f>
        <v>0.16</v>
      </c>
      <c r="Y32" s="1">
        <f>INDEX(效果参数!$C$100:$G$100,1,I32)</f>
        <v>0.1</v>
      </c>
      <c r="Z32" s="1">
        <f>INDEX(效果参数!$C$103:$G$103,1,J32)</f>
        <v>0.04</v>
      </c>
      <c r="AA32" s="1">
        <f>INDEX(效果参数!$C$104:$G$104,1,J32)</f>
        <v>4.0000000000000001E-3</v>
      </c>
      <c r="AB32" s="1">
        <f>INDEX(效果参数!$C$30:$H$30,1,D32+1)</f>
        <v>0.3</v>
      </c>
      <c r="AC32" s="1">
        <f>INDEX(效果参数!$C$31:$H$31,1,D32+1)</f>
        <v>0.2</v>
      </c>
      <c r="AD32" s="1">
        <f>INDEX(效果参数!$C$32:$H$32,1,D32+1)</f>
        <v>500</v>
      </c>
      <c r="AE32" s="1">
        <f>INDEX(效果参数!$C$33:$H$33,1,D32+1)</f>
        <v>0.4</v>
      </c>
      <c r="AF32" s="1">
        <f>INDEX(效果参数!$C$34:$H$34,1,D32+1)</f>
        <v>0.4</v>
      </c>
      <c r="AG32" s="1">
        <f>INDEX(效果参数!$C$43:$H$43,1,E32+1)</f>
        <v>0.3</v>
      </c>
      <c r="AH32" s="1">
        <f>INDEX(效果参数!$C$44:$H$44,1,E32+1)</f>
        <v>0.04</v>
      </c>
      <c r="AI32" s="1">
        <f>INDEX(效果参数!$C$45:$H$45,1,E32+1)</f>
        <v>5</v>
      </c>
      <c r="AJ32" s="1">
        <f>INDEX(效果参数!$C$46:$H$46,1,E32+1)</f>
        <v>1</v>
      </c>
      <c r="AK32" s="1">
        <f>INDEX(效果参数!$C$47:$H$47,1,E32+1)</f>
        <v>2</v>
      </c>
      <c r="AL32" s="1">
        <f>INDEX(效果参数!$C$48:$H$48,1,E32+1)</f>
        <v>0.08</v>
      </c>
      <c r="AM32" s="1">
        <f>INDEX(效果参数!$C$49:$H$49,1,E32+1)</f>
        <v>250</v>
      </c>
      <c r="AN32" s="1">
        <f>INDEX(效果参数!$C$50:$H$50,1,E32+1)</f>
        <v>0.15</v>
      </c>
      <c r="AO32" s="1">
        <f>INDEX(效果参数!$C$51:$H$51,1,E32+1)</f>
        <v>0.15</v>
      </c>
      <c r="AP32" s="1">
        <f>INDEX(效果参数!$C$52:$H$52,1,E32+1)</f>
        <v>0.15</v>
      </c>
      <c r="AQ32" s="1">
        <f>INDEX(效果参数!$C$53:$H$53,1,E32+1)</f>
        <v>0.15</v>
      </c>
      <c r="AR32" s="1">
        <f>INDEX(效果参数!$C$56:$H$56,1,F32+1)</f>
        <v>35</v>
      </c>
      <c r="AS32" s="1">
        <f>INDEX(效果参数!$C$57:$H$57,1,F32+1)</f>
        <v>0.01</v>
      </c>
      <c r="AT32" s="1">
        <f>INDEX(效果参数!$C$58:$H$58,1,F32+1)</f>
        <v>7</v>
      </c>
      <c r="AU32" s="1">
        <f>INDEX(效果参数!$C$59:$H$59,1,F32+1)</f>
        <v>0.5</v>
      </c>
      <c r="AV32" s="1">
        <f>INDEX(效果参数!$C$6:$H$6,1,C32+1)</f>
        <v>2</v>
      </c>
      <c r="AW32" s="1">
        <f>INDEX(效果参数!$C$7:$H$7,1,C32+1)</f>
        <v>4</v>
      </c>
      <c r="AX32" s="1">
        <f>INDEX(效果参数!$C$8:$H$8,1,C32+1)</f>
        <v>8</v>
      </c>
      <c r="AY32" s="1">
        <f>INDEX(效果参数!$C$9:$H$9,1,C32+1)</f>
        <v>0.1</v>
      </c>
      <c r="AZ32" s="1">
        <f>INDEX(效果参数!$C$10:$H$10,1,C32+1)</f>
        <v>0.2</v>
      </c>
      <c r="BA32" s="1">
        <f>INDEX(效果参数!$C$11:$H$11,1,C32+1)</f>
        <v>0.6</v>
      </c>
      <c r="BB32" s="1">
        <f>INDEX(效果参数!$C$12:$H$12,1,C32+1)</f>
        <v>1.2</v>
      </c>
      <c r="BC32" s="1">
        <f>INDEX(效果参数!$C$13:$H$13,1,C32+1)</f>
        <v>0.06</v>
      </c>
      <c r="BD32" s="1">
        <f>INDEX(效果参数!$C$14:$H$14,1,C32+1)</f>
        <v>3</v>
      </c>
      <c r="BE32" s="1">
        <f>INDEX(效果参数!$C$15:$H$15,1,C32+1)</f>
        <v>1</v>
      </c>
      <c r="BF32" s="1">
        <f>INDEX(效果参数!$C$16:$H$16,1,C32+1)</f>
        <v>2.5000000000000001E-2</v>
      </c>
      <c r="BG32" s="1">
        <f>INDEX(效果参数!$C$17:$H$17,1,C32+1)</f>
        <v>18</v>
      </c>
      <c r="BH32" s="1">
        <f>INDEX(效果参数!$C$18:$H$18,1,C32+1)</f>
        <v>18</v>
      </c>
      <c r="BI32" s="1">
        <f>INDEX(效果参数!$C$19:$H$19,1,C32+1)</f>
        <v>1</v>
      </c>
      <c r="BJ32" s="1">
        <f>INDEX(效果参数!$C$20:$H$20,1,C32+1)</f>
        <v>1</v>
      </c>
      <c r="BK32" s="1">
        <f>INDEX(效果参数!$C$21:$H$21,1,C32+1)</f>
        <v>0.2</v>
      </c>
      <c r="BL32" s="1">
        <f>INDEX(效果参数!$C$22:$H$22,1,C32+1)</f>
        <v>9</v>
      </c>
      <c r="BM32" s="1">
        <f>INDEX(效果参数!$C$23:$H$23,1,C32+1)</f>
        <v>20</v>
      </c>
      <c r="BN32" s="1">
        <f>INDEX(效果参数!$C$24:$H$24,1,C32+1)</f>
        <v>30</v>
      </c>
      <c r="BO32" s="1">
        <f>INDEX(效果参数!$C$25:$H$25,1,C32+1)</f>
        <v>1.5</v>
      </c>
      <c r="BP32" s="1">
        <f>INDEX(效果参数!$C$26:$H$26,1,C32+1)</f>
        <v>0.6</v>
      </c>
      <c r="BQ32" s="1">
        <f>INDEX(效果参数!$C$27:$H$27,1,C32+1)</f>
        <v>0.8</v>
      </c>
      <c r="BR32" s="1">
        <f>INDEX(效果参数!$C$28:$H$28,1,C32+1)</f>
        <v>1</v>
      </c>
      <c r="BS32" s="1">
        <f>INDEX(效果参数!$C$35:$H$35,1,D32+1)</f>
        <v>2.8</v>
      </c>
      <c r="BT32" s="1">
        <f>INDEX(效果参数!$C$36:$H$36,1,D32+1)</f>
        <v>1.4</v>
      </c>
      <c r="BU32" s="1">
        <f>INDEX(效果参数!$C$37:$H$37,1,D32+1)</f>
        <v>0.8</v>
      </c>
      <c r="BV32" s="1">
        <f>INDEX(效果参数!$C$38:$H$38,1,D32+1)</f>
        <v>3</v>
      </c>
      <c r="BW32" s="1">
        <f>INDEX(效果参数!$C$39:$H$39,1,D32+1)</f>
        <v>1</v>
      </c>
      <c r="BX32" s="1">
        <f>INDEX(效果参数!$C$40:$H$40,1,D32+1)</f>
        <v>2</v>
      </c>
      <c r="BY32" s="1">
        <f>INDEX(效果参数!$C$41:$H$41,1,D32+1)</f>
        <v>1</v>
      </c>
      <c r="BZ32" s="1">
        <f>IF(配置与结果!$H$24=1,AR32,MIN(AR32,MAX(0,配置与结果!$H$25)))</f>
        <v>35</v>
      </c>
      <c r="CA32" s="1">
        <f>ROUNDDOWN(配置与结果!$B$17*(1+0.05+Y32),0)</f>
        <v>2986</v>
      </c>
      <c r="CB32" s="1">
        <f>MIN(AD32,ROUNDDOWN((配置与结果!$B$16+CC32)*AC32,0))</f>
        <v>500</v>
      </c>
      <c r="CC32" s="1">
        <f t="shared" si="1"/>
        <v>238</v>
      </c>
      <c r="CD32" s="1">
        <f>INDEX(效果参数!$C$96:$G$96,1,G32)</f>
        <v>0.16</v>
      </c>
      <c r="CE32" s="1">
        <f>INDEX(效果参数!$C$42:$H$42,1,D32+1)</f>
        <v>8</v>
      </c>
      <c r="CF32" s="1">
        <f>INDEX(效果参数!$C$54:$H$54,1,E32+1)</f>
        <v>15</v>
      </c>
      <c r="CG32" s="1">
        <f>INDEX(效果参数!$C$55:$H$55,1,E32+1)</f>
        <v>1.5</v>
      </c>
      <c r="CH32" s="1">
        <f>INDEX(效果参数!$C$106:$G$106,1,H32)</f>
        <v>0.12</v>
      </c>
    </row>
    <row r="33" spans="1:86" ht="33.950000000000003" customHeight="1">
      <c r="A33" s="1">
        <f>30</f>
        <v>30</v>
      </c>
      <c r="B33" s="1" t="str">
        <f>"立于风暴脊 增幅5"</f>
        <v>立于风暴脊 增幅5</v>
      </c>
      <c r="C33" s="1">
        <f>配置与结果!B6</f>
        <v>0</v>
      </c>
      <c r="D33" s="1">
        <f>配置与结果!B7</f>
        <v>0</v>
      </c>
      <c r="E33" s="1">
        <f>配置与结果!B8</f>
        <v>0</v>
      </c>
      <c r="F33" s="1">
        <f>配置与结果!B9</f>
        <v>0</v>
      </c>
      <c r="G33" s="1">
        <f>5</f>
        <v>5</v>
      </c>
      <c r="H33" s="1">
        <f>配置与结果!D7</f>
        <v>1</v>
      </c>
      <c r="I33" s="1">
        <f>配置与结果!D8</f>
        <v>5</v>
      </c>
      <c r="J33" s="1">
        <f>配置与结果!D9</f>
        <v>1</v>
      </c>
      <c r="K33" s="1">
        <f>INDEX(效果参数!$C$105:$G$105,1,J33)</f>
        <v>1</v>
      </c>
      <c r="L33" s="1" t="b">
        <f>AND(K33=1,INDEX(效果参数!$C$99:$G$99,1,H33)=1,INDEX(效果参数!$C$29:$H$29,1,C33+1)=1)</f>
        <v>1</v>
      </c>
      <c r="M33" s="7">
        <f>IF(AND(K33=1,L33),SUM(行动计算!AU1086:AU1121),"")</f>
        <v>8766611.9739999995</v>
      </c>
      <c r="N33" s="7">
        <f>IF(K33=1,SUMIFS(行动计算!AU1086:AU1121,行动计算!D1086:D1121,1),"")</f>
        <v>3133250.6940000001</v>
      </c>
      <c r="O33" s="7">
        <f>IF(L33,SUMIFS(行动计算!AU1086:AU1121,行动计算!D1086:D1121,2),"")</f>
        <v>5633361.2799999993</v>
      </c>
      <c r="P33" s="7">
        <f>IF(AND(K33=1,L33),SUMIFS(行动计算!AU1086:AU1121,行动计算!F1086:F1121,1),"")</f>
        <v>7363386</v>
      </c>
      <c r="Q33" s="7">
        <f>IF(AND(K33=1,L33),SUMIFS(行动计算!AU1086:AU1121,行动计算!F1086:F1121,2),"")</f>
        <v>642844.12</v>
      </c>
      <c r="R33" s="7">
        <f>IF(AND(K33=1,L33),SUMIFS(行动计算!AU1086:AU1121,行动计算!F1086:F1121,3),"")</f>
        <v>489818.29000000004</v>
      </c>
      <c r="S33" s="7">
        <f>IF(AND(K33=1,L33),SUMIFS(行动计算!AU1086:AU1121,行动计算!F1086:F1121,4),"")</f>
        <v>270563.56400000001</v>
      </c>
      <c r="T33" s="8">
        <f t="shared" si="0"/>
        <v>0</v>
      </c>
      <c r="U33" s="1">
        <f>INDEX(效果参数!$C$98:$G$98,1,H33)</f>
        <v>0.04</v>
      </c>
      <c r="V33" s="1">
        <f>INDEX(效果参数!$C$97:$G$97,1,G33)</f>
        <v>0.06</v>
      </c>
      <c r="W33" s="1">
        <f>INDEX(效果参数!$C$101:$G$101,1,I33)</f>
        <v>0.02</v>
      </c>
      <c r="X33" s="1">
        <f>INDEX(效果参数!$C$102:$G$102,1,I33)</f>
        <v>0.16</v>
      </c>
      <c r="Y33" s="1">
        <f>INDEX(效果参数!$C$100:$G$100,1,I33)</f>
        <v>0.1</v>
      </c>
      <c r="Z33" s="1">
        <f>INDEX(效果参数!$C$103:$G$103,1,J33)</f>
        <v>0.04</v>
      </c>
      <c r="AA33" s="1">
        <f>INDEX(效果参数!$C$104:$G$104,1,J33)</f>
        <v>4.0000000000000001E-3</v>
      </c>
      <c r="AB33" s="1">
        <f>INDEX(效果参数!$C$30:$H$30,1,D33+1)</f>
        <v>0.3</v>
      </c>
      <c r="AC33" s="1">
        <f>INDEX(效果参数!$C$31:$H$31,1,D33+1)</f>
        <v>0.2</v>
      </c>
      <c r="AD33" s="1">
        <f>INDEX(效果参数!$C$32:$H$32,1,D33+1)</f>
        <v>500</v>
      </c>
      <c r="AE33" s="1">
        <f>INDEX(效果参数!$C$33:$H$33,1,D33+1)</f>
        <v>0.4</v>
      </c>
      <c r="AF33" s="1">
        <f>INDEX(效果参数!$C$34:$H$34,1,D33+1)</f>
        <v>0.4</v>
      </c>
      <c r="AG33" s="1">
        <f>INDEX(效果参数!$C$43:$H$43,1,E33+1)</f>
        <v>0.3</v>
      </c>
      <c r="AH33" s="1">
        <f>INDEX(效果参数!$C$44:$H$44,1,E33+1)</f>
        <v>0.04</v>
      </c>
      <c r="AI33" s="1">
        <f>INDEX(效果参数!$C$45:$H$45,1,E33+1)</f>
        <v>5</v>
      </c>
      <c r="AJ33" s="1">
        <f>INDEX(效果参数!$C$46:$H$46,1,E33+1)</f>
        <v>1</v>
      </c>
      <c r="AK33" s="1">
        <f>INDEX(效果参数!$C$47:$H$47,1,E33+1)</f>
        <v>2</v>
      </c>
      <c r="AL33" s="1">
        <f>INDEX(效果参数!$C$48:$H$48,1,E33+1)</f>
        <v>0.08</v>
      </c>
      <c r="AM33" s="1">
        <f>INDEX(效果参数!$C$49:$H$49,1,E33+1)</f>
        <v>250</v>
      </c>
      <c r="AN33" s="1">
        <f>INDEX(效果参数!$C$50:$H$50,1,E33+1)</f>
        <v>0.15</v>
      </c>
      <c r="AO33" s="1">
        <f>INDEX(效果参数!$C$51:$H$51,1,E33+1)</f>
        <v>0.15</v>
      </c>
      <c r="AP33" s="1">
        <f>INDEX(效果参数!$C$52:$H$52,1,E33+1)</f>
        <v>0.15</v>
      </c>
      <c r="AQ33" s="1">
        <f>INDEX(效果参数!$C$53:$H$53,1,E33+1)</f>
        <v>0.15</v>
      </c>
      <c r="AR33" s="1">
        <f>INDEX(效果参数!$C$56:$H$56,1,F33+1)</f>
        <v>35</v>
      </c>
      <c r="AS33" s="1">
        <f>INDEX(效果参数!$C$57:$H$57,1,F33+1)</f>
        <v>0.01</v>
      </c>
      <c r="AT33" s="1">
        <f>INDEX(效果参数!$C$58:$H$58,1,F33+1)</f>
        <v>7</v>
      </c>
      <c r="AU33" s="1">
        <f>INDEX(效果参数!$C$59:$H$59,1,F33+1)</f>
        <v>0.5</v>
      </c>
      <c r="AV33" s="1">
        <f>INDEX(效果参数!$C$6:$H$6,1,C33+1)</f>
        <v>2</v>
      </c>
      <c r="AW33" s="1">
        <f>INDEX(效果参数!$C$7:$H$7,1,C33+1)</f>
        <v>4</v>
      </c>
      <c r="AX33" s="1">
        <f>INDEX(效果参数!$C$8:$H$8,1,C33+1)</f>
        <v>8</v>
      </c>
      <c r="AY33" s="1">
        <f>INDEX(效果参数!$C$9:$H$9,1,C33+1)</f>
        <v>0.1</v>
      </c>
      <c r="AZ33" s="1">
        <f>INDEX(效果参数!$C$10:$H$10,1,C33+1)</f>
        <v>0.2</v>
      </c>
      <c r="BA33" s="1">
        <f>INDEX(效果参数!$C$11:$H$11,1,C33+1)</f>
        <v>0.6</v>
      </c>
      <c r="BB33" s="1">
        <f>INDEX(效果参数!$C$12:$H$12,1,C33+1)</f>
        <v>1.2</v>
      </c>
      <c r="BC33" s="1">
        <f>INDEX(效果参数!$C$13:$H$13,1,C33+1)</f>
        <v>0.06</v>
      </c>
      <c r="BD33" s="1">
        <f>INDEX(效果参数!$C$14:$H$14,1,C33+1)</f>
        <v>3</v>
      </c>
      <c r="BE33" s="1">
        <f>INDEX(效果参数!$C$15:$H$15,1,C33+1)</f>
        <v>1</v>
      </c>
      <c r="BF33" s="1">
        <f>INDEX(效果参数!$C$16:$H$16,1,C33+1)</f>
        <v>2.5000000000000001E-2</v>
      </c>
      <c r="BG33" s="1">
        <f>INDEX(效果参数!$C$17:$H$17,1,C33+1)</f>
        <v>18</v>
      </c>
      <c r="BH33" s="1">
        <f>INDEX(效果参数!$C$18:$H$18,1,C33+1)</f>
        <v>18</v>
      </c>
      <c r="BI33" s="1">
        <f>INDEX(效果参数!$C$19:$H$19,1,C33+1)</f>
        <v>1</v>
      </c>
      <c r="BJ33" s="1">
        <f>INDEX(效果参数!$C$20:$H$20,1,C33+1)</f>
        <v>1</v>
      </c>
      <c r="BK33" s="1">
        <f>INDEX(效果参数!$C$21:$H$21,1,C33+1)</f>
        <v>0.2</v>
      </c>
      <c r="BL33" s="1">
        <f>INDEX(效果参数!$C$22:$H$22,1,C33+1)</f>
        <v>9</v>
      </c>
      <c r="BM33" s="1">
        <f>INDEX(效果参数!$C$23:$H$23,1,C33+1)</f>
        <v>20</v>
      </c>
      <c r="BN33" s="1">
        <f>INDEX(效果参数!$C$24:$H$24,1,C33+1)</f>
        <v>30</v>
      </c>
      <c r="BO33" s="1">
        <f>INDEX(效果参数!$C$25:$H$25,1,C33+1)</f>
        <v>1.5</v>
      </c>
      <c r="BP33" s="1">
        <f>INDEX(效果参数!$C$26:$H$26,1,C33+1)</f>
        <v>0.6</v>
      </c>
      <c r="BQ33" s="1">
        <f>INDEX(效果参数!$C$27:$H$27,1,C33+1)</f>
        <v>0.8</v>
      </c>
      <c r="BR33" s="1">
        <f>INDEX(效果参数!$C$28:$H$28,1,C33+1)</f>
        <v>1</v>
      </c>
      <c r="BS33" s="1">
        <f>INDEX(效果参数!$C$35:$H$35,1,D33+1)</f>
        <v>2.8</v>
      </c>
      <c r="BT33" s="1">
        <f>INDEX(效果参数!$C$36:$H$36,1,D33+1)</f>
        <v>1.4</v>
      </c>
      <c r="BU33" s="1">
        <f>INDEX(效果参数!$C$37:$H$37,1,D33+1)</f>
        <v>0.8</v>
      </c>
      <c r="BV33" s="1">
        <f>INDEX(效果参数!$C$38:$H$38,1,D33+1)</f>
        <v>3</v>
      </c>
      <c r="BW33" s="1">
        <f>INDEX(效果参数!$C$39:$H$39,1,D33+1)</f>
        <v>1</v>
      </c>
      <c r="BX33" s="1">
        <f>INDEX(效果参数!$C$40:$H$40,1,D33+1)</f>
        <v>2</v>
      </c>
      <c r="BY33" s="1">
        <f>INDEX(效果参数!$C$41:$H$41,1,D33+1)</f>
        <v>1</v>
      </c>
      <c r="BZ33" s="1">
        <f>IF(配置与结果!$H$24=1,AR33,MIN(AR33,MAX(0,配置与结果!$H$25)))</f>
        <v>35</v>
      </c>
      <c r="CA33" s="1">
        <f>ROUNDDOWN(配置与结果!$B$17*(1+0.05+Y33),0)</f>
        <v>2986</v>
      </c>
      <c r="CB33" s="1">
        <f>MIN(AD33,ROUNDDOWN((配置与结果!$B$16+CC33)*AC33,0))</f>
        <v>500</v>
      </c>
      <c r="CC33" s="1">
        <f t="shared" si="1"/>
        <v>238</v>
      </c>
      <c r="CD33" s="1">
        <f>INDEX(效果参数!$C$96:$G$96,1,G33)</f>
        <v>0.16</v>
      </c>
      <c r="CE33" s="1">
        <f>INDEX(效果参数!$C$42:$H$42,1,D33+1)</f>
        <v>8</v>
      </c>
      <c r="CF33" s="1">
        <f>INDEX(效果参数!$C$54:$H$54,1,E33+1)</f>
        <v>15</v>
      </c>
      <c r="CG33" s="1">
        <f>INDEX(效果参数!$C$55:$H$55,1,E33+1)</f>
        <v>1.5</v>
      </c>
      <c r="CH33" s="1">
        <f>INDEX(效果参数!$C$106:$G$106,1,H33)</f>
        <v>0.12</v>
      </c>
    </row>
    <row r="34" spans="1:86" ht="33.950000000000003" customHeight="1">
      <c r="A34" s="1">
        <f>31</f>
        <v>31</v>
      </c>
      <c r="B34" s="1" t="str">
        <f>"灵知当齐一 增幅1"</f>
        <v>灵知当齐一 增幅1</v>
      </c>
      <c r="C34" s="1">
        <f>配置与结果!B6</f>
        <v>0</v>
      </c>
      <c r="D34" s="1">
        <f>配置与结果!B7</f>
        <v>0</v>
      </c>
      <c r="E34" s="1">
        <f>配置与结果!B8</f>
        <v>0</v>
      </c>
      <c r="F34" s="1">
        <f>配置与结果!B9</f>
        <v>0</v>
      </c>
      <c r="G34" s="1">
        <f>配置与结果!D6</f>
        <v>5</v>
      </c>
      <c r="H34" s="1">
        <f>1</f>
        <v>1</v>
      </c>
      <c r="I34" s="1">
        <f>配置与结果!D8</f>
        <v>5</v>
      </c>
      <c r="J34" s="1">
        <f>配置与结果!D9</f>
        <v>1</v>
      </c>
      <c r="K34" s="1">
        <f>INDEX(效果参数!$C$105:$G$105,1,J34)</f>
        <v>1</v>
      </c>
      <c r="L34" s="1" t="b">
        <f>AND(K34=1,INDEX(效果参数!$C$99:$G$99,1,H34)=1,INDEX(效果参数!$C$29:$H$29,1,C34+1)=1)</f>
        <v>1</v>
      </c>
      <c r="M34" s="7">
        <f>IF(AND(K34=1,L34),SUM(行动计算!AU1122:AU1157),"")</f>
        <v>8766611.9739999995</v>
      </c>
      <c r="N34" s="7">
        <f>IF(K34=1,SUMIFS(行动计算!AU1122:AU1157,行动计算!D1122:D1157,1),"")</f>
        <v>3133250.6940000001</v>
      </c>
      <c r="O34" s="7">
        <f>IF(L34,SUMIFS(行动计算!AU1122:AU1157,行动计算!D1122:D1157,2),"")</f>
        <v>5633361.2799999993</v>
      </c>
      <c r="P34" s="7">
        <f>IF(AND(K34=1,L34),SUMIFS(行动计算!AU1122:AU1157,行动计算!F1122:F1157,1),"")</f>
        <v>7363386</v>
      </c>
      <c r="Q34" s="7">
        <f>IF(AND(K34=1,L34),SUMIFS(行动计算!AU1122:AU1157,行动计算!F1122:F1157,2),"")</f>
        <v>642844.12</v>
      </c>
      <c r="R34" s="7">
        <f>IF(AND(K34=1,L34),SUMIFS(行动计算!AU1122:AU1157,行动计算!F1122:F1157,3),"")</f>
        <v>489818.29000000004</v>
      </c>
      <c r="S34" s="7">
        <f>IF(AND(K34=1,L34),SUMIFS(行动计算!AU1122:AU1157,行动计算!F1122:F1157,4),"")</f>
        <v>270563.56400000001</v>
      </c>
      <c r="T34" s="8">
        <f t="shared" si="0"/>
        <v>0</v>
      </c>
      <c r="U34" s="1">
        <f>INDEX(效果参数!$C$98:$G$98,1,H34)</f>
        <v>0.04</v>
      </c>
      <c r="V34" s="1">
        <f>INDEX(效果参数!$C$97:$G$97,1,G34)</f>
        <v>0.06</v>
      </c>
      <c r="W34" s="1">
        <f>INDEX(效果参数!$C$101:$G$101,1,I34)</f>
        <v>0.02</v>
      </c>
      <c r="X34" s="1">
        <f>INDEX(效果参数!$C$102:$G$102,1,I34)</f>
        <v>0.16</v>
      </c>
      <c r="Y34" s="1">
        <f>INDEX(效果参数!$C$100:$G$100,1,I34)</f>
        <v>0.1</v>
      </c>
      <c r="Z34" s="1">
        <f>INDEX(效果参数!$C$103:$G$103,1,J34)</f>
        <v>0.04</v>
      </c>
      <c r="AA34" s="1">
        <f>INDEX(效果参数!$C$104:$G$104,1,J34)</f>
        <v>4.0000000000000001E-3</v>
      </c>
      <c r="AB34" s="1">
        <f>INDEX(效果参数!$C$30:$H$30,1,D34+1)</f>
        <v>0.3</v>
      </c>
      <c r="AC34" s="1">
        <f>INDEX(效果参数!$C$31:$H$31,1,D34+1)</f>
        <v>0.2</v>
      </c>
      <c r="AD34" s="1">
        <f>INDEX(效果参数!$C$32:$H$32,1,D34+1)</f>
        <v>500</v>
      </c>
      <c r="AE34" s="1">
        <f>INDEX(效果参数!$C$33:$H$33,1,D34+1)</f>
        <v>0.4</v>
      </c>
      <c r="AF34" s="1">
        <f>INDEX(效果参数!$C$34:$H$34,1,D34+1)</f>
        <v>0.4</v>
      </c>
      <c r="AG34" s="1">
        <f>INDEX(效果参数!$C$43:$H$43,1,E34+1)</f>
        <v>0.3</v>
      </c>
      <c r="AH34" s="1">
        <f>INDEX(效果参数!$C$44:$H$44,1,E34+1)</f>
        <v>0.04</v>
      </c>
      <c r="AI34" s="1">
        <f>INDEX(效果参数!$C$45:$H$45,1,E34+1)</f>
        <v>5</v>
      </c>
      <c r="AJ34" s="1">
        <f>INDEX(效果参数!$C$46:$H$46,1,E34+1)</f>
        <v>1</v>
      </c>
      <c r="AK34" s="1">
        <f>INDEX(效果参数!$C$47:$H$47,1,E34+1)</f>
        <v>2</v>
      </c>
      <c r="AL34" s="1">
        <f>INDEX(效果参数!$C$48:$H$48,1,E34+1)</f>
        <v>0.08</v>
      </c>
      <c r="AM34" s="1">
        <f>INDEX(效果参数!$C$49:$H$49,1,E34+1)</f>
        <v>250</v>
      </c>
      <c r="AN34" s="1">
        <f>INDEX(效果参数!$C$50:$H$50,1,E34+1)</f>
        <v>0.15</v>
      </c>
      <c r="AO34" s="1">
        <f>INDEX(效果参数!$C$51:$H$51,1,E34+1)</f>
        <v>0.15</v>
      </c>
      <c r="AP34" s="1">
        <f>INDEX(效果参数!$C$52:$H$52,1,E34+1)</f>
        <v>0.15</v>
      </c>
      <c r="AQ34" s="1">
        <f>INDEX(效果参数!$C$53:$H$53,1,E34+1)</f>
        <v>0.15</v>
      </c>
      <c r="AR34" s="1">
        <f>INDEX(效果参数!$C$56:$H$56,1,F34+1)</f>
        <v>35</v>
      </c>
      <c r="AS34" s="1">
        <f>INDEX(效果参数!$C$57:$H$57,1,F34+1)</f>
        <v>0.01</v>
      </c>
      <c r="AT34" s="1">
        <f>INDEX(效果参数!$C$58:$H$58,1,F34+1)</f>
        <v>7</v>
      </c>
      <c r="AU34" s="1">
        <f>INDEX(效果参数!$C$59:$H$59,1,F34+1)</f>
        <v>0.5</v>
      </c>
      <c r="AV34" s="1">
        <f>INDEX(效果参数!$C$6:$H$6,1,C34+1)</f>
        <v>2</v>
      </c>
      <c r="AW34" s="1">
        <f>INDEX(效果参数!$C$7:$H$7,1,C34+1)</f>
        <v>4</v>
      </c>
      <c r="AX34" s="1">
        <f>INDEX(效果参数!$C$8:$H$8,1,C34+1)</f>
        <v>8</v>
      </c>
      <c r="AY34" s="1">
        <f>INDEX(效果参数!$C$9:$H$9,1,C34+1)</f>
        <v>0.1</v>
      </c>
      <c r="AZ34" s="1">
        <f>INDEX(效果参数!$C$10:$H$10,1,C34+1)</f>
        <v>0.2</v>
      </c>
      <c r="BA34" s="1">
        <f>INDEX(效果参数!$C$11:$H$11,1,C34+1)</f>
        <v>0.6</v>
      </c>
      <c r="BB34" s="1">
        <f>INDEX(效果参数!$C$12:$H$12,1,C34+1)</f>
        <v>1.2</v>
      </c>
      <c r="BC34" s="1">
        <f>INDEX(效果参数!$C$13:$H$13,1,C34+1)</f>
        <v>0.06</v>
      </c>
      <c r="BD34" s="1">
        <f>INDEX(效果参数!$C$14:$H$14,1,C34+1)</f>
        <v>3</v>
      </c>
      <c r="BE34" s="1">
        <f>INDEX(效果参数!$C$15:$H$15,1,C34+1)</f>
        <v>1</v>
      </c>
      <c r="BF34" s="1">
        <f>INDEX(效果参数!$C$16:$H$16,1,C34+1)</f>
        <v>2.5000000000000001E-2</v>
      </c>
      <c r="BG34" s="1">
        <f>INDEX(效果参数!$C$17:$H$17,1,C34+1)</f>
        <v>18</v>
      </c>
      <c r="BH34" s="1">
        <f>INDEX(效果参数!$C$18:$H$18,1,C34+1)</f>
        <v>18</v>
      </c>
      <c r="BI34" s="1">
        <f>INDEX(效果参数!$C$19:$H$19,1,C34+1)</f>
        <v>1</v>
      </c>
      <c r="BJ34" s="1">
        <f>INDEX(效果参数!$C$20:$H$20,1,C34+1)</f>
        <v>1</v>
      </c>
      <c r="BK34" s="1">
        <f>INDEX(效果参数!$C$21:$H$21,1,C34+1)</f>
        <v>0.2</v>
      </c>
      <c r="BL34" s="1">
        <f>INDEX(效果参数!$C$22:$H$22,1,C34+1)</f>
        <v>9</v>
      </c>
      <c r="BM34" s="1">
        <f>INDEX(效果参数!$C$23:$H$23,1,C34+1)</f>
        <v>20</v>
      </c>
      <c r="BN34" s="1">
        <f>INDEX(效果参数!$C$24:$H$24,1,C34+1)</f>
        <v>30</v>
      </c>
      <c r="BO34" s="1">
        <f>INDEX(效果参数!$C$25:$H$25,1,C34+1)</f>
        <v>1.5</v>
      </c>
      <c r="BP34" s="1">
        <f>INDEX(效果参数!$C$26:$H$26,1,C34+1)</f>
        <v>0.6</v>
      </c>
      <c r="BQ34" s="1">
        <f>INDEX(效果参数!$C$27:$H$27,1,C34+1)</f>
        <v>0.8</v>
      </c>
      <c r="BR34" s="1">
        <f>INDEX(效果参数!$C$28:$H$28,1,C34+1)</f>
        <v>1</v>
      </c>
      <c r="BS34" s="1">
        <f>INDEX(效果参数!$C$35:$H$35,1,D34+1)</f>
        <v>2.8</v>
      </c>
      <c r="BT34" s="1">
        <f>INDEX(效果参数!$C$36:$H$36,1,D34+1)</f>
        <v>1.4</v>
      </c>
      <c r="BU34" s="1">
        <f>INDEX(效果参数!$C$37:$H$37,1,D34+1)</f>
        <v>0.8</v>
      </c>
      <c r="BV34" s="1">
        <f>INDEX(效果参数!$C$38:$H$38,1,D34+1)</f>
        <v>3</v>
      </c>
      <c r="BW34" s="1">
        <f>INDEX(效果参数!$C$39:$H$39,1,D34+1)</f>
        <v>1</v>
      </c>
      <c r="BX34" s="1">
        <f>INDEX(效果参数!$C$40:$H$40,1,D34+1)</f>
        <v>2</v>
      </c>
      <c r="BY34" s="1">
        <f>INDEX(效果参数!$C$41:$H$41,1,D34+1)</f>
        <v>1</v>
      </c>
      <c r="BZ34" s="1">
        <f>IF(配置与结果!$H$24=1,AR34,MIN(AR34,MAX(0,配置与结果!$H$25)))</f>
        <v>35</v>
      </c>
      <c r="CA34" s="1">
        <f>ROUNDDOWN(配置与结果!$B$17*(1+0.05+Y34),0)</f>
        <v>2986</v>
      </c>
      <c r="CB34" s="1">
        <f>MIN(AD34,ROUNDDOWN((配置与结果!$B$16+CC34)*AC34,0))</f>
        <v>500</v>
      </c>
      <c r="CC34" s="1">
        <f t="shared" si="1"/>
        <v>238</v>
      </c>
      <c r="CD34" s="1">
        <f>INDEX(效果参数!$C$96:$G$96,1,G34)</f>
        <v>0.16</v>
      </c>
      <c r="CE34" s="1">
        <f>INDEX(效果参数!$C$42:$H$42,1,D34+1)</f>
        <v>8</v>
      </c>
      <c r="CF34" s="1">
        <f>INDEX(效果参数!$C$54:$H$54,1,E34+1)</f>
        <v>15</v>
      </c>
      <c r="CG34" s="1">
        <f>INDEX(效果参数!$C$55:$H$55,1,E34+1)</f>
        <v>1.5</v>
      </c>
      <c r="CH34" s="1">
        <f>INDEX(效果参数!$C$106:$G$106,1,H34)</f>
        <v>0.12</v>
      </c>
    </row>
    <row r="35" spans="1:86" ht="33.950000000000003" customHeight="1">
      <c r="A35" s="1">
        <f>32</f>
        <v>32</v>
      </c>
      <c r="B35" s="1" t="str">
        <f>"灵知当齐一 增幅2"</f>
        <v>灵知当齐一 增幅2</v>
      </c>
      <c r="C35" s="1">
        <f>配置与结果!B6</f>
        <v>0</v>
      </c>
      <c r="D35" s="1">
        <f>配置与结果!B7</f>
        <v>0</v>
      </c>
      <c r="E35" s="1">
        <f>配置与结果!B8</f>
        <v>0</v>
      </c>
      <c r="F35" s="1">
        <f>配置与结果!B9</f>
        <v>0</v>
      </c>
      <c r="G35" s="1">
        <f>配置与结果!D6</f>
        <v>5</v>
      </c>
      <c r="H35" s="1">
        <f>2</f>
        <v>2</v>
      </c>
      <c r="I35" s="1">
        <f>配置与结果!D8</f>
        <v>5</v>
      </c>
      <c r="J35" s="1">
        <f>配置与结果!D9</f>
        <v>1</v>
      </c>
      <c r="K35" s="1">
        <f>INDEX(效果参数!$C$105:$G$105,1,J35)</f>
        <v>1</v>
      </c>
      <c r="L35" s="1" t="b">
        <f>AND(K35=1,INDEX(效果参数!$C$99:$G$99,1,H35)=1,INDEX(效果参数!$C$29:$H$29,1,C35+1)=1)</f>
        <v>1</v>
      </c>
      <c r="M35" s="7">
        <f>IF(AND(K35=1,L35),SUM(行动计算!AU1158:AU1193),"")</f>
        <v>8888625.2140000015</v>
      </c>
      <c r="N35" s="7">
        <f>IF(K35=1,SUMIFS(行动计算!AU1158:AU1193,行动计算!D1158:D1193,1),"")</f>
        <v>3134747.1340000001</v>
      </c>
      <c r="O35" s="7">
        <f>IF(L35,SUMIFS(行动计算!AU1158:AU1193,行动计算!D1158:D1193,2),"")</f>
        <v>5753878.0800000001</v>
      </c>
      <c r="P35" s="7">
        <f>IF(AND(K35=1,L35),SUMIFS(行动计算!AU1158:AU1193,行动计算!F1158:F1193,1),"")</f>
        <v>7464681</v>
      </c>
      <c r="Q35" s="7">
        <f>IF(AND(K35=1,L35),SUMIFS(行动计算!AU1158:AU1193,行动计算!F1158:F1193,2),"")</f>
        <v>663562.36</v>
      </c>
      <c r="R35" s="7">
        <f>IF(AND(K35=1,L35),SUMIFS(行动计算!AU1158:AU1193,行动计算!F1158:F1193,3),"")</f>
        <v>489818.29000000004</v>
      </c>
      <c r="S35" s="7">
        <f>IF(AND(K35=1,L35),SUMIFS(行动计算!AU1158:AU1193,行动计算!F1158:F1193,4),"")</f>
        <v>270563.56400000001</v>
      </c>
      <c r="T35" s="8">
        <f t="shared" si="0"/>
        <v>1.3917946906041756E-2</v>
      </c>
      <c r="U35" s="1">
        <f>INDEX(效果参数!$C$98:$G$98,1,H35)</f>
        <v>0.05</v>
      </c>
      <c r="V35" s="1">
        <f>INDEX(效果参数!$C$97:$G$97,1,G35)</f>
        <v>0.06</v>
      </c>
      <c r="W35" s="1">
        <f>INDEX(效果参数!$C$101:$G$101,1,I35)</f>
        <v>0.02</v>
      </c>
      <c r="X35" s="1">
        <f>INDEX(效果参数!$C$102:$G$102,1,I35)</f>
        <v>0.16</v>
      </c>
      <c r="Y35" s="1">
        <f>INDEX(效果参数!$C$100:$G$100,1,I35)</f>
        <v>0.1</v>
      </c>
      <c r="Z35" s="1">
        <f>INDEX(效果参数!$C$103:$G$103,1,J35)</f>
        <v>0.04</v>
      </c>
      <c r="AA35" s="1">
        <f>INDEX(效果参数!$C$104:$G$104,1,J35)</f>
        <v>4.0000000000000001E-3</v>
      </c>
      <c r="AB35" s="1">
        <f>INDEX(效果参数!$C$30:$H$30,1,D35+1)</f>
        <v>0.3</v>
      </c>
      <c r="AC35" s="1">
        <f>INDEX(效果参数!$C$31:$H$31,1,D35+1)</f>
        <v>0.2</v>
      </c>
      <c r="AD35" s="1">
        <f>INDEX(效果参数!$C$32:$H$32,1,D35+1)</f>
        <v>500</v>
      </c>
      <c r="AE35" s="1">
        <f>INDEX(效果参数!$C$33:$H$33,1,D35+1)</f>
        <v>0.4</v>
      </c>
      <c r="AF35" s="1">
        <f>INDEX(效果参数!$C$34:$H$34,1,D35+1)</f>
        <v>0.4</v>
      </c>
      <c r="AG35" s="1">
        <f>INDEX(效果参数!$C$43:$H$43,1,E35+1)</f>
        <v>0.3</v>
      </c>
      <c r="AH35" s="1">
        <f>INDEX(效果参数!$C$44:$H$44,1,E35+1)</f>
        <v>0.04</v>
      </c>
      <c r="AI35" s="1">
        <f>INDEX(效果参数!$C$45:$H$45,1,E35+1)</f>
        <v>5</v>
      </c>
      <c r="AJ35" s="1">
        <f>INDEX(效果参数!$C$46:$H$46,1,E35+1)</f>
        <v>1</v>
      </c>
      <c r="AK35" s="1">
        <f>INDEX(效果参数!$C$47:$H$47,1,E35+1)</f>
        <v>2</v>
      </c>
      <c r="AL35" s="1">
        <f>INDEX(效果参数!$C$48:$H$48,1,E35+1)</f>
        <v>0.08</v>
      </c>
      <c r="AM35" s="1">
        <f>INDEX(效果参数!$C$49:$H$49,1,E35+1)</f>
        <v>250</v>
      </c>
      <c r="AN35" s="1">
        <f>INDEX(效果参数!$C$50:$H$50,1,E35+1)</f>
        <v>0.15</v>
      </c>
      <c r="AO35" s="1">
        <f>INDEX(效果参数!$C$51:$H$51,1,E35+1)</f>
        <v>0.15</v>
      </c>
      <c r="AP35" s="1">
        <f>INDEX(效果参数!$C$52:$H$52,1,E35+1)</f>
        <v>0.15</v>
      </c>
      <c r="AQ35" s="1">
        <f>INDEX(效果参数!$C$53:$H$53,1,E35+1)</f>
        <v>0.15</v>
      </c>
      <c r="AR35" s="1">
        <f>INDEX(效果参数!$C$56:$H$56,1,F35+1)</f>
        <v>35</v>
      </c>
      <c r="AS35" s="1">
        <f>INDEX(效果参数!$C$57:$H$57,1,F35+1)</f>
        <v>0.01</v>
      </c>
      <c r="AT35" s="1">
        <f>INDEX(效果参数!$C$58:$H$58,1,F35+1)</f>
        <v>7</v>
      </c>
      <c r="AU35" s="1">
        <f>INDEX(效果参数!$C$59:$H$59,1,F35+1)</f>
        <v>0.5</v>
      </c>
      <c r="AV35" s="1">
        <f>INDEX(效果参数!$C$6:$H$6,1,C35+1)</f>
        <v>2</v>
      </c>
      <c r="AW35" s="1">
        <f>INDEX(效果参数!$C$7:$H$7,1,C35+1)</f>
        <v>4</v>
      </c>
      <c r="AX35" s="1">
        <f>INDEX(效果参数!$C$8:$H$8,1,C35+1)</f>
        <v>8</v>
      </c>
      <c r="AY35" s="1">
        <f>INDEX(效果参数!$C$9:$H$9,1,C35+1)</f>
        <v>0.1</v>
      </c>
      <c r="AZ35" s="1">
        <f>INDEX(效果参数!$C$10:$H$10,1,C35+1)</f>
        <v>0.2</v>
      </c>
      <c r="BA35" s="1">
        <f>INDEX(效果参数!$C$11:$H$11,1,C35+1)</f>
        <v>0.6</v>
      </c>
      <c r="BB35" s="1">
        <f>INDEX(效果参数!$C$12:$H$12,1,C35+1)</f>
        <v>1.2</v>
      </c>
      <c r="BC35" s="1">
        <f>INDEX(效果参数!$C$13:$H$13,1,C35+1)</f>
        <v>0.06</v>
      </c>
      <c r="BD35" s="1">
        <f>INDEX(效果参数!$C$14:$H$14,1,C35+1)</f>
        <v>3</v>
      </c>
      <c r="BE35" s="1">
        <f>INDEX(效果参数!$C$15:$H$15,1,C35+1)</f>
        <v>1</v>
      </c>
      <c r="BF35" s="1">
        <f>INDEX(效果参数!$C$16:$H$16,1,C35+1)</f>
        <v>2.5000000000000001E-2</v>
      </c>
      <c r="BG35" s="1">
        <f>INDEX(效果参数!$C$17:$H$17,1,C35+1)</f>
        <v>18</v>
      </c>
      <c r="BH35" s="1">
        <f>INDEX(效果参数!$C$18:$H$18,1,C35+1)</f>
        <v>18</v>
      </c>
      <c r="BI35" s="1">
        <f>INDEX(效果参数!$C$19:$H$19,1,C35+1)</f>
        <v>1</v>
      </c>
      <c r="BJ35" s="1">
        <f>INDEX(效果参数!$C$20:$H$20,1,C35+1)</f>
        <v>1</v>
      </c>
      <c r="BK35" s="1">
        <f>INDEX(效果参数!$C$21:$H$21,1,C35+1)</f>
        <v>0.2</v>
      </c>
      <c r="BL35" s="1">
        <f>INDEX(效果参数!$C$22:$H$22,1,C35+1)</f>
        <v>9</v>
      </c>
      <c r="BM35" s="1">
        <f>INDEX(效果参数!$C$23:$H$23,1,C35+1)</f>
        <v>20</v>
      </c>
      <c r="BN35" s="1">
        <f>INDEX(效果参数!$C$24:$H$24,1,C35+1)</f>
        <v>30</v>
      </c>
      <c r="BO35" s="1">
        <f>INDEX(效果参数!$C$25:$H$25,1,C35+1)</f>
        <v>1.5</v>
      </c>
      <c r="BP35" s="1">
        <f>INDEX(效果参数!$C$26:$H$26,1,C35+1)</f>
        <v>0.6</v>
      </c>
      <c r="BQ35" s="1">
        <f>INDEX(效果参数!$C$27:$H$27,1,C35+1)</f>
        <v>0.8</v>
      </c>
      <c r="BR35" s="1">
        <f>INDEX(效果参数!$C$28:$H$28,1,C35+1)</f>
        <v>1</v>
      </c>
      <c r="BS35" s="1">
        <f>INDEX(效果参数!$C$35:$H$35,1,D35+1)</f>
        <v>2.8</v>
      </c>
      <c r="BT35" s="1">
        <f>INDEX(效果参数!$C$36:$H$36,1,D35+1)</f>
        <v>1.4</v>
      </c>
      <c r="BU35" s="1">
        <f>INDEX(效果参数!$C$37:$H$37,1,D35+1)</f>
        <v>0.8</v>
      </c>
      <c r="BV35" s="1">
        <f>INDEX(效果参数!$C$38:$H$38,1,D35+1)</f>
        <v>3</v>
      </c>
      <c r="BW35" s="1">
        <f>INDEX(效果参数!$C$39:$H$39,1,D35+1)</f>
        <v>1</v>
      </c>
      <c r="BX35" s="1">
        <f>INDEX(效果参数!$C$40:$H$40,1,D35+1)</f>
        <v>2</v>
      </c>
      <c r="BY35" s="1">
        <f>INDEX(效果参数!$C$41:$H$41,1,D35+1)</f>
        <v>1</v>
      </c>
      <c r="BZ35" s="1">
        <f>IF(配置与结果!$H$24=1,AR35,MIN(AR35,MAX(0,配置与结果!$H$25)))</f>
        <v>35</v>
      </c>
      <c r="CA35" s="1">
        <f>ROUNDDOWN(配置与结果!$B$17*(1+0.05+Y35),0)</f>
        <v>2986</v>
      </c>
      <c r="CB35" s="1">
        <f>MIN(AD35,ROUNDDOWN((配置与结果!$B$16+CC35)*AC35,0))</f>
        <v>500</v>
      </c>
      <c r="CC35" s="1">
        <f t="shared" si="1"/>
        <v>238</v>
      </c>
      <c r="CD35" s="1">
        <f>INDEX(效果参数!$C$96:$G$96,1,G35)</f>
        <v>0.16</v>
      </c>
      <c r="CE35" s="1">
        <f>INDEX(效果参数!$C$42:$H$42,1,D35+1)</f>
        <v>8</v>
      </c>
      <c r="CF35" s="1">
        <f>INDEX(效果参数!$C$54:$H$54,1,E35+1)</f>
        <v>15</v>
      </c>
      <c r="CG35" s="1">
        <f>INDEX(效果参数!$C$55:$H$55,1,E35+1)</f>
        <v>1.5</v>
      </c>
      <c r="CH35" s="1">
        <f>INDEX(效果参数!$C$106:$G$106,1,H35)</f>
        <v>0.15</v>
      </c>
    </row>
    <row r="36" spans="1:86" ht="33.950000000000003" customHeight="1">
      <c r="A36" s="1">
        <f>33</f>
        <v>33</v>
      </c>
      <c r="B36" s="1" t="str">
        <f>"灵知当齐一 增幅3"</f>
        <v>灵知当齐一 增幅3</v>
      </c>
      <c r="C36" s="1">
        <f>配置与结果!B6</f>
        <v>0</v>
      </c>
      <c r="D36" s="1">
        <f>配置与结果!B7</f>
        <v>0</v>
      </c>
      <c r="E36" s="1">
        <f>配置与结果!B8</f>
        <v>0</v>
      </c>
      <c r="F36" s="1">
        <f>配置与结果!B9</f>
        <v>0</v>
      </c>
      <c r="G36" s="1">
        <f>配置与结果!D6</f>
        <v>5</v>
      </c>
      <c r="H36" s="1">
        <f>3</f>
        <v>3</v>
      </c>
      <c r="I36" s="1">
        <f>配置与结果!D8</f>
        <v>5</v>
      </c>
      <c r="J36" s="1">
        <f>配置与结果!D9</f>
        <v>1</v>
      </c>
      <c r="K36" s="1">
        <f>INDEX(效果参数!$C$105:$G$105,1,J36)</f>
        <v>1</v>
      </c>
      <c r="L36" s="1" t="b">
        <f>AND(K36=1,INDEX(效果参数!$C$99:$G$99,1,H36)=1,INDEX(效果参数!$C$29:$H$29,1,C36+1)=1)</f>
        <v>1</v>
      </c>
      <c r="M36" s="7">
        <f>IF(AND(K36=1,L36),SUM(行动计算!AU1194:AU1229),"")</f>
        <v>9010937.1339999996</v>
      </c>
      <c r="N36" s="7">
        <f>IF(K36=1,SUMIFS(行动计算!AU1194:AU1229,行动计算!D1194:D1229,1),"")</f>
        <v>3136245.8540000003</v>
      </c>
      <c r="O36" s="7">
        <f>IF(L36,SUMIFS(行动计算!AU1194:AU1229,行动计算!D1194:D1229,2),"")</f>
        <v>5874691.2799999993</v>
      </c>
      <c r="P36" s="7">
        <f>IF(AND(K36=1,L36),SUMIFS(行动计算!AU1194:AU1229,行动计算!F1194:F1229,1),"")</f>
        <v>7565979</v>
      </c>
      <c r="Q36" s="7">
        <f>IF(AND(K36=1,L36),SUMIFS(行动计算!AU1194:AU1229,行动计算!F1194:F1229,2),"")</f>
        <v>684576.28</v>
      </c>
      <c r="R36" s="7">
        <f>IF(AND(K36=1,L36),SUMIFS(行动计算!AU1194:AU1229,行动计算!F1194:F1229,3),"")</f>
        <v>489818.29000000004</v>
      </c>
      <c r="S36" s="7">
        <f>IF(AND(K36=1,L36),SUMIFS(行动计算!AU1194:AU1229,行动计算!F1194:F1229,4),"")</f>
        <v>270563.56400000001</v>
      </c>
      <c r="T36" s="8">
        <f t="shared" si="0"/>
        <v>2.7869963986614232E-2</v>
      </c>
      <c r="U36" s="1">
        <f>INDEX(效果参数!$C$98:$G$98,1,H36)</f>
        <v>0.06</v>
      </c>
      <c r="V36" s="1">
        <f>INDEX(效果参数!$C$97:$G$97,1,G36)</f>
        <v>0.06</v>
      </c>
      <c r="W36" s="1">
        <f>INDEX(效果参数!$C$101:$G$101,1,I36)</f>
        <v>0.02</v>
      </c>
      <c r="X36" s="1">
        <f>INDEX(效果参数!$C$102:$G$102,1,I36)</f>
        <v>0.16</v>
      </c>
      <c r="Y36" s="1">
        <f>INDEX(效果参数!$C$100:$G$100,1,I36)</f>
        <v>0.1</v>
      </c>
      <c r="Z36" s="1">
        <f>INDEX(效果参数!$C$103:$G$103,1,J36)</f>
        <v>0.04</v>
      </c>
      <c r="AA36" s="1">
        <f>INDEX(效果参数!$C$104:$G$104,1,J36)</f>
        <v>4.0000000000000001E-3</v>
      </c>
      <c r="AB36" s="1">
        <f>INDEX(效果参数!$C$30:$H$30,1,D36+1)</f>
        <v>0.3</v>
      </c>
      <c r="AC36" s="1">
        <f>INDEX(效果参数!$C$31:$H$31,1,D36+1)</f>
        <v>0.2</v>
      </c>
      <c r="AD36" s="1">
        <f>INDEX(效果参数!$C$32:$H$32,1,D36+1)</f>
        <v>500</v>
      </c>
      <c r="AE36" s="1">
        <f>INDEX(效果参数!$C$33:$H$33,1,D36+1)</f>
        <v>0.4</v>
      </c>
      <c r="AF36" s="1">
        <f>INDEX(效果参数!$C$34:$H$34,1,D36+1)</f>
        <v>0.4</v>
      </c>
      <c r="AG36" s="1">
        <f>INDEX(效果参数!$C$43:$H$43,1,E36+1)</f>
        <v>0.3</v>
      </c>
      <c r="AH36" s="1">
        <f>INDEX(效果参数!$C$44:$H$44,1,E36+1)</f>
        <v>0.04</v>
      </c>
      <c r="AI36" s="1">
        <f>INDEX(效果参数!$C$45:$H$45,1,E36+1)</f>
        <v>5</v>
      </c>
      <c r="AJ36" s="1">
        <f>INDEX(效果参数!$C$46:$H$46,1,E36+1)</f>
        <v>1</v>
      </c>
      <c r="AK36" s="1">
        <f>INDEX(效果参数!$C$47:$H$47,1,E36+1)</f>
        <v>2</v>
      </c>
      <c r="AL36" s="1">
        <f>INDEX(效果参数!$C$48:$H$48,1,E36+1)</f>
        <v>0.08</v>
      </c>
      <c r="AM36" s="1">
        <f>INDEX(效果参数!$C$49:$H$49,1,E36+1)</f>
        <v>250</v>
      </c>
      <c r="AN36" s="1">
        <f>INDEX(效果参数!$C$50:$H$50,1,E36+1)</f>
        <v>0.15</v>
      </c>
      <c r="AO36" s="1">
        <f>INDEX(效果参数!$C$51:$H$51,1,E36+1)</f>
        <v>0.15</v>
      </c>
      <c r="AP36" s="1">
        <f>INDEX(效果参数!$C$52:$H$52,1,E36+1)</f>
        <v>0.15</v>
      </c>
      <c r="AQ36" s="1">
        <f>INDEX(效果参数!$C$53:$H$53,1,E36+1)</f>
        <v>0.15</v>
      </c>
      <c r="AR36" s="1">
        <f>INDEX(效果参数!$C$56:$H$56,1,F36+1)</f>
        <v>35</v>
      </c>
      <c r="AS36" s="1">
        <f>INDEX(效果参数!$C$57:$H$57,1,F36+1)</f>
        <v>0.01</v>
      </c>
      <c r="AT36" s="1">
        <f>INDEX(效果参数!$C$58:$H$58,1,F36+1)</f>
        <v>7</v>
      </c>
      <c r="AU36" s="1">
        <f>INDEX(效果参数!$C$59:$H$59,1,F36+1)</f>
        <v>0.5</v>
      </c>
      <c r="AV36" s="1">
        <f>INDEX(效果参数!$C$6:$H$6,1,C36+1)</f>
        <v>2</v>
      </c>
      <c r="AW36" s="1">
        <f>INDEX(效果参数!$C$7:$H$7,1,C36+1)</f>
        <v>4</v>
      </c>
      <c r="AX36" s="1">
        <f>INDEX(效果参数!$C$8:$H$8,1,C36+1)</f>
        <v>8</v>
      </c>
      <c r="AY36" s="1">
        <f>INDEX(效果参数!$C$9:$H$9,1,C36+1)</f>
        <v>0.1</v>
      </c>
      <c r="AZ36" s="1">
        <f>INDEX(效果参数!$C$10:$H$10,1,C36+1)</f>
        <v>0.2</v>
      </c>
      <c r="BA36" s="1">
        <f>INDEX(效果参数!$C$11:$H$11,1,C36+1)</f>
        <v>0.6</v>
      </c>
      <c r="BB36" s="1">
        <f>INDEX(效果参数!$C$12:$H$12,1,C36+1)</f>
        <v>1.2</v>
      </c>
      <c r="BC36" s="1">
        <f>INDEX(效果参数!$C$13:$H$13,1,C36+1)</f>
        <v>0.06</v>
      </c>
      <c r="BD36" s="1">
        <f>INDEX(效果参数!$C$14:$H$14,1,C36+1)</f>
        <v>3</v>
      </c>
      <c r="BE36" s="1">
        <f>INDEX(效果参数!$C$15:$H$15,1,C36+1)</f>
        <v>1</v>
      </c>
      <c r="BF36" s="1">
        <f>INDEX(效果参数!$C$16:$H$16,1,C36+1)</f>
        <v>2.5000000000000001E-2</v>
      </c>
      <c r="BG36" s="1">
        <f>INDEX(效果参数!$C$17:$H$17,1,C36+1)</f>
        <v>18</v>
      </c>
      <c r="BH36" s="1">
        <f>INDEX(效果参数!$C$18:$H$18,1,C36+1)</f>
        <v>18</v>
      </c>
      <c r="BI36" s="1">
        <f>INDEX(效果参数!$C$19:$H$19,1,C36+1)</f>
        <v>1</v>
      </c>
      <c r="BJ36" s="1">
        <f>INDEX(效果参数!$C$20:$H$20,1,C36+1)</f>
        <v>1</v>
      </c>
      <c r="BK36" s="1">
        <f>INDEX(效果参数!$C$21:$H$21,1,C36+1)</f>
        <v>0.2</v>
      </c>
      <c r="BL36" s="1">
        <f>INDEX(效果参数!$C$22:$H$22,1,C36+1)</f>
        <v>9</v>
      </c>
      <c r="BM36" s="1">
        <f>INDEX(效果参数!$C$23:$H$23,1,C36+1)</f>
        <v>20</v>
      </c>
      <c r="BN36" s="1">
        <f>INDEX(效果参数!$C$24:$H$24,1,C36+1)</f>
        <v>30</v>
      </c>
      <c r="BO36" s="1">
        <f>INDEX(效果参数!$C$25:$H$25,1,C36+1)</f>
        <v>1.5</v>
      </c>
      <c r="BP36" s="1">
        <f>INDEX(效果参数!$C$26:$H$26,1,C36+1)</f>
        <v>0.6</v>
      </c>
      <c r="BQ36" s="1">
        <f>INDEX(效果参数!$C$27:$H$27,1,C36+1)</f>
        <v>0.8</v>
      </c>
      <c r="BR36" s="1">
        <f>INDEX(效果参数!$C$28:$H$28,1,C36+1)</f>
        <v>1</v>
      </c>
      <c r="BS36" s="1">
        <f>INDEX(效果参数!$C$35:$H$35,1,D36+1)</f>
        <v>2.8</v>
      </c>
      <c r="BT36" s="1">
        <f>INDEX(效果参数!$C$36:$H$36,1,D36+1)</f>
        <v>1.4</v>
      </c>
      <c r="BU36" s="1">
        <f>INDEX(效果参数!$C$37:$H$37,1,D36+1)</f>
        <v>0.8</v>
      </c>
      <c r="BV36" s="1">
        <f>INDEX(效果参数!$C$38:$H$38,1,D36+1)</f>
        <v>3</v>
      </c>
      <c r="BW36" s="1">
        <f>INDEX(效果参数!$C$39:$H$39,1,D36+1)</f>
        <v>1</v>
      </c>
      <c r="BX36" s="1">
        <f>INDEX(效果参数!$C$40:$H$40,1,D36+1)</f>
        <v>2</v>
      </c>
      <c r="BY36" s="1">
        <f>INDEX(效果参数!$C$41:$H$41,1,D36+1)</f>
        <v>1</v>
      </c>
      <c r="BZ36" s="1">
        <f>IF(配置与结果!$H$24=1,AR36,MIN(AR36,MAX(0,配置与结果!$H$25)))</f>
        <v>35</v>
      </c>
      <c r="CA36" s="1">
        <f>ROUNDDOWN(配置与结果!$B$17*(1+0.05+Y36),0)</f>
        <v>2986</v>
      </c>
      <c r="CB36" s="1">
        <f>MIN(AD36,ROUNDDOWN((配置与结果!$B$16+CC36)*AC36,0))</f>
        <v>500</v>
      </c>
      <c r="CC36" s="1">
        <f t="shared" si="1"/>
        <v>238</v>
      </c>
      <c r="CD36" s="1">
        <f>INDEX(效果参数!$C$96:$G$96,1,G36)</f>
        <v>0.16</v>
      </c>
      <c r="CE36" s="1">
        <f>INDEX(效果参数!$C$42:$H$42,1,D36+1)</f>
        <v>8</v>
      </c>
      <c r="CF36" s="1">
        <f>INDEX(效果参数!$C$54:$H$54,1,E36+1)</f>
        <v>15</v>
      </c>
      <c r="CG36" s="1">
        <f>INDEX(效果参数!$C$55:$H$55,1,E36+1)</f>
        <v>1.5</v>
      </c>
      <c r="CH36" s="1">
        <f>INDEX(效果参数!$C$106:$G$106,1,H36)</f>
        <v>0.18</v>
      </c>
    </row>
    <row r="37" spans="1:86" ht="33.950000000000003" customHeight="1">
      <c r="A37" s="1">
        <f>34</f>
        <v>34</v>
      </c>
      <c r="B37" s="1" t="str">
        <f>"灵知当齐一 增幅4"</f>
        <v>灵知当齐一 增幅4</v>
      </c>
      <c r="C37" s="1">
        <f>配置与结果!B6</f>
        <v>0</v>
      </c>
      <c r="D37" s="1">
        <f>配置与结果!B7</f>
        <v>0</v>
      </c>
      <c r="E37" s="1">
        <f>配置与结果!B8</f>
        <v>0</v>
      </c>
      <c r="F37" s="1">
        <f>配置与结果!B9</f>
        <v>0</v>
      </c>
      <c r="G37" s="1">
        <f>配置与结果!D6</f>
        <v>5</v>
      </c>
      <c r="H37" s="1">
        <f>4</f>
        <v>4</v>
      </c>
      <c r="I37" s="1">
        <f>配置与结果!D8</f>
        <v>5</v>
      </c>
      <c r="J37" s="1">
        <f>配置与结果!D9</f>
        <v>1</v>
      </c>
      <c r="K37" s="1">
        <f>INDEX(效果参数!$C$105:$G$105,1,J37)</f>
        <v>1</v>
      </c>
      <c r="L37" s="1" t="b">
        <f>AND(K37=1,INDEX(效果参数!$C$99:$G$99,1,H37)=1,INDEX(效果参数!$C$29:$H$29,1,C37+1)=1)</f>
        <v>1</v>
      </c>
      <c r="M37" s="7">
        <f>IF(AND(K37=1,L37),SUM(行动计算!AU1230:AU1265),"")</f>
        <v>9133551.0539999995</v>
      </c>
      <c r="N37" s="7">
        <f>IF(K37=1,SUMIFS(行动计算!AU1230:AU1265,行动计算!D1230:D1265,1),"")</f>
        <v>3137743.8139999998</v>
      </c>
      <c r="O37" s="7">
        <f>IF(L37,SUMIFS(行动计算!AU1230:AU1265,行动计算!D1230:D1265,2),"")</f>
        <v>5995807.2400000002</v>
      </c>
      <c r="P37" s="7">
        <f>IF(AND(K37=1,L37),SUMIFS(行动计算!AU1230:AU1265,行动计算!F1230:F1265,1),"")</f>
        <v>7667276</v>
      </c>
      <c r="Q37" s="7">
        <f>IF(AND(K37=1,L37),SUMIFS(行动计算!AU1230:AU1265,行动计算!F1230:F1265,2),"")</f>
        <v>705893.2</v>
      </c>
      <c r="R37" s="7">
        <f>IF(AND(K37=1,L37),SUMIFS(行动计算!AU1230:AU1265,行动计算!F1230:F1265,3),"")</f>
        <v>489818.29000000004</v>
      </c>
      <c r="S37" s="7">
        <f>IF(AND(K37=1,L37),SUMIFS(行动计算!AU1230:AU1265,行动计算!F1230:F1265,4),"")</f>
        <v>270563.56400000001</v>
      </c>
      <c r="T37" s="8">
        <f t="shared" si="0"/>
        <v>4.1856429951304674E-2</v>
      </c>
      <c r="U37" s="1">
        <f>INDEX(效果参数!$C$98:$G$98,1,H37)</f>
        <v>7.0000000000000007E-2</v>
      </c>
      <c r="V37" s="1">
        <f>INDEX(效果参数!$C$97:$G$97,1,G37)</f>
        <v>0.06</v>
      </c>
      <c r="W37" s="1">
        <f>INDEX(效果参数!$C$101:$G$101,1,I37)</f>
        <v>0.02</v>
      </c>
      <c r="X37" s="1">
        <f>INDEX(效果参数!$C$102:$G$102,1,I37)</f>
        <v>0.16</v>
      </c>
      <c r="Y37" s="1">
        <f>INDEX(效果参数!$C$100:$G$100,1,I37)</f>
        <v>0.1</v>
      </c>
      <c r="Z37" s="1">
        <f>INDEX(效果参数!$C$103:$G$103,1,J37)</f>
        <v>0.04</v>
      </c>
      <c r="AA37" s="1">
        <f>INDEX(效果参数!$C$104:$G$104,1,J37)</f>
        <v>4.0000000000000001E-3</v>
      </c>
      <c r="AB37" s="1">
        <f>INDEX(效果参数!$C$30:$H$30,1,D37+1)</f>
        <v>0.3</v>
      </c>
      <c r="AC37" s="1">
        <f>INDEX(效果参数!$C$31:$H$31,1,D37+1)</f>
        <v>0.2</v>
      </c>
      <c r="AD37" s="1">
        <f>INDEX(效果参数!$C$32:$H$32,1,D37+1)</f>
        <v>500</v>
      </c>
      <c r="AE37" s="1">
        <f>INDEX(效果参数!$C$33:$H$33,1,D37+1)</f>
        <v>0.4</v>
      </c>
      <c r="AF37" s="1">
        <f>INDEX(效果参数!$C$34:$H$34,1,D37+1)</f>
        <v>0.4</v>
      </c>
      <c r="AG37" s="1">
        <f>INDEX(效果参数!$C$43:$H$43,1,E37+1)</f>
        <v>0.3</v>
      </c>
      <c r="AH37" s="1">
        <f>INDEX(效果参数!$C$44:$H$44,1,E37+1)</f>
        <v>0.04</v>
      </c>
      <c r="AI37" s="1">
        <f>INDEX(效果参数!$C$45:$H$45,1,E37+1)</f>
        <v>5</v>
      </c>
      <c r="AJ37" s="1">
        <f>INDEX(效果参数!$C$46:$H$46,1,E37+1)</f>
        <v>1</v>
      </c>
      <c r="AK37" s="1">
        <f>INDEX(效果参数!$C$47:$H$47,1,E37+1)</f>
        <v>2</v>
      </c>
      <c r="AL37" s="1">
        <f>INDEX(效果参数!$C$48:$H$48,1,E37+1)</f>
        <v>0.08</v>
      </c>
      <c r="AM37" s="1">
        <f>INDEX(效果参数!$C$49:$H$49,1,E37+1)</f>
        <v>250</v>
      </c>
      <c r="AN37" s="1">
        <f>INDEX(效果参数!$C$50:$H$50,1,E37+1)</f>
        <v>0.15</v>
      </c>
      <c r="AO37" s="1">
        <f>INDEX(效果参数!$C$51:$H$51,1,E37+1)</f>
        <v>0.15</v>
      </c>
      <c r="AP37" s="1">
        <f>INDEX(效果参数!$C$52:$H$52,1,E37+1)</f>
        <v>0.15</v>
      </c>
      <c r="AQ37" s="1">
        <f>INDEX(效果参数!$C$53:$H$53,1,E37+1)</f>
        <v>0.15</v>
      </c>
      <c r="AR37" s="1">
        <f>INDEX(效果参数!$C$56:$H$56,1,F37+1)</f>
        <v>35</v>
      </c>
      <c r="AS37" s="1">
        <f>INDEX(效果参数!$C$57:$H$57,1,F37+1)</f>
        <v>0.01</v>
      </c>
      <c r="AT37" s="1">
        <f>INDEX(效果参数!$C$58:$H$58,1,F37+1)</f>
        <v>7</v>
      </c>
      <c r="AU37" s="1">
        <f>INDEX(效果参数!$C$59:$H$59,1,F37+1)</f>
        <v>0.5</v>
      </c>
      <c r="AV37" s="1">
        <f>INDEX(效果参数!$C$6:$H$6,1,C37+1)</f>
        <v>2</v>
      </c>
      <c r="AW37" s="1">
        <f>INDEX(效果参数!$C$7:$H$7,1,C37+1)</f>
        <v>4</v>
      </c>
      <c r="AX37" s="1">
        <f>INDEX(效果参数!$C$8:$H$8,1,C37+1)</f>
        <v>8</v>
      </c>
      <c r="AY37" s="1">
        <f>INDEX(效果参数!$C$9:$H$9,1,C37+1)</f>
        <v>0.1</v>
      </c>
      <c r="AZ37" s="1">
        <f>INDEX(效果参数!$C$10:$H$10,1,C37+1)</f>
        <v>0.2</v>
      </c>
      <c r="BA37" s="1">
        <f>INDEX(效果参数!$C$11:$H$11,1,C37+1)</f>
        <v>0.6</v>
      </c>
      <c r="BB37" s="1">
        <f>INDEX(效果参数!$C$12:$H$12,1,C37+1)</f>
        <v>1.2</v>
      </c>
      <c r="BC37" s="1">
        <f>INDEX(效果参数!$C$13:$H$13,1,C37+1)</f>
        <v>0.06</v>
      </c>
      <c r="BD37" s="1">
        <f>INDEX(效果参数!$C$14:$H$14,1,C37+1)</f>
        <v>3</v>
      </c>
      <c r="BE37" s="1">
        <f>INDEX(效果参数!$C$15:$H$15,1,C37+1)</f>
        <v>1</v>
      </c>
      <c r="BF37" s="1">
        <f>INDEX(效果参数!$C$16:$H$16,1,C37+1)</f>
        <v>2.5000000000000001E-2</v>
      </c>
      <c r="BG37" s="1">
        <f>INDEX(效果参数!$C$17:$H$17,1,C37+1)</f>
        <v>18</v>
      </c>
      <c r="BH37" s="1">
        <f>INDEX(效果参数!$C$18:$H$18,1,C37+1)</f>
        <v>18</v>
      </c>
      <c r="BI37" s="1">
        <f>INDEX(效果参数!$C$19:$H$19,1,C37+1)</f>
        <v>1</v>
      </c>
      <c r="BJ37" s="1">
        <f>INDEX(效果参数!$C$20:$H$20,1,C37+1)</f>
        <v>1</v>
      </c>
      <c r="BK37" s="1">
        <f>INDEX(效果参数!$C$21:$H$21,1,C37+1)</f>
        <v>0.2</v>
      </c>
      <c r="BL37" s="1">
        <f>INDEX(效果参数!$C$22:$H$22,1,C37+1)</f>
        <v>9</v>
      </c>
      <c r="BM37" s="1">
        <f>INDEX(效果参数!$C$23:$H$23,1,C37+1)</f>
        <v>20</v>
      </c>
      <c r="BN37" s="1">
        <f>INDEX(效果参数!$C$24:$H$24,1,C37+1)</f>
        <v>30</v>
      </c>
      <c r="BO37" s="1">
        <f>INDEX(效果参数!$C$25:$H$25,1,C37+1)</f>
        <v>1.5</v>
      </c>
      <c r="BP37" s="1">
        <f>INDEX(效果参数!$C$26:$H$26,1,C37+1)</f>
        <v>0.6</v>
      </c>
      <c r="BQ37" s="1">
        <f>INDEX(效果参数!$C$27:$H$27,1,C37+1)</f>
        <v>0.8</v>
      </c>
      <c r="BR37" s="1">
        <f>INDEX(效果参数!$C$28:$H$28,1,C37+1)</f>
        <v>1</v>
      </c>
      <c r="BS37" s="1">
        <f>INDEX(效果参数!$C$35:$H$35,1,D37+1)</f>
        <v>2.8</v>
      </c>
      <c r="BT37" s="1">
        <f>INDEX(效果参数!$C$36:$H$36,1,D37+1)</f>
        <v>1.4</v>
      </c>
      <c r="BU37" s="1">
        <f>INDEX(效果参数!$C$37:$H$37,1,D37+1)</f>
        <v>0.8</v>
      </c>
      <c r="BV37" s="1">
        <f>INDEX(效果参数!$C$38:$H$38,1,D37+1)</f>
        <v>3</v>
      </c>
      <c r="BW37" s="1">
        <f>INDEX(效果参数!$C$39:$H$39,1,D37+1)</f>
        <v>1</v>
      </c>
      <c r="BX37" s="1">
        <f>INDEX(效果参数!$C$40:$H$40,1,D37+1)</f>
        <v>2</v>
      </c>
      <c r="BY37" s="1">
        <f>INDEX(效果参数!$C$41:$H$41,1,D37+1)</f>
        <v>1</v>
      </c>
      <c r="BZ37" s="1">
        <f>IF(配置与结果!$H$24=1,AR37,MIN(AR37,MAX(0,配置与结果!$H$25)))</f>
        <v>35</v>
      </c>
      <c r="CA37" s="1">
        <f>ROUNDDOWN(配置与结果!$B$17*(1+0.05+Y37),0)</f>
        <v>2986</v>
      </c>
      <c r="CB37" s="1">
        <f>MIN(AD37,ROUNDDOWN((配置与结果!$B$16+CC37)*AC37,0))</f>
        <v>500</v>
      </c>
      <c r="CC37" s="1">
        <f t="shared" si="1"/>
        <v>238</v>
      </c>
      <c r="CD37" s="1">
        <f>INDEX(效果参数!$C$96:$G$96,1,G37)</f>
        <v>0.16</v>
      </c>
      <c r="CE37" s="1">
        <f>INDEX(效果参数!$C$42:$H$42,1,D37+1)</f>
        <v>8</v>
      </c>
      <c r="CF37" s="1">
        <f>INDEX(效果参数!$C$54:$H$54,1,E37+1)</f>
        <v>15</v>
      </c>
      <c r="CG37" s="1">
        <f>INDEX(效果参数!$C$55:$H$55,1,E37+1)</f>
        <v>1.5</v>
      </c>
      <c r="CH37" s="1">
        <f>INDEX(效果参数!$C$106:$G$106,1,H37)</f>
        <v>0.21</v>
      </c>
    </row>
    <row r="38" spans="1:86" ht="33.950000000000003" customHeight="1">
      <c r="A38" s="1">
        <f>35</f>
        <v>35</v>
      </c>
      <c r="B38" s="1" t="str">
        <f>"灵知当齐一 增幅5"</f>
        <v>灵知当齐一 增幅5</v>
      </c>
      <c r="C38" s="1">
        <f>配置与结果!B6</f>
        <v>0</v>
      </c>
      <c r="D38" s="1">
        <f>配置与结果!B7</f>
        <v>0</v>
      </c>
      <c r="E38" s="1">
        <f>配置与结果!B8</f>
        <v>0</v>
      </c>
      <c r="F38" s="1">
        <f>配置与结果!B9</f>
        <v>0</v>
      </c>
      <c r="G38" s="1">
        <f>配置与结果!D6</f>
        <v>5</v>
      </c>
      <c r="H38" s="1">
        <f>5</f>
        <v>5</v>
      </c>
      <c r="I38" s="1">
        <f>配置与结果!D8</f>
        <v>5</v>
      </c>
      <c r="J38" s="1">
        <f>配置与结果!D9</f>
        <v>1</v>
      </c>
      <c r="K38" s="1">
        <f>INDEX(效果参数!$C$105:$G$105,1,J38)</f>
        <v>1</v>
      </c>
      <c r="L38" s="1" t="b">
        <f>AND(K38=1,INDEX(效果参数!$C$99:$G$99,1,H38)=1,INDEX(效果参数!$C$29:$H$29,1,C38+1)=1)</f>
        <v>1</v>
      </c>
      <c r="M38" s="7">
        <f>IF(AND(K38=1,L38),SUM(行动计算!AU1266:AU1301),"")</f>
        <v>9256463.0540000014</v>
      </c>
      <c r="N38" s="7">
        <f>IF(K38=1,SUMIFS(行动计算!AU1266:AU1301,行动计算!D1266:D1301,1),"")</f>
        <v>3139241.7740000002</v>
      </c>
      <c r="O38" s="7">
        <f>IF(L38,SUMIFS(行动计算!AU1266:AU1301,行动计算!D1266:D1301,2),"")</f>
        <v>6117221.2800000003</v>
      </c>
      <c r="P38" s="7">
        <f>IF(AND(K38=1,L38),SUMIFS(行动计算!AU1266:AU1301,行动计算!F1266:F1301,1),"")</f>
        <v>7768575</v>
      </c>
      <c r="Q38" s="7">
        <f>IF(AND(K38=1,L38),SUMIFS(行动计算!AU1266:AU1301,行动计算!F1266:F1301,2),"")</f>
        <v>727506.20000000007</v>
      </c>
      <c r="R38" s="7">
        <f>IF(AND(K38=1,L38),SUMIFS(行动计算!AU1266:AU1301,行动计算!F1266:F1301,3),"")</f>
        <v>489818.29000000004</v>
      </c>
      <c r="S38" s="7">
        <f>IF(AND(K38=1,L38),SUMIFS(行动计算!AU1266:AU1301,行动计算!F1266:F1301,4),"")</f>
        <v>270563.56400000001</v>
      </c>
      <c r="T38" s="8">
        <f t="shared" si="0"/>
        <v>5.5876897649034918E-2</v>
      </c>
      <c r="U38" s="1">
        <f>INDEX(效果参数!$C$98:$G$98,1,H38)</f>
        <v>0.08</v>
      </c>
      <c r="V38" s="1">
        <f>INDEX(效果参数!$C$97:$G$97,1,G38)</f>
        <v>0.06</v>
      </c>
      <c r="W38" s="1">
        <f>INDEX(效果参数!$C$101:$G$101,1,I38)</f>
        <v>0.02</v>
      </c>
      <c r="X38" s="1">
        <f>INDEX(效果参数!$C$102:$G$102,1,I38)</f>
        <v>0.16</v>
      </c>
      <c r="Y38" s="1">
        <f>INDEX(效果参数!$C$100:$G$100,1,I38)</f>
        <v>0.1</v>
      </c>
      <c r="Z38" s="1">
        <f>INDEX(效果参数!$C$103:$G$103,1,J38)</f>
        <v>0.04</v>
      </c>
      <c r="AA38" s="1">
        <f>INDEX(效果参数!$C$104:$G$104,1,J38)</f>
        <v>4.0000000000000001E-3</v>
      </c>
      <c r="AB38" s="1">
        <f>INDEX(效果参数!$C$30:$H$30,1,D38+1)</f>
        <v>0.3</v>
      </c>
      <c r="AC38" s="1">
        <f>INDEX(效果参数!$C$31:$H$31,1,D38+1)</f>
        <v>0.2</v>
      </c>
      <c r="AD38" s="1">
        <f>INDEX(效果参数!$C$32:$H$32,1,D38+1)</f>
        <v>500</v>
      </c>
      <c r="AE38" s="1">
        <f>INDEX(效果参数!$C$33:$H$33,1,D38+1)</f>
        <v>0.4</v>
      </c>
      <c r="AF38" s="1">
        <f>INDEX(效果参数!$C$34:$H$34,1,D38+1)</f>
        <v>0.4</v>
      </c>
      <c r="AG38" s="1">
        <f>INDEX(效果参数!$C$43:$H$43,1,E38+1)</f>
        <v>0.3</v>
      </c>
      <c r="AH38" s="1">
        <f>INDEX(效果参数!$C$44:$H$44,1,E38+1)</f>
        <v>0.04</v>
      </c>
      <c r="AI38" s="1">
        <f>INDEX(效果参数!$C$45:$H$45,1,E38+1)</f>
        <v>5</v>
      </c>
      <c r="AJ38" s="1">
        <f>INDEX(效果参数!$C$46:$H$46,1,E38+1)</f>
        <v>1</v>
      </c>
      <c r="AK38" s="1">
        <f>INDEX(效果参数!$C$47:$H$47,1,E38+1)</f>
        <v>2</v>
      </c>
      <c r="AL38" s="1">
        <f>INDEX(效果参数!$C$48:$H$48,1,E38+1)</f>
        <v>0.08</v>
      </c>
      <c r="AM38" s="1">
        <f>INDEX(效果参数!$C$49:$H$49,1,E38+1)</f>
        <v>250</v>
      </c>
      <c r="AN38" s="1">
        <f>INDEX(效果参数!$C$50:$H$50,1,E38+1)</f>
        <v>0.15</v>
      </c>
      <c r="AO38" s="1">
        <f>INDEX(效果参数!$C$51:$H$51,1,E38+1)</f>
        <v>0.15</v>
      </c>
      <c r="AP38" s="1">
        <f>INDEX(效果参数!$C$52:$H$52,1,E38+1)</f>
        <v>0.15</v>
      </c>
      <c r="AQ38" s="1">
        <f>INDEX(效果参数!$C$53:$H$53,1,E38+1)</f>
        <v>0.15</v>
      </c>
      <c r="AR38" s="1">
        <f>INDEX(效果参数!$C$56:$H$56,1,F38+1)</f>
        <v>35</v>
      </c>
      <c r="AS38" s="1">
        <f>INDEX(效果参数!$C$57:$H$57,1,F38+1)</f>
        <v>0.01</v>
      </c>
      <c r="AT38" s="1">
        <f>INDEX(效果参数!$C$58:$H$58,1,F38+1)</f>
        <v>7</v>
      </c>
      <c r="AU38" s="1">
        <f>INDEX(效果参数!$C$59:$H$59,1,F38+1)</f>
        <v>0.5</v>
      </c>
      <c r="AV38" s="1">
        <f>INDEX(效果参数!$C$6:$H$6,1,C38+1)</f>
        <v>2</v>
      </c>
      <c r="AW38" s="1">
        <f>INDEX(效果参数!$C$7:$H$7,1,C38+1)</f>
        <v>4</v>
      </c>
      <c r="AX38" s="1">
        <f>INDEX(效果参数!$C$8:$H$8,1,C38+1)</f>
        <v>8</v>
      </c>
      <c r="AY38" s="1">
        <f>INDEX(效果参数!$C$9:$H$9,1,C38+1)</f>
        <v>0.1</v>
      </c>
      <c r="AZ38" s="1">
        <f>INDEX(效果参数!$C$10:$H$10,1,C38+1)</f>
        <v>0.2</v>
      </c>
      <c r="BA38" s="1">
        <f>INDEX(效果参数!$C$11:$H$11,1,C38+1)</f>
        <v>0.6</v>
      </c>
      <c r="BB38" s="1">
        <f>INDEX(效果参数!$C$12:$H$12,1,C38+1)</f>
        <v>1.2</v>
      </c>
      <c r="BC38" s="1">
        <f>INDEX(效果参数!$C$13:$H$13,1,C38+1)</f>
        <v>0.06</v>
      </c>
      <c r="BD38" s="1">
        <f>INDEX(效果参数!$C$14:$H$14,1,C38+1)</f>
        <v>3</v>
      </c>
      <c r="BE38" s="1">
        <f>INDEX(效果参数!$C$15:$H$15,1,C38+1)</f>
        <v>1</v>
      </c>
      <c r="BF38" s="1">
        <f>INDEX(效果参数!$C$16:$H$16,1,C38+1)</f>
        <v>2.5000000000000001E-2</v>
      </c>
      <c r="BG38" s="1">
        <f>INDEX(效果参数!$C$17:$H$17,1,C38+1)</f>
        <v>18</v>
      </c>
      <c r="BH38" s="1">
        <f>INDEX(效果参数!$C$18:$H$18,1,C38+1)</f>
        <v>18</v>
      </c>
      <c r="BI38" s="1">
        <f>INDEX(效果参数!$C$19:$H$19,1,C38+1)</f>
        <v>1</v>
      </c>
      <c r="BJ38" s="1">
        <f>INDEX(效果参数!$C$20:$H$20,1,C38+1)</f>
        <v>1</v>
      </c>
      <c r="BK38" s="1">
        <f>INDEX(效果参数!$C$21:$H$21,1,C38+1)</f>
        <v>0.2</v>
      </c>
      <c r="BL38" s="1">
        <f>INDEX(效果参数!$C$22:$H$22,1,C38+1)</f>
        <v>9</v>
      </c>
      <c r="BM38" s="1">
        <f>INDEX(效果参数!$C$23:$H$23,1,C38+1)</f>
        <v>20</v>
      </c>
      <c r="BN38" s="1">
        <f>INDEX(效果参数!$C$24:$H$24,1,C38+1)</f>
        <v>30</v>
      </c>
      <c r="BO38" s="1">
        <f>INDEX(效果参数!$C$25:$H$25,1,C38+1)</f>
        <v>1.5</v>
      </c>
      <c r="BP38" s="1">
        <f>INDEX(效果参数!$C$26:$H$26,1,C38+1)</f>
        <v>0.6</v>
      </c>
      <c r="BQ38" s="1">
        <f>INDEX(效果参数!$C$27:$H$27,1,C38+1)</f>
        <v>0.8</v>
      </c>
      <c r="BR38" s="1">
        <f>INDEX(效果参数!$C$28:$H$28,1,C38+1)</f>
        <v>1</v>
      </c>
      <c r="BS38" s="1">
        <f>INDEX(效果参数!$C$35:$H$35,1,D38+1)</f>
        <v>2.8</v>
      </c>
      <c r="BT38" s="1">
        <f>INDEX(效果参数!$C$36:$H$36,1,D38+1)</f>
        <v>1.4</v>
      </c>
      <c r="BU38" s="1">
        <f>INDEX(效果参数!$C$37:$H$37,1,D38+1)</f>
        <v>0.8</v>
      </c>
      <c r="BV38" s="1">
        <f>INDEX(效果参数!$C$38:$H$38,1,D38+1)</f>
        <v>3</v>
      </c>
      <c r="BW38" s="1">
        <f>INDEX(效果参数!$C$39:$H$39,1,D38+1)</f>
        <v>1</v>
      </c>
      <c r="BX38" s="1">
        <f>INDEX(效果参数!$C$40:$H$40,1,D38+1)</f>
        <v>2</v>
      </c>
      <c r="BY38" s="1">
        <f>INDEX(效果参数!$C$41:$H$41,1,D38+1)</f>
        <v>1</v>
      </c>
      <c r="BZ38" s="1">
        <f>IF(配置与结果!$H$24=1,AR38,MIN(AR38,MAX(0,配置与结果!$H$25)))</f>
        <v>35</v>
      </c>
      <c r="CA38" s="1">
        <f>ROUNDDOWN(配置与结果!$B$17*(1+0.05+Y38),0)</f>
        <v>2986</v>
      </c>
      <c r="CB38" s="1">
        <f>MIN(AD38,ROUNDDOWN((配置与结果!$B$16+CC38)*AC38,0))</f>
        <v>500</v>
      </c>
      <c r="CC38" s="1">
        <f t="shared" si="1"/>
        <v>238</v>
      </c>
      <c r="CD38" s="1">
        <f>INDEX(效果参数!$C$96:$G$96,1,G38)</f>
        <v>0.16</v>
      </c>
      <c r="CE38" s="1">
        <f>INDEX(效果参数!$C$42:$H$42,1,D38+1)</f>
        <v>8</v>
      </c>
      <c r="CF38" s="1">
        <f>INDEX(效果参数!$C$54:$H$54,1,E38+1)</f>
        <v>15</v>
      </c>
      <c r="CG38" s="1">
        <f>INDEX(效果参数!$C$55:$H$55,1,E38+1)</f>
        <v>1.5</v>
      </c>
      <c r="CH38" s="1">
        <f>INDEX(效果参数!$C$106:$G$106,1,H38)</f>
        <v>0.24</v>
      </c>
    </row>
    <row r="39" spans="1:86" ht="33.950000000000003" customHeight="1">
      <c r="A39" s="1">
        <f>36</f>
        <v>36</v>
      </c>
      <c r="B39" s="1" t="str">
        <f>"昨日雨声轻 增幅1"</f>
        <v>昨日雨声轻 增幅1</v>
      </c>
      <c r="C39" s="1">
        <f>配置与结果!B6</f>
        <v>0</v>
      </c>
      <c r="D39" s="1">
        <f>配置与结果!B7</f>
        <v>0</v>
      </c>
      <c r="E39" s="1">
        <f>配置与结果!B8</f>
        <v>0</v>
      </c>
      <c r="F39" s="1">
        <f>配置与结果!B9</f>
        <v>0</v>
      </c>
      <c r="G39" s="1">
        <f>配置与结果!D6</f>
        <v>5</v>
      </c>
      <c r="H39" s="1">
        <f>配置与结果!D7</f>
        <v>1</v>
      </c>
      <c r="I39" s="1">
        <f>1</f>
        <v>1</v>
      </c>
      <c r="J39" s="1">
        <f>配置与结果!D9</f>
        <v>1</v>
      </c>
      <c r="K39" s="1">
        <f>INDEX(效果参数!$C$105:$G$105,1,J39)</f>
        <v>1</v>
      </c>
      <c r="L39" s="1" t="b">
        <f>AND(K39=1,INDEX(效果参数!$C$99:$G$99,1,H39)=1,INDEX(效果参数!$C$29:$H$29,1,C39+1)=1)</f>
        <v>1</v>
      </c>
      <c r="M39" s="7">
        <f>IF(AND(K39=1,L39),SUM(行动计算!AU1302:AU1337),"")</f>
        <v>8291958.4280000003</v>
      </c>
      <c r="N39" s="7">
        <f>IF(K39=1,SUMIFS(行动计算!AU1302:AU1337,行动计算!D1302:D1337,1),"")</f>
        <v>2930760.3880000003</v>
      </c>
      <c r="O39" s="7">
        <f>IF(L39,SUMIFS(行动计算!AU1302:AU1337,行动计算!D1302:D1337,2),"")</f>
        <v>5361198.0399999991</v>
      </c>
      <c r="P39" s="7">
        <f>IF(AND(K39=1,L39),SUMIFS(行动计算!AU1302:AU1337,行动计算!F1302:F1337,1),"")</f>
        <v>6996160</v>
      </c>
      <c r="Q39" s="7">
        <f>IF(AND(K39=1,L39),SUMIFS(行动计算!AU1302:AU1337,行动计算!F1302:F1337,2),"")</f>
        <v>608961.15999999992</v>
      </c>
      <c r="R39" s="7">
        <f>IF(AND(K39=1,L39),SUMIFS(行动计算!AU1302:AU1337,行动计算!F1302:F1337,3),"")</f>
        <v>435716.05</v>
      </c>
      <c r="S39" s="7">
        <f>IF(AND(K39=1,L39),SUMIFS(行动计算!AU1302:AU1337,行动计算!F1302:F1337,4),"")</f>
        <v>251121.21799999999</v>
      </c>
      <c r="T39" s="8">
        <f t="shared" si="0"/>
        <v>-5.4143327822393172E-2</v>
      </c>
      <c r="U39" s="1">
        <f>INDEX(效果参数!$C$98:$G$98,1,H39)</f>
        <v>0.04</v>
      </c>
      <c r="V39" s="1">
        <f>INDEX(效果参数!$C$97:$G$97,1,G39)</f>
        <v>0.06</v>
      </c>
      <c r="W39" s="1">
        <f>INDEX(效果参数!$C$101:$G$101,1,I39)</f>
        <v>1.2E-2</v>
      </c>
      <c r="X39" s="1">
        <f>INDEX(效果参数!$C$102:$G$102,1,I39)</f>
        <v>0.08</v>
      </c>
      <c r="Y39" s="1">
        <f>INDEX(效果参数!$C$100:$G$100,1,I39)</f>
        <v>0.04</v>
      </c>
      <c r="Z39" s="1">
        <f>INDEX(效果参数!$C$103:$G$103,1,J39)</f>
        <v>0.04</v>
      </c>
      <c r="AA39" s="1">
        <f>INDEX(效果参数!$C$104:$G$104,1,J39)</f>
        <v>4.0000000000000001E-3</v>
      </c>
      <c r="AB39" s="1">
        <f>INDEX(效果参数!$C$30:$H$30,1,D39+1)</f>
        <v>0.3</v>
      </c>
      <c r="AC39" s="1">
        <f>INDEX(效果参数!$C$31:$H$31,1,D39+1)</f>
        <v>0.2</v>
      </c>
      <c r="AD39" s="1">
        <f>INDEX(效果参数!$C$32:$H$32,1,D39+1)</f>
        <v>500</v>
      </c>
      <c r="AE39" s="1">
        <f>INDEX(效果参数!$C$33:$H$33,1,D39+1)</f>
        <v>0.4</v>
      </c>
      <c r="AF39" s="1">
        <f>INDEX(效果参数!$C$34:$H$34,1,D39+1)</f>
        <v>0.4</v>
      </c>
      <c r="AG39" s="1">
        <f>INDEX(效果参数!$C$43:$H$43,1,E39+1)</f>
        <v>0.3</v>
      </c>
      <c r="AH39" s="1">
        <f>INDEX(效果参数!$C$44:$H$44,1,E39+1)</f>
        <v>0.04</v>
      </c>
      <c r="AI39" s="1">
        <f>INDEX(效果参数!$C$45:$H$45,1,E39+1)</f>
        <v>5</v>
      </c>
      <c r="AJ39" s="1">
        <f>INDEX(效果参数!$C$46:$H$46,1,E39+1)</f>
        <v>1</v>
      </c>
      <c r="AK39" s="1">
        <f>INDEX(效果参数!$C$47:$H$47,1,E39+1)</f>
        <v>2</v>
      </c>
      <c r="AL39" s="1">
        <f>INDEX(效果参数!$C$48:$H$48,1,E39+1)</f>
        <v>0.08</v>
      </c>
      <c r="AM39" s="1">
        <f>INDEX(效果参数!$C$49:$H$49,1,E39+1)</f>
        <v>250</v>
      </c>
      <c r="AN39" s="1">
        <f>INDEX(效果参数!$C$50:$H$50,1,E39+1)</f>
        <v>0.15</v>
      </c>
      <c r="AO39" s="1">
        <f>INDEX(效果参数!$C$51:$H$51,1,E39+1)</f>
        <v>0.15</v>
      </c>
      <c r="AP39" s="1">
        <f>INDEX(效果参数!$C$52:$H$52,1,E39+1)</f>
        <v>0.15</v>
      </c>
      <c r="AQ39" s="1">
        <f>INDEX(效果参数!$C$53:$H$53,1,E39+1)</f>
        <v>0.15</v>
      </c>
      <c r="AR39" s="1">
        <f>INDEX(效果参数!$C$56:$H$56,1,F39+1)</f>
        <v>35</v>
      </c>
      <c r="AS39" s="1">
        <f>INDEX(效果参数!$C$57:$H$57,1,F39+1)</f>
        <v>0.01</v>
      </c>
      <c r="AT39" s="1">
        <f>INDEX(效果参数!$C$58:$H$58,1,F39+1)</f>
        <v>7</v>
      </c>
      <c r="AU39" s="1">
        <f>INDEX(效果参数!$C$59:$H$59,1,F39+1)</f>
        <v>0.5</v>
      </c>
      <c r="AV39" s="1">
        <f>INDEX(效果参数!$C$6:$H$6,1,C39+1)</f>
        <v>2</v>
      </c>
      <c r="AW39" s="1">
        <f>INDEX(效果参数!$C$7:$H$7,1,C39+1)</f>
        <v>4</v>
      </c>
      <c r="AX39" s="1">
        <f>INDEX(效果参数!$C$8:$H$8,1,C39+1)</f>
        <v>8</v>
      </c>
      <c r="AY39" s="1">
        <f>INDEX(效果参数!$C$9:$H$9,1,C39+1)</f>
        <v>0.1</v>
      </c>
      <c r="AZ39" s="1">
        <f>INDEX(效果参数!$C$10:$H$10,1,C39+1)</f>
        <v>0.2</v>
      </c>
      <c r="BA39" s="1">
        <f>INDEX(效果参数!$C$11:$H$11,1,C39+1)</f>
        <v>0.6</v>
      </c>
      <c r="BB39" s="1">
        <f>INDEX(效果参数!$C$12:$H$12,1,C39+1)</f>
        <v>1.2</v>
      </c>
      <c r="BC39" s="1">
        <f>INDEX(效果参数!$C$13:$H$13,1,C39+1)</f>
        <v>0.06</v>
      </c>
      <c r="BD39" s="1">
        <f>INDEX(效果参数!$C$14:$H$14,1,C39+1)</f>
        <v>3</v>
      </c>
      <c r="BE39" s="1">
        <f>INDEX(效果参数!$C$15:$H$15,1,C39+1)</f>
        <v>1</v>
      </c>
      <c r="BF39" s="1">
        <f>INDEX(效果参数!$C$16:$H$16,1,C39+1)</f>
        <v>2.5000000000000001E-2</v>
      </c>
      <c r="BG39" s="1">
        <f>INDEX(效果参数!$C$17:$H$17,1,C39+1)</f>
        <v>18</v>
      </c>
      <c r="BH39" s="1">
        <f>INDEX(效果参数!$C$18:$H$18,1,C39+1)</f>
        <v>18</v>
      </c>
      <c r="BI39" s="1">
        <f>INDEX(效果参数!$C$19:$H$19,1,C39+1)</f>
        <v>1</v>
      </c>
      <c r="BJ39" s="1">
        <f>INDEX(效果参数!$C$20:$H$20,1,C39+1)</f>
        <v>1</v>
      </c>
      <c r="BK39" s="1">
        <f>INDEX(效果参数!$C$21:$H$21,1,C39+1)</f>
        <v>0.2</v>
      </c>
      <c r="BL39" s="1">
        <f>INDEX(效果参数!$C$22:$H$22,1,C39+1)</f>
        <v>9</v>
      </c>
      <c r="BM39" s="1">
        <f>INDEX(效果参数!$C$23:$H$23,1,C39+1)</f>
        <v>20</v>
      </c>
      <c r="BN39" s="1">
        <f>INDEX(效果参数!$C$24:$H$24,1,C39+1)</f>
        <v>30</v>
      </c>
      <c r="BO39" s="1">
        <f>INDEX(效果参数!$C$25:$H$25,1,C39+1)</f>
        <v>1.5</v>
      </c>
      <c r="BP39" s="1">
        <f>INDEX(效果参数!$C$26:$H$26,1,C39+1)</f>
        <v>0.6</v>
      </c>
      <c r="BQ39" s="1">
        <f>INDEX(效果参数!$C$27:$H$27,1,C39+1)</f>
        <v>0.8</v>
      </c>
      <c r="BR39" s="1">
        <f>INDEX(效果参数!$C$28:$H$28,1,C39+1)</f>
        <v>1</v>
      </c>
      <c r="BS39" s="1">
        <f>INDEX(效果参数!$C$35:$H$35,1,D39+1)</f>
        <v>2.8</v>
      </c>
      <c r="BT39" s="1">
        <f>INDEX(效果参数!$C$36:$H$36,1,D39+1)</f>
        <v>1.4</v>
      </c>
      <c r="BU39" s="1">
        <f>INDEX(效果参数!$C$37:$H$37,1,D39+1)</f>
        <v>0.8</v>
      </c>
      <c r="BV39" s="1">
        <f>INDEX(效果参数!$C$38:$H$38,1,D39+1)</f>
        <v>3</v>
      </c>
      <c r="BW39" s="1">
        <f>INDEX(效果参数!$C$39:$H$39,1,D39+1)</f>
        <v>1</v>
      </c>
      <c r="BX39" s="1">
        <f>INDEX(效果参数!$C$40:$H$40,1,D39+1)</f>
        <v>2</v>
      </c>
      <c r="BY39" s="1">
        <f>INDEX(效果参数!$C$41:$H$41,1,D39+1)</f>
        <v>1</v>
      </c>
      <c r="BZ39" s="1">
        <f>IF(配置与结果!$H$24=1,AR39,MIN(AR39,MAX(0,配置与结果!$H$25)))</f>
        <v>35</v>
      </c>
      <c r="CA39" s="1">
        <f>ROUNDDOWN(配置与结果!$B$17*(1+0.05+Y39),0)</f>
        <v>2830</v>
      </c>
      <c r="CB39" s="1">
        <f>MIN(AD39,ROUNDDOWN((配置与结果!$B$16+CC39)*AC39,0))</f>
        <v>500</v>
      </c>
      <c r="CC39" s="1">
        <f t="shared" si="1"/>
        <v>226</v>
      </c>
      <c r="CD39" s="1">
        <f>INDEX(效果参数!$C$96:$G$96,1,G39)</f>
        <v>0.16</v>
      </c>
      <c r="CE39" s="1">
        <f>INDEX(效果参数!$C$42:$H$42,1,D39+1)</f>
        <v>8</v>
      </c>
      <c r="CF39" s="1">
        <f>INDEX(效果参数!$C$54:$H$54,1,E39+1)</f>
        <v>15</v>
      </c>
      <c r="CG39" s="1">
        <f>INDEX(效果参数!$C$55:$H$55,1,E39+1)</f>
        <v>1.5</v>
      </c>
      <c r="CH39" s="1">
        <f>INDEX(效果参数!$C$106:$G$106,1,H39)</f>
        <v>0.12</v>
      </c>
    </row>
    <row r="40" spans="1:86" ht="33.950000000000003" customHeight="1">
      <c r="A40" s="1">
        <f>37</f>
        <v>37</v>
      </c>
      <c r="B40" s="1" t="str">
        <f>"昨日雨声轻 增幅2"</f>
        <v>昨日雨声轻 增幅2</v>
      </c>
      <c r="C40" s="1">
        <f>配置与结果!B6</f>
        <v>0</v>
      </c>
      <c r="D40" s="1">
        <f>配置与结果!B7</f>
        <v>0</v>
      </c>
      <c r="E40" s="1">
        <f>配置与结果!B8</f>
        <v>0</v>
      </c>
      <c r="F40" s="1">
        <f>配置与结果!B9</f>
        <v>0</v>
      </c>
      <c r="G40" s="1">
        <f>配置与结果!D6</f>
        <v>5</v>
      </c>
      <c r="H40" s="1">
        <f>配置与结果!D7</f>
        <v>1</v>
      </c>
      <c r="I40" s="1">
        <f>2</f>
        <v>2</v>
      </c>
      <c r="J40" s="1">
        <f>配置与结果!D9</f>
        <v>1</v>
      </c>
      <c r="K40" s="1">
        <f>INDEX(效果参数!$C$105:$G$105,1,J40)</f>
        <v>1</v>
      </c>
      <c r="L40" s="1" t="b">
        <f>AND(K40=1,INDEX(效果参数!$C$99:$G$99,1,H40)=1,INDEX(效果参数!$C$29:$H$29,1,C40+1)=1)</f>
        <v>1</v>
      </c>
      <c r="M40" s="7">
        <f>IF(AND(K40=1,L40),SUM(行动计算!AU1338:AU1373),"")</f>
        <v>8402306.9419999998</v>
      </c>
      <c r="N40" s="7">
        <f>IF(K40=1,SUMIFS(行动计算!AU1338:AU1373,行动计算!D1338:D1373,1),"")</f>
        <v>2976743.5019999999</v>
      </c>
      <c r="O40" s="7">
        <f>IF(L40,SUMIFS(行动计算!AU1338:AU1373,行动计算!D1338:D1373,2),"")</f>
        <v>5425563.4399999995</v>
      </c>
      <c r="P40" s="7">
        <f>IF(AND(K40=1,L40),SUMIFS(行动计算!AU1338:AU1373,行动计算!F1338:F1373,1),"")</f>
        <v>7082954</v>
      </c>
      <c r="Q40" s="7">
        <f>IF(AND(K40=1,L40),SUMIFS(行动计算!AU1338:AU1373,行动计算!F1338:F1373,2),"")</f>
        <v>617035.48</v>
      </c>
      <c r="R40" s="7">
        <f>IF(AND(K40=1,L40),SUMIFS(行动计算!AU1338:AU1373,行动计算!F1338:F1373,3),"")</f>
        <v>446538.37999999995</v>
      </c>
      <c r="S40" s="7">
        <f>IF(AND(K40=1,L40),SUMIFS(行动计算!AU1338:AU1373,行动计算!F1338:F1373,4),"")</f>
        <v>255779.08199999999</v>
      </c>
      <c r="T40" s="8">
        <f t="shared" si="0"/>
        <v>-4.1555966327750604E-2</v>
      </c>
      <c r="U40" s="1">
        <f>INDEX(效果参数!$C$98:$G$98,1,H40)</f>
        <v>0.04</v>
      </c>
      <c r="V40" s="1">
        <f>INDEX(效果参数!$C$97:$G$97,1,G40)</f>
        <v>0.06</v>
      </c>
      <c r="W40" s="1">
        <f>INDEX(效果参数!$C$101:$G$101,1,I40)</f>
        <v>1.4E-2</v>
      </c>
      <c r="X40" s="1">
        <f>INDEX(效果参数!$C$102:$G$102,1,I40)</f>
        <v>0.1</v>
      </c>
      <c r="Y40" s="1">
        <f>INDEX(效果参数!$C$100:$G$100,1,I40)</f>
        <v>0.05</v>
      </c>
      <c r="Z40" s="1">
        <f>INDEX(效果参数!$C$103:$G$103,1,J40)</f>
        <v>0.04</v>
      </c>
      <c r="AA40" s="1">
        <f>INDEX(效果参数!$C$104:$G$104,1,J40)</f>
        <v>4.0000000000000001E-3</v>
      </c>
      <c r="AB40" s="1">
        <f>INDEX(效果参数!$C$30:$H$30,1,D40+1)</f>
        <v>0.3</v>
      </c>
      <c r="AC40" s="1">
        <f>INDEX(效果参数!$C$31:$H$31,1,D40+1)</f>
        <v>0.2</v>
      </c>
      <c r="AD40" s="1">
        <f>INDEX(效果参数!$C$32:$H$32,1,D40+1)</f>
        <v>500</v>
      </c>
      <c r="AE40" s="1">
        <f>INDEX(效果参数!$C$33:$H$33,1,D40+1)</f>
        <v>0.4</v>
      </c>
      <c r="AF40" s="1">
        <f>INDEX(效果参数!$C$34:$H$34,1,D40+1)</f>
        <v>0.4</v>
      </c>
      <c r="AG40" s="1">
        <f>INDEX(效果参数!$C$43:$H$43,1,E40+1)</f>
        <v>0.3</v>
      </c>
      <c r="AH40" s="1">
        <f>INDEX(效果参数!$C$44:$H$44,1,E40+1)</f>
        <v>0.04</v>
      </c>
      <c r="AI40" s="1">
        <f>INDEX(效果参数!$C$45:$H$45,1,E40+1)</f>
        <v>5</v>
      </c>
      <c r="AJ40" s="1">
        <f>INDEX(效果参数!$C$46:$H$46,1,E40+1)</f>
        <v>1</v>
      </c>
      <c r="AK40" s="1">
        <f>INDEX(效果参数!$C$47:$H$47,1,E40+1)</f>
        <v>2</v>
      </c>
      <c r="AL40" s="1">
        <f>INDEX(效果参数!$C$48:$H$48,1,E40+1)</f>
        <v>0.08</v>
      </c>
      <c r="AM40" s="1">
        <f>INDEX(效果参数!$C$49:$H$49,1,E40+1)</f>
        <v>250</v>
      </c>
      <c r="AN40" s="1">
        <f>INDEX(效果参数!$C$50:$H$50,1,E40+1)</f>
        <v>0.15</v>
      </c>
      <c r="AO40" s="1">
        <f>INDEX(效果参数!$C$51:$H$51,1,E40+1)</f>
        <v>0.15</v>
      </c>
      <c r="AP40" s="1">
        <f>INDEX(效果参数!$C$52:$H$52,1,E40+1)</f>
        <v>0.15</v>
      </c>
      <c r="AQ40" s="1">
        <f>INDEX(效果参数!$C$53:$H$53,1,E40+1)</f>
        <v>0.15</v>
      </c>
      <c r="AR40" s="1">
        <f>INDEX(效果参数!$C$56:$H$56,1,F40+1)</f>
        <v>35</v>
      </c>
      <c r="AS40" s="1">
        <f>INDEX(效果参数!$C$57:$H$57,1,F40+1)</f>
        <v>0.01</v>
      </c>
      <c r="AT40" s="1">
        <f>INDEX(效果参数!$C$58:$H$58,1,F40+1)</f>
        <v>7</v>
      </c>
      <c r="AU40" s="1">
        <f>INDEX(效果参数!$C$59:$H$59,1,F40+1)</f>
        <v>0.5</v>
      </c>
      <c r="AV40" s="1">
        <f>INDEX(效果参数!$C$6:$H$6,1,C40+1)</f>
        <v>2</v>
      </c>
      <c r="AW40" s="1">
        <f>INDEX(效果参数!$C$7:$H$7,1,C40+1)</f>
        <v>4</v>
      </c>
      <c r="AX40" s="1">
        <f>INDEX(效果参数!$C$8:$H$8,1,C40+1)</f>
        <v>8</v>
      </c>
      <c r="AY40" s="1">
        <f>INDEX(效果参数!$C$9:$H$9,1,C40+1)</f>
        <v>0.1</v>
      </c>
      <c r="AZ40" s="1">
        <f>INDEX(效果参数!$C$10:$H$10,1,C40+1)</f>
        <v>0.2</v>
      </c>
      <c r="BA40" s="1">
        <f>INDEX(效果参数!$C$11:$H$11,1,C40+1)</f>
        <v>0.6</v>
      </c>
      <c r="BB40" s="1">
        <f>INDEX(效果参数!$C$12:$H$12,1,C40+1)</f>
        <v>1.2</v>
      </c>
      <c r="BC40" s="1">
        <f>INDEX(效果参数!$C$13:$H$13,1,C40+1)</f>
        <v>0.06</v>
      </c>
      <c r="BD40" s="1">
        <f>INDEX(效果参数!$C$14:$H$14,1,C40+1)</f>
        <v>3</v>
      </c>
      <c r="BE40" s="1">
        <f>INDEX(效果参数!$C$15:$H$15,1,C40+1)</f>
        <v>1</v>
      </c>
      <c r="BF40" s="1">
        <f>INDEX(效果参数!$C$16:$H$16,1,C40+1)</f>
        <v>2.5000000000000001E-2</v>
      </c>
      <c r="BG40" s="1">
        <f>INDEX(效果参数!$C$17:$H$17,1,C40+1)</f>
        <v>18</v>
      </c>
      <c r="BH40" s="1">
        <f>INDEX(效果参数!$C$18:$H$18,1,C40+1)</f>
        <v>18</v>
      </c>
      <c r="BI40" s="1">
        <f>INDEX(效果参数!$C$19:$H$19,1,C40+1)</f>
        <v>1</v>
      </c>
      <c r="BJ40" s="1">
        <f>INDEX(效果参数!$C$20:$H$20,1,C40+1)</f>
        <v>1</v>
      </c>
      <c r="BK40" s="1">
        <f>INDEX(效果参数!$C$21:$H$21,1,C40+1)</f>
        <v>0.2</v>
      </c>
      <c r="BL40" s="1">
        <f>INDEX(效果参数!$C$22:$H$22,1,C40+1)</f>
        <v>9</v>
      </c>
      <c r="BM40" s="1">
        <f>INDEX(效果参数!$C$23:$H$23,1,C40+1)</f>
        <v>20</v>
      </c>
      <c r="BN40" s="1">
        <f>INDEX(效果参数!$C$24:$H$24,1,C40+1)</f>
        <v>30</v>
      </c>
      <c r="BO40" s="1">
        <f>INDEX(效果参数!$C$25:$H$25,1,C40+1)</f>
        <v>1.5</v>
      </c>
      <c r="BP40" s="1">
        <f>INDEX(效果参数!$C$26:$H$26,1,C40+1)</f>
        <v>0.6</v>
      </c>
      <c r="BQ40" s="1">
        <f>INDEX(效果参数!$C$27:$H$27,1,C40+1)</f>
        <v>0.8</v>
      </c>
      <c r="BR40" s="1">
        <f>INDEX(效果参数!$C$28:$H$28,1,C40+1)</f>
        <v>1</v>
      </c>
      <c r="BS40" s="1">
        <f>INDEX(效果参数!$C$35:$H$35,1,D40+1)</f>
        <v>2.8</v>
      </c>
      <c r="BT40" s="1">
        <f>INDEX(效果参数!$C$36:$H$36,1,D40+1)</f>
        <v>1.4</v>
      </c>
      <c r="BU40" s="1">
        <f>INDEX(效果参数!$C$37:$H$37,1,D40+1)</f>
        <v>0.8</v>
      </c>
      <c r="BV40" s="1">
        <f>INDEX(效果参数!$C$38:$H$38,1,D40+1)</f>
        <v>3</v>
      </c>
      <c r="BW40" s="1">
        <f>INDEX(效果参数!$C$39:$H$39,1,D40+1)</f>
        <v>1</v>
      </c>
      <c r="BX40" s="1">
        <f>INDEX(效果参数!$C$40:$H$40,1,D40+1)</f>
        <v>2</v>
      </c>
      <c r="BY40" s="1">
        <f>INDEX(效果参数!$C$41:$H$41,1,D40+1)</f>
        <v>1</v>
      </c>
      <c r="BZ40" s="1">
        <f>IF(配置与结果!$H$24=1,AR40,MIN(AR40,MAX(0,配置与结果!$H$25)))</f>
        <v>35</v>
      </c>
      <c r="CA40" s="1">
        <f>ROUNDDOWN(配置与结果!$B$17*(1+0.05+Y40),0)</f>
        <v>2856</v>
      </c>
      <c r="CB40" s="1">
        <f>MIN(AD40,ROUNDDOWN((配置与结果!$B$16+CC40)*AC40,0))</f>
        <v>500</v>
      </c>
      <c r="CC40" s="1">
        <f t="shared" si="1"/>
        <v>228</v>
      </c>
      <c r="CD40" s="1">
        <f>INDEX(效果参数!$C$96:$G$96,1,G40)</f>
        <v>0.16</v>
      </c>
      <c r="CE40" s="1">
        <f>INDEX(效果参数!$C$42:$H$42,1,D40+1)</f>
        <v>8</v>
      </c>
      <c r="CF40" s="1">
        <f>INDEX(效果参数!$C$54:$H$54,1,E40+1)</f>
        <v>15</v>
      </c>
      <c r="CG40" s="1">
        <f>INDEX(效果参数!$C$55:$H$55,1,E40+1)</f>
        <v>1.5</v>
      </c>
      <c r="CH40" s="1">
        <f>INDEX(效果参数!$C$106:$G$106,1,H40)</f>
        <v>0.12</v>
      </c>
    </row>
    <row r="41" spans="1:86" ht="33.950000000000003" customHeight="1">
      <c r="A41" s="1">
        <f>38</f>
        <v>38</v>
      </c>
      <c r="B41" s="1" t="str">
        <f>"昨日雨声轻 增幅3"</f>
        <v>昨日雨声轻 增幅3</v>
      </c>
      <c r="C41" s="1">
        <f>配置与结果!B6</f>
        <v>0</v>
      </c>
      <c r="D41" s="1">
        <f>配置与结果!B7</f>
        <v>0</v>
      </c>
      <c r="E41" s="1">
        <f>配置与结果!B8</f>
        <v>0</v>
      </c>
      <c r="F41" s="1">
        <f>配置与结果!B9</f>
        <v>0</v>
      </c>
      <c r="G41" s="1">
        <f>配置与结果!D6</f>
        <v>5</v>
      </c>
      <c r="H41" s="1">
        <f>配置与结果!D7</f>
        <v>1</v>
      </c>
      <c r="I41" s="1">
        <f>3</f>
        <v>3</v>
      </c>
      <c r="J41" s="1">
        <f>配置与结果!D9</f>
        <v>1</v>
      </c>
      <c r="K41" s="1">
        <f>INDEX(效果参数!$C$105:$G$105,1,J41)</f>
        <v>1</v>
      </c>
      <c r="L41" s="1" t="b">
        <f>AND(K41=1,INDEX(效果参数!$C$99:$G$99,1,H41)=1,INDEX(效果参数!$C$29:$H$29,1,C41+1)=1)</f>
        <v>1</v>
      </c>
      <c r="M41" s="7">
        <f>IF(AND(K41=1,L41),SUM(行动计算!AU1374:AU1409),"")</f>
        <v>8513503.3949999996</v>
      </c>
      <c r="N41" s="7">
        <f>IF(K41=1,SUMIFS(行动计算!AU1374:AU1409,行动计算!D1374:D1409,1),"")</f>
        <v>3023154.4749999996</v>
      </c>
      <c r="O41" s="7">
        <f>IF(L41,SUMIFS(行动计算!AU1374:AU1409,行动计算!D1374:D1409,2),"")</f>
        <v>5490348.9199999999</v>
      </c>
      <c r="P41" s="7">
        <f>IF(AND(K41=1,L41),SUMIFS(行动计算!AU1374:AU1409,行动计算!F1374:F1409,1),"")</f>
        <v>7170327</v>
      </c>
      <c r="Q41" s="7">
        <f>IF(AND(K41=1,L41),SUMIFS(行动计算!AU1374:AU1409,行动计算!F1374:F1409,2),"")</f>
        <v>625159.96</v>
      </c>
      <c r="R41" s="7">
        <f>IF(AND(K41=1,L41),SUMIFS(行动计算!AU1374:AU1409,行动计算!F1374:F1409,3),"")</f>
        <v>457532.80000000005</v>
      </c>
      <c r="S41" s="7">
        <f>IF(AND(K41=1,L41),SUMIFS(行动计算!AU1374:AU1409,行动计算!F1374:F1409,4),"")</f>
        <v>260483.63500000001</v>
      </c>
      <c r="T41" s="8">
        <f t="shared" si="0"/>
        <v>-2.8871881149829526E-2</v>
      </c>
      <c r="U41" s="1">
        <f>INDEX(效果参数!$C$98:$G$98,1,H41)</f>
        <v>0.04</v>
      </c>
      <c r="V41" s="1">
        <f>INDEX(效果参数!$C$97:$G$97,1,G41)</f>
        <v>0.06</v>
      </c>
      <c r="W41" s="1">
        <f>INDEX(效果参数!$C$101:$G$101,1,I41)</f>
        <v>1.6E-2</v>
      </c>
      <c r="X41" s="1">
        <f>INDEX(效果参数!$C$102:$G$102,1,I41)</f>
        <v>0.12</v>
      </c>
      <c r="Y41" s="1">
        <f>INDEX(效果参数!$C$100:$G$100,1,I41)</f>
        <v>0.06</v>
      </c>
      <c r="Z41" s="1">
        <f>INDEX(效果参数!$C$103:$G$103,1,J41)</f>
        <v>0.04</v>
      </c>
      <c r="AA41" s="1">
        <f>INDEX(效果参数!$C$104:$G$104,1,J41)</f>
        <v>4.0000000000000001E-3</v>
      </c>
      <c r="AB41" s="1">
        <f>INDEX(效果参数!$C$30:$H$30,1,D41+1)</f>
        <v>0.3</v>
      </c>
      <c r="AC41" s="1">
        <f>INDEX(效果参数!$C$31:$H$31,1,D41+1)</f>
        <v>0.2</v>
      </c>
      <c r="AD41" s="1">
        <f>INDEX(效果参数!$C$32:$H$32,1,D41+1)</f>
        <v>500</v>
      </c>
      <c r="AE41" s="1">
        <f>INDEX(效果参数!$C$33:$H$33,1,D41+1)</f>
        <v>0.4</v>
      </c>
      <c r="AF41" s="1">
        <f>INDEX(效果参数!$C$34:$H$34,1,D41+1)</f>
        <v>0.4</v>
      </c>
      <c r="AG41" s="1">
        <f>INDEX(效果参数!$C$43:$H$43,1,E41+1)</f>
        <v>0.3</v>
      </c>
      <c r="AH41" s="1">
        <f>INDEX(效果参数!$C$44:$H$44,1,E41+1)</f>
        <v>0.04</v>
      </c>
      <c r="AI41" s="1">
        <f>INDEX(效果参数!$C$45:$H$45,1,E41+1)</f>
        <v>5</v>
      </c>
      <c r="AJ41" s="1">
        <f>INDEX(效果参数!$C$46:$H$46,1,E41+1)</f>
        <v>1</v>
      </c>
      <c r="AK41" s="1">
        <f>INDEX(效果参数!$C$47:$H$47,1,E41+1)</f>
        <v>2</v>
      </c>
      <c r="AL41" s="1">
        <f>INDEX(效果参数!$C$48:$H$48,1,E41+1)</f>
        <v>0.08</v>
      </c>
      <c r="AM41" s="1">
        <f>INDEX(效果参数!$C$49:$H$49,1,E41+1)</f>
        <v>250</v>
      </c>
      <c r="AN41" s="1">
        <f>INDEX(效果参数!$C$50:$H$50,1,E41+1)</f>
        <v>0.15</v>
      </c>
      <c r="AO41" s="1">
        <f>INDEX(效果参数!$C$51:$H$51,1,E41+1)</f>
        <v>0.15</v>
      </c>
      <c r="AP41" s="1">
        <f>INDEX(效果参数!$C$52:$H$52,1,E41+1)</f>
        <v>0.15</v>
      </c>
      <c r="AQ41" s="1">
        <f>INDEX(效果参数!$C$53:$H$53,1,E41+1)</f>
        <v>0.15</v>
      </c>
      <c r="AR41" s="1">
        <f>INDEX(效果参数!$C$56:$H$56,1,F41+1)</f>
        <v>35</v>
      </c>
      <c r="AS41" s="1">
        <f>INDEX(效果参数!$C$57:$H$57,1,F41+1)</f>
        <v>0.01</v>
      </c>
      <c r="AT41" s="1">
        <f>INDEX(效果参数!$C$58:$H$58,1,F41+1)</f>
        <v>7</v>
      </c>
      <c r="AU41" s="1">
        <f>INDEX(效果参数!$C$59:$H$59,1,F41+1)</f>
        <v>0.5</v>
      </c>
      <c r="AV41" s="1">
        <f>INDEX(效果参数!$C$6:$H$6,1,C41+1)</f>
        <v>2</v>
      </c>
      <c r="AW41" s="1">
        <f>INDEX(效果参数!$C$7:$H$7,1,C41+1)</f>
        <v>4</v>
      </c>
      <c r="AX41" s="1">
        <f>INDEX(效果参数!$C$8:$H$8,1,C41+1)</f>
        <v>8</v>
      </c>
      <c r="AY41" s="1">
        <f>INDEX(效果参数!$C$9:$H$9,1,C41+1)</f>
        <v>0.1</v>
      </c>
      <c r="AZ41" s="1">
        <f>INDEX(效果参数!$C$10:$H$10,1,C41+1)</f>
        <v>0.2</v>
      </c>
      <c r="BA41" s="1">
        <f>INDEX(效果参数!$C$11:$H$11,1,C41+1)</f>
        <v>0.6</v>
      </c>
      <c r="BB41" s="1">
        <f>INDEX(效果参数!$C$12:$H$12,1,C41+1)</f>
        <v>1.2</v>
      </c>
      <c r="BC41" s="1">
        <f>INDEX(效果参数!$C$13:$H$13,1,C41+1)</f>
        <v>0.06</v>
      </c>
      <c r="BD41" s="1">
        <f>INDEX(效果参数!$C$14:$H$14,1,C41+1)</f>
        <v>3</v>
      </c>
      <c r="BE41" s="1">
        <f>INDEX(效果参数!$C$15:$H$15,1,C41+1)</f>
        <v>1</v>
      </c>
      <c r="BF41" s="1">
        <f>INDEX(效果参数!$C$16:$H$16,1,C41+1)</f>
        <v>2.5000000000000001E-2</v>
      </c>
      <c r="BG41" s="1">
        <f>INDEX(效果参数!$C$17:$H$17,1,C41+1)</f>
        <v>18</v>
      </c>
      <c r="BH41" s="1">
        <f>INDEX(效果参数!$C$18:$H$18,1,C41+1)</f>
        <v>18</v>
      </c>
      <c r="BI41" s="1">
        <f>INDEX(效果参数!$C$19:$H$19,1,C41+1)</f>
        <v>1</v>
      </c>
      <c r="BJ41" s="1">
        <f>INDEX(效果参数!$C$20:$H$20,1,C41+1)</f>
        <v>1</v>
      </c>
      <c r="BK41" s="1">
        <f>INDEX(效果参数!$C$21:$H$21,1,C41+1)</f>
        <v>0.2</v>
      </c>
      <c r="BL41" s="1">
        <f>INDEX(效果参数!$C$22:$H$22,1,C41+1)</f>
        <v>9</v>
      </c>
      <c r="BM41" s="1">
        <f>INDEX(效果参数!$C$23:$H$23,1,C41+1)</f>
        <v>20</v>
      </c>
      <c r="BN41" s="1">
        <f>INDEX(效果参数!$C$24:$H$24,1,C41+1)</f>
        <v>30</v>
      </c>
      <c r="BO41" s="1">
        <f>INDEX(效果参数!$C$25:$H$25,1,C41+1)</f>
        <v>1.5</v>
      </c>
      <c r="BP41" s="1">
        <f>INDEX(效果参数!$C$26:$H$26,1,C41+1)</f>
        <v>0.6</v>
      </c>
      <c r="BQ41" s="1">
        <f>INDEX(效果参数!$C$27:$H$27,1,C41+1)</f>
        <v>0.8</v>
      </c>
      <c r="BR41" s="1">
        <f>INDEX(效果参数!$C$28:$H$28,1,C41+1)</f>
        <v>1</v>
      </c>
      <c r="BS41" s="1">
        <f>INDEX(效果参数!$C$35:$H$35,1,D41+1)</f>
        <v>2.8</v>
      </c>
      <c r="BT41" s="1">
        <f>INDEX(效果参数!$C$36:$H$36,1,D41+1)</f>
        <v>1.4</v>
      </c>
      <c r="BU41" s="1">
        <f>INDEX(效果参数!$C$37:$H$37,1,D41+1)</f>
        <v>0.8</v>
      </c>
      <c r="BV41" s="1">
        <f>INDEX(效果参数!$C$38:$H$38,1,D41+1)</f>
        <v>3</v>
      </c>
      <c r="BW41" s="1">
        <f>INDEX(效果参数!$C$39:$H$39,1,D41+1)</f>
        <v>1</v>
      </c>
      <c r="BX41" s="1">
        <f>INDEX(效果参数!$C$40:$H$40,1,D41+1)</f>
        <v>2</v>
      </c>
      <c r="BY41" s="1">
        <f>INDEX(效果参数!$C$41:$H$41,1,D41+1)</f>
        <v>1</v>
      </c>
      <c r="BZ41" s="1">
        <f>IF(配置与结果!$H$24=1,AR41,MIN(AR41,MAX(0,配置与结果!$H$25)))</f>
        <v>35</v>
      </c>
      <c r="CA41" s="1">
        <f>ROUNDDOWN(配置与结果!$B$17*(1+0.05+Y41),0)</f>
        <v>2882</v>
      </c>
      <c r="CB41" s="1">
        <f>MIN(AD41,ROUNDDOWN((配置与结果!$B$16+CC41)*AC41,0))</f>
        <v>500</v>
      </c>
      <c r="CC41" s="1">
        <f t="shared" si="1"/>
        <v>230</v>
      </c>
      <c r="CD41" s="1">
        <f>INDEX(效果参数!$C$96:$G$96,1,G41)</f>
        <v>0.16</v>
      </c>
      <c r="CE41" s="1">
        <f>INDEX(效果参数!$C$42:$H$42,1,D41+1)</f>
        <v>8</v>
      </c>
      <c r="CF41" s="1">
        <f>INDEX(效果参数!$C$54:$H$54,1,E41+1)</f>
        <v>15</v>
      </c>
      <c r="CG41" s="1">
        <f>INDEX(效果参数!$C$55:$H$55,1,E41+1)</f>
        <v>1.5</v>
      </c>
      <c r="CH41" s="1">
        <f>INDEX(效果参数!$C$106:$G$106,1,H41)</f>
        <v>0.12</v>
      </c>
    </row>
    <row r="42" spans="1:86" ht="33.950000000000003" customHeight="1">
      <c r="A42" s="1">
        <f>39</f>
        <v>39</v>
      </c>
      <c r="B42" s="1" t="str">
        <f>"昨日雨声轻 增幅4"</f>
        <v>昨日雨声轻 增幅4</v>
      </c>
      <c r="C42" s="1">
        <f>配置与结果!B6</f>
        <v>0</v>
      </c>
      <c r="D42" s="1">
        <f>配置与结果!B7</f>
        <v>0</v>
      </c>
      <c r="E42" s="1">
        <f>配置与结果!B8</f>
        <v>0</v>
      </c>
      <c r="F42" s="1">
        <f>配置与结果!B9</f>
        <v>0</v>
      </c>
      <c r="G42" s="1">
        <f>配置与结果!D6</f>
        <v>5</v>
      </c>
      <c r="H42" s="1">
        <f>配置与结果!D7</f>
        <v>1</v>
      </c>
      <c r="I42" s="1">
        <f>4</f>
        <v>4</v>
      </c>
      <c r="J42" s="1">
        <f>配置与结果!D9</f>
        <v>1</v>
      </c>
      <c r="K42" s="1">
        <f>INDEX(效果参数!$C$105:$G$105,1,J42)</f>
        <v>1</v>
      </c>
      <c r="L42" s="1" t="b">
        <f>AND(K42=1,INDEX(效果参数!$C$99:$G$99,1,H42)=1,INDEX(效果参数!$C$29:$H$29,1,C42+1)=1)</f>
        <v>1</v>
      </c>
      <c r="M42" s="7">
        <f>IF(AND(K42=1,L42),SUM(行动计算!AU1410:AU1445),"")</f>
        <v>8639461.1150000021</v>
      </c>
      <c r="N42" s="7">
        <f>IF(K42=1,SUMIFS(行动计算!AU1410:AU1445,行动计算!D1410:D1445,1),"")</f>
        <v>3077880.6350000002</v>
      </c>
      <c r="O42" s="7">
        <f>IF(L42,SUMIFS(行动计算!AU1410:AU1445,行动计算!D1410:D1445,2),"")</f>
        <v>5561580.4800000004</v>
      </c>
      <c r="P42" s="7">
        <f>IF(AND(K42=1,L42),SUMIFS(行动计算!AU1410:AU1445,行动计算!F1410:F1445,1),"")</f>
        <v>7266476</v>
      </c>
      <c r="Q42" s="7">
        <f>IF(AND(K42=1,L42),SUMIFS(行动计算!AU1410:AU1445,行动计算!F1410:F1445,2),"")</f>
        <v>633968.48</v>
      </c>
      <c r="R42" s="7">
        <f>IF(AND(K42=1,L42),SUMIFS(行动计算!AU1410:AU1445,行动计算!F1410:F1445,3),"")</f>
        <v>473521.71500000003</v>
      </c>
      <c r="S42" s="7">
        <f>IF(AND(K42=1,L42),SUMIFS(行动计算!AU1410:AU1445,行动计算!F1410:F1445,4),"")</f>
        <v>265494.92000000004</v>
      </c>
      <c r="T42" s="8">
        <f t="shared" si="0"/>
        <v>-1.4503990752311235E-2</v>
      </c>
      <c r="U42" s="1">
        <f>INDEX(效果参数!$C$98:$G$98,1,H42)</f>
        <v>0.04</v>
      </c>
      <c r="V42" s="1">
        <f>INDEX(效果参数!$C$97:$G$97,1,G42)</f>
        <v>0.06</v>
      </c>
      <c r="W42" s="1">
        <f>INDEX(效果参数!$C$101:$G$101,1,I42)</f>
        <v>1.7999999999999999E-2</v>
      </c>
      <c r="X42" s="1">
        <f>INDEX(效果参数!$C$102:$G$102,1,I42)</f>
        <v>0.14000000000000001</v>
      </c>
      <c r="Y42" s="1">
        <f>INDEX(效果参数!$C$100:$G$100,1,I42)</f>
        <v>0.08</v>
      </c>
      <c r="Z42" s="1">
        <f>INDEX(效果参数!$C$103:$G$103,1,J42)</f>
        <v>0.04</v>
      </c>
      <c r="AA42" s="1">
        <f>INDEX(效果参数!$C$104:$G$104,1,J42)</f>
        <v>4.0000000000000001E-3</v>
      </c>
      <c r="AB42" s="1">
        <f>INDEX(效果参数!$C$30:$H$30,1,D42+1)</f>
        <v>0.3</v>
      </c>
      <c r="AC42" s="1">
        <f>INDEX(效果参数!$C$31:$H$31,1,D42+1)</f>
        <v>0.2</v>
      </c>
      <c r="AD42" s="1">
        <f>INDEX(效果参数!$C$32:$H$32,1,D42+1)</f>
        <v>500</v>
      </c>
      <c r="AE42" s="1">
        <f>INDEX(效果参数!$C$33:$H$33,1,D42+1)</f>
        <v>0.4</v>
      </c>
      <c r="AF42" s="1">
        <f>INDEX(效果参数!$C$34:$H$34,1,D42+1)</f>
        <v>0.4</v>
      </c>
      <c r="AG42" s="1">
        <f>INDEX(效果参数!$C$43:$H$43,1,E42+1)</f>
        <v>0.3</v>
      </c>
      <c r="AH42" s="1">
        <f>INDEX(效果参数!$C$44:$H$44,1,E42+1)</f>
        <v>0.04</v>
      </c>
      <c r="AI42" s="1">
        <f>INDEX(效果参数!$C$45:$H$45,1,E42+1)</f>
        <v>5</v>
      </c>
      <c r="AJ42" s="1">
        <f>INDEX(效果参数!$C$46:$H$46,1,E42+1)</f>
        <v>1</v>
      </c>
      <c r="AK42" s="1">
        <f>INDEX(效果参数!$C$47:$H$47,1,E42+1)</f>
        <v>2</v>
      </c>
      <c r="AL42" s="1">
        <f>INDEX(效果参数!$C$48:$H$48,1,E42+1)</f>
        <v>0.08</v>
      </c>
      <c r="AM42" s="1">
        <f>INDEX(效果参数!$C$49:$H$49,1,E42+1)</f>
        <v>250</v>
      </c>
      <c r="AN42" s="1">
        <f>INDEX(效果参数!$C$50:$H$50,1,E42+1)</f>
        <v>0.15</v>
      </c>
      <c r="AO42" s="1">
        <f>INDEX(效果参数!$C$51:$H$51,1,E42+1)</f>
        <v>0.15</v>
      </c>
      <c r="AP42" s="1">
        <f>INDEX(效果参数!$C$52:$H$52,1,E42+1)</f>
        <v>0.15</v>
      </c>
      <c r="AQ42" s="1">
        <f>INDEX(效果参数!$C$53:$H$53,1,E42+1)</f>
        <v>0.15</v>
      </c>
      <c r="AR42" s="1">
        <f>INDEX(效果参数!$C$56:$H$56,1,F42+1)</f>
        <v>35</v>
      </c>
      <c r="AS42" s="1">
        <f>INDEX(效果参数!$C$57:$H$57,1,F42+1)</f>
        <v>0.01</v>
      </c>
      <c r="AT42" s="1">
        <f>INDEX(效果参数!$C$58:$H$58,1,F42+1)</f>
        <v>7</v>
      </c>
      <c r="AU42" s="1">
        <f>INDEX(效果参数!$C$59:$H$59,1,F42+1)</f>
        <v>0.5</v>
      </c>
      <c r="AV42" s="1">
        <f>INDEX(效果参数!$C$6:$H$6,1,C42+1)</f>
        <v>2</v>
      </c>
      <c r="AW42" s="1">
        <f>INDEX(效果参数!$C$7:$H$7,1,C42+1)</f>
        <v>4</v>
      </c>
      <c r="AX42" s="1">
        <f>INDEX(效果参数!$C$8:$H$8,1,C42+1)</f>
        <v>8</v>
      </c>
      <c r="AY42" s="1">
        <f>INDEX(效果参数!$C$9:$H$9,1,C42+1)</f>
        <v>0.1</v>
      </c>
      <c r="AZ42" s="1">
        <f>INDEX(效果参数!$C$10:$H$10,1,C42+1)</f>
        <v>0.2</v>
      </c>
      <c r="BA42" s="1">
        <f>INDEX(效果参数!$C$11:$H$11,1,C42+1)</f>
        <v>0.6</v>
      </c>
      <c r="BB42" s="1">
        <f>INDEX(效果参数!$C$12:$H$12,1,C42+1)</f>
        <v>1.2</v>
      </c>
      <c r="BC42" s="1">
        <f>INDEX(效果参数!$C$13:$H$13,1,C42+1)</f>
        <v>0.06</v>
      </c>
      <c r="BD42" s="1">
        <f>INDEX(效果参数!$C$14:$H$14,1,C42+1)</f>
        <v>3</v>
      </c>
      <c r="BE42" s="1">
        <f>INDEX(效果参数!$C$15:$H$15,1,C42+1)</f>
        <v>1</v>
      </c>
      <c r="BF42" s="1">
        <f>INDEX(效果参数!$C$16:$H$16,1,C42+1)</f>
        <v>2.5000000000000001E-2</v>
      </c>
      <c r="BG42" s="1">
        <f>INDEX(效果参数!$C$17:$H$17,1,C42+1)</f>
        <v>18</v>
      </c>
      <c r="BH42" s="1">
        <f>INDEX(效果参数!$C$18:$H$18,1,C42+1)</f>
        <v>18</v>
      </c>
      <c r="BI42" s="1">
        <f>INDEX(效果参数!$C$19:$H$19,1,C42+1)</f>
        <v>1</v>
      </c>
      <c r="BJ42" s="1">
        <f>INDEX(效果参数!$C$20:$H$20,1,C42+1)</f>
        <v>1</v>
      </c>
      <c r="BK42" s="1">
        <f>INDEX(效果参数!$C$21:$H$21,1,C42+1)</f>
        <v>0.2</v>
      </c>
      <c r="BL42" s="1">
        <f>INDEX(效果参数!$C$22:$H$22,1,C42+1)</f>
        <v>9</v>
      </c>
      <c r="BM42" s="1">
        <f>INDEX(效果参数!$C$23:$H$23,1,C42+1)</f>
        <v>20</v>
      </c>
      <c r="BN42" s="1">
        <f>INDEX(效果参数!$C$24:$H$24,1,C42+1)</f>
        <v>30</v>
      </c>
      <c r="BO42" s="1">
        <f>INDEX(效果参数!$C$25:$H$25,1,C42+1)</f>
        <v>1.5</v>
      </c>
      <c r="BP42" s="1">
        <f>INDEX(效果参数!$C$26:$H$26,1,C42+1)</f>
        <v>0.6</v>
      </c>
      <c r="BQ42" s="1">
        <f>INDEX(效果参数!$C$27:$H$27,1,C42+1)</f>
        <v>0.8</v>
      </c>
      <c r="BR42" s="1">
        <f>INDEX(效果参数!$C$28:$H$28,1,C42+1)</f>
        <v>1</v>
      </c>
      <c r="BS42" s="1">
        <f>INDEX(效果参数!$C$35:$H$35,1,D42+1)</f>
        <v>2.8</v>
      </c>
      <c r="BT42" s="1">
        <f>INDEX(效果参数!$C$36:$H$36,1,D42+1)</f>
        <v>1.4</v>
      </c>
      <c r="BU42" s="1">
        <f>INDEX(效果参数!$C$37:$H$37,1,D42+1)</f>
        <v>0.8</v>
      </c>
      <c r="BV42" s="1">
        <f>INDEX(效果参数!$C$38:$H$38,1,D42+1)</f>
        <v>3</v>
      </c>
      <c r="BW42" s="1">
        <f>INDEX(效果参数!$C$39:$H$39,1,D42+1)</f>
        <v>1</v>
      </c>
      <c r="BX42" s="1">
        <f>INDEX(效果参数!$C$40:$H$40,1,D42+1)</f>
        <v>2</v>
      </c>
      <c r="BY42" s="1">
        <f>INDEX(效果参数!$C$41:$H$41,1,D42+1)</f>
        <v>1</v>
      </c>
      <c r="BZ42" s="1">
        <f>IF(配置与结果!$H$24=1,AR42,MIN(AR42,MAX(0,配置与结果!$H$25)))</f>
        <v>35</v>
      </c>
      <c r="CA42" s="1">
        <f>ROUNDDOWN(配置与结果!$B$17*(1+0.05+Y42),0)</f>
        <v>2934</v>
      </c>
      <c r="CB42" s="1">
        <f>MIN(AD42,ROUNDDOWN((配置与结果!$B$16+CC42)*AC42,0))</f>
        <v>500</v>
      </c>
      <c r="CC42" s="1">
        <f t="shared" si="1"/>
        <v>234</v>
      </c>
      <c r="CD42" s="1">
        <f>INDEX(效果参数!$C$96:$G$96,1,G42)</f>
        <v>0.16</v>
      </c>
      <c r="CE42" s="1">
        <f>INDEX(效果参数!$C$42:$H$42,1,D42+1)</f>
        <v>8</v>
      </c>
      <c r="CF42" s="1">
        <f>INDEX(效果参数!$C$54:$H$54,1,E42+1)</f>
        <v>15</v>
      </c>
      <c r="CG42" s="1">
        <f>INDEX(效果参数!$C$55:$H$55,1,E42+1)</f>
        <v>1.5</v>
      </c>
      <c r="CH42" s="1">
        <f>INDEX(效果参数!$C$106:$G$106,1,H42)</f>
        <v>0.12</v>
      </c>
    </row>
    <row r="43" spans="1:86" ht="33.950000000000003" customHeight="1">
      <c r="A43" s="1">
        <f>40</f>
        <v>40</v>
      </c>
      <c r="B43" s="1" t="str">
        <f>"昨日雨声轻 增幅5"</f>
        <v>昨日雨声轻 增幅5</v>
      </c>
      <c r="C43" s="1">
        <f>配置与结果!B6</f>
        <v>0</v>
      </c>
      <c r="D43" s="1">
        <f>配置与结果!B7</f>
        <v>0</v>
      </c>
      <c r="E43" s="1">
        <f>配置与结果!B8</f>
        <v>0</v>
      </c>
      <c r="F43" s="1">
        <f>配置与结果!B9</f>
        <v>0</v>
      </c>
      <c r="G43" s="1">
        <f>配置与结果!D6</f>
        <v>5</v>
      </c>
      <c r="H43" s="1">
        <f>配置与结果!D7</f>
        <v>1</v>
      </c>
      <c r="I43" s="1">
        <f>5</f>
        <v>5</v>
      </c>
      <c r="J43" s="1">
        <f>配置与结果!D9</f>
        <v>1</v>
      </c>
      <c r="K43" s="1">
        <f>INDEX(效果参数!$C$105:$G$105,1,J43)</f>
        <v>1</v>
      </c>
      <c r="L43" s="1" t="b">
        <f>AND(K43=1,INDEX(效果参数!$C$99:$G$99,1,H43)=1,INDEX(效果参数!$C$29:$H$29,1,C43+1)=1)</f>
        <v>1</v>
      </c>
      <c r="M43" s="7">
        <f>IF(AND(K43=1,L43),SUM(行动计算!AU1446:AU1481),"")</f>
        <v>8766611.9739999995</v>
      </c>
      <c r="N43" s="7">
        <f>IF(K43=1,SUMIFS(行动计算!AU1446:AU1481,行动计算!D1446:D1481,1),"")</f>
        <v>3133250.6940000001</v>
      </c>
      <c r="O43" s="7">
        <f>IF(L43,SUMIFS(行动计算!AU1446:AU1481,行动计算!D1446:D1481,2),"")</f>
        <v>5633361.2799999993</v>
      </c>
      <c r="P43" s="7">
        <f>IF(AND(K43=1,L43),SUMIFS(行动计算!AU1446:AU1481,行动计算!F1446:F1481,1),"")</f>
        <v>7363386</v>
      </c>
      <c r="Q43" s="7">
        <f>IF(AND(K43=1,L43),SUMIFS(行动计算!AU1446:AU1481,行动计算!F1446:F1481,2),"")</f>
        <v>642844.12</v>
      </c>
      <c r="R43" s="7">
        <f>IF(AND(K43=1,L43),SUMIFS(行动计算!AU1446:AU1481,行动计算!F1446:F1481,3),"")</f>
        <v>489818.29000000004</v>
      </c>
      <c r="S43" s="7">
        <f>IF(AND(K43=1,L43),SUMIFS(行动计算!AU1446:AU1481,行动计算!F1446:F1481,4),"")</f>
        <v>270563.56400000001</v>
      </c>
      <c r="T43" s="8">
        <f t="shared" si="0"/>
        <v>0</v>
      </c>
      <c r="U43" s="1">
        <f>INDEX(效果参数!$C$98:$G$98,1,H43)</f>
        <v>0.04</v>
      </c>
      <c r="V43" s="1">
        <f>INDEX(效果参数!$C$97:$G$97,1,G43)</f>
        <v>0.06</v>
      </c>
      <c r="W43" s="1">
        <f>INDEX(效果参数!$C$101:$G$101,1,I43)</f>
        <v>0.02</v>
      </c>
      <c r="X43" s="1">
        <f>INDEX(效果参数!$C$102:$G$102,1,I43)</f>
        <v>0.16</v>
      </c>
      <c r="Y43" s="1">
        <f>INDEX(效果参数!$C$100:$G$100,1,I43)</f>
        <v>0.1</v>
      </c>
      <c r="Z43" s="1">
        <f>INDEX(效果参数!$C$103:$G$103,1,J43)</f>
        <v>0.04</v>
      </c>
      <c r="AA43" s="1">
        <f>INDEX(效果参数!$C$104:$G$104,1,J43)</f>
        <v>4.0000000000000001E-3</v>
      </c>
      <c r="AB43" s="1">
        <f>INDEX(效果参数!$C$30:$H$30,1,D43+1)</f>
        <v>0.3</v>
      </c>
      <c r="AC43" s="1">
        <f>INDEX(效果参数!$C$31:$H$31,1,D43+1)</f>
        <v>0.2</v>
      </c>
      <c r="AD43" s="1">
        <f>INDEX(效果参数!$C$32:$H$32,1,D43+1)</f>
        <v>500</v>
      </c>
      <c r="AE43" s="1">
        <f>INDEX(效果参数!$C$33:$H$33,1,D43+1)</f>
        <v>0.4</v>
      </c>
      <c r="AF43" s="1">
        <f>INDEX(效果参数!$C$34:$H$34,1,D43+1)</f>
        <v>0.4</v>
      </c>
      <c r="AG43" s="1">
        <f>INDEX(效果参数!$C$43:$H$43,1,E43+1)</f>
        <v>0.3</v>
      </c>
      <c r="AH43" s="1">
        <f>INDEX(效果参数!$C$44:$H$44,1,E43+1)</f>
        <v>0.04</v>
      </c>
      <c r="AI43" s="1">
        <f>INDEX(效果参数!$C$45:$H$45,1,E43+1)</f>
        <v>5</v>
      </c>
      <c r="AJ43" s="1">
        <f>INDEX(效果参数!$C$46:$H$46,1,E43+1)</f>
        <v>1</v>
      </c>
      <c r="AK43" s="1">
        <f>INDEX(效果参数!$C$47:$H$47,1,E43+1)</f>
        <v>2</v>
      </c>
      <c r="AL43" s="1">
        <f>INDEX(效果参数!$C$48:$H$48,1,E43+1)</f>
        <v>0.08</v>
      </c>
      <c r="AM43" s="1">
        <f>INDEX(效果参数!$C$49:$H$49,1,E43+1)</f>
        <v>250</v>
      </c>
      <c r="AN43" s="1">
        <f>INDEX(效果参数!$C$50:$H$50,1,E43+1)</f>
        <v>0.15</v>
      </c>
      <c r="AO43" s="1">
        <f>INDEX(效果参数!$C$51:$H$51,1,E43+1)</f>
        <v>0.15</v>
      </c>
      <c r="AP43" s="1">
        <f>INDEX(效果参数!$C$52:$H$52,1,E43+1)</f>
        <v>0.15</v>
      </c>
      <c r="AQ43" s="1">
        <f>INDEX(效果参数!$C$53:$H$53,1,E43+1)</f>
        <v>0.15</v>
      </c>
      <c r="AR43" s="1">
        <f>INDEX(效果参数!$C$56:$H$56,1,F43+1)</f>
        <v>35</v>
      </c>
      <c r="AS43" s="1">
        <f>INDEX(效果参数!$C$57:$H$57,1,F43+1)</f>
        <v>0.01</v>
      </c>
      <c r="AT43" s="1">
        <f>INDEX(效果参数!$C$58:$H$58,1,F43+1)</f>
        <v>7</v>
      </c>
      <c r="AU43" s="1">
        <f>INDEX(效果参数!$C$59:$H$59,1,F43+1)</f>
        <v>0.5</v>
      </c>
      <c r="AV43" s="1">
        <f>INDEX(效果参数!$C$6:$H$6,1,C43+1)</f>
        <v>2</v>
      </c>
      <c r="AW43" s="1">
        <f>INDEX(效果参数!$C$7:$H$7,1,C43+1)</f>
        <v>4</v>
      </c>
      <c r="AX43" s="1">
        <f>INDEX(效果参数!$C$8:$H$8,1,C43+1)</f>
        <v>8</v>
      </c>
      <c r="AY43" s="1">
        <f>INDEX(效果参数!$C$9:$H$9,1,C43+1)</f>
        <v>0.1</v>
      </c>
      <c r="AZ43" s="1">
        <f>INDEX(效果参数!$C$10:$H$10,1,C43+1)</f>
        <v>0.2</v>
      </c>
      <c r="BA43" s="1">
        <f>INDEX(效果参数!$C$11:$H$11,1,C43+1)</f>
        <v>0.6</v>
      </c>
      <c r="BB43" s="1">
        <f>INDEX(效果参数!$C$12:$H$12,1,C43+1)</f>
        <v>1.2</v>
      </c>
      <c r="BC43" s="1">
        <f>INDEX(效果参数!$C$13:$H$13,1,C43+1)</f>
        <v>0.06</v>
      </c>
      <c r="BD43" s="1">
        <f>INDEX(效果参数!$C$14:$H$14,1,C43+1)</f>
        <v>3</v>
      </c>
      <c r="BE43" s="1">
        <f>INDEX(效果参数!$C$15:$H$15,1,C43+1)</f>
        <v>1</v>
      </c>
      <c r="BF43" s="1">
        <f>INDEX(效果参数!$C$16:$H$16,1,C43+1)</f>
        <v>2.5000000000000001E-2</v>
      </c>
      <c r="BG43" s="1">
        <f>INDEX(效果参数!$C$17:$H$17,1,C43+1)</f>
        <v>18</v>
      </c>
      <c r="BH43" s="1">
        <f>INDEX(效果参数!$C$18:$H$18,1,C43+1)</f>
        <v>18</v>
      </c>
      <c r="BI43" s="1">
        <f>INDEX(效果参数!$C$19:$H$19,1,C43+1)</f>
        <v>1</v>
      </c>
      <c r="BJ43" s="1">
        <f>INDEX(效果参数!$C$20:$H$20,1,C43+1)</f>
        <v>1</v>
      </c>
      <c r="BK43" s="1">
        <f>INDEX(效果参数!$C$21:$H$21,1,C43+1)</f>
        <v>0.2</v>
      </c>
      <c r="BL43" s="1">
        <f>INDEX(效果参数!$C$22:$H$22,1,C43+1)</f>
        <v>9</v>
      </c>
      <c r="BM43" s="1">
        <f>INDEX(效果参数!$C$23:$H$23,1,C43+1)</f>
        <v>20</v>
      </c>
      <c r="BN43" s="1">
        <f>INDEX(效果参数!$C$24:$H$24,1,C43+1)</f>
        <v>30</v>
      </c>
      <c r="BO43" s="1">
        <f>INDEX(效果参数!$C$25:$H$25,1,C43+1)</f>
        <v>1.5</v>
      </c>
      <c r="BP43" s="1">
        <f>INDEX(效果参数!$C$26:$H$26,1,C43+1)</f>
        <v>0.6</v>
      </c>
      <c r="BQ43" s="1">
        <f>INDEX(效果参数!$C$27:$H$27,1,C43+1)</f>
        <v>0.8</v>
      </c>
      <c r="BR43" s="1">
        <f>INDEX(效果参数!$C$28:$H$28,1,C43+1)</f>
        <v>1</v>
      </c>
      <c r="BS43" s="1">
        <f>INDEX(效果参数!$C$35:$H$35,1,D43+1)</f>
        <v>2.8</v>
      </c>
      <c r="BT43" s="1">
        <f>INDEX(效果参数!$C$36:$H$36,1,D43+1)</f>
        <v>1.4</v>
      </c>
      <c r="BU43" s="1">
        <f>INDEX(效果参数!$C$37:$H$37,1,D43+1)</f>
        <v>0.8</v>
      </c>
      <c r="BV43" s="1">
        <f>INDEX(效果参数!$C$38:$H$38,1,D43+1)</f>
        <v>3</v>
      </c>
      <c r="BW43" s="1">
        <f>INDEX(效果参数!$C$39:$H$39,1,D43+1)</f>
        <v>1</v>
      </c>
      <c r="BX43" s="1">
        <f>INDEX(效果参数!$C$40:$H$40,1,D43+1)</f>
        <v>2</v>
      </c>
      <c r="BY43" s="1">
        <f>INDEX(效果参数!$C$41:$H$41,1,D43+1)</f>
        <v>1</v>
      </c>
      <c r="BZ43" s="1">
        <f>IF(配置与结果!$H$24=1,AR43,MIN(AR43,MAX(0,配置与结果!$H$25)))</f>
        <v>35</v>
      </c>
      <c r="CA43" s="1">
        <f>ROUNDDOWN(配置与结果!$B$17*(1+0.05+Y43),0)</f>
        <v>2986</v>
      </c>
      <c r="CB43" s="1">
        <f>MIN(AD43,ROUNDDOWN((配置与结果!$B$16+CC43)*AC43,0))</f>
        <v>500</v>
      </c>
      <c r="CC43" s="1">
        <f t="shared" si="1"/>
        <v>238</v>
      </c>
      <c r="CD43" s="1">
        <f>INDEX(效果参数!$C$96:$G$96,1,G43)</f>
        <v>0.16</v>
      </c>
      <c r="CE43" s="1">
        <f>INDEX(效果参数!$C$42:$H$42,1,D43+1)</f>
        <v>8</v>
      </c>
      <c r="CF43" s="1">
        <f>INDEX(效果参数!$C$54:$H$54,1,E43+1)</f>
        <v>15</v>
      </c>
      <c r="CG43" s="1">
        <f>INDEX(效果参数!$C$55:$H$55,1,E43+1)</f>
        <v>1.5</v>
      </c>
      <c r="CH43" s="1">
        <f>INDEX(效果参数!$C$106:$G$106,1,H43)</f>
        <v>0.12</v>
      </c>
    </row>
    <row r="44" spans="1:86" ht="33.950000000000003" customHeight="1">
      <c r="A44" s="1">
        <f>41</f>
        <v>41</v>
      </c>
      <c r="B44" s="1" t="str">
        <f>"家庭指导员 增幅1"</f>
        <v>家庭指导员 增幅1</v>
      </c>
      <c r="C44" s="1">
        <f>配置与结果!B6</f>
        <v>0</v>
      </c>
      <c r="D44" s="1">
        <f>配置与结果!B7</f>
        <v>0</v>
      </c>
      <c r="E44" s="1">
        <f>配置与结果!B8</f>
        <v>0</v>
      </c>
      <c r="F44" s="1">
        <f>配置与结果!B9</f>
        <v>0</v>
      </c>
      <c r="G44" s="1">
        <f>配置与结果!D6</f>
        <v>5</v>
      </c>
      <c r="H44" s="1">
        <f>配置与结果!D7</f>
        <v>1</v>
      </c>
      <c r="I44" s="1">
        <f>配置与结果!D8</f>
        <v>5</v>
      </c>
      <c r="J44" s="1">
        <f>1</f>
        <v>1</v>
      </c>
      <c r="K44" s="1">
        <f>INDEX(效果参数!$C$105:$G$105,1,J44)</f>
        <v>1</v>
      </c>
      <c r="L44" s="1" t="b">
        <f>AND(K44=1,INDEX(效果参数!$C$99:$G$99,1,H44)=1,INDEX(效果参数!$C$29:$H$29,1,C44+1)=1)</f>
        <v>1</v>
      </c>
      <c r="M44" s="7">
        <f>IF(AND(K44=1,L44),SUM(行动计算!AU1482:AU1517),"")</f>
        <v>8766611.9739999995</v>
      </c>
      <c r="N44" s="7">
        <f>IF(K44=1,SUMIFS(行动计算!AU1482:AU1517,行动计算!D1482:D1517,1),"")</f>
        <v>3133250.6940000001</v>
      </c>
      <c r="O44" s="7">
        <f>IF(L44,SUMIFS(行动计算!AU1482:AU1517,行动计算!D1482:D1517,2),"")</f>
        <v>5633361.2799999993</v>
      </c>
      <c r="P44" s="7">
        <f>IF(AND(K44=1,L44),SUMIFS(行动计算!AU1482:AU1517,行动计算!F1482:F1517,1),"")</f>
        <v>7363386</v>
      </c>
      <c r="Q44" s="7">
        <f>IF(AND(K44=1,L44),SUMIFS(行动计算!AU1482:AU1517,行动计算!F1482:F1517,2),"")</f>
        <v>642844.12</v>
      </c>
      <c r="R44" s="7">
        <f>IF(AND(K44=1,L44),SUMIFS(行动计算!AU1482:AU1517,行动计算!F1482:F1517,3),"")</f>
        <v>489818.29000000004</v>
      </c>
      <c r="S44" s="7">
        <f>IF(AND(K44=1,L44),SUMIFS(行动计算!AU1482:AU1517,行动计算!F1482:F1517,4),"")</f>
        <v>270563.56400000001</v>
      </c>
      <c r="T44" s="8">
        <f t="shared" si="0"/>
        <v>0</v>
      </c>
      <c r="U44" s="1">
        <f>INDEX(效果参数!$C$98:$G$98,1,H44)</f>
        <v>0.04</v>
      </c>
      <c r="V44" s="1">
        <f>INDEX(效果参数!$C$97:$G$97,1,G44)</f>
        <v>0.06</v>
      </c>
      <c r="W44" s="1">
        <f>INDEX(效果参数!$C$101:$G$101,1,I44)</f>
        <v>0.02</v>
      </c>
      <c r="X44" s="1">
        <f>INDEX(效果参数!$C$102:$G$102,1,I44)</f>
        <v>0.16</v>
      </c>
      <c r="Y44" s="1">
        <f>INDEX(效果参数!$C$100:$G$100,1,I44)</f>
        <v>0.1</v>
      </c>
      <c r="Z44" s="1">
        <f>INDEX(效果参数!$C$103:$G$103,1,J44)</f>
        <v>0.04</v>
      </c>
      <c r="AA44" s="1">
        <f>INDEX(效果参数!$C$104:$G$104,1,J44)</f>
        <v>4.0000000000000001E-3</v>
      </c>
      <c r="AB44" s="1">
        <f>INDEX(效果参数!$C$30:$H$30,1,D44+1)</f>
        <v>0.3</v>
      </c>
      <c r="AC44" s="1">
        <f>INDEX(效果参数!$C$31:$H$31,1,D44+1)</f>
        <v>0.2</v>
      </c>
      <c r="AD44" s="1">
        <f>INDEX(效果参数!$C$32:$H$32,1,D44+1)</f>
        <v>500</v>
      </c>
      <c r="AE44" s="1">
        <f>INDEX(效果参数!$C$33:$H$33,1,D44+1)</f>
        <v>0.4</v>
      </c>
      <c r="AF44" s="1">
        <f>INDEX(效果参数!$C$34:$H$34,1,D44+1)</f>
        <v>0.4</v>
      </c>
      <c r="AG44" s="1">
        <f>INDEX(效果参数!$C$43:$H$43,1,E44+1)</f>
        <v>0.3</v>
      </c>
      <c r="AH44" s="1">
        <f>INDEX(效果参数!$C$44:$H$44,1,E44+1)</f>
        <v>0.04</v>
      </c>
      <c r="AI44" s="1">
        <f>INDEX(效果参数!$C$45:$H$45,1,E44+1)</f>
        <v>5</v>
      </c>
      <c r="AJ44" s="1">
        <f>INDEX(效果参数!$C$46:$H$46,1,E44+1)</f>
        <v>1</v>
      </c>
      <c r="AK44" s="1">
        <f>INDEX(效果参数!$C$47:$H$47,1,E44+1)</f>
        <v>2</v>
      </c>
      <c r="AL44" s="1">
        <f>INDEX(效果参数!$C$48:$H$48,1,E44+1)</f>
        <v>0.08</v>
      </c>
      <c r="AM44" s="1">
        <f>INDEX(效果参数!$C$49:$H$49,1,E44+1)</f>
        <v>250</v>
      </c>
      <c r="AN44" s="1">
        <f>INDEX(效果参数!$C$50:$H$50,1,E44+1)</f>
        <v>0.15</v>
      </c>
      <c r="AO44" s="1">
        <f>INDEX(效果参数!$C$51:$H$51,1,E44+1)</f>
        <v>0.15</v>
      </c>
      <c r="AP44" s="1">
        <f>INDEX(效果参数!$C$52:$H$52,1,E44+1)</f>
        <v>0.15</v>
      </c>
      <c r="AQ44" s="1">
        <f>INDEX(效果参数!$C$53:$H$53,1,E44+1)</f>
        <v>0.15</v>
      </c>
      <c r="AR44" s="1">
        <f>INDEX(效果参数!$C$56:$H$56,1,F44+1)</f>
        <v>35</v>
      </c>
      <c r="AS44" s="1">
        <f>INDEX(效果参数!$C$57:$H$57,1,F44+1)</f>
        <v>0.01</v>
      </c>
      <c r="AT44" s="1">
        <f>INDEX(效果参数!$C$58:$H$58,1,F44+1)</f>
        <v>7</v>
      </c>
      <c r="AU44" s="1">
        <f>INDEX(效果参数!$C$59:$H$59,1,F44+1)</f>
        <v>0.5</v>
      </c>
      <c r="AV44" s="1">
        <f>INDEX(效果参数!$C$6:$H$6,1,C44+1)</f>
        <v>2</v>
      </c>
      <c r="AW44" s="1">
        <f>INDEX(效果参数!$C$7:$H$7,1,C44+1)</f>
        <v>4</v>
      </c>
      <c r="AX44" s="1">
        <f>INDEX(效果参数!$C$8:$H$8,1,C44+1)</f>
        <v>8</v>
      </c>
      <c r="AY44" s="1">
        <f>INDEX(效果参数!$C$9:$H$9,1,C44+1)</f>
        <v>0.1</v>
      </c>
      <c r="AZ44" s="1">
        <f>INDEX(效果参数!$C$10:$H$10,1,C44+1)</f>
        <v>0.2</v>
      </c>
      <c r="BA44" s="1">
        <f>INDEX(效果参数!$C$11:$H$11,1,C44+1)</f>
        <v>0.6</v>
      </c>
      <c r="BB44" s="1">
        <f>INDEX(效果参数!$C$12:$H$12,1,C44+1)</f>
        <v>1.2</v>
      </c>
      <c r="BC44" s="1">
        <f>INDEX(效果参数!$C$13:$H$13,1,C44+1)</f>
        <v>0.06</v>
      </c>
      <c r="BD44" s="1">
        <f>INDEX(效果参数!$C$14:$H$14,1,C44+1)</f>
        <v>3</v>
      </c>
      <c r="BE44" s="1">
        <f>INDEX(效果参数!$C$15:$H$15,1,C44+1)</f>
        <v>1</v>
      </c>
      <c r="BF44" s="1">
        <f>INDEX(效果参数!$C$16:$H$16,1,C44+1)</f>
        <v>2.5000000000000001E-2</v>
      </c>
      <c r="BG44" s="1">
        <f>INDEX(效果参数!$C$17:$H$17,1,C44+1)</f>
        <v>18</v>
      </c>
      <c r="BH44" s="1">
        <f>INDEX(效果参数!$C$18:$H$18,1,C44+1)</f>
        <v>18</v>
      </c>
      <c r="BI44" s="1">
        <f>INDEX(效果参数!$C$19:$H$19,1,C44+1)</f>
        <v>1</v>
      </c>
      <c r="BJ44" s="1">
        <f>INDEX(效果参数!$C$20:$H$20,1,C44+1)</f>
        <v>1</v>
      </c>
      <c r="BK44" s="1">
        <f>INDEX(效果参数!$C$21:$H$21,1,C44+1)</f>
        <v>0.2</v>
      </c>
      <c r="BL44" s="1">
        <f>INDEX(效果参数!$C$22:$H$22,1,C44+1)</f>
        <v>9</v>
      </c>
      <c r="BM44" s="1">
        <f>INDEX(效果参数!$C$23:$H$23,1,C44+1)</f>
        <v>20</v>
      </c>
      <c r="BN44" s="1">
        <f>INDEX(效果参数!$C$24:$H$24,1,C44+1)</f>
        <v>30</v>
      </c>
      <c r="BO44" s="1">
        <f>INDEX(效果参数!$C$25:$H$25,1,C44+1)</f>
        <v>1.5</v>
      </c>
      <c r="BP44" s="1">
        <f>INDEX(效果参数!$C$26:$H$26,1,C44+1)</f>
        <v>0.6</v>
      </c>
      <c r="BQ44" s="1">
        <f>INDEX(效果参数!$C$27:$H$27,1,C44+1)</f>
        <v>0.8</v>
      </c>
      <c r="BR44" s="1">
        <f>INDEX(效果参数!$C$28:$H$28,1,C44+1)</f>
        <v>1</v>
      </c>
      <c r="BS44" s="1">
        <f>INDEX(效果参数!$C$35:$H$35,1,D44+1)</f>
        <v>2.8</v>
      </c>
      <c r="BT44" s="1">
        <f>INDEX(效果参数!$C$36:$H$36,1,D44+1)</f>
        <v>1.4</v>
      </c>
      <c r="BU44" s="1">
        <f>INDEX(效果参数!$C$37:$H$37,1,D44+1)</f>
        <v>0.8</v>
      </c>
      <c r="BV44" s="1">
        <f>INDEX(效果参数!$C$38:$H$38,1,D44+1)</f>
        <v>3</v>
      </c>
      <c r="BW44" s="1">
        <f>INDEX(效果参数!$C$39:$H$39,1,D44+1)</f>
        <v>1</v>
      </c>
      <c r="BX44" s="1">
        <f>INDEX(效果参数!$C$40:$H$40,1,D44+1)</f>
        <v>2</v>
      </c>
      <c r="BY44" s="1">
        <f>INDEX(效果参数!$C$41:$H$41,1,D44+1)</f>
        <v>1</v>
      </c>
      <c r="BZ44" s="1">
        <f>IF(配置与结果!$H$24=1,AR44,MIN(AR44,MAX(0,配置与结果!$H$25)))</f>
        <v>35</v>
      </c>
      <c r="CA44" s="1">
        <f>ROUNDDOWN(配置与结果!$B$17*(1+0.05+Y44),0)</f>
        <v>2986</v>
      </c>
      <c r="CB44" s="1">
        <f>MIN(AD44,ROUNDDOWN((配置与结果!$B$16+CC44)*AC44,0))</f>
        <v>500</v>
      </c>
      <c r="CC44" s="1">
        <f t="shared" si="1"/>
        <v>238</v>
      </c>
      <c r="CD44" s="1">
        <f>INDEX(效果参数!$C$96:$G$96,1,G44)</f>
        <v>0.16</v>
      </c>
      <c r="CE44" s="1">
        <f>INDEX(效果参数!$C$42:$H$42,1,D44+1)</f>
        <v>8</v>
      </c>
      <c r="CF44" s="1">
        <f>INDEX(效果参数!$C$54:$H$54,1,E44+1)</f>
        <v>15</v>
      </c>
      <c r="CG44" s="1">
        <f>INDEX(效果参数!$C$55:$H$55,1,E44+1)</f>
        <v>1.5</v>
      </c>
      <c r="CH44" s="1">
        <f>INDEX(效果参数!$C$106:$G$106,1,H44)</f>
        <v>0.12</v>
      </c>
    </row>
    <row r="45" spans="1:86" ht="33.950000000000003" customHeight="1">
      <c r="A45" s="1">
        <f>42</f>
        <v>42</v>
      </c>
      <c r="B45" s="1" t="str">
        <f>"家庭指导员 增幅2"</f>
        <v>家庭指导员 增幅2</v>
      </c>
      <c r="C45" s="1">
        <f>配置与结果!B6</f>
        <v>0</v>
      </c>
      <c r="D45" s="1">
        <f>配置与结果!B7</f>
        <v>0</v>
      </c>
      <c r="E45" s="1">
        <f>配置与结果!B8</f>
        <v>0</v>
      </c>
      <c r="F45" s="1">
        <f>配置与结果!B9</f>
        <v>0</v>
      </c>
      <c r="G45" s="1">
        <f>配置与结果!D6</f>
        <v>5</v>
      </c>
      <c r="H45" s="1">
        <f>配置与结果!D7</f>
        <v>1</v>
      </c>
      <c r="I45" s="1">
        <f>配置与结果!D8</f>
        <v>5</v>
      </c>
      <c r="J45" s="1">
        <f>2</f>
        <v>2</v>
      </c>
      <c r="K45" s="1">
        <f>INDEX(效果参数!$C$105:$G$105,1,J45)</f>
        <v>1</v>
      </c>
      <c r="L45" s="1" t="b">
        <f>AND(K45=1,INDEX(效果参数!$C$99:$G$99,1,H45)=1,INDEX(效果参数!$C$29:$H$29,1,C45+1)=1)</f>
        <v>1</v>
      </c>
      <c r="M45" s="7">
        <f>IF(AND(K45=1,L45),SUM(行动计算!AU1518:AU1553),"")</f>
        <v>8828655.5250000004</v>
      </c>
      <c r="N45" s="7">
        <f>IF(K45=1,SUMIFS(行动计算!AU1518:AU1553,行动计算!D1518:D1553,1),"")</f>
        <v>3157234.5249999999</v>
      </c>
      <c r="O45" s="7">
        <f>IF(L45,SUMIFS(行动计算!AU1518:AU1553,行动计算!D1518:D1553,2),"")</f>
        <v>5671421</v>
      </c>
      <c r="P45" s="7">
        <f>IF(AND(K45=1,L45),SUMIFS(行动计算!AU1518:AU1553,行动计算!F1518:F1553,1),"")</f>
        <v>7412382</v>
      </c>
      <c r="Q45" s="7">
        <f>IF(AND(K45=1,L45),SUMIFS(行动计算!AU1518:AU1553,行动计算!F1518:F1553,2),"")</f>
        <v>647279.48</v>
      </c>
      <c r="R45" s="7">
        <f>IF(AND(K45=1,L45),SUMIFS(行动计算!AU1518:AU1553,行动计算!F1518:F1553,3),"")</f>
        <v>492764.78499999997</v>
      </c>
      <c r="S45" s="7">
        <f>IF(AND(K45=1,L45),SUMIFS(行动计算!AU1518:AU1553,行动计算!F1518:F1553,4),"")</f>
        <v>276229.26</v>
      </c>
      <c r="T45" s="8">
        <f t="shared" si="0"/>
        <v>7.0772552936082533E-3</v>
      </c>
      <c r="U45" s="1">
        <f>INDEX(效果参数!$C$98:$G$98,1,H45)</f>
        <v>0.04</v>
      </c>
      <c r="V45" s="1">
        <f>INDEX(效果参数!$C$97:$G$97,1,G45)</f>
        <v>0.06</v>
      </c>
      <c r="W45" s="1">
        <f>INDEX(效果参数!$C$101:$G$101,1,I45)</f>
        <v>0.02</v>
      </c>
      <c r="X45" s="1">
        <f>INDEX(效果参数!$C$102:$G$102,1,I45)</f>
        <v>0.16</v>
      </c>
      <c r="Y45" s="1">
        <f>INDEX(效果参数!$C$100:$G$100,1,I45)</f>
        <v>0.1</v>
      </c>
      <c r="Z45" s="1">
        <f>INDEX(效果参数!$C$103:$G$103,1,J45)</f>
        <v>0.05</v>
      </c>
      <c r="AA45" s="1">
        <f>INDEX(效果参数!$C$104:$G$104,1,J45)</f>
        <v>5.0000000000000001E-3</v>
      </c>
      <c r="AB45" s="1">
        <f>INDEX(效果参数!$C$30:$H$30,1,D45+1)</f>
        <v>0.3</v>
      </c>
      <c r="AC45" s="1">
        <f>INDEX(效果参数!$C$31:$H$31,1,D45+1)</f>
        <v>0.2</v>
      </c>
      <c r="AD45" s="1">
        <f>INDEX(效果参数!$C$32:$H$32,1,D45+1)</f>
        <v>500</v>
      </c>
      <c r="AE45" s="1">
        <f>INDEX(效果参数!$C$33:$H$33,1,D45+1)</f>
        <v>0.4</v>
      </c>
      <c r="AF45" s="1">
        <f>INDEX(效果参数!$C$34:$H$34,1,D45+1)</f>
        <v>0.4</v>
      </c>
      <c r="AG45" s="1">
        <f>INDEX(效果参数!$C$43:$H$43,1,E45+1)</f>
        <v>0.3</v>
      </c>
      <c r="AH45" s="1">
        <f>INDEX(效果参数!$C$44:$H$44,1,E45+1)</f>
        <v>0.04</v>
      </c>
      <c r="AI45" s="1">
        <f>INDEX(效果参数!$C$45:$H$45,1,E45+1)</f>
        <v>5</v>
      </c>
      <c r="AJ45" s="1">
        <f>INDEX(效果参数!$C$46:$H$46,1,E45+1)</f>
        <v>1</v>
      </c>
      <c r="AK45" s="1">
        <f>INDEX(效果参数!$C$47:$H$47,1,E45+1)</f>
        <v>2</v>
      </c>
      <c r="AL45" s="1">
        <f>INDEX(效果参数!$C$48:$H$48,1,E45+1)</f>
        <v>0.08</v>
      </c>
      <c r="AM45" s="1">
        <f>INDEX(效果参数!$C$49:$H$49,1,E45+1)</f>
        <v>250</v>
      </c>
      <c r="AN45" s="1">
        <f>INDEX(效果参数!$C$50:$H$50,1,E45+1)</f>
        <v>0.15</v>
      </c>
      <c r="AO45" s="1">
        <f>INDEX(效果参数!$C$51:$H$51,1,E45+1)</f>
        <v>0.15</v>
      </c>
      <c r="AP45" s="1">
        <f>INDEX(效果参数!$C$52:$H$52,1,E45+1)</f>
        <v>0.15</v>
      </c>
      <c r="AQ45" s="1">
        <f>INDEX(效果参数!$C$53:$H$53,1,E45+1)</f>
        <v>0.15</v>
      </c>
      <c r="AR45" s="1">
        <f>INDEX(效果参数!$C$56:$H$56,1,F45+1)</f>
        <v>35</v>
      </c>
      <c r="AS45" s="1">
        <f>INDEX(效果参数!$C$57:$H$57,1,F45+1)</f>
        <v>0.01</v>
      </c>
      <c r="AT45" s="1">
        <f>INDEX(效果参数!$C$58:$H$58,1,F45+1)</f>
        <v>7</v>
      </c>
      <c r="AU45" s="1">
        <f>INDEX(效果参数!$C$59:$H$59,1,F45+1)</f>
        <v>0.5</v>
      </c>
      <c r="AV45" s="1">
        <f>INDEX(效果参数!$C$6:$H$6,1,C45+1)</f>
        <v>2</v>
      </c>
      <c r="AW45" s="1">
        <f>INDEX(效果参数!$C$7:$H$7,1,C45+1)</f>
        <v>4</v>
      </c>
      <c r="AX45" s="1">
        <f>INDEX(效果参数!$C$8:$H$8,1,C45+1)</f>
        <v>8</v>
      </c>
      <c r="AY45" s="1">
        <f>INDEX(效果参数!$C$9:$H$9,1,C45+1)</f>
        <v>0.1</v>
      </c>
      <c r="AZ45" s="1">
        <f>INDEX(效果参数!$C$10:$H$10,1,C45+1)</f>
        <v>0.2</v>
      </c>
      <c r="BA45" s="1">
        <f>INDEX(效果参数!$C$11:$H$11,1,C45+1)</f>
        <v>0.6</v>
      </c>
      <c r="BB45" s="1">
        <f>INDEX(效果参数!$C$12:$H$12,1,C45+1)</f>
        <v>1.2</v>
      </c>
      <c r="BC45" s="1">
        <f>INDEX(效果参数!$C$13:$H$13,1,C45+1)</f>
        <v>0.06</v>
      </c>
      <c r="BD45" s="1">
        <f>INDEX(效果参数!$C$14:$H$14,1,C45+1)</f>
        <v>3</v>
      </c>
      <c r="BE45" s="1">
        <f>INDEX(效果参数!$C$15:$H$15,1,C45+1)</f>
        <v>1</v>
      </c>
      <c r="BF45" s="1">
        <f>INDEX(效果参数!$C$16:$H$16,1,C45+1)</f>
        <v>2.5000000000000001E-2</v>
      </c>
      <c r="BG45" s="1">
        <f>INDEX(效果参数!$C$17:$H$17,1,C45+1)</f>
        <v>18</v>
      </c>
      <c r="BH45" s="1">
        <f>INDEX(效果参数!$C$18:$H$18,1,C45+1)</f>
        <v>18</v>
      </c>
      <c r="BI45" s="1">
        <f>INDEX(效果参数!$C$19:$H$19,1,C45+1)</f>
        <v>1</v>
      </c>
      <c r="BJ45" s="1">
        <f>INDEX(效果参数!$C$20:$H$20,1,C45+1)</f>
        <v>1</v>
      </c>
      <c r="BK45" s="1">
        <f>INDEX(效果参数!$C$21:$H$21,1,C45+1)</f>
        <v>0.2</v>
      </c>
      <c r="BL45" s="1">
        <f>INDEX(效果参数!$C$22:$H$22,1,C45+1)</f>
        <v>9</v>
      </c>
      <c r="BM45" s="1">
        <f>INDEX(效果参数!$C$23:$H$23,1,C45+1)</f>
        <v>20</v>
      </c>
      <c r="BN45" s="1">
        <f>INDEX(效果参数!$C$24:$H$24,1,C45+1)</f>
        <v>30</v>
      </c>
      <c r="BO45" s="1">
        <f>INDEX(效果参数!$C$25:$H$25,1,C45+1)</f>
        <v>1.5</v>
      </c>
      <c r="BP45" s="1">
        <f>INDEX(效果参数!$C$26:$H$26,1,C45+1)</f>
        <v>0.6</v>
      </c>
      <c r="BQ45" s="1">
        <f>INDEX(效果参数!$C$27:$H$27,1,C45+1)</f>
        <v>0.8</v>
      </c>
      <c r="BR45" s="1">
        <f>INDEX(效果参数!$C$28:$H$28,1,C45+1)</f>
        <v>1</v>
      </c>
      <c r="BS45" s="1">
        <f>INDEX(效果参数!$C$35:$H$35,1,D45+1)</f>
        <v>2.8</v>
      </c>
      <c r="BT45" s="1">
        <f>INDEX(效果参数!$C$36:$H$36,1,D45+1)</f>
        <v>1.4</v>
      </c>
      <c r="BU45" s="1">
        <f>INDEX(效果参数!$C$37:$H$37,1,D45+1)</f>
        <v>0.8</v>
      </c>
      <c r="BV45" s="1">
        <f>INDEX(效果参数!$C$38:$H$38,1,D45+1)</f>
        <v>3</v>
      </c>
      <c r="BW45" s="1">
        <f>INDEX(效果参数!$C$39:$H$39,1,D45+1)</f>
        <v>1</v>
      </c>
      <c r="BX45" s="1">
        <f>INDEX(效果参数!$C$40:$H$40,1,D45+1)</f>
        <v>2</v>
      </c>
      <c r="BY45" s="1">
        <f>INDEX(效果参数!$C$41:$H$41,1,D45+1)</f>
        <v>1</v>
      </c>
      <c r="BZ45" s="1">
        <f>IF(配置与结果!$H$24=1,AR45,MIN(AR45,MAX(0,配置与结果!$H$25)))</f>
        <v>35</v>
      </c>
      <c r="CA45" s="1">
        <f>ROUNDDOWN(配置与结果!$B$17*(1+0.05+Y45),0)</f>
        <v>2986</v>
      </c>
      <c r="CB45" s="1">
        <f>MIN(AD45,ROUNDDOWN((配置与结果!$B$16+CC45)*AC45,0))</f>
        <v>500</v>
      </c>
      <c r="CC45" s="1">
        <f t="shared" si="1"/>
        <v>238</v>
      </c>
      <c r="CD45" s="1">
        <f>INDEX(效果参数!$C$96:$G$96,1,G45)</f>
        <v>0.16</v>
      </c>
      <c r="CE45" s="1">
        <f>INDEX(效果参数!$C$42:$H$42,1,D45+1)</f>
        <v>8</v>
      </c>
      <c r="CF45" s="1">
        <f>INDEX(效果参数!$C$54:$H$54,1,E45+1)</f>
        <v>15</v>
      </c>
      <c r="CG45" s="1">
        <f>INDEX(效果参数!$C$55:$H$55,1,E45+1)</f>
        <v>1.5</v>
      </c>
      <c r="CH45" s="1">
        <f>INDEX(效果参数!$C$106:$G$106,1,H45)</f>
        <v>0.12</v>
      </c>
    </row>
    <row r="46" spans="1:86" ht="33.950000000000003" customHeight="1">
      <c r="A46" s="1">
        <f>43</f>
        <v>43</v>
      </c>
      <c r="B46" s="1" t="str">
        <f>"家庭指导员 增幅3"</f>
        <v>家庭指导员 增幅3</v>
      </c>
      <c r="C46" s="1">
        <f>配置与结果!B6</f>
        <v>0</v>
      </c>
      <c r="D46" s="1">
        <f>配置与结果!B7</f>
        <v>0</v>
      </c>
      <c r="E46" s="1">
        <f>配置与结果!B8</f>
        <v>0</v>
      </c>
      <c r="F46" s="1">
        <f>配置与结果!B9</f>
        <v>0</v>
      </c>
      <c r="G46" s="1">
        <f>配置与结果!D6</f>
        <v>5</v>
      </c>
      <c r="H46" s="1">
        <f>配置与结果!D7</f>
        <v>1</v>
      </c>
      <c r="I46" s="1">
        <f>配置与结果!D8</f>
        <v>5</v>
      </c>
      <c r="J46" s="1">
        <f>3</f>
        <v>3</v>
      </c>
      <c r="K46" s="1">
        <f>INDEX(效果参数!$C$105:$G$105,1,J46)</f>
        <v>1</v>
      </c>
      <c r="L46" s="1" t="b">
        <f>AND(K46=1,INDEX(效果参数!$C$99:$G$99,1,H46)=1,INDEX(效果参数!$C$29:$H$29,1,C46+1)=1)</f>
        <v>1</v>
      </c>
      <c r="M46" s="7">
        <f>IF(AND(K46=1,L46),SUM(行动计算!AU1554:AU1589),"")</f>
        <v>8890733.8320000004</v>
      </c>
      <c r="N46" s="7">
        <f>IF(K46=1,SUMIFS(行动计算!AU1554:AU1589,行动计算!D1554:D1589,1),"")</f>
        <v>3181259.9120000005</v>
      </c>
      <c r="O46" s="7">
        <f>IF(L46,SUMIFS(行动计算!AU1554:AU1589,行动计算!D1554:D1589,2),"")</f>
        <v>5709473.9199999999</v>
      </c>
      <c r="P46" s="7">
        <f>IF(AND(K46=1,L46),SUMIFS(行动计算!AU1554:AU1589,行动计算!F1554:F1589,1),"")</f>
        <v>7461376</v>
      </c>
      <c r="Q46" s="7">
        <f>IF(AND(K46=1,L46),SUMIFS(行动计算!AU1554:AU1589,行动计算!F1554:F1589,2),"")</f>
        <v>651711.80000000005</v>
      </c>
      <c r="R46" s="7">
        <f>IF(AND(K46=1,L46),SUMIFS(行动计算!AU1554:AU1589,行动计算!F1554:F1589,3),"")</f>
        <v>495712.39</v>
      </c>
      <c r="S46" s="7">
        <f>IF(AND(K46=1,L46),SUMIFS(行动计算!AU1554:AU1589,行动计算!F1554:F1589,4),"")</f>
        <v>281933.64199999999</v>
      </c>
      <c r="T46" s="8">
        <f t="shared" si="0"/>
        <v>1.4158475174687934E-2</v>
      </c>
      <c r="U46" s="1">
        <f>INDEX(效果参数!$C$98:$G$98,1,H46)</f>
        <v>0.04</v>
      </c>
      <c r="V46" s="1">
        <f>INDEX(效果参数!$C$97:$G$97,1,G46)</f>
        <v>0.06</v>
      </c>
      <c r="W46" s="1">
        <f>INDEX(效果参数!$C$101:$G$101,1,I46)</f>
        <v>0.02</v>
      </c>
      <c r="X46" s="1">
        <f>INDEX(效果参数!$C$102:$G$102,1,I46)</f>
        <v>0.16</v>
      </c>
      <c r="Y46" s="1">
        <f>INDEX(效果参数!$C$100:$G$100,1,I46)</f>
        <v>0.1</v>
      </c>
      <c r="Z46" s="1">
        <f>INDEX(效果参数!$C$103:$G$103,1,J46)</f>
        <v>0.06</v>
      </c>
      <c r="AA46" s="1">
        <f>INDEX(效果参数!$C$104:$G$104,1,J46)</f>
        <v>6.0000000000000001E-3</v>
      </c>
      <c r="AB46" s="1">
        <f>INDEX(效果参数!$C$30:$H$30,1,D46+1)</f>
        <v>0.3</v>
      </c>
      <c r="AC46" s="1">
        <f>INDEX(效果参数!$C$31:$H$31,1,D46+1)</f>
        <v>0.2</v>
      </c>
      <c r="AD46" s="1">
        <f>INDEX(效果参数!$C$32:$H$32,1,D46+1)</f>
        <v>500</v>
      </c>
      <c r="AE46" s="1">
        <f>INDEX(效果参数!$C$33:$H$33,1,D46+1)</f>
        <v>0.4</v>
      </c>
      <c r="AF46" s="1">
        <f>INDEX(效果参数!$C$34:$H$34,1,D46+1)</f>
        <v>0.4</v>
      </c>
      <c r="AG46" s="1">
        <f>INDEX(效果参数!$C$43:$H$43,1,E46+1)</f>
        <v>0.3</v>
      </c>
      <c r="AH46" s="1">
        <f>INDEX(效果参数!$C$44:$H$44,1,E46+1)</f>
        <v>0.04</v>
      </c>
      <c r="AI46" s="1">
        <f>INDEX(效果参数!$C$45:$H$45,1,E46+1)</f>
        <v>5</v>
      </c>
      <c r="AJ46" s="1">
        <f>INDEX(效果参数!$C$46:$H$46,1,E46+1)</f>
        <v>1</v>
      </c>
      <c r="AK46" s="1">
        <f>INDEX(效果参数!$C$47:$H$47,1,E46+1)</f>
        <v>2</v>
      </c>
      <c r="AL46" s="1">
        <f>INDEX(效果参数!$C$48:$H$48,1,E46+1)</f>
        <v>0.08</v>
      </c>
      <c r="AM46" s="1">
        <f>INDEX(效果参数!$C$49:$H$49,1,E46+1)</f>
        <v>250</v>
      </c>
      <c r="AN46" s="1">
        <f>INDEX(效果参数!$C$50:$H$50,1,E46+1)</f>
        <v>0.15</v>
      </c>
      <c r="AO46" s="1">
        <f>INDEX(效果参数!$C$51:$H$51,1,E46+1)</f>
        <v>0.15</v>
      </c>
      <c r="AP46" s="1">
        <f>INDEX(效果参数!$C$52:$H$52,1,E46+1)</f>
        <v>0.15</v>
      </c>
      <c r="AQ46" s="1">
        <f>INDEX(效果参数!$C$53:$H$53,1,E46+1)</f>
        <v>0.15</v>
      </c>
      <c r="AR46" s="1">
        <f>INDEX(效果参数!$C$56:$H$56,1,F46+1)</f>
        <v>35</v>
      </c>
      <c r="AS46" s="1">
        <f>INDEX(效果参数!$C$57:$H$57,1,F46+1)</f>
        <v>0.01</v>
      </c>
      <c r="AT46" s="1">
        <f>INDEX(效果参数!$C$58:$H$58,1,F46+1)</f>
        <v>7</v>
      </c>
      <c r="AU46" s="1">
        <f>INDEX(效果参数!$C$59:$H$59,1,F46+1)</f>
        <v>0.5</v>
      </c>
      <c r="AV46" s="1">
        <f>INDEX(效果参数!$C$6:$H$6,1,C46+1)</f>
        <v>2</v>
      </c>
      <c r="AW46" s="1">
        <f>INDEX(效果参数!$C$7:$H$7,1,C46+1)</f>
        <v>4</v>
      </c>
      <c r="AX46" s="1">
        <f>INDEX(效果参数!$C$8:$H$8,1,C46+1)</f>
        <v>8</v>
      </c>
      <c r="AY46" s="1">
        <f>INDEX(效果参数!$C$9:$H$9,1,C46+1)</f>
        <v>0.1</v>
      </c>
      <c r="AZ46" s="1">
        <f>INDEX(效果参数!$C$10:$H$10,1,C46+1)</f>
        <v>0.2</v>
      </c>
      <c r="BA46" s="1">
        <f>INDEX(效果参数!$C$11:$H$11,1,C46+1)</f>
        <v>0.6</v>
      </c>
      <c r="BB46" s="1">
        <f>INDEX(效果参数!$C$12:$H$12,1,C46+1)</f>
        <v>1.2</v>
      </c>
      <c r="BC46" s="1">
        <f>INDEX(效果参数!$C$13:$H$13,1,C46+1)</f>
        <v>0.06</v>
      </c>
      <c r="BD46" s="1">
        <f>INDEX(效果参数!$C$14:$H$14,1,C46+1)</f>
        <v>3</v>
      </c>
      <c r="BE46" s="1">
        <f>INDEX(效果参数!$C$15:$H$15,1,C46+1)</f>
        <v>1</v>
      </c>
      <c r="BF46" s="1">
        <f>INDEX(效果参数!$C$16:$H$16,1,C46+1)</f>
        <v>2.5000000000000001E-2</v>
      </c>
      <c r="BG46" s="1">
        <f>INDEX(效果参数!$C$17:$H$17,1,C46+1)</f>
        <v>18</v>
      </c>
      <c r="BH46" s="1">
        <f>INDEX(效果参数!$C$18:$H$18,1,C46+1)</f>
        <v>18</v>
      </c>
      <c r="BI46" s="1">
        <f>INDEX(效果参数!$C$19:$H$19,1,C46+1)</f>
        <v>1</v>
      </c>
      <c r="BJ46" s="1">
        <f>INDEX(效果参数!$C$20:$H$20,1,C46+1)</f>
        <v>1</v>
      </c>
      <c r="BK46" s="1">
        <f>INDEX(效果参数!$C$21:$H$21,1,C46+1)</f>
        <v>0.2</v>
      </c>
      <c r="BL46" s="1">
        <f>INDEX(效果参数!$C$22:$H$22,1,C46+1)</f>
        <v>9</v>
      </c>
      <c r="BM46" s="1">
        <f>INDEX(效果参数!$C$23:$H$23,1,C46+1)</f>
        <v>20</v>
      </c>
      <c r="BN46" s="1">
        <f>INDEX(效果参数!$C$24:$H$24,1,C46+1)</f>
        <v>30</v>
      </c>
      <c r="BO46" s="1">
        <f>INDEX(效果参数!$C$25:$H$25,1,C46+1)</f>
        <v>1.5</v>
      </c>
      <c r="BP46" s="1">
        <f>INDEX(效果参数!$C$26:$H$26,1,C46+1)</f>
        <v>0.6</v>
      </c>
      <c r="BQ46" s="1">
        <f>INDEX(效果参数!$C$27:$H$27,1,C46+1)</f>
        <v>0.8</v>
      </c>
      <c r="BR46" s="1">
        <f>INDEX(效果参数!$C$28:$H$28,1,C46+1)</f>
        <v>1</v>
      </c>
      <c r="BS46" s="1">
        <f>INDEX(效果参数!$C$35:$H$35,1,D46+1)</f>
        <v>2.8</v>
      </c>
      <c r="BT46" s="1">
        <f>INDEX(效果参数!$C$36:$H$36,1,D46+1)</f>
        <v>1.4</v>
      </c>
      <c r="BU46" s="1">
        <f>INDEX(效果参数!$C$37:$H$37,1,D46+1)</f>
        <v>0.8</v>
      </c>
      <c r="BV46" s="1">
        <f>INDEX(效果参数!$C$38:$H$38,1,D46+1)</f>
        <v>3</v>
      </c>
      <c r="BW46" s="1">
        <f>INDEX(效果参数!$C$39:$H$39,1,D46+1)</f>
        <v>1</v>
      </c>
      <c r="BX46" s="1">
        <f>INDEX(效果参数!$C$40:$H$40,1,D46+1)</f>
        <v>2</v>
      </c>
      <c r="BY46" s="1">
        <f>INDEX(效果参数!$C$41:$H$41,1,D46+1)</f>
        <v>1</v>
      </c>
      <c r="BZ46" s="1">
        <f>IF(配置与结果!$H$24=1,AR46,MIN(AR46,MAX(0,配置与结果!$H$25)))</f>
        <v>35</v>
      </c>
      <c r="CA46" s="1">
        <f>ROUNDDOWN(配置与结果!$B$17*(1+0.05+Y46),0)</f>
        <v>2986</v>
      </c>
      <c r="CB46" s="1">
        <f>MIN(AD46,ROUNDDOWN((配置与结果!$B$16+CC46)*AC46,0))</f>
        <v>500</v>
      </c>
      <c r="CC46" s="1">
        <f t="shared" si="1"/>
        <v>238</v>
      </c>
      <c r="CD46" s="1">
        <f>INDEX(效果参数!$C$96:$G$96,1,G46)</f>
        <v>0.16</v>
      </c>
      <c r="CE46" s="1">
        <f>INDEX(效果参数!$C$42:$H$42,1,D46+1)</f>
        <v>8</v>
      </c>
      <c r="CF46" s="1">
        <f>INDEX(效果参数!$C$54:$H$54,1,E46+1)</f>
        <v>15</v>
      </c>
      <c r="CG46" s="1">
        <f>INDEX(效果参数!$C$55:$H$55,1,E46+1)</f>
        <v>1.5</v>
      </c>
      <c r="CH46" s="1">
        <f>INDEX(效果参数!$C$106:$G$106,1,H46)</f>
        <v>0.12</v>
      </c>
    </row>
    <row r="47" spans="1:86" ht="33.950000000000003" customHeight="1">
      <c r="A47" s="1">
        <f>44</f>
        <v>44</v>
      </c>
      <c r="B47" s="1" t="str">
        <f>"家庭指导员 增幅4"</f>
        <v>家庭指导员 增幅4</v>
      </c>
      <c r="C47" s="1">
        <f>配置与结果!B6</f>
        <v>0</v>
      </c>
      <c r="D47" s="1">
        <f>配置与结果!B7</f>
        <v>0</v>
      </c>
      <c r="E47" s="1">
        <f>配置与结果!B8</f>
        <v>0</v>
      </c>
      <c r="F47" s="1">
        <f>配置与结果!B9</f>
        <v>0</v>
      </c>
      <c r="G47" s="1">
        <f>配置与结果!D6</f>
        <v>5</v>
      </c>
      <c r="H47" s="1">
        <f>配置与结果!D7</f>
        <v>1</v>
      </c>
      <c r="I47" s="1">
        <f>配置与结果!D8</f>
        <v>5</v>
      </c>
      <c r="J47" s="1">
        <f>4</f>
        <v>4</v>
      </c>
      <c r="K47" s="1">
        <f>INDEX(效果参数!$C$105:$G$105,1,J47)</f>
        <v>1</v>
      </c>
      <c r="L47" s="1" t="b">
        <f>AND(K47=1,INDEX(效果参数!$C$99:$G$99,1,H47)=1,INDEX(效果参数!$C$29:$H$29,1,C47+1)=1)</f>
        <v>1</v>
      </c>
      <c r="M47" s="7">
        <f>IF(AND(K47=1,L47),SUM(行动计算!AU1590:AU1625),"")</f>
        <v>8952847.2879999988</v>
      </c>
      <c r="N47" s="7">
        <f>IF(K47=1,SUMIFS(行动计算!AU1590:AU1625,行动计算!D1590:D1625,1),"")</f>
        <v>3205318.4479999999</v>
      </c>
      <c r="O47" s="7">
        <f>IF(L47,SUMIFS(行动计算!AU1590:AU1625,行动计算!D1590:D1625,2),"")</f>
        <v>5747528.8399999999</v>
      </c>
      <c r="P47" s="7">
        <f>IF(AND(K47=1,L47),SUMIFS(行动计算!AU1590:AU1625,行动计算!F1590:F1625,1),"")</f>
        <v>7510369</v>
      </c>
      <c r="Q47" s="7">
        <f>IF(AND(K47=1,L47),SUMIFS(行动计算!AU1590:AU1625,行动计算!F1590:F1625,2),"")</f>
        <v>656143.35999999987</v>
      </c>
      <c r="R47" s="7">
        <f>IF(AND(K47=1,L47),SUMIFS(行动计算!AU1590:AU1625,行动计算!F1590:F1625,3),"")</f>
        <v>498658.88500000001</v>
      </c>
      <c r="S47" s="7">
        <f>IF(AND(K47=1,L47),SUMIFS(行动计算!AU1590:AU1625,行动计算!F1590:F1625,4),"")</f>
        <v>287676.04300000001</v>
      </c>
      <c r="T47" s="8">
        <f t="shared" si="0"/>
        <v>2.1243704472416081E-2</v>
      </c>
      <c r="U47" s="1">
        <f>INDEX(效果参数!$C$98:$G$98,1,H47)</f>
        <v>0.04</v>
      </c>
      <c r="V47" s="1">
        <f>INDEX(效果参数!$C$97:$G$97,1,G47)</f>
        <v>0.06</v>
      </c>
      <c r="W47" s="1">
        <f>INDEX(效果参数!$C$101:$G$101,1,I47)</f>
        <v>0.02</v>
      </c>
      <c r="X47" s="1">
        <f>INDEX(效果参数!$C$102:$G$102,1,I47)</f>
        <v>0.16</v>
      </c>
      <c r="Y47" s="1">
        <f>INDEX(效果参数!$C$100:$G$100,1,I47)</f>
        <v>0.1</v>
      </c>
      <c r="Z47" s="1">
        <f>INDEX(效果参数!$C$103:$G$103,1,J47)</f>
        <v>7.0000000000000007E-2</v>
      </c>
      <c r="AA47" s="1">
        <f>INDEX(效果参数!$C$104:$G$104,1,J47)</f>
        <v>7.0000000000000001E-3</v>
      </c>
      <c r="AB47" s="1">
        <f>INDEX(效果参数!$C$30:$H$30,1,D47+1)</f>
        <v>0.3</v>
      </c>
      <c r="AC47" s="1">
        <f>INDEX(效果参数!$C$31:$H$31,1,D47+1)</f>
        <v>0.2</v>
      </c>
      <c r="AD47" s="1">
        <f>INDEX(效果参数!$C$32:$H$32,1,D47+1)</f>
        <v>500</v>
      </c>
      <c r="AE47" s="1">
        <f>INDEX(效果参数!$C$33:$H$33,1,D47+1)</f>
        <v>0.4</v>
      </c>
      <c r="AF47" s="1">
        <f>INDEX(效果参数!$C$34:$H$34,1,D47+1)</f>
        <v>0.4</v>
      </c>
      <c r="AG47" s="1">
        <f>INDEX(效果参数!$C$43:$H$43,1,E47+1)</f>
        <v>0.3</v>
      </c>
      <c r="AH47" s="1">
        <f>INDEX(效果参数!$C$44:$H$44,1,E47+1)</f>
        <v>0.04</v>
      </c>
      <c r="AI47" s="1">
        <f>INDEX(效果参数!$C$45:$H$45,1,E47+1)</f>
        <v>5</v>
      </c>
      <c r="AJ47" s="1">
        <f>INDEX(效果参数!$C$46:$H$46,1,E47+1)</f>
        <v>1</v>
      </c>
      <c r="AK47" s="1">
        <f>INDEX(效果参数!$C$47:$H$47,1,E47+1)</f>
        <v>2</v>
      </c>
      <c r="AL47" s="1">
        <f>INDEX(效果参数!$C$48:$H$48,1,E47+1)</f>
        <v>0.08</v>
      </c>
      <c r="AM47" s="1">
        <f>INDEX(效果参数!$C$49:$H$49,1,E47+1)</f>
        <v>250</v>
      </c>
      <c r="AN47" s="1">
        <f>INDEX(效果参数!$C$50:$H$50,1,E47+1)</f>
        <v>0.15</v>
      </c>
      <c r="AO47" s="1">
        <f>INDEX(效果参数!$C$51:$H$51,1,E47+1)</f>
        <v>0.15</v>
      </c>
      <c r="AP47" s="1">
        <f>INDEX(效果参数!$C$52:$H$52,1,E47+1)</f>
        <v>0.15</v>
      </c>
      <c r="AQ47" s="1">
        <f>INDEX(效果参数!$C$53:$H$53,1,E47+1)</f>
        <v>0.15</v>
      </c>
      <c r="AR47" s="1">
        <f>INDEX(效果参数!$C$56:$H$56,1,F47+1)</f>
        <v>35</v>
      </c>
      <c r="AS47" s="1">
        <f>INDEX(效果参数!$C$57:$H$57,1,F47+1)</f>
        <v>0.01</v>
      </c>
      <c r="AT47" s="1">
        <f>INDEX(效果参数!$C$58:$H$58,1,F47+1)</f>
        <v>7</v>
      </c>
      <c r="AU47" s="1">
        <f>INDEX(效果参数!$C$59:$H$59,1,F47+1)</f>
        <v>0.5</v>
      </c>
      <c r="AV47" s="1">
        <f>INDEX(效果参数!$C$6:$H$6,1,C47+1)</f>
        <v>2</v>
      </c>
      <c r="AW47" s="1">
        <f>INDEX(效果参数!$C$7:$H$7,1,C47+1)</f>
        <v>4</v>
      </c>
      <c r="AX47" s="1">
        <f>INDEX(效果参数!$C$8:$H$8,1,C47+1)</f>
        <v>8</v>
      </c>
      <c r="AY47" s="1">
        <f>INDEX(效果参数!$C$9:$H$9,1,C47+1)</f>
        <v>0.1</v>
      </c>
      <c r="AZ47" s="1">
        <f>INDEX(效果参数!$C$10:$H$10,1,C47+1)</f>
        <v>0.2</v>
      </c>
      <c r="BA47" s="1">
        <f>INDEX(效果参数!$C$11:$H$11,1,C47+1)</f>
        <v>0.6</v>
      </c>
      <c r="BB47" s="1">
        <f>INDEX(效果参数!$C$12:$H$12,1,C47+1)</f>
        <v>1.2</v>
      </c>
      <c r="BC47" s="1">
        <f>INDEX(效果参数!$C$13:$H$13,1,C47+1)</f>
        <v>0.06</v>
      </c>
      <c r="BD47" s="1">
        <f>INDEX(效果参数!$C$14:$H$14,1,C47+1)</f>
        <v>3</v>
      </c>
      <c r="BE47" s="1">
        <f>INDEX(效果参数!$C$15:$H$15,1,C47+1)</f>
        <v>1</v>
      </c>
      <c r="BF47" s="1">
        <f>INDEX(效果参数!$C$16:$H$16,1,C47+1)</f>
        <v>2.5000000000000001E-2</v>
      </c>
      <c r="BG47" s="1">
        <f>INDEX(效果参数!$C$17:$H$17,1,C47+1)</f>
        <v>18</v>
      </c>
      <c r="BH47" s="1">
        <f>INDEX(效果参数!$C$18:$H$18,1,C47+1)</f>
        <v>18</v>
      </c>
      <c r="BI47" s="1">
        <f>INDEX(效果参数!$C$19:$H$19,1,C47+1)</f>
        <v>1</v>
      </c>
      <c r="BJ47" s="1">
        <f>INDEX(效果参数!$C$20:$H$20,1,C47+1)</f>
        <v>1</v>
      </c>
      <c r="BK47" s="1">
        <f>INDEX(效果参数!$C$21:$H$21,1,C47+1)</f>
        <v>0.2</v>
      </c>
      <c r="BL47" s="1">
        <f>INDEX(效果参数!$C$22:$H$22,1,C47+1)</f>
        <v>9</v>
      </c>
      <c r="BM47" s="1">
        <f>INDEX(效果参数!$C$23:$H$23,1,C47+1)</f>
        <v>20</v>
      </c>
      <c r="BN47" s="1">
        <f>INDEX(效果参数!$C$24:$H$24,1,C47+1)</f>
        <v>30</v>
      </c>
      <c r="BO47" s="1">
        <f>INDEX(效果参数!$C$25:$H$25,1,C47+1)</f>
        <v>1.5</v>
      </c>
      <c r="BP47" s="1">
        <f>INDEX(效果参数!$C$26:$H$26,1,C47+1)</f>
        <v>0.6</v>
      </c>
      <c r="BQ47" s="1">
        <f>INDEX(效果参数!$C$27:$H$27,1,C47+1)</f>
        <v>0.8</v>
      </c>
      <c r="BR47" s="1">
        <f>INDEX(效果参数!$C$28:$H$28,1,C47+1)</f>
        <v>1</v>
      </c>
      <c r="BS47" s="1">
        <f>INDEX(效果参数!$C$35:$H$35,1,D47+1)</f>
        <v>2.8</v>
      </c>
      <c r="BT47" s="1">
        <f>INDEX(效果参数!$C$36:$H$36,1,D47+1)</f>
        <v>1.4</v>
      </c>
      <c r="BU47" s="1">
        <f>INDEX(效果参数!$C$37:$H$37,1,D47+1)</f>
        <v>0.8</v>
      </c>
      <c r="BV47" s="1">
        <f>INDEX(效果参数!$C$38:$H$38,1,D47+1)</f>
        <v>3</v>
      </c>
      <c r="BW47" s="1">
        <f>INDEX(效果参数!$C$39:$H$39,1,D47+1)</f>
        <v>1</v>
      </c>
      <c r="BX47" s="1">
        <f>INDEX(效果参数!$C$40:$H$40,1,D47+1)</f>
        <v>2</v>
      </c>
      <c r="BY47" s="1">
        <f>INDEX(效果参数!$C$41:$H$41,1,D47+1)</f>
        <v>1</v>
      </c>
      <c r="BZ47" s="1">
        <f>IF(配置与结果!$H$24=1,AR47,MIN(AR47,MAX(0,配置与结果!$H$25)))</f>
        <v>35</v>
      </c>
      <c r="CA47" s="1">
        <f>ROUNDDOWN(配置与结果!$B$17*(1+0.05+Y47),0)</f>
        <v>2986</v>
      </c>
      <c r="CB47" s="1">
        <f>MIN(AD47,ROUNDDOWN((配置与结果!$B$16+CC47)*AC47,0))</f>
        <v>500</v>
      </c>
      <c r="CC47" s="1">
        <f t="shared" si="1"/>
        <v>238</v>
      </c>
      <c r="CD47" s="1">
        <f>INDEX(效果参数!$C$96:$G$96,1,G47)</f>
        <v>0.16</v>
      </c>
      <c r="CE47" s="1">
        <f>INDEX(效果参数!$C$42:$H$42,1,D47+1)</f>
        <v>8</v>
      </c>
      <c r="CF47" s="1">
        <f>INDEX(效果参数!$C$54:$H$54,1,E47+1)</f>
        <v>15</v>
      </c>
      <c r="CG47" s="1">
        <f>INDEX(效果参数!$C$55:$H$55,1,E47+1)</f>
        <v>1.5</v>
      </c>
      <c r="CH47" s="1">
        <f>INDEX(效果参数!$C$106:$G$106,1,H47)</f>
        <v>0.12</v>
      </c>
    </row>
    <row r="48" spans="1:86" ht="33.950000000000003" customHeight="1">
      <c r="A48" s="1">
        <f>45</f>
        <v>45</v>
      </c>
      <c r="B48" s="1" t="str">
        <f>"家庭指导员 增幅5"</f>
        <v>家庭指导员 增幅5</v>
      </c>
      <c r="C48" s="1">
        <f>配置与结果!B6</f>
        <v>0</v>
      </c>
      <c r="D48" s="1">
        <f>配置与结果!B7</f>
        <v>0</v>
      </c>
      <c r="E48" s="1">
        <f>配置与结果!B8</f>
        <v>0</v>
      </c>
      <c r="F48" s="1">
        <f>配置与结果!B9</f>
        <v>0</v>
      </c>
      <c r="G48" s="1">
        <f>配置与结果!D6</f>
        <v>5</v>
      </c>
      <c r="H48" s="1">
        <f>配置与结果!D7</f>
        <v>1</v>
      </c>
      <c r="I48" s="1">
        <f>配置与结果!D8</f>
        <v>5</v>
      </c>
      <c r="J48" s="1">
        <f>5</f>
        <v>5</v>
      </c>
      <c r="K48" s="1">
        <f>INDEX(效果参数!$C$105:$G$105,1,J48)</f>
        <v>1</v>
      </c>
      <c r="L48" s="1" t="b">
        <f>AND(K48=1,INDEX(效果参数!$C$99:$G$99,1,H48)=1,INDEX(效果参数!$C$29:$H$29,1,C48+1)=1)</f>
        <v>1</v>
      </c>
      <c r="M48" s="7">
        <f>IF(AND(K48=1,L48),SUM(行动计算!AU1626:AU1661),"")</f>
        <v>9015004.9670000002</v>
      </c>
      <c r="N48" s="7">
        <f>IF(K48=1,SUMIFS(行动计算!AU1626:AU1661,行动计算!D1626:D1661,1),"")</f>
        <v>3229422.2069999999</v>
      </c>
      <c r="O48" s="7">
        <f>IF(L48,SUMIFS(行动计算!AU1626:AU1661,行动计算!D1626:D1661,2),"")</f>
        <v>5785582.7599999998</v>
      </c>
      <c r="P48" s="7">
        <f>IF(AND(K48=1,L48),SUMIFS(行动计算!AU1626:AU1661,行动计算!F1626:F1661,1),"")</f>
        <v>7559364</v>
      </c>
      <c r="Q48" s="7">
        <f>IF(AND(K48=1,L48),SUMIFS(行动计算!AU1626:AU1661,行动计算!F1626:F1661,2),"")</f>
        <v>660575.67999999993</v>
      </c>
      <c r="R48" s="7">
        <f>IF(AND(K48=1,L48),SUMIFS(行动计算!AU1626:AU1661,行动计算!F1626:F1661,3),"")</f>
        <v>501606.49</v>
      </c>
      <c r="S48" s="7">
        <f>IF(AND(K48=1,L48),SUMIFS(行动计算!AU1626:AU1661,行动计算!F1626:F1661,4),"")</f>
        <v>293458.79700000002</v>
      </c>
      <c r="T48" s="8">
        <f t="shared" si="0"/>
        <v>2.8333978250284719E-2</v>
      </c>
      <c r="U48" s="1">
        <f>INDEX(效果参数!$C$98:$G$98,1,H48)</f>
        <v>0.04</v>
      </c>
      <c r="V48" s="1">
        <f>INDEX(效果参数!$C$97:$G$97,1,G48)</f>
        <v>0.06</v>
      </c>
      <c r="W48" s="1">
        <f>INDEX(效果参数!$C$101:$G$101,1,I48)</f>
        <v>0.02</v>
      </c>
      <c r="X48" s="1">
        <f>INDEX(效果参数!$C$102:$G$102,1,I48)</f>
        <v>0.16</v>
      </c>
      <c r="Y48" s="1">
        <f>INDEX(效果参数!$C$100:$G$100,1,I48)</f>
        <v>0.1</v>
      </c>
      <c r="Z48" s="1">
        <f>INDEX(效果参数!$C$103:$G$103,1,J48)</f>
        <v>0.08</v>
      </c>
      <c r="AA48" s="1">
        <f>INDEX(效果参数!$C$104:$G$104,1,J48)</f>
        <v>8.0000000000000002E-3</v>
      </c>
      <c r="AB48" s="1">
        <f>INDEX(效果参数!$C$30:$H$30,1,D48+1)</f>
        <v>0.3</v>
      </c>
      <c r="AC48" s="1">
        <f>INDEX(效果参数!$C$31:$H$31,1,D48+1)</f>
        <v>0.2</v>
      </c>
      <c r="AD48" s="1">
        <f>INDEX(效果参数!$C$32:$H$32,1,D48+1)</f>
        <v>500</v>
      </c>
      <c r="AE48" s="1">
        <f>INDEX(效果参数!$C$33:$H$33,1,D48+1)</f>
        <v>0.4</v>
      </c>
      <c r="AF48" s="1">
        <f>INDEX(效果参数!$C$34:$H$34,1,D48+1)</f>
        <v>0.4</v>
      </c>
      <c r="AG48" s="1">
        <f>INDEX(效果参数!$C$43:$H$43,1,E48+1)</f>
        <v>0.3</v>
      </c>
      <c r="AH48" s="1">
        <f>INDEX(效果参数!$C$44:$H$44,1,E48+1)</f>
        <v>0.04</v>
      </c>
      <c r="AI48" s="1">
        <f>INDEX(效果参数!$C$45:$H$45,1,E48+1)</f>
        <v>5</v>
      </c>
      <c r="AJ48" s="1">
        <f>INDEX(效果参数!$C$46:$H$46,1,E48+1)</f>
        <v>1</v>
      </c>
      <c r="AK48" s="1">
        <f>INDEX(效果参数!$C$47:$H$47,1,E48+1)</f>
        <v>2</v>
      </c>
      <c r="AL48" s="1">
        <f>INDEX(效果参数!$C$48:$H$48,1,E48+1)</f>
        <v>0.08</v>
      </c>
      <c r="AM48" s="1">
        <f>INDEX(效果参数!$C$49:$H$49,1,E48+1)</f>
        <v>250</v>
      </c>
      <c r="AN48" s="1">
        <f>INDEX(效果参数!$C$50:$H$50,1,E48+1)</f>
        <v>0.15</v>
      </c>
      <c r="AO48" s="1">
        <f>INDEX(效果参数!$C$51:$H$51,1,E48+1)</f>
        <v>0.15</v>
      </c>
      <c r="AP48" s="1">
        <f>INDEX(效果参数!$C$52:$H$52,1,E48+1)</f>
        <v>0.15</v>
      </c>
      <c r="AQ48" s="1">
        <f>INDEX(效果参数!$C$53:$H$53,1,E48+1)</f>
        <v>0.15</v>
      </c>
      <c r="AR48" s="1">
        <f>INDEX(效果参数!$C$56:$H$56,1,F48+1)</f>
        <v>35</v>
      </c>
      <c r="AS48" s="1">
        <f>INDEX(效果参数!$C$57:$H$57,1,F48+1)</f>
        <v>0.01</v>
      </c>
      <c r="AT48" s="1">
        <f>INDEX(效果参数!$C$58:$H$58,1,F48+1)</f>
        <v>7</v>
      </c>
      <c r="AU48" s="1">
        <f>INDEX(效果参数!$C$59:$H$59,1,F48+1)</f>
        <v>0.5</v>
      </c>
      <c r="AV48" s="1">
        <f>INDEX(效果参数!$C$6:$H$6,1,C48+1)</f>
        <v>2</v>
      </c>
      <c r="AW48" s="1">
        <f>INDEX(效果参数!$C$7:$H$7,1,C48+1)</f>
        <v>4</v>
      </c>
      <c r="AX48" s="1">
        <f>INDEX(效果参数!$C$8:$H$8,1,C48+1)</f>
        <v>8</v>
      </c>
      <c r="AY48" s="1">
        <f>INDEX(效果参数!$C$9:$H$9,1,C48+1)</f>
        <v>0.1</v>
      </c>
      <c r="AZ48" s="1">
        <f>INDEX(效果参数!$C$10:$H$10,1,C48+1)</f>
        <v>0.2</v>
      </c>
      <c r="BA48" s="1">
        <f>INDEX(效果参数!$C$11:$H$11,1,C48+1)</f>
        <v>0.6</v>
      </c>
      <c r="BB48" s="1">
        <f>INDEX(效果参数!$C$12:$H$12,1,C48+1)</f>
        <v>1.2</v>
      </c>
      <c r="BC48" s="1">
        <f>INDEX(效果参数!$C$13:$H$13,1,C48+1)</f>
        <v>0.06</v>
      </c>
      <c r="BD48" s="1">
        <f>INDEX(效果参数!$C$14:$H$14,1,C48+1)</f>
        <v>3</v>
      </c>
      <c r="BE48" s="1">
        <f>INDEX(效果参数!$C$15:$H$15,1,C48+1)</f>
        <v>1</v>
      </c>
      <c r="BF48" s="1">
        <f>INDEX(效果参数!$C$16:$H$16,1,C48+1)</f>
        <v>2.5000000000000001E-2</v>
      </c>
      <c r="BG48" s="1">
        <f>INDEX(效果参数!$C$17:$H$17,1,C48+1)</f>
        <v>18</v>
      </c>
      <c r="BH48" s="1">
        <f>INDEX(效果参数!$C$18:$H$18,1,C48+1)</f>
        <v>18</v>
      </c>
      <c r="BI48" s="1">
        <f>INDEX(效果参数!$C$19:$H$19,1,C48+1)</f>
        <v>1</v>
      </c>
      <c r="BJ48" s="1">
        <f>INDEX(效果参数!$C$20:$H$20,1,C48+1)</f>
        <v>1</v>
      </c>
      <c r="BK48" s="1">
        <f>INDEX(效果参数!$C$21:$H$21,1,C48+1)</f>
        <v>0.2</v>
      </c>
      <c r="BL48" s="1">
        <f>INDEX(效果参数!$C$22:$H$22,1,C48+1)</f>
        <v>9</v>
      </c>
      <c r="BM48" s="1">
        <f>INDEX(效果参数!$C$23:$H$23,1,C48+1)</f>
        <v>20</v>
      </c>
      <c r="BN48" s="1">
        <f>INDEX(效果参数!$C$24:$H$24,1,C48+1)</f>
        <v>30</v>
      </c>
      <c r="BO48" s="1">
        <f>INDEX(效果参数!$C$25:$H$25,1,C48+1)</f>
        <v>1.5</v>
      </c>
      <c r="BP48" s="1">
        <f>INDEX(效果参数!$C$26:$H$26,1,C48+1)</f>
        <v>0.6</v>
      </c>
      <c r="BQ48" s="1">
        <f>INDEX(效果参数!$C$27:$H$27,1,C48+1)</f>
        <v>0.8</v>
      </c>
      <c r="BR48" s="1">
        <f>INDEX(效果参数!$C$28:$H$28,1,C48+1)</f>
        <v>1</v>
      </c>
      <c r="BS48" s="1">
        <f>INDEX(效果参数!$C$35:$H$35,1,D48+1)</f>
        <v>2.8</v>
      </c>
      <c r="BT48" s="1">
        <f>INDEX(效果参数!$C$36:$H$36,1,D48+1)</f>
        <v>1.4</v>
      </c>
      <c r="BU48" s="1">
        <f>INDEX(效果参数!$C$37:$H$37,1,D48+1)</f>
        <v>0.8</v>
      </c>
      <c r="BV48" s="1">
        <f>INDEX(效果参数!$C$38:$H$38,1,D48+1)</f>
        <v>3</v>
      </c>
      <c r="BW48" s="1">
        <f>INDEX(效果参数!$C$39:$H$39,1,D48+1)</f>
        <v>1</v>
      </c>
      <c r="BX48" s="1">
        <f>INDEX(效果参数!$C$40:$H$40,1,D48+1)</f>
        <v>2</v>
      </c>
      <c r="BY48" s="1">
        <f>INDEX(效果参数!$C$41:$H$41,1,D48+1)</f>
        <v>1</v>
      </c>
      <c r="BZ48" s="1">
        <f>IF(配置与结果!$H$24=1,AR48,MIN(AR48,MAX(0,配置与结果!$H$25)))</f>
        <v>35</v>
      </c>
      <c r="CA48" s="1">
        <f>ROUNDDOWN(配置与结果!$B$17*(1+0.05+Y48),0)</f>
        <v>2986</v>
      </c>
      <c r="CB48" s="1">
        <f>MIN(AD48,ROUNDDOWN((配置与结果!$B$16+CC48)*AC48,0))</f>
        <v>500</v>
      </c>
      <c r="CC48" s="1">
        <f t="shared" si="1"/>
        <v>238</v>
      </c>
      <c r="CD48" s="1">
        <f>INDEX(效果参数!$C$96:$G$96,1,G48)</f>
        <v>0.16</v>
      </c>
      <c r="CE48" s="1">
        <f>INDEX(效果参数!$C$42:$H$42,1,D48+1)</f>
        <v>8</v>
      </c>
      <c r="CF48" s="1">
        <f>INDEX(效果参数!$C$54:$H$54,1,E48+1)</f>
        <v>15</v>
      </c>
      <c r="CG48" s="1">
        <f>INDEX(效果参数!$C$55:$H$55,1,E48+1)</f>
        <v>1.5</v>
      </c>
      <c r="CH48" s="1">
        <f>INDEX(效果参数!$C$106:$G$106,1,H48)</f>
        <v>0.12</v>
      </c>
    </row>
  </sheetData>
  <sheetProtection algorithmName="SHA-512" hashValue="VaP5O5fsvYj88MTH4K/Jb88h3pBq4ak5mtn+j+gZodMDX582WybLUSt7iMQnyA5DqP41hC+jFfDFYY8zYWZ6ZA==" saltValue="mtsPprtlAz3IQEw+xzBcaw==" spinCount="100000" sheet="1" objects="1" scenarios="1"/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03D62"/>
  </sheetPr>
  <dimension ref="A5:BO1661"/>
  <sheetViews>
    <sheetView showGridLines="0" topLeftCell="AW1" workbookViewId="0">
      <pane ySplit="5" topLeftCell="A6" activePane="bottomLeft" state="frozen"/>
      <selection pane="bottomLeft" activeCell="BB22" sqref="BB22"/>
    </sheetView>
  </sheetViews>
  <sheetFormatPr defaultRowHeight="14.25"/>
  <cols>
    <col min="1" max="6" width="18" customWidth="1"/>
    <col min="7" max="7" width="25" customWidth="1"/>
    <col min="8" max="67" width="18" customWidth="1"/>
  </cols>
  <sheetData>
    <row r="5" spans="1:67" ht="30.95" customHeight="1">
      <c r="A5" s="2" t="s">
        <v>258</v>
      </c>
      <c r="B5" s="2" t="s">
        <v>281</v>
      </c>
      <c r="C5" s="2" t="s">
        <v>282</v>
      </c>
      <c r="D5" s="2" t="s">
        <v>283</v>
      </c>
      <c r="E5" s="2" t="s">
        <v>215</v>
      </c>
      <c r="F5" s="2" t="s">
        <v>218</v>
      </c>
      <c r="G5" s="2" t="s">
        <v>219</v>
      </c>
      <c r="H5" s="2" t="s">
        <v>217</v>
      </c>
      <c r="I5" s="2" t="s">
        <v>284</v>
      </c>
      <c r="J5" s="2" t="s">
        <v>285</v>
      </c>
      <c r="K5" s="2" t="s">
        <v>286</v>
      </c>
      <c r="L5" s="2" t="s">
        <v>287</v>
      </c>
      <c r="M5" s="2" t="s">
        <v>288</v>
      </c>
      <c r="N5" s="2" t="s">
        <v>289</v>
      </c>
      <c r="O5" s="2" t="s">
        <v>290</v>
      </c>
      <c r="P5" s="2" t="s">
        <v>291</v>
      </c>
      <c r="Q5" s="2" t="s">
        <v>292</v>
      </c>
      <c r="R5" s="2" t="s">
        <v>293</v>
      </c>
      <c r="S5" s="2" t="s">
        <v>294</v>
      </c>
      <c r="T5" s="2" t="s">
        <v>295</v>
      </c>
      <c r="U5" s="2" t="s">
        <v>296</v>
      </c>
      <c r="V5" s="2" t="s">
        <v>297</v>
      </c>
      <c r="W5" s="2" t="s">
        <v>298</v>
      </c>
      <c r="X5" s="2" t="s">
        <v>299</v>
      </c>
      <c r="Y5" s="2" t="s">
        <v>300</v>
      </c>
      <c r="Z5" s="2" t="s">
        <v>301</v>
      </c>
      <c r="AA5" s="2" t="s">
        <v>302</v>
      </c>
      <c r="AB5" s="2" t="s">
        <v>303</v>
      </c>
      <c r="AC5" s="2" t="s">
        <v>304</v>
      </c>
      <c r="AD5" s="2" t="s">
        <v>305</v>
      </c>
      <c r="AE5" s="2" t="s">
        <v>306</v>
      </c>
      <c r="AF5" s="2" t="s">
        <v>307</v>
      </c>
      <c r="AG5" s="2" t="s">
        <v>308</v>
      </c>
      <c r="AH5" s="2" t="s">
        <v>309</v>
      </c>
      <c r="AI5" s="2" t="s">
        <v>310</v>
      </c>
      <c r="AJ5" s="2" t="s">
        <v>311</v>
      </c>
      <c r="AK5" s="2" t="s">
        <v>312</v>
      </c>
      <c r="AL5" s="2" t="s">
        <v>313</v>
      </c>
      <c r="AM5" s="2" t="s">
        <v>314</v>
      </c>
      <c r="AN5" s="2" t="s">
        <v>315</v>
      </c>
      <c r="AO5" s="2" t="s">
        <v>316</v>
      </c>
      <c r="AP5" s="2" t="s">
        <v>317</v>
      </c>
      <c r="AQ5" s="2" t="s">
        <v>318</v>
      </c>
      <c r="AR5" s="2" t="s">
        <v>319</v>
      </c>
      <c r="AS5" s="2" t="s">
        <v>320</v>
      </c>
      <c r="AT5" s="2" t="s">
        <v>321</v>
      </c>
      <c r="AU5" s="2" t="s">
        <v>322</v>
      </c>
      <c r="AV5" s="2" t="s">
        <v>323</v>
      </c>
      <c r="AW5" s="2" t="s">
        <v>324</v>
      </c>
      <c r="AX5" s="2" t="s">
        <v>325</v>
      </c>
      <c r="AY5" s="2" t="s">
        <v>326</v>
      </c>
      <c r="AZ5" s="2" t="s">
        <v>327</v>
      </c>
      <c r="BA5" s="2" t="s">
        <v>328</v>
      </c>
      <c r="BB5" s="2" t="s">
        <v>329</v>
      </c>
      <c r="BC5" s="2" t="s">
        <v>330</v>
      </c>
      <c r="BD5" s="2" t="s">
        <v>331</v>
      </c>
      <c r="BE5" s="2" t="s">
        <v>332</v>
      </c>
      <c r="BF5" s="2" t="s">
        <v>333</v>
      </c>
      <c r="BG5" s="2" t="s">
        <v>334</v>
      </c>
      <c r="BH5" s="2" t="s">
        <v>335</v>
      </c>
      <c r="BI5" s="2" t="s">
        <v>336</v>
      </c>
      <c r="BJ5" s="2" t="s">
        <v>337</v>
      </c>
      <c r="BK5" s="2" t="s">
        <v>338</v>
      </c>
      <c r="BL5" s="2" t="s">
        <v>339</v>
      </c>
      <c r="BM5" s="2" t="s">
        <v>340</v>
      </c>
      <c r="BN5" s="2" t="s">
        <v>341</v>
      </c>
      <c r="BO5" s="2" t="s">
        <v>342</v>
      </c>
    </row>
    <row r="6" spans="1:67" ht="30.95" customHeight="1">
      <c r="A6" s="1">
        <f>0</f>
        <v>0</v>
      </c>
      <c r="B6" s="1">
        <f>固定流程!A6</f>
        <v>1</v>
      </c>
      <c r="C6" s="1">
        <f>3</f>
        <v>3</v>
      </c>
      <c r="D6" s="1">
        <f>1</f>
        <v>1</v>
      </c>
      <c r="E6" s="1">
        <f>固定流程!C6</f>
        <v>1</v>
      </c>
      <c r="F6" s="1">
        <f>固定流程!G6</f>
        <v>3</v>
      </c>
      <c r="G6" s="1" t="str">
        <f>固定流程!H6</f>
        <v>RHI_ULT</v>
      </c>
      <c r="H6" s="1">
        <f>固定流程!F6</f>
        <v>1</v>
      </c>
      <c r="I6" s="1">
        <f>INDEX(配置与结果!$B$15:$B$18,F6)</f>
        <v>2597</v>
      </c>
      <c r="J6" s="1">
        <f>INDEX(配置与结果!$D$15:$D$18,F6)</f>
        <v>0.255</v>
      </c>
      <c r="K6" s="1">
        <f>INDEX(配置与结果!$E$15:$E$18,F6)</f>
        <v>1.55</v>
      </c>
      <c r="L6" s="1">
        <f>0</f>
        <v>0</v>
      </c>
      <c r="M6" s="1">
        <f>0</f>
        <v>0</v>
      </c>
      <c r="N6" s="1">
        <f>0</f>
        <v>0</v>
      </c>
      <c r="O6" s="1">
        <f>0</f>
        <v>0</v>
      </c>
      <c r="P6" s="1">
        <f>MIN(方案参数!$AI$3,0+方案参数!$AJ$3+0)</f>
        <v>1</v>
      </c>
      <c r="Q6" s="1">
        <f>0</f>
        <v>0</v>
      </c>
      <c r="R6" s="1">
        <f>0</f>
        <v>0</v>
      </c>
      <c r="S6" s="1">
        <f>0</f>
        <v>0</v>
      </c>
      <c r="T6" s="1">
        <f>0+0</f>
        <v>0</v>
      </c>
      <c r="U6" s="1">
        <f>0</f>
        <v>0</v>
      </c>
      <c r="V6" s="1">
        <f>0</f>
        <v>0</v>
      </c>
      <c r="W6" s="1">
        <f>0</f>
        <v>0</v>
      </c>
      <c r="X6" s="1">
        <f>0</f>
        <v>0</v>
      </c>
      <c r="Y6" s="1">
        <f>0</f>
        <v>0</v>
      </c>
      <c r="Z6" s="1">
        <f>0</f>
        <v>0</v>
      </c>
      <c r="AA6" s="1">
        <f>MAX(0,0)</f>
        <v>0</v>
      </c>
      <c r="AB6" s="1">
        <f>0</f>
        <v>0</v>
      </c>
      <c r="AC6" s="1">
        <f>MAX(0,0)</f>
        <v>0</v>
      </c>
      <c r="AD6" s="1">
        <f>ROUNDDOWN(I6*(1+IF(F6=3,0.05+方案参数!$Y$3+AA6*0.12,IF(F6=4,方案参数!$BZ$3*方案参数!$AS$3,0)))+IF(AND(X6=1,F6&lt;&gt;3),方案参数!$CC$3,0)+AC6*方案参数!$CB$3,0)</f>
        <v>2986</v>
      </c>
      <c r="AE6" s="1">
        <f>IF(OR(F6=1,F6=4),配置与结果!$B$24,配置与结果!$B$25)*MAX(0,1-INDEX(配置与结果!$I$15:$I$18,F6))</f>
        <v>1000</v>
      </c>
      <c r="AF6" s="1">
        <f>0</f>
        <v>0</v>
      </c>
      <c r="AG6" s="1">
        <f>MAX(配置与结果!$B$32,1+INDEX(配置与结果!$F$15:$F$18,F6)+0+Q6*方案参数!$W$3+Y6*(方案参数!$AN$3+MIN(方案参数!$AO$3,P6*0.03))+AB6*方案参数!$BZ$3*0.025-配置与结果!$B$28)</f>
        <v>0.6349999999999999</v>
      </c>
      <c r="AH6" s="1">
        <f>MAX(0,1+INDEX(配置与结果!$G$15:$G$18,F6)+W6*方案参数!$AG$3)</f>
        <v>1</v>
      </c>
      <c r="AI6" s="1">
        <f>IF(OR(INDEX(配置与结果!$K$15:$K$18,F6)=1,G6="RHI_BERRY"),1+配置与结果!$B$33+P6*方案参数!$AH$3,1)</f>
        <v>1</v>
      </c>
      <c r="AJ6" s="1">
        <f>MIN(1,MAX(0,J6+方案参数!$AB$3-配置与结果!$B$27))</f>
        <v>0.55499999999999994</v>
      </c>
      <c r="AK6" s="1">
        <f>MAX(1,K6+IF(F6=2,0.15+方案参数!$CH$3,0)+BN6*方案参数!$X$3+R6*方案参数!$AA$3+0-配置与结果!$B$26+Z6*(方案参数!$AP$3+MIN(方案参数!$AQ$3,P6*0.03)))</f>
        <v>1.1499999999999999</v>
      </c>
      <c r="AL6" s="7">
        <f>ROUNDDOWN(MAX(AD6*配置与结果!$B$31,AD6-AE6)*AF6*AG6*AH6*AI6,0)</f>
        <v>0</v>
      </c>
      <c r="AM6" s="7">
        <f>ROUNDDOWN(MAX(AD6*配置与结果!$B$31,AD6-AE6)*AF6*AG6*AH6*AI6*AK6,0)</f>
        <v>0</v>
      </c>
      <c r="AN6" s="7">
        <f t="shared" ref="AN6:AN69" si="0">AL6*(1-AJ6)+AM6*AJ6</f>
        <v>0</v>
      </c>
      <c r="AO6" s="7">
        <f>0</f>
        <v>0</v>
      </c>
      <c r="AP6" s="7">
        <f>MAX(0,1+INDEX(配置与结果!$J$15:$J$18,F6)+IF(T6&gt;0,方案参数!$BY$3,0)-配置与结果!$B$30)</f>
        <v>1</v>
      </c>
      <c r="AQ6" s="7">
        <f t="shared" ref="AQ6:AQ69" si="1">ROUNDDOWN(ROUNDDOWN(AD6*AO6,0)*AP6,0)</f>
        <v>0</v>
      </c>
      <c r="AR6" s="7">
        <f t="shared" ref="AR6:AR69" si="2">ROUNDDOWN(ROUNDDOWN(AD6*AO6,0)*AP6*AK6,0)</f>
        <v>0</v>
      </c>
      <c r="AS6" s="7">
        <f t="shared" ref="AS6:AS69" si="3">AQ6*(1-AJ6)+AR6*AJ6</f>
        <v>0</v>
      </c>
      <c r="AT6" s="7">
        <f>0</f>
        <v>0</v>
      </c>
      <c r="AU6" s="7">
        <f t="shared" ref="AU6:AU69" si="4">AN6+AS6+AT6</f>
        <v>0</v>
      </c>
      <c r="AV6" s="1">
        <f t="shared" ref="AV6:AV69" si="5">IF(G6="LILYA_COBRA",IF(L6=0,1,L6),L6)</f>
        <v>0</v>
      </c>
      <c r="AW6" s="1">
        <f>MIN(10,M6+0+0)</f>
        <v>0</v>
      </c>
      <c r="AX6" s="1">
        <f t="shared" ref="AX6:AX69" si="6">N6</f>
        <v>0</v>
      </c>
      <c r="AY6" s="1">
        <f>MIN(20,MAX(0,O6+0+0-0))</f>
        <v>0</v>
      </c>
      <c r="AZ6" s="1">
        <f t="shared" ref="AZ6:AZ69" si="7">P6</f>
        <v>1</v>
      </c>
      <c r="BA6" s="1">
        <f>MIN(6,Q6+1)</f>
        <v>1</v>
      </c>
      <c r="BB6" s="1">
        <f>MIN(30,R6+5)</f>
        <v>5</v>
      </c>
      <c r="BC6" s="1">
        <f t="shared" ref="BC6:BC11" si="8">MIN(3,S6+0)</f>
        <v>0</v>
      </c>
      <c r="BD6" s="1">
        <f>MAX(0,T6-IF(AO6&gt;0,1,0))+0</f>
        <v>0</v>
      </c>
      <c r="BE6" s="1">
        <f>0</f>
        <v>0</v>
      </c>
      <c r="BF6" s="1">
        <f>MIN(4,V6+0)</f>
        <v>0</v>
      </c>
      <c r="BG6" s="1">
        <f>MAX(W6,0)</f>
        <v>0</v>
      </c>
      <c r="BH6" s="1">
        <f>MAX(X6,1)</f>
        <v>1</v>
      </c>
      <c r="BI6" s="1">
        <f>MAX(Y6,0)</f>
        <v>0</v>
      </c>
      <c r="BJ6" s="1">
        <f>MAX(Z6,0)</f>
        <v>0</v>
      </c>
      <c r="BK6" s="1">
        <f>MAX(AA6,0)</f>
        <v>0</v>
      </c>
      <c r="BL6" s="1">
        <f>MAX(AB6,0)</f>
        <v>0</v>
      </c>
      <c r="BM6" s="1">
        <f>MAX(AC6,0)</f>
        <v>0</v>
      </c>
      <c r="BN6" s="1">
        <f>0</f>
        <v>0</v>
      </c>
      <c r="BO6" s="1">
        <f>MAX(BN6,1)</f>
        <v>1</v>
      </c>
    </row>
    <row r="7" spans="1:67" ht="30.95" customHeight="1">
      <c r="A7" s="1">
        <f>0</f>
        <v>0</v>
      </c>
      <c r="B7" s="1">
        <f>固定流程!A7</f>
        <v>2</v>
      </c>
      <c r="C7" s="1">
        <f>3</f>
        <v>3</v>
      </c>
      <c r="D7" s="1">
        <f>1</f>
        <v>1</v>
      </c>
      <c r="E7" s="1">
        <f>固定流程!C7</f>
        <v>1</v>
      </c>
      <c r="F7" s="1">
        <f>固定流程!G7</f>
        <v>3</v>
      </c>
      <c r="G7" s="1" t="str">
        <f>固定流程!H7</f>
        <v>RHI_BUFF</v>
      </c>
      <c r="H7" s="1">
        <f>固定流程!F7</f>
        <v>1</v>
      </c>
      <c r="I7" s="1">
        <f>INDEX(配置与结果!$B$15:$B$18,F7)</f>
        <v>2597</v>
      </c>
      <c r="J7" s="1">
        <f>INDEX(配置与结果!$D$15:$D$18,F7)</f>
        <v>0.255</v>
      </c>
      <c r="K7" s="1">
        <f>INDEX(配置与结果!$E$15:$E$18,F7)</f>
        <v>1.55</v>
      </c>
      <c r="L7" s="1">
        <f t="shared" ref="L7:O12" si="9">AV6</f>
        <v>0</v>
      </c>
      <c r="M7" s="1">
        <f t="shared" si="9"/>
        <v>0</v>
      </c>
      <c r="N7" s="1">
        <f t="shared" si="9"/>
        <v>0</v>
      </c>
      <c r="O7" s="1">
        <f t="shared" si="9"/>
        <v>0</v>
      </c>
      <c r="P7" s="1">
        <f>MIN(方案参数!$AI$3,AZ6+0+方案参数!$AK$3)</f>
        <v>3</v>
      </c>
      <c r="Q7" s="1">
        <f t="shared" ref="Q7:Q41" si="10">BA6</f>
        <v>1</v>
      </c>
      <c r="R7" s="1">
        <f t="shared" ref="R7:R41" si="11">BB6</f>
        <v>5</v>
      </c>
      <c r="S7" s="1">
        <f t="shared" ref="S7:S41" si="12">BC6</f>
        <v>0</v>
      </c>
      <c r="T7" s="1">
        <f t="shared" ref="T7:T20" si="13">BD6+0</f>
        <v>0</v>
      </c>
      <c r="U7" s="1">
        <f t="shared" ref="U7:U41" si="14">BE6</f>
        <v>0</v>
      </c>
      <c r="V7" s="1">
        <f t="shared" ref="V7:V41" si="15">BF6</f>
        <v>0</v>
      </c>
      <c r="W7" s="1">
        <f t="shared" ref="W7:W41" si="16">BG6</f>
        <v>0</v>
      </c>
      <c r="X7" s="1">
        <f t="shared" ref="X7:X41" si="17">BH6</f>
        <v>1</v>
      </c>
      <c r="Y7" s="1">
        <f t="shared" ref="Y7:Y41" si="18">BI6</f>
        <v>0</v>
      </c>
      <c r="Z7" s="1">
        <f t="shared" ref="Z7:Z41" si="19">BJ6</f>
        <v>0</v>
      </c>
      <c r="AA7" s="1">
        <f t="shared" ref="AA7:AA12" si="20">MAX(BK6,0)</f>
        <v>0</v>
      </c>
      <c r="AB7" s="1">
        <f t="shared" ref="AB7:AB41" si="21">BL6</f>
        <v>0</v>
      </c>
      <c r="AC7" s="1">
        <f t="shared" ref="AC7:AC20" si="22">MAX(BM6,0)</f>
        <v>0</v>
      </c>
      <c r="AD7" s="1">
        <f>ROUNDDOWN(I7*(1+IF(F7=3,0.05+方案参数!$Y$3+AA7*0.12,IF(F7=4,方案参数!$BZ$3*方案参数!$AS$3,0)))+IF(AND(X7=1,F7&lt;&gt;3),方案参数!$CC$3,0)+AC7*方案参数!$CB$3,0)</f>
        <v>2986</v>
      </c>
      <c r="AE7" s="1">
        <f>IF(OR(F7=1,F7=4),配置与结果!$B$24,配置与结果!$B$25)*MAX(0,1-INDEX(配置与结果!$I$15:$I$18,F7))</f>
        <v>1000</v>
      </c>
      <c r="AF7" s="1">
        <f>0</f>
        <v>0</v>
      </c>
      <c r="AG7" s="1">
        <f>MAX(配置与结果!$B$32,1+INDEX(配置与结果!$F$15:$F$18,F7)+0+Q7*方案参数!$W$3+Y7*(方案参数!$AN$3+MIN(方案参数!$AO$3,P7*0.03))+AB7*方案参数!$BZ$3*0.025-配置与结果!$B$28)</f>
        <v>0.65499999999999992</v>
      </c>
      <c r="AH7" s="1">
        <f>MAX(0,1+INDEX(配置与结果!$G$15:$G$18,F7)+W7*方案参数!$AG$3)</f>
        <v>1</v>
      </c>
      <c r="AI7" s="1">
        <f>IF(OR(INDEX(配置与结果!$K$15:$K$18,F7)=1,G7="RHI_BERRY"),1+配置与结果!$B$33+P7*方案参数!$AH$3,1)</f>
        <v>1</v>
      </c>
      <c r="AJ7" s="1">
        <f>MIN(1,MAX(0,J7+方案参数!$AB$3-配置与结果!$B$27))</f>
        <v>0.55499999999999994</v>
      </c>
      <c r="AK7" s="1">
        <f>MAX(1,K7+IF(F7=2,0.15+方案参数!$CH$3,0)+BN7*方案参数!$X$3+R7*方案参数!$AA$3+0-配置与结果!$B$26+Z7*(方案参数!$AP$3+MIN(方案参数!$AQ$3,P7*0.03)))</f>
        <v>1.33</v>
      </c>
      <c r="AL7" s="7">
        <f>ROUNDDOWN(MAX(AD7*配置与结果!$B$31,AD7-AE7)*AF7*AG7*AH7*AI7,0)</f>
        <v>0</v>
      </c>
      <c r="AM7" s="7">
        <f>ROUNDDOWN(MAX(AD7*配置与结果!$B$31,AD7-AE7)*AF7*AG7*AH7*AI7*AK7,0)</f>
        <v>0</v>
      </c>
      <c r="AN7" s="7">
        <f t="shared" si="0"/>
        <v>0</v>
      </c>
      <c r="AO7" s="7">
        <f>0</f>
        <v>0</v>
      </c>
      <c r="AP7" s="7">
        <f>MAX(0,1+INDEX(配置与结果!$J$15:$J$18,F7)+IF(T7&gt;0,方案参数!$BY$3,0)-配置与结果!$B$30)</f>
        <v>1</v>
      </c>
      <c r="AQ7" s="7">
        <f t="shared" si="1"/>
        <v>0</v>
      </c>
      <c r="AR7" s="7">
        <f t="shared" si="2"/>
        <v>0</v>
      </c>
      <c r="AS7" s="7">
        <f t="shared" si="3"/>
        <v>0</v>
      </c>
      <c r="AT7" s="7">
        <f>0</f>
        <v>0</v>
      </c>
      <c r="AU7" s="7">
        <f t="shared" si="4"/>
        <v>0</v>
      </c>
      <c r="AV7" s="1">
        <f t="shared" si="5"/>
        <v>0</v>
      </c>
      <c r="AW7" s="1">
        <f>MIN(10,M7+0+0)</f>
        <v>0</v>
      </c>
      <c r="AX7" s="1">
        <f t="shared" si="6"/>
        <v>0</v>
      </c>
      <c r="AY7" s="1">
        <f>MIN(20,MAX(0,O7+0+0-0))</f>
        <v>0</v>
      </c>
      <c r="AZ7" s="1">
        <f t="shared" si="7"/>
        <v>3</v>
      </c>
      <c r="BA7" s="1">
        <f>MIN(6,Q7+1)</f>
        <v>2</v>
      </c>
      <c r="BB7" s="1">
        <f t="shared" ref="BB7:BB20" si="23">MIN(30,R7+0)</f>
        <v>5</v>
      </c>
      <c r="BC7" s="1">
        <f t="shared" si="8"/>
        <v>0</v>
      </c>
      <c r="BD7" s="1">
        <f>MAX(0,T7-IF(AO7&gt;0,1,0))+0</f>
        <v>0</v>
      </c>
      <c r="BE7" s="1">
        <f t="shared" ref="BE7:BE28" si="24">BE6</f>
        <v>0</v>
      </c>
      <c r="BF7" s="1">
        <f>MIN(4,V7+0)</f>
        <v>0</v>
      </c>
      <c r="BG7" s="1">
        <f>MAX(W7,1)</f>
        <v>1</v>
      </c>
      <c r="BH7" s="1">
        <f t="shared" ref="BH7:BH41" si="25">MAX(X7,0)</f>
        <v>1</v>
      </c>
      <c r="BI7" s="1">
        <f>MAX(Y7,1)</f>
        <v>1</v>
      </c>
      <c r="BJ7" s="1">
        <f t="shared" ref="BJ7:BM12" si="26">MAX(Z7,0)</f>
        <v>0</v>
      </c>
      <c r="BK7" s="1">
        <f t="shared" si="26"/>
        <v>0</v>
      </c>
      <c r="BL7" s="1">
        <f t="shared" si="26"/>
        <v>0</v>
      </c>
      <c r="BM7" s="1">
        <f t="shared" si="26"/>
        <v>0</v>
      </c>
      <c r="BN7" s="1">
        <f t="shared" ref="BN7:BN41" si="27">BO6</f>
        <v>1</v>
      </c>
      <c r="BO7" s="1">
        <f t="shared" ref="BO7:BO41" si="28">MAX(BN7,0)</f>
        <v>1</v>
      </c>
    </row>
    <row r="8" spans="1:67" ht="30.95" customHeight="1">
      <c r="A8" s="1">
        <f>0</f>
        <v>0</v>
      </c>
      <c r="B8" s="1">
        <f>固定流程!A8</f>
        <v>3</v>
      </c>
      <c r="C8" s="1">
        <f>3</f>
        <v>3</v>
      </c>
      <c r="D8" s="1">
        <f>1</f>
        <v>1</v>
      </c>
      <c r="E8" s="1">
        <f>固定流程!C8</f>
        <v>1</v>
      </c>
      <c r="F8" s="1">
        <f>固定流程!G8</f>
        <v>1</v>
      </c>
      <c r="G8" s="1" t="str">
        <f>固定流程!H8</f>
        <v>LILYA_COBRA</v>
      </c>
      <c r="H8" s="1">
        <f>固定流程!F8</f>
        <v>1</v>
      </c>
      <c r="I8" s="1">
        <f>INDEX(配置与结果!$B$15:$B$18,F8)</f>
        <v>2296</v>
      </c>
      <c r="J8" s="1">
        <f>INDEX(配置与结果!$D$15:$D$18,F8)</f>
        <v>0.7</v>
      </c>
      <c r="K8" s="1">
        <f>INDEX(配置与结果!$E$15:$E$18,F8)</f>
        <v>2.0249999999999999</v>
      </c>
      <c r="L8" s="1">
        <f t="shared" si="9"/>
        <v>0</v>
      </c>
      <c r="M8" s="1">
        <f t="shared" si="9"/>
        <v>0</v>
      </c>
      <c r="N8" s="1">
        <f t="shared" si="9"/>
        <v>0</v>
      </c>
      <c r="O8" s="1">
        <f t="shared" si="9"/>
        <v>0</v>
      </c>
      <c r="P8" s="1">
        <f>MIN(方案参数!$AI$3,AZ7+0+0)</f>
        <v>3</v>
      </c>
      <c r="Q8" s="1">
        <f t="shared" si="10"/>
        <v>2</v>
      </c>
      <c r="R8" s="1">
        <f t="shared" si="11"/>
        <v>5</v>
      </c>
      <c r="S8" s="1">
        <f t="shared" si="12"/>
        <v>0</v>
      </c>
      <c r="T8" s="1">
        <f t="shared" si="13"/>
        <v>0</v>
      </c>
      <c r="U8" s="1">
        <f t="shared" si="14"/>
        <v>0</v>
      </c>
      <c r="V8" s="1">
        <f t="shared" si="15"/>
        <v>0</v>
      </c>
      <c r="W8" s="1">
        <f t="shared" si="16"/>
        <v>1</v>
      </c>
      <c r="X8" s="1">
        <f t="shared" si="17"/>
        <v>1</v>
      </c>
      <c r="Y8" s="1">
        <f t="shared" si="18"/>
        <v>1</v>
      </c>
      <c r="Z8" s="1">
        <f t="shared" si="19"/>
        <v>0</v>
      </c>
      <c r="AA8" s="1">
        <f t="shared" si="20"/>
        <v>0</v>
      </c>
      <c r="AB8" s="1">
        <f t="shared" si="21"/>
        <v>0</v>
      </c>
      <c r="AC8" s="1">
        <f t="shared" si="22"/>
        <v>0</v>
      </c>
      <c r="AD8" s="1">
        <f>ROUNDDOWN(I8*(1+IF(F8=3,0.05+方案参数!$Y$3+AA8*0.12,IF(F8=4,方案参数!$BZ$3*方案参数!$AS$3,0)))+IF(AND(X8=1,F8&lt;&gt;3),方案参数!$CC$3,0)+AC8*方案参数!$CB$3,0)</f>
        <v>2534</v>
      </c>
      <c r="AE8" s="1">
        <f>IF(OR(F8=1,F8=4),配置与结果!$B$24,配置与结果!$B$25)*MAX(0,1-INDEX(配置与结果!$I$15:$I$18,F8))</f>
        <v>1200</v>
      </c>
      <c r="AF8" s="1">
        <f>0</f>
        <v>0</v>
      </c>
      <c r="AG8" s="1">
        <f>MAX(配置与结果!$B$32,1+INDEX(配置与结果!$F$15:$F$18,F8)+0.08+方案参数!$CD$3+Q8*方案参数!$W$3+Y8*(方案参数!$AN$3+MIN(方案参数!$AO$3,P8*0.03))+AB8*方案参数!$BZ$3*0.025-配置与结果!$B$28)</f>
        <v>1.2200000000000002</v>
      </c>
      <c r="AH8" s="1">
        <f>MAX(0,1+INDEX(配置与结果!$G$15:$G$18,F8)+W8*方案参数!$AG$3)</f>
        <v>1.3</v>
      </c>
      <c r="AI8" s="1">
        <f>IF(OR(INDEX(配置与结果!$K$15:$K$18,F8)=1,G8="RHI_BERRY"),1+配置与结果!$B$33+P8*方案参数!$AH$3,1)</f>
        <v>1</v>
      </c>
      <c r="AJ8" s="1">
        <f>MIN(1,MAX(0,J8+方案参数!$AB$3-配置与结果!$B$27))</f>
        <v>1</v>
      </c>
      <c r="AK8" s="1">
        <f>MAX(1,K8+IF(F8=2,0.15+方案参数!$CH$3,0)+BN8*方案参数!$X$3+R8*方案参数!$AA$3+0-配置与结果!$B$26+Z8*(方案参数!$AP$3+MIN(方案参数!$AQ$3,P8*0.03)))</f>
        <v>1.8050000000000002</v>
      </c>
      <c r="AL8" s="7">
        <f>ROUNDDOWN(MAX(AD8*配置与结果!$B$31,AD8-AE8)*AF8*AG8*AH8*AI8,0)</f>
        <v>0</v>
      </c>
      <c r="AM8" s="7">
        <f>ROUNDDOWN(MAX(AD8*配置与结果!$B$31,AD8-AE8)*AF8*AG8*AH8*AI8*AK8,0)</f>
        <v>0</v>
      </c>
      <c r="AN8" s="7">
        <f t="shared" si="0"/>
        <v>0</v>
      </c>
      <c r="AO8" s="7">
        <f>0</f>
        <v>0</v>
      </c>
      <c r="AP8" s="7">
        <f>MAX(0,1+INDEX(配置与结果!$J$15:$J$18,F8)+IF(T8&gt;0,方案参数!$BY$3,0)-配置与结果!$B$30)</f>
        <v>1</v>
      </c>
      <c r="AQ8" s="7">
        <f t="shared" si="1"/>
        <v>0</v>
      </c>
      <c r="AR8" s="7">
        <f t="shared" si="2"/>
        <v>0</v>
      </c>
      <c r="AS8" s="7">
        <f t="shared" si="3"/>
        <v>0</v>
      </c>
      <c r="AT8" s="7">
        <f>0</f>
        <v>0</v>
      </c>
      <c r="AU8" s="7">
        <f t="shared" si="4"/>
        <v>0</v>
      </c>
      <c r="AV8" s="1">
        <f t="shared" si="5"/>
        <v>1</v>
      </c>
      <c r="AW8" s="1">
        <f>MIN(10,M8+方案参数!$BD$3+0)</f>
        <v>3</v>
      </c>
      <c r="AX8" s="1">
        <f t="shared" si="6"/>
        <v>0</v>
      </c>
      <c r="AY8" s="1">
        <f>MIN(20,MAX(0,O8+6+0-0))</f>
        <v>6</v>
      </c>
      <c r="AZ8" s="1">
        <f t="shared" si="7"/>
        <v>3</v>
      </c>
      <c r="BA8" s="1">
        <f>MIN(6,Q8+0)</f>
        <v>2</v>
      </c>
      <c r="BB8" s="1">
        <f t="shared" si="23"/>
        <v>5</v>
      </c>
      <c r="BC8" s="1">
        <f t="shared" si="8"/>
        <v>0</v>
      </c>
      <c r="BD8" s="1">
        <f>MAX(0,T8-IF(AO8&gt;0,1,0))+0</f>
        <v>0</v>
      </c>
      <c r="BE8" s="1">
        <f t="shared" si="24"/>
        <v>0</v>
      </c>
      <c r="BF8" s="1">
        <f>MIN(4,V8+0)</f>
        <v>0</v>
      </c>
      <c r="BG8" s="1">
        <f t="shared" ref="BG8:BG18" si="29">MAX(W8,0)</f>
        <v>1</v>
      </c>
      <c r="BH8" s="1">
        <f t="shared" si="25"/>
        <v>1</v>
      </c>
      <c r="BI8" s="1">
        <f t="shared" ref="BI8:BI18" si="30">MAX(Y8,0)</f>
        <v>1</v>
      </c>
      <c r="BJ8" s="1">
        <f t="shared" si="26"/>
        <v>0</v>
      </c>
      <c r="BK8" s="1">
        <f t="shared" si="26"/>
        <v>0</v>
      </c>
      <c r="BL8" s="1">
        <f t="shared" si="26"/>
        <v>0</v>
      </c>
      <c r="BM8" s="1">
        <f t="shared" si="26"/>
        <v>0</v>
      </c>
      <c r="BN8" s="1">
        <f t="shared" si="27"/>
        <v>1</v>
      </c>
      <c r="BO8" s="1">
        <f t="shared" si="28"/>
        <v>1</v>
      </c>
    </row>
    <row r="9" spans="1:67" ht="30.95" customHeight="1">
      <c r="A9" s="1">
        <f>0</f>
        <v>0</v>
      </c>
      <c r="B9" s="1">
        <f>固定流程!A9</f>
        <v>4</v>
      </c>
      <c r="C9" s="1">
        <f>3</f>
        <v>3</v>
      </c>
      <c r="D9" s="1">
        <f>1</f>
        <v>1</v>
      </c>
      <c r="E9" s="1">
        <f>固定流程!C9</f>
        <v>1</v>
      </c>
      <c r="F9" s="1">
        <f>固定流程!G9</f>
        <v>1</v>
      </c>
      <c r="G9" s="1" t="str">
        <f>固定流程!H9</f>
        <v>LILYA_DIVE</v>
      </c>
      <c r="H9" s="1">
        <f>固定流程!F9</f>
        <v>1</v>
      </c>
      <c r="I9" s="1">
        <f>INDEX(配置与结果!$B$15:$B$18,F9)</f>
        <v>2296</v>
      </c>
      <c r="J9" s="1">
        <f>INDEX(配置与结果!$D$15:$D$18,F9)</f>
        <v>0.7</v>
      </c>
      <c r="K9" s="1">
        <f>INDEX(配置与结果!$E$15:$E$18,F9)</f>
        <v>2.0249999999999999</v>
      </c>
      <c r="L9" s="1">
        <f t="shared" si="9"/>
        <v>1</v>
      </c>
      <c r="M9" s="1">
        <f t="shared" si="9"/>
        <v>3</v>
      </c>
      <c r="N9" s="1">
        <f t="shared" si="9"/>
        <v>0</v>
      </c>
      <c r="O9" s="1">
        <f t="shared" si="9"/>
        <v>6</v>
      </c>
      <c r="P9" s="1">
        <f>MIN(方案参数!$AI$3,AZ8+0+0)</f>
        <v>3</v>
      </c>
      <c r="Q9" s="1">
        <f t="shared" si="10"/>
        <v>2</v>
      </c>
      <c r="R9" s="1">
        <f t="shared" si="11"/>
        <v>5</v>
      </c>
      <c r="S9" s="1">
        <f t="shared" si="12"/>
        <v>0</v>
      </c>
      <c r="T9" s="1">
        <f t="shared" si="13"/>
        <v>0</v>
      </c>
      <c r="U9" s="1">
        <f t="shared" si="14"/>
        <v>0</v>
      </c>
      <c r="V9" s="1">
        <f t="shared" si="15"/>
        <v>0</v>
      </c>
      <c r="W9" s="1">
        <f t="shared" si="16"/>
        <v>1</v>
      </c>
      <c r="X9" s="1">
        <f t="shared" si="17"/>
        <v>1</v>
      </c>
      <c r="Y9" s="1">
        <f t="shared" si="18"/>
        <v>1</v>
      </c>
      <c r="Z9" s="1">
        <f t="shared" si="19"/>
        <v>0</v>
      </c>
      <c r="AA9" s="1">
        <f t="shared" si="20"/>
        <v>0</v>
      </c>
      <c r="AB9" s="1">
        <f t="shared" si="21"/>
        <v>0</v>
      </c>
      <c r="AC9" s="1">
        <f t="shared" si="22"/>
        <v>0</v>
      </c>
      <c r="AD9" s="1">
        <f>ROUNDDOWN(I9*(1+IF(F9=3,0.05+方案参数!$Y$3+AA9*0.12,IF(F9=4,方案参数!$BZ$3*方案参数!$AS$3,0)))+IF(AND(X9=1,F9&lt;&gt;3),方案参数!$CC$3,0)+AC9*方案参数!$CB$3,0)</f>
        <v>2534</v>
      </c>
      <c r="AE9" s="1">
        <f>IF(OR(F9=1,F9=4),配置与结果!$B$24,配置与结果!$B$25)*MAX(0,1-INDEX(配置与结果!$I$15:$I$18,F9))</f>
        <v>1200</v>
      </c>
      <c r="AF9" s="1">
        <f>(IF(L9=1,方案参数!$AW$3,IF(L9=2,方案参数!$AX$3,0))+方案参数!$AV$3)*H9</f>
        <v>6</v>
      </c>
      <c r="AG9" s="1">
        <f>MAX(配置与结果!$B$32,1+INDEX(配置与结果!$F$15:$F$18,F9)+0.08+方案参数!$CD$3+Q9*方案参数!$W$3+Y9*(方案参数!$AN$3+MIN(方案参数!$AO$3,P9*0.03))+AB9*方案参数!$BZ$3*0.025+IF(L9=1,方案参数!$AY$3+(H9-1)*0.1,IF(L9=2,方案参数!$AZ$3+(H9-1)*0.2,0))-配置与结果!$B$28)</f>
        <v>1.3200000000000003</v>
      </c>
      <c r="AH9" s="1">
        <f>MAX(0,1+INDEX(配置与结果!$G$15:$G$18,F9)+W9*方案参数!$AG$3+IF(L9=1,方案参数!$BA$3,IF(L9=2,方案参数!$BB$3,0))+M9*方案参数!$BC$3)</f>
        <v>2.08</v>
      </c>
      <c r="AI9" s="1">
        <f>IF(OR(INDEX(配置与结果!$K$15:$K$18,F9)=1,G9="RHI_BERRY"),1+配置与结果!$B$33+P9*方案参数!$AH$3,1)</f>
        <v>1</v>
      </c>
      <c r="AJ9" s="1">
        <f>MIN(1,MAX(0,J9+方案参数!$AB$3-配置与结果!$B$27))</f>
        <v>1</v>
      </c>
      <c r="AK9" s="1">
        <f>MAX(1,K9+IF(F9=2,0.15+方案参数!$CH$3,0)+BN9*方案参数!$X$3+R9*方案参数!$AA$3+0-配置与结果!$B$26+Z9*(方案参数!$AP$3+MIN(方案参数!$AQ$3,P9*0.03)))</f>
        <v>1.8050000000000002</v>
      </c>
      <c r="AL9" s="7">
        <f>ROUNDDOWN(MAX(AD9*配置与结果!$B$31,AD9-AE9)*AF9*AG9*AH9*AI9,0)</f>
        <v>21975</v>
      </c>
      <c r="AM9" s="7">
        <f>ROUNDDOWN(MAX(AD9*配置与结果!$B$31,AD9-AE9)*AF9*AG9*AH9*AI9*AK9,0)</f>
        <v>39666</v>
      </c>
      <c r="AN9" s="7">
        <f t="shared" si="0"/>
        <v>39666</v>
      </c>
      <c r="AO9" s="7">
        <f>0</f>
        <v>0</v>
      </c>
      <c r="AP9" s="7">
        <f>MAX(0,1+INDEX(配置与结果!$J$15:$J$18,F9)+IF(T9&gt;0,方案参数!$BY$3,0)-配置与结果!$B$30)</f>
        <v>1</v>
      </c>
      <c r="AQ9" s="7">
        <f t="shared" si="1"/>
        <v>0</v>
      </c>
      <c r="AR9" s="7">
        <f t="shared" si="2"/>
        <v>0</v>
      </c>
      <c r="AS9" s="7">
        <f t="shared" si="3"/>
        <v>0</v>
      </c>
      <c r="AT9" s="7">
        <f>0</f>
        <v>0</v>
      </c>
      <c r="AU9" s="7">
        <f t="shared" si="4"/>
        <v>39666</v>
      </c>
      <c r="AV9" s="1">
        <f t="shared" si="5"/>
        <v>1</v>
      </c>
      <c r="AW9" s="1">
        <f>MIN(10,M9+0+IF(L9=1,方案参数!$BE$3,0))</f>
        <v>4</v>
      </c>
      <c r="AX9" s="1">
        <f t="shared" si="6"/>
        <v>0</v>
      </c>
      <c r="AY9" s="1">
        <f t="shared" ref="AY9:AY24" si="31">MIN(20,MAX(0,O9+0+0-0))</f>
        <v>6</v>
      </c>
      <c r="AZ9" s="1">
        <f t="shared" si="7"/>
        <v>3</v>
      </c>
      <c r="BA9" s="1">
        <f>MIN(6,Q9+0)</f>
        <v>2</v>
      </c>
      <c r="BB9" s="1">
        <f t="shared" si="23"/>
        <v>5</v>
      </c>
      <c r="BC9" s="1">
        <f t="shared" si="8"/>
        <v>0</v>
      </c>
      <c r="BD9" s="1">
        <f>MAX(0,T9-IF(AO9&gt;0,1,0))+0</f>
        <v>0</v>
      </c>
      <c r="BE9" s="1">
        <f t="shared" si="24"/>
        <v>0</v>
      </c>
      <c r="BF9" s="1">
        <f>MIN(4,V9+0)</f>
        <v>0</v>
      </c>
      <c r="BG9" s="1">
        <f t="shared" si="29"/>
        <v>1</v>
      </c>
      <c r="BH9" s="1">
        <f t="shared" si="25"/>
        <v>1</v>
      </c>
      <c r="BI9" s="1">
        <f t="shared" si="30"/>
        <v>1</v>
      </c>
      <c r="BJ9" s="1">
        <f t="shared" si="26"/>
        <v>0</v>
      </c>
      <c r="BK9" s="1">
        <f t="shared" si="26"/>
        <v>0</v>
      </c>
      <c r="BL9" s="1">
        <f t="shared" si="26"/>
        <v>0</v>
      </c>
      <c r="BM9" s="1">
        <f t="shared" si="26"/>
        <v>0</v>
      </c>
      <c r="BN9" s="1">
        <f t="shared" si="27"/>
        <v>1</v>
      </c>
      <c r="BO9" s="1">
        <f t="shared" si="28"/>
        <v>1</v>
      </c>
    </row>
    <row r="10" spans="1:67" ht="30.95" customHeight="1">
      <c r="A10" s="1">
        <f>0</f>
        <v>0</v>
      </c>
      <c r="B10" s="1">
        <f>固定流程!A10</f>
        <v>5</v>
      </c>
      <c r="C10" s="1">
        <f>3</f>
        <v>3</v>
      </c>
      <c r="D10" s="1">
        <f>1</f>
        <v>1</v>
      </c>
      <c r="E10" s="1">
        <f>固定流程!C10</f>
        <v>1</v>
      </c>
      <c r="F10" s="1">
        <f>固定流程!G10</f>
        <v>2</v>
      </c>
      <c r="G10" s="1" t="str">
        <f>固定流程!H10</f>
        <v>37_TRIANGLE</v>
      </c>
      <c r="H10" s="1">
        <f>固定流程!F10</f>
        <v>1</v>
      </c>
      <c r="I10" s="1">
        <f>INDEX(配置与结果!$B$15:$B$18,F10)</f>
        <v>2306</v>
      </c>
      <c r="J10" s="1">
        <f>INDEX(配置与结果!$D$15:$D$18,F10)</f>
        <v>0.46</v>
      </c>
      <c r="K10" s="1">
        <f>INDEX(配置与结果!$E$15:$E$18,F10)</f>
        <v>1.9279999999999999</v>
      </c>
      <c r="L10" s="1">
        <f t="shared" si="9"/>
        <v>1</v>
      </c>
      <c r="M10" s="1">
        <f t="shared" si="9"/>
        <v>4</v>
      </c>
      <c r="N10" s="1">
        <f t="shared" si="9"/>
        <v>0</v>
      </c>
      <c r="O10" s="1">
        <f t="shared" si="9"/>
        <v>6</v>
      </c>
      <c r="P10" s="1">
        <f>MIN(方案参数!$AI$3,AZ9+0+0)</f>
        <v>3</v>
      </c>
      <c r="Q10" s="1">
        <f t="shared" si="10"/>
        <v>2</v>
      </c>
      <c r="R10" s="1">
        <f t="shared" si="11"/>
        <v>5</v>
      </c>
      <c r="S10" s="1">
        <f t="shared" si="12"/>
        <v>0</v>
      </c>
      <c r="T10" s="1">
        <f t="shared" si="13"/>
        <v>0</v>
      </c>
      <c r="U10" s="1">
        <f t="shared" si="14"/>
        <v>0</v>
      </c>
      <c r="V10" s="1">
        <f t="shared" si="15"/>
        <v>0</v>
      </c>
      <c r="W10" s="1">
        <f t="shared" si="16"/>
        <v>1</v>
      </c>
      <c r="X10" s="1">
        <f t="shared" si="17"/>
        <v>1</v>
      </c>
      <c r="Y10" s="1">
        <f t="shared" si="18"/>
        <v>1</v>
      </c>
      <c r="Z10" s="1">
        <f t="shared" si="19"/>
        <v>0</v>
      </c>
      <c r="AA10" s="1">
        <f t="shared" si="20"/>
        <v>0</v>
      </c>
      <c r="AB10" s="1">
        <f t="shared" si="21"/>
        <v>0</v>
      </c>
      <c r="AC10" s="1">
        <f t="shared" si="22"/>
        <v>0</v>
      </c>
      <c r="AD10" s="1">
        <f>ROUNDDOWN(I10*(1+IF(F10=3,0.05+方案参数!$Y$3+AA10*0.12,IF(F10=4,方案参数!$BZ$3*方案参数!$AS$3,0)))+IF(AND(X10=1,F10&lt;&gt;3),方案参数!$CC$3,0)+AC10*方案参数!$CB$3,0)</f>
        <v>2544</v>
      </c>
      <c r="AE10" s="1">
        <f>IF(OR(F10=1,F10=4),配置与结果!$B$24,配置与结果!$B$25)*MAX(0,1-INDEX(配置与结果!$I$15:$I$18,F10))</f>
        <v>1000</v>
      </c>
      <c r="AF10" s="1">
        <f>方案参数!$BS$3*IF(H10=1,1,IF(H10=2,1.5,2.5))</f>
        <v>2.8</v>
      </c>
      <c r="AG10" s="1">
        <f>MAX(配置与结果!$B$32,1+INDEX(配置与结果!$F$15:$F$18,F10)+0+Q10*方案参数!$W$3+Y10*(方案参数!$AN$3+MIN(方案参数!$AO$3,P10*0.03))+AB10*方案参数!$BZ$3*0.025-配置与结果!$B$28)</f>
        <v>0.8849999999999999</v>
      </c>
      <c r="AH10" s="1">
        <f>MAX(0,1+INDEX(配置与结果!$G$15:$G$18,F10)+W10*方案参数!$AG$3)</f>
        <v>1.3</v>
      </c>
      <c r="AI10" s="1">
        <f>IF(OR(INDEX(配置与结果!$K$15:$K$18,F10)=1,G10="RHI_BERRY"),1+配置与结果!$B$33+P10*方案参数!$AH$3,1)</f>
        <v>1</v>
      </c>
      <c r="AJ10" s="1">
        <f>MIN(1,MAX(0,J10+方案参数!$AB$3-配置与结果!$B$27))</f>
        <v>0.76</v>
      </c>
      <c r="AK10" s="1">
        <f>MAX(1,K10+IF(F10=2,0.15+方案参数!$CH$3,0)+BN10*方案参数!$X$3+R10*方案参数!$AA$3+0-配置与结果!$B$26+Z10*(方案参数!$AP$3+MIN(方案参数!$AQ$3,P10*0.03)))</f>
        <v>1.9780000000000002</v>
      </c>
      <c r="AL10" s="7">
        <f>ROUNDDOWN(MAX(AD10*配置与结果!$B$31,AD10-AE10)*AF10*AG10*AH10*AI10,0)</f>
        <v>4973</v>
      </c>
      <c r="AM10" s="7">
        <f>ROUNDDOWN(MAX(AD10*配置与结果!$B$31,AD10-AE10)*AF10*AG10*AH10*AI10*AK10,0)</f>
        <v>9838</v>
      </c>
      <c r="AN10" s="7">
        <f t="shared" si="0"/>
        <v>8670.4</v>
      </c>
      <c r="AO10" s="7">
        <f>方案参数!$BU$3*IF(H10=1,1,IF(H10=2,1.5,2.5))</f>
        <v>0.8</v>
      </c>
      <c r="AP10" s="7">
        <f>MAX(0,1+INDEX(配置与结果!$J$15:$J$18,F10)+IF(T10&gt;0,方案参数!$BY$3,0)-配置与结果!$B$30)</f>
        <v>1</v>
      </c>
      <c r="AQ10" s="7">
        <f t="shared" si="1"/>
        <v>2035</v>
      </c>
      <c r="AR10" s="7">
        <f t="shared" si="2"/>
        <v>4025</v>
      </c>
      <c r="AS10" s="7">
        <f t="shared" si="3"/>
        <v>3547.4</v>
      </c>
      <c r="AT10" s="7">
        <f>0</f>
        <v>0</v>
      </c>
      <c r="AU10" s="7">
        <f t="shared" si="4"/>
        <v>12217.8</v>
      </c>
      <c r="AV10" s="1">
        <f t="shared" si="5"/>
        <v>1</v>
      </c>
      <c r="AW10" s="1">
        <f>MIN(10,M10+0+0)</f>
        <v>4</v>
      </c>
      <c r="AX10" s="1">
        <f t="shared" si="6"/>
        <v>0</v>
      </c>
      <c r="AY10" s="1">
        <f t="shared" si="31"/>
        <v>6</v>
      </c>
      <c r="AZ10" s="1">
        <f t="shared" si="7"/>
        <v>3</v>
      </c>
      <c r="BA10" s="1">
        <f>MIN(6,Q10+0)</f>
        <v>2</v>
      </c>
      <c r="BB10" s="1">
        <f t="shared" si="23"/>
        <v>5</v>
      </c>
      <c r="BC10" s="1">
        <f t="shared" si="8"/>
        <v>0</v>
      </c>
      <c r="BD10" s="1">
        <f>MAX(0,T10-IF(AO10&gt;0,1,0))+1</f>
        <v>1</v>
      </c>
      <c r="BE10" s="1">
        <f t="shared" si="24"/>
        <v>0</v>
      </c>
      <c r="BF10" s="1">
        <f>MIN(4,V10+0)</f>
        <v>0</v>
      </c>
      <c r="BG10" s="1">
        <f t="shared" si="29"/>
        <v>1</v>
      </c>
      <c r="BH10" s="1">
        <f t="shared" si="25"/>
        <v>1</v>
      </c>
      <c r="BI10" s="1">
        <f t="shared" si="30"/>
        <v>1</v>
      </c>
      <c r="BJ10" s="1">
        <f t="shared" si="26"/>
        <v>0</v>
      </c>
      <c r="BK10" s="1">
        <f t="shared" si="26"/>
        <v>0</v>
      </c>
      <c r="BL10" s="1">
        <f t="shared" si="26"/>
        <v>0</v>
      </c>
      <c r="BM10" s="1">
        <f t="shared" si="26"/>
        <v>0</v>
      </c>
      <c r="BN10" s="1">
        <f t="shared" si="27"/>
        <v>1</v>
      </c>
      <c r="BO10" s="1">
        <f t="shared" si="28"/>
        <v>1</v>
      </c>
    </row>
    <row r="11" spans="1:67" ht="30.95" customHeight="1">
      <c r="A11" s="1">
        <f>0</f>
        <v>0</v>
      </c>
      <c r="B11" s="1">
        <f>固定流程!A11</f>
        <v>6</v>
      </c>
      <c r="C11" s="1">
        <f>3</f>
        <v>3</v>
      </c>
      <c r="D11" s="1">
        <f>1</f>
        <v>1</v>
      </c>
      <c r="E11" s="1">
        <f>固定流程!C11</f>
        <v>1</v>
      </c>
      <c r="F11" s="1">
        <f>固定流程!G11</f>
        <v>2</v>
      </c>
      <c r="G11" s="1" t="str">
        <f>固定流程!H11</f>
        <v>37_FOLLOW</v>
      </c>
      <c r="H11" s="1">
        <f>固定流程!F11</f>
        <v>1</v>
      </c>
      <c r="I11" s="1">
        <f>INDEX(配置与结果!$B$15:$B$18,F11)</f>
        <v>2306</v>
      </c>
      <c r="J11" s="1">
        <f>INDEX(配置与结果!$D$15:$D$18,F11)</f>
        <v>0.46</v>
      </c>
      <c r="K11" s="1">
        <f>INDEX(配置与结果!$E$15:$E$18,F11)</f>
        <v>1.9279999999999999</v>
      </c>
      <c r="L11" s="1">
        <f t="shared" si="9"/>
        <v>1</v>
      </c>
      <c r="M11" s="1">
        <f t="shared" si="9"/>
        <v>4</v>
      </c>
      <c r="N11" s="1">
        <f t="shared" si="9"/>
        <v>0</v>
      </c>
      <c r="O11" s="1">
        <f t="shared" si="9"/>
        <v>6</v>
      </c>
      <c r="P11" s="1">
        <f>MIN(方案参数!$AI$3,AZ10+0+0)</f>
        <v>3</v>
      </c>
      <c r="Q11" s="1">
        <f t="shared" si="10"/>
        <v>2</v>
      </c>
      <c r="R11" s="1">
        <f t="shared" si="11"/>
        <v>5</v>
      </c>
      <c r="S11" s="1">
        <f t="shared" si="12"/>
        <v>0</v>
      </c>
      <c r="T11" s="1">
        <f t="shared" si="13"/>
        <v>1</v>
      </c>
      <c r="U11" s="1">
        <f t="shared" si="14"/>
        <v>0</v>
      </c>
      <c r="V11" s="1">
        <f t="shared" si="15"/>
        <v>0</v>
      </c>
      <c r="W11" s="1">
        <f t="shared" si="16"/>
        <v>1</v>
      </c>
      <c r="X11" s="1">
        <f t="shared" si="17"/>
        <v>1</v>
      </c>
      <c r="Y11" s="1">
        <f t="shared" si="18"/>
        <v>1</v>
      </c>
      <c r="Z11" s="1">
        <f t="shared" si="19"/>
        <v>0</v>
      </c>
      <c r="AA11" s="1">
        <f t="shared" si="20"/>
        <v>0</v>
      </c>
      <c r="AB11" s="1">
        <f t="shared" si="21"/>
        <v>0</v>
      </c>
      <c r="AC11" s="1">
        <f t="shared" si="22"/>
        <v>0</v>
      </c>
      <c r="AD11" s="1">
        <f>ROUNDDOWN(I11*(1+IF(F11=3,0.05+方案参数!$Y$3+AA11*0.12,IF(F11=4,方案参数!$BZ$3*方案参数!$AS$3,0)))+IF(AND(X11=1,F11&lt;&gt;3),方案参数!$CC$3,0)+AC11*方案参数!$CB$3,0)</f>
        <v>2544</v>
      </c>
      <c r="AE11" s="1">
        <f>IF(OR(F11=1,F11=4),配置与结果!$B$24,配置与结果!$B$25)*MAX(0,1-INDEX(配置与结果!$I$15:$I$18,F11))</f>
        <v>1000</v>
      </c>
      <c r="AF11" s="1">
        <f>方案参数!$BV$3</f>
        <v>3</v>
      </c>
      <c r="AG11" s="1">
        <f>MAX(配置与结果!$B$32,1+INDEX(配置与结果!$F$15:$F$18,F11)+0+Q11*方案参数!$W$3+Y11*(方案参数!$AN$3+MIN(方案参数!$AO$3,P11*0.03))+AB11*方案参数!$BZ$3*0.025-配置与结果!$B$28)</f>
        <v>0.8849999999999999</v>
      </c>
      <c r="AH11" s="1">
        <f>MAX(0,1+INDEX(配置与结果!$G$15:$G$18,F11)+W11*方案参数!$AG$3)</f>
        <v>1.3</v>
      </c>
      <c r="AI11" s="1">
        <f>IF(OR(INDEX(配置与结果!$K$15:$K$18,F11)=1,G11="RHI_BERRY"),1+配置与结果!$B$33+P11*方案参数!$AH$3,1)</f>
        <v>1</v>
      </c>
      <c r="AJ11" s="1">
        <f>MIN(1,MAX(0,J11+方案参数!$AB$3-配置与结果!$B$27))</f>
        <v>0.76</v>
      </c>
      <c r="AK11" s="1">
        <f>MAX(1,K11+IF(F11=2,0.15+方案参数!$CH$3,0)+BN11*方案参数!$X$3+R11*方案参数!$AA$3+0-配置与结果!$B$26+Z11*(方案参数!$AP$3+MIN(方案参数!$AQ$3,P11*0.03)))</f>
        <v>1.9780000000000002</v>
      </c>
      <c r="AL11" s="7">
        <f>ROUNDDOWN(MAX(AD11*配置与结果!$B$31,AD11-AE11)*AF11*AG11*AH11*AI11,0)</f>
        <v>5329</v>
      </c>
      <c r="AM11" s="7">
        <f>ROUNDDOWN(MAX(AD11*配置与结果!$B$31,AD11-AE11)*AF11*AG11*AH11*AI11*AK11,0)</f>
        <v>10540</v>
      </c>
      <c r="AN11" s="7">
        <f t="shared" si="0"/>
        <v>9289.36</v>
      </c>
      <c r="AO11" s="7">
        <f>方案参数!$BW$3</f>
        <v>1</v>
      </c>
      <c r="AP11" s="7">
        <f>MAX(0,1+INDEX(配置与结果!$J$15:$J$18,F11)+IF(T11&gt;0,方案参数!$BY$3,0)-配置与结果!$B$30)</f>
        <v>2</v>
      </c>
      <c r="AQ11" s="7">
        <f t="shared" si="1"/>
        <v>5088</v>
      </c>
      <c r="AR11" s="7">
        <f t="shared" si="2"/>
        <v>10064</v>
      </c>
      <c r="AS11" s="7">
        <f t="shared" si="3"/>
        <v>8869.76</v>
      </c>
      <c r="AT11" s="7">
        <f>0</f>
        <v>0</v>
      </c>
      <c r="AU11" s="7">
        <f t="shared" si="4"/>
        <v>18159.120000000003</v>
      </c>
      <c r="AV11" s="1">
        <f t="shared" si="5"/>
        <v>1</v>
      </c>
      <c r="AW11" s="1">
        <f>MIN(10,M11+0+0)</f>
        <v>4</v>
      </c>
      <c r="AX11" s="1">
        <f t="shared" si="6"/>
        <v>0</v>
      </c>
      <c r="AY11" s="1">
        <f t="shared" si="31"/>
        <v>6</v>
      </c>
      <c r="AZ11" s="1">
        <f t="shared" si="7"/>
        <v>3</v>
      </c>
      <c r="BA11" s="1">
        <f>MIN(6,Q11+0)</f>
        <v>2</v>
      </c>
      <c r="BB11" s="1">
        <f t="shared" si="23"/>
        <v>5</v>
      </c>
      <c r="BC11" s="1">
        <f t="shared" si="8"/>
        <v>0</v>
      </c>
      <c r="BD11" s="1">
        <f t="shared" ref="BD11:BD45" si="32">MAX(0,T11-IF(AO11&gt;0,1,0))+0</f>
        <v>0</v>
      </c>
      <c r="BE11" s="1">
        <f t="shared" si="24"/>
        <v>0</v>
      </c>
      <c r="BF11" s="1">
        <f>MIN(4,V11+1)</f>
        <v>1</v>
      </c>
      <c r="BG11" s="1">
        <f t="shared" si="29"/>
        <v>1</v>
      </c>
      <c r="BH11" s="1">
        <f t="shared" si="25"/>
        <v>1</v>
      </c>
      <c r="BI11" s="1">
        <f t="shared" si="30"/>
        <v>1</v>
      </c>
      <c r="BJ11" s="1">
        <f t="shared" si="26"/>
        <v>0</v>
      </c>
      <c r="BK11" s="1">
        <f t="shared" si="26"/>
        <v>0</v>
      </c>
      <c r="BL11" s="1">
        <f t="shared" si="26"/>
        <v>0</v>
      </c>
      <c r="BM11" s="1">
        <f t="shared" si="26"/>
        <v>0</v>
      </c>
      <c r="BN11" s="1">
        <f t="shared" si="27"/>
        <v>1</v>
      </c>
      <c r="BO11" s="1">
        <f t="shared" si="28"/>
        <v>1</v>
      </c>
    </row>
    <row r="12" spans="1:67" ht="30.95" customHeight="1">
      <c r="A12" s="1">
        <f>0</f>
        <v>0</v>
      </c>
      <c r="B12" s="1">
        <f>固定流程!A12</f>
        <v>7</v>
      </c>
      <c r="C12" s="1">
        <f>3</f>
        <v>3</v>
      </c>
      <c r="D12" s="1">
        <f>1</f>
        <v>1</v>
      </c>
      <c r="E12" s="1">
        <f>固定流程!C12</f>
        <v>1</v>
      </c>
      <c r="F12" s="1">
        <f>固定流程!G12</f>
        <v>4</v>
      </c>
      <c r="G12" s="1" t="str">
        <f>固定流程!H12</f>
        <v>J_HARD</v>
      </c>
      <c r="H12" s="1">
        <f>固定流程!F12</f>
        <v>1</v>
      </c>
      <c r="I12" s="1">
        <f>INDEX(配置与结果!$B$15:$B$18,F12)</f>
        <v>1906</v>
      </c>
      <c r="J12" s="1">
        <f>INDEX(配置与结果!$D$15:$D$18,F12)</f>
        <v>0.36699999999999999</v>
      </c>
      <c r="K12" s="1">
        <f>INDEX(配置与结果!$E$15:$E$18,F12)</f>
        <v>1.7170000000000001</v>
      </c>
      <c r="L12" s="1">
        <f t="shared" si="9"/>
        <v>1</v>
      </c>
      <c r="M12" s="1">
        <f t="shared" si="9"/>
        <v>4</v>
      </c>
      <c r="N12" s="1">
        <f t="shared" si="9"/>
        <v>0</v>
      </c>
      <c r="O12" s="1">
        <f t="shared" si="9"/>
        <v>6</v>
      </c>
      <c r="P12" s="1">
        <f>MIN(方案参数!$AI$3,AZ11+0+0)</f>
        <v>3</v>
      </c>
      <c r="Q12" s="1">
        <f t="shared" si="10"/>
        <v>2</v>
      </c>
      <c r="R12" s="1">
        <f t="shared" si="11"/>
        <v>5</v>
      </c>
      <c r="S12" s="1">
        <f t="shared" si="12"/>
        <v>0</v>
      </c>
      <c r="T12" s="1">
        <f t="shared" si="13"/>
        <v>0</v>
      </c>
      <c r="U12" s="1">
        <f t="shared" si="14"/>
        <v>0</v>
      </c>
      <c r="V12" s="1">
        <f t="shared" si="15"/>
        <v>1</v>
      </c>
      <c r="W12" s="1">
        <f t="shared" si="16"/>
        <v>1</v>
      </c>
      <c r="X12" s="1">
        <f t="shared" si="17"/>
        <v>1</v>
      </c>
      <c r="Y12" s="1">
        <f t="shared" si="18"/>
        <v>1</v>
      </c>
      <c r="Z12" s="1">
        <f t="shared" si="19"/>
        <v>0</v>
      </c>
      <c r="AA12" s="1">
        <f t="shared" si="20"/>
        <v>0</v>
      </c>
      <c r="AB12" s="1">
        <f t="shared" si="21"/>
        <v>0</v>
      </c>
      <c r="AC12" s="1">
        <f t="shared" si="22"/>
        <v>0</v>
      </c>
      <c r="AD12" s="1">
        <f>ROUNDDOWN(I12*(1+IF(F12=3,0.05+方案参数!$Y$3+AA12*0.12,IF(F12=4,方案参数!$BZ$3*方案参数!$AS$3,0)))+IF(AND(X12=1,F12&lt;&gt;3),方案参数!$CC$3,0)+AC12*方案参数!$CB$3,0)</f>
        <v>2811</v>
      </c>
      <c r="AE12" s="1">
        <f>IF(OR(F12=1,F12=4),配置与结果!$B$24,配置与结果!$B$25)*MAX(0,1-INDEX(配置与结果!$I$15:$I$18,F12))</f>
        <v>1200</v>
      </c>
      <c r="AF12" s="1">
        <f>3.6*IF(H12=1,1,IF(H12=2,1.5,2.5))</f>
        <v>3.6</v>
      </c>
      <c r="AG12" s="1">
        <f>MAX(配置与结果!$B$32,1+INDEX(配置与结果!$F$15:$F$18,F12)+0.08+Q12*方案参数!$W$3+Y12*(方案参数!$AN$3+MIN(方案参数!$AO$3,P12*0.03))+AB12*方案参数!$BZ$3*0.025+0.1+IF(方案参数!$BZ$3&gt;=30,方案参数!$BZ$3*0.01,0)-配置与结果!$B$28)</f>
        <v>1.4350000000000001</v>
      </c>
      <c r="AH12" s="1">
        <f>MAX(0,1+INDEX(配置与结果!$G$15:$G$18,F12)+W12*方案参数!$AG$3)</f>
        <v>1.3</v>
      </c>
      <c r="AI12" s="1">
        <f>IF(OR(INDEX(配置与结果!$K$15:$K$18,F12)=1,G12="RHI_BERRY"),1+配置与结果!$B$33+P12*方案参数!$AH$3,1)</f>
        <v>1</v>
      </c>
      <c r="AJ12" s="1">
        <f>MIN(1,MAX(0,J12+方案参数!$AB$3-配置与结果!$B$27))</f>
        <v>0.66700000000000004</v>
      </c>
      <c r="AK12" s="1">
        <f>MAX(1,K12+IF(F12=2,0.15+方案参数!$CH$3,0)+BN12*方案参数!$X$3+R12*方案参数!$AA$3+0-配置与结果!$B$26+Z12*(方案参数!$AP$3+MIN(方案参数!$AQ$3,P12*0.03)))</f>
        <v>1.4969999999999999</v>
      </c>
      <c r="AL12" s="7">
        <f>ROUNDDOWN(MAX(AD12*配置与结果!$B$31,AD12-AE12)*AF12*AG12*AH12*AI12,0)</f>
        <v>10819</v>
      </c>
      <c r="AM12" s="7">
        <f>ROUNDDOWN(MAX(AD12*配置与结果!$B$31,AD12-AE12)*AF12*AG12*AH12*AI12*AK12,0)</f>
        <v>16196</v>
      </c>
      <c r="AN12" s="7">
        <f t="shared" si="0"/>
        <v>14405.458999999999</v>
      </c>
      <c r="AO12" s="7">
        <f>0</f>
        <v>0</v>
      </c>
      <c r="AP12" s="7">
        <f>MAX(0,1+INDEX(配置与结果!$J$15:$J$18,F12)+IF(T12&gt;0,方案参数!$BY$3,0)-配置与结果!$B$30)</f>
        <v>1</v>
      </c>
      <c r="AQ12" s="7">
        <f t="shared" si="1"/>
        <v>0</v>
      </c>
      <c r="AR12" s="7">
        <f t="shared" si="2"/>
        <v>0</v>
      </c>
      <c r="AS12" s="7">
        <f t="shared" si="3"/>
        <v>0</v>
      </c>
      <c r="AT12" s="7">
        <f>0</f>
        <v>0</v>
      </c>
      <c r="AU12" s="7">
        <f t="shared" si="4"/>
        <v>14405.458999999999</v>
      </c>
      <c r="AV12" s="1">
        <f t="shared" si="5"/>
        <v>1</v>
      </c>
      <c r="AW12" s="1">
        <f>MIN(10,M12+0+0)</f>
        <v>4</v>
      </c>
      <c r="AX12" s="1">
        <f t="shared" si="6"/>
        <v>0</v>
      </c>
      <c r="AY12" s="1">
        <f t="shared" si="31"/>
        <v>6</v>
      </c>
      <c r="AZ12" s="1">
        <f t="shared" si="7"/>
        <v>3</v>
      </c>
      <c r="BA12" s="1">
        <f>MIN(6,Q12+0)</f>
        <v>2</v>
      </c>
      <c r="BB12" s="1">
        <f t="shared" si="23"/>
        <v>5</v>
      </c>
      <c r="BC12" s="1">
        <f>MIN(3,S12+1)</f>
        <v>1</v>
      </c>
      <c r="BD12" s="1">
        <f t="shared" si="32"/>
        <v>0</v>
      </c>
      <c r="BE12" s="1">
        <f t="shared" si="24"/>
        <v>0</v>
      </c>
      <c r="BF12" s="1">
        <f>MIN(4,V12+0)</f>
        <v>1</v>
      </c>
      <c r="BG12" s="1">
        <f t="shared" si="29"/>
        <v>1</v>
      </c>
      <c r="BH12" s="1">
        <f t="shared" si="25"/>
        <v>1</v>
      </c>
      <c r="BI12" s="1">
        <f t="shared" si="30"/>
        <v>1</v>
      </c>
      <c r="BJ12" s="1">
        <f t="shared" si="26"/>
        <v>0</v>
      </c>
      <c r="BK12" s="1">
        <f t="shared" si="26"/>
        <v>0</v>
      </c>
      <c r="BL12" s="1">
        <f t="shared" si="26"/>
        <v>0</v>
      </c>
      <c r="BM12" s="1">
        <f t="shared" si="26"/>
        <v>0</v>
      </c>
      <c r="BN12" s="1">
        <f t="shared" si="27"/>
        <v>1</v>
      </c>
      <c r="BO12" s="1">
        <f t="shared" si="28"/>
        <v>1</v>
      </c>
    </row>
    <row r="13" spans="1:67" ht="30.95" customHeight="1">
      <c r="A13" s="1">
        <f>0</f>
        <v>0</v>
      </c>
      <c r="B13" s="1">
        <f>固定流程!A13</f>
        <v>8</v>
      </c>
      <c r="C13" s="1">
        <f>3</f>
        <v>3</v>
      </c>
      <c r="D13" s="1">
        <f>1</f>
        <v>1</v>
      </c>
      <c r="E13" s="1">
        <f>固定流程!C13</f>
        <v>2</v>
      </c>
      <c r="F13" s="1">
        <f>固定流程!G13</f>
        <v>3</v>
      </c>
      <c r="G13" s="1" t="str">
        <f>固定流程!H13</f>
        <v>RHI_ATTACK</v>
      </c>
      <c r="H13" s="1">
        <f>固定流程!F13</f>
        <v>1</v>
      </c>
      <c r="I13" s="1">
        <f>INDEX(配置与结果!$B$15:$B$18,F13)</f>
        <v>2597</v>
      </c>
      <c r="J13" s="1">
        <f>INDEX(配置与结果!$D$15:$D$18,F13)</f>
        <v>0.255</v>
      </c>
      <c r="K13" s="1">
        <f>INDEX(配置与结果!$E$15:$E$18,F13)</f>
        <v>1.55</v>
      </c>
      <c r="L13" s="1">
        <f>IF(AV12=1,IF(M13&gt;=10,2,1),IF(AV12=2,IF(AX12&lt;=1,0,2),0))</f>
        <v>1</v>
      </c>
      <c r="M13" s="1">
        <f>IF(AND(AV12=2,AX12&lt;=1),0,MIN(10,AW12+IF(AV12=1,3,0)))</f>
        <v>7</v>
      </c>
      <c r="N13" s="1">
        <f>IF(AND(AV12=1,M13&gt;=10),2,IF(AV12=2,MAX(0,AX12-1),0))</f>
        <v>0</v>
      </c>
      <c r="O13" s="1">
        <f t="shared" ref="O13:O41" si="33">AY12</f>
        <v>6</v>
      </c>
      <c r="P13" s="1">
        <f>MIN(方案参数!$AI$3,AZ12+方案参数!$AJ$3+方案参数!$AK$3)</f>
        <v>5</v>
      </c>
      <c r="Q13" s="1">
        <f t="shared" si="10"/>
        <v>2</v>
      </c>
      <c r="R13" s="1">
        <f t="shared" si="11"/>
        <v>5</v>
      </c>
      <c r="S13" s="1">
        <f t="shared" si="12"/>
        <v>1</v>
      </c>
      <c r="T13" s="1">
        <f t="shared" si="13"/>
        <v>0</v>
      </c>
      <c r="U13" s="1">
        <f t="shared" si="14"/>
        <v>0</v>
      </c>
      <c r="V13" s="1">
        <f t="shared" si="15"/>
        <v>1</v>
      </c>
      <c r="W13" s="1">
        <f t="shared" si="16"/>
        <v>1</v>
      </c>
      <c r="X13" s="1">
        <f t="shared" si="17"/>
        <v>1</v>
      </c>
      <c r="Y13" s="1">
        <f t="shared" si="18"/>
        <v>1</v>
      </c>
      <c r="Z13" s="1">
        <f t="shared" si="19"/>
        <v>0</v>
      </c>
      <c r="AA13" s="1">
        <f>MAX(BK12,1)</f>
        <v>1</v>
      </c>
      <c r="AB13" s="1">
        <f t="shared" si="21"/>
        <v>0</v>
      </c>
      <c r="AC13" s="1">
        <f t="shared" si="22"/>
        <v>0</v>
      </c>
      <c r="AD13" s="1">
        <f>ROUNDDOWN(I13*(1+IF(F13=3,0.05+方案参数!$Y$3+AA13*0.12,IF(F13=4,方案参数!$BZ$3*方案参数!$AS$3,0)))+IF(AND(X13=1,F13&lt;&gt;3),方案参数!$CC$3,0)+AC13*方案参数!$CB$3,0)</f>
        <v>3298</v>
      </c>
      <c r="AE13" s="1">
        <f>IF(OR(F13=1,F13=4),配置与结果!$B$24,配置与结果!$B$25)*MAX(0,1-INDEX(配置与结果!$I$15:$I$18,F13))</f>
        <v>1000</v>
      </c>
      <c r="AF13" s="1">
        <f>4</f>
        <v>4</v>
      </c>
      <c r="AG13" s="1">
        <f>MAX(配置与结果!$B$32,1+INDEX(配置与结果!$F$15:$F$18,F13)+0+Q13*方案参数!$W$3+Y13*(方案参数!$AN$3+MIN(方案参数!$AO$3,P13*0.03))+AB13*方案参数!$BZ$3*0.025-配置与结果!$B$28)</f>
        <v>0.97499999999999998</v>
      </c>
      <c r="AH13" s="1">
        <f>MAX(0,1+INDEX(配置与结果!$G$15:$G$18,F13)+W13*方案参数!$AG$3)</f>
        <v>1.3</v>
      </c>
      <c r="AI13" s="1">
        <f>IF(OR(INDEX(配置与结果!$K$15:$K$18,F13)=1,G13="RHI_BERRY"),1+配置与结果!$B$33+P13*方案参数!$AH$3,1)</f>
        <v>1</v>
      </c>
      <c r="AJ13" s="1">
        <f>MIN(1,MAX(0,J13+方案参数!$AB$3-配置与结果!$B$27))</f>
        <v>0.55499999999999994</v>
      </c>
      <c r="AK13" s="1">
        <f>MAX(1,K13+IF(F13=2,0.15+方案参数!$CH$3,0)+BN13*方案参数!$X$3+R13*方案参数!$AA$3+0-配置与结果!$B$26+Z13*(方案参数!$AP$3+MIN(方案参数!$AQ$3,P13*0.03)))</f>
        <v>1.33</v>
      </c>
      <c r="AL13" s="7">
        <f>ROUNDDOWN(MAX(AD13*配置与结果!$B$31,AD13-AE13)*AF13*AG13*AH13*AI13,0)</f>
        <v>11650</v>
      </c>
      <c r="AM13" s="7">
        <f>ROUNDDOWN(MAX(AD13*配置与结果!$B$31,AD13-AE13)*AF13*AG13*AH13*AI13*AK13,0)</f>
        <v>15495</v>
      </c>
      <c r="AN13" s="7">
        <f t="shared" si="0"/>
        <v>13783.974999999999</v>
      </c>
      <c r="AO13" s="7">
        <f>0</f>
        <v>0</v>
      </c>
      <c r="AP13" s="7">
        <f>MAX(0,1+INDEX(配置与结果!$J$15:$J$18,F13)+IF(T13&gt;0,方案参数!$BY$3,0)-配置与结果!$B$30)</f>
        <v>1</v>
      </c>
      <c r="AQ13" s="7">
        <f t="shared" si="1"/>
        <v>0</v>
      </c>
      <c r="AR13" s="7">
        <f t="shared" si="2"/>
        <v>0</v>
      </c>
      <c r="AS13" s="7">
        <f t="shared" si="3"/>
        <v>0</v>
      </c>
      <c r="AT13" s="7">
        <f>0</f>
        <v>0</v>
      </c>
      <c r="AU13" s="7">
        <f t="shared" si="4"/>
        <v>13783.974999999999</v>
      </c>
      <c r="AV13" s="1">
        <f t="shared" si="5"/>
        <v>1</v>
      </c>
      <c r="AW13" s="1">
        <f>MIN(10,M13+0+0)</f>
        <v>7</v>
      </c>
      <c r="AX13" s="1">
        <f t="shared" si="6"/>
        <v>0</v>
      </c>
      <c r="AY13" s="1">
        <f t="shared" si="31"/>
        <v>6</v>
      </c>
      <c r="AZ13" s="1">
        <f t="shared" si="7"/>
        <v>5</v>
      </c>
      <c r="BA13" s="1">
        <f>MIN(6,Q13+1)</f>
        <v>3</v>
      </c>
      <c r="BB13" s="1">
        <f t="shared" si="23"/>
        <v>5</v>
      </c>
      <c r="BC13" s="1">
        <f>MIN(3,S13+0)</f>
        <v>1</v>
      </c>
      <c r="BD13" s="1">
        <f t="shared" si="32"/>
        <v>0</v>
      </c>
      <c r="BE13" s="1">
        <f t="shared" si="24"/>
        <v>0</v>
      </c>
      <c r="BF13" s="1">
        <f>MIN(4,V13+0)</f>
        <v>1</v>
      </c>
      <c r="BG13" s="1">
        <f t="shared" si="29"/>
        <v>1</v>
      </c>
      <c r="BH13" s="1">
        <f t="shared" si="25"/>
        <v>1</v>
      </c>
      <c r="BI13" s="1">
        <f t="shared" si="30"/>
        <v>1</v>
      </c>
      <c r="BJ13" s="1">
        <f>MAX(Z13,1)</f>
        <v>1</v>
      </c>
      <c r="BK13" s="1">
        <f>MAX(AA13,1)</f>
        <v>1</v>
      </c>
      <c r="BL13" s="1">
        <f t="shared" ref="BL13:BM20" si="34">MAX(AB13,0)</f>
        <v>0</v>
      </c>
      <c r="BM13" s="1">
        <f t="shared" si="34"/>
        <v>0</v>
      </c>
      <c r="BN13" s="1">
        <f t="shared" si="27"/>
        <v>1</v>
      </c>
      <c r="BO13" s="1">
        <f t="shared" si="28"/>
        <v>1</v>
      </c>
    </row>
    <row r="14" spans="1:67" ht="30.95" customHeight="1">
      <c r="A14" s="1">
        <f>0</f>
        <v>0</v>
      </c>
      <c r="B14" s="1">
        <f>固定流程!A14</f>
        <v>9</v>
      </c>
      <c r="C14" s="1">
        <f>3</f>
        <v>3</v>
      </c>
      <c r="D14" s="1">
        <f>1</f>
        <v>1</v>
      </c>
      <c r="E14" s="1">
        <f>固定流程!C14</f>
        <v>2</v>
      </c>
      <c r="F14" s="1">
        <f>固定流程!G14</f>
        <v>1</v>
      </c>
      <c r="G14" s="1" t="str">
        <f>固定流程!H14</f>
        <v>LILYA_DIVE</v>
      </c>
      <c r="H14" s="1">
        <f>固定流程!F14</f>
        <v>3</v>
      </c>
      <c r="I14" s="1">
        <f>INDEX(配置与结果!$B$15:$B$18,F14)</f>
        <v>2296</v>
      </c>
      <c r="J14" s="1">
        <f>INDEX(配置与结果!$D$15:$D$18,F14)</f>
        <v>0.7</v>
      </c>
      <c r="K14" s="1">
        <f>INDEX(配置与结果!$E$15:$E$18,F14)</f>
        <v>2.0249999999999999</v>
      </c>
      <c r="L14" s="1">
        <f t="shared" ref="L14:N18" si="35">AV13</f>
        <v>1</v>
      </c>
      <c r="M14" s="1">
        <f t="shared" si="35"/>
        <v>7</v>
      </c>
      <c r="N14" s="1">
        <f t="shared" si="35"/>
        <v>0</v>
      </c>
      <c r="O14" s="1">
        <f t="shared" si="33"/>
        <v>6</v>
      </c>
      <c r="P14" s="1">
        <f>MIN(方案参数!$AI$3,AZ13+0+0)</f>
        <v>5</v>
      </c>
      <c r="Q14" s="1">
        <f t="shared" si="10"/>
        <v>3</v>
      </c>
      <c r="R14" s="1">
        <f t="shared" si="11"/>
        <v>5</v>
      </c>
      <c r="S14" s="1">
        <f t="shared" si="12"/>
        <v>1</v>
      </c>
      <c r="T14" s="1">
        <f t="shared" si="13"/>
        <v>0</v>
      </c>
      <c r="U14" s="1">
        <f t="shared" si="14"/>
        <v>0</v>
      </c>
      <c r="V14" s="1">
        <f t="shared" si="15"/>
        <v>1</v>
      </c>
      <c r="W14" s="1">
        <f t="shared" si="16"/>
        <v>1</v>
      </c>
      <c r="X14" s="1">
        <f t="shared" si="17"/>
        <v>1</v>
      </c>
      <c r="Y14" s="1">
        <f t="shared" si="18"/>
        <v>1</v>
      </c>
      <c r="Z14" s="1">
        <f t="shared" si="19"/>
        <v>1</v>
      </c>
      <c r="AA14" s="1">
        <f t="shared" ref="AA14:AA19" si="36">MAX(BK13,0)</f>
        <v>1</v>
      </c>
      <c r="AB14" s="1">
        <f t="shared" si="21"/>
        <v>0</v>
      </c>
      <c r="AC14" s="1">
        <f t="shared" si="22"/>
        <v>0</v>
      </c>
      <c r="AD14" s="1">
        <f>ROUNDDOWN(I14*(1+IF(F14=3,0.05+方案参数!$Y$3+AA14*0.12,IF(F14=4,方案参数!$BZ$3*方案参数!$AS$3,0)))+IF(AND(X14=1,F14&lt;&gt;3),方案参数!$CC$3,0)+AC14*方案参数!$CB$3,0)</f>
        <v>2534</v>
      </c>
      <c r="AE14" s="1">
        <f>IF(OR(F14=1,F14=4),配置与结果!$B$24,配置与结果!$B$25)*MAX(0,1-INDEX(配置与结果!$I$15:$I$18,F14))</f>
        <v>1200</v>
      </c>
      <c r="AF14" s="1">
        <f>(IF(L14=1,方案参数!$AW$3,IF(L14=2,方案参数!$AX$3,0))+方案参数!$AV$3)*H14</f>
        <v>18</v>
      </c>
      <c r="AG14" s="1">
        <f>MAX(配置与结果!$B$32,1+INDEX(配置与结果!$F$15:$F$18,F14)+0.08+方案参数!$CD$3+Q14*方案参数!$W$3+Y14*(方案参数!$AN$3+MIN(方案参数!$AO$3,P14*0.03))+AB14*方案参数!$BZ$3*0.025+IF(L14=1,方案参数!$AY$3+(H14-1)*0.1,IF(L14=2,方案参数!$AZ$3+(H14-1)*0.2,0))-配置与结果!$B$28)</f>
        <v>1.6</v>
      </c>
      <c r="AH14" s="1">
        <f>MAX(0,1+INDEX(配置与结果!$G$15:$G$18,F14)+W14*方案参数!$AG$3+IF(L14=1,方案参数!$BA$3,IF(L14=2,方案参数!$BB$3,0))+M14*方案参数!$BC$3)</f>
        <v>2.3199999999999998</v>
      </c>
      <c r="AI14" s="1">
        <f>IF(OR(INDEX(配置与结果!$K$15:$K$18,F14)=1,G14="RHI_BERRY"),1+配置与结果!$B$33+P14*方案参数!$AH$3,1)</f>
        <v>1</v>
      </c>
      <c r="AJ14" s="1">
        <f>MIN(1,MAX(0,J14+方案参数!$AB$3-配置与结果!$B$27))</f>
        <v>1</v>
      </c>
      <c r="AK14" s="1">
        <f>MAX(1,K14+IF(F14=2,0.15+方案参数!$CH$3,0)+BN14*方案参数!$X$3+R14*方案参数!$AA$3+0-配置与结果!$B$26+Z14*(方案参数!$AP$3+MIN(方案参数!$AQ$3,P14*0.03)))</f>
        <v>2.105</v>
      </c>
      <c r="AL14" s="7">
        <f>ROUNDDOWN(MAX(AD14*配置与结果!$B$31,AD14-AE14)*AF14*AG14*AH14*AI14,0)</f>
        <v>89132</v>
      </c>
      <c r="AM14" s="7">
        <f>ROUNDDOWN(MAX(AD14*配置与结果!$B$31,AD14-AE14)*AF14*AG14*AH14*AI14*AK14,0)</f>
        <v>187624</v>
      </c>
      <c r="AN14" s="7">
        <f t="shared" si="0"/>
        <v>187624</v>
      </c>
      <c r="AO14" s="7">
        <f>0</f>
        <v>0</v>
      </c>
      <c r="AP14" s="7">
        <f>MAX(0,1+INDEX(配置与结果!$J$15:$J$18,F14)+IF(T14&gt;0,方案参数!$BY$3,0)-配置与结果!$B$30)</f>
        <v>1</v>
      </c>
      <c r="AQ14" s="7">
        <f t="shared" si="1"/>
        <v>0</v>
      </c>
      <c r="AR14" s="7">
        <f t="shared" si="2"/>
        <v>0</v>
      </c>
      <c r="AS14" s="7">
        <f t="shared" si="3"/>
        <v>0</v>
      </c>
      <c r="AT14" s="7">
        <f>0</f>
        <v>0</v>
      </c>
      <c r="AU14" s="7">
        <f t="shared" si="4"/>
        <v>187624</v>
      </c>
      <c r="AV14" s="1">
        <f t="shared" si="5"/>
        <v>1</v>
      </c>
      <c r="AW14" s="1">
        <f>MIN(10,M14+0+IF(L14=1,方案参数!$BE$3,0))</f>
        <v>8</v>
      </c>
      <c r="AX14" s="1">
        <f t="shared" si="6"/>
        <v>0</v>
      </c>
      <c r="AY14" s="1">
        <f t="shared" si="31"/>
        <v>6</v>
      </c>
      <c r="AZ14" s="1">
        <f t="shared" si="7"/>
        <v>5</v>
      </c>
      <c r="BA14" s="1">
        <f>MIN(6,Q14+0)</f>
        <v>3</v>
      </c>
      <c r="BB14" s="1">
        <f t="shared" si="23"/>
        <v>5</v>
      </c>
      <c r="BC14" s="1">
        <f>MIN(3,S14+0)</f>
        <v>1</v>
      </c>
      <c r="BD14" s="1">
        <f t="shared" si="32"/>
        <v>0</v>
      </c>
      <c r="BE14" s="1">
        <f t="shared" si="24"/>
        <v>0</v>
      </c>
      <c r="BF14" s="1">
        <f>MIN(4,V14+0)</f>
        <v>1</v>
      </c>
      <c r="BG14" s="1">
        <f t="shared" si="29"/>
        <v>1</v>
      </c>
      <c r="BH14" s="1">
        <f t="shared" si="25"/>
        <v>1</v>
      </c>
      <c r="BI14" s="1">
        <f t="shared" si="30"/>
        <v>1</v>
      </c>
      <c r="BJ14" s="1">
        <f t="shared" ref="BJ14:BK19" si="37">MAX(Z14,0)</f>
        <v>1</v>
      </c>
      <c r="BK14" s="1">
        <f t="shared" si="37"/>
        <v>1</v>
      </c>
      <c r="BL14" s="1">
        <f t="shared" si="34"/>
        <v>0</v>
      </c>
      <c r="BM14" s="1">
        <f t="shared" si="34"/>
        <v>0</v>
      </c>
      <c r="BN14" s="1">
        <f t="shared" si="27"/>
        <v>1</v>
      </c>
      <c r="BO14" s="1">
        <f t="shared" si="28"/>
        <v>1</v>
      </c>
    </row>
    <row r="15" spans="1:67" ht="30.95" customHeight="1">
      <c r="A15" s="1">
        <f>0</f>
        <v>0</v>
      </c>
      <c r="B15" s="1">
        <f>固定流程!A15</f>
        <v>10</v>
      </c>
      <c r="C15" s="1">
        <f>3</f>
        <v>3</v>
      </c>
      <c r="D15" s="1">
        <f>1</f>
        <v>1</v>
      </c>
      <c r="E15" s="1">
        <f>固定流程!C15</f>
        <v>2</v>
      </c>
      <c r="F15" s="1">
        <f>固定流程!G15</f>
        <v>4</v>
      </c>
      <c r="G15" s="1" t="str">
        <f>固定流程!H15</f>
        <v>J_HARD</v>
      </c>
      <c r="H15" s="1">
        <f>固定流程!F15</f>
        <v>1</v>
      </c>
      <c r="I15" s="1">
        <f>INDEX(配置与结果!$B$15:$B$18,F15)</f>
        <v>1906</v>
      </c>
      <c r="J15" s="1">
        <f>INDEX(配置与结果!$D$15:$D$18,F15)</f>
        <v>0.36699999999999999</v>
      </c>
      <c r="K15" s="1">
        <f>INDEX(配置与结果!$E$15:$E$18,F15)</f>
        <v>1.7170000000000001</v>
      </c>
      <c r="L15" s="1">
        <f t="shared" si="35"/>
        <v>1</v>
      </c>
      <c r="M15" s="1">
        <f t="shared" si="35"/>
        <v>8</v>
      </c>
      <c r="N15" s="1">
        <f t="shared" si="35"/>
        <v>0</v>
      </c>
      <c r="O15" s="1">
        <f t="shared" si="33"/>
        <v>6</v>
      </c>
      <c r="P15" s="1">
        <f>MIN(方案参数!$AI$3,AZ14+0+0)</f>
        <v>5</v>
      </c>
      <c r="Q15" s="1">
        <f t="shared" si="10"/>
        <v>3</v>
      </c>
      <c r="R15" s="1">
        <f t="shared" si="11"/>
        <v>5</v>
      </c>
      <c r="S15" s="1">
        <f t="shared" si="12"/>
        <v>1</v>
      </c>
      <c r="T15" s="1">
        <f t="shared" si="13"/>
        <v>0</v>
      </c>
      <c r="U15" s="1">
        <f t="shared" si="14"/>
        <v>0</v>
      </c>
      <c r="V15" s="1">
        <f t="shared" si="15"/>
        <v>1</v>
      </c>
      <c r="W15" s="1">
        <f t="shared" si="16"/>
        <v>1</v>
      </c>
      <c r="X15" s="1">
        <f t="shared" si="17"/>
        <v>1</v>
      </c>
      <c r="Y15" s="1">
        <f t="shared" si="18"/>
        <v>1</v>
      </c>
      <c r="Z15" s="1">
        <f t="shared" si="19"/>
        <v>1</v>
      </c>
      <c r="AA15" s="1">
        <f t="shared" si="36"/>
        <v>1</v>
      </c>
      <c r="AB15" s="1">
        <f t="shared" si="21"/>
        <v>0</v>
      </c>
      <c r="AC15" s="1">
        <f t="shared" si="22"/>
        <v>0</v>
      </c>
      <c r="AD15" s="1">
        <f>ROUNDDOWN(I15*(1+IF(F15=3,0.05+方案参数!$Y$3+AA15*0.12,IF(F15=4,方案参数!$BZ$3*方案参数!$AS$3,0)))+IF(AND(X15=1,F15&lt;&gt;3),方案参数!$CC$3,0)+AC15*方案参数!$CB$3,0)</f>
        <v>2811</v>
      </c>
      <c r="AE15" s="1">
        <f>IF(OR(F15=1,F15=4),配置与结果!$B$24,配置与结果!$B$25)*MAX(0,1-INDEX(配置与结果!$I$15:$I$18,F15))</f>
        <v>1200</v>
      </c>
      <c r="AF15" s="1">
        <f>3.6*IF(H15=1,1,IF(H15=2,1.5,2.5))</f>
        <v>3.6</v>
      </c>
      <c r="AG15" s="1">
        <f>MAX(配置与结果!$B$32,1+INDEX(配置与结果!$F$15:$F$18,F15)+0.08+Q15*方案参数!$W$3+Y15*(方案参数!$AN$3+MIN(方案参数!$AO$3,P15*0.03))+AB15*方案参数!$BZ$3*0.025+0.1+IF(方案参数!$BZ$3&gt;=30,方案参数!$BZ$3*0.01,0)-配置与结果!$B$28)</f>
        <v>1.5150000000000001</v>
      </c>
      <c r="AH15" s="1">
        <f>MAX(0,1+INDEX(配置与结果!$G$15:$G$18,F15)+W15*方案参数!$AG$3)</f>
        <v>1.3</v>
      </c>
      <c r="AI15" s="1">
        <f>IF(OR(INDEX(配置与结果!$K$15:$K$18,F15)=1,G15="RHI_BERRY"),1+配置与结果!$B$33+P15*方案参数!$AH$3,1)</f>
        <v>1</v>
      </c>
      <c r="AJ15" s="1">
        <f>MIN(1,MAX(0,J15+方案参数!$AB$3-配置与结果!$B$27))</f>
        <v>0.66700000000000004</v>
      </c>
      <c r="AK15" s="1">
        <f>MAX(1,K15+IF(F15=2,0.15+方案参数!$CH$3,0)+BN15*方案参数!$X$3+R15*方案参数!$AA$3+0-配置与结果!$B$26+Z15*(方案参数!$AP$3+MIN(方案参数!$AQ$3,P15*0.03)))</f>
        <v>1.7969999999999999</v>
      </c>
      <c r="AL15" s="7">
        <f>ROUNDDOWN(MAX(AD15*配置与结果!$B$31,AD15-AE15)*AF15*AG15*AH15*AI15,0)</f>
        <v>11422</v>
      </c>
      <c r="AM15" s="7">
        <f>ROUNDDOWN(MAX(AD15*配置与结果!$B$31,AD15-AE15)*AF15*AG15*AH15*AI15*AK15,0)</f>
        <v>20525</v>
      </c>
      <c r="AN15" s="7">
        <f t="shared" si="0"/>
        <v>17493.701000000001</v>
      </c>
      <c r="AO15" s="7">
        <f>0</f>
        <v>0</v>
      </c>
      <c r="AP15" s="7">
        <f>MAX(0,1+INDEX(配置与结果!$J$15:$J$18,F15)+IF(T15&gt;0,方案参数!$BY$3,0)-配置与结果!$B$30)</f>
        <v>1</v>
      </c>
      <c r="AQ15" s="7">
        <f t="shared" si="1"/>
        <v>0</v>
      </c>
      <c r="AR15" s="7">
        <f t="shared" si="2"/>
        <v>0</v>
      </c>
      <c r="AS15" s="7">
        <f t="shared" si="3"/>
        <v>0</v>
      </c>
      <c r="AT15" s="7">
        <f>0</f>
        <v>0</v>
      </c>
      <c r="AU15" s="7">
        <f t="shared" si="4"/>
        <v>17493.701000000001</v>
      </c>
      <c r="AV15" s="1">
        <f t="shared" si="5"/>
        <v>1</v>
      </c>
      <c r="AW15" s="1">
        <f t="shared" ref="AW15:AW25" si="38">MIN(10,M15+0+0)</f>
        <v>8</v>
      </c>
      <c r="AX15" s="1">
        <f t="shared" si="6"/>
        <v>0</v>
      </c>
      <c r="AY15" s="1">
        <f t="shared" si="31"/>
        <v>6</v>
      </c>
      <c r="AZ15" s="1">
        <f t="shared" si="7"/>
        <v>5</v>
      </c>
      <c r="BA15" s="1">
        <f>MIN(6,Q15+0)</f>
        <v>3</v>
      </c>
      <c r="BB15" s="1">
        <f t="shared" si="23"/>
        <v>5</v>
      </c>
      <c r="BC15" s="1">
        <f>MIN(3,S15+1)</f>
        <v>2</v>
      </c>
      <c r="BD15" s="1">
        <f t="shared" si="32"/>
        <v>0</v>
      </c>
      <c r="BE15" s="1">
        <f t="shared" si="24"/>
        <v>0</v>
      </c>
      <c r="BF15" s="1">
        <f>MIN(4,V15+0)</f>
        <v>1</v>
      </c>
      <c r="BG15" s="1">
        <f t="shared" si="29"/>
        <v>1</v>
      </c>
      <c r="BH15" s="1">
        <f t="shared" si="25"/>
        <v>1</v>
      </c>
      <c r="BI15" s="1">
        <f t="shared" si="30"/>
        <v>1</v>
      </c>
      <c r="BJ15" s="1">
        <f t="shared" si="37"/>
        <v>1</v>
      </c>
      <c r="BK15" s="1">
        <f t="shared" si="37"/>
        <v>1</v>
      </c>
      <c r="BL15" s="1">
        <f t="shared" si="34"/>
        <v>0</v>
      </c>
      <c r="BM15" s="1">
        <f t="shared" si="34"/>
        <v>0</v>
      </c>
      <c r="BN15" s="1">
        <f t="shared" si="27"/>
        <v>1</v>
      </c>
      <c r="BO15" s="1">
        <f t="shared" si="28"/>
        <v>1</v>
      </c>
    </row>
    <row r="16" spans="1:67" ht="30.95" customHeight="1">
      <c r="A16" s="1">
        <f>0</f>
        <v>0</v>
      </c>
      <c r="B16" s="1">
        <f>固定流程!A16</f>
        <v>11</v>
      </c>
      <c r="C16" s="1">
        <f>3</f>
        <v>3</v>
      </c>
      <c r="D16" s="1">
        <f>1</f>
        <v>1</v>
      </c>
      <c r="E16" s="1">
        <f>固定流程!C16</f>
        <v>2</v>
      </c>
      <c r="F16" s="1">
        <f>固定流程!G16</f>
        <v>2</v>
      </c>
      <c r="G16" s="1" t="str">
        <f>固定流程!H16</f>
        <v>37_CURVE</v>
      </c>
      <c r="H16" s="1">
        <f>固定流程!F16</f>
        <v>1</v>
      </c>
      <c r="I16" s="1">
        <f>INDEX(配置与结果!$B$15:$B$18,F16)</f>
        <v>2306</v>
      </c>
      <c r="J16" s="1">
        <f>INDEX(配置与结果!$D$15:$D$18,F16)</f>
        <v>0.46</v>
      </c>
      <c r="K16" s="1">
        <f>INDEX(配置与结果!$E$15:$E$18,F16)</f>
        <v>1.9279999999999999</v>
      </c>
      <c r="L16" s="1">
        <f t="shared" si="35"/>
        <v>1</v>
      </c>
      <c r="M16" s="1">
        <f t="shared" si="35"/>
        <v>8</v>
      </c>
      <c r="N16" s="1">
        <f t="shared" si="35"/>
        <v>0</v>
      </c>
      <c r="O16" s="1">
        <f t="shared" si="33"/>
        <v>6</v>
      </c>
      <c r="P16" s="1">
        <f>MIN(方案参数!$AI$3,AZ15+0+0)</f>
        <v>5</v>
      </c>
      <c r="Q16" s="1">
        <f t="shared" si="10"/>
        <v>3</v>
      </c>
      <c r="R16" s="1">
        <f t="shared" si="11"/>
        <v>5</v>
      </c>
      <c r="S16" s="1">
        <f t="shared" si="12"/>
        <v>2</v>
      </c>
      <c r="T16" s="1">
        <f t="shared" si="13"/>
        <v>0</v>
      </c>
      <c r="U16" s="1">
        <f t="shared" si="14"/>
        <v>0</v>
      </c>
      <c r="V16" s="1">
        <f t="shared" si="15"/>
        <v>1</v>
      </c>
      <c r="W16" s="1">
        <f t="shared" si="16"/>
        <v>1</v>
      </c>
      <c r="X16" s="1">
        <f t="shared" si="17"/>
        <v>1</v>
      </c>
      <c r="Y16" s="1">
        <f t="shared" si="18"/>
        <v>1</v>
      </c>
      <c r="Z16" s="1">
        <f t="shared" si="19"/>
        <v>1</v>
      </c>
      <c r="AA16" s="1">
        <f t="shared" si="36"/>
        <v>1</v>
      </c>
      <c r="AB16" s="1">
        <f t="shared" si="21"/>
        <v>0</v>
      </c>
      <c r="AC16" s="1">
        <f t="shared" si="22"/>
        <v>0</v>
      </c>
      <c r="AD16" s="1">
        <f>ROUNDDOWN(I16*(1+IF(F16=3,0.05+方案参数!$Y$3+AA16*0.12,IF(F16=4,方案参数!$BZ$3*方案参数!$AS$3,0)))+IF(AND(X16=1,F16&lt;&gt;3),方案参数!$CC$3,0)+AC16*方案参数!$CB$3,0)</f>
        <v>2544</v>
      </c>
      <c r="AE16" s="1">
        <f>IF(OR(F16=1,F16=4),配置与结果!$B$24,配置与结果!$B$25)*MAX(0,1-INDEX(配置与结果!$I$15:$I$18,F16))</f>
        <v>1000</v>
      </c>
      <c r="AF16" s="1">
        <f>方案参数!$BT$3*IF(H16=1,1,IF(H16=2,1.5,2.5))</f>
        <v>1.4</v>
      </c>
      <c r="AG16" s="1">
        <f>MAX(配置与结果!$B$32,1+INDEX(配置与结果!$F$15:$F$18,F16)+0+Q16*方案参数!$W$3+Y16*(方案参数!$AN$3+MIN(方案参数!$AO$3,P16*0.03))+AB16*方案参数!$BZ$3*0.025-配置与结果!$B$28)</f>
        <v>0.96499999999999997</v>
      </c>
      <c r="AH16" s="1">
        <f>MAX(0,1+INDEX(配置与结果!$G$15:$G$18,F16)+W16*方案参数!$AG$3)</f>
        <v>1.3</v>
      </c>
      <c r="AI16" s="1">
        <f>IF(OR(INDEX(配置与结果!$K$15:$K$18,F16)=1,G16="RHI_BERRY"),1+配置与结果!$B$33+P16*方案参数!$AH$3,1)</f>
        <v>1</v>
      </c>
      <c r="AJ16" s="1">
        <f>MIN(1,MAX(0,J16+方案参数!$AB$3-配置与结果!$B$27))</f>
        <v>0.76</v>
      </c>
      <c r="AK16" s="1">
        <f>MAX(1,K16+IF(F16=2,0.15+方案参数!$CH$3,0)+BN16*方案参数!$X$3+R16*方案参数!$AA$3+0-配置与结果!$B$26+Z16*(方案参数!$AP$3+MIN(方案参数!$AQ$3,P16*0.03)))</f>
        <v>2.278</v>
      </c>
      <c r="AL16" s="7">
        <f>ROUNDDOWN(MAX(AD16*配置与结果!$B$31,AD16-AE16)*AF16*AG16*AH16*AI16,0)</f>
        <v>2711</v>
      </c>
      <c r="AM16" s="7">
        <f>ROUNDDOWN(MAX(AD16*配置与结果!$B$31,AD16-AE16)*AF16*AG16*AH16*AI16*AK16,0)</f>
        <v>6177</v>
      </c>
      <c r="AN16" s="7">
        <f t="shared" si="0"/>
        <v>5345.1600000000008</v>
      </c>
      <c r="AO16" s="7">
        <f>方案参数!$BU$3*IF(H16=1,1,IF(H16=2,1.5,2.5))</f>
        <v>0.8</v>
      </c>
      <c r="AP16" s="7">
        <f>MAX(0,1+INDEX(配置与结果!$J$15:$J$18,F16)+IF(T16&gt;0,方案参数!$BY$3,0)-配置与结果!$B$30)</f>
        <v>1</v>
      </c>
      <c r="AQ16" s="7">
        <f t="shared" si="1"/>
        <v>2035</v>
      </c>
      <c r="AR16" s="7">
        <f t="shared" si="2"/>
        <v>4635</v>
      </c>
      <c r="AS16" s="7">
        <f t="shared" si="3"/>
        <v>4011</v>
      </c>
      <c r="AT16" s="7">
        <f>0</f>
        <v>0</v>
      </c>
      <c r="AU16" s="7">
        <f t="shared" si="4"/>
        <v>9356.16</v>
      </c>
      <c r="AV16" s="1">
        <f t="shared" si="5"/>
        <v>1</v>
      </c>
      <c r="AW16" s="1">
        <f t="shared" si="38"/>
        <v>8</v>
      </c>
      <c r="AX16" s="1">
        <f t="shared" si="6"/>
        <v>0</v>
      </c>
      <c r="AY16" s="1">
        <f t="shared" si="31"/>
        <v>6</v>
      </c>
      <c r="AZ16" s="1">
        <f t="shared" si="7"/>
        <v>5</v>
      </c>
      <c r="BA16" s="1">
        <f>MIN(6,Q16+0)</f>
        <v>3</v>
      </c>
      <c r="BB16" s="1">
        <f t="shared" si="23"/>
        <v>5</v>
      </c>
      <c r="BC16" s="1">
        <f t="shared" ref="BC16:BC22" si="39">MIN(3,S16+0)</f>
        <v>2</v>
      </c>
      <c r="BD16" s="1">
        <f t="shared" si="32"/>
        <v>0</v>
      </c>
      <c r="BE16" s="1">
        <f t="shared" si="24"/>
        <v>0</v>
      </c>
      <c r="BF16" s="1">
        <f>MIN(4,V16+0)</f>
        <v>1</v>
      </c>
      <c r="BG16" s="1">
        <f t="shared" si="29"/>
        <v>1</v>
      </c>
      <c r="BH16" s="1">
        <f t="shared" si="25"/>
        <v>1</v>
      </c>
      <c r="BI16" s="1">
        <f t="shared" si="30"/>
        <v>1</v>
      </c>
      <c r="BJ16" s="1">
        <f t="shared" si="37"/>
        <v>1</v>
      </c>
      <c r="BK16" s="1">
        <f t="shared" si="37"/>
        <v>1</v>
      </c>
      <c r="BL16" s="1">
        <f t="shared" si="34"/>
        <v>0</v>
      </c>
      <c r="BM16" s="1">
        <f t="shared" si="34"/>
        <v>0</v>
      </c>
      <c r="BN16" s="1">
        <f t="shared" si="27"/>
        <v>1</v>
      </c>
      <c r="BO16" s="1">
        <f t="shared" si="28"/>
        <v>1</v>
      </c>
    </row>
    <row r="17" spans="1:67" ht="30.95" customHeight="1">
      <c r="A17" s="1">
        <f>0</f>
        <v>0</v>
      </c>
      <c r="B17" s="1">
        <f>固定流程!A17</f>
        <v>12</v>
      </c>
      <c r="C17" s="1">
        <f>3</f>
        <v>3</v>
      </c>
      <c r="D17" s="1">
        <f>1</f>
        <v>1</v>
      </c>
      <c r="E17" s="1">
        <f>固定流程!C17</f>
        <v>2</v>
      </c>
      <c r="F17" s="1">
        <f>固定流程!G17</f>
        <v>2</v>
      </c>
      <c r="G17" s="1" t="str">
        <f>固定流程!H17</f>
        <v>37_FOLLOW</v>
      </c>
      <c r="H17" s="1">
        <f>固定流程!F17</f>
        <v>1</v>
      </c>
      <c r="I17" s="1">
        <f>INDEX(配置与结果!$B$15:$B$18,F17)</f>
        <v>2306</v>
      </c>
      <c r="J17" s="1">
        <f>INDEX(配置与结果!$D$15:$D$18,F17)</f>
        <v>0.46</v>
      </c>
      <c r="K17" s="1">
        <f>INDEX(配置与结果!$E$15:$E$18,F17)</f>
        <v>1.9279999999999999</v>
      </c>
      <c r="L17" s="1">
        <f t="shared" si="35"/>
        <v>1</v>
      </c>
      <c r="M17" s="1">
        <f t="shared" si="35"/>
        <v>8</v>
      </c>
      <c r="N17" s="1">
        <f t="shared" si="35"/>
        <v>0</v>
      </c>
      <c r="O17" s="1">
        <f t="shared" si="33"/>
        <v>6</v>
      </c>
      <c r="P17" s="1">
        <f>MIN(方案参数!$AI$3,AZ16+0+0)</f>
        <v>5</v>
      </c>
      <c r="Q17" s="1">
        <f t="shared" si="10"/>
        <v>3</v>
      </c>
      <c r="R17" s="1">
        <f t="shared" si="11"/>
        <v>5</v>
      </c>
      <c r="S17" s="1">
        <f t="shared" si="12"/>
        <v>2</v>
      </c>
      <c r="T17" s="1">
        <f t="shared" si="13"/>
        <v>0</v>
      </c>
      <c r="U17" s="1">
        <f t="shared" si="14"/>
        <v>0</v>
      </c>
      <c r="V17" s="1">
        <f t="shared" si="15"/>
        <v>1</v>
      </c>
      <c r="W17" s="1">
        <f t="shared" si="16"/>
        <v>1</v>
      </c>
      <c r="X17" s="1">
        <f t="shared" si="17"/>
        <v>1</v>
      </c>
      <c r="Y17" s="1">
        <f t="shared" si="18"/>
        <v>1</v>
      </c>
      <c r="Z17" s="1">
        <f t="shared" si="19"/>
        <v>1</v>
      </c>
      <c r="AA17" s="1">
        <f t="shared" si="36"/>
        <v>1</v>
      </c>
      <c r="AB17" s="1">
        <f t="shared" si="21"/>
        <v>0</v>
      </c>
      <c r="AC17" s="1">
        <f t="shared" si="22"/>
        <v>0</v>
      </c>
      <c r="AD17" s="1">
        <f>ROUNDDOWN(I17*(1+IF(F17=3,0.05+方案参数!$Y$3+AA17*0.12,IF(F17=4,方案参数!$BZ$3*方案参数!$AS$3,0)))+IF(AND(X17=1,F17&lt;&gt;3),方案参数!$CC$3,0)+AC17*方案参数!$CB$3,0)</f>
        <v>2544</v>
      </c>
      <c r="AE17" s="1">
        <f>IF(OR(F17=1,F17=4),配置与结果!$B$24,配置与结果!$B$25)*MAX(0,1-INDEX(配置与结果!$I$15:$I$18,F17))</f>
        <v>1000</v>
      </c>
      <c r="AF17" s="1">
        <f>方案参数!$BV$3</f>
        <v>3</v>
      </c>
      <c r="AG17" s="1">
        <f>MAX(配置与结果!$B$32,1+INDEX(配置与结果!$F$15:$F$18,F17)+0+Q17*方案参数!$W$3+Y17*(方案参数!$AN$3+MIN(方案参数!$AO$3,P17*0.03))+AB17*方案参数!$BZ$3*0.025-配置与结果!$B$28)</f>
        <v>0.96499999999999997</v>
      </c>
      <c r="AH17" s="1">
        <f>MAX(0,1+INDEX(配置与结果!$G$15:$G$18,F17)+W17*方案参数!$AG$3)</f>
        <v>1.3</v>
      </c>
      <c r="AI17" s="1">
        <f>IF(OR(INDEX(配置与结果!$K$15:$K$18,F17)=1,G17="RHI_BERRY"),1+配置与结果!$B$33+P17*方案参数!$AH$3,1)</f>
        <v>1</v>
      </c>
      <c r="AJ17" s="1">
        <f>MIN(1,MAX(0,J17+方案参数!$AB$3-配置与结果!$B$27))</f>
        <v>0.76</v>
      </c>
      <c r="AK17" s="1">
        <f>MAX(1,K17+IF(F17=2,0.15+方案参数!$CH$3,0)+BN17*方案参数!$X$3+R17*方案参数!$AA$3+0-配置与结果!$B$26+Z17*(方案参数!$AP$3+MIN(方案参数!$AQ$3,P17*0.03)))</f>
        <v>2.278</v>
      </c>
      <c r="AL17" s="7">
        <f>ROUNDDOWN(MAX(AD17*配置与结果!$B$31,AD17-AE17)*AF17*AG17*AH17*AI17,0)</f>
        <v>5810</v>
      </c>
      <c r="AM17" s="7">
        <f>ROUNDDOWN(MAX(AD17*配置与结果!$B$31,AD17-AE17)*AF17*AG17*AH17*AI17*AK17,0)</f>
        <v>13237</v>
      </c>
      <c r="AN17" s="7">
        <f t="shared" si="0"/>
        <v>11454.52</v>
      </c>
      <c r="AO17" s="7">
        <f>方案参数!$BW$3</f>
        <v>1</v>
      </c>
      <c r="AP17" s="7">
        <f>MAX(0,1+INDEX(配置与结果!$J$15:$J$18,F17)+IF(T17&gt;0,方案参数!$BY$3,0)-配置与结果!$B$30)</f>
        <v>1</v>
      </c>
      <c r="AQ17" s="7">
        <f t="shared" si="1"/>
        <v>2544</v>
      </c>
      <c r="AR17" s="7">
        <f t="shared" si="2"/>
        <v>5795</v>
      </c>
      <c r="AS17" s="7">
        <f t="shared" si="3"/>
        <v>5014.76</v>
      </c>
      <c r="AT17" s="7">
        <f>0</f>
        <v>0</v>
      </c>
      <c r="AU17" s="7">
        <f t="shared" si="4"/>
        <v>16469.28</v>
      </c>
      <c r="AV17" s="1">
        <f t="shared" si="5"/>
        <v>1</v>
      </c>
      <c r="AW17" s="1">
        <f t="shared" si="38"/>
        <v>8</v>
      </c>
      <c r="AX17" s="1">
        <f t="shared" si="6"/>
        <v>0</v>
      </c>
      <c r="AY17" s="1">
        <f t="shared" si="31"/>
        <v>6</v>
      </c>
      <c r="AZ17" s="1">
        <f t="shared" si="7"/>
        <v>5</v>
      </c>
      <c r="BA17" s="1">
        <f>MIN(6,Q17+0)</f>
        <v>3</v>
      </c>
      <c r="BB17" s="1">
        <f t="shared" si="23"/>
        <v>5</v>
      </c>
      <c r="BC17" s="1">
        <f t="shared" si="39"/>
        <v>2</v>
      </c>
      <c r="BD17" s="1">
        <f t="shared" si="32"/>
        <v>0</v>
      </c>
      <c r="BE17" s="1">
        <f t="shared" si="24"/>
        <v>0</v>
      </c>
      <c r="BF17" s="1">
        <f>MIN(4,V17+1)</f>
        <v>2</v>
      </c>
      <c r="BG17" s="1">
        <f t="shared" si="29"/>
        <v>1</v>
      </c>
      <c r="BH17" s="1">
        <f t="shared" si="25"/>
        <v>1</v>
      </c>
      <c r="BI17" s="1">
        <f t="shared" si="30"/>
        <v>1</v>
      </c>
      <c r="BJ17" s="1">
        <f t="shared" si="37"/>
        <v>1</v>
      </c>
      <c r="BK17" s="1">
        <f t="shared" si="37"/>
        <v>1</v>
      </c>
      <c r="BL17" s="1">
        <f t="shared" si="34"/>
        <v>0</v>
      </c>
      <c r="BM17" s="1">
        <f t="shared" si="34"/>
        <v>0</v>
      </c>
      <c r="BN17" s="1">
        <f t="shared" si="27"/>
        <v>1</v>
      </c>
      <c r="BO17" s="1">
        <f t="shared" si="28"/>
        <v>1</v>
      </c>
    </row>
    <row r="18" spans="1:67" ht="30.95" customHeight="1">
      <c r="A18" s="1">
        <f>0</f>
        <v>0</v>
      </c>
      <c r="B18" s="1">
        <f>固定流程!A18</f>
        <v>13</v>
      </c>
      <c r="C18" s="1">
        <f>3</f>
        <v>3</v>
      </c>
      <c r="D18" s="1">
        <f>1</f>
        <v>1</v>
      </c>
      <c r="E18" s="1">
        <f>固定流程!C18</f>
        <v>2</v>
      </c>
      <c r="F18" s="1">
        <f>固定流程!G18</f>
        <v>3</v>
      </c>
      <c r="G18" s="1" t="str">
        <f>固定流程!H18</f>
        <v>RHI_BERRY</v>
      </c>
      <c r="H18" s="1">
        <f>固定流程!F18</f>
        <v>1</v>
      </c>
      <c r="I18" s="1">
        <f>INDEX(配置与结果!$B$15:$B$18,F18)</f>
        <v>2597</v>
      </c>
      <c r="J18" s="1">
        <f>INDEX(配置与结果!$D$15:$D$18,F18)</f>
        <v>0.255</v>
      </c>
      <c r="K18" s="1">
        <f>INDEX(配置与结果!$E$15:$E$18,F18)</f>
        <v>1.55</v>
      </c>
      <c r="L18" s="1">
        <f t="shared" si="35"/>
        <v>1</v>
      </c>
      <c r="M18" s="1">
        <f t="shared" si="35"/>
        <v>8</v>
      </c>
      <c r="N18" s="1">
        <f t="shared" si="35"/>
        <v>0</v>
      </c>
      <c r="O18" s="1">
        <f t="shared" si="33"/>
        <v>6</v>
      </c>
      <c r="P18" s="1">
        <f>MIN(方案参数!$AI$3,AZ17+0+0)</f>
        <v>5</v>
      </c>
      <c r="Q18" s="1">
        <f t="shared" si="10"/>
        <v>3</v>
      </c>
      <c r="R18" s="1">
        <f t="shared" si="11"/>
        <v>5</v>
      </c>
      <c r="S18" s="1">
        <f t="shared" si="12"/>
        <v>2</v>
      </c>
      <c r="T18" s="1">
        <f t="shared" si="13"/>
        <v>0</v>
      </c>
      <c r="U18" s="1">
        <f t="shared" si="14"/>
        <v>0</v>
      </c>
      <c r="V18" s="1">
        <f t="shared" si="15"/>
        <v>2</v>
      </c>
      <c r="W18" s="1">
        <f t="shared" si="16"/>
        <v>1</v>
      </c>
      <c r="X18" s="1">
        <f t="shared" si="17"/>
        <v>1</v>
      </c>
      <c r="Y18" s="1">
        <f t="shared" si="18"/>
        <v>1</v>
      </c>
      <c r="Z18" s="1">
        <f t="shared" si="19"/>
        <v>1</v>
      </c>
      <c r="AA18" s="1">
        <f t="shared" si="36"/>
        <v>1</v>
      </c>
      <c r="AB18" s="1">
        <f t="shared" si="21"/>
        <v>0</v>
      </c>
      <c r="AC18" s="1">
        <f t="shared" si="22"/>
        <v>0</v>
      </c>
      <c r="AD18" s="1">
        <f>ROUNDDOWN(I18*(1+IF(F18=3,0.05+方案参数!$Y$3+AA18*0.12,IF(F18=4,方案参数!$BZ$3*方案参数!$AS$3,0)))+IF(AND(X18=1,F18&lt;&gt;3),方案参数!$CC$3,0)+AC18*方案参数!$CB$3,0)</f>
        <v>3298</v>
      </c>
      <c r="AE18" s="1">
        <f>IF(OR(F18=1,F18=4),配置与结果!$B$24,配置与结果!$B$25)*MAX(0,1-INDEX(配置与结果!$I$15:$I$18,F18))</f>
        <v>1000</v>
      </c>
      <c r="AF18" s="1">
        <f>方案参数!$CF$3+P18*方案参数!$CG$3</f>
        <v>22.5</v>
      </c>
      <c r="AG18" s="1">
        <f>MAX(配置与结果!$B$32,1+INDEX(配置与结果!$F$15:$F$18,F18)+0+Q18*方案参数!$W$3+Y18*(方案参数!$AN$3+MIN(方案参数!$AO$3,P18*0.03))+AB18*方案参数!$BZ$3*0.025-配置与结果!$B$28)</f>
        <v>0.995</v>
      </c>
      <c r="AH18" s="1">
        <f>MAX(0,1+INDEX(配置与结果!$G$15:$G$18,F18)+W18*方案参数!$AG$3)</f>
        <v>1.3</v>
      </c>
      <c r="AI18" s="1">
        <f>IF(OR(INDEX(配置与结果!$K$15:$K$18,F18)=1,G18="RHI_BERRY"),1+配置与结果!$B$33+P18*方案参数!$AH$3,1)</f>
        <v>1.5</v>
      </c>
      <c r="AJ18" s="1">
        <f>MIN(1,MAX(0,J18+方案参数!$AB$3-配置与结果!$B$27))</f>
        <v>0.55499999999999994</v>
      </c>
      <c r="AK18" s="1">
        <f>MAX(1,K18+IF(F18=2,0.15+方案参数!$CH$3,0)+BN18*方案参数!$X$3+R18*方案参数!$AA$3+0-配置与结果!$B$26+Z18*(方案参数!$AP$3+MIN(方案参数!$AQ$3,P18*0.03)))</f>
        <v>1.6300000000000001</v>
      </c>
      <c r="AL18" s="7">
        <f>ROUNDDOWN(MAX(AD18*配置与结果!$B$31,AD18-AE18)*AF18*AG18*AH18*AI18,0)</f>
        <v>100320</v>
      </c>
      <c r="AM18" s="7">
        <f>ROUNDDOWN(MAX(AD18*配置与结果!$B$31,AD18-AE18)*AF18*AG18*AH18*AI18*AK18,0)</f>
        <v>163522</v>
      </c>
      <c r="AN18" s="7">
        <f t="shared" si="0"/>
        <v>135397.10999999999</v>
      </c>
      <c r="AO18" s="7">
        <f>0</f>
        <v>0</v>
      </c>
      <c r="AP18" s="7">
        <f>MAX(0,1+INDEX(配置与结果!$J$15:$J$18,F18)+IF(T18&gt;0,方案参数!$BY$3,0)-配置与结果!$B$30)</f>
        <v>1</v>
      </c>
      <c r="AQ18" s="7">
        <f t="shared" si="1"/>
        <v>0</v>
      </c>
      <c r="AR18" s="7">
        <f t="shared" si="2"/>
        <v>0</v>
      </c>
      <c r="AS18" s="7">
        <f t="shared" si="3"/>
        <v>0</v>
      </c>
      <c r="AT18" s="7">
        <f>0</f>
        <v>0</v>
      </c>
      <c r="AU18" s="7">
        <f t="shared" si="4"/>
        <v>135397.10999999999</v>
      </c>
      <c r="AV18" s="1">
        <f t="shared" si="5"/>
        <v>1</v>
      </c>
      <c r="AW18" s="1">
        <f t="shared" si="38"/>
        <v>8</v>
      </c>
      <c r="AX18" s="1">
        <f t="shared" si="6"/>
        <v>0</v>
      </c>
      <c r="AY18" s="1">
        <f t="shared" si="31"/>
        <v>6</v>
      </c>
      <c r="AZ18" s="1">
        <f t="shared" si="7"/>
        <v>5</v>
      </c>
      <c r="BA18" s="1">
        <f>MIN(6,Q18+0)</f>
        <v>3</v>
      </c>
      <c r="BB18" s="1">
        <f t="shared" si="23"/>
        <v>5</v>
      </c>
      <c r="BC18" s="1">
        <f t="shared" si="39"/>
        <v>2</v>
      </c>
      <c r="BD18" s="1">
        <f t="shared" si="32"/>
        <v>0</v>
      </c>
      <c r="BE18" s="1">
        <f t="shared" si="24"/>
        <v>0</v>
      </c>
      <c r="BF18" s="1">
        <f>MIN(4,V18+0)</f>
        <v>2</v>
      </c>
      <c r="BG18" s="1">
        <f t="shared" si="29"/>
        <v>1</v>
      </c>
      <c r="BH18" s="1">
        <f t="shared" si="25"/>
        <v>1</v>
      </c>
      <c r="BI18" s="1">
        <f t="shared" si="30"/>
        <v>1</v>
      </c>
      <c r="BJ18" s="1">
        <f t="shared" si="37"/>
        <v>1</v>
      </c>
      <c r="BK18" s="1">
        <f t="shared" si="37"/>
        <v>1</v>
      </c>
      <c r="BL18" s="1">
        <f t="shared" si="34"/>
        <v>0</v>
      </c>
      <c r="BM18" s="1">
        <f t="shared" si="34"/>
        <v>0</v>
      </c>
      <c r="BN18" s="1">
        <f t="shared" si="27"/>
        <v>1</v>
      </c>
      <c r="BO18" s="1">
        <f t="shared" si="28"/>
        <v>1</v>
      </c>
    </row>
    <row r="19" spans="1:67" ht="30.95" customHeight="1">
      <c r="A19" s="1">
        <f>0</f>
        <v>0</v>
      </c>
      <c r="B19" s="1">
        <f>固定流程!A19</f>
        <v>14</v>
      </c>
      <c r="C19" s="1">
        <f>3</f>
        <v>3</v>
      </c>
      <c r="D19" s="1">
        <f>1</f>
        <v>1</v>
      </c>
      <c r="E19" s="1">
        <f>固定流程!C19</f>
        <v>3</v>
      </c>
      <c r="F19" s="1">
        <f>固定流程!G19</f>
        <v>3</v>
      </c>
      <c r="G19" s="1" t="str">
        <f>固定流程!H19</f>
        <v>RHI_BUFF</v>
      </c>
      <c r="H19" s="1">
        <f>固定流程!F19</f>
        <v>1</v>
      </c>
      <c r="I19" s="1">
        <f>INDEX(配置与结果!$B$15:$B$18,F19)</f>
        <v>2597</v>
      </c>
      <c r="J19" s="1">
        <f>INDEX(配置与结果!$D$15:$D$18,F19)</f>
        <v>0.255</v>
      </c>
      <c r="K19" s="1">
        <f>INDEX(配置与结果!$E$15:$E$18,F19)</f>
        <v>1.55</v>
      </c>
      <c r="L19" s="1">
        <f>IF(AV18=1,IF(M19&gt;=10,2,1),IF(AV18=2,IF(AX18&lt;=1,0,2),0))</f>
        <v>2</v>
      </c>
      <c r="M19" s="1">
        <f>IF(AND(AV18=2,AX18&lt;=1),0,MIN(10,AW18+IF(AV18=1,3,0)))</f>
        <v>10</v>
      </c>
      <c r="N19" s="1">
        <f>IF(AND(AV18=1,M19&gt;=10),2,IF(AV18=2,MAX(0,AX18-1),0))</f>
        <v>2</v>
      </c>
      <c r="O19" s="1">
        <f t="shared" si="33"/>
        <v>6</v>
      </c>
      <c r="P19" s="1">
        <f>MIN(方案参数!$AI$3,AZ18+方案参数!$AJ$3+方案参数!$AK$3)</f>
        <v>5</v>
      </c>
      <c r="Q19" s="1">
        <f t="shared" si="10"/>
        <v>3</v>
      </c>
      <c r="R19" s="1">
        <f t="shared" si="11"/>
        <v>5</v>
      </c>
      <c r="S19" s="1">
        <f t="shared" si="12"/>
        <v>2</v>
      </c>
      <c r="T19" s="1">
        <f t="shared" si="13"/>
        <v>0</v>
      </c>
      <c r="U19" s="1">
        <f t="shared" si="14"/>
        <v>0</v>
      </c>
      <c r="V19" s="1">
        <f t="shared" si="15"/>
        <v>2</v>
      </c>
      <c r="W19" s="1">
        <f t="shared" si="16"/>
        <v>1</v>
      </c>
      <c r="X19" s="1">
        <f t="shared" si="17"/>
        <v>1</v>
      </c>
      <c r="Y19" s="1">
        <f t="shared" si="18"/>
        <v>1</v>
      </c>
      <c r="Z19" s="1">
        <f t="shared" si="19"/>
        <v>1</v>
      </c>
      <c r="AA19" s="1">
        <f t="shared" si="36"/>
        <v>1</v>
      </c>
      <c r="AB19" s="1">
        <f t="shared" si="21"/>
        <v>0</v>
      </c>
      <c r="AC19" s="1">
        <f t="shared" si="22"/>
        <v>0</v>
      </c>
      <c r="AD19" s="1">
        <f>ROUNDDOWN(I19*(1+IF(F19=3,0.05+方案参数!$Y$3+AA19*0.12,IF(F19=4,方案参数!$BZ$3*方案参数!$AS$3,0)))+IF(AND(X19=1,F19&lt;&gt;3),方案参数!$CC$3,0)+AC19*方案参数!$CB$3,0)</f>
        <v>3298</v>
      </c>
      <c r="AE19" s="1">
        <f>IF(OR(F19=1,F19=4),配置与结果!$B$24,配置与结果!$B$25)*MAX(0,1-INDEX(配置与结果!$I$15:$I$18,F19))</f>
        <v>1000</v>
      </c>
      <c r="AF19" s="1">
        <f>0</f>
        <v>0</v>
      </c>
      <c r="AG19" s="1">
        <f>MAX(配置与结果!$B$32,1+INDEX(配置与结果!$F$15:$F$18,F19)+0+Q19*方案参数!$W$3+Y19*(方案参数!$AN$3+MIN(方案参数!$AO$3,P19*0.03))+AB19*方案参数!$BZ$3*0.025-配置与结果!$B$28)</f>
        <v>0.995</v>
      </c>
      <c r="AH19" s="1">
        <f>MAX(0,1+INDEX(配置与结果!$G$15:$G$18,F19)+W19*方案参数!$AG$3)</f>
        <v>1.3</v>
      </c>
      <c r="AI19" s="1">
        <f>IF(OR(INDEX(配置与结果!$K$15:$K$18,F19)=1,G19="RHI_BERRY"),1+配置与结果!$B$33+P19*方案参数!$AH$3,1)</f>
        <v>1</v>
      </c>
      <c r="AJ19" s="1">
        <f>MIN(1,MAX(0,J19+方案参数!$AB$3-配置与结果!$B$27))</f>
        <v>0.55499999999999994</v>
      </c>
      <c r="AK19" s="1">
        <f>MAX(1,K19+IF(F19=2,0.15+方案参数!$CH$3,0)+BN19*方案参数!$X$3+R19*方案参数!$AA$3+0-配置与结果!$B$26+Z19*(方案参数!$AP$3+MIN(方案参数!$AQ$3,P19*0.03)))</f>
        <v>1.6300000000000001</v>
      </c>
      <c r="AL19" s="7">
        <f>ROUNDDOWN(MAX(AD19*配置与结果!$B$31,AD19-AE19)*AF19*AG19*AH19*AI19,0)</f>
        <v>0</v>
      </c>
      <c r="AM19" s="7">
        <f>ROUNDDOWN(MAX(AD19*配置与结果!$B$31,AD19-AE19)*AF19*AG19*AH19*AI19*AK19,0)</f>
        <v>0</v>
      </c>
      <c r="AN19" s="7">
        <f t="shared" si="0"/>
        <v>0</v>
      </c>
      <c r="AO19" s="7">
        <f>0</f>
        <v>0</v>
      </c>
      <c r="AP19" s="7">
        <f>MAX(0,1+INDEX(配置与结果!$J$15:$J$18,F19)+IF(T19&gt;0,方案参数!$BY$3,0)-配置与结果!$B$30)</f>
        <v>1</v>
      </c>
      <c r="AQ19" s="7">
        <f t="shared" si="1"/>
        <v>0</v>
      </c>
      <c r="AR19" s="7">
        <f t="shared" si="2"/>
        <v>0</v>
      </c>
      <c r="AS19" s="7">
        <f t="shared" si="3"/>
        <v>0</v>
      </c>
      <c r="AT19" s="7">
        <f>0</f>
        <v>0</v>
      </c>
      <c r="AU19" s="7">
        <f t="shared" si="4"/>
        <v>0</v>
      </c>
      <c r="AV19" s="1">
        <f t="shared" si="5"/>
        <v>2</v>
      </c>
      <c r="AW19" s="1">
        <f t="shared" si="38"/>
        <v>10</v>
      </c>
      <c r="AX19" s="1">
        <f t="shared" si="6"/>
        <v>2</v>
      </c>
      <c r="AY19" s="1">
        <f t="shared" si="31"/>
        <v>6</v>
      </c>
      <c r="AZ19" s="1">
        <f t="shared" si="7"/>
        <v>5</v>
      </c>
      <c r="BA19" s="1">
        <f>MIN(6,Q19+1)</f>
        <v>4</v>
      </c>
      <c r="BB19" s="1">
        <f t="shared" si="23"/>
        <v>5</v>
      </c>
      <c r="BC19" s="1">
        <f t="shared" si="39"/>
        <v>2</v>
      </c>
      <c r="BD19" s="1">
        <f t="shared" si="32"/>
        <v>0</v>
      </c>
      <c r="BE19" s="1">
        <f t="shared" si="24"/>
        <v>0</v>
      </c>
      <c r="BF19" s="1">
        <f>MIN(4,V19+0)</f>
        <v>2</v>
      </c>
      <c r="BG19" s="1">
        <f>MAX(W19,1)</f>
        <v>1</v>
      </c>
      <c r="BH19" s="1">
        <f t="shared" si="25"/>
        <v>1</v>
      </c>
      <c r="BI19" s="1">
        <f>MAX(Y19,1)</f>
        <v>1</v>
      </c>
      <c r="BJ19" s="1">
        <f t="shared" si="37"/>
        <v>1</v>
      </c>
      <c r="BK19" s="1">
        <f t="shared" si="37"/>
        <v>1</v>
      </c>
      <c r="BL19" s="1">
        <f t="shared" si="34"/>
        <v>0</v>
      </c>
      <c r="BM19" s="1">
        <f t="shared" si="34"/>
        <v>0</v>
      </c>
      <c r="BN19" s="1">
        <f t="shared" si="27"/>
        <v>1</v>
      </c>
      <c r="BO19" s="1">
        <f t="shared" si="28"/>
        <v>1</v>
      </c>
    </row>
    <row r="20" spans="1:67" ht="30.95" customHeight="1">
      <c r="A20" s="1">
        <f>0</f>
        <v>0</v>
      </c>
      <c r="B20" s="1">
        <f>固定流程!A20</f>
        <v>15</v>
      </c>
      <c r="C20" s="1">
        <f>3</f>
        <v>3</v>
      </c>
      <c r="D20" s="1">
        <f>1</f>
        <v>1</v>
      </c>
      <c r="E20" s="1">
        <f>固定流程!C20</f>
        <v>3</v>
      </c>
      <c r="F20" s="1">
        <f>固定流程!G20</f>
        <v>3</v>
      </c>
      <c r="G20" s="1" t="str">
        <f>固定流程!H20</f>
        <v>RHI_ATTACK</v>
      </c>
      <c r="H20" s="1">
        <f>固定流程!F20</f>
        <v>1</v>
      </c>
      <c r="I20" s="1">
        <f>INDEX(配置与结果!$B$15:$B$18,F20)</f>
        <v>2597</v>
      </c>
      <c r="J20" s="1">
        <f>INDEX(配置与结果!$D$15:$D$18,F20)</f>
        <v>0.255</v>
      </c>
      <c r="K20" s="1">
        <f>INDEX(配置与结果!$E$15:$E$18,F20)</f>
        <v>1.55</v>
      </c>
      <c r="L20" s="1">
        <f t="shared" ref="L20:L41" si="40">AV19</f>
        <v>2</v>
      </c>
      <c r="M20" s="1">
        <f t="shared" ref="M20:M41" si="41">AW19</f>
        <v>10</v>
      </c>
      <c r="N20" s="1">
        <f t="shared" ref="N20:N41" si="42">AX19</f>
        <v>2</v>
      </c>
      <c r="O20" s="1">
        <f t="shared" si="33"/>
        <v>6</v>
      </c>
      <c r="P20" s="1">
        <f>MIN(方案参数!$AI$3,AZ19+0+方案参数!$AK$3)</f>
        <v>5</v>
      </c>
      <c r="Q20" s="1">
        <f t="shared" si="10"/>
        <v>4</v>
      </c>
      <c r="R20" s="1">
        <f t="shared" si="11"/>
        <v>5</v>
      </c>
      <c r="S20" s="1">
        <f t="shared" si="12"/>
        <v>2</v>
      </c>
      <c r="T20" s="1">
        <f t="shared" si="13"/>
        <v>0</v>
      </c>
      <c r="U20" s="1">
        <f t="shared" si="14"/>
        <v>0</v>
      </c>
      <c r="V20" s="1">
        <f t="shared" si="15"/>
        <v>2</v>
      </c>
      <c r="W20" s="1">
        <f t="shared" si="16"/>
        <v>1</v>
      </c>
      <c r="X20" s="1">
        <f t="shared" si="17"/>
        <v>1</v>
      </c>
      <c r="Y20" s="1">
        <f t="shared" si="18"/>
        <v>1</v>
      </c>
      <c r="Z20" s="1">
        <f t="shared" si="19"/>
        <v>1</v>
      </c>
      <c r="AA20" s="1">
        <f>MAX(BK19,1)</f>
        <v>1</v>
      </c>
      <c r="AB20" s="1">
        <f t="shared" si="21"/>
        <v>0</v>
      </c>
      <c r="AC20" s="1">
        <f t="shared" si="22"/>
        <v>0</v>
      </c>
      <c r="AD20" s="1">
        <f>ROUNDDOWN(I20*(1+IF(F20=3,0.05+方案参数!$Y$3+AA20*0.12,IF(F20=4,方案参数!$BZ$3*方案参数!$AS$3,0)))+IF(AND(X20=1,F20&lt;&gt;3),方案参数!$CC$3,0)+AC20*方案参数!$CB$3,0)</f>
        <v>3298</v>
      </c>
      <c r="AE20" s="1">
        <f>IF(OR(F20=1,F20=4),配置与结果!$B$24,配置与结果!$B$25)*MAX(0,1-INDEX(配置与结果!$I$15:$I$18,F20))</f>
        <v>1000</v>
      </c>
      <c r="AF20" s="1">
        <f>4</f>
        <v>4</v>
      </c>
      <c r="AG20" s="1">
        <f>MAX(配置与结果!$B$32,1+INDEX(配置与结果!$F$15:$F$18,F20)+0+Q20*方案参数!$W$3+Y20*(方案参数!$AN$3+MIN(方案参数!$AO$3,P20*0.03))+AB20*方案参数!$BZ$3*0.025-配置与结果!$B$28)</f>
        <v>1.0150000000000001</v>
      </c>
      <c r="AH20" s="1">
        <f>MAX(0,1+INDEX(配置与结果!$G$15:$G$18,F20)+W20*方案参数!$AG$3)</f>
        <v>1.3</v>
      </c>
      <c r="AI20" s="1">
        <f>IF(OR(INDEX(配置与结果!$K$15:$K$18,F20)=1,G20="RHI_BERRY"),1+配置与结果!$B$33+P20*方案参数!$AH$3,1)</f>
        <v>1</v>
      </c>
      <c r="AJ20" s="1">
        <f>MIN(1,MAX(0,J20+方案参数!$AB$3-配置与结果!$B$27))</f>
        <v>0.55499999999999994</v>
      </c>
      <c r="AK20" s="1">
        <f>MAX(1,K20+IF(F20=2,0.15+方案参数!$CH$3,0)+BN20*方案参数!$X$3+R20*方案参数!$AA$3+0-配置与结果!$B$26+Z20*(方案参数!$AP$3+MIN(方案参数!$AQ$3,P20*0.03)))</f>
        <v>1.6300000000000001</v>
      </c>
      <c r="AL20" s="7">
        <f>ROUNDDOWN(MAX(AD20*配置与结果!$B$31,AD20-AE20)*AF20*AG20*AH20*AI20,0)</f>
        <v>12128</v>
      </c>
      <c r="AM20" s="7">
        <f>ROUNDDOWN(MAX(AD20*配置与结果!$B$31,AD20-AE20)*AF20*AG20*AH20*AI20*AK20,0)</f>
        <v>19770</v>
      </c>
      <c r="AN20" s="7">
        <f t="shared" si="0"/>
        <v>16369.31</v>
      </c>
      <c r="AO20" s="7">
        <f>0</f>
        <v>0</v>
      </c>
      <c r="AP20" s="7">
        <f>MAX(0,1+INDEX(配置与结果!$J$15:$J$18,F20)+IF(T20&gt;0,方案参数!$BY$3,0)-配置与结果!$B$30)</f>
        <v>1</v>
      </c>
      <c r="AQ20" s="7">
        <f t="shared" si="1"/>
        <v>0</v>
      </c>
      <c r="AR20" s="7">
        <f t="shared" si="2"/>
        <v>0</v>
      </c>
      <c r="AS20" s="7">
        <f t="shared" si="3"/>
        <v>0</v>
      </c>
      <c r="AT20" s="7">
        <f>0</f>
        <v>0</v>
      </c>
      <c r="AU20" s="7">
        <f t="shared" si="4"/>
        <v>16369.31</v>
      </c>
      <c r="AV20" s="1">
        <f t="shared" si="5"/>
        <v>2</v>
      </c>
      <c r="AW20" s="1">
        <f t="shared" si="38"/>
        <v>10</v>
      </c>
      <c r="AX20" s="1">
        <f t="shared" si="6"/>
        <v>2</v>
      </c>
      <c r="AY20" s="1">
        <f t="shared" si="31"/>
        <v>6</v>
      </c>
      <c r="AZ20" s="1">
        <f t="shared" si="7"/>
        <v>5</v>
      </c>
      <c r="BA20" s="1">
        <f>MIN(6,Q20+1)</f>
        <v>5</v>
      </c>
      <c r="BB20" s="1">
        <f t="shared" si="23"/>
        <v>5</v>
      </c>
      <c r="BC20" s="1">
        <f t="shared" si="39"/>
        <v>2</v>
      </c>
      <c r="BD20" s="1">
        <f t="shared" si="32"/>
        <v>0</v>
      </c>
      <c r="BE20" s="1">
        <f t="shared" si="24"/>
        <v>0</v>
      </c>
      <c r="BF20" s="1">
        <f>MIN(4,V20+0)</f>
        <v>2</v>
      </c>
      <c r="BG20" s="1">
        <f t="shared" ref="BG20:BG42" si="43">MAX(W20,0)</f>
        <v>1</v>
      </c>
      <c r="BH20" s="1">
        <f t="shared" si="25"/>
        <v>1</v>
      </c>
      <c r="BI20" s="1">
        <f t="shared" ref="BI20:BI42" si="44">MAX(Y20,0)</f>
        <v>1</v>
      </c>
      <c r="BJ20" s="1">
        <f>MAX(Z20,1)</f>
        <v>1</v>
      </c>
      <c r="BK20" s="1">
        <f>MAX(AA20,1)</f>
        <v>1</v>
      </c>
      <c r="BL20" s="1">
        <f t="shared" si="34"/>
        <v>0</v>
      </c>
      <c r="BM20" s="1">
        <f t="shared" si="34"/>
        <v>0</v>
      </c>
      <c r="BN20" s="1">
        <f t="shared" si="27"/>
        <v>1</v>
      </c>
      <c r="BO20" s="1">
        <f t="shared" si="28"/>
        <v>1</v>
      </c>
    </row>
    <row r="21" spans="1:67" ht="30.95" customHeight="1">
      <c r="A21" s="1">
        <f>0</f>
        <v>0</v>
      </c>
      <c r="B21" s="1">
        <f>固定流程!A21</f>
        <v>16</v>
      </c>
      <c r="C21" s="1">
        <f>3</f>
        <v>3</v>
      </c>
      <c r="D21" s="1">
        <f>1</f>
        <v>1</v>
      </c>
      <c r="E21" s="1">
        <f>固定流程!C21</f>
        <v>3</v>
      </c>
      <c r="F21" s="1">
        <f>固定流程!G21</f>
        <v>2</v>
      </c>
      <c r="G21" s="1" t="str">
        <f>固定流程!H21</f>
        <v>37_ULT</v>
      </c>
      <c r="H21" s="1">
        <f>固定流程!F21</f>
        <v>1</v>
      </c>
      <c r="I21" s="1">
        <f>INDEX(配置与结果!$B$15:$B$18,F21)</f>
        <v>2306</v>
      </c>
      <c r="J21" s="1">
        <f>INDEX(配置与结果!$D$15:$D$18,F21)</f>
        <v>0.46</v>
      </c>
      <c r="K21" s="1">
        <f>INDEX(配置与结果!$E$15:$E$18,F21)</f>
        <v>1.9279999999999999</v>
      </c>
      <c r="L21" s="1">
        <f t="shared" si="40"/>
        <v>2</v>
      </c>
      <c r="M21" s="1">
        <f t="shared" si="41"/>
        <v>10</v>
      </c>
      <c r="N21" s="1">
        <f t="shared" si="42"/>
        <v>2</v>
      </c>
      <c r="O21" s="1">
        <f t="shared" si="33"/>
        <v>6</v>
      </c>
      <c r="P21" s="1">
        <f>MIN(方案参数!$AI$3,AZ20+0+0)</f>
        <v>5</v>
      </c>
      <c r="Q21" s="1">
        <f t="shared" si="10"/>
        <v>5</v>
      </c>
      <c r="R21" s="1">
        <f t="shared" si="11"/>
        <v>5</v>
      </c>
      <c r="S21" s="1">
        <f t="shared" si="12"/>
        <v>2</v>
      </c>
      <c r="T21" s="1">
        <f>BD20+方案参数!$BX$3</f>
        <v>2</v>
      </c>
      <c r="U21" s="1">
        <f t="shared" si="14"/>
        <v>0</v>
      </c>
      <c r="V21" s="1">
        <f t="shared" si="15"/>
        <v>2</v>
      </c>
      <c r="W21" s="1">
        <f t="shared" si="16"/>
        <v>1</v>
      </c>
      <c r="X21" s="1">
        <f t="shared" si="17"/>
        <v>1</v>
      </c>
      <c r="Y21" s="1">
        <f t="shared" si="18"/>
        <v>1</v>
      </c>
      <c r="Z21" s="1">
        <f t="shared" si="19"/>
        <v>1</v>
      </c>
      <c r="AA21" s="1">
        <f t="shared" ref="AA21:AA41" si="45">MAX(BK20,0)</f>
        <v>1</v>
      </c>
      <c r="AB21" s="1">
        <f t="shared" si="21"/>
        <v>0</v>
      </c>
      <c r="AC21" s="1">
        <f>MAX(BM20,1)</f>
        <v>1</v>
      </c>
      <c r="AD21" s="1">
        <f>ROUNDDOWN(I21*(1+IF(F21=3,0.05+方案参数!$Y$3+AA21*0.12,IF(F21=4,方案参数!$BZ$3*方案参数!$AS$3,0)))+IF(AND(X21=1,F21&lt;&gt;3),方案参数!$CC$3,0)+AC21*方案参数!$CB$3,0)</f>
        <v>3044</v>
      </c>
      <c r="AE21" s="1">
        <f>IF(OR(F21=1,F21=4),配置与结果!$B$24,配置与结果!$B$25)*MAX(0,1-INDEX(配置与结果!$I$15:$I$18,F21))</f>
        <v>1000</v>
      </c>
      <c r="AF21" s="1">
        <f>0</f>
        <v>0</v>
      </c>
      <c r="AG21" s="1">
        <f>MAX(配置与结果!$B$32,1+INDEX(配置与结果!$F$15:$F$18,F21)+0+Q21*方案参数!$W$3+Y21*(方案参数!$AN$3+MIN(方案参数!$AO$3,P21*0.03))+AB21*方案参数!$BZ$3*0.025-配置与结果!$B$28)</f>
        <v>1.0049999999999999</v>
      </c>
      <c r="AH21" s="1">
        <f>MAX(0,1+INDEX(配置与结果!$G$15:$G$18,F21)+W21*方案参数!$AG$3)</f>
        <v>1.3</v>
      </c>
      <c r="AI21" s="1">
        <f>IF(OR(INDEX(配置与结果!$K$15:$K$18,F21)=1,G21="RHI_BERRY"),1+配置与结果!$B$33+P21*方案参数!$AH$3,1)</f>
        <v>1</v>
      </c>
      <c r="AJ21" s="1">
        <f>MIN(1,MAX(0,J21+方案参数!$AB$3-配置与结果!$B$27))</f>
        <v>0.76</v>
      </c>
      <c r="AK21" s="1">
        <f>MAX(1,K21+IF(F21=2,0.15+方案参数!$CH$3,0)+BN21*方案参数!$X$3+R21*方案参数!$AA$3+0-配置与结果!$B$26+Z21*(方案参数!$AP$3+MIN(方案参数!$AQ$3,P21*0.03)))</f>
        <v>2.278</v>
      </c>
      <c r="AL21" s="7">
        <f>ROUNDDOWN(MAX(AD21*配置与结果!$B$31,AD21-AE21)*AF21*AG21*AH21*AI21,0)</f>
        <v>0</v>
      </c>
      <c r="AM21" s="7">
        <f>ROUNDDOWN(MAX(AD21*配置与结果!$B$31,AD21-AE21)*AF21*AG21*AH21*AI21*AK21,0)</f>
        <v>0</v>
      </c>
      <c r="AN21" s="7">
        <f t="shared" si="0"/>
        <v>0</v>
      </c>
      <c r="AO21" s="7">
        <f>0</f>
        <v>0</v>
      </c>
      <c r="AP21" s="7">
        <f>MAX(0,1+INDEX(配置与结果!$J$15:$J$18,F21)+IF(T21&gt;0,方案参数!$BY$3,0)-配置与结果!$B$30)</f>
        <v>2</v>
      </c>
      <c r="AQ21" s="7">
        <f t="shared" si="1"/>
        <v>0</v>
      </c>
      <c r="AR21" s="7">
        <f t="shared" si="2"/>
        <v>0</v>
      </c>
      <c r="AS21" s="7">
        <f t="shared" si="3"/>
        <v>0</v>
      </c>
      <c r="AT21" s="7">
        <f>0</f>
        <v>0</v>
      </c>
      <c r="AU21" s="7">
        <f t="shared" si="4"/>
        <v>0</v>
      </c>
      <c r="AV21" s="1">
        <f t="shared" si="5"/>
        <v>2</v>
      </c>
      <c r="AW21" s="1">
        <f t="shared" si="38"/>
        <v>10</v>
      </c>
      <c r="AX21" s="1">
        <f t="shared" si="6"/>
        <v>2</v>
      </c>
      <c r="AY21" s="1">
        <f t="shared" si="31"/>
        <v>6</v>
      </c>
      <c r="AZ21" s="1">
        <f t="shared" si="7"/>
        <v>5</v>
      </c>
      <c r="BA21" s="1">
        <f t="shared" ref="BA21:BA41" si="46">MIN(6,Q21+0)</f>
        <v>5</v>
      </c>
      <c r="BB21" s="1">
        <f>MIN(30,R21+5)</f>
        <v>10</v>
      </c>
      <c r="BC21" s="1">
        <f t="shared" si="39"/>
        <v>2</v>
      </c>
      <c r="BD21" s="1">
        <f t="shared" si="32"/>
        <v>2</v>
      </c>
      <c r="BE21" s="1">
        <f t="shared" si="24"/>
        <v>0</v>
      </c>
      <c r="BF21" s="1">
        <f>MIN(4,V21+0)</f>
        <v>2</v>
      </c>
      <c r="BG21" s="1">
        <f t="shared" si="43"/>
        <v>1</v>
      </c>
      <c r="BH21" s="1">
        <f t="shared" si="25"/>
        <v>1</v>
      </c>
      <c r="BI21" s="1">
        <f t="shared" si="44"/>
        <v>1</v>
      </c>
      <c r="BJ21" s="1">
        <f t="shared" ref="BJ21:BL23" si="47">MAX(Z21,0)</f>
        <v>1</v>
      </c>
      <c r="BK21" s="1">
        <f t="shared" si="47"/>
        <v>1</v>
      </c>
      <c r="BL21" s="1">
        <f t="shared" si="47"/>
        <v>0</v>
      </c>
      <c r="BM21" s="1">
        <f>MAX(AC21,1)</f>
        <v>1</v>
      </c>
      <c r="BN21" s="1">
        <f t="shared" si="27"/>
        <v>1</v>
      </c>
      <c r="BO21" s="1">
        <f t="shared" si="28"/>
        <v>1</v>
      </c>
    </row>
    <row r="22" spans="1:67" ht="30.95" customHeight="1">
      <c r="A22" s="1">
        <f>0</f>
        <v>0</v>
      </c>
      <c r="B22" s="1">
        <f>固定流程!A22</f>
        <v>17</v>
      </c>
      <c r="C22" s="1">
        <f>3</f>
        <v>3</v>
      </c>
      <c r="D22" s="1">
        <f>1</f>
        <v>1</v>
      </c>
      <c r="E22" s="1">
        <f>固定流程!C22</f>
        <v>3</v>
      </c>
      <c r="F22" s="1">
        <f>固定流程!G22</f>
        <v>2</v>
      </c>
      <c r="G22" s="1" t="str">
        <f>固定流程!H22</f>
        <v>37_FOLLOW</v>
      </c>
      <c r="H22" s="1">
        <f>固定流程!F22</f>
        <v>1</v>
      </c>
      <c r="I22" s="1">
        <f>INDEX(配置与结果!$B$15:$B$18,F22)</f>
        <v>2306</v>
      </c>
      <c r="J22" s="1">
        <f>INDEX(配置与结果!$D$15:$D$18,F22)</f>
        <v>0.46</v>
      </c>
      <c r="K22" s="1">
        <f>INDEX(配置与结果!$E$15:$E$18,F22)</f>
        <v>1.9279999999999999</v>
      </c>
      <c r="L22" s="1">
        <f t="shared" si="40"/>
        <v>2</v>
      </c>
      <c r="M22" s="1">
        <f t="shared" si="41"/>
        <v>10</v>
      </c>
      <c r="N22" s="1">
        <f t="shared" si="42"/>
        <v>2</v>
      </c>
      <c r="O22" s="1">
        <f t="shared" si="33"/>
        <v>6</v>
      </c>
      <c r="P22" s="1">
        <f>MIN(方案参数!$AI$3,AZ21+0+0)</f>
        <v>5</v>
      </c>
      <c r="Q22" s="1">
        <f t="shared" si="10"/>
        <v>5</v>
      </c>
      <c r="R22" s="1">
        <f t="shared" si="11"/>
        <v>10</v>
      </c>
      <c r="S22" s="1">
        <f t="shared" si="12"/>
        <v>2</v>
      </c>
      <c r="T22" s="1">
        <f t="shared" ref="T22:T41" si="48">BD21+0</f>
        <v>2</v>
      </c>
      <c r="U22" s="1">
        <f t="shared" si="14"/>
        <v>0</v>
      </c>
      <c r="V22" s="1">
        <f t="shared" si="15"/>
        <v>2</v>
      </c>
      <c r="W22" s="1">
        <f t="shared" si="16"/>
        <v>1</v>
      </c>
      <c r="X22" s="1">
        <f t="shared" si="17"/>
        <v>1</v>
      </c>
      <c r="Y22" s="1">
        <f t="shared" si="18"/>
        <v>1</v>
      </c>
      <c r="Z22" s="1">
        <f t="shared" si="19"/>
        <v>1</v>
      </c>
      <c r="AA22" s="1">
        <f t="shared" si="45"/>
        <v>1</v>
      </c>
      <c r="AB22" s="1">
        <f t="shared" si="21"/>
        <v>0</v>
      </c>
      <c r="AC22" s="1">
        <f t="shared" ref="AC22:AC41" si="49">MAX(BM21,0)</f>
        <v>1</v>
      </c>
      <c r="AD22" s="1">
        <f>ROUNDDOWN(I22*(1+IF(F22=3,0.05+方案参数!$Y$3+AA22*0.12,IF(F22=4,方案参数!$BZ$3*方案参数!$AS$3,0)))+IF(AND(X22=1,F22&lt;&gt;3),方案参数!$CC$3,0)+AC22*方案参数!$CB$3,0)</f>
        <v>3044</v>
      </c>
      <c r="AE22" s="1">
        <f>IF(OR(F22=1,F22=4),配置与结果!$B$24,配置与结果!$B$25)*MAX(0,1-INDEX(配置与结果!$I$15:$I$18,F22))</f>
        <v>1000</v>
      </c>
      <c r="AF22" s="1">
        <f>方案参数!$BV$3</f>
        <v>3</v>
      </c>
      <c r="AG22" s="1">
        <f>MAX(配置与结果!$B$32,1+INDEX(配置与结果!$F$15:$F$18,F22)+0+Q22*方案参数!$W$3+Y22*(方案参数!$AN$3+MIN(方案参数!$AO$3,P22*0.03))+AB22*方案参数!$BZ$3*0.025-配置与结果!$B$28)</f>
        <v>1.0049999999999999</v>
      </c>
      <c r="AH22" s="1">
        <f>MAX(0,1+INDEX(配置与结果!$G$15:$G$18,F22)+W22*方案参数!$AG$3)</f>
        <v>1.3</v>
      </c>
      <c r="AI22" s="1">
        <f>IF(OR(INDEX(配置与结果!$K$15:$K$18,F22)=1,G22="RHI_BERRY"),1+配置与结果!$B$33+P22*方案参数!$AH$3,1)</f>
        <v>1</v>
      </c>
      <c r="AJ22" s="1">
        <f>MIN(1,MAX(0,J22+方案参数!$AB$3-配置与结果!$B$27))</f>
        <v>0.76</v>
      </c>
      <c r="AK22" s="1">
        <f>MAX(1,K22+IF(F22=2,0.15+方案参数!$CH$3,0)+BN22*方案参数!$X$3+R22*方案参数!$AA$3+0-配置与结果!$B$26+Z22*(方案参数!$AP$3+MIN(方案参数!$AQ$3,P22*0.03)))</f>
        <v>2.298</v>
      </c>
      <c r="AL22" s="7">
        <f>ROUNDDOWN(MAX(AD22*配置与结果!$B$31,AD22-AE22)*AF22*AG22*AH22*AI22,0)</f>
        <v>8011</v>
      </c>
      <c r="AM22" s="7">
        <f>ROUNDDOWN(MAX(AD22*配置与结果!$B$31,AD22-AE22)*AF22*AG22*AH22*AI22*AK22,0)</f>
        <v>18410</v>
      </c>
      <c r="AN22" s="7">
        <f t="shared" si="0"/>
        <v>15914.24</v>
      </c>
      <c r="AO22" s="7">
        <f>方案参数!$BW$3</f>
        <v>1</v>
      </c>
      <c r="AP22" s="7">
        <f>MAX(0,1+INDEX(配置与结果!$J$15:$J$18,F22)+IF(T22&gt;0,方案参数!$BY$3,0)-配置与结果!$B$30)</f>
        <v>2</v>
      </c>
      <c r="AQ22" s="7">
        <f t="shared" si="1"/>
        <v>6088</v>
      </c>
      <c r="AR22" s="7">
        <f t="shared" si="2"/>
        <v>13990</v>
      </c>
      <c r="AS22" s="7">
        <f t="shared" si="3"/>
        <v>12093.52</v>
      </c>
      <c r="AT22" s="7">
        <f>0</f>
        <v>0</v>
      </c>
      <c r="AU22" s="7">
        <f t="shared" si="4"/>
        <v>28007.760000000002</v>
      </c>
      <c r="AV22" s="1">
        <f t="shared" si="5"/>
        <v>2</v>
      </c>
      <c r="AW22" s="1">
        <f t="shared" si="38"/>
        <v>10</v>
      </c>
      <c r="AX22" s="1">
        <f t="shared" si="6"/>
        <v>2</v>
      </c>
      <c r="AY22" s="1">
        <f t="shared" si="31"/>
        <v>6</v>
      </c>
      <c r="AZ22" s="1">
        <f t="shared" si="7"/>
        <v>5</v>
      </c>
      <c r="BA22" s="1">
        <f t="shared" si="46"/>
        <v>5</v>
      </c>
      <c r="BB22" s="1">
        <f>MIN(30,R22+0)</f>
        <v>10</v>
      </c>
      <c r="BC22" s="1">
        <f t="shared" si="39"/>
        <v>2</v>
      </c>
      <c r="BD22" s="1">
        <f t="shared" si="32"/>
        <v>1</v>
      </c>
      <c r="BE22" s="1">
        <f t="shared" si="24"/>
        <v>0</v>
      </c>
      <c r="BF22" s="1">
        <f>MIN(4,V22+1)</f>
        <v>3</v>
      </c>
      <c r="BG22" s="1">
        <f t="shared" si="43"/>
        <v>1</v>
      </c>
      <c r="BH22" s="1">
        <f t="shared" si="25"/>
        <v>1</v>
      </c>
      <c r="BI22" s="1">
        <f t="shared" si="44"/>
        <v>1</v>
      </c>
      <c r="BJ22" s="1">
        <f t="shared" si="47"/>
        <v>1</v>
      </c>
      <c r="BK22" s="1">
        <f t="shared" si="47"/>
        <v>1</v>
      </c>
      <c r="BL22" s="1">
        <f t="shared" si="47"/>
        <v>0</v>
      </c>
      <c r="BM22" s="1">
        <f t="shared" ref="BM22:BM56" si="50">MAX(AC22,0)</f>
        <v>1</v>
      </c>
      <c r="BN22" s="1">
        <f t="shared" si="27"/>
        <v>1</v>
      </c>
      <c r="BO22" s="1">
        <f t="shared" si="28"/>
        <v>1</v>
      </c>
    </row>
    <row r="23" spans="1:67" ht="30.95" customHeight="1">
      <c r="A23" s="1">
        <f>0</f>
        <v>0</v>
      </c>
      <c r="B23" s="1">
        <f>固定流程!A23</f>
        <v>18</v>
      </c>
      <c r="C23" s="1">
        <f>3</f>
        <v>3</v>
      </c>
      <c r="D23" s="1">
        <f>1</f>
        <v>1</v>
      </c>
      <c r="E23" s="1">
        <f>固定流程!C23</f>
        <v>3</v>
      </c>
      <c r="F23" s="1">
        <f>固定流程!G23</f>
        <v>4</v>
      </c>
      <c r="G23" s="1" t="str">
        <f>固定流程!H23</f>
        <v>J_HARD</v>
      </c>
      <c r="H23" s="1">
        <f>固定流程!F23</f>
        <v>1</v>
      </c>
      <c r="I23" s="1">
        <f>INDEX(配置与结果!$B$15:$B$18,F23)</f>
        <v>1906</v>
      </c>
      <c r="J23" s="1">
        <f>INDEX(配置与结果!$D$15:$D$18,F23)</f>
        <v>0.36699999999999999</v>
      </c>
      <c r="K23" s="1">
        <f>INDEX(配置与结果!$E$15:$E$18,F23)</f>
        <v>1.7170000000000001</v>
      </c>
      <c r="L23" s="1">
        <f t="shared" si="40"/>
        <v>2</v>
      </c>
      <c r="M23" s="1">
        <f t="shared" si="41"/>
        <v>10</v>
      </c>
      <c r="N23" s="1">
        <f t="shared" si="42"/>
        <v>2</v>
      </c>
      <c r="O23" s="1">
        <f t="shared" si="33"/>
        <v>6</v>
      </c>
      <c r="P23" s="1">
        <f>MIN(方案参数!$AI$3,AZ22+0+0)</f>
        <v>5</v>
      </c>
      <c r="Q23" s="1">
        <f t="shared" si="10"/>
        <v>5</v>
      </c>
      <c r="R23" s="1">
        <f t="shared" si="11"/>
        <v>10</v>
      </c>
      <c r="S23" s="1">
        <f t="shared" si="12"/>
        <v>2</v>
      </c>
      <c r="T23" s="1">
        <f t="shared" si="48"/>
        <v>1</v>
      </c>
      <c r="U23" s="1">
        <f t="shared" si="14"/>
        <v>0</v>
      </c>
      <c r="V23" s="1">
        <f t="shared" si="15"/>
        <v>3</v>
      </c>
      <c r="W23" s="1">
        <f t="shared" si="16"/>
        <v>1</v>
      </c>
      <c r="X23" s="1">
        <f t="shared" si="17"/>
        <v>1</v>
      </c>
      <c r="Y23" s="1">
        <f t="shared" si="18"/>
        <v>1</v>
      </c>
      <c r="Z23" s="1">
        <f t="shared" si="19"/>
        <v>1</v>
      </c>
      <c r="AA23" s="1">
        <f t="shared" si="45"/>
        <v>1</v>
      </c>
      <c r="AB23" s="1">
        <f t="shared" si="21"/>
        <v>0</v>
      </c>
      <c r="AC23" s="1">
        <f t="shared" si="49"/>
        <v>1</v>
      </c>
      <c r="AD23" s="1">
        <f>ROUNDDOWN(I23*(1+IF(F23=3,0.05+方案参数!$Y$3+AA23*0.12,IF(F23=4,方案参数!$BZ$3*方案参数!$AS$3,0)))+IF(AND(X23=1,F23&lt;&gt;3),方案参数!$CC$3,0)+AC23*方案参数!$CB$3,0)</f>
        <v>3311</v>
      </c>
      <c r="AE23" s="1">
        <f>IF(OR(F23=1,F23=4),配置与结果!$B$24,配置与结果!$B$25)*MAX(0,1-INDEX(配置与结果!$I$15:$I$18,F23))</f>
        <v>1200</v>
      </c>
      <c r="AF23" s="1">
        <f>3.6*IF(H23=1,1,IF(H23=2,1.5,2.5))</f>
        <v>3.6</v>
      </c>
      <c r="AG23" s="1">
        <f>MAX(配置与结果!$B$32,1+INDEX(配置与结果!$F$15:$F$18,F23)+0.08+Q23*方案参数!$W$3+Y23*(方案参数!$AN$3+MIN(方案参数!$AO$3,P23*0.03))+AB23*方案参数!$BZ$3*0.025+0.1+IF(方案参数!$BZ$3&gt;=30,方案参数!$BZ$3*0.01,0)-配置与结果!$B$28)</f>
        <v>1.5550000000000002</v>
      </c>
      <c r="AH23" s="1">
        <f>MAX(0,1+INDEX(配置与结果!$G$15:$G$18,F23)+W23*方案参数!$AG$3)</f>
        <v>1.3</v>
      </c>
      <c r="AI23" s="1">
        <f>IF(OR(INDEX(配置与结果!$K$15:$K$18,F23)=1,G23="RHI_BERRY"),1+配置与结果!$B$33+P23*方案参数!$AH$3,1)</f>
        <v>1</v>
      </c>
      <c r="AJ23" s="1">
        <f>MIN(1,MAX(0,J23+方案参数!$AB$3-配置与结果!$B$27))</f>
        <v>0.66700000000000004</v>
      </c>
      <c r="AK23" s="1">
        <f>MAX(1,K23+IF(F23=2,0.15+方案参数!$CH$3,0)+BN23*方案参数!$X$3+R23*方案参数!$AA$3+0-配置与结果!$B$26+Z23*(方案参数!$AP$3+MIN(方案参数!$AQ$3,P23*0.03)))</f>
        <v>1.8169999999999999</v>
      </c>
      <c r="AL23" s="7">
        <f>ROUNDDOWN(MAX(AD23*配置与结果!$B$31,AD23-AE23)*AF23*AG23*AH23*AI23,0)</f>
        <v>15362</v>
      </c>
      <c r="AM23" s="7">
        <f>ROUNDDOWN(MAX(AD23*配置与结果!$B$31,AD23-AE23)*AF23*AG23*AH23*AI23*AK23,0)</f>
        <v>27913</v>
      </c>
      <c r="AN23" s="7">
        <f t="shared" si="0"/>
        <v>23733.517</v>
      </c>
      <c r="AO23" s="7">
        <f>0</f>
        <v>0</v>
      </c>
      <c r="AP23" s="7">
        <f>MAX(0,1+INDEX(配置与结果!$J$15:$J$18,F23)+IF(T23&gt;0,方案参数!$BY$3,0)-配置与结果!$B$30)</f>
        <v>2</v>
      </c>
      <c r="AQ23" s="7">
        <f t="shared" si="1"/>
        <v>0</v>
      </c>
      <c r="AR23" s="7">
        <f t="shared" si="2"/>
        <v>0</v>
      </c>
      <c r="AS23" s="7">
        <f t="shared" si="3"/>
        <v>0</v>
      </c>
      <c r="AT23" s="7">
        <f>0</f>
        <v>0</v>
      </c>
      <c r="AU23" s="7">
        <f t="shared" si="4"/>
        <v>23733.517</v>
      </c>
      <c r="AV23" s="1">
        <f t="shared" si="5"/>
        <v>2</v>
      </c>
      <c r="AW23" s="1">
        <f t="shared" si="38"/>
        <v>10</v>
      </c>
      <c r="AX23" s="1">
        <f t="shared" si="6"/>
        <v>2</v>
      </c>
      <c r="AY23" s="1">
        <f t="shared" si="31"/>
        <v>6</v>
      </c>
      <c r="AZ23" s="1">
        <f t="shared" si="7"/>
        <v>5</v>
      </c>
      <c r="BA23" s="1">
        <f t="shared" si="46"/>
        <v>5</v>
      </c>
      <c r="BB23" s="1">
        <f>MIN(30,R23+0)</f>
        <v>10</v>
      </c>
      <c r="BC23" s="1">
        <f>MIN(3,S23+1)</f>
        <v>3</v>
      </c>
      <c r="BD23" s="1">
        <f t="shared" si="32"/>
        <v>1</v>
      </c>
      <c r="BE23" s="1">
        <f t="shared" si="24"/>
        <v>0</v>
      </c>
      <c r="BF23" s="1">
        <f>MIN(4,V23+0)</f>
        <v>3</v>
      </c>
      <c r="BG23" s="1">
        <f t="shared" si="43"/>
        <v>1</v>
      </c>
      <c r="BH23" s="1">
        <f t="shared" si="25"/>
        <v>1</v>
      </c>
      <c r="BI23" s="1">
        <f t="shared" si="44"/>
        <v>1</v>
      </c>
      <c r="BJ23" s="1">
        <f t="shared" si="47"/>
        <v>1</v>
      </c>
      <c r="BK23" s="1">
        <f t="shared" si="47"/>
        <v>1</v>
      </c>
      <c r="BL23" s="1">
        <f t="shared" si="47"/>
        <v>0</v>
      </c>
      <c r="BM23" s="1">
        <f t="shared" si="50"/>
        <v>1</v>
      </c>
      <c r="BN23" s="1">
        <f t="shared" si="27"/>
        <v>1</v>
      </c>
      <c r="BO23" s="1">
        <f t="shared" si="28"/>
        <v>1</v>
      </c>
    </row>
    <row r="24" spans="1:67" ht="30.95" customHeight="1">
      <c r="A24" s="1">
        <f>0</f>
        <v>0</v>
      </c>
      <c r="B24" s="1">
        <f>固定流程!A24</f>
        <v>19</v>
      </c>
      <c r="C24" s="1">
        <f>3</f>
        <v>3</v>
      </c>
      <c r="D24" s="1">
        <f>1</f>
        <v>1</v>
      </c>
      <c r="E24" s="1">
        <f>固定流程!C24</f>
        <v>3</v>
      </c>
      <c r="F24" s="1">
        <f>固定流程!G24</f>
        <v>4</v>
      </c>
      <c r="G24" s="1" t="str">
        <f>固定流程!H24</f>
        <v>J_ULT</v>
      </c>
      <c r="H24" s="1">
        <f>固定流程!F24</f>
        <v>1</v>
      </c>
      <c r="I24" s="1">
        <f>INDEX(配置与结果!$B$15:$B$18,F24)</f>
        <v>1906</v>
      </c>
      <c r="J24" s="1">
        <f>INDEX(配置与结果!$D$15:$D$18,F24)</f>
        <v>0.36699999999999999</v>
      </c>
      <c r="K24" s="1">
        <f>INDEX(配置与结果!$E$15:$E$18,F24)</f>
        <v>1.7170000000000001</v>
      </c>
      <c r="L24" s="1">
        <f t="shared" si="40"/>
        <v>2</v>
      </c>
      <c r="M24" s="1">
        <f t="shared" si="41"/>
        <v>10</v>
      </c>
      <c r="N24" s="1">
        <f t="shared" si="42"/>
        <v>2</v>
      </c>
      <c r="O24" s="1">
        <f t="shared" si="33"/>
        <v>6</v>
      </c>
      <c r="P24" s="1">
        <f>MIN(方案参数!$AI$3,AZ23+0+0)</f>
        <v>5</v>
      </c>
      <c r="Q24" s="1">
        <f t="shared" si="10"/>
        <v>5</v>
      </c>
      <c r="R24" s="1">
        <f t="shared" si="11"/>
        <v>10</v>
      </c>
      <c r="S24" s="1">
        <f t="shared" si="12"/>
        <v>3</v>
      </c>
      <c r="T24" s="1">
        <f t="shared" si="48"/>
        <v>1</v>
      </c>
      <c r="U24" s="1">
        <f t="shared" si="14"/>
        <v>0</v>
      </c>
      <c r="V24" s="1">
        <f t="shared" si="15"/>
        <v>3</v>
      </c>
      <c r="W24" s="1">
        <f t="shared" si="16"/>
        <v>1</v>
      </c>
      <c r="X24" s="1">
        <f t="shared" si="17"/>
        <v>1</v>
      </c>
      <c r="Y24" s="1">
        <f t="shared" si="18"/>
        <v>1</v>
      </c>
      <c r="Z24" s="1">
        <f t="shared" si="19"/>
        <v>1</v>
      </c>
      <c r="AA24" s="1">
        <f t="shared" si="45"/>
        <v>1</v>
      </c>
      <c r="AB24" s="1">
        <f t="shared" si="21"/>
        <v>0</v>
      </c>
      <c r="AC24" s="1">
        <f t="shared" si="49"/>
        <v>1</v>
      </c>
      <c r="AD24" s="1">
        <f>ROUNDDOWN(I24*(1+IF(F24=3,0.05+方案参数!$Y$3+AA24*0.12,IF(F24=4,方案参数!$BZ$3*方案参数!$AS$3,0)))+IF(AND(X24=1,F24&lt;&gt;3),方案参数!$CC$3,0)+AC24*方案参数!$CB$3,0)</f>
        <v>3311</v>
      </c>
      <c r="AE24" s="1">
        <f>IF(OR(F24=1,F24=4),配置与结果!$B$24,配置与结果!$B$25)*MAX(0,1-INDEX(配置与结果!$I$15:$I$18,F24))</f>
        <v>1200</v>
      </c>
      <c r="AF24" s="1">
        <f>方案参数!$AT$3+MAX(0,配置与结果!$H$26+方案参数!$BZ$3-30)*方案参数!$AU$3*配置与结果!$H$27</f>
        <v>42</v>
      </c>
      <c r="AG24" s="1">
        <f>MAX(配置与结果!$B$32,1+INDEX(配置与结果!$F$15:$F$18,F24)+0.08+Q24*方案参数!$W$3+Y24*(方案参数!$AN$3+MIN(方案参数!$AO$3,P24*0.03))+AB24*方案参数!$BZ$3*0.025-配置与结果!$B$28)</f>
        <v>1.105</v>
      </c>
      <c r="AH24" s="1">
        <f>MAX(0,1+INDEX(配置与结果!$H$15:$H$18,F24)+W24*方案参数!$AG$3+S24*方案参数!$Z$3)</f>
        <v>1.42</v>
      </c>
      <c r="AI24" s="1">
        <f>IF(OR(INDEX(配置与结果!$K$15:$K$18,F24)=1,G24="RHI_BERRY"),1+配置与结果!$B$33+P24*方案参数!$AH$3,1)</f>
        <v>1</v>
      </c>
      <c r="AJ24" s="1">
        <f>MIN(1,MAX(0,J24+方案参数!$AB$3-配置与结果!$B$27))</f>
        <v>0.66700000000000004</v>
      </c>
      <c r="AK24" s="1">
        <f>MAX(1,K24+IF(F24=2,0.15+方案参数!$CH$3,0)+BN24*方案参数!$X$3+R24*方案参数!$AA$3+0-配置与结果!$B$26+Z24*(方案参数!$AP$3+MIN(方案参数!$AQ$3,P24*0.03)))</f>
        <v>1.8169999999999999</v>
      </c>
      <c r="AL24" s="7">
        <f>ROUNDDOWN(MAX(AD24*配置与结果!$B$31,AD24-AE24)*AF24*AG24*AH24*AI24,0)</f>
        <v>139119</v>
      </c>
      <c r="AM24" s="7">
        <f>ROUNDDOWN(MAX(AD24*配置与结果!$B$31,AD24-AE24)*AF24*AG24*AH24*AI24*AK24,0)</f>
        <v>252780</v>
      </c>
      <c r="AN24" s="7">
        <f t="shared" si="0"/>
        <v>214930.88699999999</v>
      </c>
      <c r="AO24" s="7">
        <f>0</f>
        <v>0</v>
      </c>
      <c r="AP24" s="7">
        <f>MAX(0,1+INDEX(配置与结果!$J$15:$J$18,F24)+IF(T24&gt;0,方案参数!$BY$3,0)-配置与结果!$B$30)</f>
        <v>2</v>
      </c>
      <c r="AQ24" s="7">
        <f t="shared" si="1"/>
        <v>0</v>
      </c>
      <c r="AR24" s="7">
        <f t="shared" si="2"/>
        <v>0</v>
      </c>
      <c r="AS24" s="7">
        <f t="shared" si="3"/>
        <v>0</v>
      </c>
      <c r="AT24" s="7">
        <f>0</f>
        <v>0</v>
      </c>
      <c r="AU24" s="7">
        <f t="shared" si="4"/>
        <v>214930.88699999999</v>
      </c>
      <c r="AV24" s="1">
        <f t="shared" si="5"/>
        <v>2</v>
      </c>
      <c r="AW24" s="1">
        <f t="shared" si="38"/>
        <v>10</v>
      </c>
      <c r="AX24" s="1">
        <f t="shared" si="6"/>
        <v>2</v>
      </c>
      <c r="AY24" s="1">
        <f t="shared" si="31"/>
        <v>6</v>
      </c>
      <c r="AZ24" s="1">
        <f t="shared" si="7"/>
        <v>5</v>
      </c>
      <c r="BA24" s="1">
        <f t="shared" si="46"/>
        <v>5</v>
      </c>
      <c r="BB24" s="1">
        <f>MIN(30,R24+5)</f>
        <v>15</v>
      </c>
      <c r="BC24" s="1">
        <f t="shared" ref="BC24:BC47" si="51">MIN(3,S24+0)</f>
        <v>3</v>
      </c>
      <c r="BD24" s="1">
        <f t="shared" si="32"/>
        <v>1</v>
      </c>
      <c r="BE24" s="1">
        <f t="shared" si="24"/>
        <v>0</v>
      </c>
      <c r="BF24" s="1">
        <f>MIN(4,V24+0)</f>
        <v>3</v>
      </c>
      <c r="BG24" s="1">
        <f t="shared" si="43"/>
        <v>1</v>
      </c>
      <c r="BH24" s="1">
        <f t="shared" si="25"/>
        <v>1</v>
      </c>
      <c r="BI24" s="1">
        <f t="shared" si="44"/>
        <v>1</v>
      </c>
      <c r="BJ24" s="1">
        <f t="shared" ref="BJ24:BJ48" si="52">MAX(Z24,0)</f>
        <v>1</v>
      </c>
      <c r="BK24" s="1">
        <f t="shared" ref="BK24:BK48" si="53">MAX(AA24,0)</f>
        <v>1</v>
      </c>
      <c r="BL24" s="1">
        <f>MAX(AB24,1)</f>
        <v>1</v>
      </c>
      <c r="BM24" s="1">
        <f t="shared" si="50"/>
        <v>1</v>
      </c>
      <c r="BN24" s="1">
        <f t="shared" si="27"/>
        <v>1</v>
      </c>
      <c r="BO24" s="1">
        <f t="shared" si="28"/>
        <v>1</v>
      </c>
    </row>
    <row r="25" spans="1:67" ht="30.95" customHeight="1">
      <c r="A25" s="1">
        <f>0</f>
        <v>0</v>
      </c>
      <c r="B25" s="1">
        <f>固定流程!A25</f>
        <v>20</v>
      </c>
      <c r="C25" s="1">
        <f>3</f>
        <v>3</v>
      </c>
      <c r="D25" s="1">
        <f>1</f>
        <v>1</v>
      </c>
      <c r="E25" s="1">
        <f>固定流程!C25</f>
        <v>3</v>
      </c>
      <c r="F25" s="1">
        <f>固定流程!G25</f>
        <v>1</v>
      </c>
      <c r="G25" s="1" t="str">
        <f>固定流程!H25</f>
        <v>LILYA_ULT</v>
      </c>
      <c r="H25" s="1">
        <f>固定流程!F25</f>
        <v>1</v>
      </c>
      <c r="I25" s="1">
        <f>INDEX(配置与结果!$B$15:$B$18,F25)</f>
        <v>2296</v>
      </c>
      <c r="J25" s="1">
        <f>INDEX(配置与结果!$D$15:$D$18,F25)</f>
        <v>0.7</v>
      </c>
      <c r="K25" s="1">
        <f>INDEX(配置与结果!$E$15:$E$18,F25)</f>
        <v>2.0249999999999999</v>
      </c>
      <c r="L25" s="1">
        <f t="shared" si="40"/>
        <v>2</v>
      </c>
      <c r="M25" s="1">
        <f t="shared" si="41"/>
        <v>10</v>
      </c>
      <c r="N25" s="1">
        <f t="shared" si="42"/>
        <v>2</v>
      </c>
      <c r="O25" s="1">
        <f t="shared" si="33"/>
        <v>6</v>
      </c>
      <c r="P25" s="1">
        <f>MIN(方案参数!$AI$3,AZ24+0+0)</f>
        <v>5</v>
      </c>
      <c r="Q25" s="1">
        <f t="shared" si="10"/>
        <v>5</v>
      </c>
      <c r="R25" s="1">
        <f t="shared" si="11"/>
        <v>15</v>
      </c>
      <c r="S25" s="1">
        <f t="shared" si="12"/>
        <v>3</v>
      </c>
      <c r="T25" s="1">
        <f t="shared" si="48"/>
        <v>1</v>
      </c>
      <c r="U25" s="1">
        <f t="shared" si="14"/>
        <v>0</v>
      </c>
      <c r="V25" s="1">
        <f t="shared" si="15"/>
        <v>3</v>
      </c>
      <c r="W25" s="1">
        <f t="shared" si="16"/>
        <v>1</v>
      </c>
      <c r="X25" s="1">
        <f t="shared" si="17"/>
        <v>1</v>
      </c>
      <c r="Y25" s="1">
        <f t="shared" si="18"/>
        <v>1</v>
      </c>
      <c r="Z25" s="1">
        <f t="shared" si="19"/>
        <v>1</v>
      </c>
      <c r="AA25" s="1">
        <f t="shared" si="45"/>
        <v>1</v>
      </c>
      <c r="AB25" s="1">
        <f t="shared" si="21"/>
        <v>1</v>
      </c>
      <c r="AC25" s="1">
        <f t="shared" si="49"/>
        <v>1</v>
      </c>
      <c r="AD25" s="1">
        <f>ROUNDDOWN(I25*(1+IF(F25=3,0.05+方案参数!$Y$3+AA25*0.12,IF(F25=4,方案参数!$BZ$3*方案参数!$AS$3,0)))+IF(AND(X25=1,F25&lt;&gt;3),方案参数!$CC$3,0)+AC25*方案参数!$CB$3,0)</f>
        <v>3034</v>
      </c>
      <c r="AE25" s="1">
        <f>IF(OR(F25=1,F25=4),配置与结果!$B$24,配置与结果!$B$25)*MAX(0,1-INDEX(配置与结果!$I$15:$I$18,F25)+IF(O25&gt;=6,方案参数!$BK$3,0))</f>
        <v>1440</v>
      </c>
      <c r="AF25" s="1">
        <f>方案参数!$BG$3+IF(O25&gt;=6,方案参数!$BH$3,0)</f>
        <v>36</v>
      </c>
      <c r="AG25" s="1">
        <f>MAX(配置与结果!$B$32,1+INDEX(配置与结果!$F$15:$F$18,F25)+0.08+方案参数!$CD$3+Q25*方案参数!$W$3+Y25*(方案参数!$AN$3+MIN(方案参数!$AO$3,P25*0.03))+AB25*方案参数!$BZ$3*0.025-配置与结果!$B$28)</f>
        <v>2.2150000000000003</v>
      </c>
      <c r="AH25" s="1">
        <f>MAX(0,1+INDEX(配置与结果!$H$15:$H$18,F25)+W25*方案参数!$AG$3+O25*方案参数!$BF$3+IF(O25&gt;=6,方案参数!$BI$3,0))</f>
        <v>2.4500000000000002</v>
      </c>
      <c r="AI25" s="1">
        <f>IF(OR(INDEX(配置与结果!$K$15:$K$18,F25)=1,G25="RHI_BERRY"),1+配置与结果!$B$33+P25*方案参数!$AH$3,1)</f>
        <v>1</v>
      </c>
      <c r="AJ25" s="1">
        <f>MIN(1,MAX(0,J25+方案参数!$AB$3-配置与结果!$B$27))</f>
        <v>1</v>
      </c>
      <c r="AK25" s="1">
        <f>MAX(1,K25+IF(F25=2,0.15+方案参数!$CH$3,0)+BN25*方案参数!$X$3+R25*方案参数!$AA$3+IF(O25&gt;=6,方案参数!$BJ$3,0)-配置与结果!$B$26+Z25*(方案参数!$AP$3+MIN(方案参数!$AQ$3,P25*0.03)))</f>
        <v>3.145</v>
      </c>
      <c r="AL25" s="7">
        <f>ROUNDDOWN(MAX(AD25*配置与结果!$B$31,AD25-AE25)*AF25*AG25*AH25*AI25,0)</f>
        <v>311408</v>
      </c>
      <c r="AM25" s="7">
        <f>ROUNDDOWN(MAX(AD25*配置与结果!$B$31,AD25-AE25)*AF25*AG25*AH25*AI25*AK25,0)</f>
        <v>979380</v>
      </c>
      <c r="AN25" s="7">
        <f t="shared" si="0"/>
        <v>979380</v>
      </c>
      <c r="AO25" s="7">
        <f>0</f>
        <v>0</v>
      </c>
      <c r="AP25" s="7">
        <f>MAX(0,1+INDEX(配置与结果!$J$15:$J$18,F25)+IF(T25&gt;0,方案参数!$BY$3,0)-配置与结果!$B$30)</f>
        <v>2</v>
      </c>
      <c r="AQ25" s="7">
        <f t="shared" si="1"/>
        <v>0</v>
      </c>
      <c r="AR25" s="7">
        <f t="shared" si="2"/>
        <v>0</v>
      </c>
      <c r="AS25" s="7">
        <f t="shared" si="3"/>
        <v>0</v>
      </c>
      <c r="AT25" s="7">
        <f>0</f>
        <v>0</v>
      </c>
      <c r="AU25" s="7">
        <f t="shared" si="4"/>
        <v>979380</v>
      </c>
      <c r="AV25" s="1">
        <f t="shared" si="5"/>
        <v>2</v>
      </c>
      <c r="AW25" s="1">
        <f t="shared" si="38"/>
        <v>10</v>
      </c>
      <c r="AX25" s="1">
        <f t="shared" si="6"/>
        <v>2</v>
      </c>
      <c r="AY25" s="1">
        <f>MIN(20,MAX(0,O25+0+0-IF(O25&gt;=6,6,0)))</f>
        <v>0</v>
      </c>
      <c r="AZ25" s="1">
        <f t="shared" si="7"/>
        <v>5</v>
      </c>
      <c r="BA25" s="1">
        <f t="shared" si="46"/>
        <v>5</v>
      </c>
      <c r="BB25" s="1">
        <f>MIN(30,R25+5)</f>
        <v>20</v>
      </c>
      <c r="BC25" s="1">
        <f t="shared" si="51"/>
        <v>3</v>
      </c>
      <c r="BD25" s="1">
        <f t="shared" si="32"/>
        <v>1</v>
      </c>
      <c r="BE25" s="1">
        <f t="shared" si="24"/>
        <v>0</v>
      </c>
      <c r="BF25" s="1">
        <f>MIN(4,V25+0)</f>
        <v>3</v>
      </c>
      <c r="BG25" s="1">
        <f t="shared" si="43"/>
        <v>1</v>
      </c>
      <c r="BH25" s="1">
        <f t="shared" si="25"/>
        <v>1</v>
      </c>
      <c r="BI25" s="1">
        <f t="shared" si="44"/>
        <v>1</v>
      </c>
      <c r="BJ25" s="1">
        <f t="shared" si="52"/>
        <v>1</v>
      </c>
      <c r="BK25" s="1">
        <f t="shared" si="53"/>
        <v>1</v>
      </c>
      <c r="BL25" s="1">
        <f t="shared" ref="BL25:BL59" si="54">MAX(AB25,0)</f>
        <v>1</v>
      </c>
      <c r="BM25" s="1">
        <f t="shared" si="50"/>
        <v>1</v>
      </c>
      <c r="BN25" s="1">
        <f t="shared" si="27"/>
        <v>1</v>
      </c>
      <c r="BO25" s="1">
        <f t="shared" si="28"/>
        <v>1</v>
      </c>
    </row>
    <row r="26" spans="1:67" ht="30.95" customHeight="1">
      <c r="A26" s="1">
        <f>0</f>
        <v>0</v>
      </c>
      <c r="B26" s="1">
        <f>固定流程!A26</f>
        <v>21</v>
      </c>
      <c r="C26" s="1">
        <f>3</f>
        <v>3</v>
      </c>
      <c r="D26" s="1">
        <f>1</f>
        <v>1</v>
      </c>
      <c r="E26" s="1">
        <f>固定流程!C26</f>
        <v>3</v>
      </c>
      <c r="F26" s="1">
        <f>固定流程!G26</f>
        <v>1</v>
      </c>
      <c r="G26" s="1" t="str">
        <f>固定流程!H26</f>
        <v>LILYA_DIVE</v>
      </c>
      <c r="H26" s="1">
        <f>固定流程!F26</f>
        <v>3</v>
      </c>
      <c r="I26" s="1">
        <f>INDEX(配置与结果!$B$15:$B$18,F26)</f>
        <v>2296</v>
      </c>
      <c r="J26" s="1">
        <f>INDEX(配置与结果!$D$15:$D$18,F26)</f>
        <v>0.7</v>
      </c>
      <c r="K26" s="1">
        <f>INDEX(配置与结果!$E$15:$E$18,F26)</f>
        <v>2.0249999999999999</v>
      </c>
      <c r="L26" s="1">
        <f t="shared" si="40"/>
        <v>2</v>
      </c>
      <c r="M26" s="1">
        <f t="shared" si="41"/>
        <v>10</v>
      </c>
      <c r="N26" s="1">
        <f t="shared" si="42"/>
        <v>2</v>
      </c>
      <c r="O26" s="1">
        <f t="shared" si="33"/>
        <v>0</v>
      </c>
      <c r="P26" s="1">
        <f>MIN(方案参数!$AI$3,AZ25+0+0)</f>
        <v>5</v>
      </c>
      <c r="Q26" s="1">
        <f t="shared" si="10"/>
        <v>5</v>
      </c>
      <c r="R26" s="1">
        <f t="shared" si="11"/>
        <v>20</v>
      </c>
      <c r="S26" s="1">
        <f t="shared" si="12"/>
        <v>3</v>
      </c>
      <c r="T26" s="1">
        <f t="shared" si="48"/>
        <v>1</v>
      </c>
      <c r="U26" s="1">
        <f t="shared" si="14"/>
        <v>0</v>
      </c>
      <c r="V26" s="1">
        <f t="shared" si="15"/>
        <v>3</v>
      </c>
      <c r="W26" s="1">
        <f t="shared" si="16"/>
        <v>1</v>
      </c>
      <c r="X26" s="1">
        <f t="shared" si="17"/>
        <v>1</v>
      </c>
      <c r="Y26" s="1">
        <f t="shared" si="18"/>
        <v>1</v>
      </c>
      <c r="Z26" s="1">
        <f t="shared" si="19"/>
        <v>1</v>
      </c>
      <c r="AA26" s="1">
        <f t="shared" si="45"/>
        <v>1</v>
      </c>
      <c r="AB26" s="1">
        <f t="shared" si="21"/>
        <v>1</v>
      </c>
      <c r="AC26" s="1">
        <f t="shared" si="49"/>
        <v>1</v>
      </c>
      <c r="AD26" s="1">
        <f>ROUNDDOWN(I26*(1+IF(F26=3,0.05+方案参数!$Y$3+AA26*0.12,IF(F26=4,方案参数!$BZ$3*方案参数!$AS$3,0)))+IF(AND(X26=1,F26&lt;&gt;3),方案参数!$CC$3,0)+AC26*方案参数!$CB$3,0)</f>
        <v>3034</v>
      </c>
      <c r="AE26" s="1">
        <f>IF(OR(F26=1,F26=4),配置与结果!$B$24,配置与结果!$B$25)*MAX(0,1-INDEX(配置与结果!$I$15:$I$18,F26))</f>
        <v>1200</v>
      </c>
      <c r="AF26" s="1">
        <f>(IF(L26=1,方案参数!$AW$3,IF(L26=2,方案参数!$AX$3,0))+方案参数!$AV$3)*H26</f>
        <v>30</v>
      </c>
      <c r="AG26" s="1">
        <f>MAX(配置与结果!$B$32,1+INDEX(配置与结果!$F$15:$F$18,F26)+0.08+方案参数!$CD$3+Q26*方案参数!$W$3+Y26*(方案参数!$AN$3+MIN(方案参数!$AO$3,P26*0.03))+AB26*方案参数!$BZ$3*0.025+IF(L26=1,方案参数!$AY$3+(H26-1)*0.1,IF(L26=2,方案参数!$AZ$3+(H26-1)*0.2,0))-配置与结果!$B$28)</f>
        <v>2.8150000000000004</v>
      </c>
      <c r="AH26" s="1">
        <f>MAX(0,1+INDEX(配置与结果!$G$15:$G$18,F26)+W26*方案参数!$AG$3+IF(L26=1,方案参数!$BA$3,IF(L26=2,方案参数!$BB$3,0))+M26*方案参数!$BC$3)</f>
        <v>3.1</v>
      </c>
      <c r="AI26" s="1">
        <f>IF(OR(INDEX(配置与结果!$K$15:$K$18,F26)=1,G26="RHI_BERRY"),1+配置与结果!$B$33+P26*方案参数!$AH$3,1)</f>
        <v>1</v>
      </c>
      <c r="AJ26" s="1">
        <f>MIN(1,MAX(0,J26+方案参数!$AB$3-配置与结果!$B$27))</f>
        <v>1</v>
      </c>
      <c r="AK26" s="1">
        <f>MAX(1,K26+IF(F26=2,0.15+方案参数!$CH$3,0)+BN26*方案参数!$X$3+R26*方案参数!$AA$3+0-配置与结果!$B$26+Z26*(方案参数!$AP$3+MIN(方案参数!$AQ$3,P26*0.03)))</f>
        <v>2.165</v>
      </c>
      <c r="AL26" s="7">
        <f>ROUNDDOWN(MAX(AD26*配置与结果!$B$31,AD26-AE26)*AF26*AG26*AH26*AI26,0)</f>
        <v>480132</v>
      </c>
      <c r="AM26" s="7">
        <f>ROUNDDOWN(MAX(AD26*配置与结果!$B$31,AD26-AE26)*AF26*AG26*AH26*AI26*AK26,0)</f>
        <v>1039485</v>
      </c>
      <c r="AN26" s="7">
        <f t="shared" si="0"/>
        <v>1039485</v>
      </c>
      <c r="AO26" s="7">
        <f>0</f>
        <v>0</v>
      </c>
      <c r="AP26" s="7">
        <f>MAX(0,1+INDEX(配置与结果!$J$15:$J$18,F26)+IF(T26&gt;0,方案参数!$BY$3,0)-配置与结果!$B$30)</f>
        <v>2</v>
      </c>
      <c r="AQ26" s="7">
        <f t="shared" si="1"/>
        <v>0</v>
      </c>
      <c r="AR26" s="7">
        <f t="shared" si="2"/>
        <v>0</v>
      </c>
      <c r="AS26" s="7">
        <f t="shared" si="3"/>
        <v>0</v>
      </c>
      <c r="AT26" s="7">
        <f>0</f>
        <v>0</v>
      </c>
      <c r="AU26" s="7">
        <f t="shared" si="4"/>
        <v>1039485</v>
      </c>
      <c r="AV26" s="1">
        <f t="shared" si="5"/>
        <v>2</v>
      </c>
      <c r="AW26" s="1">
        <f>MIN(10,M26+0+IF(L26=1,方案参数!$BE$3,0))</f>
        <v>10</v>
      </c>
      <c r="AX26" s="1">
        <f t="shared" si="6"/>
        <v>2</v>
      </c>
      <c r="AY26" s="1">
        <f>MIN(20,MAX(0,O26+0+0-0))</f>
        <v>0</v>
      </c>
      <c r="AZ26" s="1">
        <f t="shared" si="7"/>
        <v>5</v>
      </c>
      <c r="BA26" s="1">
        <f t="shared" si="46"/>
        <v>5</v>
      </c>
      <c r="BB26" s="1">
        <f t="shared" ref="BB26:BB41" si="55">MIN(30,R26+0)</f>
        <v>20</v>
      </c>
      <c r="BC26" s="1">
        <f t="shared" si="51"/>
        <v>3</v>
      </c>
      <c r="BD26" s="1">
        <f t="shared" si="32"/>
        <v>1</v>
      </c>
      <c r="BE26" s="1">
        <f t="shared" si="24"/>
        <v>0</v>
      </c>
      <c r="BF26" s="1">
        <f>MIN(4,V26+0)</f>
        <v>3</v>
      </c>
      <c r="BG26" s="1">
        <f t="shared" si="43"/>
        <v>1</v>
      </c>
      <c r="BH26" s="1">
        <f t="shared" si="25"/>
        <v>1</v>
      </c>
      <c r="BI26" s="1">
        <f t="shared" si="44"/>
        <v>1</v>
      </c>
      <c r="BJ26" s="1">
        <f t="shared" si="52"/>
        <v>1</v>
      </c>
      <c r="BK26" s="1">
        <f t="shared" si="53"/>
        <v>1</v>
      </c>
      <c r="BL26" s="1">
        <f t="shared" si="54"/>
        <v>1</v>
      </c>
      <c r="BM26" s="1">
        <f t="shared" si="50"/>
        <v>1</v>
      </c>
      <c r="BN26" s="1">
        <f t="shared" si="27"/>
        <v>1</v>
      </c>
      <c r="BO26" s="1">
        <f t="shared" si="28"/>
        <v>1</v>
      </c>
    </row>
    <row r="27" spans="1:67" ht="30.95" customHeight="1">
      <c r="A27" s="1">
        <f>0</f>
        <v>0</v>
      </c>
      <c r="B27" s="1">
        <f>固定流程!A27</f>
        <v>22</v>
      </c>
      <c r="C27" s="1">
        <f>3</f>
        <v>3</v>
      </c>
      <c r="D27" s="1">
        <f>1</f>
        <v>1</v>
      </c>
      <c r="E27" s="1">
        <f>固定流程!C27</f>
        <v>3</v>
      </c>
      <c r="F27" s="1">
        <f>固定流程!G27</f>
        <v>3</v>
      </c>
      <c r="G27" s="1" t="str">
        <f>固定流程!H27</f>
        <v>RHI_BERRY</v>
      </c>
      <c r="H27" s="1">
        <f>固定流程!F27</f>
        <v>1</v>
      </c>
      <c r="I27" s="1">
        <f>INDEX(配置与结果!$B$15:$B$18,F27)</f>
        <v>2597</v>
      </c>
      <c r="J27" s="1">
        <f>INDEX(配置与结果!$D$15:$D$18,F27)</f>
        <v>0.255</v>
      </c>
      <c r="K27" s="1">
        <f>INDEX(配置与结果!$E$15:$E$18,F27)</f>
        <v>1.55</v>
      </c>
      <c r="L27" s="1">
        <f t="shared" si="40"/>
        <v>2</v>
      </c>
      <c r="M27" s="1">
        <f t="shared" si="41"/>
        <v>10</v>
      </c>
      <c r="N27" s="1">
        <f t="shared" si="42"/>
        <v>2</v>
      </c>
      <c r="O27" s="1">
        <f t="shared" si="33"/>
        <v>0</v>
      </c>
      <c r="P27" s="1">
        <f>MIN(方案参数!$AI$3,AZ26+0+0)</f>
        <v>5</v>
      </c>
      <c r="Q27" s="1">
        <f t="shared" si="10"/>
        <v>5</v>
      </c>
      <c r="R27" s="1">
        <f t="shared" si="11"/>
        <v>20</v>
      </c>
      <c r="S27" s="1">
        <f t="shared" si="12"/>
        <v>3</v>
      </c>
      <c r="T27" s="1">
        <f t="shared" si="48"/>
        <v>1</v>
      </c>
      <c r="U27" s="1">
        <f t="shared" si="14"/>
        <v>0</v>
      </c>
      <c r="V27" s="1">
        <f t="shared" si="15"/>
        <v>3</v>
      </c>
      <c r="W27" s="1">
        <f t="shared" si="16"/>
        <v>1</v>
      </c>
      <c r="X27" s="1">
        <f t="shared" si="17"/>
        <v>1</v>
      </c>
      <c r="Y27" s="1">
        <f t="shared" si="18"/>
        <v>1</v>
      </c>
      <c r="Z27" s="1">
        <f t="shared" si="19"/>
        <v>1</v>
      </c>
      <c r="AA27" s="1">
        <f t="shared" si="45"/>
        <v>1</v>
      </c>
      <c r="AB27" s="1">
        <f t="shared" si="21"/>
        <v>1</v>
      </c>
      <c r="AC27" s="1">
        <f t="shared" si="49"/>
        <v>1</v>
      </c>
      <c r="AD27" s="1">
        <f>ROUNDDOWN(I27*(1+IF(F27=3,0.05+方案参数!$Y$3+AA27*0.12,IF(F27=4,方案参数!$BZ$3*方案参数!$AS$3,0)))+IF(AND(X27=1,F27&lt;&gt;3),方案参数!$CC$3,0)+AC27*方案参数!$CB$3,0)</f>
        <v>3798</v>
      </c>
      <c r="AE27" s="1">
        <f>IF(OR(F27=1,F27=4),配置与结果!$B$24,配置与结果!$B$25)*MAX(0,1-INDEX(配置与结果!$I$15:$I$18,F27))</f>
        <v>1000</v>
      </c>
      <c r="AF27" s="1">
        <f>方案参数!$CF$3+P27*方案参数!$CG$3</f>
        <v>22.5</v>
      </c>
      <c r="AG27" s="1">
        <f>MAX(配置与结果!$B$32,1+INDEX(配置与结果!$F$15:$F$18,F27)+0+Q27*方案参数!$W$3+Y27*(方案参数!$AN$3+MIN(方案参数!$AO$3,P27*0.03))+AB27*方案参数!$BZ$3*0.025-配置与结果!$B$28)</f>
        <v>1.9100000000000001</v>
      </c>
      <c r="AH27" s="1">
        <f>MAX(0,1+INDEX(配置与结果!$G$15:$G$18,F27)+W27*方案参数!$AG$3)</f>
        <v>1.3</v>
      </c>
      <c r="AI27" s="1">
        <f>IF(OR(INDEX(配置与结果!$K$15:$K$18,F27)=1,G27="RHI_BERRY"),1+配置与结果!$B$33+P27*方案参数!$AH$3,1)</f>
        <v>1.5</v>
      </c>
      <c r="AJ27" s="1">
        <f>MIN(1,MAX(0,J27+方案参数!$AB$3-配置与结果!$B$27))</f>
        <v>0.55499999999999994</v>
      </c>
      <c r="AK27" s="1">
        <f>MAX(1,K27+IF(F27=2,0.15+方案参数!$CH$3,0)+BN27*方案参数!$X$3+R27*方案参数!$AA$3+0-配置与结果!$B$26+Z27*(方案参数!$AP$3+MIN(方案参数!$AQ$3,P27*0.03)))</f>
        <v>1.6900000000000002</v>
      </c>
      <c r="AL27" s="7">
        <f>ROUNDDOWN(MAX(AD27*配置与结果!$B$31,AD27-AE27)*AF27*AG27*AH27*AI27,0)</f>
        <v>234475</v>
      </c>
      <c r="AM27" s="7">
        <f>ROUNDDOWN(MAX(AD27*配置与结果!$B$31,AD27-AE27)*AF27*AG27*AH27*AI27*AK27,0)</f>
        <v>396264</v>
      </c>
      <c r="AN27" s="7">
        <f t="shared" si="0"/>
        <v>324267.89500000002</v>
      </c>
      <c r="AO27" s="7">
        <f>0</f>
        <v>0</v>
      </c>
      <c r="AP27" s="7">
        <f>MAX(0,1+INDEX(配置与结果!$J$15:$J$18,F27)+IF(T27&gt;0,方案参数!$BY$3,0)-配置与结果!$B$30)</f>
        <v>2</v>
      </c>
      <c r="AQ27" s="7">
        <f t="shared" si="1"/>
        <v>0</v>
      </c>
      <c r="AR27" s="7">
        <f t="shared" si="2"/>
        <v>0</v>
      </c>
      <c r="AS27" s="7">
        <f t="shared" si="3"/>
        <v>0</v>
      </c>
      <c r="AT27" s="7">
        <f>0</f>
        <v>0</v>
      </c>
      <c r="AU27" s="7">
        <f t="shared" si="4"/>
        <v>324267.89500000002</v>
      </c>
      <c r="AV27" s="1">
        <f t="shared" si="5"/>
        <v>2</v>
      </c>
      <c r="AW27" s="1">
        <f t="shared" ref="AW27:AW43" si="56">MIN(10,M27+0+0)</f>
        <v>10</v>
      </c>
      <c r="AX27" s="1">
        <f t="shared" si="6"/>
        <v>2</v>
      </c>
      <c r="AY27" s="1">
        <f>MIN(20,MAX(0,O27+0+0-0))</f>
        <v>0</v>
      </c>
      <c r="AZ27" s="1">
        <f t="shared" si="7"/>
        <v>5</v>
      </c>
      <c r="BA27" s="1">
        <f t="shared" si="46"/>
        <v>5</v>
      </c>
      <c r="BB27" s="1">
        <f t="shared" si="55"/>
        <v>20</v>
      </c>
      <c r="BC27" s="1">
        <f t="shared" si="51"/>
        <v>3</v>
      </c>
      <c r="BD27" s="1">
        <f t="shared" si="32"/>
        <v>1</v>
      </c>
      <c r="BE27" s="1">
        <f t="shared" si="24"/>
        <v>0</v>
      </c>
      <c r="BF27" s="1">
        <f>MIN(4,V27+0)</f>
        <v>3</v>
      </c>
      <c r="BG27" s="1">
        <f t="shared" si="43"/>
        <v>1</v>
      </c>
      <c r="BH27" s="1">
        <f t="shared" si="25"/>
        <v>1</v>
      </c>
      <c r="BI27" s="1">
        <f t="shared" si="44"/>
        <v>1</v>
      </c>
      <c r="BJ27" s="1">
        <f t="shared" si="52"/>
        <v>1</v>
      </c>
      <c r="BK27" s="1">
        <f t="shared" si="53"/>
        <v>1</v>
      </c>
      <c r="BL27" s="1">
        <f t="shared" si="54"/>
        <v>1</v>
      </c>
      <c r="BM27" s="1">
        <f t="shared" si="50"/>
        <v>1</v>
      </c>
      <c r="BN27" s="1">
        <f t="shared" si="27"/>
        <v>1</v>
      </c>
      <c r="BO27" s="1">
        <f t="shared" si="28"/>
        <v>1</v>
      </c>
    </row>
    <row r="28" spans="1:67" ht="30.95" customHeight="1">
      <c r="A28" s="1">
        <f>0</f>
        <v>0</v>
      </c>
      <c r="B28" s="1">
        <f>固定流程!A28</f>
        <v>23</v>
      </c>
      <c r="C28" s="1">
        <f>3</f>
        <v>3</v>
      </c>
      <c r="D28" s="1">
        <f>1</f>
        <v>1</v>
      </c>
      <c r="E28" s="1">
        <f>固定流程!C28</f>
        <v>3</v>
      </c>
      <c r="F28" s="1">
        <f>固定流程!G28</f>
        <v>2</v>
      </c>
      <c r="G28" s="1" t="str">
        <f>固定流程!H28</f>
        <v>37_FOLLOW</v>
      </c>
      <c r="H28" s="1">
        <f>固定流程!F28</f>
        <v>1</v>
      </c>
      <c r="I28" s="1">
        <f>INDEX(配置与结果!$B$15:$B$18,F28)</f>
        <v>2306</v>
      </c>
      <c r="J28" s="1">
        <f>INDEX(配置与结果!$D$15:$D$18,F28)</f>
        <v>0.46</v>
      </c>
      <c r="K28" s="1">
        <f>INDEX(配置与结果!$E$15:$E$18,F28)</f>
        <v>1.9279999999999999</v>
      </c>
      <c r="L28" s="1">
        <f t="shared" si="40"/>
        <v>2</v>
      </c>
      <c r="M28" s="1">
        <f t="shared" si="41"/>
        <v>10</v>
      </c>
      <c r="N28" s="1">
        <f t="shared" si="42"/>
        <v>2</v>
      </c>
      <c r="O28" s="1">
        <f t="shared" si="33"/>
        <v>0</v>
      </c>
      <c r="P28" s="1">
        <f>MIN(方案参数!$AI$3,AZ27+0+0)</f>
        <v>5</v>
      </c>
      <c r="Q28" s="1">
        <f t="shared" si="10"/>
        <v>5</v>
      </c>
      <c r="R28" s="1">
        <f t="shared" si="11"/>
        <v>20</v>
      </c>
      <c r="S28" s="1">
        <f t="shared" si="12"/>
        <v>3</v>
      </c>
      <c r="T28" s="1">
        <f t="shared" si="48"/>
        <v>1</v>
      </c>
      <c r="U28" s="1">
        <f t="shared" si="14"/>
        <v>0</v>
      </c>
      <c r="V28" s="1">
        <f t="shared" si="15"/>
        <v>3</v>
      </c>
      <c r="W28" s="1">
        <f t="shared" si="16"/>
        <v>1</v>
      </c>
      <c r="X28" s="1">
        <f t="shared" si="17"/>
        <v>1</v>
      </c>
      <c r="Y28" s="1">
        <f t="shared" si="18"/>
        <v>1</v>
      </c>
      <c r="Z28" s="1">
        <f t="shared" si="19"/>
        <v>1</v>
      </c>
      <c r="AA28" s="1">
        <f t="shared" si="45"/>
        <v>1</v>
      </c>
      <c r="AB28" s="1">
        <f t="shared" si="21"/>
        <v>1</v>
      </c>
      <c r="AC28" s="1">
        <f t="shared" si="49"/>
        <v>1</v>
      </c>
      <c r="AD28" s="1">
        <f>ROUNDDOWN(I28*(1+IF(F28=3,0.05+方案参数!$Y$3+AA28*0.12,IF(F28=4,方案参数!$BZ$3*方案参数!$AS$3,0)))+IF(AND(X28=1,F28&lt;&gt;3),方案参数!$CC$3,0)+AC28*方案参数!$CB$3,0)</f>
        <v>3044</v>
      </c>
      <c r="AE28" s="1">
        <f>IF(OR(F28=1,F28=4),配置与结果!$B$24,配置与结果!$B$25)*MAX(0,1-INDEX(配置与结果!$I$15:$I$18,F28))</f>
        <v>1000</v>
      </c>
      <c r="AF28" s="1">
        <f>方案参数!$BV$3</f>
        <v>3</v>
      </c>
      <c r="AG28" s="1">
        <f>MAX(配置与结果!$B$32,1+INDEX(配置与结果!$F$15:$F$18,F28)+0+Q28*方案参数!$W$3+Y28*(方案参数!$AN$3+MIN(方案参数!$AO$3,P28*0.03))+AB28*方案参数!$BZ$3*0.025-配置与结果!$B$28)</f>
        <v>1.8800000000000003</v>
      </c>
      <c r="AH28" s="1">
        <f>MAX(0,1+INDEX(配置与结果!$G$15:$G$18,F28)+W28*方案参数!$AG$3)</f>
        <v>1.3</v>
      </c>
      <c r="AI28" s="1">
        <f>IF(OR(INDEX(配置与结果!$K$15:$K$18,F28)=1,G28="RHI_BERRY"),1+配置与结果!$B$33+P28*方案参数!$AH$3,1)</f>
        <v>1</v>
      </c>
      <c r="AJ28" s="1">
        <f>MIN(1,MAX(0,J28+方案参数!$AB$3-配置与结果!$B$27))</f>
        <v>0.76</v>
      </c>
      <c r="AK28" s="1">
        <f>MAX(1,K28+IF(F28=2,0.15+方案参数!$CH$3,0)+BN28*方案参数!$X$3+R28*方案参数!$AA$3+0-配置与结果!$B$26+Z28*(方案参数!$AP$3+MIN(方案参数!$AQ$3,P28*0.03)))</f>
        <v>2.3380000000000001</v>
      </c>
      <c r="AL28" s="7">
        <f>ROUNDDOWN(MAX(AD28*配置与结果!$B$31,AD28-AE28)*AF28*AG28*AH28*AI28,0)</f>
        <v>14986</v>
      </c>
      <c r="AM28" s="7">
        <f>ROUNDDOWN(MAX(AD28*配置与结果!$B$31,AD28-AE28)*AF28*AG28*AH28*AI28*AK28,0)</f>
        <v>35038</v>
      </c>
      <c r="AN28" s="7">
        <f t="shared" si="0"/>
        <v>30225.52</v>
      </c>
      <c r="AO28" s="7">
        <f>方案参数!$BW$3</f>
        <v>1</v>
      </c>
      <c r="AP28" s="7">
        <f>MAX(0,1+INDEX(配置与结果!$J$15:$J$18,F28)+IF(T28&gt;0,方案参数!$BY$3,0)-配置与结果!$B$30)</f>
        <v>2</v>
      </c>
      <c r="AQ28" s="7">
        <f t="shared" si="1"/>
        <v>6088</v>
      </c>
      <c r="AR28" s="7">
        <f t="shared" si="2"/>
        <v>14233</v>
      </c>
      <c r="AS28" s="7">
        <f t="shared" si="3"/>
        <v>12278.2</v>
      </c>
      <c r="AT28" s="7">
        <f>0</f>
        <v>0</v>
      </c>
      <c r="AU28" s="7">
        <f t="shared" si="4"/>
        <v>42503.72</v>
      </c>
      <c r="AV28" s="1">
        <f t="shared" si="5"/>
        <v>2</v>
      </c>
      <c r="AW28" s="1">
        <f t="shared" si="56"/>
        <v>10</v>
      </c>
      <c r="AX28" s="1">
        <f t="shared" si="6"/>
        <v>2</v>
      </c>
      <c r="AY28" s="1">
        <f>MIN(20,MAX(0,O28+0+0-0))</f>
        <v>0</v>
      </c>
      <c r="AZ28" s="1">
        <f t="shared" si="7"/>
        <v>5</v>
      </c>
      <c r="BA28" s="1">
        <f t="shared" si="46"/>
        <v>5</v>
      </c>
      <c r="BB28" s="1">
        <f t="shared" si="55"/>
        <v>20</v>
      </c>
      <c r="BC28" s="1">
        <f t="shared" si="51"/>
        <v>3</v>
      </c>
      <c r="BD28" s="1">
        <f t="shared" si="32"/>
        <v>0</v>
      </c>
      <c r="BE28" s="1">
        <f t="shared" si="24"/>
        <v>0</v>
      </c>
      <c r="BF28" s="1">
        <f>MIN(4,V28+1)</f>
        <v>4</v>
      </c>
      <c r="BG28" s="1">
        <f t="shared" si="43"/>
        <v>1</v>
      </c>
      <c r="BH28" s="1">
        <f t="shared" si="25"/>
        <v>1</v>
      </c>
      <c r="BI28" s="1">
        <f t="shared" si="44"/>
        <v>1</v>
      </c>
      <c r="BJ28" s="1">
        <f t="shared" si="52"/>
        <v>1</v>
      </c>
      <c r="BK28" s="1">
        <f t="shared" si="53"/>
        <v>1</v>
      </c>
      <c r="BL28" s="1">
        <f t="shared" si="54"/>
        <v>1</v>
      </c>
      <c r="BM28" s="1">
        <f t="shared" si="50"/>
        <v>1</v>
      </c>
      <c r="BN28" s="1">
        <f t="shared" si="27"/>
        <v>1</v>
      </c>
      <c r="BO28" s="1">
        <f t="shared" si="28"/>
        <v>1</v>
      </c>
    </row>
    <row r="29" spans="1:67" ht="30.95" customHeight="1">
      <c r="A29" s="1">
        <f>0</f>
        <v>0</v>
      </c>
      <c r="B29" s="1">
        <f>固定流程!A29</f>
        <v>24</v>
      </c>
      <c r="C29" s="1">
        <f>3</f>
        <v>3</v>
      </c>
      <c r="D29" s="1">
        <f>2</f>
        <v>2</v>
      </c>
      <c r="E29" s="1">
        <f>固定流程!C29</f>
        <v>3</v>
      </c>
      <c r="F29" s="1">
        <f>固定流程!G29</f>
        <v>1</v>
      </c>
      <c r="G29" s="1" t="str">
        <f>固定流程!H29</f>
        <v>LILYA_WEAK</v>
      </c>
      <c r="H29" s="1">
        <f>固定流程!F29</f>
        <v>1</v>
      </c>
      <c r="I29" s="1">
        <f>INDEX(配置与结果!$B$15:$B$18,F29)</f>
        <v>2296</v>
      </c>
      <c r="J29" s="1">
        <f>INDEX(配置与结果!$D$15:$D$18,F29)</f>
        <v>0.7</v>
      </c>
      <c r="K29" s="1">
        <f>INDEX(配置与结果!$E$15:$E$18,F29)</f>
        <v>2.0249999999999999</v>
      </c>
      <c r="L29" s="1">
        <f t="shared" si="40"/>
        <v>2</v>
      </c>
      <c r="M29" s="1">
        <f t="shared" si="41"/>
        <v>10</v>
      </c>
      <c r="N29" s="1">
        <f t="shared" si="42"/>
        <v>2</v>
      </c>
      <c r="O29" s="1">
        <f t="shared" si="33"/>
        <v>0</v>
      </c>
      <c r="P29" s="1">
        <f>MIN(方案参数!$AI$3,AZ28+0+0)</f>
        <v>5</v>
      </c>
      <c r="Q29" s="1">
        <f t="shared" si="10"/>
        <v>5</v>
      </c>
      <c r="R29" s="1">
        <f t="shared" si="11"/>
        <v>20</v>
      </c>
      <c r="S29" s="1">
        <f t="shared" si="12"/>
        <v>3</v>
      </c>
      <c r="T29" s="1">
        <f t="shared" si="48"/>
        <v>0</v>
      </c>
      <c r="U29" s="1">
        <f t="shared" si="14"/>
        <v>0</v>
      </c>
      <c r="V29" s="1">
        <f t="shared" si="15"/>
        <v>4</v>
      </c>
      <c r="W29" s="1">
        <f t="shared" si="16"/>
        <v>1</v>
      </c>
      <c r="X29" s="1">
        <f t="shared" si="17"/>
        <v>1</v>
      </c>
      <c r="Y29" s="1">
        <f t="shared" si="18"/>
        <v>1</v>
      </c>
      <c r="Z29" s="1">
        <f t="shared" si="19"/>
        <v>1</v>
      </c>
      <c r="AA29" s="1">
        <f t="shared" si="45"/>
        <v>1</v>
      </c>
      <c r="AB29" s="1">
        <f t="shared" si="21"/>
        <v>1</v>
      </c>
      <c r="AC29" s="1">
        <f t="shared" si="49"/>
        <v>1</v>
      </c>
      <c r="AD29" s="1">
        <f>ROUNDDOWN(I29*(1+IF(F29=3,0.05+方案参数!$Y$3+AA29*0.12,IF(F29=4,方案参数!$BZ$3*方案参数!$AS$3,0)))+IF(AND(X29=1,F29&lt;&gt;3),方案参数!$CC$3,0)+AC29*方案参数!$CB$3,0)</f>
        <v>3034</v>
      </c>
      <c r="AE29" s="1">
        <f>IF(OR(F29=1,F29=4),配置与结果!$B$24,配置与结果!$B$25)*MAX(0,1-INDEX(配置与结果!$I$15:$I$18,F29))</f>
        <v>1200</v>
      </c>
      <c r="AF29" s="1">
        <f>方案参数!$BL$3</f>
        <v>9</v>
      </c>
      <c r="AG29" s="1">
        <f>MAX(配置与结果!$B$32,1+INDEX(配置与结果!$F$15:$F$18,F29)+0.08+方案参数!$CD$3+Q29*方案参数!$W$3+Y29*(方案参数!$AN$3+MIN(方案参数!$AO$3,P29*0.03))+AB29*方案参数!$BZ$3*0.025-配置与结果!$B$28+方案参数!$AE$3)</f>
        <v>2.6150000000000002</v>
      </c>
      <c r="AH29" s="1">
        <f>MAX(0,1+V29*方案参数!$U$3+0*方案参数!$V$3+方案参数!$AE$3-配置与结果!$B$29)</f>
        <v>1.56</v>
      </c>
      <c r="AI29" s="1">
        <f>IF(OR(INDEX(配置与结果!$K$15:$K$18,F29)=1,G29="RHI_BERRY"),1+配置与结果!$B$33+P29*方案参数!$AH$3,1)</f>
        <v>1</v>
      </c>
      <c r="AJ29" s="1">
        <f>MIN(1,MAX(0,J29+方案参数!$AB$3-配置与结果!$B$27))</f>
        <v>1</v>
      </c>
      <c r="AK29" s="1">
        <f>MAX(1,K29+IF(F29=2,0.15+方案参数!$CH$3,0)+BN29*方案参数!$X$3+R29*方案参数!$AA$3+方案参数!$BP$3-配置与结果!$B$26+Z29*(方案参数!$AP$3+MIN(方案参数!$AQ$3,P29*0.03)))</f>
        <v>2.7650000000000001</v>
      </c>
      <c r="AL29" s="7">
        <f>ROUNDDOWN(MAX(AD29*配置与结果!$B$31,AD29-AE29)*AF29*AG29*AH29*AI29,0)</f>
        <v>67334</v>
      </c>
      <c r="AM29" s="7">
        <f>ROUNDDOWN(MAX(AD29*配置与结果!$B$31,AD29-AE29)*AF29*AG29*AH29*AI29*AK29,0)</f>
        <v>186180</v>
      </c>
      <c r="AN29" s="7">
        <f t="shared" si="0"/>
        <v>186180</v>
      </c>
      <c r="AO29" s="7">
        <f>0</f>
        <v>0</v>
      </c>
      <c r="AP29" s="7">
        <f>MAX(0,1+INDEX(配置与结果!$J$15:$J$18,F29)+IF(T29&gt;0,方案参数!$BY$3,0)-配置与结果!$B$30)</f>
        <v>1</v>
      </c>
      <c r="AQ29" s="7">
        <f t="shared" si="1"/>
        <v>0</v>
      </c>
      <c r="AR29" s="7">
        <f t="shared" si="2"/>
        <v>0</v>
      </c>
      <c r="AS29" s="7">
        <f t="shared" si="3"/>
        <v>0</v>
      </c>
      <c r="AT29" s="7">
        <f>IF(U29&gt;0,ROUNDDOWN(AL29*方案参数!$AF$3,0)*(1-AJ29)+ROUNDDOWN(AM29*方案参数!$AF$3,0)*AJ29,0)</f>
        <v>0</v>
      </c>
      <c r="AU29" s="7">
        <f t="shared" si="4"/>
        <v>186180</v>
      </c>
      <c r="AV29" s="1">
        <f t="shared" si="5"/>
        <v>2</v>
      </c>
      <c r="AW29" s="1">
        <f t="shared" si="56"/>
        <v>10</v>
      </c>
      <c r="AX29" s="1">
        <f t="shared" si="6"/>
        <v>2</v>
      </c>
      <c r="AY29" s="1">
        <f>MIN(20,MAX(0,O29+0+1-0))</f>
        <v>1</v>
      </c>
      <c r="AZ29" s="1">
        <f t="shared" si="7"/>
        <v>5</v>
      </c>
      <c r="BA29" s="1">
        <f t="shared" si="46"/>
        <v>5</v>
      </c>
      <c r="BB29" s="1">
        <f t="shared" si="55"/>
        <v>20</v>
      </c>
      <c r="BC29" s="1">
        <f t="shared" si="51"/>
        <v>3</v>
      </c>
      <c r="BD29" s="1">
        <f t="shared" si="32"/>
        <v>0</v>
      </c>
      <c r="BE29" s="1">
        <f>MAX(0,U29-IF(AF29&gt;0,1,0))+0</f>
        <v>0</v>
      </c>
      <c r="BF29" s="1">
        <f t="shared" ref="BF29:BF46" si="57">MIN(4,V29+0)</f>
        <v>4</v>
      </c>
      <c r="BG29" s="1">
        <f t="shared" si="43"/>
        <v>1</v>
      </c>
      <c r="BH29" s="1">
        <f t="shared" si="25"/>
        <v>1</v>
      </c>
      <c r="BI29" s="1">
        <f t="shared" si="44"/>
        <v>1</v>
      </c>
      <c r="BJ29" s="1">
        <f t="shared" si="52"/>
        <v>1</v>
      </c>
      <c r="BK29" s="1">
        <f t="shared" si="53"/>
        <v>1</v>
      </c>
      <c r="BL29" s="1">
        <f t="shared" si="54"/>
        <v>1</v>
      </c>
      <c r="BM29" s="1">
        <f t="shared" si="50"/>
        <v>1</v>
      </c>
      <c r="BN29" s="1">
        <f t="shared" si="27"/>
        <v>1</v>
      </c>
      <c r="BO29" s="1">
        <f t="shared" si="28"/>
        <v>1</v>
      </c>
    </row>
    <row r="30" spans="1:67" ht="30.95" customHeight="1">
      <c r="A30" s="1">
        <f>0</f>
        <v>0</v>
      </c>
      <c r="B30" s="1">
        <f>固定流程!A30</f>
        <v>25</v>
      </c>
      <c r="C30" s="1">
        <f>3</f>
        <v>3</v>
      </c>
      <c r="D30" s="1">
        <f>2</f>
        <v>2</v>
      </c>
      <c r="E30" s="1">
        <f>固定流程!C30</f>
        <v>3</v>
      </c>
      <c r="F30" s="1">
        <f>固定流程!G30</f>
        <v>1</v>
      </c>
      <c r="G30" s="1" t="str">
        <f>固定流程!H30</f>
        <v>LILYA_WEAK</v>
      </c>
      <c r="H30" s="1">
        <f>固定流程!F30</f>
        <v>1</v>
      </c>
      <c r="I30" s="1">
        <f>INDEX(配置与结果!$B$15:$B$18,F30)</f>
        <v>2296</v>
      </c>
      <c r="J30" s="1">
        <f>INDEX(配置与结果!$D$15:$D$18,F30)</f>
        <v>0.7</v>
      </c>
      <c r="K30" s="1">
        <f>INDEX(配置与结果!$E$15:$E$18,F30)</f>
        <v>2.0249999999999999</v>
      </c>
      <c r="L30" s="1">
        <f t="shared" si="40"/>
        <v>2</v>
      </c>
      <c r="M30" s="1">
        <f t="shared" si="41"/>
        <v>10</v>
      </c>
      <c r="N30" s="1">
        <f t="shared" si="42"/>
        <v>2</v>
      </c>
      <c r="O30" s="1">
        <f t="shared" si="33"/>
        <v>1</v>
      </c>
      <c r="P30" s="1">
        <f>MIN(方案参数!$AI$3,AZ29+0+0)</f>
        <v>5</v>
      </c>
      <c r="Q30" s="1">
        <f t="shared" si="10"/>
        <v>5</v>
      </c>
      <c r="R30" s="1">
        <f t="shared" si="11"/>
        <v>20</v>
      </c>
      <c r="S30" s="1">
        <f t="shared" si="12"/>
        <v>3</v>
      </c>
      <c r="T30" s="1">
        <f t="shared" si="48"/>
        <v>0</v>
      </c>
      <c r="U30" s="1">
        <f t="shared" si="14"/>
        <v>0</v>
      </c>
      <c r="V30" s="1">
        <f t="shared" si="15"/>
        <v>4</v>
      </c>
      <c r="W30" s="1">
        <f t="shared" si="16"/>
        <v>1</v>
      </c>
      <c r="X30" s="1">
        <f t="shared" si="17"/>
        <v>1</v>
      </c>
      <c r="Y30" s="1">
        <f t="shared" si="18"/>
        <v>1</v>
      </c>
      <c r="Z30" s="1">
        <f t="shared" si="19"/>
        <v>1</v>
      </c>
      <c r="AA30" s="1">
        <f t="shared" si="45"/>
        <v>1</v>
      </c>
      <c r="AB30" s="1">
        <f t="shared" si="21"/>
        <v>1</v>
      </c>
      <c r="AC30" s="1">
        <f t="shared" si="49"/>
        <v>1</v>
      </c>
      <c r="AD30" s="1">
        <f>ROUNDDOWN(I30*(1+IF(F30=3,0.05+方案参数!$Y$3+AA30*0.12,IF(F30=4,方案参数!$BZ$3*方案参数!$AS$3,0)))+IF(AND(X30=1,F30&lt;&gt;3),方案参数!$CC$3,0)+AC30*方案参数!$CB$3,0)</f>
        <v>3034</v>
      </c>
      <c r="AE30" s="1">
        <f>IF(OR(F30=1,F30=4),配置与结果!$B$24,配置与结果!$B$25)*MAX(0,1-INDEX(配置与结果!$I$15:$I$18,F30))</f>
        <v>1200</v>
      </c>
      <c r="AF30" s="1">
        <f>方案参数!$BL$3</f>
        <v>9</v>
      </c>
      <c r="AG30" s="1">
        <f>MAX(配置与结果!$B$32,1+INDEX(配置与结果!$F$15:$F$18,F30)+0.08+方案参数!$CD$3+Q30*方案参数!$W$3+Y30*(方案参数!$AN$3+MIN(方案参数!$AO$3,P30*0.03))+AB30*方案参数!$BZ$3*0.025-配置与结果!$B$28+方案参数!$AE$3)</f>
        <v>2.6150000000000002</v>
      </c>
      <c r="AH30" s="1">
        <f>MAX(0,1+V30*方案参数!$U$3+1*方案参数!$V$3+方案参数!$AE$3-配置与结果!$B$29)</f>
        <v>1.62</v>
      </c>
      <c r="AI30" s="1">
        <f>IF(OR(INDEX(配置与结果!$K$15:$K$18,F30)=1,G30="RHI_BERRY"),1+配置与结果!$B$33+P30*方案参数!$AH$3,1)</f>
        <v>1</v>
      </c>
      <c r="AJ30" s="1">
        <f>MIN(1,MAX(0,J30+方案参数!$AB$3-配置与结果!$B$27))</f>
        <v>1</v>
      </c>
      <c r="AK30" s="1">
        <f>MAX(1,K30+IF(F30=2,0.15+方案参数!$CH$3,0)+BN30*方案参数!$X$3+R30*方案参数!$AA$3+方案参数!$BP$3-配置与结果!$B$26+Z30*(方案参数!$AP$3+MIN(方案参数!$AQ$3,P30*0.03)))</f>
        <v>2.7650000000000001</v>
      </c>
      <c r="AL30" s="7">
        <f>ROUNDDOWN(MAX(AD30*配置与结果!$B$31,AD30-AE30)*AF30*AG30*AH30*AI30,0)</f>
        <v>69924</v>
      </c>
      <c r="AM30" s="7">
        <f>ROUNDDOWN(MAX(AD30*配置与结果!$B$31,AD30-AE30)*AF30*AG30*AH30*AI30*AK30,0)</f>
        <v>193340</v>
      </c>
      <c r="AN30" s="7">
        <f t="shared" si="0"/>
        <v>193340</v>
      </c>
      <c r="AO30" s="7">
        <f>0</f>
        <v>0</v>
      </c>
      <c r="AP30" s="7">
        <f>MAX(0,1+INDEX(配置与结果!$J$15:$J$18,F30)+IF(T30&gt;0,方案参数!$BY$3,0)-配置与结果!$B$30)</f>
        <v>1</v>
      </c>
      <c r="AQ30" s="7">
        <f t="shared" si="1"/>
        <v>0</v>
      </c>
      <c r="AR30" s="7">
        <f t="shared" si="2"/>
        <v>0</v>
      </c>
      <c r="AS30" s="7">
        <f t="shared" si="3"/>
        <v>0</v>
      </c>
      <c r="AT30" s="7">
        <f>IF(U30&gt;0,ROUNDDOWN(AL30*方案参数!$AF$3,0)*(1-AJ30)+ROUNDDOWN(AM30*方案参数!$AF$3,0)*AJ30,0)</f>
        <v>0</v>
      </c>
      <c r="AU30" s="7">
        <f t="shared" si="4"/>
        <v>193340</v>
      </c>
      <c r="AV30" s="1">
        <f t="shared" si="5"/>
        <v>2</v>
      </c>
      <c r="AW30" s="1">
        <f t="shared" si="56"/>
        <v>10</v>
      </c>
      <c r="AX30" s="1">
        <f t="shared" si="6"/>
        <v>2</v>
      </c>
      <c r="AY30" s="1">
        <f>MIN(20,MAX(0,O30+0+1-0))</f>
        <v>2</v>
      </c>
      <c r="AZ30" s="1">
        <f t="shared" si="7"/>
        <v>5</v>
      </c>
      <c r="BA30" s="1">
        <f t="shared" si="46"/>
        <v>5</v>
      </c>
      <c r="BB30" s="1">
        <f t="shared" si="55"/>
        <v>20</v>
      </c>
      <c r="BC30" s="1">
        <f t="shared" si="51"/>
        <v>3</v>
      </c>
      <c r="BD30" s="1">
        <f t="shared" si="32"/>
        <v>0</v>
      </c>
      <c r="BE30" s="1">
        <f>MAX(0,U30-IF(AF30&gt;0,1,0))+0</f>
        <v>0</v>
      </c>
      <c r="BF30" s="1">
        <f t="shared" si="57"/>
        <v>4</v>
      </c>
      <c r="BG30" s="1">
        <f t="shared" si="43"/>
        <v>1</v>
      </c>
      <c r="BH30" s="1">
        <f t="shared" si="25"/>
        <v>1</v>
      </c>
      <c r="BI30" s="1">
        <f t="shared" si="44"/>
        <v>1</v>
      </c>
      <c r="BJ30" s="1">
        <f t="shared" si="52"/>
        <v>1</v>
      </c>
      <c r="BK30" s="1">
        <f t="shared" si="53"/>
        <v>1</v>
      </c>
      <c r="BL30" s="1">
        <f t="shared" si="54"/>
        <v>1</v>
      </c>
      <c r="BM30" s="1">
        <f t="shared" si="50"/>
        <v>1</v>
      </c>
      <c r="BN30" s="1">
        <f t="shared" si="27"/>
        <v>1</v>
      </c>
      <c r="BO30" s="1">
        <f t="shared" si="28"/>
        <v>1</v>
      </c>
    </row>
    <row r="31" spans="1:67" ht="30.95" customHeight="1">
      <c r="A31" s="1">
        <f>0</f>
        <v>0</v>
      </c>
      <c r="B31" s="1">
        <f>固定流程!A31</f>
        <v>26</v>
      </c>
      <c r="C31" s="1">
        <f>3</f>
        <v>3</v>
      </c>
      <c r="D31" s="1">
        <f>2</f>
        <v>2</v>
      </c>
      <c r="E31" s="1">
        <f>固定流程!C31</f>
        <v>3</v>
      </c>
      <c r="F31" s="1">
        <f>固定流程!G31</f>
        <v>2</v>
      </c>
      <c r="G31" s="1" t="str">
        <f>固定流程!H31</f>
        <v>37_WEAK</v>
      </c>
      <c r="H31" s="1">
        <f>固定流程!F31</f>
        <v>1</v>
      </c>
      <c r="I31" s="1">
        <f>INDEX(配置与结果!$B$15:$B$18,F31)</f>
        <v>2306</v>
      </c>
      <c r="J31" s="1">
        <f>INDEX(配置与结果!$D$15:$D$18,F31)</f>
        <v>0.46</v>
      </c>
      <c r="K31" s="1">
        <f>INDEX(配置与结果!$E$15:$E$18,F31)</f>
        <v>1.9279999999999999</v>
      </c>
      <c r="L31" s="1">
        <f t="shared" si="40"/>
        <v>2</v>
      </c>
      <c r="M31" s="1">
        <f t="shared" si="41"/>
        <v>10</v>
      </c>
      <c r="N31" s="1">
        <f t="shared" si="42"/>
        <v>2</v>
      </c>
      <c r="O31" s="1">
        <f t="shared" si="33"/>
        <v>2</v>
      </c>
      <c r="P31" s="1">
        <f>MIN(方案参数!$AI$3,AZ30+0+0)</f>
        <v>5</v>
      </c>
      <c r="Q31" s="1">
        <f t="shared" si="10"/>
        <v>5</v>
      </c>
      <c r="R31" s="1">
        <f t="shared" si="11"/>
        <v>20</v>
      </c>
      <c r="S31" s="1">
        <f t="shared" si="12"/>
        <v>3</v>
      </c>
      <c r="T31" s="1">
        <f t="shared" si="48"/>
        <v>0</v>
      </c>
      <c r="U31" s="1">
        <f t="shared" si="14"/>
        <v>0</v>
      </c>
      <c r="V31" s="1">
        <f t="shared" si="15"/>
        <v>4</v>
      </c>
      <c r="W31" s="1">
        <f t="shared" si="16"/>
        <v>1</v>
      </c>
      <c r="X31" s="1">
        <f t="shared" si="17"/>
        <v>1</v>
      </c>
      <c r="Y31" s="1">
        <f t="shared" si="18"/>
        <v>1</v>
      </c>
      <c r="Z31" s="1">
        <f t="shared" si="19"/>
        <v>1</v>
      </c>
      <c r="AA31" s="1">
        <f t="shared" si="45"/>
        <v>1</v>
      </c>
      <c r="AB31" s="1">
        <f t="shared" si="21"/>
        <v>1</v>
      </c>
      <c r="AC31" s="1">
        <f t="shared" si="49"/>
        <v>1</v>
      </c>
      <c r="AD31" s="1">
        <f>ROUNDDOWN(I31*(1+IF(F31=3,0.05+方案参数!$Y$3+AA31*0.12,IF(F31=4,方案参数!$BZ$3*方案参数!$AS$3,0)))+IF(AND(X31=1,F31&lt;&gt;3),方案参数!$CC$3,0)+AC31*方案参数!$CB$3,0)</f>
        <v>3044</v>
      </c>
      <c r="AE31" s="1">
        <f>IF(OR(F31=1,F31=4),配置与结果!$B$24,配置与结果!$B$25)*MAX(0,1-INDEX(配置与结果!$I$15:$I$18,F31))</f>
        <v>1000</v>
      </c>
      <c r="AF31" s="1">
        <f>方案参数!$CE$3</f>
        <v>8</v>
      </c>
      <c r="AG31" s="1">
        <f>MAX(配置与结果!$B$32,1+INDEX(配置与结果!$F$15:$F$18,F31)+0+Q31*方案参数!$W$3+Y31*(方案参数!$AN$3+MIN(方案参数!$AO$3,P31*0.03))+AB31*方案参数!$BZ$3*0.025-配置与结果!$B$28+方案参数!$AE$3)</f>
        <v>2.2800000000000002</v>
      </c>
      <c r="AH31" s="1">
        <f>MAX(0,1+V31*方案参数!$U$3+方案参数!$AE$3-配置与结果!$B$29)</f>
        <v>1.56</v>
      </c>
      <c r="AI31" s="1">
        <f>IF(OR(INDEX(配置与结果!$K$15:$K$18,F31)=1,G31="RHI_BERRY"),1+配置与结果!$B$33+P31*方案参数!$AH$3,1)</f>
        <v>1</v>
      </c>
      <c r="AJ31" s="1">
        <f>MIN(1,MAX(0,J31+方案参数!$AB$3-配置与结果!$B$27))</f>
        <v>0.76</v>
      </c>
      <c r="AK31" s="1">
        <f>MAX(1,K31+IF(F31=2,0.15+方案参数!$CH$3,0)+BN31*方案参数!$X$3+R31*方案参数!$AA$3+0-配置与结果!$B$26+Z31*(方案参数!$AP$3+MIN(方案参数!$AQ$3,P31*0.03)))</f>
        <v>2.3380000000000001</v>
      </c>
      <c r="AL31" s="7">
        <f>ROUNDDOWN(MAX(AD31*配置与结果!$B$31,AD31-AE31)*AF31*AG31*AH31*AI31,0)</f>
        <v>58160</v>
      </c>
      <c r="AM31" s="7">
        <f>ROUNDDOWN(MAX(AD31*配置与结果!$B$31,AD31-AE31)*AF31*AG31*AH31*AI31*AK31,0)</f>
        <v>135979</v>
      </c>
      <c r="AN31" s="7">
        <f t="shared" si="0"/>
        <v>117302.44</v>
      </c>
      <c r="AO31" s="7">
        <f>0</f>
        <v>0</v>
      </c>
      <c r="AP31" s="7">
        <f>MAX(0,1+INDEX(配置与结果!$J$15:$J$18,F31)+IF(T31&gt;0,方案参数!$BY$3,0)-配置与结果!$B$30)</f>
        <v>1</v>
      </c>
      <c r="AQ31" s="7">
        <f t="shared" si="1"/>
        <v>0</v>
      </c>
      <c r="AR31" s="7">
        <f t="shared" si="2"/>
        <v>0</v>
      </c>
      <c r="AS31" s="7">
        <f t="shared" si="3"/>
        <v>0</v>
      </c>
      <c r="AT31" s="7">
        <f>IF(U31&gt;0,ROUNDDOWN(AL31*方案参数!$AF$3,0)*(1-AJ31)+ROUNDDOWN(AM31*方案参数!$AF$3,0)*AJ31,0)</f>
        <v>0</v>
      </c>
      <c r="AU31" s="7">
        <f t="shared" si="4"/>
        <v>117302.44</v>
      </c>
      <c r="AV31" s="1">
        <f t="shared" si="5"/>
        <v>2</v>
      </c>
      <c r="AW31" s="1">
        <f t="shared" si="56"/>
        <v>10</v>
      </c>
      <c r="AX31" s="1">
        <f t="shared" si="6"/>
        <v>2</v>
      </c>
      <c r="AY31" s="1">
        <f>MIN(20,MAX(0,O31+0+0-0))</f>
        <v>2</v>
      </c>
      <c r="AZ31" s="1">
        <f t="shared" si="7"/>
        <v>5</v>
      </c>
      <c r="BA31" s="1">
        <f t="shared" si="46"/>
        <v>5</v>
      </c>
      <c r="BB31" s="1">
        <f t="shared" si="55"/>
        <v>20</v>
      </c>
      <c r="BC31" s="1">
        <f t="shared" si="51"/>
        <v>3</v>
      </c>
      <c r="BD31" s="1">
        <f t="shared" si="32"/>
        <v>0</v>
      </c>
      <c r="BE31" s="1">
        <f>MAX(0,U31-IF(AF31&gt;0,1,0))+1</f>
        <v>1</v>
      </c>
      <c r="BF31" s="1">
        <f t="shared" si="57"/>
        <v>4</v>
      </c>
      <c r="BG31" s="1">
        <f t="shared" si="43"/>
        <v>1</v>
      </c>
      <c r="BH31" s="1">
        <f t="shared" si="25"/>
        <v>1</v>
      </c>
      <c r="BI31" s="1">
        <f t="shared" si="44"/>
        <v>1</v>
      </c>
      <c r="BJ31" s="1">
        <f t="shared" si="52"/>
        <v>1</v>
      </c>
      <c r="BK31" s="1">
        <f t="shared" si="53"/>
        <v>1</v>
      </c>
      <c r="BL31" s="1">
        <f t="shared" si="54"/>
        <v>1</v>
      </c>
      <c r="BM31" s="1">
        <f t="shared" si="50"/>
        <v>1</v>
      </c>
      <c r="BN31" s="1">
        <f t="shared" si="27"/>
        <v>1</v>
      </c>
      <c r="BO31" s="1">
        <f t="shared" si="28"/>
        <v>1</v>
      </c>
    </row>
    <row r="32" spans="1:67" ht="30.95" customHeight="1">
      <c r="A32" s="1">
        <f>0</f>
        <v>0</v>
      </c>
      <c r="B32" s="1">
        <f>固定流程!A32</f>
        <v>27</v>
      </c>
      <c r="C32" s="1">
        <f>3</f>
        <v>3</v>
      </c>
      <c r="D32" s="1">
        <f>2</f>
        <v>2</v>
      </c>
      <c r="E32" s="1">
        <f>固定流程!C32</f>
        <v>3</v>
      </c>
      <c r="F32" s="1">
        <f>固定流程!G32</f>
        <v>1</v>
      </c>
      <c r="G32" s="1" t="str">
        <f>固定流程!H32</f>
        <v>LILYA_THIRD</v>
      </c>
      <c r="H32" s="1">
        <f>固定流程!F32</f>
        <v>1</v>
      </c>
      <c r="I32" s="1">
        <f>INDEX(配置与结果!$B$15:$B$18,F32)</f>
        <v>2296</v>
      </c>
      <c r="J32" s="1">
        <f>INDEX(配置与结果!$D$15:$D$18,F32)</f>
        <v>0.7</v>
      </c>
      <c r="K32" s="1">
        <f>INDEX(配置与结果!$E$15:$E$18,F32)</f>
        <v>2.0249999999999999</v>
      </c>
      <c r="L32" s="1">
        <f t="shared" si="40"/>
        <v>2</v>
      </c>
      <c r="M32" s="1">
        <f t="shared" si="41"/>
        <v>10</v>
      </c>
      <c r="N32" s="1">
        <f t="shared" si="42"/>
        <v>2</v>
      </c>
      <c r="O32" s="1">
        <f t="shared" si="33"/>
        <v>2</v>
      </c>
      <c r="P32" s="1">
        <f>MIN(方案参数!$AI$3,AZ31+0+0)</f>
        <v>5</v>
      </c>
      <c r="Q32" s="1">
        <f t="shared" si="10"/>
        <v>5</v>
      </c>
      <c r="R32" s="1">
        <f t="shared" si="11"/>
        <v>20</v>
      </c>
      <c r="S32" s="1">
        <f t="shared" si="12"/>
        <v>3</v>
      </c>
      <c r="T32" s="1">
        <f t="shared" si="48"/>
        <v>0</v>
      </c>
      <c r="U32" s="1">
        <f t="shared" si="14"/>
        <v>1</v>
      </c>
      <c r="V32" s="1">
        <f t="shared" si="15"/>
        <v>4</v>
      </c>
      <c r="W32" s="1">
        <f t="shared" si="16"/>
        <v>1</v>
      </c>
      <c r="X32" s="1">
        <f t="shared" si="17"/>
        <v>1</v>
      </c>
      <c r="Y32" s="1">
        <f t="shared" si="18"/>
        <v>1</v>
      </c>
      <c r="Z32" s="1">
        <f t="shared" si="19"/>
        <v>1</v>
      </c>
      <c r="AA32" s="1">
        <f t="shared" si="45"/>
        <v>1</v>
      </c>
      <c r="AB32" s="1">
        <f t="shared" si="21"/>
        <v>1</v>
      </c>
      <c r="AC32" s="1">
        <f t="shared" si="49"/>
        <v>1</v>
      </c>
      <c r="AD32" s="1">
        <f>ROUNDDOWN(I32*(1+IF(F32=3,0.05+方案参数!$Y$3+AA32*0.12,IF(F32=4,方案参数!$BZ$3*方案参数!$AS$3,0)))+IF(AND(X32=1,F32&lt;&gt;3),方案参数!$CC$3,0)+AC32*方案参数!$CB$3,0)</f>
        <v>3034</v>
      </c>
      <c r="AE32" s="1">
        <f>IF(OR(F32=1,F32=4),配置与结果!$B$24,配置与结果!$B$25)*MAX(0,1-INDEX(配置与结果!$I$15:$I$18,F32))</f>
        <v>1200</v>
      </c>
      <c r="AF32" s="1">
        <f>方案参数!$BM$3</f>
        <v>20</v>
      </c>
      <c r="AG32" s="1">
        <f>MAX(配置与结果!$B$32,1+INDEX(配置与结果!$F$15:$F$18,F32)+0.08+方案参数!$CD$3+Q32*方案参数!$W$3+Y32*(方案参数!$AN$3+MIN(方案参数!$AO$3,P32*0.03))+AB32*方案参数!$BZ$3*0.025-配置与结果!$B$28+方案参数!$AE$3)</f>
        <v>2.6150000000000002</v>
      </c>
      <c r="AH32" s="1">
        <f>MAX(0,1+V32*方案参数!$U$3+3*方案参数!$V$3+方案参数!$AE$3-配置与结果!$B$29)</f>
        <v>1.7399999999999998</v>
      </c>
      <c r="AI32" s="1">
        <f>IF(OR(INDEX(配置与结果!$K$15:$K$18,F32)=1,G32="RHI_BERRY"),1+配置与结果!$B$33+P32*方案参数!$AH$3,1)</f>
        <v>1</v>
      </c>
      <c r="AJ32" s="1">
        <f>MIN(1,MAX(0,J32+方案参数!$AB$3-配置与结果!$B$27))</f>
        <v>1</v>
      </c>
      <c r="AK32" s="1">
        <f>MAX(1,K32+IF(F32=2,0.15+方案参数!$CH$3,0)+BN32*方案参数!$X$3+R32*方案参数!$AA$3+方案参数!$BQ$3-配置与结果!$B$26+Z32*(方案参数!$AP$3+MIN(方案参数!$AQ$3,P32*0.03)))</f>
        <v>2.9650000000000003</v>
      </c>
      <c r="AL32" s="7">
        <f>ROUNDDOWN(MAX(AD32*配置与结果!$B$31,AD32-AE32)*AF32*AG32*AH32*AI32,0)</f>
        <v>166897</v>
      </c>
      <c r="AM32" s="7">
        <f>ROUNDDOWN(MAX(AD32*配置与结果!$B$31,AD32-AE32)*AF32*AG32*AH32*AI32*AK32,0)</f>
        <v>494851</v>
      </c>
      <c r="AN32" s="7">
        <f t="shared" si="0"/>
        <v>494851</v>
      </c>
      <c r="AO32" s="7">
        <f>0</f>
        <v>0</v>
      </c>
      <c r="AP32" s="7">
        <f>MAX(0,1+INDEX(配置与结果!$J$15:$J$18,F32)+IF(T32&gt;0,方案参数!$BY$3,0)-配置与结果!$B$30)</f>
        <v>1</v>
      </c>
      <c r="AQ32" s="7">
        <f t="shared" si="1"/>
        <v>0</v>
      </c>
      <c r="AR32" s="7">
        <f t="shared" si="2"/>
        <v>0</v>
      </c>
      <c r="AS32" s="7">
        <f t="shared" si="3"/>
        <v>0</v>
      </c>
      <c r="AT32" s="7">
        <f>IF(U32&gt;0,ROUNDDOWN(AL32*方案参数!$AF$3,0)*(1-AJ32)+ROUNDDOWN(AM32*方案参数!$AF$3,0)*AJ32,0)</f>
        <v>197940</v>
      </c>
      <c r="AU32" s="7">
        <f t="shared" si="4"/>
        <v>692791</v>
      </c>
      <c r="AV32" s="1">
        <f t="shared" si="5"/>
        <v>2</v>
      </c>
      <c r="AW32" s="1">
        <f t="shared" si="56"/>
        <v>10</v>
      </c>
      <c r="AX32" s="1">
        <f t="shared" si="6"/>
        <v>2</v>
      </c>
      <c r="AY32" s="1">
        <f>MIN(20,MAX(0,O32+0+1-0))</f>
        <v>3</v>
      </c>
      <c r="AZ32" s="1">
        <f t="shared" si="7"/>
        <v>5</v>
      </c>
      <c r="BA32" s="1">
        <f t="shared" si="46"/>
        <v>5</v>
      </c>
      <c r="BB32" s="1">
        <f t="shared" si="55"/>
        <v>20</v>
      </c>
      <c r="BC32" s="1">
        <f t="shared" si="51"/>
        <v>3</v>
      </c>
      <c r="BD32" s="1">
        <f t="shared" si="32"/>
        <v>0</v>
      </c>
      <c r="BE32" s="1">
        <f>MAX(0,U32-IF(AF32&gt;0,1,0))+0</f>
        <v>0</v>
      </c>
      <c r="BF32" s="1">
        <f t="shared" si="57"/>
        <v>4</v>
      </c>
      <c r="BG32" s="1">
        <f t="shared" si="43"/>
        <v>1</v>
      </c>
      <c r="BH32" s="1">
        <f t="shared" si="25"/>
        <v>1</v>
      </c>
      <c r="BI32" s="1">
        <f t="shared" si="44"/>
        <v>1</v>
      </c>
      <c r="BJ32" s="1">
        <f t="shared" si="52"/>
        <v>1</v>
      </c>
      <c r="BK32" s="1">
        <f t="shared" si="53"/>
        <v>1</v>
      </c>
      <c r="BL32" s="1">
        <f t="shared" si="54"/>
        <v>1</v>
      </c>
      <c r="BM32" s="1">
        <f t="shared" si="50"/>
        <v>1</v>
      </c>
      <c r="BN32" s="1">
        <f t="shared" si="27"/>
        <v>1</v>
      </c>
      <c r="BO32" s="1">
        <f t="shared" si="28"/>
        <v>1</v>
      </c>
    </row>
    <row r="33" spans="1:67" ht="30.95" customHeight="1">
      <c r="A33" s="1">
        <f>0</f>
        <v>0</v>
      </c>
      <c r="B33" s="1">
        <f>固定流程!A33</f>
        <v>28</v>
      </c>
      <c r="C33" s="1">
        <f>3</f>
        <v>3</v>
      </c>
      <c r="D33" s="1">
        <f>2</f>
        <v>2</v>
      </c>
      <c r="E33" s="1">
        <f>固定流程!C33</f>
        <v>3</v>
      </c>
      <c r="F33" s="1">
        <f>固定流程!G33</f>
        <v>1</v>
      </c>
      <c r="G33" s="1" t="str">
        <f>固定流程!H33</f>
        <v>LILYA_WEAK</v>
      </c>
      <c r="H33" s="1">
        <f>固定流程!F33</f>
        <v>1</v>
      </c>
      <c r="I33" s="1">
        <f>INDEX(配置与结果!$B$15:$B$18,F33)</f>
        <v>2296</v>
      </c>
      <c r="J33" s="1">
        <f>INDEX(配置与结果!$D$15:$D$18,F33)</f>
        <v>0.7</v>
      </c>
      <c r="K33" s="1">
        <f>INDEX(配置与结果!$E$15:$E$18,F33)</f>
        <v>2.0249999999999999</v>
      </c>
      <c r="L33" s="1">
        <f t="shared" si="40"/>
        <v>2</v>
      </c>
      <c r="M33" s="1">
        <f t="shared" si="41"/>
        <v>10</v>
      </c>
      <c r="N33" s="1">
        <f t="shared" si="42"/>
        <v>2</v>
      </c>
      <c r="O33" s="1">
        <f t="shared" si="33"/>
        <v>3</v>
      </c>
      <c r="P33" s="1">
        <f>MIN(方案参数!$AI$3,AZ32+0+0)</f>
        <v>5</v>
      </c>
      <c r="Q33" s="1">
        <f t="shared" si="10"/>
        <v>5</v>
      </c>
      <c r="R33" s="1">
        <f t="shared" si="11"/>
        <v>20</v>
      </c>
      <c r="S33" s="1">
        <f t="shared" si="12"/>
        <v>3</v>
      </c>
      <c r="T33" s="1">
        <f t="shared" si="48"/>
        <v>0</v>
      </c>
      <c r="U33" s="1">
        <f t="shared" si="14"/>
        <v>0</v>
      </c>
      <c r="V33" s="1">
        <f t="shared" si="15"/>
        <v>4</v>
      </c>
      <c r="W33" s="1">
        <f t="shared" si="16"/>
        <v>1</v>
      </c>
      <c r="X33" s="1">
        <f t="shared" si="17"/>
        <v>1</v>
      </c>
      <c r="Y33" s="1">
        <f t="shared" si="18"/>
        <v>1</v>
      </c>
      <c r="Z33" s="1">
        <f t="shared" si="19"/>
        <v>1</v>
      </c>
      <c r="AA33" s="1">
        <f t="shared" si="45"/>
        <v>1</v>
      </c>
      <c r="AB33" s="1">
        <f t="shared" si="21"/>
        <v>1</v>
      </c>
      <c r="AC33" s="1">
        <f t="shared" si="49"/>
        <v>1</v>
      </c>
      <c r="AD33" s="1">
        <f>ROUNDDOWN(I33*(1+IF(F33=3,0.05+方案参数!$Y$3+AA33*0.12,IF(F33=4,方案参数!$BZ$3*方案参数!$AS$3,0)))+IF(AND(X33=1,F33&lt;&gt;3),方案参数!$CC$3,0)+AC33*方案参数!$CB$3,0)</f>
        <v>3034</v>
      </c>
      <c r="AE33" s="1">
        <f>IF(OR(F33=1,F33=4),配置与结果!$B$24,配置与结果!$B$25)*MAX(0,1-INDEX(配置与结果!$I$15:$I$18,F33))</f>
        <v>1200</v>
      </c>
      <c r="AF33" s="1">
        <f>方案参数!$BL$3</f>
        <v>9</v>
      </c>
      <c r="AG33" s="1">
        <f>MAX(配置与结果!$B$32,1+INDEX(配置与结果!$F$15:$F$18,F33)+0.08+方案参数!$CD$3+Q33*方案参数!$W$3+Y33*(方案参数!$AN$3+MIN(方案参数!$AO$3,P33*0.03))+AB33*方案参数!$BZ$3*0.025-配置与结果!$B$28+方案参数!$AE$3)</f>
        <v>2.6150000000000002</v>
      </c>
      <c r="AH33" s="1">
        <f>MAX(0,1+V33*方案参数!$U$3+4*方案参数!$V$3+方案参数!$AE$3-配置与结果!$B$29)</f>
        <v>1.7999999999999998</v>
      </c>
      <c r="AI33" s="1">
        <f>IF(OR(INDEX(配置与结果!$K$15:$K$18,F33)=1,G33="RHI_BERRY"),1+配置与结果!$B$33+P33*方案参数!$AH$3,1)</f>
        <v>1</v>
      </c>
      <c r="AJ33" s="1">
        <f>MIN(1,MAX(0,J33+方案参数!$AB$3-配置与结果!$B$27))</f>
        <v>1</v>
      </c>
      <c r="AK33" s="1">
        <f>MAX(1,K33+IF(F33=2,0.15+方案参数!$CH$3,0)+BN33*方案参数!$X$3+R33*方案参数!$AA$3+方案参数!$BP$3-配置与结果!$B$26+Z33*(方案参数!$AP$3+MIN(方案参数!$AQ$3,P33*0.03)))</f>
        <v>2.7650000000000001</v>
      </c>
      <c r="AL33" s="7">
        <f>ROUNDDOWN(MAX(AD33*配置与结果!$B$31,AD33-AE33)*AF33*AG33*AH33*AI33,0)</f>
        <v>77693</v>
      </c>
      <c r="AM33" s="7">
        <f>ROUNDDOWN(MAX(AD33*配置与结果!$B$31,AD33-AE33)*AF33*AG33*AH33*AI33*AK33,0)</f>
        <v>214823</v>
      </c>
      <c r="AN33" s="7">
        <f t="shared" si="0"/>
        <v>214823</v>
      </c>
      <c r="AO33" s="7">
        <f>0</f>
        <v>0</v>
      </c>
      <c r="AP33" s="7">
        <f>MAX(0,1+INDEX(配置与结果!$J$15:$J$18,F33)+IF(T33&gt;0,方案参数!$BY$3,0)-配置与结果!$B$30)</f>
        <v>1</v>
      </c>
      <c r="AQ33" s="7">
        <f t="shared" si="1"/>
        <v>0</v>
      </c>
      <c r="AR33" s="7">
        <f t="shared" si="2"/>
        <v>0</v>
      </c>
      <c r="AS33" s="7">
        <f t="shared" si="3"/>
        <v>0</v>
      </c>
      <c r="AT33" s="7">
        <f>IF(U33&gt;0,ROUNDDOWN(AL33*方案参数!$AF$3,0)*(1-AJ33)+ROUNDDOWN(AM33*方案参数!$AF$3,0)*AJ33,0)</f>
        <v>0</v>
      </c>
      <c r="AU33" s="7">
        <f t="shared" si="4"/>
        <v>214823</v>
      </c>
      <c r="AV33" s="1">
        <f t="shared" si="5"/>
        <v>2</v>
      </c>
      <c r="AW33" s="1">
        <f t="shared" si="56"/>
        <v>10</v>
      </c>
      <c r="AX33" s="1">
        <f t="shared" si="6"/>
        <v>2</v>
      </c>
      <c r="AY33" s="1">
        <f>MIN(20,MAX(0,O33+0+1-0))</f>
        <v>4</v>
      </c>
      <c r="AZ33" s="1">
        <f t="shared" si="7"/>
        <v>5</v>
      </c>
      <c r="BA33" s="1">
        <f t="shared" si="46"/>
        <v>5</v>
      </c>
      <c r="BB33" s="1">
        <f t="shared" si="55"/>
        <v>20</v>
      </c>
      <c r="BC33" s="1">
        <f t="shared" si="51"/>
        <v>3</v>
      </c>
      <c r="BD33" s="1">
        <f t="shared" si="32"/>
        <v>0</v>
      </c>
      <c r="BE33" s="1">
        <f>MAX(0,U33-IF(AF33&gt;0,1,0))+0</f>
        <v>0</v>
      </c>
      <c r="BF33" s="1">
        <f t="shared" si="57"/>
        <v>4</v>
      </c>
      <c r="BG33" s="1">
        <f t="shared" si="43"/>
        <v>1</v>
      </c>
      <c r="BH33" s="1">
        <f t="shared" si="25"/>
        <v>1</v>
      </c>
      <c r="BI33" s="1">
        <f t="shared" si="44"/>
        <v>1</v>
      </c>
      <c r="BJ33" s="1">
        <f t="shared" si="52"/>
        <v>1</v>
      </c>
      <c r="BK33" s="1">
        <f t="shared" si="53"/>
        <v>1</v>
      </c>
      <c r="BL33" s="1">
        <f t="shared" si="54"/>
        <v>1</v>
      </c>
      <c r="BM33" s="1">
        <f t="shared" si="50"/>
        <v>1</v>
      </c>
      <c r="BN33" s="1">
        <f t="shared" si="27"/>
        <v>1</v>
      </c>
      <c r="BO33" s="1">
        <f t="shared" si="28"/>
        <v>1</v>
      </c>
    </row>
    <row r="34" spans="1:67" ht="30.95" customHeight="1">
      <c r="A34" s="1">
        <f>0</f>
        <v>0</v>
      </c>
      <c r="B34" s="1">
        <f>固定流程!A34</f>
        <v>29</v>
      </c>
      <c r="C34" s="1">
        <f>3</f>
        <v>3</v>
      </c>
      <c r="D34" s="1">
        <f>2</f>
        <v>2</v>
      </c>
      <c r="E34" s="1">
        <f>固定流程!C34</f>
        <v>3</v>
      </c>
      <c r="F34" s="1">
        <f>固定流程!G34</f>
        <v>1</v>
      </c>
      <c r="G34" s="1" t="str">
        <f>固定流程!H34</f>
        <v>LILYA_WEAK</v>
      </c>
      <c r="H34" s="1">
        <f>固定流程!F34</f>
        <v>1</v>
      </c>
      <c r="I34" s="1">
        <f>INDEX(配置与结果!$B$15:$B$18,F34)</f>
        <v>2296</v>
      </c>
      <c r="J34" s="1">
        <f>INDEX(配置与结果!$D$15:$D$18,F34)</f>
        <v>0.7</v>
      </c>
      <c r="K34" s="1">
        <f>INDEX(配置与结果!$E$15:$E$18,F34)</f>
        <v>2.0249999999999999</v>
      </c>
      <c r="L34" s="1">
        <f t="shared" si="40"/>
        <v>2</v>
      </c>
      <c r="M34" s="1">
        <f t="shared" si="41"/>
        <v>10</v>
      </c>
      <c r="N34" s="1">
        <f t="shared" si="42"/>
        <v>2</v>
      </c>
      <c r="O34" s="1">
        <f t="shared" si="33"/>
        <v>4</v>
      </c>
      <c r="P34" s="1">
        <f>MIN(方案参数!$AI$3,AZ33+0+0)</f>
        <v>5</v>
      </c>
      <c r="Q34" s="1">
        <f t="shared" si="10"/>
        <v>5</v>
      </c>
      <c r="R34" s="1">
        <f t="shared" si="11"/>
        <v>20</v>
      </c>
      <c r="S34" s="1">
        <f t="shared" si="12"/>
        <v>3</v>
      </c>
      <c r="T34" s="1">
        <f t="shared" si="48"/>
        <v>0</v>
      </c>
      <c r="U34" s="1">
        <f t="shared" si="14"/>
        <v>0</v>
      </c>
      <c r="V34" s="1">
        <f t="shared" si="15"/>
        <v>4</v>
      </c>
      <c r="W34" s="1">
        <f t="shared" si="16"/>
        <v>1</v>
      </c>
      <c r="X34" s="1">
        <f t="shared" si="17"/>
        <v>1</v>
      </c>
      <c r="Y34" s="1">
        <f t="shared" si="18"/>
        <v>1</v>
      </c>
      <c r="Z34" s="1">
        <f t="shared" si="19"/>
        <v>1</v>
      </c>
      <c r="AA34" s="1">
        <f t="shared" si="45"/>
        <v>1</v>
      </c>
      <c r="AB34" s="1">
        <f t="shared" si="21"/>
        <v>1</v>
      </c>
      <c r="AC34" s="1">
        <f t="shared" si="49"/>
        <v>1</v>
      </c>
      <c r="AD34" s="1">
        <f>ROUNDDOWN(I34*(1+IF(F34=3,0.05+方案参数!$Y$3+AA34*0.12,IF(F34=4,方案参数!$BZ$3*方案参数!$AS$3,0)))+IF(AND(X34=1,F34&lt;&gt;3),方案参数!$CC$3,0)+AC34*方案参数!$CB$3,0)</f>
        <v>3034</v>
      </c>
      <c r="AE34" s="1">
        <f>IF(OR(F34=1,F34=4),配置与结果!$B$24,配置与结果!$B$25)*MAX(0,1-INDEX(配置与结果!$I$15:$I$18,F34))</f>
        <v>1200</v>
      </c>
      <c r="AF34" s="1">
        <f>方案参数!$BL$3</f>
        <v>9</v>
      </c>
      <c r="AG34" s="1">
        <f>MAX(配置与结果!$B$32,1+INDEX(配置与结果!$F$15:$F$18,F34)+0.08+方案参数!$CD$3+Q34*方案参数!$W$3+Y34*(方案参数!$AN$3+MIN(方案参数!$AO$3,P34*0.03))+AB34*方案参数!$BZ$3*0.025-配置与结果!$B$28+方案参数!$AE$3)</f>
        <v>2.6150000000000002</v>
      </c>
      <c r="AH34" s="1">
        <f>MAX(0,1+V34*方案参数!$U$3+5*方案参数!$V$3+方案参数!$AE$3-配置与结果!$B$29)</f>
        <v>1.8599999999999999</v>
      </c>
      <c r="AI34" s="1">
        <f>IF(OR(INDEX(配置与结果!$K$15:$K$18,F34)=1,G34="RHI_BERRY"),1+配置与结果!$B$33+P34*方案参数!$AH$3,1)</f>
        <v>1</v>
      </c>
      <c r="AJ34" s="1">
        <f>MIN(1,MAX(0,J34+方案参数!$AB$3-配置与结果!$B$27))</f>
        <v>1</v>
      </c>
      <c r="AK34" s="1">
        <f>MAX(1,K34+IF(F34=2,0.15+方案参数!$CH$3,0)+BN34*方案参数!$X$3+R34*方案参数!$AA$3+方案参数!$BP$3-配置与结果!$B$26+Z34*(方案参数!$AP$3+MIN(方案参数!$AQ$3,P34*0.03)))</f>
        <v>2.7650000000000001</v>
      </c>
      <c r="AL34" s="7">
        <f>ROUNDDOWN(MAX(AD34*配置与结果!$B$31,AD34-AE34)*AF34*AG34*AH34*AI34,0)</f>
        <v>80283</v>
      </c>
      <c r="AM34" s="7">
        <f>ROUNDDOWN(MAX(AD34*配置与结果!$B$31,AD34-AE34)*AF34*AG34*AH34*AI34*AK34,0)</f>
        <v>221983</v>
      </c>
      <c r="AN34" s="7">
        <f t="shared" si="0"/>
        <v>221983</v>
      </c>
      <c r="AO34" s="7">
        <f>0</f>
        <v>0</v>
      </c>
      <c r="AP34" s="7">
        <f>MAX(0,1+INDEX(配置与结果!$J$15:$J$18,F34)+IF(T34&gt;0,方案参数!$BY$3,0)-配置与结果!$B$30)</f>
        <v>1</v>
      </c>
      <c r="AQ34" s="7">
        <f t="shared" si="1"/>
        <v>0</v>
      </c>
      <c r="AR34" s="7">
        <f t="shared" si="2"/>
        <v>0</v>
      </c>
      <c r="AS34" s="7">
        <f t="shared" si="3"/>
        <v>0</v>
      </c>
      <c r="AT34" s="7">
        <f>IF(U34&gt;0,ROUNDDOWN(AL34*方案参数!$AF$3,0)*(1-AJ34)+ROUNDDOWN(AM34*方案参数!$AF$3,0)*AJ34,0)</f>
        <v>0</v>
      </c>
      <c r="AU34" s="7">
        <f t="shared" si="4"/>
        <v>221983</v>
      </c>
      <c r="AV34" s="1">
        <f t="shared" si="5"/>
        <v>2</v>
      </c>
      <c r="AW34" s="1">
        <f t="shared" si="56"/>
        <v>10</v>
      </c>
      <c r="AX34" s="1">
        <f t="shared" si="6"/>
        <v>2</v>
      </c>
      <c r="AY34" s="1">
        <f>MIN(20,MAX(0,O34+0+1-0))</f>
        <v>5</v>
      </c>
      <c r="AZ34" s="1">
        <f t="shared" si="7"/>
        <v>5</v>
      </c>
      <c r="BA34" s="1">
        <f t="shared" si="46"/>
        <v>5</v>
      </c>
      <c r="BB34" s="1">
        <f t="shared" si="55"/>
        <v>20</v>
      </c>
      <c r="BC34" s="1">
        <f t="shared" si="51"/>
        <v>3</v>
      </c>
      <c r="BD34" s="1">
        <f t="shared" si="32"/>
        <v>0</v>
      </c>
      <c r="BE34" s="1">
        <f>MAX(0,U34-IF(AF34&gt;0,1,0))+0</f>
        <v>0</v>
      </c>
      <c r="BF34" s="1">
        <f t="shared" si="57"/>
        <v>4</v>
      </c>
      <c r="BG34" s="1">
        <f t="shared" si="43"/>
        <v>1</v>
      </c>
      <c r="BH34" s="1">
        <f t="shared" si="25"/>
        <v>1</v>
      </c>
      <c r="BI34" s="1">
        <f t="shared" si="44"/>
        <v>1</v>
      </c>
      <c r="BJ34" s="1">
        <f t="shared" si="52"/>
        <v>1</v>
      </c>
      <c r="BK34" s="1">
        <f t="shared" si="53"/>
        <v>1</v>
      </c>
      <c r="BL34" s="1">
        <f t="shared" si="54"/>
        <v>1</v>
      </c>
      <c r="BM34" s="1">
        <f t="shared" si="50"/>
        <v>1</v>
      </c>
      <c r="BN34" s="1">
        <f t="shared" si="27"/>
        <v>1</v>
      </c>
      <c r="BO34" s="1">
        <f t="shared" si="28"/>
        <v>1</v>
      </c>
    </row>
    <row r="35" spans="1:67" ht="30.95" customHeight="1">
      <c r="A35" s="1">
        <f>0</f>
        <v>0</v>
      </c>
      <c r="B35" s="1">
        <f>固定流程!A35</f>
        <v>30</v>
      </c>
      <c r="C35" s="1">
        <f>3</f>
        <v>3</v>
      </c>
      <c r="D35" s="1">
        <f>2</f>
        <v>2</v>
      </c>
      <c r="E35" s="1">
        <f>固定流程!C35</f>
        <v>3</v>
      </c>
      <c r="F35" s="1">
        <f>固定流程!G35</f>
        <v>2</v>
      </c>
      <c r="G35" s="1" t="str">
        <f>固定流程!H35</f>
        <v>37_WEAK</v>
      </c>
      <c r="H35" s="1">
        <f>固定流程!F35</f>
        <v>1</v>
      </c>
      <c r="I35" s="1">
        <f>INDEX(配置与结果!$B$15:$B$18,F35)</f>
        <v>2306</v>
      </c>
      <c r="J35" s="1">
        <f>INDEX(配置与结果!$D$15:$D$18,F35)</f>
        <v>0.46</v>
      </c>
      <c r="K35" s="1">
        <f>INDEX(配置与结果!$E$15:$E$18,F35)</f>
        <v>1.9279999999999999</v>
      </c>
      <c r="L35" s="1">
        <f t="shared" si="40"/>
        <v>2</v>
      </c>
      <c r="M35" s="1">
        <f t="shared" si="41"/>
        <v>10</v>
      </c>
      <c r="N35" s="1">
        <f t="shared" si="42"/>
        <v>2</v>
      </c>
      <c r="O35" s="1">
        <f t="shared" si="33"/>
        <v>5</v>
      </c>
      <c r="P35" s="1">
        <f>MIN(方案参数!$AI$3,AZ34+0+0)</f>
        <v>5</v>
      </c>
      <c r="Q35" s="1">
        <f t="shared" si="10"/>
        <v>5</v>
      </c>
      <c r="R35" s="1">
        <f t="shared" si="11"/>
        <v>20</v>
      </c>
      <c r="S35" s="1">
        <f t="shared" si="12"/>
        <v>3</v>
      </c>
      <c r="T35" s="1">
        <f t="shared" si="48"/>
        <v>0</v>
      </c>
      <c r="U35" s="1">
        <f t="shared" si="14"/>
        <v>0</v>
      </c>
      <c r="V35" s="1">
        <f t="shared" si="15"/>
        <v>4</v>
      </c>
      <c r="W35" s="1">
        <f t="shared" si="16"/>
        <v>1</v>
      </c>
      <c r="X35" s="1">
        <f t="shared" si="17"/>
        <v>1</v>
      </c>
      <c r="Y35" s="1">
        <f t="shared" si="18"/>
        <v>1</v>
      </c>
      <c r="Z35" s="1">
        <f t="shared" si="19"/>
        <v>1</v>
      </c>
      <c r="AA35" s="1">
        <f t="shared" si="45"/>
        <v>1</v>
      </c>
      <c r="AB35" s="1">
        <f t="shared" si="21"/>
        <v>1</v>
      </c>
      <c r="AC35" s="1">
        <f t="shared" si="49"/>
        <v>1</v>
      </c>
      <c r="AD35" s="1">
        <f>ROUNDDOWN(I35*(1+IF(F35=3,0.05+方案参数!$Y$3+AA35*0.12,IF(F35=4,方案参数!$BZ$3*方案参数!$AS$3,0)))+IF(AND(X35=1,F35&lt;&gt;3),方案参数!$CC$3,0)+AC35*方案参数!$CB$3,0)</f>
        <v>3044</v>
      </c>
      <c r="AE35" s="1">
        <f>IF(OR(F35=1,F35=4),配置与结果!$B$24,配置与结果!$B$25)*MAX(0,1-INDEX(配置与结果!$I$15:$I$18,F35))</f>
        <v>1000</v>
      </c>
      <c r="AF35" s="1">
        <f>方案参数!$CE$3</f>
        <v>8</v>
      </c>
      <c r="AG35" s="1">
        <f>MAX(配置与结果!$B$32,1+INDEX(配置与结果!$F$15:$F$18,F35)+0+Q35*方案参数!$W$3+Y35*(方案参数!$AN$3+MIN(方案参数!$AO$3,P35*0.03))+AB35*方案参数!$BZ$3*0.025-配置与结果!$B$28+方案参数!$AE$3)</f>
        <v>2.2800000000000002</v>
      </c>
      <c r="AH35" s="1">
        <f>MAX(0,1+V35*方案参数!$U$3+方案参数!$AE$3-配置与结果!$B$29)</f>
        <v>1.56</v>
      </c>
      <c r="AI35" s="1">
        <f>IF(OR(INDEX(配置与结果!$K$15:$K$18,F35)=1,G35="RHI_BERRY"),1+配置与结果!$B$33+P35*方案参数!$AH$3,1)</f>
        <v>1</v>
      </c>
      <c r="AJ35" s="1">
        <f>MIN(1,MAX(0,J35+方案参数!$AB$3-配置与结果!$B$27))</f>
        <v>0.76</v>
      </c>
      <c r="AK35" s="1">
        <f>MAX(1,K35+IF(F35=2,0.15+方案参数!$CH$3,0)+BN35*方案参数!$X$3+R35*方案参数!$AA$3+0-配置与结果!$B$26+Z35*(方案参数!$AP$3+MIN(方案参数!$AQ$3,P35*0.03)))</f>
        <v>2.3380000000000001</v>
      </c>
      <c r="AL35" s="7">
        <f>ROUNDDOWN(MAX(AD35*配置与结果!$B$31,AD35-AE35)*AF35*AG35*AH35*AI35,0)</f>
        <v>58160</v>
      </c>
      <c r="AM35" s="7">
        <f>ROUNDDOWN(MAX(AD35*配置与结果!$B$31,AD35-AE35)*AF35*AG35*AH35*AI35*AK35,0)</f>
        <v>135979</v>
      </c>
      <c r="AN35" s="7">
        <f t="shared" si="0"/>
        <v>117302.44</v>
      </c>
      <c r="AO35" s="7">
        <f>0</f>
        <v>0</v>
      </c>
      <c r="AP35" s="7">
        <f>MAX(0,1+INDEX(配置与结果!$J$15:$J$18,F35)+IF(T35&gt;0,方案参数!$BY$3,0)-配置与结果!$B$30)</f>
        <v>1</v>
      </c>
      <c r="AQ35" s="7">
        <f t="shared" si="1"/>
        <v>0</v>
      </c>
      <c r="AR35" s="7">
        <f t="shared" si="2"/>
        <v>0</v>
      </c>
      <c r="AS35" s="7">
        <f t="shared" si="3"/>
        <v>0</v>
      </c>
      <c r="AT35" s="7">
        <f>IF(U35&gt;0,ROUNDDOWN(AL35*方案参数!$AF$3,0)*(1-AJ35)+ROUNDDOWN(AM35*方案参数!$AF$3,0)*AJ35,0)</f>
        <v>0</v>
      </c>
      <c r="AU35" s="7">
        <f t="shared" si="4"/>
        <v>117302.44</v>
      </c>
      <c r="AV35" s="1">
        <f t="shared" si="5"/>
        <v>2</v>
      </c>
      <c r="AW35" s="1">
        <f t="shared" si="56"/>
        <v>10</v>
      </c>
      <c r="AX35" s="1">
        <f t="shared" si="6"/>
        <v>2</v>
      </c>
      <c r="AY35" s="1">
        <f>MIN(20,MAX(0,O35+0+0-0))</f>
        <v>5</v>
      </c>
      <c r="AZ35" s="1">
        <f t="shared" si="7"/>
        <v>5</v>
      </c>
      <c r="BA35" s="1">
        <f t="shared" si="46"/>
        <v>5</v>
      </c>
      <c r="BB35" s="1">
        <f t="shared" si="55"/>
        <v>20</v>
      </c>
      <c r="BC35" s="1">
        <f t="shared" si="51"/>
        <v>3</v>
      </c>
      <c r="BD35" s="1">
        <f t="shared" si="32"/>
        <v>0</v>
      </c>
      <c r="BE35" s="1">
        <f>MAX(0,U35-IF(AF35&gt;0,1,0))+1</f>
        <v>1</v>
      </c>
      <c r="BF35" s="1">
        <f t="shared" si="57"/>
        <v>4</v>
      </c>
      <c r="BG35" s="1">
        <f t="shared" si="43"/>
        <v>1</v>
      </c>
      <c r="BH35" s="1">
        <f t="shared" si="25"/>
        <v>1</v>
      </c>
      <c r="BI35" s="1">
        <f t="shared" si="44"/>
        <v>1</v>
      </c>
      <c r="BJ35" s="1">
        <f t="shared" si="52"/>
        <v>1</v>
      </c>
      <c r="BK35" s="1">
        <f t="shared" si="53"/>
        <v>1</v>
      </c>
      <c r="BL35" s="1">
        <f t="shared" si="54"/>
        <v>1</v>
      </c>
      <c r="BM35" s="1">
        <f t="shared" si="50"/>
        <v>1</v>
      </c>
      <c r="BN35" s="1">
        <f t="shared" si="27"/>
        <v>1</v>
      </c>
      <c r="BO35" s="1">
        <f t="shared" si="28"/>
        <v>1</v>
      </c>
    </row>
    <row r="36" spans="1:67" ht="30.95" customHeight="1">
      <c r="A36" s="1">
        <f>0</f>
        <v>0</v>
      </c>
      <c r="B36" s="1">
        <f>固定流程!A36</f>
        <v>31</v>
      </c>
      <c r="C36" s="1">
        <f>3</f>
        <v>3</v>
      </c>
      <c r="D36" s="1">
        <f>2</f>
        <v>2</v>
      </c>
      <c r="E36" s="1">
        <f>固定流程!C36</f>
        <v>3</v>
      </c>
      <c r="F36" s="1">
        <f>固定流程!G36</f>
        <v>1</v>
      </c>
      <c r="G36" s="1" t="str">
        <f>固定流程!H36</f>
        <v>LILYA_THIRD</v>
      </c>
      <c r="H36" s="1">
        <f>固定流程!F36</f>
        <v>1</v>
      </c>
      <c r="I36" s="1">
        <f>INDEX(配置与结果!$B$15:$B$18,F36)</f>
        <v>2296</v>
      </c>
      <c r="J36" s="1">
        <f>INDEX(配置与结果!$D$15:$D$18,F36)</f>
        <v>0.7</v>
      </c>
      <c r="K36" s="1">
        <f>INDEX(配置与结果!$E$15:$E$18,F36)</f>
        <v>2.0249999999999999</v>
      </c>
      <c r="L36" s="1">
        <f t="shared" si="40"/>
        <v>2</v>
      </c>
      <c r="M36" s="1">
        <f t="shared" si="41"/>
        <v>10</v>
      </c>
      <c r="N36" s="1">
        <f t="shared" si="42"/>
        <v>2</v>
      </c>
      <c r="O36" s="1">
        <f t="shared" si="33"/>
        <v>5</v>
      </c>
      <c r="P36" s="1">
        <f>MIN(方案参数!$AI$3,AZ35+0+0)</f>
        <v>5</v>
      </c>
      <c r="Q36" s="1">
        <f t="shared" si="10"/>
        <v>5</v>
      </c>
      <c r="R36" s="1">
        <f t="shared" si="11"/>
        <v>20</v>
      </c>
      <c r="S36" s="1">
        <f t="shared" si="12"/>
        <v>3</v>
      </c>
      <c r="T36" s="1">
        <f t="shared" si="48"/>
        <v>0</v>
      </c>
      <c r="U36" s="1">
        <f t="shared" si="14"/>
        <v>1</v>
      </c>
      <c r="V36" s="1">
        <f t="shared" si="15"/>
        <v>4</v>
      </c>
      <c r="W36" s="1">
        <f t="shared" si="16"/>
        <v>1</v>
      </c>
      <c r="X36" s="1">
        <f t="shared" si="17"/>
        <v>1</v>
      </c>
      <c r="Y36" s="1">
        <f t="shared" si="18"/>
        <v>1</v>
      </c>
      <c r="Z36" s="1">
        <f t="shared" si="19"/>
        <v>1</v>
      </c>
      <c r="AA36" s="1">
        <f t="shared" si="45"/>
        <v>1</v>
      </c>
      <c r="AB36" s="1">
        <f t="shared" si="21"/>
        <v>1</v>
      </c>
      <c r="AC36" s="1">
        <f t="shared" si="49"/>
        <v>1</v>
      </c>
      <c r="AD36" s="1">
        <f>ROUNDDOWN(I36*(1+IF(F36=3,0.05+方案参数!$Y$3+AA36*0.12,IF(F36=4,方案参数!$BZ$3*方案参数!$AS$3,0)))+IF(AND(X36=1,F36&lt;&gt;3),方案参数!$CC$3,0)+AC36*方案参数!$CB$3,0)</f>
        <v>3034</v>
      </c>
      <c r="AE36" s="1">
        <f>IF(OR(F36=1,F36=4),配置与结果!$B$24,配置与结果!$B$25)*MAX(0,1-INDEX(配置与结果!$I$15:$I$18,F36))</f>
        <v>1200</v>
      </c>
      <c r="AF36" s="1">
        <f>方案参数!$BM$3</f>
        <v>20</v>
      </c>
      <c r="AG36" s="1">
        <f>MAX(配置与结果!$B$32,1+INDEX(配置与结果!$F$15:$F$18,F36)+0.08+方案参数!$CD$3+Q36*方案参数!$W$3+Y36*(方案参数!$AN$3+MIN(方案参数!$AO$3,P36*0.03))+AB36*方案参数!$BZ$3*0.025-配置与结果!$B$28+方案参数!$AE$3)</f>
        <v>2.6150000000000002</v>
      </c>
      <c r="AH36" s="1">
        <f>MAX(0,1+V36*方案参数!$U$3+7*方案参数!$V$3+方案参数!$AE$3-配置与结果!$B$29)</f>
        <v>1.98</v>
      </c>
      <c r="AI36" s="1">
        <f>IF(OR(INDEX(配置与结果!$K$15:$K$18,F36)=1,G36="RHI_BERRY"),1+配置与结果!$B$33+P36*方案参数!$AH$3,1)</f>
        <v>1</v>
      </c>
      <c r="AJ36" s="1">
        <f>MIN(1,MAX(0,J36+方案参数!$AB$3-配置与结果!$B$27))</f>
        <v>1</v>
      </c>
      <c r="AK36" s="1">
        <f>MAX(1,K36+IF(F36=2,0.15+方案参数!$CH$3,0)+BN36*方案参数!$X$3+R36*方案参数!$AA$3+方案参数!$BQ$3-配置与结果!$B$26+Z36*(方案参数!$AP$3+MIN(方案参数!$AQ$3,P36*0.03)))</f>
        <v>2.9650000000000003</v>
      </c>
      <c r="AL36" s="7">
        <f>ROUNDDOWN(MAX(AD36*配置与结果!$B$31,AD36-AE36)*AF36*AG36*AH36*AI36,0)</f>
        <v>189918</v>
      </c>
      <c r="AM36" s="7">
        <f>ROUNDDOWN(MAX(AD36*配置与结果!$B$31,AD36-AE36)*AF36*AG36*AH36*AI36*AK36,0)</f>
        <v>563106</v>
      </c>
      <c r="AN36" s="7">
        <f t="shared" si="0"/>
        <v>563106</v>
      </c>
      <c r="AO36" s="7">
        <f>0</f>
        <v>0</v>
      </c>
      <c r="AP36" s="7">
        <f>MAX(0,1+INDEX(配置与结果!$J$15:$J$18,F36)+IF(T36&gt;0,方案参数!$BY$3,0)-配置与结果!$B$30)</f>
        <v>1</v>
      </c>
      <c r="AQ36" s="7">
        <f t="shared" si="1"/>
        <v>0</v>
      </c>
      <c r="AR36" s="7">
        <f t="shared" si="2"/>
        <v>0</v>
      </c>
      <c r="AS36" s="7">
        <f t="shared" si="3"/>
        <v>0</v>
      </c>
      <c r="AT36" s="7">
        <f>IF(U36&gt;0,ROUNDDOWN(AL36*方案参数!$AF$3,0)*(1-AJ36)+ROUNDDOWN(AM36*方案参数!$AF$3,0)*AJ36,0)</f>
        <v>225242</v>
      </c>
      <c r="AU36" s="7">
        <f t="shared" si="4"/>
        <v>788348</v>
      </c>
      <c r="AV36" s="1">
        <f t="shared" si="5"/>
        <v>2</v>
      </c>
      <c r="AW36" s="1">
        <f t="shared" si="56"/>
        <v>10</v>
      </c>
      <c r="AX36" s="1">
        <f t="shared" si="6"/>
        <v>2</v>
      </c>
      <c r="AY36" s="1">
        <f>MIN(20,MAX(0,O36+0+1-0))</f>
        <v>6</v>
      </c>
      <c r="AZ36" s="1">
        <f t="shared" si="7"/>
        <v>5</v>
      </c>
      <c r="BA36" s="1">
        <f t="shared" si="46"/>
        <v>5</v>
      </c>
      <c r="BB36" s="1">
        <f t="shared" si="55"/>
        <v>20</v>
      </c>
      <c r="BC36" s="1">
        <f t="shared" si="51"/>
        <v>3</v>
      </c>
      <c r="BD36" s="1">
        <f t="shared" si="32"/>
        <v>0</v>
      </c>
      <c r="BE36" s="1">
        <f>MAX(0,U36-IF(AF36&gt;0,1,0))+0</f>
        <v>0</v>
      </c>
      <c r="BF36" s="1">
        <f t="shared" si="57"/>
        <v>4</v>
      </c>
      <c r="BG36" s="1">
        <f t="shared" si="43"/>
        <v>1</v>
      </c>
      <c r="BH36" s="1">
        <f t="shared" si="25"/>
        <v>1</v>
      </c>
      <c r="BI36" s="1">
        <f t="shared" si="44"/>
        <v>1</v>
      </c>
      <c r="BJ36" s="1">
        <f t="shared" si="52"/>
        <v>1</v>
      </c>
      <c r="BK36" s="1">
        <f t="shared" si="53"/>
        <v>1</v>
      </c>
      <c r="BL36" s="1">
        <f t="shared" si="54"/>
        <v>1</v>
      </c>
      <c r="BM36" s="1">
        <f t="shared" si="50"/>
        <v>1</v>
      </c>
      <c r="BN36" s="1">
        <f t="shared" si="27"/>
        <v>1</v>
      </c>
      <c r="BO36" s="1">
        <f t="shared" si="28"/>
        <v>1</v>
      </c>
    </row>
    <row r="37" spans="1:67" ht="30.95" customHeight="1">
      <c r="A37" s="1">
        <f>0</f>
        <v>0</v>
      </c>
      <c r="B37" s="1">
        <f>固定流程!A37</f>
        <v>32</v>
      </c>
      <c r="C37" s="1">
        <f>3</f>
        <v>3</v>
      </c>
      <c r="D37" s="1">
        <f>2</f>
        <v>2</v>
      </c>
      <c r="E37" s="1">
        <f>固定流程!C37</f>
        <v>3</v>
      </c>
      <c r="F37" s="1">
        <f>固定流程!G37</f>
        <v>1</v>
      </c>
      <c r="G37" s="1" t="str">
        <f>固定流程!H37</f>
        <v>LILYA_WEAK</v>
      </c>
      <c r="H37" s="1">
        <f>固定流程!F37</f>
        <v>1</v>
      </c>
      <c r="I37" s="1">
        <f>INDEX(配置与结果!$B$15:$B$18,F37)</f>
        <v>2296</v>
      </c>
      <c r="J37" s="1">
        <f>INDEX(配置与结果!$D$15:$D$18,F37)</f>
        <v>0.7</v>
      </c>
      <c r="K37" s="1">
        <f>INDEX(配置与结果!$E$15:$E$18,F37)</f>
        <v>2.0249999999999999</v>
      </c>
      <c r="L37" s="1">
        <f t="shared" si="40"/>
        <v>2</v>
      </c>
      <c r="M37" s="1">
        <f t="shared" si="41"/>
        <v>10</v>
      </c>
      <c r="N37" s="1">
        <f t="shared" si="42"/>
        <v>2</v>
      </c>
      <c r="O37" s="1">
        <f t="shared" si="33"/>
        <v>6</v>
      </c>
      <c r="P37" s="1">
        <f>MIN(方案参数!$AI$3,AZ36+0+0)</f>
        <v>5</v>
      </c>
      <c r="Q37" s="1">
        <f t="shared" si="10"/>
        <v>5</v>
      </c>
      <c r="R37" s="1">
        <f t="shared" si="11"/>
        <v>20</v>
      </c>
      <c r="S37" s="1">
        <f t="shared" si="12"/>
        <v>3</v>
      </c>
      <c r="T37" s="1">
        <f t="shared" si="48"/>
        <v>0</v>
      </c>
      <c r="U37" s="1">
        <f t="shared" si="14"/>
        <v>0</v>
      </c>
      <c r="V37" s="1">
        <f t="shared" si="15"/>
        <v>4</v>
      </c>
      <c r="W37" s="1">
        <f t="shared" si="16"/>
        <v>1</v>
      </c>
      <c r="X37" s="1">
        <f t="shared" si="17"/>
        <v>1</v>
      </c>
      <c r="Y37" s="1">
        <f t="shared" si="18"/>
        <v>1</v>
      </c>
      <c r="Z37" s="1">
        <f t="shared" si="19"/>
        <v>1</v>
      </c>
      <c r="AA37" s="1">
        <f t="shared" si="45"/>
        <v>1</v>
      </c>
      <c r="AB37" s="1">
        <f t="shared" si="21"/>
        <v>1</v>
      </c>
      <c r="AC37" s="1">
        <f t="shared" si="49"/>
        <v>1</v>
      </c>
      <c r="AD37" s="1">
        <f>ROUNDDOWN(I37*(1+IF(F37=3,0.05+方案参数!$Y$3+AA37*0.12,IF(F37=4,方案参数!$BZ$3*方案参数!$AS$3,0)))+IF(AND(X37=1,F37&lt;&gt;3),方案参数!$CC$3,0)+AC37*方案参数!$CB$3,0)</f>
        <v>3034</v>
      </c>
      <c r="AE37" s="1">
        <f>IF(OR(F37=1,F37=4),配置与结果!$B$24,配置与结果!$B$25)*MAX(0,1-INDEX(配置与结果!$I$15:$I$18,F37))</f>
        <v>1200</v>
      </c>
      <c r="AF37" s="1">
        <f>方案参数!$BL$3</f>
        <v>9</v>
      </c>
      <c r="AG37" s="1">
        <f>MAX(配置与结果!$B$32,1+INDEX(配置与结果!$F$15:$F$18,F37)+0.08+方案参数!$CD$3+Q37*方案参数!$W$3+Y37*(方案参数!$AN$3+MIN(方案参数!$AO$3,P37*0.03))+AB37*方案参数!$BZ$3*0.025-配置与结果!$B$28+方案参数!$AE$3)</f>
        <v>2.6150000000000002</v>
      </c>
      <c r="AH37" s="1">
        <f>MAX(0,1+V37*方案参数!$U$3+8*方案参数!$V$3+方案参数!$AE$3-配置与结果!$B$29)</f>
        <v>2.04</v>
      </c>
      <c r="AI37" s="1">
        <f>IF(OR(INDEX(配置与结果!$K$15:$K$18,F37)=1,G37="RHI_BERRY"),1+配置与结果!$B$33+P37*方案参数!$AH$3,1)</f>
        <v>1</v>
      </c>
      <c r="AJ37" s="1">
        <f>MIN(1,MAX(0,J37+方案参数!$AB$3-配置与结果!$B$27))</f>
        <v>1</v>
      </c>
      <c r="AK37" s="1">
        <f>MAX(1,K37+IF(F37=2,0.15+方案参数!$CH$3,0)+BN37*方案参数!$X$3+R37*方案参数!$AA$3+方案参数!$BP$3-配置与结果!$B$26+Z37*(方案参数!$AP$3+MIN(方案参数!$AQ$3,P37*0.03)))</f>
        <v>2.7650000000000001</v>
      </c>
      <c r="AL37" s="7">
        <f>ROUNDDOWN(MAX(AD37*配置与结果!$B$31,AD37-AE37)*AF37*AG37*AH37*AI37,0)</f>
        <v>88052</v>
      </c>
      <c r="AM37" s="7">
        <f>ROUNDDOWN(MAX(AD37*配置与结果!$B$31,AD37-AE37)*AF37*AG37*AH37*AI37*AK37,0)</f>
        <v>243466</v>
      </c>
      <c r="AN37" s="7">
        <f t="shared" si="0"/>
        <v>243466</v>
      </c>
      <c r="AO37" s="7">
        <f>0</f>
        <v>0</v>
      </c>
      <c r="AP37" s="7">
        <f>MAX(0,1+INDEX(配置与结果!$J$15:$J$18,F37)+IF(T37&gt;0,方案参数!$BY$3,0)-配置与结果!$B$30)</f>
        <v>1</v>
      </c>
      <c r="AQ37" s="7">
        <f t="shared" si="1"/>
        <v>0</v>
      </c>
      <c r="AR37" s="7">
        <f t="shared" si="2"/>
        <v>0</v>
      </c>
      <c r="AS37" s="7">
        <f t="shared" si="3"/>
        <v>0</v>
      </c>
      <c r="AT37" s="7">
        <f>IF(U37&gt;0,ROUNDDOWN(AL37*方案参数!$AF$3,0)*(1-AJ37)+ROUNDDOWN(AM37*方案参数!$AF$3,0)*AJ37,0)</f>
        <v>0</v>
      </c>
      <c r="AU37" s="7">
        <f t="shared" si="4"/>
        <v>243466</v>
      </c>
      <c r="AV37" s="1">
        <f t="shared" si="5"/>
        <v>2</v>
      </c>
      <c r="AW37" s="1">
        <f t="shared" si="56"/>
        <v>10</v>
      </c>
      <c r="AX37" s="1">
        <f t="shared" si="6"/>
        <v>2</v>
      </c>
      <c r="AY37" s="1">
        <f>MIN(20,MAX(0,O37+0+1-0))</f>
        <v>7</v>
      </c>
      <c r="AZ37" s="1">
        <f t="shared" si="7"/>
        <v>5</v>
      </c>
      <c r="BA37" s="1">
        <f t="shared" si="46"/>
        <v>5</v>
      </c>
      <c r="BB37" s="1">
        <f t="shared" si="55"/>
        <v>20</v>
      </c>
      <c r="BC37" s="1">
        <f t="shared" si="51"/>
        <v>3</v>
      </c>
      <c r="BD37" s="1">
        <f t="shared" si="32"/>
        <v>0</v>
      </c>
      <c r="BE37" s="1">
        <f>MAX(0,U37-IF(AF37&gt;0,1,0))+0</f>
        <v>0</v>
      </c>
      <c r="BF37" s="1">
        <f t="shared" si="57"/>
        <v>4</v>
      </c>
      <c r="BG37" s="1">
        <f t="shared" si="43"/>
        <v>1</v>
      </c>
      <c r="BH37" s="1">
        <f t="shared" si="25"/>
        <v>1</v>
      </c>
      <c r="BI37" s="1">
        <f t="shared" si="44"/>
        <v>1</v>
      </c>
      <c r="BJ37" s="1">
        <f t="shared" si="52"/>
        <v>1</v>
      </c>
      <c r="BK37" s="1">
        <f t="shared" si="53"/>
        <v>1</v>
      </c>
      <c r="BL37" s="1">
        <f t="shared" si="54"/>
        <v>1</v>
      </c>
      <c r="BM37" s="1">
        <f t="shared" si="50"/>
        <v>1</v>
      </c>
      <c r="BN37" s="1">
        <f t="shared" si="27"/>
        <v>1</v>
      </c>
      <c r="BO37" s="1">
        <f t="shared" si="28"/>
        <v>1</v>
      </c>
    </row>
    <row r="38" spans="1:67" ht="30.95" customHeight="1">
      <c r="A38" s="1">
        <f>0</f>
        <v>0</v>
      </c>
      <c r="B38" s="1">
        <f>固定流程!A38</f>
        <v>33</v>
      </c>
      <c r="C38" s="1">
        <f>3</f>
        <v>3</v>
      </c>
      <c r="D38" s="1">
        <f>2</f>
        <v>2</v>
      </c>
      <c r="E38" s="1">
        <f>固定流程!C38</f>
        <v>3</v>
      </c>
      <c r="F38" s="1">
        <f>固定流程!G38</f>
        <v>1</v>
      </c>
      <c r="G38" s="1" t="str">
        <f>固定流程!H38</f>
        <v>LILYA_WEAK</v>
      </c>
      <c r="H38" s="1">
        <f>固定流程!F38</f>
        <v>1</v>
      </c>
      <c r="I38" s="1">
        <f>INDEX(配置与结果!$B$15:$B$18,F38)</f>
        <v>2296</v>
      </c>
      <c r="J38" s="1">
        <f>INDEX(配置与结果!$D$15:$D$18,F38)</f>
        <v>0.7</v>
      </c>
      <c r="K38" s="1">
        <f>INDEX(配置与结果!$E$15:$E$18,F38)</f>
        <v>2.0249999999999999</v>
      </c>
      <c r="L38" s="1">
        <f t="shared" si="40"/>
        <v>2</v>
      </c>
      <c r="M38" s="1">
        <f t="shared" si="41"/>
        <v>10</v>
      </c>
      <c r="N38" s="1">
        <f t="shared" si="42"/>
        <v>2</v>
      </c>
      <c r="O38" s="1">
        <f t="shared" si="33"/>
        <v>7</v>
      </c>
      <c r="P38" s="1">
        <f>MIN(方案参数!$AI$3,AZ37+0+0)</f>
        <v>5</v>
      </c>
      <c r="Q38" s="1">
        <f t="shared" si="10"/>
        <v>5</v>
      </c>
      <c r="R38" s="1">
        <f t="shared" si="11"/>
        <v>20</v>
      </c>
      <c r="S38" s="1">
        <f t="shared" si="12"/>
        <v>3</v>
      </c>
      <c r="T38" s="1">
        <f t="shared" si="48"/>
        <v>0</v>
      </c>
      <c r="U38" s="1">
        <f t="shared" si="14"/>
        <v>0</v>
      </c>
      <c r="V38" s="1">
        <f t="shared" si="15"/>
        <v>4</v>
      </c>
      <c r="W38" s="1">
        <f t="shared" si="16"/>
        <v>1</v>
      </c>
      <c r="X38" s="1">
        <f t="shared" si="17"/>
        <v>1</v>
      </c>
      <c r="Y38" s="1">
        <f t="shared" si="18"/>
        <v>1</v>
      </c>
      <c r="Z38" s="1">
        <f t="shared" si="19"/>
        <v>1</v>
      </c>
      <c r="AA38" s="1">
        <f t="shared" si="45"/>
        <v>1</v>
      </c>
      <c r="AB38" s="1">
        <f t="shared" si="21"/>
        <v>1</v>
      </c>
      <c r="AC38" s="1">
        <f t="shared" si="49"/>
        <v>1</v>
      </c>
      <c r="AD38" s="1">
        <f>ROUNDDOWN(I38*(1+IF(F38=3,0.05+方案参数!$Y$3+AA38*0.12,IF(F38=4,方案参数!$BZ$3*方案参数!$AS$3,0)))+IF(AND(X38=1,F38&lt;&gt;3),方案参数!$CC$3,0)+AC38*方案参数!$CB$3,0)</f>
        <v>3034</v>
      </c>
      <c r="AE38" s="1">
        <f>IF(OR(F38=1,F38=4),配置与结果!$B$24,配置与结果!$B$25)*MAX(0,1-INDEX(配置与结果!$I$15:$I$18,F38))</f>
        <v>1200</v>
      </c>
      <c r="AF38" s="1">
        <f>方案参数!$BL$3</f>
        <v>9</v>
      </c>
      <c r="AG38" s="1">
        <f>MAX(配置与结果!$B$32,1+INDEX(配置与结果!$F$15:$F$18,F38)+0.08+方案参数!$CD$3+Q38*方案参数!$W$3+Y38*(方案参数!$AN$3+MIN(方案参数!$AO$3,P38*0.03))+AB38*方案参数!$BZ$3*0.025-配置与结果!$B$28+方案参数!$AE$3)</f>
        <v>2.6150000000000002</v>
      </c>
      <c r="AH38" s="1">
        <f>MAX(0,1+V38*方案参数!$U$3+9*方案参数!$V$3+方案参数!$AE$3-配置与结果!$B$29)</f>
        <v>2.1</v>
      </c>
      <c r="AI38" s="1">
        <f>IF(OR(INDEX(配置与结果!$K$15:$K$18,F38)=1,G38="RHI_BERRY"),1+配置与结果!$B$33+P38*方案参数!$AH$3,1)</f>
        <v>1</v>
      </c>
      <c r="AJ38" s="1">
        <f>MIN(1,MAX(0,J38+方案参数!$AB$3-配置与结果!$B$27))</f>
        <v>1</v>
      </c>
      <c r="AK38" s="1">
        <f>MAX(1,K38+IF(F38=2,0.15+方案参数!$CH$3,0)+BN38*方案参数!$X$3+R38*方案参数!$AA$3+方案参数!$BP$3-配置与结果!$B$26+Z38*(方案参数!$AP$3+MIN(方案参数!$AQ$3,P38*0.03)))</f>
        <v>2.7650000000000001</v>
      </c>
      <c r="AL38" s="7">
        <f>ROUNDDOWN(MAX(AD38*配置与结果!$B$31,AD38-AE38)*AF38*AG38*AH38*AI38,0)</f>
        <v>90642</v>
      </c>
      <c r="AM38" s="7">
        <f>ROUNDDOWN(MAX(AD38*配置与结果!$B$31,AD38-AE38)*AF38*AG38*AH38*AI38*AK38,0)</f>
        <v>250627</v>
      </c>
      <c r="AN38" s="7">
        <f t="shared" si="0"/>
        <v>250627</v>
      </c>
      <c r="AO38" s="7">
        <f>0</f>
        <v>0</v>
      </c>
      <c r="AP38" s="7">
        <f>MAX(0,1+INDEX(配置与结果!$J$15:$J$18,F38)+IF(T38&gt;0,方案参数!$BY$3,0)-配置与结果!$B$30)</f>
        <v>1</v>
      </c>
      <c r="AQ38" s="7">
        <f t="shared" si="1"/>
        <v>0</v>
      </c>
      <c r="AR38" s="7">
        <f t="shared" si="2"/>
        <v>0</v>
      </c>
      <c r="AS38" s="7">
        <f t="shared" si="3"/>
        <v>0</v>
      </c>
      <c r="AT38" s="7">
        <f>IF(U38&gt;0,ROUNDDOWN(AL38*方案参数!$AF$3,0)*(1-AJ38)+ROUNDDOWN(AM38*方案参数!$AF$3,0)*AJ38,0)</f>
        <v>0</v>
      </c>
      <c r="AU38" s="7">
        <f t="shared" si="4"/>
        <v>250627</v>
      </c>
      <c r="AV38" s="1">
        <f t="shared" si="5"/>
        <v>2</v>
      </c>
      <c r="AW38" s="1">
        <f t="shared" si="56"/>
        <v>10</v>
      </c>
      <c r="AX38" s="1">
        <f t="shared" si="6"/>
        <v>2</v>
      </c>
      <c r="AY38" s="1">
        <f>MIN(20,MAX(0,O38+0+1-0))</f>
        <v>8</v>
      </c>
      <c r="AZ38" s="1">
        <f t="shared" si="7"/>
        <v>5</v>
      </c>
      <c r="BA38" s="1">
        <f t="shared" si="46"/>
        <v>5</v>
      </c>
      <c r="BB38" s="1">
        <f t="shared" si="55"/>
        <v>20</v>
      </c>
      <c r="BC38" s="1">
        <f t="shared" si="51"/>
        <v>3</v>
      </c>
      <c r="BD38" s="1">
        <f t="shared" si="32"/>
        <v>0</v>
      </c>
      <c r="BE38" s="1">
        <f>MAX(0,U38-IF(AF38&gt;0,1,0))+0</f>
        <v>0</v>
      </c>
      <c r="BF38" s="1">
        <f t="shared" si="57"/>
        <v>4</v>
      </c>
      <c r="BG38" s="1">
        <f t="shared" si="43"/>
        <v>1</v>
      </c>
      <c r="BH38" s="1">
        <f t="shared" si="25"/>
        <v>1</v>
      </c>
      <c r="BI38" s="1">
        <f t="shared" si="44"/>
        <v>1</v>
      </c>
      <c r="BJ38" s="1">
        <f t="shared" si="52"/>
        <v>1</v>
      </c>
      <c r="BK38" s="1">
        <f t="shared" si="53"/>
        <v>1</v>
      </c>
      <c r="BL38" s="1">
        <f t="shared" si="54"/>
        <v>1</v>
      </c>
      <c r="BM38" s="1">
        <f t="shared" si="50"/>
        <v>1</v>
      </c>
      <c r="BN38" s="1">
        <f t="shared" si="27"/>
        <v>1</v>
      </c>
      <c r="BO38" s="1">
        <f t="shared" si="28"/>
        <v>1</v>
      </c>
    </row>
    <row r="39" spans="1:67" ht="30.95" customHeight="1">
      <c r="A39" s="1">
        <f>0</f>
        <v>0</v>
      </c>
      <c r="B39" s="1">
        <f>固定流程!A39</f>
        <v>34</v>
      </c>
      <c r="C39" s="1">
        <f>3</f>
        <v>3</v>
      </c>
      <c r="D39" s="1">
        <f>2</f>
        <v>2</v>
      </c>
      <c r="E39" s="1">
        <f>固定流程!C39</f>
        <v>3</v>
      </c>
      <c r="F39" s="1">
        <f>固定流程!G39</f>
        <v>2</v>
      </c>
      <c r="G39" s="1" t="str">
        <f>固定流程!H39</f>
        <v>37_WEAK</v>
      </c>
      <c r="H39" s="1">
        <f>固定流程!F39</f>
        <v>1</v>
      </c>
      <c r="I39" s="1">
        <f>INDEX(配置与结果!$B$15:$B$18,F39)</f>
        <v>2306</v>
      </c>
      <c r="J39" s="1">
        <f>INDEX(配置与结果!$D$15:$D$18,F39)</f>
        <v>0.46</v>
      </c>
      <c r="K39" s="1">
        <f>INDEX(配置与结果!$E$15:$E$18,F39)</f>
        <v>1.9279999999999999</v>
      </c>
      <c r="L39" s="1">
        <f t="shared" si="40"/>
        <v>2</v>
      </c>
      <c r="M39" s="1">
        <f t="shared" si="41"/>
        <v>10</v>
      </c>
      <c r="N39" s="1">
        <f t="shared" si="42"/>
        <v>2</v>
      </c>
      <c r="O39" s="1">
        <f t="shared" si="33"/>
        <v>8</v>
      </c>
      <c r="P39" s="1">
        <f>MIN(方案参数!$AI$3,AZ38+0+0)</f>
        <v>5</v>
      </c>
      <c r="Q39" s="1">
        <f t="shared" si="10"/>
        <v>5</v>
      </c>
      <c r="R39" s="1">
        <f t="shared" si="11"/>
        <v>20</v>
      </c>
      <c r="S39" s="1">
        <f t="shared" si="12"/>
        <v>3</v>
      </c>
      <c r="T39" s="1">
        <f t="shared" si="48"/>
        <v>0</v>
      </c>
      <c r="U39" s="1">
        <f t="shared" si="14"/>
        <v>0</v>
      </c>
      <c r="V39" s="1">
        <f t="shared" si="15"/>
        <v>4</v>
      </c>
      <c r="W39" s="1">
        <f t="shared" si="16"/>
        <v>1</v>
      </c>
      <c r="X39" s="1">
        <f t="shared" si="17"/>
        <v>1</v>
      </c>
      <c r="Y39" s="1">
        <f t="shared" si="18"/>
        <v>1</v>
      </c>
      <c r="Z39" s="1">
        <f t="shared" si="19"/>
        <v>1</v>
      </c>
      <c r="AA39" s="1">
        <f t="shared" si="45"/>
        <v>1</v>
      </c>
      <c r="AB39" s="1">
        <f t="shared" si="21"/>
        <v>1</v>
      </c>
      <c r="AC39" s="1">
        <f t="shared" si="49"/>
        <v>1</v>
      </c>
      <c r="AD39" s="1">
        <f>ROUNDDOWN(I39*(1+IF(F39=3,0.05+方案参数!$Y$3+AA39*0.12,IF(F39=4,方案参数!$BZ$3*方案参数!$AS$3,0)))+IF(AND(X39=1,F39&lt;&gt;3),方案参数!$CC$3,0)+AC39*方案参数!$CB$3,0)</f>
        <v>3044</v>
      </c>
      <c r="AE39" s="1">
        <f>IF(OR(F39=1,F39=4),配置与结果!$B$24,配置与结果!$B$25)*MAX(0,1-INDEX(配置与结果!$I$15:$I$18,F39))</f>
        <v>1000</v>
      </c>
      <c r="AF39" s="1">
        <f>方案参数!$CE$3</f>
        <v>8</v>
      </c>
      <c r="AG39" s="1">
        <f>MAX(配置与结果!$B$32,1+INDEX(配置与结果!$F$15:$F$18,F39)+0+Q39*方案参数!$W$3+Y39*(方案参数!$AN$3+MIN(方案参数!$AO$3,P39*0.03))+AB39*方案参数!$BZ$3*0.025-配置与结果!$B$28+方案参数!$AE$3)</f>
        <v>2.2800000000000002</v>
      </c>
      <c r="AH39" s="1">
        <f>MAX(0,1+V39*方案参数!$U$3+方案参数!$AE$3-配置与结果!$B$29)</f>
        <v>1.56</v>
      </c>
      <c r="AI39" s="1">
        <f>IF(OR(INDEX(配置与结果!$K$15:$K$18,F39)=1,G39="RHI_BERRY"),1+配置与结果!$B$33+P39*方案参数!$AH$3,1)</f>
        <v>1</v>
      </c>
      <c r="AJ39" s="1">
        <f>MIN(1,MAX(0,J39+方案参数!$AB$3-配置与结果!$B$27))</f>
        <v>0.76</v>
      </c>
      <c r="AK39" s="1">
        <f>MAX(1,K39+IF(F39=2,0.15+方案参数!$CH$3,0)+BN39*方案参数!$X$3+R39*方案参数!$AA$3+0-配置与结果!$B$26+Z39*(方案参数!$AP$3+MIN(方案参数!$AQ$3,P39*0.03)))</f>
        <v>2.3380000000000001</v>
      </c>
      <c r="AL39" s="7">
        <f>ROUNDDOWN(MAX(AD39*配置与结果!$B$31,AD39-AE39)*AF39*AG39*AH39*AI39,0)</f>
        <v>58160</v>
      </c>
      <c r="AM39" s="7">
        <f>ROUNDDOWN(MAX(AD39*配置与结果!$B$31,AD39-AE39)*AF39*AG39*AH39*AI39*AK39,0)</f>
        <v>135979</v>
      </c>
      <c r="AN39" s="7">
        <f t="shared" si="0"/>
        <v>117302.44</v>
      </c>
      <c r="AO39" s="7">
        <f>0</f>
        <v>0</v>
      </c>
      <c r="AP39" s="7">
        <f>MAX(0,1+INDEX(配置与结果!$J$15:$J$18,F39)+IF(T39&gt;0,方案参数!$BY$3,0)-配置与结果!$B$30)</f>
        <v>1</v>
      </c>
      <c r="AQ39" s="7">
        <f t="shared" si="1"/>
        <v>0</v>
      </c>
      <c r="AR39" s="7">
        <f t="shared" si="2"/>
        <v>0</v>
      </c>
      <c r="AS39" s="7">
        <f t="shared" si="3"/>
        <v>0</v>
      </c>
      <c r="AT39" s="7">
        <f>IF(U39&gt;0,ROUNDDOWN(AL39*方案参数!$AF$3,0)*(1-AJ39)+ROUNDDOWN(AM39*方案参数!$AF$3,0)*AJ39,0)</f>
        <v>0</v>
      </c>
      <c r="AU39" s="7">
        <f t="shared" si="4"/>
        <v>117302.44</v>
      </c>
      <c r="AV39" s="1">
        <f t="shared" si="5"/>
        <v>2</v>
      </c>
      <c r="AW39" s="1">
        <f t="shared" si="56"/>
        <v>10</v>
      </c>
      <c r="AX39" s="1">
        <f t="shared" si="6"/>
        <v>2</v>
      </c>
      <c r="AY39" s="1">
        <f>MIN(20,MAX(0,O39+0+0-0))</f>
        <v>8</v>
      </c>
      <c r="AZ39" s="1">
        <f t="shared" si="7"/>
        <v>5</v>
      </c>
      <c r="BA39" s="1">
        <f t="shared" si="46"/>
        <v>5</v>
      </c>
      <c r="BB39" s="1">
        <f t="shared" si="55"/>
        <v>20</v>
      </c>
      <c r="BC39" s="1">
        <f t="shared" si="51"/>
        <v>3</v>
      </c>
      <c r="BD39" s="1">
        <f t="shared" si="32"/>
        <v>0</v>
      </c>
      <c r="BE39" s="1">
        <f>MAX(0,U39-IF(AF39&gt;0,1,0))+1</f>
        <v>1</v>
      </c>
      <c r="BF39" s="1">
        <f t="shared" si="57"/>
        <v>4</v>
      </c>
      <c r="BG39" s="1">
        <f t="shared" si="43"/>
        <v>1</v>
      </c>
      <c r="BH39" s="1">
        <f t="shared" si="25"/>
        <v>1</v>
      </c>
      <c r="BI39" s="1">
        <f t="shared" si="44"/>
        <v>1</v>
      </c>
      <c r="BJ39" s="1">
        <f t="shared" si="52"/>
        <v>1</v>
      </c>
      <c r="BK39" s="1">
        <f t="shared" si="53"/>
        <v>1</v>
      </c>
      <c r="BL39" s="1">
        <f t="shared" si="54"/>
        <v>1</v>
      </c>
      <c r="BM39" s="1">
        <f t="shared" si="50"/>
        <v>1</v>
      </c>
      <c r="BN39" s="1">
        <f t="shared" si="27"/>
        <v>1</v>
      </c>
      <c r="BO39" s="1">
        <f t="shared" si="28"/>
        <v>1</v>
      </c>
    </row>
    <row r="40" spans="1:67" ht="30.95" customHeight="1">
      <c r="A40" s="1">
        <f>0</f>
        <v>0</v>
      </c>
      <c r="B40" s="1">
        <f>固定流程!A40</f>
        <v>35</v>
      </c>
      <c r="C40" s="1">
        <f>3</f>
        <v>3</v>
      </c>
      <c r="D40" s="1">
        <f>2</f>
        <v>2</v>
      </c>
      <c r="E40" s="1">
        <f>固定流程!C40</f>
        <v>3</v>
      </c>
      <c r="F40" s="1">
        <f>固定流程!G40</f>
        <v>2</v>
      </c>
      <c r="G40" s="1" t="str">
        <f>固定流程!H40</f>
        <v>37_WEAK</v>
      </c>
      <c r="H40" s="1">
        <f>固定流程!F40</f>
        <v>1</v>
      </c>
      <c r="I40" s="1">
        <f>INDEX(配置与结果!$B$15:$B$18,F40)</f>
        <v>2306</v>
      </c>
      <c r="J40" s="1">
        <f>INDEX(配置与结果!$D$15:$D$18,F40)</f>
        <v>0.46</v>
      </c>
      <c r="K40" s="1">
        <f>INDEX(配置与结果!$E$15:$E$18,F40)</f>
        <v>1.9279999999999999</v>
      </c>
      <c r="L40" s="1">
        <f t="shared" si="40"/>
        <v>2</v>
      </c>
      <c r="M40" s="1">
        <f t="shared" si="41"/>
        <v>10</v>
      </c>
      <c r="N40" s="1">
        <f t="shared" si="42"/>
        <v>2</v>
      </c>
      <c r="O40" s="1">
        <f t="shared" si="33"/>
        <v>8</v>
      </c>
      <c r="P40" s="1">
        <f>MIN(方案参数!$AI$3,AZ39+0+0)</f>
        <v>5</v>
      </c>
      <c r="Q40" s="1">
        <f t="shared" si="10"/>
        <v>5</v>
      </c>
      <c r="R40" s="1">
        <f t="shared" si="11"/>
        <v>20</v>
      </c>
      <c r="S40" s="1">
        <f t="shared" si="12"/>
        <v>3</v>
      </c>
      <c r="T40" s="1">
        <f t="shared" si="48"/>
        <v>0</v>
      </c>
      <c r="U40" s="1">
        <f t="shared" si="14"/>
        <v>1</v>
      </c>
      <c r="V40" s="1">
        <f t="shared" si="15"/>
        <v>4</v>
      </c>
      <c r="W40" s="1">
        <f t="shared" si="16"/>
        <v>1</v>
      </c>
      <c r="X40" s="1">
        <f t="shared" si="17"/>
        <v>1</v>
      </c>
      <c r="Y40" s="1">
        <f t="shared" si="18"/>
        <v>1</v>
      </c>
      <c r="Z40" s="1">
        <f t="shared" si="19"/>
        <v>1</v>
      </c>
      <c r="AA40" s="1">
        <f t="shared" si="45"/>
        <v>1</v>
      </c>
      <c r="AB40" s="1">
        <f t="shared" si="21"/>
        <v>1</v>
      </c>
      <c r="AC40" s="1">
        <f t="shared" si="49"/>
        <v>1</v>
      </c>
      <c r="AD40" s="1">
        <f>ROUNDDOWN(I40*(1+IF(F40=3,0.05+方案参数!$Y$3+AA40*0.12,IF(F40=4,方案参数!$BZ$3*方案参数!$AS$3,0)))+IF(AND(X40=1,F40&lt;&gt;3),方案参数!$CC$3,0)+AC40*方案参数!$CB$3,0)</f>
        <v>3044</v>
      </c>
      <c r="AE40" s="1">
        <f>IF(OR(F40=1,F40=4),配置与结果!$B$24,配置与结果!$B$25)*MAX(0,1-INDEX(配置与结果!$I$15:$I$18,F40))</f>
        <v>1000</v>
      </c>
      <c r="AF40" s="1">
        <f>方案参数!$CE$3</f>
        <v>8</v>
      </c>
      <c r="AG40" s="1">
        <f>MAX(配置与结果!$B$32,1+INDEX(配置与结果!$F$15:$F$18,F40)+0+Q40*方案参数!$W$3+Y40*(方案参数!$AN$3+MIN(方案参数!$AO$3,P40*0.03))+AB40*方案参数!$BZ$3*0.025-配置与结果!$B$28+方案参数!$AE$3)</f>
        <v>2.2800000000000002</v>
      </c>
      <c r="AH40" s="1">
        <f>MAX(0,1+V40*方案参数!$U$3+方案参数!$AE$3-配置与结果!$B$29)</f>
        <v>1.56</v>
      </c>
      <c r="AI40" s="1">
        <f>IF(OR(INDEX(配置与结果!$K$15:$K$18,F40)=1,G40="RHI_BERRY"),1+配置与结果!$B$33+P40*方案参数!$AH$3,1)</f>
        <v>1</v>
      </c>
      <c r="AJ40" s="1">
        <f>MIN(1,MAX(0,J40+方案参数!$AB$3-配置与结果!$B$27))</f>
        <v>0.76</v>
      </c>
      <c r="AK40" s="1">
        <f>MAX(1,K40+IF(F40=2,0.15+方案参数!$CH$3,0)+BN40*方案参数!$X$3+R40*方案参数!$AA$3+0-配置与结果!$B$26+Z40*(方案参数!$AP$3+MIN(方案参数!$AQ$3,P40*0.03)))</f>
        <v>2.3380000000000001</v>
      </c>
      <c r="AL40" s="7">
        <f>ROUNDDOWN(MAX(AD40*配置与结果!$B$31,AD40-AE40)*AF40*AG40*AH40*AI40,0)</f>
        <v>58160</v>
      </c>
      <c r="AM40" s="7">
        <f>ROUNDDOWN(MAX(AD40*配置与结果!$B$31,AD40-AE40)*AF40*AG40*AH40*AI40*AK40,0)</f>
        <v>135979</v>
      </c>
      <c r="AN40" s="7">
        <f t="shared" si="0"/>
        <v>117302.44</v>
      </c>
      <c r="AO40" s="7">
        <f>0</f>
        <v>0</v>
      </c>
      <c r="AP40" s="7">
        <f>MAX(0,1+INDEX(配置与结果!$J$15:$J$18,F40)+IF(T40&gt;0,方案参数!$BY$3,0)-配置与结果!$B$30)</f>
        <v>1</v>
      </c>
      <c r="AQ40" s="7">
        <f t="shared" si="1"/>
        <v>0</v>
      </c>
      <c r="AR40" s="7">
        <f t="shared" si="2"/>
        <v>0</v>
      </c>
      <c r="AS40" s="7">
        <f t="shared" si="3"/>
        <v>0</v>
      </c>
      <c r="AT40" s="7">
        <f>IF(U40&gt;0,ROUNDDOWN(AL40*方案参数!$AF$3,0)*(1-AJ40)+ROUNDDOWN(AM40*方案参数!$AF$3,0)*AJ40,0)</f>
        <v>46920.520000000004</v>
      </c>
      <c r="AU40" s="7">
        <f t="shared" si="4"/>
        <v>164222.96000000002</v>
      </c>
      <c r="AV40" s="1">
        <f t="shared" si="5"/>
        <v>2</v>
      </c>
      <c r="AW40" s="1">
        <f t="shared" si="56"/>
        <v>10</v>
      </c>
      <c r="AX40" s="1">
        <f t="shared" si="6"/>
        <v>2</v>
      </c>
      <c r="AY40" s="1">
        <f>MIN(20,MAX(0,O40+0+0-0))</f>
        <v>8</v>
      </c>
      <c r="AZ40" s="1">
        <f t="shared" si="7"/>
        <v>5</v>
      </c>
      <c r="BA40" s="1">
        <f t="shared" si="46"/>
        <v>5</v>
      </c>
      <c r="BB40" s="1">
        <f t="shared" si="55"/>
        <v>20</v>
      </c>
      <c r="BC40" s="1">
        <f t="shared" si="51"/>
        <v>3</v>
      </c>
      <c r="BD40" s="1">
        <f t="shared" si="32"/>
        <v>0</v>
      </c>
      <c r="BE40" s="1">
        <f>MAX(0,U40-IF(AF40&gt;0,1,0))+1</f>
        <v>1</v>
      </c>
      <c r="BF40" s="1">
        <f t="shared" si="57"/>
        <v>4</v>
      </c>
      <c r="BG40" s="1">
        <f t="shared" si="43"/>
        <v>1</v>
      </c>
      <c r="BH40" s="1">
        <f t="shared" si="25"/>
        <v>1</v>
      </c>
      <c r="BI40" s="1">
        <f t="shared" si="44"/>
        <v>1</v>
      </c>
      <c r="BJ40" s="1">
        <f t="shared" si="52"/>
        <v>1</v>
      </c>
      <c r="BK40" s="1">
        <f t="shared" si="53"/>
        <v>1</v>
      </c>
      <c r="BL40" s="1">
        <f t="shared" si="54"/>
        <v>1</v>
      </c>
      <c r="BM40" s="1">
        <f t="shared" si="50"/>
        <v>1</v>
      </c>
      <c r="BN40" s="1">
        <f t="shared" si="27"/>
        <v>1</v>
      </c>
      <c r="BO40" s="1">
        <f t="shared" si="28"/>
        <v>1</v>
      </c>
    </row>
    <row r="41" spans="1:67" ht="30.95" customHeight="1">
      <c r="A41" s="1">
        <f>0</f>
        <v>0</v>
      </c>
      <c r="B41" s="1">
        <f>固定流程!A41</f>
        <v>36</v>
      </c>
      <c r="C41" s="1">
        <f>3</f>
        <v>3</v>
      </c>
      <c r="D41" s="1">
        <f>2</f>
        <v>2</v>
      </c>
      <c r="E41" s="1">
        <f>固定流程!C41</f>
        <v>3</v>
      </c>
      <c r="F41" s="1">
        <f>固定流程!G41</f>
        <v>1</v>
      </c>
      <c r="G41" s="1" t="str">
        <f>固定流程!H41</f>
        <v>LILYA_FINISH</v>
      </c>
      <c r="H41" s="1">
        <f>固定流程!F41</f>
        <v>1</v>
      </c>
      <c r="I41" s="1">
        <f>INDEX(配置与结果!$B$15:$B$18,F41)</f>
        <v>2296</v>
      </c>
      <c r="J41" s="1">
        <f>INDEX(配置与结果!$D$15:$D$18,F41)</f>
        <v>0.7</v>
      </c>
      <c r="K41" s="1">
        <f>INDEX(配置与结果!$E$15:$E$18,F41)</f>
        <v>2.0249999999999999</v>
      </c>
      <c r="L41" s="1">
        <f t="shared" si="40"/>
        <v>2</v>
      </c>
      <c r="M41" s="1">
        <f t="shared" si="41"/>
        <v>10</v>
      </c>
      <c r="N41" s="1">
        <f t="shared" si="42"/>
        <v>2</v>
      </c>
      <c r="O41" s="1">
        <f t="shared" si="33"/>
        <v>8</v>
      </c>
      <c r="P41" s="1">
        <f>MIN(方案参数!$AI$3,AZ40+0+0)</f>
        <v>5</v>
      </c>
      <c r="Q41" s="1">
        <f t="shared" si="10"/>
        <v>5</v>
      </c>
      <c r="R41" s="1">
        <f t="shared" si="11"/>
        <v>20</v>
      </c>
      <c r="S41" s="1">
        <f t="shared" si="12"/>
        <v>3</v>
      </c>
      <c r="T41" s="1">
        <f t="shared" si="48"/>
        <v>0</v>
      </c>
      <c r="U41" s="1">
        <f t="shared" si="14"/>
        <v>1</v>
      </c>
      <c r="V41" s="1">
        <f t="shared" si="15"/>
        <v>4</v>
      </c>
      <c r="W41" s="1">
        <f t="shared" si="16"/>
        <v>1</v>
      </c>
      <c r="X41" s="1">
        <f t="shared" si="17"/>
        <v>1</v>
      </c>
      <c r="Y41" s="1">
        <f t="shared" si="18"/>
        <v>1</v>
      </c>
      <c r="Z41" s="1">
        <f t="shared" si="19"/>
        <v>1</v>
      </c>
      <c r="AA41" s="1">
        <f t="shared" si="45"/>
        <v>1</v>
      </c>
      <c r="AB41" s="1">
        <f t="shared" si="21"/>
        <v>1</v>
      </c>
      <c r="AC41" s="1">
        <f t="shared" si="49"/>
        <v>1</v>
      </c>
      <c r="AD41" s="1">
        <f>ROUNDDOWN(I41*(1+IF(F41=3,0.05+方案参数!$Y$3+AA41*0.12,IF(F41=4,方案参数!$BZ$3*方案参数!$AS$3,0)))+IF(AND(X41=1,F41&lt;&gt;3),方案参数!$CC$3,0)+AC41*方案参数!$CB$3,0)</f>
        <v>3034</v>
      </c>
      <c r="AE41" s="1">
        <f>IF(OR(F41=1,F41=4),配置与结果!$B$24,配置与结果!$B$25)*MAX(0,1-INDEX(配置与结果!$I$15:$I$18,F41))</f>
        <v>1200</v>
      </c>
      <c r="AF41" s="1">
        <f>方案参数!$BN$3+12*方案参数!$BO$3</f>
        <v>48</v>
      </c>
      <c r="AG41" s="1">
        <f>MAX(配置与结果!$B$32,1+INDEX(配置与结果!$F$15:$F$18,F41)+0.08+方案参数!$CD$3+Q41*方案参数!$W$3+Y41*(方案参数!$AN$3+MIN(方案参数!$AO$3,P41*0.03))+AB41*方案参数!$BZ$3*0.025-配置与结果!$B$28+方案参数!$AE$3)</f>
        <v>2.6150000000000002</v>
      </c>
      <c r="AH41" s="1">
        <f>MAX(0,1+V41*方案参数!$U$3+12*方案参数!$V$3+方案参数!$AE$3-配置与结果!$B$29)</f>
        <v>2.2799999999999998</v>
      </c>
      <c r="AI41" s="1">
        <f>IF(OR(INDEX(配置与结果!$K$15:$K$18,F41)=1,G41="RHI_BERRY"),1+配置与结果!$B$33+P41*方案参数!$AH$3,1)</f>
        <v>1</v>
      </c>
      <c r="AJ41" s="1">
        <f>MIN(1,MAX(0,J41+方案参数!$AB$3-配置与结果!$B$27))</f>
        <v>1</v>
      </c>
      <c r="AK41" s="1">
        <f>MAX(1,K41+IF(F41=2,0.15+方案参数!$CH$3,0)+BN41*方案参数!$X$3+R41*方案参数!$AA$3+方案参数!$BR$3-配置与结果!$B$26+Z41*(方案参数!$AP$3+MIN(方案参数!$AQ$3,P41*0.03)))</f>
        <v>3.165</v>
      </c>
      <c r="AL41" s="7">
        <f>ROUNDDOWN(MAX(AD41*配置与结果!$B$31,AD41-AE41)*AF41*AG41*AH41*AI41,0)</f>
        <v>524864</v>
      </c>
      <c r="AM41" s="7">
        <f>ROUNDDOWN(MAX(AD41*配置与结果!$B$31,AD41-AE41)*AF41*AG41*AH41*AI41*AK41,0)</f>
        <v>1661195</v>
      </c>
      <c r="AN41" s="7">
        <f t="shared" si="0"/>
        <v>1661195</v>
      </c>
      <c r="AO41" s="7">
        <f>0</f>
        <v>0</v>
      </c>
      <c r="AP41" s="7">
        <f>MAX(0,1+INDEX(配置与结果!$J$15:$J$18,F41)+IF(T41&gt;0,方案参数!$BY$3,0)-配置与结果!$B$30)</f>
        <v>1</v>
      </c>
      <c r="AQ41" s="7">
        <f t="shared" si="1"/>
        <v>0</v>
      </c>
      <c r="AR41" s="7">
        <f t="shared" si="2"/>
        <v>0</v>
      </c>
      <c r="AS41" s="7">
        <f t="shared" si="3"/>
        <v>0</v>
      </c>
      <c r="AT41" s="7">
        <f>IF(U41&gt;0,ROUNDDOWN(AL41*方案参数!$AF$3,0)*(1-AJ41)+ROUNDDOWN(AM41*方案参数!$AF$3,0)*AJ41,0)</f>
        <v>664478</v>
      </c>
      <c r="AU41" s="7">
        <f t="shared" si="4"/>
        <v>2325673</v>
      </c>
      <c r="AV41" s="1">
        <f t="shared" si="5"/>
        <v>2</v>
      </c>
      <c r="AW41" s="1">
        <f t="shared" si="56"/>
        <v>10</v>
      </c>
      <c r="AX41" s="1">
        <f t="shared" si="6"/>
        <v>2</v>
      </c>
      <c r="AY41" s="1">
        <f>MIN(20,MAX(0,O41+0+1-0))</f>
        <v>9</v>
      </c>
      <c r="AZ41" s="1">
        <f t="shared" si="7"/>
        <v>5</v>
      </c>
      <c r="BA41" s="1">
        <f t="shared" si="46"/>
        <v>5</v>
      </c>
      <c r="BB41" s="1">
        <f t="shared" si="55"/>
        <v>20</v>
      </c>
      <c r="BC41" s="1">
        <f t="shared" si="51"/>
        <v>3</v>
      </c>
      <c r="BD41" s="1">
        <f t="shared" si="32"/>
        <v>0</v>
      </c>
      <c r="BE41" s="1">
        <f>MAX(0,U41-IF(AF41&gt;0,1,0))+0</f>
        <v>0</v>
      </c>
      <c r="BF41" s="1">
        <f t="shared" si="57"/>
        <v>4</v>
      </c>
      <c r="BG41" s="1">
        <f t="shared" si="43"/>
        <v>1</v>
      </c>
      <c r="BH41" s="1">
        <f t="shared" si="25"/>
        <v>1</v>
      </c>
      <c r="BI41" s="1">
        <f t="shared" si="44"/>
        <v>1</v>
      </c>
      <c r="BJ41" s="1">
        <f t="shared" si="52"/>
        <v>1</v>
      </c>
      <c r="BK41" s="1">
        <f t="shared" si="53"/>
        <v>1</v>
      </c>
      <c r="BL41" s="1">
        <f t="shared" si="54"/>
        <v>1</v>
      </c>
      <c r="BM41" s="1">
        <f t="shared" si="50"/>
        <v>1</v>
      </c>
      <c r="BN41" s="1">
        <f t="shared" si="27"/>
        <v>1</v>
      </c>
      <c r="BO41" s="1">
        <f t="shared" si="28"/>
        <v>1</v>
      </c>
    </row>
    <row r="42" spans="1:67" ht="30.95" customHeight="1">
      <c r="A42" s="1">
        <f>1</f>
        <v>1</v>
      </c>
      <c r="B42" s="1">
        <f>固定流程!A6</f>
        <v>1</v>
      </c>
      <c r="C42" s="1">
        <f>4</f>
        <v>4</v>
      </c>
      <c r="D42" s="1">
        <f>1</f>
        <v>1</v>
      </c>
      <c r="E42" s="1">
        <f>固定流程!C6</f>
        <v>1</v>
      </c>
      <c r="F42" s="1">
        <f>固定流程!G6</f>
        <v>3</v>
      </c>
      <c r="G42" s="1" t="str">
        <f>固定流程!H6</f>
        <v>RHI_ULT</v>
      </c>
      <c r="H42" s="1">
        <f>固定流程!F6</f>
        <v>1</v>
      </c>
      <c r="I42" s="1">
        <f>INDEX(配置与结果!$B$15:$B$18,F42)</f>
        <v>2597</v>
      </c>
      <c r="J42" s="1">
        <f>INDEX(配置与结果!$D$15:$D$18,F42)</f>
        <v>0.255</v>
      </c>
      <c r="K42" s="1">
        <f>INDEX(配置与结果!$E$15:$E$18,F42)</f>
        <v>1.55</v>
      </c>
      <c r="L42" s="1">
        <f>0</f>
        <v>0</v>
      </c>
      <c r="M42" s="1">
        <f>0</f>
        <v>0</v>
      </c>
      <c r="N42" s="1">
        <f>0</f>
        <v>0</v>
      </c>
      <c r="O42" s="1">
        <f>0</f>
        <v>0</v>
      </c>
      <c r="P42" s="1">
        <f>MIN(方案参数!$AI$4,0+方案参数!$AJ$4+0)</f>
        <v>1</v>
      </c>
      <c r="Q42" s="1">
        <f>0</f>
        <v>0</v>
      </c>
      <c r="R42" s="1">
        <f>0</f>
        <v>0</v>
      </c>
      <c r="S42" s="1">
        <f>0</f>
        <v>0</v>
      </c>
      <c r="T42" s="1">
        <f>0+0</f>
        <v>0</v>
      </c>
      <c r="U42" s="1">
        <f>0</f>
        <v>0</v>
      </c>
      <c r="V42" s="1">
        <f>0</f>
        <v>0</v>
      </c>
      <c r="W42" s="1">
        <f>0</f>
        <v>0</v>
      </c>
      <c r="X42" s="1">
        <f>0</f>
        <v>0</v>
      </c>
      <c r="Y42" s="1">
        <f>0</f>
        <v>0</v>
      </c>
      <c r="Z42" s="1">
        <f>0</f>
        <v>0</v>
      </c>
      <c r="AA42" s="1">
        <f>MAX(0,0)</f>
        <v>0</v>
      </c>
      <c r="AB42" s="1">
        <f>0</f>
        <v>0</v>
      </c>
      <c r="AC42" s="1">
        <f>MAX(0,0)</f>
        <v>0</v>
      </c>
      <c r="AD42" s="1">
        <f>ROUNDDOWN(I42*(1+IF(F42=3,0.05+方案参数!$Y$4+AA42*0.12,IF(F42=4,方案参数!$BZ$4*方案参数!$AS$4,0)))+IF(AND(X42=1,F42&lt;&gt;3),方案参数!$CC$4,0)+AC42*方案参数!$CB$4,0)</f>
        <v>2986</v>
      </c>
      <c r="AE42" s="1">
        <f>IF(OR(F42=1,F42=4),配置与结果!$B$24,配置与结果!$B$25)*MAX(0,1-INDEX(配置与结果!$I$15:$I$18,F42))</f>
        <v>1000</v>
      </c>
      <c r="AF42" s="1">
        <f>0</f>
        <v>0</v>
      </c>
      <c r="AG42" s="1">
        <f>MAX(配置与结果!$B$32,1+INDEX(配置与结果!$F$15:$F$18,F42)+0+Q42*方案参数!$W$4+Y42*(方案参数!$AN$4+MIN(方案参数!$AO$4,P42*0.03))+AB42*方案参数!$BZ$4*0.025-配置与结果!$B$28)</f>
        <v>0.6349999999999999</v>
      </c>
      <c r="AH42" s="1">
        <f>MAX(0,1+INDEX(配置与结果!$G$15:$G$18,F42)+W42*方案参数!$AG$4)</f>
        <v>1</v>
      </c>
      <c r="AI42" s="1">
        <f>IF(OR(INDEX(配置与结果!$K$15:$K$18,F42)=1,G42="RHI_BERRY"),1+配置与结果!$B$33+P42*方案参数!$AH$4,1)</f>
        <v>1</v>
      </c>
      <c r="AJ42" s="1">
        <f>MIN(1,MAX(0,J42+方案参数!$AB$4-配置与结果!$B$27))</f>
        <v>0.55499999999999994</v>
      </c>
      <c r="AK42" s="1">
        <f>MAX(1,K42+IF(F42=2,0.15+方案参数!$CH$4,0)+BN42*方案参数!$X$4+R42*方案参数!$AA$4+0-配置与结果!$B$26+Z42*(方案参数!$AP$4+MIN(方案参数!$AQ$4,P42*0.03)))</f>
        <v>1.1499999999999999</v>
      </c>
      <c r="AL42" s="7">
        <f>ROUNDDOWN(MAX(AD42*配置与结果!$B$31,AD42-AE42)*AF42*AG42*AH42*AI42,0)</f>
        <v>0</v>
      </c>
      <c r="AM42" s="7">
        <f>ROUNDDOWN(MAX(AD42*配置与结果!$B$31,AD42-AE42)*AF42*AG42*AH42*AI42*AK42,0)</f>
        <v>0</v>
      </c>
      <c r="AN42" s="7">
        <f t="shared" si="0"/>
        <v>0</v>
      </c>
      <c r="AO42" s="7">
        <f>0</f>
        <v>0</v>
      </c>
      <c r="AP42" s="7">
        <f>MAX(0,1+INDEX(配置与结果!$J$15:$J$18,F42)+IF(T42&gt;0,方案参数!$BY$4,0)-配置与结果!$B$30)</f>
        <v>1</v>
      </c>
      <c r="AQ42" s="7">
        <f t="shared" si="1"/>
        <v>0</v>
      </c>
      <c r="AR42" s="7">
        <f t="shared" si="2"/>
        <v>0</v>
      </c>
      <c r="AS42" s="7">
        <f t="shared" si="3"/>
        <v>0</v>
      </c>
      <c r="AT42" s="7">
        <f>0</f>
        <v>0</v>
      </c>
      <c r="AU42" s="7">
        <f t="shared" si="4"/>
        <v>0</v>
      </c>
      <c r="AV42" s="1">
        <f t="shared" si="5"/>
        <v>0</v>
      </c>
      <c r="AW42" s="1">
        <f t="shared" si="56"/>
        <v>0</v>
      </c>
      <c r="AX42" s="1">
        <f t="shared" si="6"/>
        <v>0</v>
      </c>
      <c r="AY42" s="1">
        <f>MIN(20,MAX(0,O42+0+0-0))</f>
        <v>0</v>
      </c>
      <c r="AZ42" s="1">
        <f t="shared" si="7"/>
        <v>1</v>
      </c>
      <c r="BA42" s="1">
        <f>MIN(6,Q42+1)</f>
        <v>1</v>
      </c>
      <c r="BB42" s="1">
        <f>MIN(30,R42+5)</f>
        <v>5</v>
      </c>
      <c r="BC42" s="1">
        <f t="shared" si="51"/>
        <v>0</v>
      </c>
      <c r="BD42" s="1">
        <f t="shared" si="32"/>
        <v>0</v>
      </c>
      <c r="BE42" s="1">
        <f>0</f>
        <v>0</v>
      </c>
      <c r="BF42" s="1">
        <f t="shared" si="57"/>
        <v>0</v>
      </c>
      <c r="BG42" s="1">
        <f t="shared" si="43"/>
        <v>0</v>
      </c>
      <c r="BH42" s="1">
        <f>MAX(X42,1)</f>
        <v>1</v>
      </c>
      <c r="BI42" s="1">
        <f t="shared" si="44"/>
        <v>0</v>
      </c>
      <c r="BJ42" s="1">
        <f t="shared" si="52"/>
        <v>0</v>
      </c>
      <c r="BK42" s="1">
        <f t="shared" si="53"/>
        <v>0</v>
      </c>
      <c r="BL42" s="1">
        <f t="shared" si="54"/>
        <v>0</v>
      </c>
      <c r="BM42" s="1">
        <f t="shared" si="50"/>
        <v>0</v>
      </c>
      <c r="BN42" s="1">
        <f>0</f>
        <v>0</v>
      </c>
      <c r="BO42" s="1">
        <f>MAX(BN42,1)</f>
        <v>1</v>
      </c>
    </row>
    <row r="43" spans="1:67" ht="30.95" customHeight="1">
      <c r="A43" s="1">
        <f>1</f>
        <v>1</v>
      </c>
      <c r="B43" s="1">
        <f>固定流程!A7</f>
        <v>2</v>
      </c>
      <c r="C43" s="1">
        <f>4</f>
        <v>4</v>
      </c>
      <c r="D43" s="1">
        <f>1</f>
        <v>1</v>
      </c>
      <c r="E43" s="1">
        <f>固定流程!C7</f>
        <v>1</v>
      </c>
      <c r="F43" s="1">
        <f>固定流程!G7</f>
        <v>3</v>
      </c>
      <c r="G43" s="1" t="str">
        <f>固定流程!H7</f>
        <v>RHI_BUFF</v>
      </c>
      <c r="H43" s="1">
        <f>固定流程!F7</f>
        <v>1</v>
      </c>
      <c r="I43" s="1">
        <f>INDEX(配置与结果!$B$15:$B$18,F43)</f>
        <v>2597</v>
      </c>
      <c r="J43" s="1">
        <f>INDEX(配置与结果!$D$15:$D$18,F43)</f>
        <v>0.255</v>
      </c>
      <c r="K43" s="1">
        <f>INDEX(配置与结果!$E$15:$E$18,F43)</f>
        <v>1.55</v>
      </c>
      <c r="L43" s="1">
        <f t="shared" ref="L43:O48" si="58">AV42</f>
        <v>0</v>
      </c>
      <c r="M43" s="1">
        <f t="shared" si="58"/>
        <v>0</v>
      </c>
      <c r="N43" s="1">
        <f t="shared" si="58"/>
        <v>0</v>
      </c>
      <c r="O43" s="1">
        <f t="shared" si="58"/>
        <v>0</v>
      </c>
      <c r="P43" s="1">
        <f>MIN(方案参数!$AI$4,AZ42+0+方案参数!$AK$4)</f>
        <v>3</v>
      </c>
      <c r="Q43" s="1">
        <f t="shared" ref="Q43:Q77" si="59">BA42</f>
        <v>1</v>
      </c>
      <c r="R43" s="1">
        <f t="shared" ref="R43:R77" si="60">BB42</f>
        <v>5</v>
      </c>
      <c r="S43" s="1">
        <f t="shared" ref="S43:S77" si="61">BC42</f>
        <v>0</v>
      </c>
      <c r="T43" s="1">
        <f t="shared" ref="T43:T56" si="62">BD42+0</f>
        <v>0</v>
      </c>
      <c r="U43" s="1">
        <f t="shared" ref="U43:U77" si="63">BE42</f>
        <v>0</v>
      </c>
      <c r="V43" s="1">
        <f t="shared" ref="V43:V77" si="64">BF42</f>
        <v>0</v>
      </c>
      <c r="W43" s="1">
        <f t="shared" ref="W43:W77" si="65">BG42</f>
        <v>0</v>
      </c>
      <c r="X43" s="1">
        <f t="shared" ref="X43:X77" si="66">BH42</f>
        <v>1</v>
      </c>
      <c r="Y43" s="1">
        <f t="shared" ref="Y43:Y77" si="67">BI42</f>
        <v>0</v>
      </c>
      <c r="Z43" s="1">
        <f t="shared" ref="Z43:Z77" si="68">BJ42</f>
        <v>0</v>
      </c>
      <c r="AA43" s="1">
        <f t="shared" ref="AA43:AA48" si="69">MAX(BK42,0)</f>
        <v>0</v>
      </c>
      <c r="AB43" s="1">
        <f t="shared" ref="AB43:AB77" si="70">BL42</f>
        <v>0</v>
      </c>
      <c r="AC43" s="1">
        <f t="shared" ref="AC43:AC56" si="71">MAX(BM42,0)</f>
        <v>0</v>
      </c>
      <c r="AD43" s="1">
        <f>ROUNDDOWN(I43*(1+IF(F43=3,0.05+方案参数!$Y$4+AA43*0.12,IF(F43=4,方案参数!$BZ$4*方案参数!$AS$4,0)))+IF(AND(X43=1,F43&lt;&gt;3),方案参数!$CC$4,0)+AC43*方案参数!$CB$4,0)</f>
        <v>2986</v>
      </c>
      <c r="AE43" s="1">
        <f>IF(OR(F43=1,F43=4),配置与结果!$B$24,配置与结果!$B$25)*MAX(0,1-INDEX(配置与结果!$I$15:$I$18,F43))</f>
        <v>1000</v>
      </c>
      <c r="AF43" s="1">
        <f>0</f>
        <v>0</v>
      </c>
      <c r="AG43" s="1">
        <f>MAX(配置与结果!$B$32,1+INDEX(配置与结果!$F$15:$F$18,F43)+0+Q43*方案参数!$W$4+Y43*(方案参数!$AN$4+MIN(方案参数!$AO$4,P43*0.03))+AB43*方案参数!$BZ$4*0.025-配置与结果!$B$28)</f>
        <v>0.65499999999999992</v>
      </c>
      <c r="AH43" s="1">
        <f>MAX(0,1+INDEX(配置与结果!$G$15:$G$18,F43)+W43*方案参数!$AG$4)</f>
        <v>1</v>
      </c>
      <c r="AI43" s="1">
        <f>IF(OR(INDEX(配置与结果!$K$15:$K$18,F43)=1,G43="RHI_BERRY"),1+配置与结果!$B$33+P43*方案参数!$AH$4,1)</f>
        <v>1</v>
      </c>
      <c r="AJ43" s="1">
        <f>MIN(1,MAX(0,J43+方案参数!$AB$4-配置与结果!$B$27))</f>
        <v>0.55499999999999994</v>
      </c>
      <c r="AK43" s="1">
        <f>MAX(1,K43+IF(F43=2,0.15+方案参数!$CH$4,0)+BN43*方案参数!$X$4+R43*方案参数!$AA$4+0-配置与结果!$B$26+Z43*(方案参数!$AP$4+MIN(方案参数!$AQ$4,P43*0.03)))</f>
        <v>1.33</v>
      </c>
      <c r="AL43" s="7">
        <f>ROUNDDOWN(MAX(AD43*配置与结果!$B$31,AD43-AE43)*AF43*AG43*AH43*AI43,0)</f>
        <v>0</v>
      </c>
      <c r="AM43" s="7">
        <f>ROUNDDOWN(MAX(AD43*配置与结果!$B$31,AD43-AE43)*AF43*AG43*AH43*AI43*AK43,0)</f>
        <v>0</v>
      </c>
      <c r="AN43" s="7">
        <f t="shared" si="0"/>
        <v>0</v>
      </c>
      <c r="AO43" s="7">
        <f>0</f>
        <v>0</v>
      </c>
      <c r="AP43" s="7">
        <f>MAX(0,1+INDEX(配置与结果!$J$15:$J$18,F43)+IF(T43&gt;0,方案参数!$BY$4,0)-配置与结果!$B$30)</f>
        <v>1</v>
      </c>
      <c r="AQ43" s="7">
        <f t="shared" si="1"/>
        <v>0</v>
      </c>
      <c r="AR43" s="7">
        <f t="shared" si="2"/>
        <v>0</v>
      </c>
      <c r="AS43" s="7">
        <f t="shared" si="3"/>
        <v>0</v>
      </c>
      <c r="AT43" s="7">
        <f>0</f>
        <v>0</v>
      </c>
      <c r="AU43" s="7">
        <f t="shared" si="4"/>
        <v>0</v>
      </c>
      <c r="AV43" s="1">
        <f t="shared" si="5"/>
        <v>0</v>
      </c>
      <c r="AW43" s="1">
        <f t="shared" si="56"/>
        <v>0</v>
      </c>
      <c r="AX43" s="1">
        <f t="shared" si="6"/>
        <v>0</v>
      </c>
      <c r="AY43" s="1">
        <f>MIN(20,MAX(0,O43+0+0-0))</f>
        <v>0</v>
      </c>
      <c r="AZ43" s="1">
        <f t="shared" si="7"/>
        <v>3</v>
      </c>
      <c r="BA43" s="1">
        <f>MIN(6,Q43+1)</f>
        <v>2</v>
      </c>
      <c r="BB43" s="1">
        <f t="shared" ref="BB43:BB56" si="72">MIN(30,R43+0)</f>
        <v>5</v>
      </c>
      <c r="BC43" s="1">
        <f t="shared" si="51"/>
        <v>0</v>
      </c>
      <c r="BD43" s="1">
        <f t="shared" si="32"/>
        <v>0</v>
      </c>
      <c r="BE43" s="1">
        <f t="shared" ref="BE43:BE64" si="73">BE42</f>
        <v>0</v>
      </c>
      <c r="BF43" s="1">
        <f t="shared" si="57"/>
        <v>0</v>
      </c>
      <c r="BG43" s="1">
        <f>MAX(W43,1)</f>
        <v>1</v>
      </c>
      <c r="BH43" s="1">
        <f t="shared" ref="BH43:BH77" si="74">MAX(X43,0)</f>
        <v>1</v>
      </c>
      <c r="BI43" s="1">
        <f>MAX(Y43,1)</f>
        <v>1</v>
      </c>
      <c r="BJ43" s="1">
        <f t="shared" si="52"/>
        <v>0</v>
      </c>
      <c r="BK43" s="1">
        <f t="shared" si="53"/>
        <v>0</v>
      </c>
      <c r="BL43" s="1">
        <f t="shared" si="54"/>
        <v>0</v>
      </c>
      <c r="BM43" s="1">
        <f t="shared" si="50"/>
        <v>0</v>
      </c>
      <c r="BN43" s="1">
        <f t="shared" ref="BN43:BN77" si="75">BO42</f>
        <v>1</v>
      </c>
      <c r="BO43" s="1">
        <f t="shared" ref="BO43:BO77" si="76">MAX(BN43,0)</f>
        <v>1</v>
      </c>
    </row>
    <row r="44" spans="1:67" ht="30.95" customHeight="1">
      <c r="A44" s="1">
        <f>1</f>
        <v>1</v>
      </c>
      <c r="B44" s="1">
        <f>固定流程!A8</f>
        <v>3</v>
      </c>
      <c r="C44" s="1">
        <f>4</f>
        <v>4</v>
      </c>
      <c r="D44" s="1">
        <f>1</f>
        <v>1</v>
      </c>
      <c r="E44" s="1">
        <f>固定流程!C8</f>
        <v>1</v>
      </c>
      <c r="F44" s="1">
        <f>固定流程!G8</f>
        <v>1</v>
      </c>
      <c r="G44" s="1" t="str">
        <f>固定流程!H8</f>
        <v>LILYA_COBRA</v>
      </c>
      <c r="H44" s="1">
        <f>固定流程!F8</f>
        <v>1</v>
      </c>
      <c r="I44" s="1">
        <f>INDEX(配置与结果!$B$15:$B$18,F44)</f>
        <v>2296</v>
      </c>
      <c r="J44" s="1">
        <f>INDEX(配置与结果!$D$15:$D$18,F44)</f>
        <v>0.7</v>
      </c>
      <c r="K44" s="1">
        <f>INDEX(配置与结果!$E$15:$E$18,F44)</f>
        <v>2.0249999999999999</v>
      </c>
      <c r="L44" s="1">
        <f t="shared" si="58"/>
        <v>0</v>
      </c>
      <c r="M44" s="1">
        <f t="shared" si="58"/>
        <v>0</v>
      </c>
      <c r="N44" s="1">
        <f t="shared" si="58"/>
        <v>0</v>
      </c>
      <c r="O44" s="1">
        <f t="shared" si="58"/>
        <v>0</v>
      </c>
      <c r="P44" s="1">
        <f>MIN(方案参数!$AI$4,AZ43+0+0)</f>
        <v>3</v>
      </c>
      <c r="Q44" s="1">
        <f t="shared" si="59"/>
        <v>2</v>
      </c>
      <c r="R44" s="1">
        <f t="shared" si="60"/>
        <v>5</v>
      </c>
      <c r="S44" s="1">
        <f t="shared" si="61"/>
        <v>0</v>
      </c>
      <c r="T44" s="1">
        <f t="shared" si="62"/>
        <v>0</v>
      </c>
      <c r="U44" s="1">
        <f t="shared" si="63"/>
        <v>0</v>
      </c>
      <c r="V44" s="1">
        <f t="shared" si="64"/>
        <v>0</v>
      </c>
      <c r="W44" s="1">
        <f t="shared" si="65"/>
        <v>1</v>
      </c>
      <c r="X44" s="1">
        <f t="shared" si="66"/>
        <v>1</v>
      </c>
      <c r="Y44" s="1">
        <f t="shared" si="67"/>
        <v>1</v>
      </c>
      <c r="Z44" s="1">
        <f t="shared" si="68"/>
        <v>0</v>
      </c>
      <c r="AA44" s="1">
        <f t="shared" si="69"/>
        <v>0</v>
      </c>
      <c r="AB44" s="1">
        <f t="shared" si="70"/>
        <v>0</v>
      </c>
      <c r="AC44" s="1">
        <f t="shared" si="71"/>
        <v>0</v>
      </c>
      <c r="AD44" s="1">
        <f>ROUNDDOWN(I44*(1+IF(F44=3,0.05+方案参数!$Y$4+AA44*0.12,IF(F44=4,方案参数!$BZ$4*方案参数!$AS$4,0)))+IF(AND(X44=1,F44&lt;&gt;3),方案参数!$CC$4,0)+AC44*方案参数!$CB$4,0)</f>
        <v>2534</v>
      </c>
      <c r="AE44" s="1">
        <f>IF(OR(F44=1,F44=4),配置与结果!$B$24,配置与结果!$B$25)*MAX(0,1-INDEX(配置与结果!$I$15:$I$18,F44))</f>
        <v>1200</v>
      </c>
      <c r="AF44" s="1">
        <f>0</f>
        <v>0</v>
      </c>
      <c r="AG44" s="1">
        <f>MAX(配置与结果!$B$32,1+INDEX(配置与结果!$F$15:$F$18,F44)+0.08+方案参数!$CD$4+Q44*方案参数!$W$4+Y44*(方案参数!$AN$4+MIN(方案参数!$AO$4,P44*0.03))+AB44*方案参数!$BZ$4*0.025-配置与结果!$B$28)</f>
        <v>1.2200000000000002</v>
      </c>
      <c r="AH44" s="1">
        <f>MAX(0,1+INDEX(配置与结果!$G$15:$G$18,F44)+W44*方案参数!$AG$4)</f>
        <v>1.3</v>
      </c>
      <c r="AI44" s="1">
        <f>IF(OR(INDEX(配置与结果!$K$15:$K$18,F44)=1,G44="RHI_BERRY"),1+配置与结果!$B$33+P44*方案参数!$AH$4,1)</f>
        <v>1</v>
      </c>
      <c r="AJ44" s="1">
        <f>MIN(1,MAX(0,J44+方案参数!$AB$4-配置与结果!$B$27))</f>
        <v>1</v>
      </c>
      <c r="AK44" s="1">
        <f>MAX(1,K44+IF(F44=2,0.15+方案参数!$CH$4,0)+BN44*方案参数!$X$4+R44*方案参数!$AA$4+0-配置与结果!$B$26+Z44*(方案参数!$AP$4+MIN(方案参数!$AQ$4,P44*0.03)))</f>
        <v>1.8050000000000002</v>
      </c>
      <c r="AL44" s="7">
        <f>ROUNDDOWN(MAX(AD44*配置与结果!$B$31,AD44-AE44)*AF44*AG44*AH44*AI44,0)</f>
        <v>0</v>
      </c>
      <c r="AM44" s="7">
        <f>ROUNDDOWN(MAX(AD44*配置与结果!$B$31,AD44-AE44)*AF44*AG44*AH44*AI44*AK44,0)</f>
        <v>0</v>
      </c>
      <c r="AN44" s="7">
        <f t="shared" si="0"/>
        <v>0</v>
      </c>
      <c r="AO44" s="7">
        <f>0</f>
        <v>0</v>
      </c>
      <c r="AP44" s="7">
        <f>MAX(0,1+INDEX(配置与结果!$J$15:$J$18,F44)+IF(T44&gt;0,方案参数!$BY$4,0)-配置与结果!$B$30)</f>
        <v>1</v>
      </c>
      <c r="AQ44" s="7">
        <f t="shared" si="1"/>
        <v>0</v>
      </c>
      <c r="AR44" s="7">
        <f t="shared" si="2"/>
        <v>0</v>
      </c>
      <c r="AS44" s="7">
        <f t="shared" si="3"/>
        <v>0</v>
      </c>
      <c r="AT44" s="7">
        <f>0</f>
        <v>0</v>
      </c>
      <c r="AU44" s="7">
        <f t="shared" si="4"/>
        <v>0</v>
      </c>
      <c r="AV44" s="1">
        <f t="shared" si="5"/>
        <v>1</v>
      </c>
      <c r="AW44" s="1">
        <f>MIN(10,M44+方案参数!$BD$4+0)</f>
        <v>5</v>
      </c>
      <c r="AX44" s="1">
        <f t="shared" si="6"/>
        <v>0</v>
      </c>
      <c r="AY44" s="1">
        <f>MIN(20,MAX(0,O44+6+0-0))</f>
        <v>6</v>
      </c>
      <c r="AZ44" s="1">
        <f t="shared" si="7"/>
        <v>3</v>
      </c>
      <c r="BA44" s="1">
        <f>MIN(6,Q44+0)</f>
        <v>2</v>
      </c>
      <c r="BB44" s="1">
        <f t="shared" si="72"/>
        <v>5</v>
      </c>
      <c r="BC44" s="1">
        <f t="shared" si="51"/>
        <v>0</v>
      </c>
      <c r="BD44" s="1">
        <f t="shared" si="32"/>
        <v>0</v>
      </c>
      <c r="BE44" s="1">
        <f t="shared" si="73"/>
        <v>0</v>
      </c>
      <c r="BF44" s="1">
        <f t="shared" si="57"/>
        <v>0</v>
      </c>
      <c r="BG44" s="1">
        <f t="shared" ref="BG44:BG54" si="77">MAX(W44,0)</f>
        <v>1</v>
      </c>
      <c r="BH44" s="1">
        <f t="shared" si="74"/>
        <v>1</v>
      </c>
      <c r="BI44" s="1">
        <f t="shared" ref="BI44:BI54" si="78">MAX(Y44,0)</f>
        <v>1</v>
      </c>
      <c r="BJ44" s="1">
        <f t="shared" si="52"/>
        <v>0</v>
      </c>
      <c r="BK44" s="1">
        <f t="shared" si="53"/>
        <v>0</v>
      </c>
      <c r="BL44" s="1">
        <f t="shared" si="54"/>
        <v>0</v>
      </c>
      <c r="BM44" s="1">
        <f t="shared" si="50"/>
        <v>0</v>
      </c>
      <c r="BN44" s="1">
        <f t="shared" si="75"/>
        <v>1</v>
      </c>
      <c r="BO44" s="1">
        <f t="shared" si="76"/>
        <v>1</v>
      </c>
    </row>
    <row r="45" spans="1:67" ht="30.95" customHeight="1">
      <c r="A45" s="1">
        <f>1</f>
        <v>1</v>
      </c>
      <c r="B45" s="1">
        <f>固定流程!A9</f>
        <v>4</v>
      </c>
      <c r="C45" s="1">
        <f>4</f>
        <v>4</v>
      </c>
      <c r="D45" s="1">
        <f>1</f>
        <v>1</v>
      </c>
      <c r="E45" s="1">
        <f>固定流程!C9</f>
        <v>1</v>
      </c>
      <c r="F45" s="1">
        <f>固定流程!G9</f>
        <v>1</v>
      </c>
      <c r="G45" s="1" t="str">
        <f>固定流程!H9</f>
        <v>LILYA_DIVE</v>
      </c>
      <c r="H45" s="1">
        <f>固定流程!F9</f>
        <v>1</v>
      </c>
      <c r="I45" s="1">
        <f>INDEX(配置与结果!$B$15:$B$18,F45)</f>
        <v>2296</v>
      </c>
      <c r="J45" s="1">
        <f>INDEX(配置与结果!$D$15:$D$18,F45)</f>
        <v>0.7</v>
      </c>
      <c r="K45" s="1">
        <f>INDEX(配置与结果!$E$15:$E$18,F45)</f>
        <v>2.0249999999999999</v>
      </c>
      <c r="L45" s="1">
        <f t="shared" si="58"/>
        <v>1</v>
      </c>
      <c r="M45" s="1">
        <f t="shared" si="58"/>
        <v>5</v>
      </c>
      <c r="N45" s="1">
        <f t="shared" si="58"/>
        <v>0</v>
      </c>
      <c r="O45" s="1">
        <f t="shared" si="58"/>
        <v>6</v>
      </c>
      <c r="P45" s="1">
        <f>MIN(方案参数!$AI$4,AZ44+0+0)</f>
        <v>3</v>
      </c>
      <c r="Q45" s="1">
        <f t="shared" si="59"/>
        <v>2</v>
      </c>
      <c r="R45" s="1">
        <f t="shared" si="60"/>
        <v>5</v>
      </c>
      <c r="S45" s="1">
        <f t="shared" si="61"/>
        <v>0</v>
      </c>
      <c r="T45" s="1">
        <f t="shared" si="62"/>
        <v>0</v>
      </c>
      <c r="U45" s="1">
        <f t="shared" si="63"/>
        <v>0</v>
      </c>
      <c r="V45" s="1">
        <f t="shared" si="64"/>
        <v>0</v>
      </c>
      <c r="W45" s="1">
        <f t="shared" si="65"/>
        <v>1</v>
      </c>
      <c r="X45" s="1">
        <f t="shared" si="66"/>
        <v>1</v>
      </c>
      <c r="Y45" s="1">
        <f t="shared" si="67"/>
        <v>1</v>
      </c>
      <c r="Z45" s="1">
        <f t="shared" si="68"/>
        <v>0</v>
      </c>
      <c r="AA45" s="1">
        <f t="shared" si="69"/>
        <v>0</v>
      </c>
      <c r="AB45" s="1">
        <f t="shared" si="70"/>
        <v>0</v>
      </c>
      <c r="AC45" s="1">
        <f t="shared" si="71"/>
        <v>0</v>
      </c>
      <c r="AD45" s="1">
        <f>ROUNDDOWN(I45*(1+IF(F45=3,0.05+方案参数!$Y$4+AA45*0.12,IF(F45=4,方案参数!$BZ$4*方案参数!$AS$4,0)))+IF(AND(X45=1,F45&lt;&gt;3),方案参数!$CC$4,0)+AC45*方案参数!$CB$4,0)</f>
        <v>2534</v>
      </c>
      <c r="AE45" s="1">
        <f>IF(OR(F45=1,F45=4),配置与结果!$B$24,配置与结果!$B$25)*MAX(0,1-INDEX(配置与结果!$I$15:$I$18,F45))</f>
        <v>1200</v>
      </c>
      <c r="AF45" s="1">
        <f>(IF(L45=1,方案参数!$AW$4,IF(L45=2,方案参数!$AX$4,0))+方案参数!$AV$4)*H45</f>
        <v>9</v>
      </c>
      <c r="AG45" s="1">
        <f>MAX(配置与结果!$B$32,1+INDEX(配置与结果!$F$15:$F$18,F45)+0.08+方案参数!$CD$4+Q45*方案参数!$W$4+Y45*(方案参数!$AN$4+MIN(方案参数!$AO$4,P45*0.03))+AB45*方案参数!$BZ$4*0.025+IF(L45=1,方案参数!$AY$4+(H45-1)*0.1,IF(L45=2,方案参数!$AZ$4+(H45-1)*0.2,0))-配置与结果!$B$28)</f>
        <v>1.52</v>
      </c>
      <c r="AH45" s="1">
        <f>MAX(0,1+INDEX(配置与结果!$G$15:$G$18,F45)+W45*方案参数!$AG$4+IF(L45=1,方案参数!$BA$4,IF(L45=2,方案参数!$BB$4,0))+M45*方案参数!$BC$4)</f>
        <v>2.1999999999999997</v>
      </c>
      <c r="AI45" s="1">
        <f>IF(OR(INDEX(配置与结果!$K$15:$K$18,F45)=1,G45="RHI_BERRY"),1+配置与结果!$B$33+P45*方案参数!$AH$4,1)</f>
        <v>1</v>
      </c>
      <c r="AJ45" s="1">
        <f>MIN(1,MAX(0,J45+方案参数!$AB$4-配置与结果!$B$27))</f>
        <v>1</v>
      </c>
      <c r="AK45" s="1">
        <f>MAX(1,K45+IF(F45=2,0.15+方案参数!$CH$4,0)+BN45*方案参数!$X$4+R45*方案参数!$AA$4+0-配置与结果!$B$26+Z45*(方案参数!$AP$4+MIN(方案参数!$AQ$4,P45*0.03)))</f>
        <v>1.8050000000000002</v>
      </c>
      <c r="AL45" s="7">
        <f>ROUNDDOWN(MAX(AD45*配置与结果!$B$31,AD45-AE45)*AF45*AG45*AH45*AI45,0)</f>
        <v>40148</v>
      </c>
      <c r="AM45" s="7">
        <f>ROUNDDOWN(MAX(AD45*配置与结果!$B$31,AD45-AE45)*AF45*AG45*AH45*AI45*AK45,0)</f>
        <v>72467</v>
      </c>
      <c r="AN45" s="7">
        <f t="shared" si="0"/>
        <v>72467</v>
      </c>
      <c r="AO45" s="7">
        <f>0</f>
        <v>0</v>
      </c>
      <c r="AP45" s="7">
        <f>MAX(0,1+INDEX(配置与结果!$J$15:$J$18,F45)+IF(T45&gt;0,方案参数!$BY$4,0)-配置与结果!$B$30)</f>
        <v>1</v>
      </c>
      <c r="AQ45" s="7">
        <f t="shared" si="1"/>
        <v>0</v>
      </c>
      <c r="AR45" s="7">
        <f t="shared" si="2"/>
        <v>0</v>
      </c>
      <c r="AS45" s="7">
        <f t="shared" si="3"/>
        <v>0</v>
      </c>
      <c r="AT45" s="7">
        <f>0</f>
        <v>0</v>
      </c>
      <c r="AU45" s="7">
        <f t="shared" si="4"/>
        <v>72467</v>
      </c>
      <c r="AV45" s="1">
        <f t="shared" si="5"/>
        <v>1</v>
      </c>
      <c r="AW45" s="1">
        <f>MIN(10,M45+0+IF(L45=1,方案参数!$BE$4,0))</f>
        <v>7</v>
      </c>
      <c r="AX45" s="1">
        <f t="shared" si="6"/>
        <v>0</v>
      </c>
      <c r="AY45" s="1">
        <f t="shared" ref="AY45:AY60" si="79">MIN(20,MAX(0,O45+0+0-0))</f>
        <v>6</v>
      </c>
      <c r="AZ45" s="1">
        <f t="shared" si="7"/>
        <v>3</v>
      </c>
      <c r="BA45" s="1">
        <f>MIN(6,Q45+0)</f>
        <v>2</v>
      </c>
      <c r="BB45" s="1">
        <f t="shared" si="72"/>
        <v>5</v>
      </c>
      <c r="BC45" s="1">
        <f t="shared" si="51"/>
        <v>0</v>
      </c>
      <c r="BD45" s="1">
        <f t="shared" si="32"/>
        <v>0</v>
      </c>
      <c r="BE45" s="1">
        <f t="shared" si="73"/>
        <v>0</v>
      </c>
      <c r="BF45" s="1">
        <f t="shared" si="57"/>
        <v>0</v>
      </c>
      <c r="BG45" s="1">
        <f t="shared" si="77"/>
        <v>1</v>
      </c>
      <c r="BH45" s="1">
        <f t="shared" si="74"/>
        <v>1</v>
      </c>
      <c r="BI45" s="1">
        <f t="shared" si="78"/>
        <v>1</v>
      </c>
      <c r="BJ45" s="1">
        <f t="shared" si="52"/>
        <v>0</v>
      </c>
      <c r="BK45" s="1">
        <f t="shared" si="53"/>
        <v>0</v>
      </c>
      <c r="BL45" s="1">
        <f t="shared" si="54"/>
        <v>0</v>
      </c>
      <c r="BM45" s="1">
        <f t="shared" si="50"/>
        <v>0</v>
      </c>
      <c r="BN45" s="1">
        <f t="shared" si="75"/>
        <v>1</v>
      </c>
      <c r="BO45" s="1">
        <f t="shared" si="76"/>
        <v>1</v>
      </c>
    </row>
    <row r="46" spans="1:67" ht="30.95" customHeight="1">
      <c r="A46" s="1">
        <f>1</f>
        <v>1</v>
      </c>
      <c r="B46" s="1">
        <f>固定流程!A10</f>
        <v>5</v>
      </c>
      <c r="C46" s="1">
        <f>4</f>
        <v>4</v>
      </c>
      <c r="D46" s="1">
        <f>1</f>
        <v>1</v>
      </c>
      <c r="E46" s="1">
        <f>固定流程!C10</f>
        <v>1</v>
      </c>
      <c r="F46" s="1">
        <f>固定流程!G10</f>
        <v>2</v>
      </c>
      <c r="G46" s="1" t="str">
        <f>固定流程!H10</f>
        <v>37_TRIANGLE</v>
      </c>
      <c r="H46" s="1">
        <f>固定流程!F10</f>
        <v>1</v>
      </c>
      <c r="I46" s="1">
        <f>INDEX(配置与结果!$B$15:$B$18,F46)</f>
        <v>2306</v>
      </c>
      <c r="J46" s="1">
        <f>INDEX(配置与结果!$D$15:$D$18,F46)</f>
        <v>0.46</v>
      </c>
      <c r="K46" s="1">
        <f>INDEX(配置与结果!$E$15:$E$18,F46)</f>
        <v>1.9279999999999999</v>
      </c>
      <c r="L46" s="1">
        <f t="shared" si="58"/>
        <v>1</v>
      </c>
      <c r="M46" s="1">
        <f t="shared" si="58"/>
        <v>7</v>
      </c>
      <c r="N46" s="1">
        <f t="shared" si="58"/>
        <v>0</v>
      </c>
      <c r="O46" s="1">
        <f t="shared" si="58"/>
        <v>6</v>
      </c>
      <c r="P46" s="1">
        <f>MIN(方案参数!$AI$4,AZ45+0+0)</f>
        <v>3</v>
      </c>
      <c r="Q46" s="1">
        <f t="shared" si="59"/>
        <v>2</v>
      </c>
      <c r="R46" s="1">
        <f t="shared" si="60"/>
        <v>5</v>
      </c>
      <c r="S46" s="1">
        <f t="shared" si="61"/>
        <v>0</v>
      </c>
      <c r="T46" s="1">
        <f t="shared" si="62"/>
        <v>0</v>
      </c>
      <c r="U46" s="1">
        <f t="shared" si="63"/>
        <v>0</v>
      </c>
      <c r="V46" s="1">
        <f t="shared" si="64"/>
        <v>0</v>
      </c>
      <c r="W46" s="1">
        <f t="shared" si="65"/>
        <v>1</v>
      </c>
      <c r="X46" s="1">
        <f t="shared" si="66"/>
        <v>1</v>
      </c>
      <c r="Y46" s="1">
        <f t="shared" si="67"/>
        <v>1</v>
      </c>
      <c r="Z46" s="1">
        <f t="shared" si="68"/>
        <v>0</v>
      </c>
      <c r="AA46" s="1">
        <f t="shared" si="69"/>
        <v>0</v>
      </c>
      <c r="AB46" s="1">
        <f t="shared" si="70"/>
        <v>0</v>
      </c>
      <c r="AC46" s="1">
        <f t="shared" si="71"/>
        <v>0</v>
      </c>
      <c r="AD46" s="1">
        <f>ROUNDDOWN(I46*(1+IF(F46=3,0.05+方案参数!$Y$4+AA46*0.12,IF(F46=4,方案参数!$BZ$4*方案参数!$AS$4,0)))+IF(AND(X46=1,F46&lt;&gt;3),方案参数!$CC$4,0)+AC46*方案参数!$CB$4,0)</f>
        <v>2544</v>
      </c>
      <c r="AE46" s="1">
        <f>IF(OR(F46=1,F46=4),配置与结果!$B$24,配置与结果!$B$25)*MAX(0,1-INDEX(配置与结果!$I$15:$I$18,F46))</f>
        <v>1000</v>
      </c>
      <c r="AF46" s="1">
        <f>方案参数!$BS$4*IF(H46=1,1,IF(H46=2,1.5,2.5))</f>
        <v>2.8</v>
      </c>
      <c r="AG46" s="1">
        <f>MAX(配置与结果!$B$32,1+INDEX(配置与结果!$F$15:$F$18,F46)+0+Q46*方案参数!$W$4+Y46*(方案参数!$AN$4+MIN(方案参数!$AO$4,P46*0.03))+AB46*方案参数!$BZ$4*0.025-配置与结果!$B$28)</f>
        <v>0.8849999999999999</v>
      </c>
      <c r="AH46" s="1">
        <f>MAX(0,1+INDEX(配置与结果!$G$15:$G$18,F46)+W46*方案参数!$AG$4)</f>
        <v>1.3</v>
      </c>
      <c r="AI46" s="1">
        <f>IF(OR(INDEX(配置与结果!$K$15:$K$18,F46)=1,G46="RHI_BERRY"),1+配置与结果!$B$33+P46*方案参数!$AH$4,1)</f>
        <v>1</v>
      </c>
      <c r="AJ46" s="1">
        <f>MIN(1,MAX(0,J46+方案参数!$AB$4-配置与结果!$B$27))</f>
        <v>0.76</v>
      </c>
      <c r="AK46" s="1">
        <f>MAX(1,K46+IF(F46=2,0.15+方案参数!$CH$4,0)+BN46*方案参数!$X$4+R46*方案参数!$AA$4+0-配置与结果!$B$26+Z46*(方案参数!$AP$4+MIN(方案参数!$AQ$4,P46*0.03)))</f>
        <v>1.9780000000000002</v>
      </c>
      <c r="AL46" s="7">
        <f>ROUNDDOWN(MAX(AD46*配置与结果!$B$31,AD46-AE46)*AF46*AG46*AH46*AI46,0)</f>
        <v>4973</v>
      </c>
      <c r="AM46" s="7">
        <f>ROUNDDOWN(MAX(AD46*配置与结果!$B$31,AD46-AE46)*AF46*AG46*AH46*AI46*AK46,0)</f>
        <v>9838</v>
      </c>
      <c r="AN46" s="7">
        <f t="shared" si="0"/>
        <v>8670.4</v>
      </c>
      <c r="AO46" s="7">
        <f>方案参数!$BU$4*IF(H46=1,1,IF(H46=2,1.5,2.5))</f>
        <v>0.8</v>
      </c>
      <c r="AP46" s="7">
        <f>MAX(0,1+INDEX(配置与结果!$J$15:$J$18,F46)+IF(T46&gt;0,方案参数!$BY$4,0)-配置与结果!$B$30)</f>
        <v>1</v>
      </c>
      <c r="AQ46" s="7">
        <f t="shared" si="1"/>
        <v>2035</v>
      </c>
      <c r="AR46" s="7">
        <f t="shared" si="2"/>
        <v>4025</v>
      </c>
      <c r="AS46" s="7">
        <f t="shared" si="3"/>
        <v>3547.4</v>
      </c>
      <c r="AT46" s="7">
        <f>0</f>
        <v>0</v>
      </c>
      <c r="AU46" s="7">
        <f t="shared" si="4"/>
        <v>12217.8</v>
      </c>
      <c r="AV46" s="1">
        <f t="shared" si="5"/>
        <v>1</v>
      </c>
      <c r="AW46" s="1">
        <f>MIN(10,M46+0+0)</f>
        <v>7</v>
      </c>
      <c r="AX46" s="1">
        <f t="shared" si="6"/>
        <v>0</v>
      </c>
      <c r="AY46" s="1">
        <f t="shared" si="79"/>
        <v>6</v>
      </c>
      <c r="AZ46" s="1">
        <f t="shared" si="7"/>
        <v>3</v>
      </c>
      <c r="BA46" s="1">
        <f>MIN(6,Q46+0)</f>
        <v>2</v>
      </c>
      <c r="BB46" s="1">
        <f t="shared" si="72"/>
        <v>5</v>
      </c>
      <c r="BC46" s="1">
        <f t="shared" si="51"/>
        <v>0</v>
      </c>
      <c r="BD46" s="1">
        <f>MAX(0,T46-IF(AO46&gt;0,1,0))+1</f>
        <v>1</v>
      </c>
      <c r="BE46" s="1">
        <f t="shared" si="73"/>
        <v>0</v>
      </c>
      <c r="BF46" s="1">
        <f t="shared" si="57"/>
        <v>0</v>
      </c>
      <c r="BG46" s="1">
        <f t="shared" si="77"/>
        <v>1</v>
      </c>
      <c r="BH46" s="1">
        <f t="shared" si="74"/>
        <v>1</v>
      </c>
      <c r="BI46" s="1">
        <f t="shared" si="78"/>
        <v>1</v>
      </c>
      <c r="BJ46" s="1">
        <f t="shared" si="52"/>
        <v>0</v>
      </c>
      <c r="BK46" s="1">
        <f t="shared" si="53"/>
        <v>0</v>
      </c>
      <c r="BL46" s="1">
        <f t="shared" si="54"/>
        <v>0</v>
      </c>
      <c r="BM46" s="1">
        <f t="shared" si="50"/>
        <v>0</v>
      </c>
      <c r="BN46" s="1">
        <f t="shared" si="75"/>
        <v>1</v>
      </c>
      <c r="BO46" s="1">
        <f t="shared" si="76"/>
        <v>1</v>
      </c>
    </row>
    <row r="47" spans="1:67" ht="30.95" customHeight="1">
      <c r="A47" s="1">
        <f>1</f>
        <v>1</v>
      </c>
      <c r="B47" s="1">
        <f>固定流程!A11</f>
        <v>6</v>
      </c>
      <c r="C47" s="1">
        <f>4</f>
        <v>4</v>
      </c>
      <c r="D47" s="1">
        <f>1</f>
        <v>1</v>
      </c>
      <c r="E47" s="1">
        <f>固定流程!C11</f>
        <v>1</v>
      </c>
      <c r="F47" s="1">
        <f>固定流程!G11</f>
        <v>2</v>
      </c>
      <c r="G47" s="1" t="str">
        <f>固定流程!H11</f>
        <v>37_FOLLOW</v>
      </c>
      <c r="H47" s="1">
        <f>固定流程!F11</f>
        <v>1</v>
      </c>
      <c r="I47" s="1">
        <f>INDEX(配置与结果!$B$15:$B$18,F47)</f>
        <v>2306</v>
      </c>
      <c r="J47" s="1">
        <f>INDEX(配置与结果!$D$15:$D$18,F47)</f>
        <v>0.46</v>
      </c>
      <c r="K47" s="1">
        <f>INDEX(配置与结果!$E$15:$E$18,F47)</f>
        <v>1.9279999999999999</v>
      </c>
      <c r="L47" s="1">
        <f t="shared" si="58"/>
        <v>1</v>
      </c>
      <c r="M47" s="1">
        <f t="shared" si="58"/>
        <v>7</v>
      </c>
      <c r="N47" s="1">
        <f t="shared" si="58"/>
        <v>0</v>
      </c>
      <c r="O47" s="1">
        <f t="shared" si="58"/>
        <v>6</v>
      </c>
      <c r="P47" s="1">
        <f>MIN(方案参数!$AI$4,AZ46+0+0)</f>
        <v>3</v>
      </c>
      <c r="Q47" s="1">
        <f t="shared" si="59"/>
        <v>2</v>
      </c>
      <c r="R47" s="1">
        <f t="shared" si="60"/>
        <v>5</v>
      </c>
      <c r="S47" s="1">
        <f t="shared" si="61"/>
        <v>0</v>
      </c>
      <c r="T47" s="1">
        <f t="shared" si="62"/>
        <v>1</v>
      </c>
      <c r="U47" s="1">
        <f t="shared" si="63"/>
        <v>0</v>
      </c>
      <c r="V47" s="1">
        <f t="shared" si="64"/>
        <v>0</v>
      </c>
      <c r="W47" s="1">
        <f t="shared" si="65"/>
        <v>1</v>
      </c>
      <c r="X47" s="1">
        <f t="shared" si="66"/>
        <v>1</v>
      </c>
      <c r="Y47" s="1">
        <f t="shared" si="67"/>
        <v>1</v>
      </c>
      <c r="Z47" s="1">
        <f t="shared" si="68"/>
        <v>0</v>
      </c>
      <c r="AA47" s="1">
        <f t="shared" si="69"/>
        <v>0</v>
      </c>
      <c r="AB47" s="1">
        <f t="shared" si="70"/>
        <v>0</v>
      </c>
      <c r="AC47" s="1">
        <f t="shared" si="71"/>
        <v>0</v>
      </c>
      <c r="AD47" s="1">
        <f>ROUNDDOWN(I47*(1+IF(F47=3,0.05+方案参数!$Y$4+AA47*0.12,IF(F47=4,方案参数!$BZ$4*方案参数!$AS$4,0)))+IF(AND(X47=1,F47&lt;&gt;3),方案参数!$CC$4,0)+AC47*方案参数!$CB$4,0)</f>
        <v>2544</v>
      </c>
      <c r="AE47" s="1">
        <f>IF(OR(F47=1,F47=4),配置与结果!$B$24,配置与结果!$B$25)*MAX(0,1-INDEX(配置与结果!$I$15:$I$18,F47))</f>
        <v>1000</v>
      </c>
      <c r="AF47" s="1">
        <f>方案参数!$BV$4</f>
        <v>3</v>
      </c>
      <c r="AG47" s="1">
        <f>MAX(配置与结果!$B$32,1+INDEX(配置与结果!$F$15:$F$18,F47)+0+Q47*方案参数!$W$4+Y47*(方案参数!$AN$4+MIN(方案参数!$AO$4,P47*0.03))+AB47*方案参数!$BZ$4*0.025-配置与结果!$B$28)</f>
        <v>0.8849999999999999</v>
      </c>
      <c r="AH47" s="1">
        <f>MAX(0,1+INDEX(配置与结果!$G$15:$G$18,F47)+W47*方案参数!$AG$4)</f>
        <v>1.3</v>
      </c>
      <c r="AI47" s="1">
        <f>IF(OR(INDEX(配置与结果!$K$15:$K$18,F47)=1,G47="RHI_BERRY"),1+配置与结果!$B$33+P47*方案参数!$AH$4,1)</f>
        <v>1</v>
      </c>
      <c r="AJ47" s="1">
        <f>MIN(1,MAX(0,J47+方案参数!$AB$4-配置与结果!$B$27))</f>
        <v>0.76</v>
      </c>
      <c r="AK47" s="1">
        <f>MAX(1,K47+IF(F47=2,0.15+方案参数!$CH$4,0)+BN47*方案参数!$X$4+R47*方案参数!$AA$4+0-配置与结果!$B$26+Z47*(方案参数!$AP$4+MIN(方案参数!$AQ$4,P47*0.03)))</f>
        <v>1.9780000000000002</v>
      </c>
      <c r="AL47" s="7">
        <f>ROUNDDOWN(MAX(AD47*配置与结果!$B$31,AD47-AE47)*AF47*AG47*AH47*AI47,0)</f>
        <v>5329</v>
      </c>
      <c r="AM47" s="7">
        <f>ROUNDDOWN(MAX(AD47*配置与结果!$B$31,AD47-AE47)*AF47*AG47*AH47*AI47*AK47,0)</f>
        <v>10540</v>
      </c>
      <c r="AN47" s="7">
        <f t="shared" si="0"/>
        <v>9289.36</v>
      </c>
      <c r="AO47" s="7">
        <f>方案参数!$BW$4</f>
        <v>1</v>
      </c>
      <c r="AP47" s="7">
        <f>MAX(0,1+INDEX(配置与结果!$J$15:$J$18,F47)+IF(T47&gt;0,方案参数!$BY$4,0)-配置与结果!$B$30)</f>
        <v>2</v>
      </c>
      <c r="AQ47" s="7">
        <f t="shared" si="1"/>
        <v>5088</v>
      </c>
      <c r="AR47" s="7">
        <f t="shared" si="2"/>
        <v>10064</v>
      </c>
      <c r="AS47" s="7">
        <f t="shared" si="3"/>
        <v>8869.76</v>
      </c>
      <c r="AT47" s="7">
        <f>0</f>
        <v>0</v>
      </c>
      <c r="AU47" s="7">
        <f t="shared" si="4"/>
        <v>18159.120000000003</v>
      </c>
      <c r="AV47" s="1">
        <f t="shared" si="5"/>
        <v>1</v>
      </c>
      <c r="AW47" s="1">
        <f>MIN(10,M47+0+0)</f>
        <v>7</v>
      </c>
      <c r="AX47" s="1">
        <f t="shared" si="6"/>
        <v>0</v>
      </c>
      <c r="AY47" s="1">
        <f t="shared" si="79"/>
        <v>6</v>
      </c>
      <c r="AZ47" s="1">
        <f t="shared" si="7"/>
        <v>3</v>
      </c>
      <c r="BA47" s="1">
        <f>MIN(6,Q47+0)</f>
        <v>2</v>
      </c>
      <c r="BB47" s="1">
        <f t="shared" si="72"/>
        <v>5</v>
      </c>
      <c r="BC47" s="1">
        <f t="shared" si="51"/>
        <v>0</v>
      </c>
      <c r="BD47" s="1">
        <f t="shared" ref="BD47:BD81" si="80">MAX(0,T47-IF(AO47&gt;0,1,0))+0</f>
        <v>0</v>
      </c>
      <c r="BE47" s="1">
        <f t="shared" si="73"/>
        <v>0</v>
      </c>
      <c r="BF47" s="1">
        <f>MIN(4,V47+1)</f>
        <v>1</v>
      </c>
      <c r="BG47" s="1">
        <f t="shared" si="77"/>
        <v>1</v>
      </c>
      <c r="BH47" s="1">
        <f t="shared" si="74"/>
        <v>1</v>
      </c>
      <c r="BI47" s="1">
        <f t="shared" si="78"/>
        <v>1</v>
      </c>
      <c r="BJ47" s="1">
        <f t="shared" si="52"/>
        <v>0</v>
      </c>
      <c r="BK47" s="1">
        <f t="shared" si="53"/>
        <v>0</v>
      </c>
      <c r="BL47" s="1">
        <f t="shared" si="54"/>
        <v>0</v>
      </c>
      <c r="BM47" s="1">
        <f t="shared" si="50"/>
        <v>0</v>
      </c>
      <c r="BN47" s="1">
        <f t="shared" si="75"/>
        <v>1</v>
      </c>
      <c r="BO47" s="1">
        <f t="shared" si="76"/>
        <v>1</v>
      </c>
    </row>
    <row r="48" spans="1:67" ht="30.95" customHeight="1">
      <c r="A48" s="1">
        <f>1</f>
        <v>1</v>
      </c>
      <c r="B48" s="1">
        <f>固定流程!A12</f>
        <v>7</v>
      </c>
      <c r="C48" s="1">
        <f>4</f>
        <v>4</v>
      </c>
      <c r="D48" s="1">
        <f>1</f>
        <v>1</v>
      </c>
      <c r="E48" s="1">
        <f>固定流程!C12</f>
        <v>1</v>
      </c>
      <c r="F48" s="1">
        <f>固定流程!G12</f>
        <v>4</v>
      </c>
      <c r="G48" s="1" t="str">
        <f>固定流程!H12</f>
        <v>J_HARD</v>
      </c>
      <c r="H48" s="1">
        <f>固定流程!F12</f>
        <v>1</v>
      </c>
      <c r="I48" s="1">
        <f>INDEX(配置与结果!$B$15:$B$18,F48)</f>
        <v>1906</v>
      </c>
      <c r="J48" s="1">
        <f>INDEX(配置与结果!$D$15:$D$18,F48)</f>
        <v>0.36699999999999999</v>
      </c>
      <c r="K48" s="1">
        <f>INDEX(配置与结果!$E$15:$E$18,F48)</f>
        <v>1.7170000000000001</v>
      </c>
      <c r="L48" s="1">
        <f t="shared" si="58"/>
        <v>1</v>
      </c>
      <c r="M48" s="1">
        <f t="shared" si="58"/>
        <v>7</v>
      </c>
      <c r="N48" s="1">
        <f t="shared" si="58"/>
        <v>0</v>
      </c>
      <c r="O48" s="1">
        <f t="shared" si="58"/>
        <v>6</v>
      </c>
      <c r="P48" s="1">
        <f>MIN(方案参数!$AI$4,AZ47+0+0)</f>
        <v>3</v>
      </c>
      <c r="Q48" s="1">
        <f t="shared" si="59"/>
        <v>2</v>
      </c>
      <c r="R48" s="1">
        <f t="shared" si="60"/>
        <v>5</v>
      </c>
      <c r="S48" s="1">
        <f t="shared" si="61"/>
        <v>0</v>
      </c>
      <c r="T48" s="1">
        <f t="shared" si="62"/>
        <v>0</v>
      </c>
      <c r="U48" s="1">
        <f t="shared" si="63"/>
        <v>0</v>
      </c>
      <c r="V48" s="1">
        <f t="shared" si="64"/>
        <v>1</v>
      </c>
      <c r="W48" s="1">
        <f t="shared" si="65"/>
        <v>1</v>
      </c>
      <c r="X48" s="1">
        <f t="shared" si="66"/>
        <v>1</v>
      </c>
      <c r="Y48" s="1">
        <f t="shared" si="67"/>
        <v>1</v>
      </c>
      <c r="Z48" s="1">
        <f t="shared" si="68"/>
        <v>0</v>
      </c>
      <c r="AA48" s="1">
        <f t="shared" si="69"/>
        <v>0</v>
      </c>
      <c r="AB48" s="1">
        <f t="shared" si="70"/>
        <v>0</v>
      </c>
      <c r="AC48" s="1">
        <f t="shared" si="71"/>
        <v>0</v>
      </c>
      <c r="AD48" s="1">
        <f>ROUNDDOWN(I48*(1+IF(F48=3,0.05+方案参数!$Y$4+AA48*0.12,IF(F48=4,方案参数!$BZ$4*方案参数!$AS$4,0)))+IF(AND(X48=1,F48&lt;&gt;3),方案参数!$CC$4,0)+AC48*方案参数!$CB$4,0)</f>
        <v>2811</v>
      </c>
      <c r="AE48" s="1">
        <f>IF(OR(F48=1,F48=4),配置与结果!$B$24,配置与结果!$B$25)*MAX(0,1-INDEX(配置与结果!$I$15:$I$18,F48))</f>
        <v>1200</v>
      </c>
      <c r="AF48" s="1">
        <f>3.6*IF(H48=1,1,IF(H48=2,1.5,2.5))</f>
        <v>3.6</v>
      </c>
      <c r="AG48" s="1">
        <f>MAX(配置与结果!$B$32,1+INDEX(配置与结果!$F$15:$F$18,F48)+0.08+Q48*方案参数!$W$4+Y48*(方案参数!$AN$4+MIN(方案参数!$AO$4,P48*0.03))+AB48*方案参数!$BZ$4*0.025+0.1+IF(方案参数!$BZ$4&gt;=30,方案参数!$BZ$4*0.01,0)-配置与结果!$B$28)</f>
        <v>1.4350000000000001</v>
      </c>
      <c r="AH48" s="1">
        <f>MAX(0,1+INDEX(配置与结果!$G$15:$G$18,F48)+W48*方案参数!$AG$4)</f>
        <v>1.3</v>
      </c>
      <c r="AI48" s="1">
        <f>IF(OR(INDEX(配置与结果!$K$15:$K$18,F48)=1,G48="RHI_BERRY"),1+配置与结果!$B$33+P48*方案参数!$AH$4,1)</f>
        <v>1</v>
      </c>
      <c r="AJ48" s="1">
        <f>MIN(1,MAX(0,J48+方案参数!$AB$4-配置与结果!$B$27))</f>
        <v>0.66700000000000004</v>
      </c>
      <c r="AK48" s="1">
        <f>MAX(1,K48+IF(F48=2,0.15+方案参数!$CH$4,0)+BN48*方案参数!$X$4+R48*方案参数!$AA$4+0-配置与结果!$B$26+Z48*(方案参数!$AP$4+MIN(方案参数!$AQ$4,P48*0.03)))</f>
        <v>1.4969999999999999</v>
      </c>
      <c r="AL48" s="7">
        <f>ROUNDDOWN(MAX(AD48*配置与结果!$B$31,AD48-AE48)*AF48*AG48*AH48*AI48,0)</f>
        <v>10819</v>
      </c>
      <c r="AM48" s="7">
        <f>ROUNDDOWN(MAX(AD48*配置与结果!$B$31,AD48-AE48)*AF48*AG48*AH48*AI48*AK48,0)</f>
        <v>16196</v>
      </c>
      <c r="AN48" s="7">
        <f t="shared" si="0"/>
        <v>14405.458999999999</v>
      </c>
      <c r="AO48" s="7">
        <f>0</f>
        <v>0</v>
      </c>
      <c r="AP48" s="7">
        <f>MAX(0,1+INDEX(配置与结果!$J$15:$J$18,F48)+IF(T48&gt;0,方案参数!$BY$4,0)-配置与结果!$B$30)</f>
        <v>1</v>
      </c>
      <c r="AQ48" s="7">
        <f t="shared" si="1"/>
        <v>0</v>
      </c>
      <c r="AR48" s="7">
        <f t="shared" si="2"/>
        <v>0</v>
      </c>
      <c r="AS48" s="7">
        <f t="shared" si="3"/>
        <v>0</v>
      </c>
      <c r="AT48" s="7">
        <f>0</f>
        <v>0</v>
      </c>
      <c r="AU48" s="7">
        <f t="shared" si="4"/>
        <v>14405.458999999999</v>
      </c>
      <c r="AV48" s="1">
        <f t="shared" si="5"/>
        <v>1</v>
      </c>
      <c r="AW48" s="1">
        <f>MIN(10,M48+0+0)</f>
        <v>7</v>
      </c>
      <c r="AX48" s="1">
        <f t="shared" si="6"/>
        <v>0</v>
      </c>
      <c r="AY48" s="1">
        <f t="shared" si="79"/>
        <v>6</v>
      </c>
      <c r="AZ48" s="1">
        <f t="shared" si="7"/>
        <v>3</v>
      </c>
      <c r="BA48" s="1">
        <f>MIN(6,Q48+0)</f>
        <v>2</v>
      </c>
      <c r="BB48" s="1">
        <f t="shared" si="72"/>
        <v>5</v>
      </c>
      <c r="BC48" s="1">
        <f>MIN(3,S48+1)</f>
        <v>1</v>
      </c>
      <c r="BD48" s="1">
        <f t="shared" si="80"/>
        <v>0</v>
      </c>
      <c r="BE48" s="1">
        <f t="shared" si="73"/>
        <v>0</v>
      </c>
      <c r="BF48" s="1">
        <f>MIN(4,V48+0)</f>
        <v>1</v>
      </c>
      <c r="BG48" s="1">
        <f t="shared" si="77"/>
        <v>1</v>
      </c>
      <c r="BH48" s="1">
        <f t="shared" si="74"/>
        <v>1</v>
      </c>
      <c r="BI48" s="1">
        <f t="shared" si="78"/>
        <v>1</v>
      </c>
      <c r="BJ48" s="1">
        <f t="shared" si="52"/>
        <v>0</v>
      </c>
      <c r="BK48" s="1">
        <f t="shared" si="53"/>
        <v>0</v>
      </c>
      <c r="BL48" s="1">
        <f t="shared" si="54"/>
        <v>0</v>
      </c>
      <c r="BM48" s="1">
        <f t="shared" si="50"/>
        <v>0</v>
      </c>
      <c r="BN48" s="1">
        <f t="shared" si="75"/>
        <v>1</v>
      </c>
      <c r="BO48" s="1">
        <f t="shared" si="76"/>
        <v>1</v>
      </c>
    </row>
    <row r="49" spans="1:67" ht="30.95" customHeight="1">
      <c r="A49" s="1">
        <f>1</f>
        <v>1</v>
      </c>
      <c r="B49" s="1">
        <f>固定流程!A13</f>
        <v>8</v>
      </c>
      <c r="C49" s="1">
        <f>4</f>
        <v>4</v>
      </c>
      <c r="D49" s="1">
        <f>1</f>
        <v>1</v>
      </c>
      <c r="E49" s="1">
        <f>固定流程!C13</f>
        <v>2</v>
      </c>
      <c r="F49" s="1">
        <f>固定流程!G13</f>
        <v>3</v>
      </c>
      <c r="G49" s="1" t="str">
        <f>固定流程!H13</f>
        <v>RHI_ATTACK</v>
      </c>
      <c r="H49" s="1">
        <f>固定流程!F13</f>
        <v>1</v>
      </c>
      <c r="I49" s="1">
        <f>INDEX(配置与结果!$B$15:$B$18,F49)</f>
        <v>2597</v>
      </c>
      <c r="J49" s="1">
        <f>INDEX(配置与结果!$D$15:$D$18,F49)</f>
        <v>0.255</v>
      </c>
      <c r="K49" s="1">
        <f>INDEX(配置与结果!$E$15:$E$18,F49)</f>
        <v>1.55</v>
      </c>
      <c r="L49" s="1">
        <f>IF(AV48=1,IF(M49&gt;=10,2,1),IF(AV48=2,IF(AX48&lt;=1,0,2),0))</f>
        <v>2</v>
      </c>
      <c r="M49" s="1">
        <f>IF(AND(AV48=2,AX48&lt;=1),0,MIN(10,AW48+IF(AV48=1,3,0)))</f>
        <v>10</v>
      </c>
      <c r="N49" s="1">
        <f>IF(AND(AV48=1,M49&gt;=10),2,IF(AV48=2,MAX(0,AX48-1),0))</f>
        <v>2</v>
      </c>
      <c r="O49" s="1">
        <f t="shared" ref="O49:O77" si="81">AY48</f>
        <v>6</v>
      </c>
      <c r="P49" s="1">
        <f>MIN(方案参数!$AI$4,AZ48+方案参数!$AJ$4+方案参数!$AK$4)</f>
        <v>5</v>
      </c>
      <c r="Q49" s="1">
        <f t="shared" si="59"/>
        <v>2</v>
      </c>
      <c r="R49" s="1">
        <f t="shared" si="60"/>
        <v>5</v>
      </c>
      <c r="S49" s="1">
        <f t="shared" si="61"/>
        <v>1</v>
      </c>
      <c r="T49" s="1">
        <f t="shared" si="62"/>
        <v>0</v>
      </c>
      <c r="U49" s="1">
        <f t="shared" si="63"/>
        <v>0</v>
      </c>
      <c r="V49" s="1">
        <f t="shared" si="64"/>
        <v>1</v>
      </c>
      <c r="W49" s="1">
        <f t="shared" si="65"/>
        <v>1</v>
      </c>
      <c r="X49" s="1">
        <f t="shared" si="66"/>
        <v>1</v>
      </c>
      <c r="Y49" s="1">
        <f t="shared" si="67"/>
        <v>1</v>
      </c>
      <c r="Z49" s="1">
        <f t="shared" si="68"/>
        <v>0</v>
      </c>
      <c r="AA49" s="1">
        <f>MAX(BK48,1)</f>
        <v>1</v>
      </c>
      <c r="AB49" s="1">
        <f t="shared" si="70"/>
        <v>0</v>
      </c>
      <c r="AC49" s="1">
        <f t="shared" si="71"/>
        <v>0</v>
      </c>
      <c r="AD49" s="1">
        <f>ROUNDDOWN(I49*(1+IF(F49=3,0.05+方案参数!$Y$4+AA49*0.12,IF(F49=4,方案参数!$BZ$4*方案参数!$AS$4,0)))+IF(AND(X49=1,F49&lt;&gt;3),方案参数!$CC$4,0)+AC49*方案参数!$CB$4,0)</f>
        <v>3298</v>
      </c>
      <c r="AE49" s="1">
        <f>IF(OR(F49=1,F49=4),配置与结果!$B$24,配置与结果!$B$25)*MAX(0,1-INDEX(配置与结果!$I$15:$I$18,F49))</f>
        <v>1000</v>
      </c>
      <c r="AF49" s="1">
        <f>4</f>
        <v>4</v>
      </c>
      <c r="AG49" s="1">
        <f>MAX(配置与结果!$B$32,1+INDEX(配置与结果!$F$15:$F$18,F49)+0+Q49*方案参数!$W$4+Y49*(方案参数!$AN$4+MIN(方案参数!$AO$4,P49*0.03))+AB49*方案参数!$BZ$4*0.025-配置与结果!$B$28)</f>
        <v>0.97499999999999998</v>
      </c>
      <c r="AH49" s="1">
        <f>MAX(0,1+INDEX(配置与结果!$G$15:$G$18,F49)+W49*方案参数!$AG$4)</f>
        <v>1.3</v>
      </c>
      <c r="AI49" s="1">
        <f>IF(OR(INDEX(配置与结果!$K$15:$K$18,F49)=1,G49="RHI_BERRY"),1+配置与结果!$B$33+P49*方案参数!$AH$4,1)</f>
        <v>1</v>
      </c>
      <c r="AJ49" s="1">
        <f>MIN(1,MAX(0,J49+方案参数!$AB$4-配置与结果!$B$27))</f>
        <v>0.55499999999999994</v>
      </c>
      <c r="AK49" s="1">
        <f>MAX(1,K49+IF(F49=2,0.15+方案参数!$CH$4,0)+BN49*方案参数!$X$4+R49*方案参数!$AA$4+0-配置与结果!$B$26+Z49*(方案参数!$AP$4+MIN(方案参数!$AQ$4,P49*0.03)))</f>
        <v>1.33</v>
      </c>
      <c r="AL49" s="7">
        <f>ROUNDDOWN(MAX(AD49*配置与结果!$B$31,AD49-AE49)*AF49*AG49*AH49*AI49,0)</f>
        <v>11650</v>
      </c>
      <c r="AM49" s="7">
        <f>ROUNDDOWN(MAX(AD49*配置与结果!$B$31,AD49-AE49)*AF49*AG49*AH49*AI49*AK49,0)</f>
        <v>15495</v>
      </c>
      <c r="AN49" s="7">
        <f t="shared" si="0"/>
        <v>13783.974999999999</v>
      </c>
      <c r="AO49" s="7">
        <f>0</f>
        <v>0</v>
      </c>
      <c r="AP49" s="7">
        <f>MAX(0,1+INDEX(配置与结果!$J$15:$J$18,F49)+IF(T49&gt;0,方案参数!$BY$4,0)-配置与结果!$B$30)</f>
        <v>1</v>
      </c>
      <c r="AQ49" s="7">
        <f t="shared" si="1"/>
        <v>0</v>
      </c>
      <c r="AR49" s="7">
        <f t="shared" si="2"/>
        <v>0</v>
      </c>
      <c r="AS49" s="7">
        <f t="shared" si="3"/>
        <v>0</v>
      </c>
      <c r="AT49" s="7">
        <f>0</f>
        <v>0</v>
      </c>
      <c r="AU49" s="7">
        <f t="shared" si="4"/>
        <v>13783.974999999999</v>
      </c>
      <c r="AV49" s="1">
        <f t="shared" si="5"/>
        <v>2</v>
      </c>
      <c r="AW49" s="1">
        <f>MIN(10,M49+0+0)</f>
        <v>10</v>
      </c>
      <c r="AX49" s="1">
        <f t="shared" si="6"/>
        <v>2</v>
      </c>
      <c r="AY49" s="1">
        <f t="shared" si="79"/>
        <v>6</v>
      </c>
      <c r="AZ49" s="1">
        <f t="shared" si="7"/>
        <v>5</v>
      </c>
      <c r="BA49" s="1">
        <f>MIN(6,Q49+1)</f>
        <v>3</v>
      </c>
      <c r="BB49" s="1">
        <f t="shared" si="72"/>
        <v>5</v>
      </c>
      <c r="BC49" s="1">
        <f>MIN(3,S49+0)</f>
        <v>1</v>
      </c>
      <c r="BD49" s="1">
        <f t="shared" si="80"/>
        <v>0</v>
      </c>
      <c r="BE49" s="1">
        <f t="shared" si="73"/>
        <v>0</v>
      </c>
      <c r="BF49" s="1">
        <f>MIN(4,V49+0)</f>
        <v>1</v>
      </c>
      <c r="BG49" s="1">
        <f t="shared" si="77"/>
        <v>1</v>
      </c>
      <c r="BH49" s="1">
        <f t="shared" si="74"/>
        <v>1</v>
      </c>
      <c r="BI49" s="1">
        <f t="shared" si="78"/>
        <v>1</v>
      </c>
      <c r="BJ49" s="1">
        <f>MAX(Z49,1)</f>
        <v>1</v>
      </c>
      <c r="BK49" s="1">
        <f>MAX(AA49,1)</f>
        <v>1</v>
      </c>
      <c r="BL49" s="1">
        <f t="shared" si="54"/>
        <v>0</v>
      </c>
      <c r="BM49" s="1">
        <f t="shared" si="50"/>
        <v>0</v>
      </c>
      <c r="BN49" s="1">
        <f t="shared" si="75"/>
        <v>1</v>
      </c>
      <c r="BO49" s="1">
        <f t="shared" si="76"/>
        <v>1</v>
      </c>
    </row>
    <row r="50" spans="1:67" ht="30.95" customHeight="1">
      <c r="A50" s="1">
        <f>1</f>
        <v>1</v>
      </c>
      <c r="B50" s="1">
        <f>固定流程!A14</f>
        <v>9</v>
      </c>
      <c r="C50" s="1">
        <f>4</f>
        <v>4</v>
      </c>
      <c r="D50" s="1">
        <f>1</f>
        <v>1</v>
      </c>
      <c r="E50" s="1">
        <f>固定流程!C14</f>
        <v>2</v>
      </c>
      <c r="F50" s="1">
        <f>固定流程!G14</f>
        <v>1</v>
      </c>
      <c r="G50" s="1" t="str">
        <f>固定流程!H14</f>
        <v>LILYA_DIVE</v>
      </c>
      <c r="H50" s="1">
        <f>固定流程!F14</f>
        <v>3</v>
      </c>
      <c r="I50" s="1">
        <f>INDEX(配置与结果!$B$15:$B$18,F50)</f>
        <v>2296</v>
      </c>
      <c r="J50" s="1">
        <f>INDEX(配置与结果!$D$15:$D$18,F50)</f>
        <v>0.7</v>
      </c>
      <c r="K50" s="1">
        <f>INDEX(配置与结果!$E$15:$E$18,F50)</f>
        <v>2.0249999999999999</v>
      </c>
      <c r="L50" s="1">
        <f t="shared" ref="L50:N54" si="82">AV49</f>
        <v>2</v>
      </c>
      <c r="M50" s="1">
        <f t="shared" si="82"/>
        <v>10</v>
      </c>
      <c r="N50" s="1">
        <f t="shared" si="82"/>
        <v>2</v>
      </c>
      <c r="O50" s="1">
        <f t="shared" si="81"/>
        <v>6</v>
      </c>
      <c r="P50" s="1">
        <f>MIN(方案参数!$AI$4,AZ49+0+0)</f>
        <v>5</v>
      </c>
      <c r="Q50" s="1">
        <f t="shared" si="59"/>
        <v>3</v>
      </c>
      <c r="R50" s="1">
        <f t="shared" si="60"/>
        <v>5</v>
      </c>
      <c r="S50" s="1">
        <f t="shared" si="61"/>
        <v>1</v>
      </c>
      <c r="T50" s="1">
        <f t="shared" si="62"/>
        <v>0</v>
      </c>
      <c r="U50" s="1">
        <f t="shared" si="63"/>
        <v>0</v>
      </c>
      <c r="V50" s="1">
        <f t="shared" si="64"/>
        <v>1</v>
      </c>
      <c r="W50" s="1">
        <f t="shared" si="65"/>
        <v>1</v>
      </c>
      <c r="X50" s="1">
        <f t="shared" si="66"/>
        <v>1</v>
      </c>
      <c r="Y50" s="1">
        <f t="shared" si="67"/>
        <v>1</v>
      </c>
      <c r="Z50" s="1">
        <f t="shared" si="68"/>
        <v>1</v>
      </c>
      <c r="AA50" s="1">
        <f t="shared" ref="AA50:AA55" si="83">MAX(BK49,0)</f>
        <v>1</v>
      </c>
      <c r="AB50" s="1">
        <f t="shared" si="70"/>
        <v>0</v>
      </c>
      <c r="AC50" s="1">
        <f t="shared" si="71"/>
        <v>0</v>
      </c>
      <c r="AD50" s="1">
        <f>ROUNDDOWN(I50*(1+IF(F50=3,0.05+方案参数!$Y$4+AA50*0.12,IF(F50=4,方案参数!$BZ$4*方案参数!$AS$4,0)))+IF(AND(X50=1,F50&lt;&gt;3),方案参数!$CC$4,0)+AC50*方案参数!$CB$4,0)</f>
        <v>2534</v>
      </c>
      <c r="AE50" s="1">
        <f>IF(OR(F50=1,F50=4),配置与结果!$B$24,配置与结果!$B$25)*MAX(0,1-INDEX(配置与结果!$I$15:$I$18,F50))</f>
        <v>1200</v>
      </c>
      <c r="AF50" s="1">
        <f>(IF(L50=1,方案参数!$AW$4,IF(L50=2,方案参数!$AX$4,0))+方案参数!$AV$4)*H50</f>
        <v>45</v>
      </c>
      <c r="AG50" s="1">
        <f>MAX(配置与结果!$B$32,1+INDEX(配置与结果!$F$15:$F$18,F50)+0.08+方案参数!$CD$4+Q50*方案参数!$W$4+Y50*(方案参数!$AN$4+MIN(方案参数!$AO$4,P50*0.03))+AB50*方案参数!$BZ$4*0.025+IF(L50=1,方案参数!$AY$4+(H50-1)*0.1,IF(L50=2,方案参数!$AZ$4+(H50-1)*0.2,0))-配置与结果!$B$28)</f>
        <v>2.3000000000000003</v>
      </c>
      <c r="AH50" s="1">
        <f>MAX(0,1+INDEX(配置与结果!$G$15:$G$18,F50)+W50*方案参数!$AG$4+IF(L50=1,方案参数!$BA$4,IF(L50=2,方案参数!$BB$4,0))+M50*方案参数!$BC$4)</f>
        <v>3.1</v>
      </c>
      <c r="AI50" s="1">
        <f>IF(OR(INDEX(配置与结果!$K$15:$K$18,F50)=1,G50="RHI_BERRY"),1+配置与结果!$B$33+P50*方案参数!$AH$4,1)</f>
        <v>1</v>
      </c>
      <c r="AJ50" s="1">
        <f>MIN(1,MAX(0,J50+方案参数!$AB$4-配置与结果!$B$27))</f>
        <v>1</v>
      </c>
      <c r="AK50" s="1">
        <f>MAX(1,K50+IF(F50=2,0.15+方案参数!$CH$4,0)+BN50*方案参数!$X$4+R50*方案参数!$AA$4+0-配置与结果!$B$26+Z50*(方案参数!$AP$4+MIN(方案参数!$AQ$4,P50*0.03)))</f>
        <v>2.105</v>
      </c>
      <c r="AL50" s="7">
        <f>ROUNDDOWN(MAX(AD50*配置与结果!$B$31,AD50-AE50)*AF50*AG50*AH50*AI50,0)</f>
        <v>428013</v>
      </c>
      <c r="AM50" s="7">
        <f>ROUNDDOWN(MAX(AD50*配置与结果!$B$31,AD50-AE50)*AF50*AG50*AH50*AI50*AK50,0)</f>
        <v>900969</v>
      </c>
      <c r="AN50" s="7">
        <f t="shared" si="0"/>
        <v>900969</v>
      </c>
      <c r="AO50" s="7">
        <f>0</f>
        <v>0</v>
      </c>
      <c r="AP50" s="7">
        <f>MAX(0,1+INDEX(配置与结果!$J$15:$J$18,F50)+IF(T50&gt;0,方案参数!$BY$4,0)-配置与结果!$B$30)</f>
        <v>1</v>
      </c>
      <c r="AQ50" s="7">
        <f t="shared" si="1"/>
        <v>0</v>
      </c>
      <c r="AR50" s="7">
        <f t="shared" si="2"/>
        <v>0</v>
      </c>
      <c r="AS50" s="7">
        <f t="shared" si="3"/>
        <v>0</v>
      </c>
      <c r="AT50" s="7">
        <f>0</f>
        <v>0</v>
      </c>
      <c r="AU50" s="7">
        <f t="shared" si="4"/>
        <v>900969</v>
      </c>
      <c r="AV50" s="1">
        <f t="shared" si="5"/>
        <v>2</v>
      </c>
      <c r="AW50" s="1">
        <f>MIN(10,M50+0+IF(L50=1,方案参数!$BE$4,0))</f>
        <v>10</v>
      </c>
      <c r="AX50" s="1">
        <f t="shared" si="6"/>
        <v>2</v>
      </c>
      <c r="AY50" s="1">
        <f t="shared" si="79"/>
        <v>6</v>
      </c>
      <c r="AZ50" s="1">
        <f t="shared" si="7"/>
        <v>5</v>
      </c>
      <c r="BA50" s="1">
        <f>MIN(6,Q50+0)</f>
        <v>3</v>
      </c>
      <c r="BB50" s="1">
        <f t="shared" si="72"/>
        <v>5</v>
      </c>
      <c r="BC50" s="1">
        <f>MIN(3,S50+0)</f>
        <v>1</v>
      </c>
      <c r="BD50" s="1">
        <f t="shared" si="80"/>
        <v>0</v>
      </c>
      <c r="BE50" s="1">
        <f t="shared" si="73"/>
        <v>0</v>
      </c>
      <c r="BF50" s="1">
        <f>MIN(4,V50+0)</f>
        <v>1</v>
      </c>
      <c r="BG50" s="1">
        <f t="shared" si="77"/>
        <v>1</v>
      </c>
      <c r="BH50" s="1">
        <f t="shared" si="74"/>
        <v>1</v>
      </c>
      <c r="BI50" s="1">
        <f t="shared" si="78"/>
        <v>1</v>
      </c>
      <c r="BJ50" s="1">
        <f t="shared" ref="BJ50:BK55" si="84">MAX(Z50,0)</f>
        <v>1</v>
      </c>
      <c r="BK50" s="1">
        <f t="shared" si="84"/>
        <v>1</v>
      </c>
      <c r="BL50" s="1">
        <f t="shared" si="54"/>
        <v>0</v>
      </c>
      <c r="BM50" s="1">
        <f t="shared" si="50"/>
        <v>0</v>
      </c>
      <c r="BN50" s="1">
        <f t="shared" si="75"/>
        <v>1</v>
      </c>
      <c r="BO50" s="1">
        <f t="shared" si="76"/>
        <v>1</v>
      </c>
    </row>
    <row r="51" spans="1:67" ht="30.95" customHeight="1">
      <c r="A51" s="1">
        <f>1</f>
        <v>1</v>
      </c>
      <c r="B51" s="1">
        <f>固定流程!A15</f>
        <v>10</v>
      </c>
      <c r="C51" s="1">
        <f>4</f>
        <v>4</v>
      </c>
      <c r="D51" s="1">
        <f>1</f>
        <v>1</v>
      </c>
      <c r="E51" s="1">
        <f>固定流程!C15</f>
        <v>2</v>
      </c>
      <c r="F51" s="1">
        <f>固定流程!G15</f>
        <v>4</v>
      </c>
      <c r="G51" s="1" t="str">
        <f>固定流程!H15</f>
        <v>J_HARD</v>
      </c>
      <c r="H51" s="1">
        <f>固定流程!F15</f>
        <v>1</v>
      </c>
      <c r="I51" s="1">
        <f>INDEX(配置与结果!$B$15:$B$18,F51)</f>
        <v>1906</v>
      </c>
      <c r="J51" s="1">
        <f>INDEX(配置与结果!$D$15:$D$18,F51)</f>
        <v>0.36699999999999999</v>
      </c>
      <c r="K51" s="1">
        <f>INDEX(配置与结果!$E$15:$E$18,F51)</f>
        <v>1.7170000000000001</v>
      </c>
      <c r="L51" s="1">
        <f t="shared" si="82"/>
        <v>2</v>
      </c>
      <c r="M51" s="1">
        <f t="shared" si="82"/>
        <v>10</v>
      </c>
      <c r="N51" s="1">
        <f t="shared" si="82"/>
        <v>2</v>
      </c>
      <c r="O51" s="1">
        <f t="shared" si="81"/>
        <v>6</v>
      </c>
      <c r="P51" s="1">
        <f>MIN(方案参数!$AI$4,AZ50+0+0)</f>
        <v>5</v>
      </c>
      <c r="Q51" s="1">
        <f t="shared" si="59"/>
        <v>3</v>
      </c>
      <c r="R51" s="1">
        <f t="shared" si="60"/>
        <v>5</v>
      </c>
      <c r="S51" s="1">
        <f t="shared" si="61"/>
        <v>1</v>
      </c>
      <c r="T51" s="1">
        <f t="shared" si="62"/>
        <v>0</v>
      </c>
      <c r="U51" s="1">
        <f t="shared" si="63"/>
        <v>0</v>
      </c>
      <c r="V51" s="1">
        <f t="shared" si="64"/>
        <v>1</v>
      </c>
      <c r="W51" s="1">
        <f t="shared" si="65"/>
        <v>1</v>
      </c>
      <c r="X51" s="1">
        <f t="shared" si="66"/>
        <v>1</v>
      </c>
      <c r="Y51" s="1">
        <f t="shared" si="67"/>
        <v>1</v>
      </c>
      <c r="Z51" s="1">
        <f t="shared" si="68"/>
        <v>1</v>
      </c>
      <c r="AA51" s="1">
        <f t="shared" si="83"/>
        <v>1</v>
      </c>
      <c r="AB51" s="1">
        <f t="shared" si="70"/>
        <v>0</v>
      </c>
      <c r="AC51" s="1">
        <f t="shared" si="71"/>
        <v>0</v>
      </c>
      <c r="AD51" s="1">
        <f>ROUNDDOWN(I51*(1+IF(F51=3,0.05+方案参数!$Y$4+AA51*0.12,IF(F51=4,方案参数!$BZ$4*方案参数!$AS$4,0)))+IF(AND(X51=1,F51&lt;&gt;3),方案参数!$CC$4,0)+AC51*方案参数!$CB$4,0)</f>
        <v>2811</v>
      </c>
      <c r="AE51" s="1">
        <f>IF(OR(F51=1,F51=4),配置与结果!$B$24,配置与结果!$B$25)*MAX(0,1-INDEX(配置与结果!$I$15:$I$18,F51))</f>
        <v>1200</v>
      </c>
      <c r="AF51" s="1">
        <f>3.6*IF(H51=1,1,IF(H51=2,1.5,2.5))</f>
        <v>3.6</v>
      </c>
      <c r="AG51" s="1">
        <f>MAX(配置与结果!$B$32,1+INDEX(配置与结果!$F$15:$F$18,F51)+0.08+Q51*方案参数!$W$4+Y51*(方案参数!$AN$4+MIN(方案参数!$AO$4,P51*0.03))+AB51*方案参数!$BZ$4*0.025+0.1+IF(方案参数!$BZ$4&gt;=30,方案参数!$BZ$4*0.01,0)-配置与结果!$B$28)</f>
        <v>1.5150000000000001</v>
      </c>
      <c r="AH51" s="1">
        <f>MAX(0,1+INDEX(配置与结果!$G$15:$G$18,F51)+W51*方案参数!$AG$4)</f>
        <v>1.3</v>
      </c>
      <c r="AI51" s="1">
        <f>IF(OR(INDEX(配置与结果!$K$15:$K$18,F51)=1,G51="RHI_BERRY"),1+配置与结果!$B$33+P51*方案参数!$AH$4,1)</f>
        <v>1</v>
      </c>
      <c r="AJ51" s="1">
        <f>MIN(1,MAX(0,J51+方案参数!$AB$4-配置与结果!$B$27))</f>
        <v>0.66700000000000004</v>
      </c>
      <c r="AK51" s="1">
        <f>MAX(1,K51+IF(F51=2,0.15+方案参数!$CH$4,0)+BN51*方案参数!$X$4+R51*方案参数!$AA$4+0-配置与结果!$B$26+Z51*(方案参数!$AP$4+MIN(方案参数!$AQ$4,P51*0.03)))</f>
        <v>1.7969999999999999</v>
      </c>
      <c r="AL51" s="7">
        <f>ROUNDDOWN(MAX(AD51*配置与结果!$B$31,AD51-AE51)*AF51*AG51*AH51*AI51,0)</f>
        <v>11422</v>
      </c>
      <c r="AM51" s="7">
        <f>ROUNDDOWN(MAX(AD51*配置与结果!$B$31,AD51-AE51)*AF51*AG51*AH51*AI51*AK51,0)</f>
        <v>20525</v>
      </c>
      <c r="AN51" s="7">
        <f t="shared" si="0"/>
        <v>17493.701000000001</v>
      </c>
      <c r="AO51" s="7">
        <f>0</f>
        <v>0</v>
      </c>
      <c r="AP51" s="7">
        <f>MAX(0,1+INDEX(配置与结果!$J$15:$J$18,F51)+IF(T51&gt;0,方案参数!$BY$4,0)-配置与结果!$B$30)</f>
        <v>1</v>
      </c>
      <c r="AQ51" s="7">
        <f t="shared" si="1"/>
        <v>0</v>
      </c>
      <c r="AR51" s="7">
        <f t="shared" si="2"/>
        <v>0</v>
      </c>
      <c r="AS51" s="7">
        <f t="shared" si="3"/>
        <v>0</v>
      </c>
      <c r="AT51" s="7">
        <f>0</f>
        <v>0</v>
      </c>
      <c r="AU51" s="7">
        <f t="shared" si="4"/>
        <v>17493.701000000001</v>
      </c>
      <c r="AV51" s="1">
        <f t="shared" si="5"/>
        <v>2</v>
      </c>
      <c r="AW51" s="1">
        <f t="shared" ref="AW51:AW61" si="85">MIN(10,M51+0+0)</f>
        <v>10</v>
      </c>
      <c r="AX51" s="1">
        <f t="shared" si="6"/>
        <v>2</v>
      </c>
      <c r="AY51" s="1">
        <f t="shared" si="79"/>
        <v>6</v>
      </c>
      <c r="AZ51" s="1">
        <f t="shared" si="7"/>
        <v>5</v>
      </c>
      <c r="BA51" s="1">
        <f>MIN(6,Q51+0)</f>
        <v>3</v>
      </c>
      <c r="BB51" s="1">
        <f t="shared" si="72"/>
        <v>5</v>
      </c>
      <c r="BC51" s="1">
        <f>MIN(3,S51+1)</f>
        <v>2</v>
      </c>
      <c r="BD51" s="1">
        <f t="shared" si="80"/>
        <v>0</v>
      </c>
      <c r="BE51" s="1">
        <f t="shared" si="73"/>
        <v>0</v>
      </c>
      <c r="BF51" s="1">
        <f>MIN(4,V51+0)</f>
        <v>1</v>
      </c>
      <c r="BG51" s="1">
        <f t="shared" si="77"/>
        <v>1</v>
      </c>
      <c r="BH51" s="1">
        <f t="shared" si="74"/>
        <v>1</v>
      </c>
      <c r="BI51" s="1">
        <f t="shared" si="78"/>
        <v>1</v>
      </c>
      <c r="BJ51" s="1">
        <f t="shared" si="84"/>
        <v>1</v>
      </c>
      <c r="BK51" s="1">
        <f t="shared" si="84"/>
        <v>1</v>
      </c>
      <c r="BL51" s="1">
        <f t="shared" si="54"/>
        <v>0</v>
      </c>
      <c r="BM51" s="1">
        <f t="shared" si="50"/>
        <v>0</v>
      </c>
      <c r="BN51" s="1">
        <f t="shared" si="75"/>
        <v>1</v>
      </c>
      <c r="BO51" s="1">
        <f t="shared" si="76"/>
        <v>1</v>
      </c>
    </row>
    <row r="52" spans="1:67" ht="30.95" customHeight="1">
      <c r="A52" s="1">
        <f>1</f>
        <v>1</v>
      </c>
      <c r="B52" s="1">
        <f>固定流程!A16</f>
        <v>11</v>
      </c>
      <c r="C52" s="1">
        <f>4</f>
        <v>4</v>
      </c>
      <c r="D52" s="1">
        <f>1</f>
        <v>1</v>
      </c>
      <c r="E52" s="1">
        <f>固定流程!C16</f>
        <v>2</v>
      </c>
      <c r="F52" s="1">
        <f>固定流程!G16</f>
        <v>2</v>
      </c>
      <c r="G52" s="1" t="str">
        <f>固定流程!H16</f>
        <v>37_CURVE</v>
      </c>
      <c r="H52" s="1">
        <f>固定流程!F16</f>
        <v>1</v>
      </c>
      <c r="I52" s="1">
        <f>INDEX(配置与结果!$B$15:$B$18,F52)</f>
        <v>2306</v>
      </c>
      <c r="J52" s="1">
        <f>INDEX(配置与结果!$D$15:$D$18,F52)</f>
        <v>0.46</v>
      </c>
      <c r="K52" s="1">
        <f>INDEX(配置与结果!$E$15:$E$18,F52)</f>
        <v>1.9279999999999999</v>
      </c>
      <c r="L52" s="1">
        <f t="shared" si="82"/>
        <v>2</v>
      </c>
      <c r="M52" s="1">
        <f t="shared" si="82"/>
        <v>10</v>
      </c>
      <c r="N52" s="1">
        <f t="shared" si="82"/>
        <v>2</v>
      </c>
      <c r="O52" s="1">
        <f t="shared" si="81"/>
        <v>6</v>
      </c>
      <c r="P52" s="1">
        <f>MIN(方案参数!$AI$4,AZ51+0+0)</f>
        <v>5</v>
      </c>
      <c r="Q52" s="1">
        <f t="shared" si="59"/>
        <v>3</v>
      </c>
      <c r="R52" s="1">
        <f t="shared" si="60"/>
        <v>5</v>
      </c>
      <c r="S52" s="1">
        <f t="shared" si="61"/>
        <v>2</v>
      </c>
      <c r="T52" s="1">
        <f t="shared" si="62"/>
        <v>0</v>
      </c>
      <c r="U52" s="1">
        <f t="shared" si="63"/>
        <v>0</v>
      </c>
      <c r="V52" s="1">
        <f t="shared" si="64"/>
        <v>1</v>
      </c>
      <c r="W52" s="1">
        <f t="shared" si="65"/>
        <v>1</v>
      </c>
      <c r="X52" s="1">
        <f t="shared" si="66"/>
        <v>1</v>
      </c>
      <c r="Y52" s="1">
        <f t="shared" si="67"/>
        <v>1</v>
      </c>
      <c r="Z52" s="1">
        <f t="shared" si="68"/>
        <v>1</v>
      </c>
      <c r="AA52" s="1">
        <f t="shared" si="83"/>
        <v>1</v>
      </c>
      <c r="AB52" s="1">
        <f t="shared" si="70"/>
        <v>0</v>
      </c>
      <c r="AC52" s="1">
        <f t="shared" si="71"/>
        <v>0</v>
      </c>
      <c r="AD52" s="1">
        <f>ROUNDDOWN(I52*(1+IF(F52=3,0.05+方案参数!$Y$4+AA52*0.12,IF(F52=4,方案参数!$BZ$4*方案参数!$AS$4,0)))+IF(AND(X52=1,F52&lt;&gt;3),方案参数!$CC$4,0)+AC52*方案参数!$CB$4,0)</f>
        <v>2544</v>
      </c>
      <c r="AE52" s="1">
        <f>IF(OR(F52=1,F52=4),配置与结果!$B$24,配置与结果!$B$25)*MAX(0,1-INDEX(配置与结果!$I$15:$I$18,F52))</f>
        <v>1000</v>
      </c>
      <c r="AF52" s="1">
        <f>方案参数!$BT$4*IF(H52=1,1,IF(H52=2,1.5,2.5))</f>
        <v>1.4</v>
      </c>
      <c r="AG52" s="1">
        <f>MAX(配置与结果!$B$32,1+INDEX(配置与结果!$F$15:$F$18,F52)+0+Q52*方案参数!$W$4+Y52*(方案参数!$AN$4+MIN(方案参数!$AO$4,P52*0.03))+AB52*方案参数!$BZ$4*0.025-配置与结果!$B$28)</f>
        <v>0.96499999999999997</v>
      </c>
      <c r="AH52" s="1">
        <f>MAX(0,1+INDEX(配置与结果!$G$15:$G$18,F52)+W52*方案参数!$AG$4)</f>
        <v>1.3</v>
      </c>
      <c r="AI52" s="1">
        <f>IF(OR(INDEX(配置与结果!$K$15:$K$18,F52)=1,G52="RHI_BERRY"),1+配置与结果!$B$33+P52*方案参数!$AH$4,1)</f>
        <v>1</v>
      </c>
      <c r="AJ52" s="1">
        <f>MIN(1,MAX(0,J52+方案参数!$AB$4-配置与结果!$B$27))</f>
        <v>0.76</v>
      </c>
      <c r="AK52" s="1">
        <f>MAX(1,K52+IF(F52=2,0.15+方案参数!$CH$4,0)+BN52*方案参数!$X$4+R52*方案参数!$AA$4+0-配置与结果!$B$26+Z52*(方案参数!$AP$4+MIN(方案参数!$AQ$4,P52*0.03)))</f>
        <v>2.278</v>
      </c>
      <c r="AL52" s="7">
        <f>ROUNDDOWN(MAX(AD52*配置与结果!$B$31,AD52-AE52)*AF52*AG52*AH52*AI52,0)</f>
        <v>2711</v>
      </c>
      <c r="AM52" s="7">
        <f>ROUNDDOWN(MAX(AD52*配置与结果!$B$31,AD52-AE52)*AF52*AG52*AH52*AI52*AK52,0)</f>
        <v>6177</v>
      </c>
      <c r="AN52" s="7">
        <f t="shared" si="0"/>
        <v>5345.1600000000008</v>
      </c>
      <c r="AO52" s="7">
        <f>方案参数!$BU$4*IF(H52=1,1,IF(H52=2,1.5,2.5))</f>
        <v>0.8</v>
      </c>
      <c r="AP52" s="7">
        <f>MAX(0,1+INDEX(配置与结果!$J$15:$J$18,F52)+IF(T52&gt;0,方案参数!$BY$4,0)-配置与结果!$B$30)</f>
        <v>1</v>
      </c>
      <c r="AQ52" s="7">
        <f t="shared" si="1"/>
        <v>2035</v>
      </c>
      <c r="AR52" s="7">
        <f t="shared" si="2"/>
        <v>4635</v>
      </c>
      <c r="AS52" s="7">
        <f t="shared" si="3"/>
        <v>4011</v>
      </c>
      <c r="AT52" s="7">
        <f>0</f>
        <v>0</v>
      </c>
      <c r="AU52" s="7">
        <f t="shared" si="4"/>
        <v>9356.16</v>
      </c>
      <c r="AV52" s="1">
        <f t="shared" si="5"/>
        <v>2</v>
      </c>
      <c r="AW52" s="1">
        <f t="shared" si="85"/>
        <v>10</v>
      </c>
      <c r="AX52" s="1">
        <f t="shared" si="6"/>
        <v>2</v>
      </c>
      <c r="AY52" s="1">
        <f t="shared" si="79"/>
        <v>6</v>
      </c>
      <c r="AZ52" s="1">
        <f t="shared" si="7"/>
        <v>5</v>
      </c>
      <c r="BA52" s="1">
        <f>MIN(6,Q52+0)</f>
        <v>3</v>
      </c>
      <c r="BB52" s="1">
        <f t="shared" si="72"/>
        <v>5</v>
      </c>
      <c r="BC52" s="1">
        <f t="shared" ref="BC52:BC58" si="86">MIN(3,S52+0)</f>
        <v>2</v>
      </c>
      <c r="BD52" s="1">
        <f t="shared" si="80"/>
        <v>0</v>
      </c>
      <c r="BE52" s="1">
        <f t="shared" si="73"/>
        <v>0</v>
      </c>
      <c r="BF52" s="1">
        <f>MIN(4,V52+0)</f>
        <v>1</v>
      </c>
      <c r="BG52" s="1">
        <f t="shared" si="77"/>
        <v>1</v>
      </c>
      <c r="BH52" s="1">
        <f t="shared" si="74"/>
        <v>1</v>
      </c>
      <c r="BI52" s="1">
        <f t="shared" si="78"/>
        <v>1</v>
      </c>
      <c r="BJ52" s="1">
        <f t="shared" si="84"/>
        <v>1</v>
      </c>
      <c r="BK52" s="1">
        <f t="shared" si="84"/>
        <v>1</v>
      </c>
      <c r="BL52" s="1">
        <f t="shared" si="54"/>
        <v>0</v>
      </c>
      <c r="BM52" s="1">
        <f t="shared" si="50"/>
        <v>0</v>
      </c>
      <c r="BN52" s="1">
        <f t="shared" si="75"/>
        <v>1</v>
      </c>
      <c r="BO52" s="1">
        <f t="shared" si="76"/>
        <v>1</v>
      </c>
    </row>
    <row r="53" spans="1:67" ht="30.95" customHeight="1">
      <c r="A53" s="1">
        <f>1</f>
        <v>1</v>
      </c>
      <c r="B53" s="1">
        <f>固定流程!A17</f>
        <v>12</v>
      </c>
      <c r="C53" s="1">
        <f>4</f>
        <v>4</v>
      </c>
      <c r="D53" s="1">
        <f>1</f>
        <v>1</v>
      </c>
      <c r="E53" s="1">
        <f>固定流程!C17</f>
        <v>2</v>
      </c>
      <c r="F53" s="1">
        <f>固定流程!G17</f>
        <v>2</v>
      </c>
      <c r="G53" s="1" t="str">
        <f>固定流程!H17</f>
        <v>37_FOLLOW</v>
      </c>
      <c r="H53" s="1">
        <f>固定流程!F17</f>
        <v>1</v>
      </c>
      <c r="I53" s="1">
        <f>INDEX(配置与结果!$B$15:$B$18,F53)</f>
        <v>2306</v>
      </c>
      <c r="J53" s="1">
        <f>INDEX(配置与结果!$D$15:$D$18,F53)</f>
        <v>0.46</v>
      </c>
      <c r="K53" s="1">
        <f>INDEX(配置与结果!$E$15:$E$18,F53)</f>
        <v>1.9279999999999999</v>
      </c>
      <c r="L53" s="1">
        <f t="shared" si="82"/>
        <v>2</v>
      </c>
      <c r="M53" s="1">
        <f t="shared" si="82"/>
        <v>10</v>
      </c>
      <c r="N53" s="1">
        <f t="shared" si="82"/>
        <v>2</v>
      </c>
      <c r="O53" s="1">
        <f t="shared" si="81"/>
        <v>6</v>
      </c>
      <c r="P53" s="1">
        <f>MIN(方案参数!$AI$4,AZ52+0+0)</f>
        <v>5</v>
      </c>
      <c r="Q53" s="1">
        <f t="shared" si="59"/>
        <v>3</v>
      </c>
      <c r="R53" s="1">
        <f t="shared" si="60"/>
        <v>5</v>
      </c>
      <c r="S53" s="1">
        <f t="shared" si="61"/>
        <v>2</v>
      </c>
      <c r="T53" s="1">
        <f t="shared" si="62"/>
        <v>0</v>
      </c>
      <c r="U53" s="1">
        <f t="shared" si="63"/>
        <v>0</v>
      </c>
      <c r="V53" s="1">
        <f t="shared" si="64"/>
        <v>1</v>
      </c>
      <c r="W53" s="1">
        <f t="shared" si="65"/>
        <v>1</v>
      </c>
      <c r="X53" s="1">
        <f t="shared" si="66"/>
        <v>1</v>
      </c>
      <c r="Y53" s="1">
        <f t="shared" si="67"/>
        <v>1</v>
      </c>
      <c r="Z53" s="1">
        <f t="shared" si="68"/>
        <v>1</v>
      </c>
      <c r="AA53" s="1">
        <f t="shared" si="83"/>
        <v>1</v>
      </c>
      <c r="AB53" s="1">
        <f t="shared" si="70"/>
        <v>0</v>
      </c>
      <c r="AC53" s="1">
        <f t="shared" si="71"/>
        <v>0</v>
      </c>
      <c r="AD53" s="1">
        <f>ROUNDDOWN(I53*(1+IF(F53=3,0.05+方案参数!$Y$4+AA53*0.12,IF(F53=4,方案参数!$BZ$4*方案参数!$AS$4,0)))+IF(AND(X53=1,F53&lt;&gt;3),方案参数!$CC$4,0)+AC53*方案参数!$CB$4,0)</f>
        <v>2544</v>
      </c>
      <c r="AE53" s="1">
        <f>IF(OR(F53=1,F53=4),配置与结果!$B$24,配置与结果!$B$25)*MAX(0,1-INDEX(配置与结果!$I$15:$I$18,F53))</f>
        <v>1000</v>
      </c>
      <c r="AF53" s="1">
        <f>方案参数!$BV$4</f>
        <v>3</v>
      </c>
      <c r="AG53" s="1">
        <f>MAX(配置与结果!$B$32,1+INDEX(配置与结果!$F$15:$F$18,F53)+0+Q53*方案参数!$W$4+Y53*(方案参数!$AN$4+MIN(方案参数!$AO$4,P53*0.03))+AB53*方案参数!$BZ$4*0.025-配置与结果!$B$28)</f>
        <v>0.96499999999999997</v>
      </c>
      <c r="AH53" s="1">
        <f>MAX(0,1+INDEX(配置与结果!$G$15:$G$18,F53)+W53*方案参数!$AG$4)</f>
        <v>1.3</v>
      </c>
      <c r="AI53" s="1">
        <f>IF(OR(INDEX(配置与结果!$K$15:$K$18,F53)=1,G53="RHI_BERRY"),1+配置与结果!$B$33+P53*方案参数!$AH$4,1)</f>
        <v>1</v>
      </c>
      <c r="AJ53" s="1">
        <f>MIN(1,MAX(0,J53+方案参数!$AB$4-配置与结果!$B$27))</f>
        <v>0.76</v>
      </c>
      <c r="AK53" s="1">
        <f>MAX(1,K53+IF(F53=2,0.15+方案参数!$CH$4,0)+BN53*方案参数!$X$4+R53*方案参数!$AA$4+0-配置与结果!$B$26+Z53*(方案参数!$AP$4+MIN(方案参数!$AQ$4,P53*0.03)))</f>
        <v>2.278</v>
      </c>
      <c r="AL53" s="7">
        <f>ROUNDDOWN(MAX(AD53*配置与结果!$B$31,AD53-AE53)*AF53*AG53*AH53*AI53,0)</f>
        <v>5810</v>
      </c>
      <c r="AM53" s="7">
        <f>ROUNDDOWN(MAX(AD53*配置与结果!$B$31,AD53-AE53)*AF53*AG53*AH53*AI53*AK53,0)</f>
        <v>13237</v>
      </c>
      <c r="AN53" s="7">
        <f t="shared" si="0"/>
        <v>11454.52</v>
      </c>
      <c r="AO53" s="7">
        <f>方案参数!$BW$4</f>
        <v>1</v>
      </c>
      <c r="AP53" s="7">
        <f>MAX(0,1+INDEX(配置与结果!$J$15:$J$18,F53)+IF(T53&gt;0,方案参数!$BY$4,0)-配置与结果!$B$30)</f>
        <v>1</v>
      </c>
      <c r="AQ53" s="7">
        <f t="shared" si="1"/>
        <v>2544</v>
      </c>
      <c r="AR53" s="7">
        <f t="shared" si="2"/>
        <v>5795</v>
      </c>
      <c r="AS53" s="7">
        <f t="shared" si="3"/>
        <v>5014.76</v>
      </c>
      <c r="AT53" s="7">
        <f>0</f>
        <v>0</v>
      </c>
      <c r="AU53" s="7">
        <f t="shared" si="4"/>
        <v>16469.28</v>
      </c>
      <c r="AV53" s="1">
        <f t="shared" si="5"/>
        <v>2</v>
      </c>
      <c r="AW53" s="1">
        <f t="shared" si="85"/>
        <v>10</v>
      </c>
      <c r="AX53" s="1">
        <f t="shared" si="6"/>
        <v>2</v>
      </c>
      <c r="AY53" s="1">
        <f t="shared" si="79"/>
        <v>6</v>
      </c>
      <c r="AZ53" s="1">
        <f t="shared" si="7"/>
        <v>5</v>
      </c>
      <c r="BA53" s="1">
        <f>MIN(6,Q53+0)</f>
        <v>3</v>
      </c>
      <c r="BB53" s="1">
        <f t="shared" si="72"/>
        <v>5</v>
      </c>
      <c r="BC53" s="1">
        <f t="shared" si="86"/>
        <v>2</v>
      </c>
      <c r="BD53" s="1">
        <f t="shared" si="80"/>
        <v>0</v>
      </c>
      <c r="BE53" s="1">
        <f t="shared" si="73"/>
        <v>0</v>
      </c>
      <c r="BF53" s="1">
        <f>MIN(4,V53+1)</f>
        <v>2</v>
      </c>
      <c r="BG53" s="1">
        <f t="shared" si="77"/>
        <v>1</v>
      </c>
      <c r="BH53" s="1">
        <f t="shared" si="74"/>
        <v>1</v>
      </c>
      <c r="BI53" s="1">
        <f t="shared" si="78"/>
        <v>1</v>
      </c>
      <c r="BJ53" s="1">
        <f t="shared" si="84"/>
        <v>1</v>
      </c>
      <c r="BK53" s="1">
        <f t="shared" si="84"/>
        <v>1</v>
      </c>
      <c r="BL53" s="1">
        <f t="shared" si="54"/>
        <v>0</v>
      </c>
      <c r="BM53" s="1">
        <f t="shared" si="50"/>
        <v>0</v>
      </c>
      <c r="BN53" s="1">
        <f t="shared" si="75"/>
        <v>1</v>
      </c>
      <c r="BO53" s="1">
        <f t="shared" si="76"/>
        <v>1</v>
      </c>
    </row>
    <row r="54" spans="1:67" ht="30.95" customHeight="1">
      <c r="A54" s="1">
        <f>1</f>
        <v>1</v>
      </c>
      <c r="B54" s="1">
        <f>固定流程!A18</f>
        <v>13</v>
      </c>
      <c r="C54" s="1">
        <f>4</f>
        <v>4</v>
      </c>
      <c r="D54" s="1">
        <f>1</f>
        <v>1</v>
      </c>
      <c r="E54" s="1">
        <f>固定流程!C18</f>
        <v>2</v>
      </c>
      <c r="F54" s="1">
        <f>固定流程!G18</f>
        <v>3</v>
      </c>
      <c r="G54" s="1" t="str">
        <f>固定流程!H18</f>
        <v>RHI_BERRY</v>
      </c>
      <c r="H54" s="1">
        <f>固定流程!F18</f>
        <v>1</v>
      </c>
      <c r="I54" s="1">
        <f>INDEX(配置与结果!$B$15:$B$18,F54)</f>
        <v>2597</v>
      </c>
      <c r="J54" s="1">
        <f>INDEX(配置与结果!$D$15:$D$18,F54)</f>
        <v>0.255</v>
      </c>
      <c r="K54" s="1">
        <f>INDEX(配置与结果!$E$15:$E$18,F54)</f>
        <v>1.55</v>
      </c>
      <c r="L54" s="1">
        <f t="shared" si="82"/>
        <v>2</v>
      </c>
      <c r="M54" s="1">
        <f t="shared" si="82"/>
        <v>10</v>
      </c>
      <c r="N54" s="1">
        <f t="shared" si="82"/>
        <v>2</v>
      </c>
      <c r="O54" s="1">
        <f t="shared" si="81"/>
        <v>6</v>
      </c>
      <c r="P54" s="1">
        <f>MIN(方案参数!$AI$4,AZ53+0+0)</f>
        <v>5</v>
      </c>
      <c r="Q54" s="1">
        <f t="shared" si="59"/>
        <v>3</v>
      </c>
      <c r="R54" s="1">
        <f t="shared" si="60"/>
        <v>5</v>
      </c>
      <c r="S54" s="1">
        <f t="shared" si="61"/>
        <v>2</v>
      </c>
      <c r="T54" s="1">
        <f t="shared" si="62"/>
        <v>0</v>
      </c>
      <c r="U54" s="1">
        <f t="shared" si="63"/>
        <v>0</v>
      </c>
      <c r="V54" s="1">
        <f t="shared" si="64"/>
        <v>2</v>
      </c>
      <c r="W54" s="1">
        <f t="shared" si="65"/>
        <v>1</v>
      </c>
      <c r="X54" s="1">
        <f t="shared" si="66"/>
        <v>1</v>
      </c>
      <c r="Y54" s="1">
        <f t="shared" si="67"/>
        <v>1</v>
      </c>
      <c r="Z54" s="1">
        <f t="shared" si="68"/>
        <v>1</v>
      </c>
      <c r="AA54" s="1">
        <f t="shared" si="83"/>
        <v>1</v>
      </c>
      <c r="AB54" s="1">
        <f t="shared" si="70"/>
        <v>0</v>
      </c>
      <c r="AC54" s="1">
        <f t="shared" si="71"/>
        <v>0</v>
      </c>
      <c r="AD54" s="1">
        <f>ROUNDDOWN(I54*(1+IF(F54=3,0.05+方案参数!$Y$4+AA54*0.12,IF(F54=4,方案参数!$BZ$4*方案参数!$AS$4,0)))+IF(AND(X54=1,F54&lt;&gt;3),方案参数!$CC$4,0)+AC54*方案参数!$CB$4,0)</f>
        <v>3298</v>
      </c>
      <c r="AE54" s="1">
        <f>IF(OR(F54=1,F54=4),配置与结果!$B$24,配置与结果!$B$25)*MAX(0,1-INDEX(配置与结果!$I$15:$I$18,F54))</f>
        <v>1000</v>
      </c>
      <c r="AF54" s="1">
        <f>方案参数!$CF$4+P54*方案参数!$CG$4</f>
        <v>22.5</v>
      </c>
      <c r="AG54" s="1">
        <f>MAX(配置与结果!$B$32,1+INDEX(配置与结果!$F$15:$F$18,F54)+0+Q54*方案参数!$W$4+Y54*(方案参数!$AN$4+MIN(方案参数!$AO$4,P54*0.03))+AB54*方案参数!$BZ$4*0.025-配置与结果!$B$28)</f>
        <v>0.995</v>
      </c>
      <c r="AH54" s="1">
        <f>MAX(0,1+INDEX(配置与结果!$G$15:$G$18,F54)+W54*方案参数!$AG$4)</f>
        <v>1.3</v>
      </c>
      <c r="AI54" s="1">
        <f>IF(OR(INDEX(配置与结果!$K$15:$K$18,F54)=1,G54="RHI_BERRY"),1+配置与结果!$B$33+P54*方案参数!$AH$4,1)</f>
        <v>1.5</v>
      </c>
      <c r="AJ54" s="1">
        <f>MIN(1,MAX(0,J54+方案参数!$AB$4-配置与结果!$B$27))</f>
        <v>0.55499999999999994</v>
      </c>
      <c r="AK54" s="1">
        <f>MAX(1,K54+IF(F54=2,0.15+方案参数!$CH$4,0)+BN54*方案参数!$X$4+R54*方案参数!$AA$4+0-配置与结果!$B$26+Z54*(方案参数!$AP$4+MIN(方案参数!$AQ$4,P54*0.03)))</f>
        <v>1.6300000000000001</v>
      </c>
      <c r="AL54" s="7">
        <f>ROUNDDOWN(MAX(AD54*配置与结果!$B$31,AD54-AE54)*AF54*AG54*AH54*AI54,0)</f>
        <v>100320</v>
      </c>
      <c r="AM54" s="7">
        <f>ROUNDDOWN(MAX(AD54*配置与结果!$B$31,AD54-AE54)*AF54*AG54*AH54*AI54*AK54,0)</f>
        <v>163522</v>
      </c>
      <c r="AN54" s="7">
        <f t="shared" si="0"/>
        <v>135397.10999999999</v>
      </c>
      <c r="AO54" s="7">
        <f>0</f>
        <v>0</v>
      </c>
      <c r="AP54" s="7">
        <f>MAX(0,1+INDEX(配置与结果!$J$15:$J$18,F54)+IF(T54&gt;0,方案参数!$BY$4,0)-配置与结果!$B$30)</f>
        <v>1</v>
      </c>
      <c r="AQ54" s="7">
        <f t="shared" si="1"/>
        <v>0</v>
      </c>
      <c r="AR54" s="7">
        <f t="shared" si="2"/>
        <v>0</v>
      </c>
      <c r="AS54" s="7">
        <f t="shared" si="3"/>
        <v>0</v>
      </c>
      <c r="AT54" s="7">
        <f>0</f>
        <v>0</v>
      </c>
      <c r="AU54" s="7">
        <f t="shared" si="4"/>
        <v>135397.10999999999</v>
      </c>
      <c r="AV54" s="1">
        <f t="shared" si="5"/>
        <v>2</v>
      </c>
      <c r="AW54" s="1">
        <f t="shared" si="85"/>
        <v>10</v>
      </c>
      <c r="AX54" s="1">
        <f t="shared" si="6"/>
        <v>2</v>
      </c>
      <c r="AY54" s="1">
        <f t="shared" si="79"/>
        <v>6</v>
      </c>
      <c r="AZ54" s="1">
        <f t="shared" si="7"/>
        <v>5</v>
      </c>
      <c r="BA54" s="1">
        <f>MIN(6,Q54+0)</f>
        <v>3</v>
      </c>
      <c r="BB54" s="1">
        <f t="shared" si="72"/>
        <v>5</v>
      </c>
      <c r="BC54" s="1">
        <f t="shared" si="86"/>
        <v>2</v>
      </c>
      <c r="BD54" s="1">
        <f t="shared" si="80"/>
        <v>0</v>
      </c>
      <c r="BE54" s="1">
        <f t="shared" si="73"/>
        <v>0</v>
      </c>
      <c r="BF54" s="1">
        <f>MIN(4,V54+0)</f>
        <v>2</v>
      </c>
      <c r="BG54" s="1">
        <f t="shared" si="77"/>
        <v>1</v>
      </c>
      <c r="BH54" s="1">
        <f t="shared" si="74"/>
        <v>1</v>
      </c>
      <c r="BI54" s="1">
        <f t="shared" si="78"/>
        <v>1</v>
      </c>
      <c r="BJ54" s="1">
        <f t="shared" si="84"/>
        <v>1</v>
      </c>
      <c r="BK54" s="1">
        <f t="shared" si="84"/>
        <v>1</v>
      </c>
      <c r="BL54" s="1">
        <f t="shared" si="54"/>
        <v>0</v>
      </c>
      <c r="BM54" s="1">
        <f t="shared" si="50"/>
        <v>0</v>
      </c>
      <c r="BN54" s="1">
        <f t="shared" si="75"/>
        <v>1</v>
      </c>
      <c r="BO54" s="1">
        <f t="shared" si="76"/>
        <v>1</v>
      </c>
    </row>
    <row r="55" spans="1:67" ht="30.95" customHeight="1">
      <c r="A55" s="1">
        <f>1</f>
        <v>1</v>
      </c>
      <c r="B55" s="1">
        <f>固定流程!A19</f>
        <v>14</v>
      </c>
      <c r="C55" s="1">
        <f>4</f>
        <v>4</v>
      </c>
      <c r="D55" s="1">
        <f>1</f>
        <v>1</v>
      </c>
      <c r="E55" s="1">
        <f>固定流程!C19</f>
        <v>3</v>
      </c>
      <c r="F55" s="1">
        <f>固定流程!G19</f>
        <v>3</v>
      </c>
      <c r="G55" s="1" t="str">
        <f>固定流程!H19</f>
        <v>RHI_BUFF</v>
      </c>
      <c r="H55" s="1">
        <f>固定流程!F19</f>
        <v>1</v>
      </c>
      <c r="I55" s="1">
        <f>INDEX(配置与结果!$B$15:$B$18,F55)</f>
        <v>2597</v>
      </c>
      <c r="J55" s="1">
        <f>INDEX(配置与结果!$D$15:$D$18,F55)</f>
        <v>0.255</v>
      </c>
      <c r="K55" s="1">
        <f>INDEX(配置与结果!$E$15:$E$18,F55)</f>
        <v>1.55</v>
      </c>
      <c r="L55" s="1">
        <f>IF(AV54=1,IF(M55&gt;=10,2,1),IF(AV54=2,IF(AX54&lt;=1,0,2),0))</f>
        <v>2</v>
      </c>
      <c r="M55" s="1">
        <f>IF(AND(AV54=2,AX54&lt;=1),0,MIN(10,AW54+IF(AV54=1,3,0)))</f>
        <v>10</v>
      </c>
      <c r="N55" s="1">
        <f>IF(AND(AV54=1,M55&gt;=10),2,IF(AV54=2,MAX(0,AX54-1),0))</f>
        <v>1</v>
      </c>
      <c r="O55" s="1">
        <f t="shared" si="81"/>
        <v>6</v>
      </c>
      <c r="P55" s="1">
        <f>MIN(方案参数!$AI$4,AZ54+方案参数!$AJ$4+方案参数!$AK$4)</f>
        <v>5</v>
      </c>
      <c r="Q55" s="1">
        <f t="shared" si="59"/>
        <v>3</v>
      </c>
      <c r="R55" s="1">
        <f t="shared" si="60"/>
        <v>5</v>
      </c>
      <c r="S55" s="1">
        <f t="shared" si="61"/>
        <v>2</v>
      </c>
      <c r="T55" s="1">
        <f t="shared" si="62"/>
        <v>0</v>
      </c>
      <c r="U55" s="1">
        <f t="shared" si="63"/>
        <v>0</v>
      </c>
      <c r="V55" s="1">
        <f t="shared" si="64"/>
        <v>2</v>
      </c>
      <c r="W55" s="1">
        <f t="shared" si="65"/>
        <v>1</v>
      </c>
      <c r="X55" s="1">
        <f t="shared" si="66"/>
        <v>1</v>
      </c>
      <c r="Y55" s="1">
        <f t="shared" si="67"/>
        <v>1</v>
      </c>
      <c r="Z55" s="1">
        <f t="shared" si="68"/>
        <v>1</v>
      </c>
      <c r="AA55" s="1">
        <f t="shared" si="83"/>
        <v>1</v>
      </c>
      <c r="AB55" s="1">
        <f t="shared" si="70"/>
        <v>0</v>
      </c>
      <c r="AC55" s="1">
        <f t="shared" si="71"/>
        <v>0</v>
      </c>
      <c r="AD55" s="1">
        <f>ROUNDDOWN(I55*(1+IF(F55=3,0.05+方案参数!$Y$4+AA55*0.12,IF(F55=4,方案参数!$BZ$4*方案参数!$AS$4,0)))+IF(AND(X55=1,F55&lt;&gt;3),方案参数!$CC$4,0)+AC55*方案参数!$CB$4,0)</f>
        <v>3298</v>
      </c>
      <c r="AE55" s="1">
        <f>IF(OR(F55=1,F55=4),配置与结果!$B$24,配置与结果!$B$25)*MAX(0,1-INDEX(配置与结果!$I$15:$I$18,F55))</f>
        <v>1000</v>
      </c>
      <c r="AF55" s="1">
        <f>0</f>
        <v>0</v>
      </c>
      <c r="AG55" s="1">
        <f>MAX(配置与结果!$B$32,1+INDEX(配置与结果!$F$15:$F$18,F55)+0+Q55*方案参数!$W$4+Y55*(方案参数!$AN$4+MIN(方案参数!$AO$4,P55*0.03))+AB55*方案参数!$BZ$4*0.025-配置与结果!$B$28)</f>
        <v>0.995</v>
      </c>
      <c r="AH55" s="1">
        <f>MAX(0,1+INDEX(配置与结果!$G$15:$G$18,F55)+W55*方案参数!$AG$4)</f>
        <v>1.3</v>
      </c>
      <c r="AI55" s="1">
        <f>IF(OR(INDEX(配置与结果!$K$15:$K$18,F55)=1,G55="RHI_BERRY"),1+配置与结果!$B$33+P55*方案参数!$AH$4,1)</f>
        <v>1</v>
      </c>
      <c r="AJ55" s="1">
        <f>MIN(1,MAX(0,J55+方案参数!$AB$4-配置与结果!$B$27))</f>
        <v>0.55499999999999994</v>
      </c>
      <c r="AK55" s="1">
        <f>MAX(1,K55+IF(F55=2,0.15+方案参数!$CH$4,0)+BN55*方案参数!$X$4+R55*方案参数!$AA$4+0-配置与结果!$B$26+Z55*(方案参数!$AP$4+MIN(方案参数!$AQ$4,P55*0.03)))</f>
        <v>1.6300000000000001</v>
      </c>
      <c r="AL55" s="7">
        <f>ROUNDDOWN(MAX(AD55*配置与结果!$B$31,AD55-AE55)*AF55*AG55*AH55*AI55,0)</f>
        <v>0</v>
      </c>
      <c r="AM55" s="7">
        <f>ROUNDDOWN(MAX(AD55*配置与结果!$B$31,AD55-AE55)*AF55*AG55*AH55*AI55*AK55,0)</f>
        <v>0</v>
      </c>
      <c r="AN55" s="7">
        <f t="shared" si="0"/>
        <v>0</v>
      </c>
      <c r="AO55" s="7">
        <f>0</f>
        <v>0</v>
      </c>
      <c r="AP55" s="7">
        <f>MAX(0,1+INDEX(配置与结果!$J$15:$J$18,F55)+IF(T55&gt;0,方案参数!$BY$4,0)-配置与结果!$B$30)</f>
        <v>1</v>
      </c>
      <c r="AQ55" s="7">
        <f t="shared" si="1"/>
        <v>0</v>
      </c>
      <c r="AR55" s="7">
        <f t="shared" si="2"/>
        <v>0</v>
      </c>
      <c r="AS55" s="7">
        <f t="shared" si="3"/>
        <v>0</v>
      </c>
      <c r="AT55" s="7">
        <f>0</f>
        <v>0</v>
      </c>
      <c r="AU55" s="7">
        <f t="shared" si="4"/>
        <v>0</v>
      </c>
      <c r="AV55" s="1">
        <f t="shared" si="5"/>
        <v>2</v>
      </c>
      <c r="AW55" s="1">
        <f t="shared" si="85"/>
        <v>10</v>
      </c>
      <c r="AX55" s="1">
        <f t="shared" si="6"/>
        <v>1</v>
      </c>
      <c r="AY55" s="1">
        <f t="shared" si="79"/>
        <v>6</v>
      </c>
      <c r="AZ55" s="1">
        <f t="shared" si="7"/>
        <v>5</v>
      </c>
      <c r="BA55" s="1">
        <f>MIN(6,Q55+1)</f>
        <v>4</v>
      </c>
      <c r="BB55" s="1">
        <f t="shared" si="72"/>
        <v>5</v>
      </c>
      <c r="BC55" s="1">
        <f t="shared" si="86"/>
        <v>2</v>
      </c>
      <c r="BD55" s="1">
        <f t="shared" si="80"/>
        <v>0</v>
      </c>
      <c r="BE55" s="1">
        <f t="shared" si="73"/>
        <v>0</v>
      </c>
      <c r="BF55" s="1">
        <f>MIN(4,V55+0)</f>
        <v>2</v>
      </c>
      <c r="BG55" s="1">
        <f>MAX(W55,1)</f>
        <v>1</v>
      </c>
      <c r="BH55" s="1">
        <f t="shared" si="74"/>
        <v>1</v>
      </c>
      <c r="BI55" s="1">
        <f>MAX(Y55,1)</f>
        <v>1</v>
      </c>
      <c r="BJ55" s="1">
        <f t="shared" si="84"/>
        <v>1</v>
      </c>
      <c r="BK55" s="1">
        <f t="shared" si="84"/>
        <v>1</v>
      </c>
      <c r="BL55" s="1">
        <f t="shared" si="54"/>
        <v>0</v>
      </c>
      <c r="BM55" s="1">
        <f t="shared" si="50"/>
        <v>0</v>
      </c>
      <c r="BN55" s="1">
        <f t="shared" si="75"/>
        <v>1</v>
      </c>
      <c r="BO55" s="1">
        <f t="shared" si="76"/>
        <v>1</v>
      </c>
    </row>
    <row r="56" spans="1:67" ht="30.95" customHeight="1">
      <c r="A56" s="1">
        <f>1</f>
        <v>1</v>
      </c>
      <c r="B56" s="1">
        <f>固定流程!A20</f>
        <v>15</v>
      </c>
      <c r="C56" s="1">
        <f>4</f>
        <v>4</v>
      </c>
      <c r="D56" s="1">
        <f>1</f>
        <v>1</v>
      </c>
      <c r="E56" s="1">
        <f>固定流程!C20</f>
        <v>3</v>
      </c>
      <c r="F56" s="1">
        <f>固定流程!G20</f>
        <v>3</v>
      </c>
      <c r="G56" s="1" t="str">
        <f>固定流程!H20</f>
        <v>RHI_ATTACK</v>
      </c>
      <c r="H56" s="1">
        <f>固定流程!F20</f>
        <v>1</v>
      </c>
      <c r="I56" s="1">
        <f>INDEX(配置与结果!$B$15:$B$18,F56)</f>
        <v>2597</v>
      </c>
      <c r="J56" s="1">
        <f>INDEX(配置与结果!$D$15:$D$18,F56)</f>
        <v>0.255</v>
      </c>
      <c r="K56" s="1">
        <f>INDEX(配置与结果!$E$15:$E$18,F56)</f>
        <v>1.55</v>
      </c>
      <c r="L56" s="1">
        <f t="shared" ref="L56:L77" si="87">AV55</f>
        <v>2</v>
      </c>
      <c r="M56" s="1">
        <f t="shared" ref="M56:M77" si="88">AW55</f>
        <v>10</v>
      </c>
      <c r="N56" s="1">
        <f t="shared" ref="N56:N77" si="89">AX55</f>
        <v>1</v>
      </c>
      <c r="O56" s="1">
        <f t="shared" si="81"/>
        <v>6</v>
      </c>
      <c r="P56" s="1">
        <f>MIN(方案参数!$AI$4,AZ55+0+方案参数!$AK$4)</f>
        <v>5</v>
      </c>
      <c r="Q56" s="1">
        <f t="shared" si="59"/>
        <v>4</v>
      </c>
      <c r="R56" s="1">
        <f t="shared" si="60"/>
        <v>5</v>
      </c>
      <c r="S56" s="1">
        <f t="shared" si="61"/>
        <v>2</v>
      </c>
      <c r="T56" s="1">
        <f t="shared" si="62"/>
        <v>0</v>
      </c>
      <c r="U56" s="1">
        <f t="shared" si="63"/>
        <v>0</v>
      </c>
      <c r="V56" s="1">
        <f t="shared" si="64"/>
        <v>2</v>
      </c>
      <c r="W56" s="1">
        <f t="shared" si="65"/>
        <v>1</v>
      </c>
      <c r="X56" s="1">
        <f t="shared" si="66"/>
        <v>1</v>
      </c>
      <c r="Y56" s="1">
        <f t="shared" si="67"/>
        <v>1</v>
      </c>
      <c r="Z56" s="1">
        <f t="shared" si="68"/>
        <v>1</v>
      </c>
      <c r="AA56" s="1">
        <f>MAX(BK55,1)</f>
        <v>1</v>
      </c>
      <c r="AB56" s="1">
        <f t="shared" si="70"/>
        <v>0</v>
      </c>
      <c r="AC56" s="1">
        <f t="shared" si="71"/>
        <v>0</v>
      </c>
      <c r="AD56" s="1">
        <f>ROUNDDOWN(I56*(1+IF(F56=3,0.05+方案参数!$Y$4+AA56*0.12,IF(F56=4,方案参数!$BZ$4*方案参数!$AS$4,0)))+IF(AND(X56=1,F56&lt;&gt;3),方案参数!$CC$4,0)+AC56*方案参数!$CB$4,0)</f>
        <v>3298</v>
      </c>
      <c r="AE56" s="1">
        <f>IF(OR(F56=1,F56=4),配置与结果!$B$24,配置与结果!$B$25)*MAX(0,1-INDEX(配置与结果!$I$15:$I$18,F56))</f>
        <v>1000</v>
      </c>
      <c r="AF56" s="1">
        <f>4</f>
        <v>4</v>
      </c>
      <c r="AG56" s="1">
        <f>MAX(配置与结果!$B$32,1+INDEX(配置与结果!$F$15:$F$18,F56)+0+Q56*方案参数!$W$4+Y56*(方案参数!$AN$4+MIN(方案参数!$AO$4,P56*0.03))+AB56*方案参数!$BZ$4*0.025-配置与结果!$B$28)</f>
        <v>1.0150000000000001</v>
      </c>
      <c r="AH56" s="1">
        <f>MAX(0,1+INDEX(配置与结果!$G$15:$G$18,F56)+W56*方案参数!$AG$4)</f>
        <v>1.3</v>
      </c>
      <c r="AI56" s="1">
        <f>IF(OR(INDEX(配置与结果!$K$15:$K$18,F56)=1,G56="RHI_BERRY"),1+配置与结果!$B$33+P56*方案参数!$AH$4,1)</f>
        <v>1</v>
      </c>
      <c r="AJ56" s="1">
        <f>MIN(1,MAX(0,J56+方案参数!$AB$4-配置与结果!$B$27))</f>
        <v>0.55499999999999994</v>
      </c>
      <c r="AK56" s="1">
        <f>MAX(1,K56+IF(F56=2,0.15+方案参数!$CH$4,0)+BN56*方案参数!$X$4+R56*方案参数!$AA$4+0-配置与结果!$B$26+Z56*(方案参数!$AP$4+MIN(方案参数!$AQ$4,P56*0.03)))</f>
        <v>1.6300000000000001</v>
      </c>
      <c r="AL56" s="7">
        <f>ROUNDDOWN(MAX(AD56*配置与结果!$B$31,AD56-AE56)*AF56*AG56*AH56*AI56,0)</f>
        <v>12128</v>
      </c>
      <c r="AM56" s="7">
        <f>ROUNDDOWN(MAX(AD56*配置与结果!$B$31,AD56-AE56)*AF56*AG56*AH56*AI56*AK56,0)</f>
        <v>19770</v>
      </c>
      <c r="AN56" s="7">
        <f t="shared" si="0"/>
        <v>16369.31</v>
      </c>
      <c r="AO56" s="7">
        <f>0</f>
        <v>0</v>
      </c>
      <c r="AP56" s="7">
        <f>MAX(0,1+INDEX(配置与结果!$J$15:$J$18,F56)+IF(T56&gt;0,方案参数!$BY$4,0)-配置与结果!$B$30)</f>
        <v>1</v>
      </c>
      <c r="AQ56" s="7">
        <f t="shared" si="1"/>
        <v>0</v>
      </c>
      <c r="AR56" s="7">
        <f t="shared" si="2"/>
        <v>0</v>
      </c>
      <c r="AS56" s="7">
        <f t="shared" si="3"/>
        <v>0</v>
      </c>
      <c r="AT56" s="7">
        <f>0</f>
        <v>0</v>
      </c>
      <c r="AU56" s="7">
        <f t="shared" si="4"/>
        <v>16369.31</v>
      </c>
      <c r="AV56" s="1">
        <f t="shared" si="5"/>
        <v>2</v>
      </c>
      <c r="AW56" s="1">
        <f t="shared" si="85"/>
        <v>10</v>
      </c>
      <c r="AX56" s="1">
        <f t="shared" si="6"/>
        <v>1</v>
      </c>
      <c r="AY56" s="1">
        <f t="shared" si="79"/>
        <v>6</v>
      </c>
      <c r="AZ56" s="1">
        <f t="shared" si="7"/>
        <v>5</v>
      </c>
      <c r="BA56" s="1">
        <f>MIN(6,Q56+1)</f>
        <v>5</v>
      </c>
      <c r="BB56" s="1">
        <f t="shared" si="72"/>
        <v>5</v>
      </c>
      <c r="BC56" s="1">
        <f t="shared" si="86"/>
        <v>2</v>
      </c>
      <c r="BD56" s="1">
        <f t="shared" si="80"/>
        <v>0</v>
      </c>
      <c r="BE56" s="1">
        <f t="shared" si="73"/>
        <v>0</v>
      </c>
      <c r="BF56" s="1">
        <f>MIN(4,V56+0)</f>
        <v>2</v>
      </c>
      <c r="BG56" s="1">
        <f t="shared" ref="BG56:BG78" si="90">MAX(W56,0)</f>
        <v>1</v>
      </c>
      <c r="BH56" s="1">
        <f t="shared" si="74"/>
        <v>1</v>
      </c>
      <c r="BI56" s="1">
        <f t="shared" ref="BI56:BI78" si="91">MAX(Y56,0)</f>
        <v>1</v>
      </c>
      <c r="BJ56" s="1">
        <f>MAX(Z56,1)</f>
        <v>1</v>
      </c>
      <c r="BK56" s="1">
        <f>MAX(AA56,1)</f>
        <v>1</v>
      </c>
      <c r="BL56" s="1">
        <f t="shared" si="54"/>
        <v>0</v>
      </c>
      <c r="BM56" s="1">
        <f t="shared" si="50"/>
        <v>0</v>
      </c>
      <c r="BN56" s="1">
        <f t="shared" si="75"/>
        <v>1</v>
      </c>
      <c r="BO56" s="1">
        <f t="shared" si="76"/>
        <v>1</v>
      </c>
    </row>
    <row r="57" spans="1:67" ht="30.95" customHeight="1">
      <c r="A57" s="1">
        <f>1</f>
        <v>1</v>
      </c>
      <c r="B57" s="1">
        <f>固定流程!A21</f>
        <v>16</v>
      </c>
      <c r="C57" s="1">
        <f>4</f>
        <v>4</v>
      </c>
      <c r="D57" s="1">
        <f>1</f>
        <v>1</v>
      </c>
      <c r="E57" s="1">
        <f>固定流程!C21</f>
        <v>3</v>
      </c>
      <c r="F57" s="1">
        <f>固定流程!G21</f>
        <v>2</v>
      </c>
      <c r="G57" s="1" t="str">
        <f>固定流程!H21</f>
        <v>37_ULT</v>
      </c>
      <c r="H57" s="1">
        <f>固定流程!F21</f>
        <v>1</v>
      </c>
      <c r="I57" s="1">
        <f>INDEX(配置与结果!$B$15:$B$18,F57)</f>
        <v>2306</v>
      </c>
      <c r="J57" s="1">
        <f>INDEX(配置与结果!$D$15:$D$18,F57)</f>
        <v>0.46</v>
      </c>
      <c r="K57" s="1">
        <f>INDEX(配置与结果!$E$15:$E$18,F57)</f>
        <v>1.9279999999999999</v>
      </c>
      <c r="L57" s="1">
        <f t="shared" si="87"/>
        <v>2</v>
      </c>
      <c r="M57" s="1">
        <f t="shared" si="88"/>
        <v>10</v>
      </c>
      <c r="N57" s="1">
        <f t="shared" si="89"/>
        <v>1</v>
      </c>
      <c r="O57" s="1">
        <f t="shared" si="81"/>
        <v>6</v>
      </c>
      <c r="P57" s="1">
        <f>MIN(方案参数!$AI$4,AZ56+0+0)</f>
        <v>5</v>
      </c>
      <c r="Q57" s="1">
        <f t="shared" si="59"/>
        <v>5</v>
      </c>
      <c r="R57" s="1">
        <f t="shared" si="60"/>
        <v>5</v>
      </c>
      <c r="S57" s="1">
        <f t="shared" si="61"/>
        <v>2</v>
      </c>
      <c r="T57" s="1">
        <f>BD56+方案参数!$BX$4</f>
        <v>2</v>
      </c>
      <c r="U57" s="1">
        <f t="shared" si="63"/>
        <v>0</v>
      </c>
      <c r="V57" s="1">
        <f t="shared" si="64"/>
        <v>2</v>
      </c>
      <c r="W57" s="1">
        <f t="shared" si="65"/>
        <v>1</v>
      </c>
      <c r="X57" s="1">
        <f t="shared" si="66"/>
        <v>1</v>
      </c>
      <c r="Y57" s="1">
        <f t="shared" si="67"/>
        <v>1</v>
      </c>
      <c r="Z57" s="1">
        <f t="shared" si="68"/>
        <v>1</v>
      </c>
      <c r="AA57" s="1">
        <f t="shared" ref="AA57:AA77" si="92">MAX(BK56,0)</f>
        <v>1</v>
      </c>
      <c r="AB57" s="1">
        <f t="shared" si="70"/>
        <v>0</v>
      </c>
      <c r="AC57" s="1">
        <f>MAX(BM56,1)</f>
        <v>1</v>
      </c>
      <c r="AD57" s="1">
        <f>ROUNDDOWN(I57*(1+IF(F57=3,0.05+方案参数!$Y$4+AA57*0.12,IF(F57=4,方案参数!$BZ$4*方案参数!$AS$4,0)))+IF(AND(X57=1,F57&lt;&gt;3),方案参数!$CC$4,0)+AC57*方案参数!$CB$4,0)</f>
        <v>3044</v>
      </c>
      <c r="AE57" s="1">
        <f>IF(OR(F57=1,F57=4),配置与结果!$B$24,配置与结果!$B$25)*MAX(0,1-INDEX(配置与结果!$I$15:$I$18,F57))</f>
        <v>1000</v>
      </c>
      <c r="AF57" s="1">
        <f>0</f>
        <v>0</v>
      </c>
      <c r="AG57" s="1">
        <f>MAX(配置与结果!$B$32,1+INDEX(配置与结果!$F$15:$F$18,F57)+0+Q57*方案参数!$W$4+Y57*(方案参数!$AN$4+MIN(方案参数!$AO$4,P57*0.03))+AB57*方案参数!$BZ$4*0.025-配置与结果!$B$28)</f>
        <v>1.0049999999999999</v>
      </c>
      <c r="AH57" s="1">
        <f>MAX(0,1+INDEX(配置与结果!$G$15:$G$18,F57)+W57*方案参数!$AG$4)</f>
        <v>1.3</v>
      </c>
      <c r="AI57" s="1">
        <f>IF(OR(INDEX(配置与结果!$K$15:$K$18,F57)=1,G57="RHI_BERRY"),1+配置与结果!$B$33+P57*方案参数!$AH$4,1)</f>
        <v>1</v>
      </c>
      <c r="AJ57" s="1">
        <f>MIN(1,MAX(0,J57+方案参数!$AB$4-配置与结果!$B$27))</f>
        <v>0.76</v>
      </c>
      <c r="AK57" s="1">
        <f>MAX(1,K57+IF(F57=2,0.15+方案参数!$CH$4,0)+BN57*方案参数!$X$4+R57*方案参数!$AA$4+0-配置与结果!$B$26+Z57*(方案参数!$AP$4+MIN(方案参数!$AQ$4,P57*0.03)))</f>
        <v>2.278</v>
      </c>
      <c r="AL57" s="7">
        <f>ROUNDDOWN(MAX(AD57*配置与结果!$B$31,AD57-AE57)*AF57*AG57*AH57*AI57,0)</f>
        <v>0</v>
      </c>
      <c r="AM57" s="7">
        <f>ROUNDDOWN(MAX(AD57*配置与结果!$B$31,AD57-AE57)*AF57*AG57*AH57*AI57*AK57,0)</f>
        <v>0</v>
      </c>
      <c r="AN57" s="7">
        <f t="shared" si="0"/>
        <v>0</v>
      </c>
      <c r="AO57" s="7">
        <f>0</f>
        <v>0</v>
      </c>
      <c r="AP57" s="7">
        <f>MAX(0,1+INDEX(配置与结果!$J$15:$J$18,F57)+IF(T57&gt;0,方案参数!$BY$4,0)-配置与结果!$B$30)</f>
        <v>2</v>
      </c>
      <c r="AQ57" s="7">
        <f t="shared" si="1"/>
        <v>0</v>
      </c>
      <c r="AR57" s="7">
        <f t="shared" si="2"/>
        <v>0</v>
      </c>
      <c r="AS57" s="7">
        <f t="shared" si="3"/>
        <v>0</v>
      </c>
      <c r="AT57" s="7">
        <f>0</f>
        <v>0</v>
      </c>
      <c r="AU57" s="7">
        <f t="shared" si="4"/>
        <v>0</v>
      </c>
      <c r="AV57" s="1">
        <f t="shared" si="5"/>
        <v>2</v>
      </c>
      <c r="AW57" s="1">
        <f t="shared" si="85"/>
        <v>10</v>
      </c>
      <c r="AX57" s="1">
        <f t="shared" si="6"/>
        <v>1</v>
      </c>
      <c r="AY57" s="1">
        <f t="shared" si="79"/>
        <v>6</v>
      </c>
      <c r="AZ57" s="1">
        <f t="shared" si="7"/>
        <v>5</v>
      </c>
      <c r="BA57" s="1">
        <f t="shared" ref="BA57:BA77" si="93">MIN(6,Q57+0)</f>
        <v>5</v>
      </c>
      <c r="BB57" s="1">
        <f>MIN(30,R57+5)</f>
        <v>10</v>
      </c>
      <c r="BC57" s="1">
        <f t="shared" si="86"/>
        <v>2</v>
      </c>
      <c r="BD57" s="1">
        <f t="shared" si="80"/>
        <v>2</v>
      </c>
      <c r="BE57" s="1">
        <f t="shared" si="73"/>
        <v>0</v>
      </c>
      <c r="BF57" s="1">
        <f>MIN(4,V57+0)</f>
        <v>2</v>
      </c>
      <c r="BG57" s="1">
        <f t="shared" si="90"/>
        <v>1</v>
      </c>
      <c r="BH57" s="1">
        <f t="shared" si="74"/>
        <v>1</v>
      </c>
      <c r="BI57" s="1">
        <f t="shared" si="91"/>
        <v>1</v>
      </c>
      <c r="BJ57" s="1">
        <f t="shared" ref="BJ57:BJ84" si="94">MAX(Z57,0)</f>
        <v>1</v>
      </c>
      <c r="BK57" s="1">
        <f t="shared" ref="BK57:BK84" si="95">MAX(AA57,0)</f>
        <v>1</v>
      </c>
      <c r="BL57" s="1">
        <f t="shared" si="54"/>
        <v>0</v>
      </c>
      <c r="BM57" s="1">
        <f>MAX(AC57,1)</f>
        <v>1</v>
      </c>
      <c r="BN57" s="1">
        <f t="shared" si="75"/>
        <v>1</v>
      </c>
      <c r="BO57" s="1">
        <f t="shared" si="76"/>
        <v>1</v>
      </c>
    </row>
    <row r="58" spans="1:67" ht="30.95" customHeight="1">
      <c r="A58" s="1">
        <f>1</f>
        <v>1</v>
      </c>
      <c r="B58" s="1">
        <f>固定流程!A22</f>
        <v>17</v>
      </c>
      <c r="C58" s="1">
        <f>4</f>
        <v>4</v>
      </c>
      <c r="D58" s="1">
        <f>1</f>
        <v>1</v>
      </c>
      <c r="E58" s="1">
        <f>固定流程!C22</f>
        <v>3</v>
      </c>
      <c r="F58" s="1">
        <f>固定流程!G22</f>
        <v>2</v>
      </c>
      <c r="G58" s="1" t="str">
        <f>固定流程!H22</f>
        <v>37_FOLLOW</v>
      </c>
      <c r="H58" s="1">
        <f>固定流程!F22</f>
        <v>1</v>
      </c>
      <c r="I58" s="1">
        <f>INDEX(配置与结果!$B$15:$B$18,F58)</f>
        <v>2306</v>
      </c>
      <c r="J58" s="1">
        <f>INDEX(配置与结果!$D$15:$D$18,F58)</f>
        <v>0.46</v>
      </c>
      <c r="K58" s="1">
        <f>INDEX(配置与结果!$E$15:$E$18,F58)</f>
        <v>1.9279999999999999</v>
      </c>
      <c r="L58" s="1">
        <f t="shared" si="87"/>
        <v>2</v>
      </c>
      <c r="M58" s="1">
        <f t="shared" si="88"/>
        <v>10</v>
      </c>
      <c r="N58" s="1">
        <f t="shared" si="89"/>
        <v>1</v>
      </c>
      <c r="O58" s="1">
        <f t="shared" si="81"/>
        <v>6</v>
      </c>
      <c r="P58" s="1">
        <f>MIN(方案参数!$AI$4,AZ57+0+0)</f>
        <v>5</v>
      </c>
      <c r="Q58" s="1">
        <f t="shared" si="59"/>
        <v>5</v>
      </c>
      <c r="R58" s="1">
        <f t="shared" si="60"/>
        <v>10</v>
      </c>
      <c r="S58" s="1">
        <f t="shared" si="61"/>
        <v>2</v>
      </c>
      <c r="T58" s="1">
        <f t="shared" ref="T58:T77" si="96">BD57+0</f>
        <v>2</v>
      </c>
      <c r="U58" s="1">
        <f t="shared" si="63"/>
        <v>0</v>
      </c>
      <c r="V58" s="1">
        <f t="shared" si="64"/>
        <v>2</v>
      </c>
      <c r="W58" s="1">
        <f t="shared" si="65"/>
        <v>1</v>
      </c>
      <c r="X58" s="1">
        <f t="shared" si="66"/>
        <v>1</v>
      </c>
      <c r="Y58" s="1">
        <f t="shared" si="67"/>
        <v>1</v>
      </c>
      <c r="Z58" s="1">
        <f t="shared" si="68"/>
        <v>1</v>
      </c>
      <c r="AA58" s="1">
        <f t="shared" si="92"/>
        <v>1</v>
      </c>
      <c r="AB58" s="1">
        <f t="shared" si="70"/>
        <v>0</v>
      </c>
      <c r="AC58" s="1">
        <f t="shared" ref="AC58:AC77" si="97">MAX(BM57,0)</f>
        <v>1</v>
      </c>
      <c r="AD58" s="1">
        <f>ROUNDDOWN(I58*(1+IF(F58=3,0.05+方案参数!$Y$4+AA58*0.12,IF(F58=4,方案参数!$BZ$4*方案参数!$AS$4,0)))+IF(AND(X58=1,F58&lt;&gt;3),方案参数!$CC$4,0)+AC58*方案参数!$CB$4,0)</f>
        <v>3044</v>
      </c>
      <c r="AE58" s="1">
        <f>IF(OR(F58=1,F58=4),配置与结果!$B$24,配置与结果!$B$25)*MAX(0,1-INDEX(配置与结果!$I$15:$I$18,F58))</f>
        <v>1000</v>
      </c>
      <c r="AF58" s="1">
        <f>方案参数!$BV$4</f>
        <v>3</v>
      </c>
      <c r="AG58" s="1">
        <f>MAX(配置与结果!$B$32,1+INDEX(配置与结果!$F$15:$F$18,F58)+0+Q58*方案参数!$W$4+Y58*(方案参数!$AN$4+MIN(方案参数!$AO$4,P58*0.03))+AB58*方案参数!$BZ$4*0.025-配置与结果!$B$28)</f>
        <v>1.0049999999999999</v>
      </c>
      <c r="AH58" s="1">
        <f>MAX(0,1+INDEX(配置与结果!$G$15:$G$18,F58)+W58*方案参数!$AG$4)</f>
        <v>1.3</v>
      </c>
      <c r="AI58" s="1">
        <f>IF(OR(INDEX(配置与结果!$K$15:$K$18,F58)=1,G58="RHI_BERRY"),1+配置与结果!$B$33+P58*方案参数!$AH$4,1)</f>
        <v>1</v>
      </c>
      <c r="AJ58" s="1">
        <f>MIN(1,MAX(0,J58+方案参数!$AB$4-配置与结果!$B$27))</f>
        <v>0.76</v>
      </c>
      <c r="AK58" s="1">
        <f>MAX(1,K58+IF(F58=2,0.15+方案参数!$CH$4,0)+BN58*方案参数!$X$4+R58*方案参数!$AA$4+0-配置与结果!$B$26+Z58*(方案参数!$AP$4+MIN(方案参数!$AQ$4,P58*0.03)))</f>
        <v>2.298</v>
      </c>
      <c r="AL58" s="7">
        <f>ROUNDDOWN(MAX(AD58*配置与结果!$B$31,AD58-AE58)*AF58*AG58*AH58*AI58,0)</f>
        <v>8011</v>
      </c>
      <c r="AM58" s="7">
        <f>ROUNDDOWN(MAX(AD58*配置与结果!$B$31,AD58-AE58)*AF58*AG58*AH58*AI58*AK58,0)</f>
        <v>18410</v>
      </c>
      <c r="AN58" s="7">
        <f t="shared" si="0"/>
        <v>15914.24</v>
      </c>
      <c r="AO58" s="7">
        <f>方案参数!$BW$4</f>
        <v>1</v>
      </c>
      <c r="AP58" s="7">
        <f>MAX(0,1+INDEX(配置与结果!$J$15:$J$18,F58)+IF(T58&gt;0,方案参数!$BY$4,0)-配置与结果!$B$30)</f>
        <v>2</v>
      </c>
      <c r="AQ58" s="7">
        <f t="shared" si="1"/>
        <v>6088</v>
      </c>
      <c r="AR58" s="7">
        <f t="shared" si="2"/>
        <v>13990</v>
      </c>
      <c r="AS58" s="7">
        <f t="shared" si="3"/>
        <v>12093.52</v>
      </c>
      <c r="AT58" s="7">
        <f>0</f>
        <v>0</v>
      </c>
      <c r="AU58" s="7">
        <f t="shared" si="4"/>
        <v>28007.760000000002</v>
      </c>
      <c r="AV58" s="1">
        <f t="shared" si="5"/>
        <v>2</v>
      </c>
      <c r="AW58" s="1">
        <f t="shared" si="85"/>
        <v>10</v>
      </c>
      <c r="AX58" s="1">
        <f t="shared" si="6"/>
        <v>1</v>
      </c>
      <c r="AY58" s="1">
        <f t="shared" si="79"/>
        <v>6</v>
      </c>
      <c r="AZ58" s="1">
        <f t="shared" si="7"/>
        <v>5</v>
      </c>
      <c r="BA58" s="1">
        <f t="shared" si="93"/>
        <v>5</v>
      </c>
      <c r="BB58" s="1">
        <f>MIN(30,R58+0)</f>
        <v>10</v>
      </c>
      <c r="BC58" s="1">
        <f t="shared" si="86"/>
        <v>2</v>
      </c>
      <c r="BD58" s="1">
        <f t="shared" si="80"/>
        <v>1</v>
      </c>
      <c r="BE58" s="1">
        <f t="shared" si="73"/>
        <v>0</v>
      </c>
      <c r="BF58" s="1">
        <f>MIN(4,V58+1)</f>
        <v>3</v>
      </c>
      <c r="BG58" s="1">
        <f t="shared" si="90"/>
        <v>1</v>
      </c>
      <c r="BH58" s="1">
        <f t="shared" si="74"/>
        <v>1</v>
      </c>
      <c r="BI58" s="1">
        <f t="shared" si="91"/>
        <v>1</v>
      </c>
      <c r="BJ58" s="1">
        <f t="shared" si="94"/>
        <v>1</v>
      </c>
      <c r="BK58" s="1">
        <f t="shared" si="95"/>
        <v>1</v>
      </c>
      <c r="BL58" s="1">
        <f t="shared" si="54"/>
        <v>0</v>
      </c>
      <c r="BM58" s="1">
        <f t="shared" ref="BM58:BM92" si="98">MAX(AC58,0)</f>
        <v>1</v>
      </c>
      <c r="BN58" s="1">
        <f t="shared" si="75"/>
        <v>1</v>
      </c>
      <c r="BO58" s="1">
        <f t="shared" si="76"/>
        <v>1</v>
      </c>
    </row>
    <row r="59" spans="1:67" ht="30.95" customHeight="1">
      <c r="A59" s="1">
        <f>1</f>
        <v>1</v>
      </c>
      <c r="B59" s="1">
        <f>固定流程!A23</f>
        <v>18</v>
      </c>
      <c r="C59" s="1">
        <f>4</f>
        <v>4</v>
      </c>
      <c r="D59" s="1">
        <f>1</f>
        <v>1</v>
      </c>
      <c r="E59" s="1">
        <f>固定流程!C23</f>
        <v>3</v>
      </c>
      <c r="F59" s="1">
        <f>固定流程!G23</f>
        <v>4</v>
      </c>
      <c r="G59" s="1" t="str">
        <f>固定流程!H23</f>
        <v>J_HARD</v>
      </c>
      <c r="H59" s="1">
        <f>固定流程!F23</f>
        <v>1</v>
      </c>
      <c r="I59" s="1">
        <f>INDEX(配置与结果!$B$15:$B$18,F59)</f>
        <v>1906</v>
      </c>
      <c r="J59" s="1">
        <f>INDEX(配置与结果!$D$15:$D$18,F59)</f>
        <v>0.36699999999999999</v>
      </c>
      <c r="K59" s="1">
        <f>INDEX(配置与结果!$E$15:$E$18,F59)</f>
        <v>1.7170000000000001</v>
      </c>
      <c r="L59" s="1">
        <f t="shared" si="87"/>
        <v>2</v>
      </c>
      <c r="M59" s="1">
        <f t="shared" si="88"/>
        <v>10</v>
      </c>
      <c r="N59" s="1">
        <f t="shared" si="89"/>
        <v>1</v>
      </c>
      <c r="O59" s="1">
        <f t="shared" si="81"/>
        <v>6</v>
      </c>
      <c r="P59" s="1">
        <f>MIN(方案参数!$AI$4,AZ58+0+0)</f>
        <v>5</v>
      </c>
      <c r="Q59" s="1">
        <f t="shared" si="59"/>
        <v>5</v>
      </c>
      <c r="R59" s="1">
        <f t="shared" si="60"/>
        <v>10</v>
      </c>
      <c r="S59" s="1">
        <f t="shared" si="61"/>
        <v>2</v>
      </c>
      <c r="T59" s="1">
        <f t="shared" si="96"/>
        <v>1</v>
      </c>
      <c r="U59" s="1">
        <f t="shared" si="63"/>
        <v>0</v>
      </c>
      <c r="V59" s="1">
        <f t="shared" si="64"/>
        <v>3</v>
      </c>
      <c r="W59" s="1">
        <f t="shared" si="65"/>
        <v>1</v>
      </c>
      <c r="X59" s="1">
        <f t="shared" si="66"/>
        <v>1</v>
      </c>
      <c r="Y59" s="1">
        <f t="shared" si="67"/>
        <v>1</v>
      </c>
      <c r="Z59" s="1">
        <f t="shared" si="68"/>
        <v>1</v>
      </c>
      <c r="AA59" s="1">
        <f t="shared" si="92"/>
        <v>1</v>
      </c>
      <c r="AB59" s="1">
        <f t="shared" si="70"/>
        <v>0</v>
      </c>
      <c r="AC59" s="1">
        <f t="shared" si="97"/>
        <v>1</v>
      </c>
      <c r="AD59" s="1">
        <f>ROUNDDOWN(I59*(1+IF(F59=3,0.05+方案参数!$Y$4+AA59*0.12,IF(F59=4,方案参数!$BZ$4*方案参数!$AS$4,0)))+IF(AND(X59=1,F59&lt;&gt;3),方案参数!$CC$4,0)+AC59*方案参数!$CB$4,0)</f>
        <v>3311</v>
      </c>
      <c r="AE59" s="1">
        <f>IF(OR(F59=1,F59=4),配置与结果!$B$24,配置与结果!$B$25)*MAX(0,1-INDEX(配置与结果!$I$15:$I$18,F59))</f>
        <v>1200</v>
      </c>
      <c r="AF59" s="1">
        <f>3.6*IF(H59=1,1,IF(H59=2,1.5,2.5))</f>
        <v>3.6</v>
      </c>
      <c r="AG59" s="1">
        <f>MAX(配置与结果!$B$32,1+INDEX(配置与结果!$F$15:$F$18,F59)+0.08+Q59*方案参数!$W$4+Y59*(方案参数!$AN$4+MIN(方案参数!$AO$4,P59*0.03))+AB59*方案参数!$BZ$4*0.025+0.1+IF(方案参数!$BZ$4&gt;=30,方案参数!$BZ$4*0.01,0)-配置与结果!$B$28)</f>
        <v>1.5550000000000002</v>
      </c>
      <c r="AH59" s="1">
        <f>MAX(0,1+INDEX(配置与结果!$G$15:$G$18,F59)+W59*方案参数!$AG$4)</f>
        <v>1.3</v>
      </c>
      <c r="AI59" s="1">
        <f>IF(OR(INDEX(配置与结果!$K$15:$K$18,F59)=1,G59="RHI_BERRY"),1+配置与结果!$B$33+P59*方案参数!$AH$4,1)</f>
        <v>1</v>
      </c>
      <c r="AJ59" s="1">
        <f>MIN(1,MAX(0,J59+方案参数!$AB$4-配置与结果!$B$27))</f>
        <v>0.66700000000000004</v>
      </c>
      <c r="AK59" s="1">
        <f>MAX(1,K59+IF(F59=2,0.15+方案参数!$CH$4,0)+BN59*方案参数!$X$4+R59*方案参数!$AA$4+0-配置与结果!$B$26+Z59*(方案参数!$AP$4+MIN(方案参数!$AQ$4,P59*0.03)))</f>
        <v>1.8169999999999999</v>
      </c>
      <c r="AL59" s="7">
        <f>ROUNDDOWN(MAX(AD59*配置与结果!$B$31,AD59-AE59)*AF59*AG59*AH59*AI59,0)</f>
        <v>15362</v>
      </c>
      <c r="AM59" s="7">
        <f>ROUNDDOWN(MAX(AD59*配置与结果!$B$31,AD59-AE59)*AF59*AG59*AH59*AI59*AK59,0)</f>
        <v>27913</v>
      </c>
      <c r="AN59" s="7">
        <f t="shared" si="0"/>
        <v>23733.517</v>
      </c>
      <c r="AO59" s="7">
        <f>0</f>
        <v>0</v>
      </c>
      <c r="AP59" s="7">
        <f>MAX(0,1+INDEX(配置与结果!$J$15:$J$18,F59)+IF(T59&gt;0,方案参数!$BY$4,0)-配置与结果!$B$30)</f>
        <v>2</v>
      </c>
      <c r="AQ59" s="7">
        <f t="shared" si="1"/>
        <v>0</v>
      </c>
      <c r="AR59" s="7">
        <f t="shared" si="2"/>
        <v>0</v>
      </c>
      <c r="AS59" s="7">
        <f t="shared" si="3"/>
        <v>0</v>
      </c>
      <c r="AT59" s="7">
        <f>0</f>
        <v>0</v>
      </c>
      <c r="AU59" s="7">
        <f t="shared" si="4"/>
        <v>23733.517</v>
      </c>
      <c r="AV59" s="1">
        <f t="shared" si="5"/>
        <v>2</v>
      </c>
      <c r="AW59" s="1">
        <f t="shared" si="85"/>
        <v>10</v>
      </c>
      <c r="AX59" s="1">
        <f t="shared" si="6"/>
        <v>1</v>
      </c>
      <c r="AY59" s="1">
        <f t="shared" si="79"/>
        <v>6</v>
      </c>
      <c r="AZ59" s="1">
        <f t="shared" si="7"/>
        <v>5</v>
      </c>
      <c r="BA59" s="1">
        <f t="shared" si="93"/>
        <v>5</v>
      </c>
      <c r="BB59" s="1">
        <f>MIN(30,R59+0)</f>
        <v>10</v>
      </c>
      <c r="BC59" s="1">
        <f>MIN(3,S59+1)</f>
        <v>3</v>
      </c>
      <c r="BD59" s="1">
        <f t="shared" si="80"/>
        <v>1</v>
      </c>
      <c r="BE59" s="1">
        <f t="shared" si="73"/>
        <v>0</v>
      </c>
      <c r="BF59" s="1">
        <f>MIN(4,V59+0)</f>
        <v>3</v>
      </c>
      <c r="BG59" s="1">
        <f t="shared" si="90"/>
        <v>1</v>
      </c>
      <c r="BH59" s="1">
        <f t="shared" si="74"/>
        <v>1</v>
      </c>
      <c r="BI59" s="1">
        <f t="shared" si="91"/>
        <v>1</v>
      </c>
      <c r="BJ59" s="1">
        <f t="shared" si="94"/>
        <v>1</v>
      </c>
      <c r="BK59" s="1">
        <f t="shared" si="95"/>
        <v>1</v>
      </c>
      <c r="BL59" s="1">
        <f t="shared" si="54"/>
        <v>0</v>
      </c>
      <c r="BM59" s="1">
        <f t="shared" si="98"/>
        <v>1</v>
      </c>
      <c r="BN59" s="1">
        <f t="shared" si="75"/>
        <v>1</v>
      </c>
      <c r="BO59" s="1">
        <f t="shared" si="76"/>
        <v>1</v>
      </c>
    </row>
    <row r="60" spans="1:67" ht="30.95" customHeight="1">
      <c r="A60" s="1">
        <f>1</f>
        <v>1</v>
      </c>
      <c r="B60" s="1">
        <f>固定流程!A24</f>
        <v>19</v>
      </c>
      <c r="C60" s="1">
        <f>4</f>
        <v>4</v>
      </c>
      <c r="D60" s="1">
        <f>1</f>
        <v>1</v>
      </c>
      <c r="E60" s="1">
        <f>固定流程!C24</f>
        <v>3</v>
      </c>
      <c r="F60" s="1">
        <f>固定流程!G24</f>
        <v>4</v>
      </c>
      <c r="G60" s="1" t="str">
        <f>固定流程!H24</f>
        <v>J_ULT</v>
      </c>
      <c r="H60" s="1">
        <f>固定流程!F24</f>
        <v>1</v>
      </c>
      <c r="I60" s="1">
        <f>INDEX(配置与结果!$B$15:$B$18,F60)</f>
        <v>1906</v>
      </c>
      <c r="J60" s="1">
        <f>INDEX(配置与结果!$D$15:$D$18,F60)</f>
        <v>0.36699999999999999</v>
      </c>
      <c r="K60" s="1">
        <f>INDEX(配置与结果!$E$15:$E$18,F60)</f>
        <v>1.7170000000000001</v>
      </c>
      <c r="L60" s="1">
        <f t="shared" si="87"/>
        <v>2</v>
      </c>
      <c r="M60" s="1">
        <f t="shared" si="88"/>
        <v>10</v>
      </c>
      <c r="N60" s="1">
        <f t="shared" si="89"/>
        <v>1</v>
      </c>
      <c r="O60" s="1">
        <f t="shared" si="81"/>
        <v>6</v>
      </c>
      <c r="P60" s="1">
        <f>MIN(方案参数!$AI$4,AZ59+0+0)</f>
        <v>5</v>
      </c>
      <c r="Q60" s="1">
        <f t="shared" si="59"/>
        <v>5</v>
      </c>
      <c r="R60" s="1">
        <f t="shared" si="60"/>
        <v>10</v>
      </c>
      <c r="S60" s="1">
        <f t="shared" si="61"/>
        <v>3</v>
      </c>
      <c r="T60" s="1">
        <f t="shared" si="96"/>
        <v>1</v>
      </c>
      <c r="U60" s="1">
        <f t="shared" si="63"/>
        <v>0</v>
      </c>
      <c r="V60" s="1">
        <f t="shared" si="64"/>
        <v>3</v>
      </c>
      <c r="W60" s="1">
        <f t="shared" si="65"/>
        <v>1</v>
      </c>
      <c r="X60" s="1">
        <f t="shared" si="66"/>
        <v>1</v>
      </c>
      <c r="Y60" s="1">
        <f t="shared" si="67"/>
        <v>1</v>
      </c>
      <c r="Z60" s="1">
        <f t="shared" si="68"/>
        <v>1</v>
      </c>
      <c r="AA60" s="1">
        <f t="shared" si="92"/>
        <v>1</v>
      </c>
      <c r="AB60" s="1">
        <f t="shared" si="70"/>
        <v>0</v>
      </c>
      <c r="AC60" s="1">
        <f t="shared" si="97"/>
        <v>1</v>
      </c>
      <c r="AD60" s="1">
        <f>ROUNDDOWN(I60*(1+IF(F60=3,0.05+方案参数!$Y$4+AA60*0.12,IF(F60=4,方案参数!$BZ$4*方案参数!$AS$4,0)))+IF(AND(X60=1,F60&lt;&gt;3),方案参数!$CC$4,0)+AC60*方案参数!$CB$4,0)</f>
        <v>3311</v>
      </c>
      <c r="AE60" s="1">
        <f>IF(OR(F60=1,F60=4),配置与结果!$B$24,配置与结果!$B$25)*MAX(0,1-INDEX(配置与结果!$I$15:$I$18,F60))</f>
        <v>1200</v>
      </c>
      <c r="AF60" s="1">
        <f>方案参数!$AT$4+MAX(0,配置与结果!$H$26+方案参数!$BZ$4-30)*方案参数!$AU$4*配置与结果!$H$27</f>
        <v>42</v>
      </c>
      <c r="AG60" s="1">
        <f>MAX(配置与结果!$B$32,1+INDEX(配置与结果!$F$15:$F$18,F60)+0.08+Q60*方案参数!$W$4+Y60*(方案参数!$AN$4+MIN(方案参数!$AO$4,P60*0.03))+AB60*方案参数!$BZ$4*0.025-配置与结果!$B$28)</f>
        <v>1.105</v>
      </c>
      <c r="AH60" s="1">
        <f>MAX(0,1+INDEX(配置与结果!$H$15:$H$18,F60)+W60*方案参数!$AG$4+S60*方案参数!$Z$4)</f>
        <v>1.42</v>
      </c>
      <c r="AI60" s="1">
        <f>IF(OR(INDEX(配置与结果!$K$15:$K$18,F60)=1,G60="RHI_BERRY"),1+配置与结果!$B$33+P60*方案参数!$AH$4,1)</f>
        <v>1</v>
      </c>
      <c r="AJ60" s="1">
        <f>MIN(1,MAX(0,J60+方案参数!$AB$4-配置与结果!$B$27))</f>
        <v>0.66700000000000004</v>
      </c>
      <c r="AK60" s="1">
        <f>MAX(1,K60+IF(F60=2,0.15+方案参数!$CH$4,0)+BN60*方案参数!$X$4+R60*方案参数!$AA$4+0-配置与结果!$B$26+Z60*(方案参数!$AP$4+MIN(方案参数!$AQ$4,P60*0.03)))</f>
        <v>1.8169999999999999</v>
      </c>
      <c r="AL60" s="7">
        <f>ROUNDDOWN(MAX(AD60*配置与结果!$B$31,AD60-AE60)*AF60*AG60*AH60*AI60,0)</f>
        <v>139119</v>
      </c>
      <c r="AM60" s="7">
        <f>ROUNDDOWN(MAX(AD60*配置与结果!$B$31,AD60-AE60)*AF60*AG60*AH60*AI60*AK60,0)</f>
        <v>252780</v>
      </c>
      <c r="AN60" s="7">
        <f t="shared" si="0"/>
        <v>214930.88699999999</v>
      </c>
      <c r="AO60" s="7">
        <f>0</f>
        <v>0</v>
      </c>
      <c r="AP60" s="7">
        <f>MAX(0,1+INDEX(配置与结果!$J$15:$J$18,F60)+IF(T60&gt;0,方案参数!$BY$4,0)-配置与结果!$B$30)</f>
        <v>2</v>
      </c>
      <c r="AQ60" s="7">
        <f t="shared" si="1"/>
        <v>0</v>
      </c>
      <c r="AR60" s="7">
        <f t="shared" si="2"/>
        <v>0</v>
      </c>
      <c r="AS60" s="7">
        <f t="shared" si="3"/>
        <v>0</v>
      </c>
      <c r="AT60" s="7">
        <f>0</f>
        <v>0</v>
      </c>
      <c r="AU60" s="7">
        <f t="shared" si="4"/>
        <v>214930.88699999999</v>
      </c>
      <c r="AV60" s="1">
        <f t="shared" si="5"/>
        <v>2</v>
      </c>
      <c r="AW60" s="1">
        <f t="shared" si="85"/>
        <v>10</v>
      </c>
      <c r="AX60" s="1">
        <f t="shared" si="6"/>
        <v>1</v>
      </c>
      <c r="AY60" s="1">
        <f t="shared" si="79"/>
        <v>6</v>
      </c>
      <c r="AZ60" s="1">
        <f t="shared" si="7"/>
        <v>5</v>
      </c>
      <c r="BA60" s="1">
        <f t="shared" si="93"/>
        <v>5</v>
      </c>
      <c r="BB60" s="1">
        <f>MIN(30,R60+5)</f>
        <v>15</v>
      </c>
      <c r="BC60" s="1">
        <f t="shared" ref="BC60:BC83" si="99">MIN(3,S60+0)</f>
        <v>3</v>
      </c>
      <c r="BD60" s="1">
        <f t="shared" si="80"/>
        <v>1</v>
      </c>
      <c r="BE60" s="1">
        <f t="shared" si="73"/>
        <v>0</v>
      </c>
      <c r="BF60" s="1">
        <f>MIN(4,V60+0)</f>
        <v>3</v>
      </c>
      <c r="BG60" s="1">
        <f t="shared" si="90"/>
        <v>1</v>
      </c>
      <c r="BH60" s="1">
        <f t="shared" si="74"/>
        <v>1</v>
      </c>
      <c r="BI60" s="1">
        <f t="shared" si="91"/>
        <v>1</v>
      </c>
      <c r="BJ60" s="1">
        <f t="shared" si="94"/>
        <v>1</v>
      </c>
      <c r="BK60" s="1">
        <f t="shared" si="95"/>
        <v>1</v>
      </c>
      <c r="BL60" s="1">
        <f>MAX(AB60,1)</f>
        <v>1</v>
      </c>
      <c r="BM60" s="1">
        <f t="shared" si="98"/>
        <v>1</v>
      </c>
      <c r="BN60" s="1">
        <f t="shared" si="75"/>
        <v>1</v>
      </c>
      <c r="BO60" s="1">
        <f t="shared" si="76"/>
        <v>1</v>
      </c>
    </row>
    <row r="61" spans="1:67" ht="30.95" customHeight="1">
      <c r="A61" s="1">
        <f>1</f>
        <v>1</v>
      </c>
      <c r="B61" s="1">
        <f>固定流程!A25</f>
        <v>20</v>
      </c>
      <c r="C61" s="1">
        <f>4</f>
        <v>4</v>
      </c>
      <c r="D61" s="1">
        <f>1</f>
        <v>1</v>
      </c>
      <c r="E61" s="1">
        <f>固定流程!C25</f>
        <v>3</v>
      </c>
      <c r="F61" s="1">
        <f>固定流程!G25</f>
        <v>1</v>
      </c>
      <c r="G61" s="1" t="str">
        <f>固定流程!H25</f>
        <v>LILYA_ULT</v>
      </c>
      <c r="H61" s="1">
        <f>固定流程!F25</f>
        <v>1</v>
      </c>
      <c r="I61" s="1">
        <f>INDEX(配置与结果!$B$15:$B$18,F61)</f>
        <v>2296</v>
      </c>
      <c r="J61" s="1">
        <f>INDEX(配置与结果!$D$15:$D$18,F61)</f>
        <v>0.7</v>
      </c>
      <c r="K61" s="1">
        <f>INDEX(配置与结果!$E$15:$E$18,F61)</f>
        <v>2.0249999999999999</v>
      </c>
      <c r="L61" s="1">
        <f t="shared" si="87"/>
        <v>2</v>
      </c>
      <c r="M61" s="1">
        <f t="shared" si="88"/>
        <v>10</v>
      </c>
      <c r="N61" s="1">
        <f t="shared" si="89"/>
        <v>1</v>
      </c>
      <c r="O61" s="1">
        <f t="shared" si="81"/>
        <v>6</v>
      </c>
      <c r="P61" s="1">
        <f>MIN(方案参数!$AI$4,AZ60+0+0)</f>
        <v>5</v>
      </c>
      <c r="Q61" s="1">
        <f t="shared" si="59"/>
        <v>5</v>
      </c>
      <c r="R61" s="1">
        <f t="shared" si="60"/>
        <v>15</v>
      </c>
      <c r="S61" s="1">
        <f t="shared" si="61"/>
        <v>3</v>
      </c>
      <c r="T61" s="1">
        <f t="shared" si="96"/>
        <v>1</v>
      </c>
      <c r="U61" s="1">
        <f t="shared" si="63"/>
        <v>0</v>
      </c>
      <c r="V61" s="1">
        <f t="shared" si="64"/>
        <v>3</v>
      </c>
      <c r="W61" s="1">
        <f t="shared" si="65"/>
        <v>1</v>
      </c>
      <c r="X61" s="1">
        <f t="shared" si="66"/>
        <v>1</v>
      </c>
      <c r="Y61" s="1">
        <f t="shared" si="67"/>
        <v>1</v>
      </c>
      <c r="Z61" s="1">
        <f t="shared" si="68"/>
        <v>1</v>
      </c>
      <c r="AA61" s="1">
        <f t="shared" si="92"/>
        <v>1</v>
      </c>
      <c r="AB61" s="1">
        <f t="shared" si="70"/>
        <v>1</v>
      </c>
      <c r="AC61" s="1">
        <f t="shared" si="97"/>
        <v>1</v>
      </c>
      <c r="AD61" s="1">
        <f>ROUNDDOWN(I61*(1+IF(F61=3,0.05+方案参数!$Y$4+AA61*0.12,IF(F61=4,方案参数!$BZ$4*方案参数!$AS$4,0)))+IF(AND(X61=1,F61&lt;&gt;3),方案参数!$CC$4,0)+AC61*方案参数!$CB$4,0)</f>
        <v>3034</v>
      </c>
      <c r="AE61" s="1">
        <f>IF(OR(F61=1,F61=4),配置与结果!$B$24,配置与结果!$B$25)*MAX(0,1-INDEX(配置与结果!$I$15:$I$18,F61)+IF(O61&gt;=6,方案参数!$BK$4,0))</f>
        <v>1440</v>
      </c>
      <c r="AF61" s="1">
        <f>方案参数!$BG$4+IF(O61&gt;=6,方案参数!$BH$4,0)</f>
        <v>36</v>
      </c>
      <c r="AG61" s="1">
        <f>MAX(配置与结果!$B$32,1+INDEX(配置与结果!$F$15:$F$18,F61)+0.08+方案参数!$CD$4+Q61*方案参数!$W$4+Y61*(方案参数!$AN$4+MIN(方案参数!$AO$4,P61*0.03))+AB61*方案参数!$BZ$4*0.025-配置与结果!$B$28)</f>
        <v>2.2150000000000003</v>
      </c>
      <c r="AH61" s="1">
        <f>MAX(0,1+INDEX(配置与结果!$H$15:$H$18,F61)+W61*方案参数!$AG$4+O61*方案参数!$BF$4+IF(O61&gt;=6,方案参数!$BI$4,0))</f>
        <v>2.4500000000000002</v>
      </c>
      <c r="AI61" s="1">
        <f>IF(OR(INDEX(配置与结果!$K$15:$K$18,F61)=1,G61="RHI_BERRY"),1+配置与结果!$B$33+P61*方案参数!$AH$4,1)</f>
        <v>1</v>
      </c>
      <c r="AJ61" s="1">
        <f>MIN(1,MAX(0,J61+方案参数!$AB$4-配置与结果!$B$27))</f>
        <v>1</v>
      </c>
      <c r="AK61" s="1">
        <f>MAX(1,K61+IF(F61=2,0.15+方案参数!$CH$4,0)+BN61*方案参数!$X$4+R61*方案参数!$AA$4+IF(O61&gt;=6,方案参数!$BJ$4,0)-配置与结果!$B$26+Z61*(方案参数!$AP$4+MIN(方案参数!$AQ$4,P61*0.03)))</f>
        <v>3.145</v>
      </c>
      <c r="AL61" s="7">
        <f>ROUNDDOWN(MAX(AD61*配置与结果!$B$31,AD61-AE61)*AF61*AG61*AH61*AI61,0)</f>
        <v>311408</v>
      </c>
      <c r="AM61" s="7">
        <f>ROUNDDOWN(MAX(AD61*配置与结果!$B$31,AD61-AE61)*AF61*AG61*AH61*AI61*AK61,0)</f>
        <v>979380</v>
      </c>
      <c r="AN61" s="7">
        <f t="shared" si="0"/>
        <v>979380</v>
      </c>
      <c r="AO61" s="7">
        <f>0</f>
        <v>0</v>
      </c>
      <c r="AP61" s="7">
        <f>MAX(0,1+INDEX(配置与结果!$J$15:$J$18,F61)+IF(T61&gt;0,方案参数!$BY$4,0)-配置与结果!$B$30)</f>
        <v>2</v>
      </c>
      <c r="AQ61" s="7">
        <f t="shared" si="1"/>
        <v>0</v>
      </c>
      <c r="AR61" s="7">
        <f t="shared" si="2"/>
        <v>0</v>
      </c>
      <c r="AS61" s="7">
        <f t="shared" si="3"/>
        <v>0</v>
      </c>
      <c r="AT61" s="7">
        <f>0</f>
        <v>0</v>
      </c>
      <c r="AU61" s="7">
        <f t="shared" si="4"/>
        <v>979380</v>
      </c>
      <c r="AV61" s="1">
        <f t="shared" si="5"/>
        <v>2</v>
      </c>
      <c r="AW61" s="1">
        <f t="shared" si="85"/>
        <v>10</v>
      </c>
      <c r="AX61" s="1">
        <f t="shared" si="6"/>
        <v>1</v>
      </c>
      <c r="AY61" s="1">
        <f>MIN(20,MAX(0,O61+0+0-IF(O61&gt;=6,6,0)))</f>
        <v>0</v>
      </c>
      <c r="AZ61" s="1">
        <f t="shared" si="7"/>
        <v>5</v>
      </c>
      <c r="BA61" s="1">
        <f t="shared" si="93"/>
        <v>5</v>
      </c>
      <c r="BB61" s="1">
        <f>MIN(30,R61+5)</f>
        <v>20</v>
      </c>
      <c r="BC61" s="1">
        <f t="shared" si="99"/>
        <v>3</v>
      </c>
      <c r="BD61" s="1">
        <f t="shared" si="80"/>
        <v>1</v>
      </c>
      <c r="BE61" s="1">
        <f t="shared" si="73"/>
        <v>0</v>
      </c>
      <c r="BF61" s="1">
        <f>MIN(4,V61+0)</f>
        <v>3</v>
      </c>
      <c r="BG61" s="1">
        <f t="shared" si="90"/>
        <v>1</v>
      </c>
      <c r="BH61" s="1">
        <f t="shared" si="74"/>
        <v>1</v>
      </c>
      <c r="BI61" s="1">
        <f t="shared" si="91"/>
        <v>1</v>
      </c>
      <c r="BJ61" s="1">
        <f t="shared" si="94"/>
        <v>1</v>
      </c>
      <c r="BK61" s="1">
        <f t="shared" si="95"/>
        <v>1</v>
      </c>
      <c r="BL61" s="1">
        <f t="shared" ref="BL61:BL95" si="100">MAX(AB61,0)</f>
        <v>1</v>
      </c>
      <c r="BM61" s="1">
        <f t="shared" si="98"/>
        <v>1</v>
      </c>
      <c r="BN61" s="1">
        <f t="shared" si="75"/>
        <v>1</v>
      </c>
      <c r="BO61" s="1">
        <f t="shared" si="76"/>
        <v>1</v>
      </c>
    </row>
    <row r="62" spans="1:67" ht="30.95" customHeight="1">
      <c r="A62" s="1">
        <f>1</f>
        <v>1</v>
      </c>
      <c r="B62" s="1">
        <f>固定流程!A26</f>
        <v>21</v>
      </c>
      <c r="C62" s="1">
        <f>4</f>
        <v>4</v>
      </c>
      <c r="D62" s="1">
        <f>1</f>
        <v>1</v>
      </c>
      <c r="E62" s="1">
        <f>固定流程!C26</f>
        <v>3</v>
      </c>
      <c r="F62" s="1">
        <f>固定流程!G26</f>
        <v>1</v>
      </c>
      <c r="G62" s="1" t="str">
        <f>固定流程!H26</f>
        <v>LILYA_DIVE</v>
      </c>
      <c r="H62" s="1">
        <f>固定流程!F26</f>
        <v>3</v>
      </c>
      <c r="I62" s="1">
        <f>INDEX(配置与结果!$B$15:$B$18,F62)</f>
        <v>2296</v>
      </c>
      <c r="J62" s="1">
        <f>INDEX(配置与结果!$D$15:$D$18,F62)</f>
        <v>0.7</v>
      </c>
      <c r="K62" s="1">
        <f>INDEX(配置与结果!$E$15:$E$18,F62)</f>
        <v>2.0249999999999999</v>
      </c>
      <c r="L62" s="1">
        <f t="shared" si="87"/>
        <v>2</v>
      </c>
      <c r="M62" s="1">
        <f t="shared" si="88"/>
        <v>10</v>
      </c>
      <c r="N62" s="1">
        <f t="shared" si="89"/>
        <v>1</v>
      </c>
      <c r="O62" s="1">
        <f t="shared" si="81"/>
        <v>0</v>
      </c>
      <c r="P62" s="1">
        <f>MIN(方案参数!$AI$4,AZ61+0+0)</f>
        <v>5</v>
      </c>
      <c r="Q62" s="1">
        <f t="shared" si="59"/>
        <v>5</v>
      </c>
      <c r="R62" s="1">
        <f t="shared" si="60"/>
        <v>20</v>
      </c>
      <c r="S62" s="1">
        <f t="shared" si="61"/>
        <v>3</v>
      </c>
      <c r="T62" s="1">
        <f t="shared" si="96"/>
        <v>1</v>
      </c>
      <c r="U62" s="1">
        <f t="shared" si="63"/>
        <v>0</v>
      </c>
      <c r="V62" s="1">
        <f t="shared" si="64"/>
        <v>3</v>
      </c>
      <c r="W62" s="1">
        <f t="shared" si="65"/>
        <v>1</v>
      </c>
      <c r="X62" s="1">
        <f t="shared" si="66"/>
        <v>1</v>
      </c>
      <c r="Y62" s="1">
        <f t="shared" si="67"/>
        <v>1</v>
      </c>
      <c r="Z62" s="1">
        <f t="shared" si="68"/>
        <v>1</v>
      </c>
      <c r="AA62" s="1">
        <f t="shared" si="92"/>
        <v>1</v>
      </c>
      <c r="AB62" s="1">
        <f t="shared" si="70"/>
        <v>1</v>
      </c>
      <c r="AC62" s="1">
        <f t="shared" si="97"/>
        <v>1</v>
      </c>
      <c r="AD62" s="1">
        <f>ROUNDDOWN(I62*(1+IF(F62=3,0.05+方案参数!$Y$4+AA62*0.12,IF(F62=4,方案参数!$BZ$4*方案参数!$AS$4,0)))+IF(AND(X62=1,F62&lt;&gt;3),方案参数!$CC$4,0)+AC62*方案参数!$CB$4,0)</f>
        <v>3034</v>
      </c>
      <c r="AE62" s="1">
        <f>IF(OR(F62=1,F62=4),配置与结果!$B$24,配置与结果!$B$25)*MAX(0,1-INDEX(配置与结果!$I$15:$I$18,F62))</f>
        <v>1200</v>
      </c>
      <c r="AF62" s="1">
        <f>(IF(L62=1,方案参数!$AW$4,IF(L62=2,方案参数!$AX$4,0))+方案参数!$AV$4)*H62</f>
        <v>45</v>
      </c>
      <c r="AG62" s="1">
        <f>MAX(配置与结果!$B$32,1+INDEX(配置与结果!$F$15:$F$18,F62)+0.08+方案参数!$CD$4+Q62*方案参数!$W$4+Y62*(方案参数!$AN$4+MIN(方案参数!$AO$4,P62*0.03))+AB62*方案参数!$BZ$4*0.025+IF(L62=1,方案参数!$AY$4+(H62-1)*0.1,IF(L62=2,方案参数!$AZ$4+(H62-1)*0.2,0))-配置与结果!$B$28)</f>
        <v>3.2150000000000003</v>
      </c>
      <c r="AH62" s="1">
        <f>MAX(0,1+INDEX(配置与结果!$G$15:$G$18,F62)+W62*方案参数!$AG$4+IF(L62=1,方案参数!$BA$4,IF(L62=2,方案参数!$BB$4,0))+M62*方案参数!$BC$4)</f>
        <v>3.1</v>
      </c>
      <c r="AI62" s="1">
        <f>IF(OR(INDEX(配置与结果!$K$15:$K$18,F62)=1,G62="RHI_BERRY"),1+配置与结果!$B$33+P62*方案参数!$AH$4,1)</f>
        <v>1</v>
      </c>
      <c r="AJ62" s="1">
        <f>MIN(1,MAX(0,J62+方案参数!$AB$4-配置与结果!$B$27))</f>
        <v>1</v>
      </c>
      <c r="AK62" s="1">
        <f>MAX(1,K62+IF(F62=2,0.15+方案参数!$CH$4,0)+BN62*方案参数!$X$4+R62*方案参数!$AA$4+0-配置与结果!$B$26+Z62*(方案参数!$AP$4+MIN(方案参数!$AQ$4,P62*0.03)))</f>
        <v>2.165</v>
      </c>
      <c r="AL62" s="7">
        <f>ROUNDDOWN(MAX(AD62*配置与结果!$B$31,AD62-AE62)*AF62*AG62*AH62*AI62,0)</f>
        <v>822535</v>
      </c>
      <c r="AM62" s="7">
        <f>ROUNDDOWN(MAX(AD62*配置与结果!$B$31,AD62-AE62)*AF62*AG62*AH62*AI62*AK62,0)</f>
        <v>1780788</v>
      </c>
      <c r="AN62" s="7">
        <f t="shared" si="0"/>
        <v>1780788</v>
      </c>
      <c r="AO62" s="7">
        <f>0</f>
        <v>0</v>
      </c>
      <c r="AP62" s="7">
        <f>MAX(0,1+INDEX(配置与结果!$J$15:$J$18,F62)+IF(T62&gt;0,方案参数!$BY$4,0)-配置与结果!$B$30)</f>
        <v>2</v>
      </c>
      <c r="AQ62" s="7">
        <f t="shared" si="1"/>
        <v>0</v>
      </c>
      <c r="AR62" s="7">
        <f t="shared" si="2"/>
        <v>0</v>
      </c>
      <c r="AS62" s="7">
        <f t="shared" si="3"/>
        <v>0</v>
      </c>
      <c r="AT62" s="7">
        <f>0</f>
        <v>0</v>
      </c>
      <c r="AU62" s="7">
        <f t="shared" si="4"/>
        <v>1780788</v>
      </c>
      <c r="AV62" s="1">
        <f t="shared" si="5"/>
        <v>2</v>
      </c>
      <c r="AW62" s="1">
        <f>MIN(10,M62+0+IF(L62=1,方案参数!$BE$4,0))</f>
        <v>10</v>
      </c>
      <c r="AX62" s="1">
        <f t="shared" si="6"/>
        <v>1</v>
      </c>
      <c r="AY62" s="1">
        <f>MIN(20,MAX(0,O62+0+0-0))</f>
        <v>0</v>
      </c>
      <c r="AZ62" s="1">
        <f t="shared" si="7"/>
        <v>5</v>
      </c>
      <c r="BA62" s="1">
        <f t="shared" si="93"/>
        <v>5</v>
      </c>
      <c r="BB62" s="1">
        <f t="shared" ref="BB62:BB77" si="101">MIN(30,R62+0)</f>
        <v>20</v>
      </c>
      <c r="BC62" s="1">
        <f t="shared" si="99"/>
        <v>3</v>
      </c>
      <c r="BD62" s="1">
        <f t="shared" si="80"/>
        <v>1</v>
      </c>
      <c r="BE62" s="1">
        <f t="shared" si="73"/>
        <v>0</v>
      </c>
      <c r="BF62" s="1">
        <f>MIN(4,V62+0)</f>
        <v>3</v>
      </c>
      <c r="BG62" s="1">
        <f t="shared" si="90"/>
        <v>1</v>
      </c>
      <c r="BH62" s="1">
        <f t="shared" si="74"/>
        <v>1</v>
      </c>
      <c r="BI62" s="1">
        <f t="shared" si="91"/>
        <v>1</v>
      </c>
      <c r="BJ62" s="1">
        <f t="shared" si="94"/>
        <v>1</v>
      </c>
      <c r="BK62" s="1">
        <f t="shared" si="95"/>
        <v>1</v>
      </c>
      <c r="BL62" s="1">
        <f t="shared" si="100"/>
        <v>1</v>
      </c>
      <c r="BM62" s="1">
        <f t="shared" si="98"/>
        <v>1</v>
      </c>
      <c r="BN62" s="1">
        <f t="shared" si="75"/>
        <v>1</v>
      </c>
      <c r="BO62" s="1">
        <f t="shared" si="76"/>
        <v>1</v>
      </c>
    </row>
    <row r="63" spans="1:67" ht="30.95" customHeight="1">
      <c r="A63" s="1">
        <f>1</f>
        <v>1</v>
      </c>
      <c r="B63" s="1">
        <f>固定流程!A27</f>
        <v>22</v>
      </c>
      <c r="C63" s="1">
        <f>4</f>
        <v>4</v>
      </c>
      <c r="D63" s="1">
        <f>1</f>
        <v>1</v>
      </c>
      <c r="E63" s="1">
        <f>固定流程!C27</f>
        <v>3</v>
      </c>
      <c r="F63" s="1">
        <f>固定流程!G27</f>
        <v>3</v>
      </c>
      <c r="G63" s="1" t="str">
        <f>固定流程!H27</f>
        <v>RHI_BERRY</v>
      </c>
      <c r="H63" s="1">
        <f>固定流程!F27</f>
        <v>1</v>
      </c>
      <c r="I63" s="1">
        <f>INDEX(配置与结果!$B$15:$B$18,F63)</f>
        <v>2597</v>
      </c>
      <c r="J63" s="1">
        <f>INDEX(配置与结果!$D$15:$D$18,F63)</f>
        <v>0.255</v>
      </c>
      <c r="K63" s="1">
        <f>INDEX(配置与结果!$E$15:$E$18,F63)</f>
        <v>1.55</v>
      </c>
      <c r="L63" s="1">
        <f t="shared" si="87"/>
        <v>2</v>
      </c>
      <c r="M63" s="1">
        <f t="shared" si="88"/>
        <v>10</v>
      </c>
      <c r="N63" s="1">
        <f t="shared" si="89"/>
        <v>1</v>
      </c>
      <c r="O63" s="1">
        <f t="shared" si="81"/>
        <v>0</v>
      </c>
      <c r="P63" s="1">
        <f>MIN(方案参数!$AI$4,AZ62+0+0)</f>
        <v>5</v>
      </c>
      <c r="Q63" s="1">
        <f t="shared" si="59"/>
        <v>5</v>
      </c>
      <c r="R63" s="1">
        <f t="shared" si="60"/>
        <v>20</v>
      </c>
      <c r="S63" s="1">
        <f t="shared" si="61"/>
        <v>3</v>
      </c>
      <c r="T63" s="1">
        <f t="shared" si="96"/>
        <v>1</v>
      </c>
      <c r="U63" s="1">
        <f t="shared" si="63"/>
        <v>0</v>
      </c>
      <c r="V63" s="1">
        <f t="shared" si="64"/>
        <v>3</v>
      </c>
      <c r="W63" s="1">
        <f t="shared" si="65"/>
        <v>1</v>
      </c>
      <c r="X63" s="1">
        <f t="shared" si="66"/>
        <v>1</v>
      </c>
      <c r="Y63" s="1">
        <f t="shared" si="67"/>
        <v>1</v>
      </c>
      <c r="Z63" s="1">
        <f t="shared" si="68"/>
        <v>1</v>
      </c>
      <c r="AA63" s="1">
        <f t="shared" si="92"/>
        <v>1</v>
      </c>
      <c r="AB63" s="1">
        <f t="shared" si="70"/>
        <v>1</v>
      </c>
      <c r="AC63" s="1">
        <f t="shared" si="97"/>
        <v>1</v>
      </c>
      <c r="AD63" s="1">
        <f>ROUNDDOWN(I63*(1+IF(F63=3,0.05+方案参数!$Y$4+AA63*0.12,IF(F63=4,方案参数!$BZ$4*方案参数!$AS$4,0)))+IF(AND(X63=1,F63&lt;&gt;3),方案参数!$CC$4,0)+AC63*方案参数!$CB$4,0)</f>
        <v>3798</v>
      </c>
      <c r="AE63" s="1">
        <f>IF(OR(F63=1,F63=4),配置与结果!$B$24,配置与结果!$B$25)*MAX(0,1-INDEX(配置与结果!$I$15:$I$18,F63))</f>
        <v>1000</v>
      </c>
      <c r="AF63" s="1">
        <f>方案参数!$CF$4+P63*方案参数!$CG$4</f>
        <v>22.5</v>
      </c>
      <c r="AG63" s="1">
        <f>MAX(配置与结果!$B$32,1+INDEX(配置与结果!$F$15:$F$18,F63)+0+Q63*方案参数!$W$4+Y63*(方案参数!$AN$4+MIN(方案参数!$AO$4,P63*0.03))+AB63*方案参数!$BZ$4*0.025-配置与结果!$B$28)</f>
        <v>1.9100000000000001</v>
      </c>
      <c r="AH63" s="1">
        <f>MAX(0,1+INDEX(配置与结果!$G$15:$G$18,F63)+W63*方案参数!$AG$4)</f>
        <v>1.3</v>
      </c>
      <c r="AI63" s="1">
        <f>IF(OR(INDEX(配置与结果!$K$15:$K$18,F63)=1,G63="RHI_BERRY"),1+配置与结果!$B$33+P63*方案参数!$AH$4,1)</f>
        <v>1.5</v>
      </c>
      <c r="AJ63" s="1">
        <f>MIN(1,MAX(0,J63+方案参数!$AB$4-配置与结果!$B$27))</f>
        <v>0.55499999999999994</v>
      </c>
      <c r="AK63" s="1">
        <f>MAX(1,K63+IF(F63=2,0.15+方案参数!$CH$4,0)+BN63*方案参数!$X$4+R63*方案参数!$AA$4+0-配置与结果!$B$26+Z63*(方案参数!$AP$4+MIN(方案参数!$AQ$4,P63*0.03)))</f>
        <v>1.6900000000000002</v>
      </c>
      <c r="AL63" s="7">
        <f>ROUNDDOWN(MAX(AD63*配置与结果!$B$31,AD63-AE63)*AF63*AG63*AH63*AI63,0)</f>
        <v>234475</v>
      </c>
      <c r="AM63" s="7">
        <f>ROUNDDOWN(MAX(AD63*配置与结果!$B$31,AD63-AE63)*AF63*AG63*AH63*AI63*AK63,0)</f>
        <v>396264</v>
      </c>
      <c r="AN63" s="7">
        <f t="shared" si="0"/>
        <v>324267.89500000002</v>
      </c>
      <c r="AO63" s="7">
        <f>0</f>
        <v>0</v>
      </c>
      <c r="AP63" s="7">
        <f>MAX(0,1+INDEX(配置与结果!$J$15:$J$18,F63)+IF(T63&gt;0,方案参数!$BY$4,0)-配置与结果!$B$30)</f>
        <v>2</v>
      </c>
      <c r="AQ63" s="7">
        <f t="shared" si="1"/>
        <v>0</v>
      </c>
      <c r="AR63" s="7">
        <f t="shared" si="2"/>
        <v>0</v>
      </c>
      <c r="AS63" s="7">
        <f t="shared" si="3"/>
        <v>0</v>
      </c>
      <c r="AT63" s="7">
        <f>0</f>
        <v>0</v>
      </c>
      <c r="AU63" s="7">
        <f t="shared" si="4"/>
        <v>324267.89500000002</v>
      </c>
      <c r="AV63" s="1">
        <f t="shared" si="5"/>
        <v>2</v>
      </c>
      <c r="AW63" s="1">
        <f t="shared" ref="AW63:AW79" si="102">MIN(10,M63+0+0)</f>
        <v>10</v>
      </c>
      <c r="AX63" s="1">
        <f t="shared" si="6"/>
        <v>1</v>
      </c>
      <c r="AY63" s="1">
        <f>MIN(20,MAX(0,O63+0+0-0))</f>
        <v>0</v>
      </c>
      <c r="AZ63" s="1">
        <f t="shared" si="7"/>
        <v>5</v>
      </c>
      <c r="BA63" s="1">
        <f t="shared" si="93"/>
        <v>5</v>
      </c>
      <c r="BB63" s="1">
        <f t="shared" si="101"/>
        <v>20</v>
      </c>
      <c r="BC63" s="1">
        <f t="shared" si="99"/>
        <v>3</v>
      </c>
      <c r="BD63" s="1">
        <f t="shared" si="80"/>
        <v>1</v>
      </c>
      <c r="BE63" s="1">
        <f t="shared" si="73"/>
        <v>0</v>
      </c>
      <c r="BF63" s="1">
        <f>MIN(4,V63+0)</f>
        <v>3</v>
      </c>
      <c r="BG63" s="1">
        <f t="shared" si="90"/>
        <v>1</v>
      </c>
      <c r="BH63" s="1">
        <f t="shared" si="74"/>
        <v>1</v>
      </c>
      <c r="BI63" s="1">
        <f t="shared" si="91"/>
        <v>1</v>
      </c>
      <c r="BJ63" s="1">
        <f t="shared" si="94"/>
        <v>1</v>
      </c>
      <c r="BK63" s="1">
        <f t="shared" si="95"/>
        <v>1</v>
      </c>
      <c r="BL63" s="1">
        <f t="shared" si="100"/>
        <v>1</v>
      </c>
      <c r="BM63" s="1">
        <f t="shared" si="98"/>
        <v>1</v>
      </c>
      <c r="BN63" s="1">
        <f t="shared" si="75"/>
        <v>1</v>
      </c>
      <c r="BO63" s="1">
        <f t="shared" si="76"/>
        <v>1</v>
      </c>
    </row>
    <row r="64" spans="1:67" ht="30.95" customHeight="1">
      <c r="A64" s="1">
        <f>1</f>
        <v>1</v>
      </c>
      <c r="B64" s="1">
        <f>固定流程!A28</f>
        <v>23</v>
      </c>
      <c r="C64" s="1">
        <f>4</f>
        <v>4</v>
      </c>
      <c r="D64" s="1">
        <f>1</f>
        <v>1</v>
      </c>
      <c r="E64" s="1">
        <f>固定流程!C28</f>
        <v>3</v>
      </c>
      <c r="F64" s="1">
        <f>固定流程!G28</f>
        <v>2</v>
      </c>
      <c r="G64" s="1" t="str">
        <f>固定流程!H28</f>
        <v>37_FOLLOW</v>
      </c>
      <c r="H64" s="1">
        <f>固定流程!F28</f>
        <v>1</v>
      </c>
      <c r="I64" s="1">
        <f>INDEX(配置与结果!$B$15:$B$18,F64)</f>
        <v>2306</v>
      </c>
      <c r="J64" s="1">
        <f>INDEX(配置与结果!$D$15:$D$18,F64)</f>
        <v>0.46</v>
      </c>
      <c r="K64" s="1">
        <f>INDEX(配置与结果!$E$15:$E$18,F64)</f>
        <v>1.9279999999999999</v>
      </c>
      <c r="L64" s="1">
        <f t="shared" si="87"/>
        <v>2</v>
      </c>
      <c r="M64" s="1">
        <f t="shared" si="88"/>
        <v>10</v>
      </c>
      <c r="N64" s="1">
        <f t="shared" si="89"/>
        <v>1</v>
      </c>
      <c r="O64" s="1">
        <f t="shared" si="81"/>
        <v>0</v>
      </c>
      <c r="P64" s="1">
        <f>MIN(方案参数!$AI$4,AZ63+0+0)</f>
        <v>5</v>
      </c>
      <c r="Q64" s="1">
        <f t="shared" si="59"/>
        <v>5</v>
      </c>
      <c r="R64" s="1">
        <f t="shared" si="60"/>
        <v>20</v>
      </c>
      <c r="S64" s="1">
        <f t="shared" si="61"/>
        <v>3</v>
      </c>
      <c r="T64" s="1">
        <f t="shared" si="96"/>
        <v>1</v>
      </c>
      <c r="U64" s="1">
        <f t="shared" si="63"/>
        <v>0</v>
      </c>
      <c r="V64" s="1">
        <f t="shared" si="64"/>
        <v>3</v>
      </c>
      <c r="W64" s="1">
        <f t="shared" si="65"/>
        <v>1</v>
      </c>
      <c r="X64" s="1">
        <f t="shared" si="66"/>
        <v>1</v>
      </c>
      <c r="Y64" s="1">
        <f t="shared" si="67"/>
        <v>1</v>
      </c>
      <c r="Z64" s="1">
        <f t="shared" si="68"/>
        <v>1</v>
      </c>
      <c r="AA64" s="1">
        <f t="shared" si="92"/>
        <v>1</v>
      </c>
      <c r="AB64" s="1">
        <f t="shared" si="70"/>
        <v>1</v>
      </c>
      <c r="AC64" s="1">
        <f t="shared" si="97"/>
        <v>1</v>
      </c>
      <c r="AD64" s="1">
        <f>ROUNDDOWN(I64*(1+IF(F64=3,0.05+方案参数!$Y$4+AA64*0.12,IF(F64=4,方案参数!$BZ$4*方案参数!$AS$4,0)))+IF(AND(X64=1,F64&lt;&gt;3),方案参数!$CC$4,0)+AC64*方案参数!$CB$4,0)</f>
        <v>3044</v>
      </c>
      <c r="AE64" s="1">
        <f>IF(OR(F64=1,F64=4),配置与结果!$B$24,配置与结果!$B$25)*MAX(0,1-INDEX(配置与结果!$I$15:$I$18,F64))</f>
        <v>1000</v>
      </c>
      <c r="AF64" s="1">
        <f>方案参数!$BV$4</f>
        <v>3</v>
      </c>
      <c r="AG64" s="1">
        <f>MAX(配置与结果!$B$32,1+INDEX(配置与结果!$F$15:$F$18,F64)+0+Q64*方案参数!$W$4+Y64*(方案参数!$AN$4+MIN(方案参数!$AO$4,P64*0.03))+AB64*方案参数!$BZ$4*0.025-配置与结果!$B$28)</f>
        <v>1.8800000000000003</v>
      </c>
      <c r="AH64" s="1">
        <f>MAX(0,1+INDEX(配置与结果!$G$15:$G$18,F64)+W64*方案参数!$AG$4)</f>
        <v>1.3</v>
      </c>
      <c r="AI64" s="1">
        <f>IF(OR(INDEX(配置与结果!$K$15:$K$18,F64)=1,G64="RHI_BERRY"),1+配置与结果!$B$33+P64*方案参数!$AH$4,1)</f>
        <v>1</v>
      </c>
      <c r="AJ64" s="1">
        <f>MIN(1,MAX(0,J64+方案参数!$AB$4-配置与结果!$B$27))</f>
        <v>0.76</v>
      </c>
      <c r="AK64" s="1">
        <f>MAX(1,K64+IF(F64=2,0.15+方案参数!$CH$4,0)+BN64*方案参数!$X$4+R64*方案参数!$AA$4+0-配置与结果!$B$26+Z64*(方案参数!$AP$4+MIN(方案参数!$AQ$4,P64*0.03)))</f>
        <v>2.3380000000000001</v>
      </c>
      <c r="AL64" s="7">
        <f>ROUNDDOWN(MAX(AD64*配置与结果!$B$31,AD64-AE64)*AF64*AG64*AH64*AI64,0)</f>
        <v>14986</v>
      </c>
      <c r="AM64" s="7">
        <f>ROUNDDOWN(MAX(AD64*配置与结果!$B$31,AD64-AE64)*AF64*AG64*AH64*AI64*AK64,0)</f>
        <v>35038</v>
      </c>
      <c r="AN64" s="7">
        <f t="shared" si="0"/>
        <v>30225.52</v>
      </c>
      <c r="AO64" s="7">
        <f>方案参数!$BW$4</f>
        <v>1</v>
      </c>
      <c r="AP64" s="7">
        <f>MAX(0,1+INDEX(配置与结果!$J$15:$J$18,F64)+IF(T64&gt;0,方案参数!$BY$4,0)-配置与结果!$B$30)</f>
        <v>2</v>
      </c>
      <c r="AQ64" s="7">
        <f t="shared" si="1"/>
        <v>6088</v>
      </c>
      <c r="AR64" s="7">
        <f t="shared" si="2"/>
        <v>14233</v>
      </c>
      <c r="AS64" s="7">
        <f t="shared" si="3"/>
        <v>12278.2</v>
      </c>
      <c r="AT64" s="7">
        <f>0</f>
        <v>0</v>
      </c>
      <c r="AU64" s="7">
        <f t="shared" si="4"/>
        <v>42503.72</v>
      </c>
      <c r="AV64" s="1">
        <f t="shared" si="5"/>
        <v>2</v>
      </c>
      <c r="AW64" s="1">
        <f t="shared" si="102"/>
        <v>10</v>
      </c>
      <c r="AX64" s="1">
        <f t="shared" si="6"/>
        <v>1</v>
      </c>
      <c r="AY64" s="1">
        <f>MIN(20,MAX(0,O64+0+0-0))</f>
        <v>0</v>
      </c>
      <c r="AZ64" s="1">
        <f t="shared" si="7"/>
        <v>5</v>
      </c>
      <c r="BA64" s="1">
        <f t="shared" si="93"/>
        <v>5</v>
      </c>
      <c r="BB64" s="1">
        <f t="shared" si="101"/>
        <v>20</v>
      </c>
      <c r="BC64" s="1">
        <f t="shared" si="99"/>
        <v>3</v>
      </c>
      <c r="BD64" s="1">
        <f t="shared" si="80"/>
        <v>0</v>
      </c>
      <c r="BE64" s="1">
        <f t="shared" si="73"/>
        <v>0</v>
      </c>
      <c r="BF64" s="1">
        <f>MIN(4,V64+1)</f>
        <v>4</v>
      </c>
      <c r="BG64" s="1">
        <f t="shared" si="90"/>
        <v>1</v>
      </c>
      <c r="BH64" s="1">
        <f t="shared" si="74"/>
        <v>1</v>
      </c>
      <c r="BI64" s="1">
        <f t="shared" si="91"/>
        <v>1</v>
      </c>
      <c r="BJ64" s="1">
        <f t="shared" si="94"/>
        <v>1</v>
      </c>
      <c r="BK64" s="1">
        <f t="shared" si="95"/>
        <v>1</v>
      </c>
      <c r="BL64" s="1">
        <f t="shared" si="100"/>
        <v>1</v>
      </c>
      <c r="BM64" s="1">
        <f t="shared" si="98"/>
        <v>1</v>
      </c>
      <c r="BN64" s="1">
        <f t="shared" si="75"/>
        <v>1</v>
      </c>
      <c r="BO64" s="1">
        <f t="shared" si="76"/>
        <v>1</v>
      </c>
    </row>
    <row r="65" spans="1:67" ht="30.95" customHeight="1">
      <c r="A65" s="1">
        <f>1</f>
        <v>1</v>
      </c>
      <c r="B65" s="1">
        <f>固定流程!A29</f>
        <v>24</v>
      </c>
      <c r="C65" s="1">
        <f>4</f>
        <v>4</v>
      </c>
      <c r="D65" s="1">
        <f>2</f>
        <v>2</v>
      </c>
      <c r="E65" s="1">
        <f>固定流程!C29</f>
        <v>3</v>
      </c>
      <c r="F65" s="1">
        <f>固定流程!G29</f>
        <v>1</v>
      </c>
      <c r="G65" s="1" t="str">
        <f>固定流程!H29</f>
        <v>LILYA_WEAK</v>
      </c>
      <c r="H65" s="1">
        <f>固定流程!F29</f>
        <v>1</v>
      </c>
      <c r="I65" s="1">
        <f>INDEX(配置与结果!$B$15:$B$18,F65)</f>
        <v>2296</v>
      </c>
      <c r="J65" s="1">
        <f>INDEX(配置与结果!$D$15:$D$18,F65)</f>
        <v>0.7</v>
      </c>
      <c r="K65" s="1">
        <f>INDEX(配置与结果!$E$15:$E$18,F65)</f>
        <v>2.0249999999999999</v>
      </c>
      <c r="L65" s="1">
        <f t="shared" si="87"/>
        <v>2</v>
      </c>
      <c r="M65" s="1">
        <f t="shared" si="88"/>
        <v>10</v>
      </c>
      <c r="N65" s="1">
        <f t="shared" si="89"/>
        <v>1</v>
      </c>
      <c r="O65" s="1">
        <f t="shared" si="81"/>
        <v>0</v>
      </c>
      <c r="P65" s="1">
        <f>MIN(方案参数!$AI$4,AZ64+0+0)</f>
        <v>5</v>
      </c>
      <c r="Q65" s="1">
        <f t="shared" si="59"/>
        <v>5</v>
      </c>
      <c r="R65" s="1">
        <f t="shared" si="60"/>
        <v>20</v>
      </c>
      <c r="S65" s="1">
        <f t="shared" si="61"/>
        <v>3</v>
      </c>
      <c r="T65" s="1">
        <f t="shared" si="96"/>
        <v>0</v>
      </c>
      <c r="U65" s="1">
        <f t="shared" si="63"/>
        <v>0</v>
      </c>
      <c r="V65" s="1">
        <f t="shared" si="64"/>
        <v>4</v>
      </c>
      <c r="W65" s="1">
        <f t="shared" si="65"/>
        <v>1</v>
      </c>
      <c r="X65" s="1">
        <f t="shared" si="66"/>
        <v>1</v>
      </c>
      <c r="Y65" s="1">
        <f t="shared" si="67"/>
        <v>1</v>
      </c>
      <c r="Z65" s="1">
        <f t="shared" si="68"/>
        <v>1</v>
      </c>
      <c r="AA65" s="1">
        <f t="shared" si="92"/>
        <v>1</v>
      </c>
      <c r="AB65" s="1">
        <f t="shared" si="70"/>
        <v>1</v>
      </c>
      <c r="AC65" s="1">
        <f t="shared" si="97"/>
        <v>1</v>
      </c>
      <c r="AD65" s="1">
        <f>ROUNDDOWN(I65*(1+IF(F65=3,0.05+方案参数!$Y$4+AA65*0.12,IF(F65=4,方案参数!$BZ$4*方案参数!$AS$4,0)))+IF(AND(X65=1,F65&lt;&gt;3),方案参数!$CC$4,0)+AC65*方案参数!$CB$4,0)</f>
        <v>3034</v>
      </c>
      <c r="AE65" s="1">
        <f>IF(OR(F65=1,F65=4),配置与结果!$B$24,配置与结果!$B$25)*MAX(0,1-INDEX(配置与结果!$I$15:$I$18,F65))</f>
        <v>1200</v>
      </c>
      <c r="AF65" s="1">
        <f>方案参数!$BL$4</f>
        <v>15</v>
      </c>
      <c r="AG65" s="1">
        <f>MAX(配置与结果!$B$32,1+INDEX(配置与结果!$F$15:$F$18,F65)+0.08+方案参数!$CD$4+Q65*方案参数!$W$4+Y65*(方案参数!$AN$4+MIN(方案参数!$AO$4,P65*0.03))+AB65*方案参数!$BZ$4*0.025-配置与结果!$B$28+方案参数!$AE$4)</f>
        <v>2.6150000000000002</v>
      </c>
      <c r="AH65" s="1">
        <f>MAX(0,1+V65*方案参数!$U$4+0*方案参数!$V$4+方案参数!$AE$4-配置与结果!$B$29)</f>
        <v>1.56</v>
      </c>
      <c r="AI65" s="1">
        <f>IF(OR(INDEX(配置与结果!$K$15:$K$18,F65)=1,G65="RHI_BERRY"),1+配置与结果!$B$33+P65*方案参数!$AH$4,1)</f>
        <v>1</v>
      </c>
      <c r="AJ65" s="1">
        <f>MIN(1,MAX(0,J65+方案参数!$AB$4-配置与结果!$B$27))</f>
        <v>1</v>
      </c>
      <c r="AK65" s="1">
        <f>MAX(1,K65+IF(F65=2,0.15+方案参数!$CH$4,0)+BN65*方案参数!$X$4+R65*方案参数!$AA$4+方案参数!$BP$4-配置与结果!$B$26+Z65*(方案参数!$AP$4+MIN(方案参数!$AQ$4,P65*0.03)))</f>
        <v>2.7650000000000001</v>
      </c>
      <c r="AL65" s="7">
        <f>ROUNDDOWN(MAX(AD65*配置与结果!$B$31,AD65-AE65)*AF65*AG65*AH65*AI65,0)</f>
        <v>112224</v>
      </c>
      <c r="AM65" s="7">
        <f>ROUNDDOWN(MAX(AD65*配置与结果!$B$31,AD65-AE65)*AF65*AG65*AH65*AI65*AK65,0)</f>
        <v>310300</v>
      </c>
      <c r="AN65" s="7">
        <f t="shared" si="0"/>
        <v>310300</v>
      </c>
      <c r="AO65" s="7">
        <f>0</f>
        <v>0</v>
      </c>
      <c r="AP65" s="7">
        <f>MAX(0,1+INDEX(配置与结果!$J$15:$J$18,F65)+IF(T65&gt;0,方案参数!$BY$4,0)-配置与结果!$B$30)</f>
        <v>1</v>
      </c>
      <c r="AQ65" s="7">
        <f t="shared" si="1"/>
        <v>0</v>
      </c>
      <c r="AR65" s="7">
        <f t="shared" si="2"/>
        <v>0</v>
      </c>
      <c r="AS65" s="7">
        <f t="shared" si="3"/>
        <v>0</v>
      </c>
      <c r="AT65" s="7">
        <f>IF(U65&gt;0,ROUNDDOWN(AL65*方案参数!$AF$4,0)*(1-AJ65)+ROUNDDOWN(AM65*方案参数!$AF$4,0)*AJ65,0)</f>
        <v>0</v>
      </c>
      <c r="AU65" s="7">
        <f t="shared" si="4"/>
        <v>310300</v>
      </c>
      <c r="AV65" s="1">
        <f t="shared" si="5"/>
        <v>2</v>
      </c>
      <c r="AW65" s="1">
        <f t="shared" si="102"/>
        <v>10</v>
      </c>
      <c r="AX65" s="1">
        <f t="shared" si="6"/>
        <v>1</v>
      </c>
      <c r="AY65" s="1">
        <f>MIN(20,MAX(0,O65+0+1-0))</f>
        <v>1</v>
      </c>
      <c r="AZ65" s="1">
        <f t="shared" si="7"/>
        <v>5</v>
      </c>
      <c r="BA65" s="1">
        <f t="shared" si="93"/>
        <v>5</v>
      </c>
      <c r="BB65" s="1">
        <f t="shared" si="101"/>
        <v>20</v>
      </c>
      <c r="BC65" s="1">
        <f t="shared" si="99"/>
        <v>3</v>
      </c>
      <c r="BD65" s="1">
        <f t="shared" si="80"/>
        <v>0</v>
      </c>
      <c r="BE65" s="1">
        <f>MAX(0,U65-IF(AF65&gt;0,1,0))+0</f>
        <v>0</v>
      </c>
      <c r="BF65" s="1">
        <f t="shared" ref="BF65:BF82" si="103">MIN(4,V65+0)</f>
        <v>4</v>
      </c>
      <c r="BG65" s="1">
        <f t="shared" si="90"/>
        <v>1</v>
      </c>
      <c r="BH65" s="1">
        <f t="shared" si="74"/>
        <v>1</v>
      </c>
      <c r="BI65" s="1">
        <f t="shared" si="91"/>
        <v>1</v>
      </c>
      <c r="BJ65" s="1">
        <f t="shared" si="94"/>
        <v>1</v>
      </c>
      <c r="BK65" s="1">
        <f t="shared" si="95"/>
        <v>1</v>
      </c>
      <c r="BL65" s="1">
        <f t="shared" si="100"/>
        <v>1</v>
      </c>
      <c r="BM65" s="1">
        <f t="shared" si="98"/>
        <v>1</v>
      </c>
      <c r="BN65" s="1">
        <f t="shared" si="75"/>
        <v>1</v>
      </c>
      <c r="BO65" s="1">
        <f t="shared" si="76"/>
        <v>1</v>
      </c>
    </row>
    <row r="66" spans="1:67" ht="30.95" customHeight="1">
      <c r="A66" s="1">
        <f>1</f>
        <v>1</v>
      </c>
      <c r="B66" s="1">
        <f>固定流程!A30</f>
        <v>25</v>
      </c>
      <c r="C66" s="1">
        <f>4</f>
        <v>4</v>
      </c>
      <c r="D66" s="1">
        <f>2</f>
        <v>2</v>
      </c>
      <c r="E66" s="1">
        <f>固定流程!C30</f>
        <v>3</v>
      </c>
      <c r="F66" s="1">
        <f>固定流程!G30</f>
        <v>1</v>
      </c>
      <c r="G66" s="1" t="str">
        <f>固定流程!H30</f>
        <v>LILYA_WEAK</v>
      </c>
      <c r="H66" s="1">
        <f>固定流程!F30</f>
        <v>1</v>
      </c>
      <c r="I66" s="1">
        <f>INDEX(配置与结果!$B$15:$B$18,F66)</f>
        <v>2296</v>
      </c>
      <c r="J66" s="1">
        <f>INDEX(配置与结果!$D$15:$D$18,F66)</f>
        <v>0.7</v>
      </c>
      <c r="K66" s="1">
        <f>INDEX(配置与结果!$E$15:$E$18,F66)</f>
        <v>2.0249999999999999</v>
      </c>
      <c r="L66" s="1">
        <f t="shared" si="87"/>
        <v>2</v>
      </c>
      <c r="M66" s="1">
        <f t="shared" si="88"/>
        <v>10</v>
      </c>
      <c r="N66" s="1">
        <f t="shared" si="89"/>
        <v>1</v>
      </c>
      <c r="O66" s="1">
        <f t="shared" si="81"/>
        <v>1</v>
      </c>
      <c r="P66" s="1">
        <f>MIN(方案参数!$AI$4,AZ65+0+0)</f>
        <v>5</v>
      </c>
      <c r="Q66" s="1">
        <f t="shared" si="59"/>
        <v>5</v>
      </c>
      <c r="R66" s="1">
        <f t="shared" si="60"/>
        <v>20</v>
      </c>
      <c r="S66" s="1">
        <f t="shared" si="61"/>
        <v>3</v>
      </c>
      <c r="T66" s="1">
        <f t="shared" si="96"/>
        <v>0</v>
      </c>
      <c r="U66" s="1">
        <f t="shared" si="63"/>
        <v>0</v>
      </c>
      <c r="V66" s="1">
        <f t="shared" si="64"/>
        <v>4</v>
      </c>
      <c r="W66" s="1">
        <f t="shared" si="65"/>
        <v>1</v>
      </c>
      <c r="X66" s="1">
        <f t="shared" si="66"/>
        <v>1</v>
      </c>
      <c r="Y66" s="1">
        <f t="shared" si="67"/>
        <v>1</v>
      </c>
      <c r="Z66" s="1">
        <f t="shared" si="68"/>
        <v>1</v>
      </c>
      <c r="AA66" s="1">
        <f t="shared" si="92"/>
        <v>1</v>
      </c>
      <c r="AB66" s="1">
        <f t="shared" si="70"/>
        <v>1</v>
      </c>
      <c r="AC66" s="1">
        <f t="shared" si="97"/>
        <v>1</v>
      </c>
      <c r="AD66" s="1">
        <f>ROUNDDOWN(I66*(1+IF(F66=3,0.05+方案参数!$Y$4+AA66*0.12,IF(F66=4,方案参数!$BZ$4*方案参数!$AS$4,0)))+IF(AND(X66=1,F66&lt;&gt;3),方案参数!$CC$4,0)+AC66*方案参数!$CB$4,0)</f>
        <v>3034</v>
      </c>
      <c r="AE66" s="1">
        <f>IF(OR(F66=1,F66=4),配置与结果!$B$24,配置与结果!$B$25)*MAX(0,1-INDEX(配置与结果!$I$15:$I$18,F66))</f>
        <v>1200</v>
      </c>
      <c r="AF66" s="1">
        <f>方案参数!$BL$4</f>
        <v>15</v>
      </c>
      <c r="AG66" s="1">
        <f>MAX(配置与结果!$B$32,1+INDEX(配置与结果!$F$15:$F$18,F66)+0.08+方案参数!$CD$4+Q66*方案参数!$W$4+Y66*(方案参数!$AN$4+MIN(方案参数!$AO$4,P66*0.03))+AB66*方案参数!$BZ$4*0.025-配置与结果!$B$28+方案参数!$AE$4)</f>
        <v>2.6150000000000002</v>
      </c>
      <c r="AH66" s="1">
        <f>MAX(0,1+V66*方案参数!$U$4+1*方案参数!$V$4+方案参数!$AE$4-配置与结果!$B$29)</f>
        <v>1.62</v>
      </c>
      <c r="AI66" s="1">
        <f>IF(OR(INDEX(配置与结果!$K$15:$K$18,F66)=1,G66="RHI_BERRY"),1+配置与结果!$B$33+P66*方案参数!$AH$4,1)</f>
        <v>1</v>
      </c>
      <c r="AJ66" s="1">
        <f>MIN(1,MAX(0,J66+方案参数!$AB$4-配置与结果!$B$27))</f>
        <v>1</v>
      </c>
      <c r="AK66" s="1">
        <f>MAX(1,K66+IF(F66=2,0.15+方案参数!$CH$4,0)+BN66*方案参数!$X$4+R66*方案参数!$AA$4+方案参数!$BP$4-配置与结果!$B$26+Z66*(方案参数!$AP$4+MIN(方案参数!$AQ$4,P66*0.03)))</f>
        <v>2.7650000000000001</v>
      </c>
      <c r="AL66" s="7">
        <f>ROUNDDOWN(MAX(AD66*配置与结果!$B$31,AD66-AE66)*AF66*AG66*AH66*AI66,0)</f>
        <v>116540</v>
      </c>
      <c r="AM66" s="7">
        <f>ROUNDDOWN(MAX(AD66*配置与结果!$B$31,AD66-AE66)*AF66*AG66*AH66*AI66*AK66,0)</f>
        <v>322234</v>
      </c>
      <c r="AN66" s="7">
        <f t="shared" si="0"/>
        <v>322234</v>
      </c>
      <c r="AO66" s="7">
        <f>0</f>
        <v>0</v>
      </c>
      <c r="AP66" s="7">
        <f>MAX(0,1+INDEX(配置与结果!$J$15:$J$18,F66)+IF(T66&gt;0,方案参数!$BY$4,0)-配置与结果!$B$30)</f>
        <v>1</v>
      </c>
      <c r="AQ66" s="7">
        <f t="shared" si="1"/>
        <v>0</v>
      </c>
      <c r="AR66" s="7">
        <f t="shared" si="2"/>
        <v>0</v>
      </c>
      <c r="AS66" s="7">
        <f t="shared" si="3"/>
        <v>0</v>
      </c>
      <c r="AT66" s="7">
        <f>IF(U66&gt;0,ROUNDDOWN(AL66*方案参数!$AF$4,0)*(1-AJ66)+ROUNDDOWN(AM66*方案参数!$AF$4,0)*AJ66,0)</f>
        <v>0</v>
      </c>
      <c r="AU66" s="7">
        <f t="shared" si="4"/>
        <v>322234</v>
      </c>
      <c r="AV66" s="1">
        <f t="shared" si="5"/>
        <v>2</v>
      </c>
      <c r="AW66" s="1">
        <f t="shared" si="102"/>
        <v>10</v>
      </c>
      <c r="AX66" s="1">
        <f t="shared" si="6"/>
        <v>1</v>
      </c>
      <c r="AY66" s="1">
        <f>MIN(20,MAX(0,O66+0+1-0))</f>
        <v>2</v>
      </c>
      <c r="AZ66" s="1">
        <f t="shared" si="7"/>
        <v>5</v>
      </c>
      <c r="BA66" s="1">
        <f t="shared" si="93"/>
        <v>5</v>
      </c>
      <c r="BB66" s="1">
        <f t="shared" si="101"/>
        <v>20</v>
      </c>
      <c r="BC66" s="1">
        <f t="shared" si="99"/>
        <v>3</v>
      </c>
      <c r="BD66" s="1">
        <f t="shared" si="80"/>
        <v>0</v>
      </c>
      <c r="BE66" s="1">
        <f>MAX(0,U66-IF(AF66&gt;0,1,0))+0</f>
        <v>0</v>
      </c>
      <c r="BF66" s="1">
        <f t="shared" si="103"/>
        <v>4</v>
      </c>
      <c r="BG66" s="1">
        <f t="shared" si="90"/>
        <v>1</v>
      </c>
      <c r="BH66" s="1">
        <f t="shared" si="74"/>
        <v>1</v>
      </c>
      <c r="BI66" s="1">
        <f t="shared" si="91"/>
        <v>1</v>
      </c>
      <c r="BJ66" s="1">
        <f t="shared" si="94"/>
        <v>1</v>
      </c>
      <c r="BK66" s="1">
        <f t="shared" si="95"/>
        <v>1</v>
      </c>
      <c r="BL66" s="1">
        <f t="shared" si="100"/>
        <v>1</v>
      </c>
      <c r="BM66" s="1">
        <f t="shared" si="98"/>
        <v>1</v>
      </c>
      <c r="BN66" s="1">
        <f t="shared" si="75"/>
        <v>1</v>
      </c>
      <c r="BO66" s="1">
        <f t="shared" si="76"/>
        <v>1</v>
      </c>
    </row>
    <row r="67" spans="1:67" ht="30.95" customHeight="1">
      <c r="A67" s="1">
        <f>1</f>
        <v>1</v>
      </c>
      <c r="B67" s="1">
        <f>固定流程!A31</f>
        <v>26</v>
      </c>
      <c r="C67" s="1">
        <f>4</f>
        <v>4</v>
      </c>
      <c r="D67" s="1">
        <f>2</f>
        <v>2</v>
      </c>
      <c r="E67" s="1">
        <f>固定流程!C31</f>
        <v>3</v>
      </c>
      <c r="F67" s="1">
        <f>固定流程!G31</f>
        <v>2</v>
      </c>
      <c r="G67" s="1" t="str">
        <f>固定流程!H31</f>
        <v>37_WEAK</v>
      </c>
      <c r="H67" s="1">
        <f>固定流程!F31</f>
        <v>1</v>
      </c>
      <c r="I67" s="1">
        <f>INDEX(配置与结果!$B$15:$B$18,F67)</f>
        <v>2306</v>
      </c>
      <c r="J67" s="1">
        <f>INDEX(配置与结果!$D$15:$D$18,F67)</f>
        <v>0.46</v>
      </c>
      <c r="K67" s="1">
        <f>INDEX(配置与结果!$E$15:$E$18,F67)</f>
        <v>1.9279999999999999</v>
      </c>
      <c r="L67" s="1">
        <f t="shared" si="87"/>
        <v>2</v>
      </c>
      <c r="M67" s="1">
        <f t="shared" si="88"/>
        <v>10</v>
      </c>
      <c r="N67" s="1">
        <f t="shared" si="89"/>
        <v>1</v>
      </c>
      <c r="O67" s="1">
        <f t="shared" si="81"/>
        <v>2</v>
      </c>
      <c r="P67" s="1">
        <f>MIN(方案参数!$AI$4,AZ66+0+0)</f>
        <v>5</v>
      </c>
      <c r="Q67" s="1">
        <f t="shared" si="59"/>
        <v>5</v>
      </c>
      <c r="R67" s="1">
        <f t="shared" si="60"/>
        <v>20</v>
      </c>
      <c r="S67" s="1">
        <f t="shared" si="61"/>
        <v>3</v>
      </c>
      <c r="T67" s="1">
        <f t="shared" si="96"/>
        <v>0</v>
      </c>
      <c r="U67" s="1">
        <f t="shared" si="63"/>
        <v>0</v>
      </c>
      <c r="V67" s="1">
        <f t="shared" si="64"/>
        <v>4</v>
      </c>
      <c r="W67" s="1">
        <f t="shared" si="65"/>
        <v>1</v>
      </c>
      <c r="X67" s="1">
        <f t="shared" si="66"/>
        <v>1</v>
      </c>
      <c r="Y67" s="1">
        <f t="shared" si="67"/>
        <v>1</v>
      </c>
      <c r="Z67" s="1">
        <f t="shared" si="68"/>
        <v>1</v>
      </c>
      <c r="AA67" s="1">
        <f t="shared" si="92"/>
        <v>1</v>
      </c>
      <c r="AB67" s="1">
        <f t="shared" si="70"/>
        <v>1</v>
      </c>
      <c r="AC67" s="1">
        <f t="shared" si="97"/>
        <v>1</v>
      </c>
      <c r="AD67" s="1">
        <f>ROUNDDOWN(I67*(1+IF(F67=3,0.05+方案参数!$Y$4+AA67*0.12,IF(F67=4,方案参数!$BZ$4*方案参数!$AS$4,0)))+IF(AND(X67=1,F67&lt;&gt;3),方案参数!$CC$4,0)+AC67*方案参数!$CB$4,0)</f>
        <v>3044</v>
      </c>
      <c r="AE67" s="1">
        <f>IF(OR(F67=1,F67=4),配置与结果!$B$24,配置与结果!$B$25)*MAX(0,1-INDEX(配置与结果!$I$15:$I$18,F67))</f>
        <v>1000</v>
      </c>
      <c r="AF67" s="1">
        <f>方案参数!$CE$4</f>
        <v>8</v>
      </c>
      <c r="AG67" s="1">
        <f>MAX(配置与结果!$B$32,1+INDEX(配置与结果!$F$15:$F$18,F67)+0+Q67*方案参数!$W$4+Y67*(方案参数!$AN$4+MIN(方案参数!$AO$4,P67*0.03))+AB67*方案参数!$BZ$4*0.025-配置与结果!$B$28+方案参数!$AE$4)</f>
        <v>2.2800000000000002</v>
      </c>
      <c r="AH67" s="1">
        <f>MAX(0,1+V67*方案参数!$U$4+方案参数!$AE$4-配置与结果!$B$29)</f>
        <v>1.56</v>
      </c>
      <c r="AI67" s="1">
        <f>IF(OR(INDEX(配置与结果!$K$15:$K$18,F67)=1,G67="RHI_BERRY"),1+配置与结果!$B$33+P67*方案参数!$AH$4,1)</f>
        <v>1</v>
      </c>
      <c r="AJ67" s="1">
        <f>MIN(1,MAX(0,J67+方案参数!$AB$4-配置与结果!$B$27))</f>
        <v>0.76</v>
      </c>
      <c r="AK67" s="1">
        <f>MAX(1,K67+IF(F67=2,0.15+方案参数!$CH$4,0)+BN67*方案参数!$X$4+R67*方案参数!$AA$4+0-配置与结果!$B$26+Z67*(方案参数!$AP$4+MIN(方案参数!$AQ$4,P67*0.03)))</f>
        <v>2.3380000000000001</v>
      </c>
      <c r="AL67" s="7">
        <f>ROUNDDOWN(MAX(AD67*配置与结果!$B$31,AD67-AE67)*AF67*AG67*AH67*AI67,0)</f>
        <v>58160</v>
      </c>
      <c r="AM67" s="7">
        <f>ROUNDDOWN(MAX(AD67*配置与结果!$B$31,AD67-AE67)*AF67*AG67*AH67*AI67*AK67,0)</f>
        <v>135979</v>
      </c>
      <c r="AN67" s="7">
        <f t="shared" si="0"/>
        <v>117302.44</v>
      </c>
      <c r="AO67" s="7">
        <f>0</f>
        <v>0</v>
      </c>
      <c r="AP67" s="7">
        <f>MAX(0,1+INDEX(配置与结果!$J$15:$J$18,F67)+IF(T67&gt;0,方案参数!$BY$4,0)-配置与结果!$B$30)</f>
        <v>1</v>
      </c>
      <c r="AQ67" s="7">
        <f t="shared" si="1"/>
        <v>0</v>
      </c>
      <c r="AR67" s="7">
        <f t="shared" si="2"/>
        <v>0</v>
      </c>
      <c r="AS67" s="7">
        <f t="shared" si="3"/>
        <v>0</v>
      </c>
      <c r="AT67" s="7">
        <f>IF(U67&gt;0,ROUNDDOWN(AL67*方案参数!$AF$4,0)*(1-AJ67)+ROUNDDOWN(AM67*方案参数!$AF$4,0)*AJ67,0)</f>
        <v>0</v>
      </c>
      <c r="AU67" s="7">
        <f t="shared" si="4"/>
        <v>117302.44</v>
      </c>
      <c r="AV67" s="1">
        <f t="shared" si="5"/>
        <v>2</v>
      </c>
      <c r="AW67" s="1">
        <f t="shared" si="102"/>
        <v>10</v>
      </c>
      <c r="AX67" s="1">
        <f t="shared" si="6"/>
        <v>1</v>
      </c>
      <c r="AY67" s="1">
        <f>MIN(20,MAX(0,O67+0+0-0))</f>
        <v>2</v>
      </c>
      <c r="AZ67" s="1">
        <f t="shared" si="7"/>
        <v>5</v>
      </c>
      <c r="BA67" s="1">
        <f t="shared" si="93"/>
        <v>5</v>
      </c>
      <c r="BB67" s="1">
        <f t="shared" si="101"/>
        <v>20</v>
      </c>
      <c r="BC67" s="1">
        <f t="shared" si="99"/>
        <v>3</v>
      </c>
      <c r="BD67" s="1">
        <f t="shared" si="80"/>
        <v>0</v>
      </c>
      <c r="BE67" s="1">
        <f>MAX(0,U67-IF(AF67&gt;0,1,0))+1</f>
        <v>1</v>
      </c>
      <c r="BF67" s="1">
        <f t="shared" si="103"/>
        <v>4</v>
      </c>
      <c r="BG67" s="1">
        <f t="shared" si="90"/>
        <v>1</v>
      </c>
      <c r="BH67" s="1">
        <f t="shared" si="74"/>
        <v>1</v>
      </c>
      <c r="BI67" s="1">
        <f t="shared" si="91"/>
        <v>1</v>
      </c>
      <c r="BJ67" s="1">
        <f t="shared" si="94"/>
        <v>1</v>
      </c>
      <c r="BK67" s="1">
        <f t="shared" si="95"/>
        <v>1</v>
      </c>
      <c r="BL67" s="1">
        <f t="shared" si="100"/>
        <v>1</v>
      </c>
      <c r="BM67" s="1">
        <f t="shared" si="98"/>
        <v>1</v>
      </c>
      <c r="BN67" s="1">
        <f t="shared" si="75"/>
        <v>1</v>
      </c>
      <c r="BO67" s="1">
        <f t="shared" si="76"/>
        <v>1</v>
      </c>
    </row>
    <row r="68" spans="1:67" ht="30.95" customHeight="1">
      <c r="A68" s="1">
        <f>1</f>
        <v>1</v>
      </c>
      <c r="B68" s="1">
        <f>固定流程!A32</f>
        <v>27</v>
      </c>
      <c r="C68" s="1">
        <f>4</f>
        <v>4</v>
      </c>
      <c r="D68" s="1">
        <f>2</f>
        <v>2</v>
      </c>
      <c r="E68" s="1">
        <f>固定流程!C32</f>
        <v>3</v>
      </c>
      <c r="F68" s="1">
        <f>固定流程!G32</f>
        <v>1</v>
      </c>
      <c r="G68" s="1" t="str">
        <f>固定流程!H32</f>
        <v>LILYA_THIRD</v>
      </c>
      <c r="H68" s="1">
        <f>固定流程!F32</f>
        <v>1</v>
      </c>
      <c r="I68" s="1">
        <f>INDEX(配置与结果!$B$15:$B$18,F68)</f>
        <v>2296</v>
      </c>
      <c r="J68" s="1">
        <f>INDEX(配置与结果!$D$15:$D$18,F68)</f>
        <v>0.7</v>
      </c>
      <c r="K68" s="1">
        <f>INDEX(配置与结果!$E$15:$E$18,F68)</f>
        <v>2.0249999999999999</v>
      </c>
      <c r="L68" s="1">
        <f t="shared" si="87"/>
        <v>2</v>
      </c>
      <c r="M68" s="1">
        <f t="shared" si="88"/>
        <v>10</v>
      </c>
      <c r="N68" s="1">
        <f t="shared" si="89"/>
        <v>1</v>
      </c>
      <c r="O68" s="1">
        <f t="shared" si="81"/>
        <v>2</v>
      </c>
      <c r="P68" s="1">
        <f>MIN(方案参数!$AI$4,AZ67+0+0)</f>
        <v>5</v>
      </c>
      <c r="Q68" s="1">
        <f t="shared" si="59"/>
        <v>5</v>
      </c>
      <c r="R68" s="1">
        <f t="shared" si="60"/>
        <v>20</v>
      </c>
      <c r="S68" s="1">
        <f t="shared" si="61"/>
        <v>3</v>
      </c>
      <c r="T68" s="1">
        <f t="shared" si="96"/>
        <v>0</v>
      </c>
      <c r="U68" s="1">
        <f t="shared" si="63"/>
        <v>1</v>
      </c>
      <c r="V68" s="1">
        <f t="shared" si="64"/>
        <v>4</v>
      </c>
      <c r="W68" s="1">
        <f t="shared" si="65"/>
        <v>1</v>
      </c>
      <c r="X68" s="1">
        <f t="shared" si="66"/>
        <v>1</v>
      </c>
      <c r="Y68" s="1">
        <f t="shared" si="67"/>
        <v>1</v>
      </c>
      <c r="Z68" s="1">
        <f t="shared" si="68"/>
        <v>1</v>
      </c>
      <c r="AA68" s="1">
        <f t="shared" si="92"/>
        <v>1</v>
      </c>
      <c r="AB68" s="1">
        <f t="shared" si="70"/>
        <v>1</v>
      </c>
      <c r="AC68" s="1">
        <f t="shared" si="97"/>
        <v>1</v>
      </c>
      <c r="AD68" s="1">
        <f>ROUNDDOWN(I68*(1+IF(F68=3,0.05+方案参数!$Y$4+AA68*0.12,IF(F68=4,方案参数!$BZ$4*方案参数!$AS$4,0)))+IF(AND(X68=1,F68&lt;&gt;3),方案参数!$CC$4,0)+AC68*方案参数!$CB$4,0)</f>
        <v>3034</v>
      </c>
      <c r="AE68" s="1">
        <f>IF(OR(F68=1,F68=4),配置与结果!$B$24,配置与结果!$B$25)*MAX(0,1-INDEX(配置与结果!$I$15:$I$18,F68))</f>
        <v>1200</v>
      </c>
      <c r="AF68" s="1">
        <f>方案参数!$BM$4</f>
        <v>32</v>
      </c>
      <c r="AG68" s="1">
        <f>MAX(配置与结果!$B$32,1+INDEX(配置与结果!$F$15:$F$18,F68)+0.08+方案参数!$CD$4+Q68*方案参数!$W$4+Y68*(方案参数!$AN$4+MIN(方案参数!$AO$4,P68*0.03))+AB68*方案参数!$BZ$4*0.025-配置与结果!$B$28+方案参数!$AE$4)</f>
        <v>2.6150000000000002</v>
      </c>
      <c r="AH68" s="1">
        <f>MAX(0,1+V68*方案参数!$U$4+3*方案参数!$V$4+方案参数!$AE$4-配置与结果!$B$29)</f>
        <v>1.7399999999999998</v>
      </c>
      <c r="AI68" s="1">
        <f>IF(OR(INDEX(配置与结果!$K$15:$K$18,F68)=1,G68="RHI_BERRY"),1+配置与结果!$B$33+P68*方案参数!$AH$4,1)</f>
        <v>1</v>
      </c>
      <c r="AJ68" s="1">
        <f>MIN(1,MAX(0,J68+方案参数!$AB$4-配置与结果!$B$27))</f>
        <v>1</v>
      </c>
      <c r="AK68" s="1">
        <f>MAX(1,K68+IF(F68=2,0.15+方案参数!$CH$4,0)+BN68*方案参数!$X$4+R68*方案参数!$AA$4+方案参数!$BQ$4-配置与结果!$B$26+Z68*(方案参数!$AP$4+MIN(方案参数!$AQ$4,P68*0.03)))</f>
        <v>2.9650000000000003</v>
      </c>
      <c r="AL68" s="7">
        <f>ROUNDDOWN(MAX(AD68*配置与结果!$B$31,AD68-AE68)*AF68*AG68*AH68*AI68,0)</f>
        <v>267036</v>
      </c>
      <c r="AM68" s="7">
        <f>ROUNDDOWN(MAX(AD68*配置与结果!$B$31,AD68-AE68)*AF68*AG68*AH68*AI68*AK68,0)</f>
        <v>791762</v>
      </c>
      <c r="AN68" s="7">
        <f t="shared" si="0"/>
        <v>791762</v>
      </c>
      <c r="AO68" s="7">
        <f>0</f>
        <v>0</v>
      </c>
      <c r="AP68" s="7">
        <f>MAX(0,1+INDEX(配置与结果!$J$15:$J$18,F68)+IF(T68&gt;0,方案参数!$BY$4,0)-配置与结果!$B$30)</f>
        <v>1</v>
      </c>
      <c r="AQ68" s="7">
        <f t="shared" si="1"/>
        <v>0</v>
      </c>
      <c r="AR68" s="7">
        <f t="shared" si="2"/>
        <v>0</v>
      </c>
      <c r="AS68" s="7">
        <f t="shared" si="3"/>
        <v>0</v>
      </c>
      <c r="AT68" s="7">
        <f>IF(U68&gt;0,ROUNDDOWN(AL68*方案参数!$AF$4,0)*(1-AJ68)+ROUNDDOWN(AM68*方案参数!$AF$4,0)*AJ68,0)</f>
        <v>316704</v>
      </c>
      <c r="AU68" s="7">
        <f t="shared" si="4"/>
        <v>1108466</v>
      </c>
      <c r="AV68" s="1">
        <f t="shared" si="5"/>
        <v>2</v>
      </c>
      <c r="AW68" s="1">
        <f t="shared" si="102"/>
        <v>10</v>
      </c>
      <c r="AX68" s="1">
        <f t="shared" si="6"/>
        <v>1</v>
      </c>
      <c r="AY68" s="1">
        <f>MIN(20,MAX(0,O68+0+1-0))</f>
        <v>3</v>
      </c>
      <c r="AZ68" s="1">
        <f t="shared" si="7"/>
        <v>5</v>
      </c>
      <c r="BA68" s="1">
        <f t="shared" si="93"/>
        <v>5</v>
      </c>
      <c r="BB68" s="1">
        <f t="shared" si="101"/>
        <v>20</v>
      </c>
      <c r="BC68" s="1">
        <f t="shared" si="99"/>
        <v>3</v>
      </c>
      <c r="BD68" s="1">
        <f t="shared" si="80"/>
        <v>0</v>
      </c>
      <c r="BE68" s="1">
        <f>MAX(0,U68-IF(AF68&gt;0,1,0))+0</f>
        <v>0</v>
      </c>
      <c r="BF68" s="1">
        <f t="shared" si="103"/>
        <v>4</v>
      </c>
      <c r="BG68" s="1">
        <f t="shared" si="90"/>
        <v>1</v>
      </c>
      <c r="BH68" s="1">
        <f t="shared" si="74"/>
        <v>1</v>
      </c>
      <c r="BI68" s="1">
        <f t="shared" si="91"/>
        <v>1</v>
      </c>
      <c r="BJ68" s="1">
        <f t="shared" si="94"/>
        <v>1</v>
      </c>
      <c r="BK68" s="1">
        <f t="shared" si="95"/>
        <v>1</v>
      </c>
      <c r="BL68" s="1">
        <f t="shared" si="100"/>
        <v>1</v>
      </c>
      <c r="BM68" s="1">
        <f t="shared" si="98"/>
        <v>1</v>
      </c>
      <c r="BN68" s="1">
        <f t="shared" si="75"/>
        <v>1</v>
      </c>
      <c r="BO68" s="1">
        <f t="shared" si="76"/>
        <v>1</v>
      </c>
    </row>
    <row r="69" spans="1:67" ht="30.95" customHeight="1">
      <c r="A69" s="1">
        <f>1</f>
        <v>1</v>
      </c>
      <c r="B69" s="1">
        <f>固定流程!A33</f>
        <v>28</v>
      </c>
      <c r="C69" s="1">
        <f>4</f>
        <v>4</v>
      </c>
      <c r="D69" s="1">
        <f>2</f>
        <v>2</v>
      </c>
      <c r="E69" s="1">
        <f>固定流程!C33</f>
        <v>3</v>
      </c>
      <c r="F69" s="1">
        <f>固定流程!G33</f>
        <v>1</v>
      </c>
      <c r="G69" s="1" t="str">
        <f>固定流程!H33</f>
        <v>LILYA_WEAK</v>
      </c>
      <c r="H69" s="1">
        <f>固定流程!F33</f>
        <v>1</v>
      </c>
      <c r="I69" s="1">
        <f>INDEX(配置与结果!$B$15:$B$18,F69)</f>
        <v>2296</v>
      </c>
      <c r="J69" s="1">
        <f>INDEX(配置与结果!$D$15:$D$18,F69)</f>
        <v>0.7</v>
      </c>
      <c r="K69" s="1">
        <f>INDEX(配置与结果!$E$15:$E$18,F69)</f>
        <v>2.0249999999999999</v>
      </c>
      <c r="L69" s="1">
        <f t="shared" si="87"/>
        <v>2</v>
      </c>
      <c r="M69" s="1">
        <f t="shared" si="88"/>
        <v>10</v>
      </c>
      <c r="N69" s="1">
        <f t="shared" si="89"/>
        <v>1</v>
      </c>
      <c r="O69" s="1">
        <f t="shared" si="81"/>
        <v>3</v>
      </c>
      <c r="P69" s="1">
        <f>MIN(方案参数!$AI$4,AZ68+0+0)</f>
        <v>5</v>
      </c>
      <c r="Q69" s="1">
        <f t="shared" si="59"/>
        <v>5</v>
      </c>
      <c r="R69" s="1">
        <f t="shared" si="60"/>
        <v>20</v>
      </c>
      <c r="S69" s="1">
        <f t="shared" si="61"/>
        <v>3</v>
      </c>
      <c r="T69" s="1">
        <f t="shared" si="96"/>
        <v>0</v>
      </c>
      <c r="U69" s="1">
        <f t="shared" si="63"/>
        <v>0</v>
      </c>
      <c r="V69" s="1">
        <f t="shared" si="64"/>
        <v>4</v>
      </c>
      <c r="W69" s="1">
        <f t="shared" si="65"/>
        <v>1</v>
      </c>
      <c r="X69" s="1">
        <f t="shared" si="66"/>
        <v>1</v>
      </c>
      <c r="Y69" s="1">
        <f t="shared" si="67"/>
        <v>1</v>
      </c>
      <c r="Z69" s="1">
        <f t="shared" si="68"/>
        <v>1</v>
      </c>
      <c r="AA69" s="1">
        <f t="shared" si="92"/>
        <v>1</v>
      </c>
      <c r="AB69" s="1">
        <f t="shared" si="70"/>
        <v>1</v>
      </c>
      <c r="AC69" s="1">
        <f t="shared" si="97"/>
        <v>1</v>
      </c>
      <c r="AD69" s="1">
        <f>ROUNDDOWN(I69*(1+IF(F69=3,0.05+方案参数!$Y$4+AA69*0.12,IF(F69=4,方案参数!$BZ$4*方案参数!$AS$4,0)))+IF(AND(X69=1,F69&lt;&gt;3),方案参数!$CC$4,0)+AC69*方案参数!$CB$4,0)</f>
        <v>3034</v>
      </c>
      <c r="AE69" s="1">
        <f>IF(OR(F69=1,F69=4),配置与结果!$B$24,配置与结果!$B$25)*MAX(0,1-INDEX(配置与结果!$I$15:$I$18,F69))</f>
        <v>1200</v>
      </c>
      <c r="AF69" s="1">
        <f>方案参数!$BL$4</f>
        <v>15</v>
      </c>
      <c r="AG69" s="1">
        <f>MAX(配置与结果!$B$32,1+INDEX(配置与结果!$F$15:$F$18,F69)+0.08+方案参数!$CD$4+Q69*方案参数!$W$4+Y69*(方案参数!$AN$4+MIN(方案参数!$AO$4,P69*0.03))+AB69*方案参数!$BZ$4*0.025-配置与结果!$B$28+方案参数!$AE$4)</f>
        <v>2.6150000000000002</v>
      </c>
      <c r="AH69" s="1">
        <f>MAX(0,1+V69*方案参数!$U$4+4*方案参数!$V$4+方案参数!$AE$4-配置与结果!$B$29)</f>
        <v>1.7999999999999998</v>
      </c>
      <c r="AI69" s="1">
        <f>IF(OR(INDEX(配置与结果!$K$15:$K$18,F69)=1,G69="RHI_BERRY"),1+配置与结果!$B$33+P69*方案参数!$AH$4,1)</f>
        <v>1</v>
      </c>
      <c r="AJ69" s="1">
        <f>MIN(1,MAX(0,J69+方案参数!$AB$4-配置与结果!$B$27))</f>
        <v>1</v>
      </c>
      <c r="AK69" s="1">
        <f>MAX(1,K69+IF(F69=2,0.15+方案参数!$CH$4,0)+BN69*方案参数!$X$4+R69*方案参数!$AA$4+方案参数!$BP$4-配置与结果!$B$26+Z69*(方案参数!$AP$4+MIN(方案参数!$AQ$4,P69*0.03)))</f>
        <v>2.7650000000000001</v>
      </c>
      <c r="AL69" s="7">
        <f>ROUNDDOWN(MAX(AD69*配置与结果!$B$31,AD69-AE69)*AF69*AG69*AH69*AI69,0)</f>
        <v>129489</v>
      </c>
      <c r="AM69" s="7">
        <f>ROUNDDOWN(MAX(AD69*配置与结果!$B$31,AD69-AE69)*AF69*AG69*AH69*AI69*AK69,0)</f>
        <v>358038</v>
      </c>
      <c r="AN69" s="7">
        <f t="shared" si="0"/>
        <v>358038</v>
      </c>
      <c r="AO69" s="7">
        <f>0</f>
        <v>0</v>
      </c>
      <c r="AP69" s="7">
        <f>MAX(0,1+INDEX(配置与结果!$J$15:$J$18,F69)+IF(T69&gt;0,方案参数!$BY$4,0)-配置与结果!$B$30)</f>
        <v>1</v>
      </c>
      <c r="AQ69" s="7">
        <f t="shared" si="1"/>
        <v>0</v>
      </c>
      <c r="AR69" s="7">
        <f t="shared" si="2"/>
        <v>0</v>
      </c>
      <c r="AS69" s="7">
        <f t="shared" si="3"/>
        <v>0</v>
      </c>
      <c r="AT69" s="7">
        <f>IF(U69&gt;0,ROUNDDOWN(AL69*方案参数!$AF$4,0)*(1-AJ69)+ROUNDDOWN(AM69*方案参数!$AF$4,0)*AJ69,0)</f>
        <v>0</v>
      </c>
      <c r="AU69" s="7">
        <f t="shared" si="4"/>
        <v>358038</v>
      </c>
      <c r="AV69" s="1">
        <f t="shared" si="5"/>
        <v>2</v>
      </c>
      <c r="AW69" s="1">
        <f t="shared" si="102"/>
        <v>10</v>
      </c>
      <c r="AX69" s="1">
        <f t="shared" si="6"/>
        <v>1</v>
      </c>
      <c r="AY69" s="1">
        <f>MIN(20,MAX(0,O69+0+1-0))</f>
        <v>4</v>
      </c>
      <c r="AZ69" s="1">
        <f t="shared" si="7"/>
        <v>5</v>
      </c>
      <c r="BA69" s="1">
        <f t="shared" si="93"/>
        <v>5</v>
      </c>
      <c r="BB69" s="1">
        <f t="shared" si="101"/>
        <v>20</v>
      </c>
      <c r="BC69" s="1">
        <f t="shared" si="99"/>
        <v>3</v>
      </c>
      <c r="BD69" s="1">
        <f t="shared" si="80"/>
        <v>0</v>
      </c>
      <c r="BE69" s="1">
        <f>MAX(0,U69-IF(AF69&gt;0,1,0))+0</f>
        <v>0</v>
      </c>
      <c r="BF69" s="1">
        <f t="shared" si="103"/>
        <v>4</v>
      </c>
      <c r="BG69" s="1">
        <f t="shared" si="90"/>
        <v>1</v>
      </c>
      <c r="BH69" s="1">
        <f t="shared" si="74"/>
        <v>1</v>
      </c>
      <c r="BI69" s="1">
        <f t="shared" si="91"/>
        <v>1</v>
      </c>
      <c r="BJ69" s="1">
        <f t="shared" si="94"/>
        <v>1</v>
      </c>
      <c r="BK69" s="1">
        <f t="shared" si="95"/>
        <v>1</v>
      </c>
      <c r="BL69" s="1">
        <f t="shared" si="100"/>
        <v>1</v>
      </c>
      <c r="BM69" s="1">
        <f t="shared" si="98"/>
        <v>1</v>
      </c>
      <c r="BN69" s="1">
        <f t="shared" si="75"/>
        <v>1</v>
      </c>
      <c r="BO69" s="1">
        <f t="shared" si="76"/>
        <v>1</v>
      </c>
    </row>
    <row r="70" spans="1:67" ht="30.95" customHeight="1">
      <c r="A70" s="1">
        <f>1</f>
        <v>1</v>
      </c>
      <c r="B70" s="1">
        <f>固定流程!A34</f>
        <v>29</v>
      </c>
      <c r="C70" s="1">
        <f>4</f>
        <v>4</v>
      </c>
      <c r="D70" s="1">
        <f>2</f>
        <v>2</v>
      </c>
      <c r="E70" s="1">
        <f>固定流程!C34</f>
        <v>3</v>
      </c>
      <c r="F70" s="1">
        <f>固定流程!G34</f>
        <v>1</v>
      </c>
      <c r="G70" s="1" t="str">
        <f>固定流程!H34</f>
        <v>LILYA_WEAK</v>
      </c>
      <c r="H70" s="1">
        <f>固定流程!F34</f>
        <v>1</v>
      </c>
      <c r="I70" s="1">
        <f>INDEX(配置与结果!$B$15:$B$18,F70)</f>
        <v>2296</v>
      </c>
      <c r="J70" s="1">
        <f>INDEX(配置与结果!$D$15:$D$18,F70)</f>
        <v>0.7</v>
      </c>
      <c r="K70" s="1">
        <f>INDEX(配置与结果!$E$15:$E$18,F70)</f>
        <v>2.0249999999999999</v>
      </c>
      <c r="L70" s="1">
        <f t="shared" si="87"/>
        <v>2</v>
      </c>
      <c r="M70" s="1">
        <f t="shared" si="88"/>
        <v>10</v>
      </c>
      <c r="N70" s="1">
        <f t="shared" si="89"/>
        <v>1</v>
      </c>
      <c r="O70" s="1">
        <f t="shared" si="81"/>
        <v>4</v>
      </c>
      <c r="P70" s="1">
        <f>MIN(方案参数!$AI$4,AZ69+0+0)</f>
        <v>5</v>
      </c>
      <c r="Q70" s="1">
        <f t="shared" si="59"/>
        <v>5</v>
      </c>
      <c r="R70" s="1">
        <f t="shared" si="60"/>
        <v>20</v>
      </c>
      <c r="S70" s="1">
        <f t="shared" si="61"/>
        <v>3</v>
      </c>
      <c r="T70" s="1">
        <f t="shared" si="96"/>
        <v>0</v>
      </c>
      <c r="U70" s="1">
        <f t="shared" si="63"/>
        <v>0</v>
      </c>
      <c r="V70" s="1">
        <f t="shared" si="64"/>
        <v>4</v>
      </c>
      <c r="W70" s="1">
        <f t="shared" si="65"/>
        <v>1</v>
      </c>
      <c r="X70" s="1">
        <f t="shared" si="66"/>
        <v>1</v>
      </c>
      <c r="Y70" s="1">
        <f t="shared" si="67"/>
        <v>1</v>
      </c>
      <c r="Z70" s="1">
        <f t="shared" si="68"/>
        <v>1</v>
      </c>
      <c r="AA70" s="1">
        <f t="shared" si="92"/>
        <v>1</v>
      </c>
      <c r="AB70" s="1">
        <f t="shared" si="70"/>
        <v>1</v>
      </c>
      <c r="AC70" s="1">
        <f t="shared" si="97"/>
        <v>1</v>
      </c>
      <c r="AD70" s="1">
        <f>ROUNDDOWN(I70*(1+IF(F70=3,0.05+方案参数!$Y$4+AA70*0.12,IF(F70=4,方案参数!$BZ$4*方案参数!$AS$4,0)))+IF(AND(X70=1,F70&lt;&gt;3),方案参数!$CC$4,0)+AC70*方案参数!$CB$4,0)</f>
        <v>3034</v>
      </c>
      <c r="AE70" s="1">
        <f>IF(OR(F70=1,F70=4),配置与结果!$B$24,配置与结果!$B$25)*MAX(0,1-INDEX(配置与结果!$I$15:$I$18,F70))</f>
        <v>1200</v>
      </c>
      <c r="AF70" s="1">
        <f>方案参数!$BL$4</f>
        <v>15</v>
      </c>
      <c r="AG70" s="1">
        <f>MAX(配置与结果!$B$32,1+INDEX(配置与结果!$F$15:$F$18,F70)+0.08+方案参数!$CD$4+Q70*方案参数!$W$4+Y70*(方案参数!$AN$4+MIN(方案参数!$AO$4,P70*0.03))+AB70*方案参数!$BZ$4*0.025-配置与结果!$B$28+方案参数!$AE$4)</f>
        <v>2.6150000000000002</v>
      </c>
      <c r="AH70" s="1">
        <f>MAX(0,1+V70*方案参数!$U$4+5*方案参数!$V$4+方案参数!$AE$4-配置与结果!$B$29)</f>
        <v>1.8599999999999999</v>
      </c>
      <c r="AI70" s="1">
        <f>IF(OR(INDEX(配置与结果!$K$15:$K$18,F70)=1,G70="RHI_BERRY"),1+配置与结果!$B$33+P70*方案参数!$AH$4,1)</f>
        <v>1</v>
      </c>
      <c r="AJ70" s="1">
        <f>MIN(1,MAX(0,J70+方案参数!$AB$4-配置与结果!$B$27))</f>
        <v>1</v>
      </c>
      <c r="AK70" s="1">
        <f>MAX(1,K70+IF(F70=2,0.15+方案参数!$CH$4,0)+BN70*方案参数!$X$4+R70*方案参数!$AA$4+方案参数!$BP$4-配置与结果!$B$26+Z70*(方案参数!$AP$4+MIN(方案参数!$AQ$4,P70*0.03)))</f>
        <v>2.7650000000000001</v>
      </c>
      <c r="AL70" s="7">
        <f>ROUNDDOWN(MAX(AD70*配置与结果!$B$31,AD70-AE70)*AF70*AG70*AH70*AI70,0)</f>
        <v>133805</v>
      </c>
      <c r="AM70" s="7">
        <f>ROUNDDOWN(MAX(AD70*配置与结果!$B$31,AD70-AE70)*AF70*AG70*AH70*AI70*AK70,0)</f>
        <v>369973</v>
      </c>
      <c r="AN70" s="7">
        <f t="shared" ref="AN70:AN133" si="104">AL70*(1-AJ70)+AM70*AJ70</f>
        <v>369973</v>
      </c>
      <c r="AO70" s="7">
        <f>0</f>
        <v>0</v>
      </c>
      <c r="AP70" s="7">
        <f>MAX(0,1+INDEX(配置与结果!$J$15:$J$18,F70)+IF(T70&gt;0,方案参数!$BY$4,0)-配置与结果!$B$30)</f>
        <v>1</v>
      </c>
      <c r="AQ70" s="7">
        <f t="shared" ref="AQ70:AQ133" si="105">ROUNDDOWN(ROUNDDOWN(AD70*AO70,0)*AP70,0)</f>
        <v>0</v>
      </c>
      <c r="AR70" s="7">
        <f t="shared" ref="AR70:AR133" si="106">ROUNDDOWN(ROUNDDOWN(AD70*AO70,0)*AP70*AK70,0)</f>
        <v>0</v>
      </c>
      <c r="AS70" s="7">
        <f t="shared" ref="AS70:AS133" si="107">AQ70*(1-AJ70)+AR70*AJ70</f>
        <v>0</v>
      </c>
      <c r="AT70" s="7">
        <f>IF(U70&gt;0,ROUNDDOWN(AL70*方案参数!$AF$4,0)*(1-AJ70)+ROUNDDOWN(AM70*方案参数!$AF$4,0)*AJ70,0)</f>
        <v>0</v>
      </c>
      <c r="AU70" s="7">
        <f t="shared" ref="AU70:AU133" si="108">AN70+AS70+AT70</f>
        <v>369973</v>
      </c>
      <c r="AV70" s="1">
        <f t="shared" ref="AV70:AV133" si="109">IF(G70="LILYA_COBRA",IF(L70=0,1,L70),L70)</f>
        <v>2</v>
      </c>
      <c r="AW70" s="1">
        <f t="shared" si="102"/>
        <v>10</v>
      </c>
      <c r="AX70" s="1">
        <f t="shared" ref="AX70:AX133" si="110">N70</f>
        <v>1</v>
      </c>
      <c r="AY70" s="1">
        <f>MIN(20,MAX(0,O70+0+1-0))</f>
        <v>5</v>
      </c>
      <c r="AZ70" s="1">
        <f t="shared" ref="AZ70:AZ133" si="111">P70</f>
        <v>5</v>
      </c>
      <c r="BA70" s="1">
        <f t="shared" si="93"/>
        <v>5</v>
      </c>
      <c r="BB70" s="1">
        <f t="shared" si="101"/>
        <v>20</v>
      </c>
      <c r="BC70" s="1">
        <f t="shared" si="99"/>
        <v>3</v>
      </c>
      <c r="BD70" s="1">
        <f t="shared" si="80"/>
        <v>0</v>
      </c>
      <c r="BE70" s="1">
        <f>MAX(0,U70-IF(AF70&gt;0,1,0))+0</f>
        <v>0</v>
      </c>
      <c r="BF70" s="1">
        <f t="shared" si="103"/>
        <v>4</v>
      </c>
      <c r="BG70" s="1">
        <f t="shared" si="90"/>
        <v>1</v>
      </c>
      <c r="BH70" s="1">
        <f t="shared" si="74"/>
        <v>1</v>
      </c>
      <c r="BI70" s="1">
        <f t="shared" si="91"/>
        <v>1</v>
      </c>
      <c r="BJ70" s="1">
        <f t="shared" si="94"/>
        <v>1</v>
      </c>
      <c r="BK70" s="1">
        <f t="shared" si="95"/>
        <v>1</v>
      </c>
      <c r="BL70" s="1">
        <f t="shared" si="100"/>
        <v>1</v>
      </c>
      <c r="BM70" s="1">
        <f t="shared" si="98"/>
        <v>1</v>
      </c>
      <c r="BN70" s="1">
        <f t="shared" si="75"/>
        <v>1</v>
      </c>
      <c r="BO70" s="1">
        <f t="shared" si="76"/>
        <v>1</v>
      </c>
    </row>
    <row r="71" spans="1:67" ht="30.95" customHeight="1">
      <c r="A71" s="1">
        <f>1</f>
        <v>1</v>
      </c>
      <c r="B71" s="1">
        <f>固定流程!A35</f>
        <v>30</v>
      </c>
      <c r="C71" s="1">
        <f>4</f>
        <v>4</v>
      </c>
      <c r="D71" s="1">
        <f>2</f>
        <v>2</v>
      </c>
      <c r="E71" s="1">
        <f>固定流程!C35</f>
        <v>3</v>
      </c>
      <c r="F71" s="1">
        <f>固定流程!G35</f>
        <v>2</v>
      </c>
      <c r="G71" s="1" t="str">
        <f>固定流程!H35</f>
        <v>37_WEAK</v>
      </c>
      <c r="H71" s="1">
        <f>固定流程!F35</f>
        <v>1</v>
      </c>
      <c r="I71" s="1">
        <f>INDEX(配置与结果!$B$15:$B$18,F71)</f>
        <v>2306</v>
      </c>
      <c r="J71" s="1">
        <f>INDEX(配置与结果!$D$15:$D$18,F71)</f>
        <v>0.46</v>
      </c>
      <c r="K71" s="1">
        <f>INDEX(配置与结果!$E$15:$E$18,F71)</f>
        <v>1.9279999999999999</v>
      </c>
      <c r="L71" s="1">
        <f t="shared" si="87"/>
        <v>2</v>
      </c>
      <c r="M71" s="1">
        <f t="shared" si="88"/>
        <v>10</v>
      </c>
      <c r="N71" s="1">
        <f t="shared" si="89"/>
        <v>1</v>
      </c>
      <c r="O71" s="1">
        <f t="shared" si="81"/>
        <v>5</v>
      </c>
      <c r="P71" s="1">
        <f>MIN(方案参数!$AI$4,AZ70+0+0)</f>
        <v>5</v>
      </c>
      <c r="Q71" s="1">
        <f t="shared" si="59"/>
        <v>5</v>
      </c>
      <c r="R71" s="1">
        <f t="shared" si="60"/>
        <v>20</v>
      </c>
      <c r="S71" s="1">
        <f t="shared" si="61"/>
        <v>3</v>
      </c>
      <c r="T71" s="1">
        <f t="shared" si="96"/>
        <v>0</v>
      </c>
      <c r="U71" s="1">
        <f t="shared" si="63"/>
        <v>0</v>
      </c>
      <c r="V71" s="1">
        <f t="shared" si="64"/>
        <v>4</v>
      </c>
      <c r="W71" s="1">
        <f t="shared" si="65"/>
        <v>1</v>
      </c>
      <c r="X71" s="1">
        <f t="shared" si="66"/>
        <v>1</v>
      </c>
      <c r="Y71" s="1">
        <f t="shared" si="67"/>
        <v>1</v>
      </c>
      <c r="Z71" s="1">
        <f t="shared" si="68"/>
        <v>1</v>
      </c>
      <c r="AA71" s="1">
        <f t="shared" si="92"/>
        <v>1</v>
      </c>
      <c r="AB71" s="1">
        <f t="shared" si="70"/>
        <v>1</v>
      </c>
      <c r="AC71" s="1">
        <f t="shared" si="97"/>
        <v>1</v>
      </c>
      <c r="AD71" s="1">
        <f>ROUNDDOWN(I71*(1+IF(F71=3,0.05+方案参数!$Y$4+AA71*0.12,IF(F71=4,方案参数!$BZ$4*方案参数!$AS$4,0)))+IF(AND(X71=1,F71&lt;&gt;3),方案参数!$CC$4,0)+AC71*方案参数!$CB$4,0)</f>
        <v>3044</v>
      </c>
      <c r="AE71" s="1">
        <f>IF(OR(F71=1,F71=4),配置与结果!$B$24,配置与结果!$B$25)*MAX(0,1-INDEX(配置与结果!$I$15:$I$18,F71))</f>
        <v>1000</v>
      </c>
      <c r="AF71" s="1">
        <f>方案参数!$CE$4</f>
        <v>8</v>
      </c>
      <c r="AG71" s="1">
        <f>MAX(配置与结果!$B$32,1+INDEX(配置与结果!$F$15:$F$18,F71)+0+Q71*方案参数!$W$4+Y71*(方案参数!$AN$4+MIN(方案参数!$AO$4,P71*0.03))+AB71*方案参数!$BZ$4*0.025-配置与结果!$B$28+方案参数!$AE$4)</f>
        <v>2.2800000000000002</v>
      </c>
      <c r="AH71" s="1">
        <f>MAX(0,1+V71*方案参数!$U$4+方案参数!$AE$4-配置与结果!$B$29)</f>
        <v>1.56</v>
      </c>
      <c r="AI71" s="1">
        <f>IF(OR(INDEX(配置与结果!$K$15:$K$18,F71)=1,G71="RHI_BERRY"),1+配置与结果!$B$33+P71*方案参数!$AH$4,1)</f>
        <v>1</v>
      </c>
      <c r="AJ71" s="1">
        <f>MIN(1,MAX(0,J71+方案参数!$AB$4-配置与结果!$B$27))</f>
        <v>0.76</v>
      </c>
      <c r="AK71" s="1">
        <f>MAX(1,K71+IF(F71=2,0.15+方案参数!$CH$4,0)+BN71*方案参数!$X$4+R71*方案参数!$AA$4+0-配置与结果!$B$26+Z71*(方案参数!$AP$4+MIN(方案参数!$AQ$4,P71*0.03)))</f>
        <v>2.3380000000000001</v>
      </c>
      <c r="AL71" s="7">
        <f>ROUNDDOWN(MAX(AD71*配置与结果!$B$31,AD71-AE71)*AF71*AG71*AH71*AI71,0)</f>
        <v>58160</v>
      </c>
      <c r="AM71" s="7">
        <f>ROUNDDOWN(MAX(AD71*配置与结果!$B$31,AD71-AE71)*AF71*AG71*AH71*AI71*AK71,0)</f>
        <v>135979</v>
      </c>
      <c r="AN71" s="7">
        <f t="shared" si="104"/>
        <v>117302.44</v>
      </c>
      <c r="AO71" s="7">
        <f>0</f>
        <v>0</v>
      </c>
      <c r="AP71" s="7">
        <f>MAX(0,1+INDEX(配置与结果!$J$15:$J$18,F71)+IF(T71&gt;0,方案参数!$BY$4,0)-配置与结果!$B$30)</f>
        <v>1</v>
      </c>
      <c r="AQ71" s="7">
        <f t="shared" si="105"/>
        <v>0</v>
      </c>
      <c r="AR71" s="7">
        <f t="shared" si="106"/>
        <v>0</v>
      </c>
      <c r="AS71" s="7">
        <f t="shared" si="107"/>
        <v>0</v>
      </c>
      <c r="AT71" s="7">
        <f>IF(U71&gt;0,ROUNDDOWN(AL71*方案参数!$AF$4,0)*(1-AJ71)+ROUNDDOWN(AM71*方案参数!$AF$4,0)*AJ71,0)</f>
        <v>0</v>
      </c>
      <c r="AU71" s="7">
        <f t="shared" si="108"/>
        <v>117302.44</v>
      </c>
      <c r="AV71" s="1">
        <f t="shared" si="109"/>
        <v>2</v>
      </c>
      <c r="AW71" s="1">
        <f t="shared" si="102"/>
        <v>10</v>
      </c>
      <c r="AX71" s="1">
        <f t="shared" si="110"/>
        <v>1</v>
      </c>
      <c r="AY71" s="1">
        <f>MIN(20,MAX(0,O71+0+0-0))</f>
        <v>5</v>
      </c>
      <c r="AZ71" s="1">
        <f t="shared" si="111"/>
        <v>5</v>
      </c>
      <c r="BA71" s="1">
        <f t="shared" si="93"/>
        <v>5</v>
      </c>
      <c r="BB71" s="1">
        <f t="shared" si="101"/>
        <v>20</v>
      </c>
      <c r="BC71" s="1">
        <f t="shared" si="99"/>
        <v>3</v>
      </c>
      <c r="BD71" s="1">
        <f t="shared" si="80"/>
        <v>0</v>
      </c>
      <c r="BE71" s="1">
        <f>MAX(0,U71-IF(AF71&gt;0,1,0))+1</f>
        <v>1</v>
      </c>
      <c r="BF71" s="1">
        <f t="shared" si="103"/>
        <v>4</v>
      </c>
      <c r="BG71" s="1">
        <f t="shared" si="90"/>
        <v>1</v>
      </c>
      <c r="BH71" s="1">
        <f t="shared" si="74"/>
        <v>1</v>
      </c>
      <c r="BI71" s="1">
        <f t="shared" si="91"/>
        <v>1</v>
      </c>
      <c r="BJ71" s="1">
        <f t="shared" si="94"/>
        <v>1</v>
      </c>
      <c r="BK71" s="1">
        <f t="shared" si="95"/>
        <v>1</v>
      </c>
      <c r="BL71" s="1">
        <f t="shared" si="100"/>
        <v>1</v>
      </c>
      <c r="BM71" s="1">
        <f t="shared" si="98"/>
        <v>1</v>
      </c>
      <c r="BN71" s="1">
        <f t="shared" si="75"/>
        <v>1</v>
      </c>
      <c r="BO71" s="1">
        <f t="shared" si="76"/>
        <v>1</v>
      </c>
    </row>
    <row r="72" spans="1:67" ht="30.95" customHeight="1">
      <c r="A72" s="1">
        <f>1</f>
        <v>1</v>
      </c>
      <c r="B72" s="1">
        <f>固定流程!A36</f>
        <v>31</v>
      </c>
      <c r="C72" s="1">
        <f>4</f>
        <v>4</v>
      </c>
      <c r="D72" s="1">
        <f>2</f>
        <v>2</v>
      </c>
      <c r="E72" s="1">
        <f>固定流程!C36</f>
        <v>3</v>
      </c>
      <c r="F72" s="1">
        <f>固定流程!G36</f>
        <v>1</v>
      </c>
      <c r="G72" s="1" t="str">
        <f>固定流程!H36</f>
        <v>LILYA_THIRD</v>
      </c>
      <c r="H72" s="1">
        <f>固定流程!F36</f>
        <v>1</v>
      </c>
      <c r="I72" s="1">
        <f>INDEX(配置与结果!$B$15:$B$18,F72)</f>
        <v>2296</v>
      </c>
      <c r="J72" s="1">
        <f>INDEX(配置与结果!$D$15:$D$18,F72)</f>
        <v>0.7</v>
      </c>
      <c r="K72" s="1">
        <f>INDEX(配置与结果!$E$15:$E$18,F72)</f>
        <v>2.0249999999999999</v>
      </c>
      <c r="L72" s="1">
        <f t="shared" si="87"/>
        <v>2</v>
      </c>
      <c r="M72" s="1">
        <f t="shared" si="88"/>
        <v>10</v>
      </c>
      <c r="N72" s="1">
        <f t="shared" si="89"/>
        <v>1</v>
      </c>
      <c r="O72" s="1">
        <f t="shared" si="81"/>
        <v>5</v>
      </c>
      <c r="P72" s="1">
        <f>MIN(方案参数!$AI$4,AZ71+0+0)</f>
        <v>5</v>
      </c>
      <c r="Q72" s="1">
        <f t="shared" si="59"/>
        <v>5</v>
      </c>
      <c r="R72" s="1">
        <f t="shared" si="60"/>
        <v>20</v>
      </c>
      <c r="S72" s="1">
        <f t="shared" si="61"/>
        <v>3</v>
      </c>
      <c r="T72" s="1">
        <f t="shared" si="96"/>
        <v>0</v>
      </c>
      <c r="U72" s="1">
        <f t="shared" si="63"/>
        <v>1</v>
      </c>
      <c r="V72" s="1">
        <f t="shared" si="64"/>
        <v>4</v>
      </c>
      <c r="W72" s="1">
        <f t="shared" si="65"/>
        <v>1</v>
      </c>
      <c r="X72" s="1">
        <f t="shared" si="66"/>
        <v>1</v>
      </c>
      <c r="Y72" s="1">
        <f t="shared" si="67"/>
        <v>1</v>
      </c>
      <c r="Z72" s="1">
        <f t="shared" si="68"/>
        <v>1</v>
      </c>
      <c r="AA72" s="1">
        <f t="shared" si="92"/>
        <v>1</v>
      </c>
      <c r="AB72" s="1">
        <f t="shared" si="70"/>
        <v>1</v>
      </c>
      <c r="AC72" s="1">
        <f t="shared" si="97"/>
        <v>1</v>
      </c>
      <c r="AD72" s="1">
        <f>ROUNDDOWN(I72*(1+IF(F72=3,0.05+方案参数!$Y$4+AA72*0.12,IF(F72=4,方案参数!$BZ$4*方案参数!$AS$4,0)))+IF(AND(X72=1,F72&lt;&gt;3),方案参数!$CC$4,0)+AC72*方案参数!$CB$4,0)</f>
        <v>3034</v>
      </c>
      <c r="AE72" s="1">
        <f>IF(OR(F72=1,F72=4),配置与结果!$B$24,配置与结果!$B$25)*MAX(0,1-INDEX(配置与结果!$I$15:$I$18,F72))</f>
        <v>1200</v>
      </c>
      <c r="AF72" s="1">
        <f>方案参数!$BM$4</f>
        <v>32</v>
      </c>
      <c r="AG72" s="1">
        <f>MAX(配置与结果!$B$32,1+INDEX(配置与结果!$F$15:$F$18,F72)+0.08+方案参数!$CD$4+Q72*方案参数!$W$4+Y72*(方案参数!$AN$4+MIN(方案参数!$AO$4,P72*0.03))+AB72*方案参数!$BZ$4*0.025-配置与结果!$B$28+方案参数!$AE$4)</f>
        <v>2.6150000000000002</v>
      </c>
      <c r="AH72" s="1">
        <f>MAX(0,1+V72*方案参数!$U$4+7*方案参数!$V$4+方案参数!$AE$4-配置与结果!$B$29)</f>
        <v>1.98</v>
      </c>
      <c r="AI72" s="1">
        <f>IF(OR(INDEX(配置与结果!$K$15:$K$18,F72)=1,G72="RHI_BERRY"),1+配置与结果!$B$33+P72*方案参数!$AH$4,1)</f>
        <v>1</v>
      </c>
      <c r="AJ72" s="1">
        <f>MIN(1,MAX(0,J72+方案参数!$AB$4-配置与结果!$B$27))</f>
        <v>1</v>
      </c>
      <c r="AK72" s="1">
        <f>MAX(1,K72+IF(F72=2,0.15+方案参数!$CH$4,0)+BN72*方案参数!$X$4+R72*方案参数!$AA$4+方案参数!$BQ$4-配置与结果!$B$26+Z72*(方案参数!$AP$4+MIN(方案参数!$AQ$4,P72*0.03)))</f>
        <v>2.9650000000000003</v>
      </c>
      <c r="AL72" s="7">
        <f>ROUNDDOWN(MAX(AD72*配置与结果!$B$31,AD72-AE72)*AF72*AG72*AH72*AI72,0)</f>
        <v>303868</v>
      </c>
      <c r="AM72" s="7">
        <f>ROUNDDOWN(MAX(AD72*配置与结果!$B$31,AD72-AE72)*AF72*AG72*AH72*AI72*AK72,0)</f>
        <v>900971</v>
      </c>
      <c r="AN72" s="7">
        <f t="shared" si="104"/>
        <v>900971</v>
      </c>
      <c r="AO72" s="7">
        <f>0</f>
        <v>0</v>
      </c>
      <c r="AP72" s="7">
        <f>MAX(0,1+INDEX(配置与结果!$J$15:$J$18,F72)+IF(T72&gt;0,方案参数!$BY$4,0)-配置与结果!$B$30)</f>
        <v>1</v>
      </c>
      <c r="AQ72" s="7">
        <f t="shared" si="105"/>
        <v>0</v>
      </c>
      <c r="AR72" s="7">
        <f t="shared" si="106"/>
        <v>0</v>
      </c>
      <c r="AS72" s="7">
        <f t="shared" si="107"/>
        <v>0</v>
      </c>
      <c r="AT72" s="7">
        <f>IF(U72&gt;0,ROUNDDOWN(AL72*方案参数!$AF$4,0)*(1-AJ72)+ROUNDDOWN(AM72*方案参数!$AF$4,0)*AJ72,0)</f>
        <v>360388</v>
      </c>
      <c r="AU72" s="7">
        <f t="shared" si="108"/>
        <v>1261359</v>
      </c>
      <c r="AV72" s="1">
        <f t="shared" si="109"/>
        <v>2</v>
      </c>
      <c r="AW72" s="1">
        <f t="shared" si="102"/>
        <v>10</v>
      </c>
      <c r="AX72" s="1">
        <f t="shared" si="110"/>
        <v>1</v>
      </c>
      <c r="AY72" s="1">
        <f>MIN(20,MAX(0,O72+0+1-0))</f>
        <v>6</v>
      </c>
      <c r="AZ72" s="1">
        <f t="shared" si="111"/>
        <v>5</v>
      </c>
      <c r="BA72" s="1">
        <f t="shared" si="93"/>
        <v>5</v>
      </c>
      <c r="BB72" s="1">
        <f t="shared" si="101"/>
        <v>20</v>
      </c>
      <c r="BC72" s="1">
        <f t="shared" si="99"/>
        <v>3</v>
      </c>
      <c r="BD72" s="1">
        <f t="shared" si="80"/>
        <v>0</v>
      </c>
      <c r="BE72" s="1">
        <f>MAX(0,U72-IF(AF72&gt;0,1,0))+0</f>
        <v>0</v>
      </c>
      <c r="BF72" s="1">
        <f t="shared" si="103"/>
        <v>4</v>
      </c>
      <c r="BG72" s="1">
        <f t="shared" si="90"/>
        <v>1</v>
      </c>
      <c r="BH72" s="1">
        <f t="shared" si="74"/>
        <v>1</v>
      </c>
      <c r="BI72" s="1">
        <f t="shared" si="91"/>
        <v>1</v>
      </c>
      <c r="BJ72" s="1">
        <f t="shared" si="94"/>
        <v>1</v>
      </c>
      <c r="BK72" s="1">
        <f t="shared" si="95"/>
        <v>1</v>
      </c>
      <c r="BL72" s="1">
        <f t="shared" si="100"/>
        <v>1</v>
      </c>
      <c r="BM72" s="1">
        <f t="shared" si="98"/>
        <v>1</v>
      </c>
      <c r="BN72" s="1">
        <f t="shared" si="75"/>
        <v>1</v>
      </c>
      <c r="BO72" s="1">
        <f t="shared" si="76"/>
        <v>1</v>
      </c>
    </row>
    <row r="73" spans="1:67" ht="30.95" customHeight="1">
      <c r="A73" s="1">
        <f>1</f>
        <v>1</v>
      </c>
      <c r="B73" s="1">
        <f>固定流程!A37</f>
        <v>32</v>
      </c>
      <c r="C73" s="1">
        <f>4</f>
        <v>4</v>
      </c>
      <c r="D73" s="1">
        <f>2</f>
        <v>2</v>
      </c>
      <c r="E73" s="1">
        <f>固定流程!C37</f>
        <v>3</v>
      </c>
      <c r="F73" s="1">
        <f>固定流程!G37</f>
        <v>1</v>
      </c>
      <c r="G73" s="1" t="str">
        <f>固定流程!H37</f>
        <v>LILYA_WEAK</v>
      </c>
      <c r="H73" s="1">
        <f>固定流程!F37</f>
        <v>1</v>
      </c>
      <c r="I73" s="1">
        <f>INDEX(配置与结果!$B$15:$B$18,F73)</f>
        <v>2296</v>
      </c>
      <c r="J73" s="1">
        <f>INDEX(配置与结果!$D$15:$D$18,F73)</f>
        <v>0.7</v>
      </c>
      <c r="K73" s="1">
        <f>INDEX(配置与结果!$E$15:$E$18,F73)</f>
        <v>2.0249999999999999</v>
      </c>
      <c r="L73" s="1">
        <f t="shared" si="87"/>
        <v>2</v>
      </c>
      <c r="M73" s="1">
        <f t="shared" si="88"/>
        <v>10</v>
      </c>
      <c r="N73" s="1">
        <f t="shared" si="89"/>
        <v>1</v>
      </c>
      <c r="O73" s="1">
        <f t="shared" si="81"/>
        <v>6</v>
      </c>
      <c r="P73" s="1">
        <f>MIN(方案参数!$AI$4,AZ72+0+0)</f>
        <v>5</v>
      </c>
      <c r="Q73" s="1">
        <f t="shared" si="59"/>
        <v>5</v>
      </c>
      <c r="R73" s="1">
        <f t="shared" si="60"/>
        <v>20</v>
      </c>
      <c r="S73" s="1">
        <f t="shared" si="61"/>
        <v>3</v>
      </c>
      <c r="T73" s="1">
        <f t="shared" si="96"/>
        <v>0</v>
      </c>
      <c r="U73" s="1">
        <f t="shared" si="63"/>
        <v>0</v>
      </c>
      <c r="V73" s="1">
        <f t="shared" si="64"/>
        <v>4</v>
      </c>
      <c r="W73" s="1">
        <f t="shared" si="65"/>
        <v>1</v>
      </c>
      <c r="X73" s="1">
        <f t="shared" si="66"/>
        <v>1</v>
      </c>
      <c r="Y73" s="1">
        <f t="shared" si="67"/>
        <v>1</v>
      </c>
      <c r="Z73" s="1">
        <f t="shared" si="68"/>
        <v>1</v>
      </c>
      <c r="AA73" s="1">
        <f t="shared" si="92"/>
        <v>1</v>
      </c>
      <c r="AB73" s="1">
        <f t="shared" si="70"/>
        <v>1</v>
      </c>
      <c r="AC73" s="1">
        <f t="shared" si="97"/>
        <v>1</v>
      </c>
      <c r="AD73" s="1">
        <f>ROUNDDOWN(I73*(1+IF(F73=3,0.05+方案参数!$Y$4+AA73*0.12,IF(F73=4,方案参数!$BZ$4*方案参数!$AS$4,0)))+IF(AND(X73=1,F73&lt;&gt;3),方案参数!$CC$4,0)+AC73*方案参数!$CB$4,0)</f>
        <v>3034</v>
      </c>
      <c r="AE73" s="1">
        <f>IF(OR(F73=1,F73=4),配置与结果!$B$24,配置与结果!$B$25)*MAX(0,1-INDEX(配置与结果!$I$15:$I$18,F73))</f>
        <v>1200</v>
      </c>
      <c r="AF73" s="1">
        <f>方案参数!$BL$4</f>
        <v>15</v>
      </c>
      <c r="AG73" s="1">
        <f>MAX(配置与结果!$B$32,1+INDEX(配置与结果!$F$15:$F$18,F73)+0.08+方案参数!$CD$4+Q73*方案参数!$W$4+Y73*(方案参数!$AN$4+MIN(方案参数!$AO$4,P73*0.03))+AB73*方案参数!$BZ$4*0.025-配置与结果!$B$28+方案参数!$AE$4)</f>
        <v>2.6150000000000002</v>
      </c>
      <c r="AH73" s="1">
        <f>MAX(0,1+V73*方案参数!$U$4+8*方案参数!$V$4+方案参数!$AE$4-配置与结果!$B$29)</f>
        <v>2.04</v>
      </c>
      <c r="AI73" s="1">
        <f>IF(OR(INDEX(配置与结果!$K$15:$K$18,F73)=1,G73="RHI_BERRY"),1+配置与结果!$B$33+P73*方案参数!$AH$4,1)</f>
        <v>1</v>
      </c>
      <c r="AJ73" s="1">
        <f>MIN(1,MAX(0,J73+方案参数!$AB$4-配置与结果!$B$27))</f>
        <v>1</v>
      </c>
      <c r="AK73" s="1">
        <f>MAX(1,K73+IF(F73=2,0.15+方案参数!$CH$4,0)+BN73*方案参数!$X$4+R73*方案参数!$AA$4+方案参数!$BP$4-配置与结果!$B$26+Z73*(方案参数!$AP$4+MIN(方案参数!$AQ$4,P73*0.03)))</f>
        <v>2.7650000000000001</v>
      </c>
      <c r="AL73" s="7">
        <f>ROUNDDOWN(MAX(AD73*配置与结果!$B$31,AD73-AE73)*AF73*AG73*AH73*AI73,0)</f>
        <v>146754</v>
      </c>
      <c r="AM73" s="7">
        <f>ROUNDDOWN(MAX(AD73*配置与结果!$B$31,AD73-AE73)*AF73*AG73*AH73*AI73*AK73,0)</f>
        <v>405777</v>
      </c>
      <c r="AN73" s="7">
        <f t="shared" si="104"/>
        <v>405777</v>
      </c>
      <c r="AO73" s="7">
        <f>0</f>
        <v>0</v>
      </c>
      <c r="AP73" s="7">
        <f>MAX(0,1+INDEX(配置与结果!$J$15:$J$18,F73)+IF(T73&gt;0,方案参数!$BY$4,0)-配置与结果!$B$30)</f>
        <v>1</v>
      </c>
      <c r="AQ73" s="7">
        <f t="shared" si="105"/>
        <v>0</v>
      </c>
      <c r="AR73" s="7">
        <f t="shared" si="106"/>
        <v>0</v>
      </c>
      <c r="AS73" s="7">
        <f t="shared" si="107"/>
        <v>0</v>
      </c>
      <c r="AT73" s="7">
        <f>IF(U73&gt;0,ROUNDDOWN(AL73*方案参数!$AF$4,0)*(1-AJ73)+ROUNDDOWN(AM73*方案参数!$AF$4,0)*AJ73,0)</f>
        <v>0</v>
      </c>
      <c r="AU73" s="7">
        <f t="shared" si="108"/>
        <v>405777</v>
      </c>
      <c r="AV73" s="1">
        <f t="shared" si="109"/>
        <v>2</v>
      </c>
      <c r="AW73" s="1">
        <f t="shared" si="102"/>
        <v>10</v>
      </c>
      <c r="AX73" s="1">
        <f t="shared" si="110"/>
        <v>1</v>
      </c>
      <c r="AY73" s="1">
        <f>MIN(20,MAX(0,O73+0+1-0))</f>
        <v>7</v>
      </c>
      <c r="AZ73" s="1">
        <f t="shared" si="111"/>
        <v>5</v>
      </c>
      <c r="BA73" s="1">
        <f t="shared" si="93"/>
        <v>5</v>
      </c>
      <c r="BB73" s="1">
        <f t="shared" si="101"/>
        <v>20</v>
      </c>
      <c r="BC73" s="1">
        <f t="shared" si="99"/>
        <v>3</v>
      </c>
      <c r="BD73" s="1">
        <f t="shared" si="80"/>
        <v>0</v>
      </c>
      <c r="BE73" s="1">
        <f>MAX(0,U73-IF(AF73&gt;0,1,0))+0</f>
        <v>0</v>
      </c>
      <c r="BF73" s="1">
        <f t="shared" si="103"/>
        <v>4</v>
      </c>
      <c r="BG73" s="1">
        <f t="shared" si="90"/>
        <v>1</v>
      </c>
      <c r="BH73" s="1">
        <f t="shared" si="74"/>
        <v>1</v>
      </c>
      <c r="BI73" s="1">
        <f t="shared" si="91"/>
        <v>1</v>
      </c>
      <c r="BJ73" s="1">
        <f t="shared" si="94"/>
        <v>1</v>
      </c>
      <c r="BK73" s="1">
        <f t="shared" si="95"/>
        <v>1</v>
      </c>
      <c r="BL73" s="1">
        <f t="shared" si="100"/>
        <v>1</v>
      </c>
      <c r="BM73" s="1">
        <f t="shared" si="98"/>
        <v>1</v>
      </c>
      <c r="BN73" s="1">
        <f t="shared" si="75"/>
        <v>1</v>
      </c>
      <c r="BO73" s="1">
        <f t="shared" si="76"/>
        <v>1</v>
      </c>
    </row>
    <row r="74" spans="1:67" ht="30.95" customHeight="1">
      <c r="A74" s="1">
        <f>1</f>
        <v>1</v>
      </c>
      <c r="B74" s="1">
        <f>固定流程!A38</f>
        <v>33</v>
      </c>
      <c r="C74" s="1">
        <f>4</f>
        <v>4</v>
      </c>
      <c r="D74" s="1">
        <f>2</f>
        <v>2</v>
      </c>
      <c r="E74" s="1">
        <f>固定流程!C38</f>
        <v>3</v>
      </c>
      <c r="F74" s="1">
        <f>固定流程!G38</f>
        <v>1</v>
      </c>
      <c r="G74" s="1" t="str">
        <f>固定流程!H38</f>
        <v>LILYA_WEAK</v>
      </c>
      <c r="H74" s="1">
        <f>固定流程!F38</f>
        <v>1</v>
      </c>
      <c r="I74" s="1">
        <f>INDEX(配置与结果!$B$15:$B$18,F74)</f>
        <v>2296</v>
      </c>
      <c r="J74" s="1">
        <f>INDEX(配置与结果!$D$15:$D$18,F74)</f>
        <v>0.7</v>
      </c>
      <c r="K74" s="1">
        <f>INDEX(配置与结果!$E$15:$E$18,F74)</f>
        <v>2.0249999999999999</v>
      </c>
      <c r="L74" s="1">
        <f t="shared" si="87"/>
        <v>2</v>
      </c>
      <c r="M74" s="1">
        <f t="shared" si="88"/>
        <v>10</v>
      </c>
      <c r="N74" s="1">
        <f t="shared" si="89"/>
        <v>1</v>
      </c>
      <c r="O74" s="1">
        <f t="shared" si="81"/>
        <v>7</v>
      </c>
      <c r="P74" s="1">
        <f>MIN(方案参数!$AI$4,AZ73+0+0)</f>
        <v>5</v>
      </c>
      <c r="Q74" s="1">
        <f t="shared" si="59"/>
        <v>5</v>
      </c>
      <c r="R74" s="1">
        <f t="shared" si="60"/>
        <v>20</v>
      </c>
      <c r="S74" s="1">
        <f t="shared" si="61"/>
        <v>3</v>
      </c>
      <c r="T74" s="1">
        <f t="shared" si="96"/>
        <v>0</v>
      </c>
      <c r="U74" s="1">
        <f t="shared" si="63"/>
        <v>0</v>
      </c>
      <c r="V74" s="1">
        <f t="shared" si="64"/>
        <v>4</v>
      </c>
      <c r="W74" s="1">
        <f t="shared" si="65"/>
        <v>1</v>
      </c>
      <c r="X74" s="1">
        <f t="shared" si="66"/>
        <v>1</v>
      </c>
      <c r="Y74" s="1">
        <f t="shared" si="67"/>
        <v>1</v>
      </c>
      <c r="Z74" s="1">
        <f t="shared" si="68"/>
        <v>1</v>
      </c>
      <c r="AA74" s="1">
        <f t="shared" si="92"/>
        <v>1</v>
      </c>
      <c r="AB74" s="1">
        <f t="shared" si="70"/>
        <v>1</v>
      </c>
      <c r="AC74" s="1">
        <f t="shared" si="97"/>
        <v>1</v>
      </c>
      <c r="AD74" s="1">
        <f>ROUNDDOWN(I74*(1+IF(F74=3,0.05+方案参数!$Y$4+AA74*0.12,IF(F74=4,方案参数!$BZ$4*方案参数!$AS$4,0)))+IF(AND(X74=1,F74&lt;&gt;3),方案参数!$CC$4,0)+AC74*方案参数!$CB$4,0)</f>
        <v>3034</v>
      </c>
      <c r="AE74" s="1">
        <f>IF(OR(F74=1,F74=4),配置与结果!$B$24,配置与结果!$B$25)*MAX(0,1-INDEX(配置与结果!$I$15:$I$18,F74))</f>
        <v>1200</v>
      </c>
      <c r="AF74" s="1">
        <f>方案参数!$BL$4</f>
        <v>15</v>
      </c>
      <c r="AG74" s="1">
        <f>MAX(配置与结果!$B$32,1+INDEX(配置与结果!$F$15:$F$18,F74)+0.08+方案参数!$CD$4+Q74*方案参数!$W$4+Y74*(方案参数!$AN$4+MIN(方案参数!$AO$4,P74*0.03))+AB74*方案参数!$BZ$4*0.025-配置与结果!$B$28+方案参数!$AE$4)</f>
        <v>2.6150000000000002</v>
      </c>
      <c r="AH74" s="1">
        <f>MAX(0,1+V74*方案参数!$U$4+9*方案参数!$V$4+方案参数!$AE$4-配置与结果!$B$29)</f>
        <v>2.1</v>
      </c>
      <c r="AI74" s="1">
        <f>IF(OR(INDEX(配置与结果!$K$15:$K$18,F74)=1,G74="RHI_BERRY"),1+配置与结果!$B$33+P74*方案参数!$AH$4,1)</f>
        <v>1</v>
      </c>
      <c r="AJ74" s="1">
        <f>MIN(1,MAX(0,J74+方案参数!$AB$4-配置与结果!$B$27))</f>
        <v>1</v>
      </c>
      <c r="AK74" s="1">
        <f>MAX(1,K74+IF(F74=2,0.15+方案参数!$CH$4,0)+BN74*方案参数!$X$4+R74*方案参数!$AA$4+方案参数!$BP$4-配置与结果!$B$26+Z74*(方案参数!$AP$4+MIN(方案参数!$AQ$4,P74*0.03)))</f>
        <v>2.7650000000000001</v>
      </c>
      <c r="AL74" s="7">
        <f>ROUNDDOWN(MAX(AD74*配置与结果!$B$31,AD74-AE74)*AF74*AG74*AH74*AI74,0)</f>
        <v>151071</v>
      </c>
      <c r="AM74" s="7">
        <f>ROUNDDOWN(MAX(AD74*配置与结果!$B$31,AD74-AE74)*AF74*AG74*AH74*AI74*AK74,0)</f>
        <v>417711</v>
      </c>
      <c r="AN74" s="7">
        <f t="shared" si="104"/>
        <v>417711</v>
      </c>
      <c r="AO74" s="7">
        <f>0</f>
        <v>0</v>
      </c>
      <c r="AP74" s="7">
        <f>MAX(0,1+INDEX(配置与结果!$J$15:$J$18,F74)+IF(T74&gt;0,方案参数!$BY$4,0)-配置与结果!$B$30)</f>
        <v>1</v>
      </c>
      <c r="AQ74" s="7">
        <f t="shared" si="105"/>
        <v>0</v>
      </c>
      <c r="AR74" s="7">
        <f t="shared" si="106"/>
        <v>0</v>
      </c>
      <c r="AS74" s="7">
        <f t="shared" si="107"/>
        <v>0</v>
      </c>
      <c r="AT74" s="7">
        <f>IF(U74&gt;0,ROUNDDOWN(AL74*方案参数!$AF$4,0)*(1-AJ74)+ROUNDDOWN(AM74*方案参数!$AF$4,0)*AJ74,0)</f>
        <v>0</v>
      </c>
      <c r="AU74" s="7">
        <f t="shared" si="108"/>
        <v>417711</v>
      </c>
      <c r="AV74" s="1">
        <f t="shared" si="109"/>
        <v>2</v>
      </c>
      <c r="AW74" s="1">
        <f t="shared" si="102"/>
        <v>10</v>
      </c>
      <c r="AX74" s="1">
        <f t="shared" si="110"/>
        <v>1</v>
      </c>
      <c r="AY74" s="1">
        <f>MIN(20,MAX(0,O74+0+1-0))</f>
        <v>8</v>
      </c>
      <c r="AZ74" s="1">
        <f t="shared" si="111"/>
        <v>5</v>
      </c>
      <c r="BA74" s="1">
        <f t="shared" si="93"/>
        <v>5</v>
      </c>
      <c r="BB74" s="1">
        <f t="shared" si="101"/>
        <v>20</v>
      </c>
      <c r="BC74" s="1">
        <f t="shared" si="99"/>
        <v>3</v>
      </c>
      <c r="BD74" s="1">
        <f t="shared" si="80"/>
        <v>0</v>
      </c>
      <c r="BE74" s="1">
        <f>MAX(0,U74-IF(AF74&gt;0,1,0))+0</f>
        <v>0</v>
      </c>
      <c r="BF74" s="1">
        <f t="shared" si="103"/>
        <v>4</v>
      </c>
      <c r="BG74" s="1">
        <f t="shared" si="90"/>
        <v>1</v>
      </c>
      <c r="BH74" s="1">
        <f t="shared" si="74"/>
        <v>1</v>
      </c>
      <c r="BI74" s="1">
        <f t="shared" si="91"/>
        <v>1</v>
      </c>
      <c r="BJ74" s="1">
        <f t="shared" si="94"/>
        <v>1</v>
      </c>
      <c r="BK74" s="1">
        <f t="shared" si="95"/>
        <v>1</v>
      </c>
      <c r="BL74" s="1">
        <f t="shared" si="100"/>
        <v>1</v>
      </c>
      <c r="BM74" s="1">
        <f t="shared" si="98"/>
        <v>1</v>
      </c>
      <c r="BN74" s="1">
        <f t="shared" si="75"/>
        <v>1</v>
      </c>
      <c r="BO74" s="1">
        <f t="shared" si="76"/>
        <v>1</v>
      </c>
    </row>
    <row r="75" spans="1:67" ht="30.95" customHeight="1">
      <c r="A75" s="1">
        <f>1</f>
        <v>1</v>
      </c>
      <c r="B75" s="1">
        <f>固定流程!A39</f>
        <v>34</v>
      </c>
      <c r="C75" s="1">
        <f>4</f>
        <v>4</v>
      </c>
      <c r="D75" s="1">
        <f>2</f>
        <v>2</v>
      </c>
      <c r="E75" s="1">
        <f>固定流程!C39</f>
        <v>3</v>
      </c>
      <c r="F75" s="1">
        <f>固定流程!G39</f>
        <v>2</v>
      </c>
      <c r="G75" s="1" t="str">
        <f>固定流程!H39</f>
        <v>37_WEAK</v>
      </c>
      <c r="H75" s="1">
        <f>固定流程!F39</f>
        <v>1</v>
      </c>
      <c r="I75" s="1">
        <f>INDEX(配置与结果!$B$15:$B$18,F75)</f>
        <v>2306</v>
      </c>
      <c r="J75" s="1">
        <f>INDEX(配置与结果!$D$15:$D$18,F75)</f>
        <v>0.46</v>
      </c>
      <c r="K75" s="1">
        <f>INDEX(配置与结果!$E$15:$E$18,F75)</f>
        <v>1.9279999999999999</v>
      </c>
      <c r="L75" s="1">
        <f t="shared" si="87"/>
        <v>2</v>
      </c>
      <c r="M75" s="1">
        <f t="shared" si="88"/>
        <v>10</v>
      </c>
      <c r="N75" s="1">
        <f t="shared" si="89"/>
        <v>1</v>
      </c>
      <c r="O75" s="1">
        <f t="shared" si="81"/>
        <v>8</v>
      </c>
      <c r="P75" s="1">
        <f>MIN(方案参数!$AI$4,AZ74+0+0)</f>
        <v>5</v>
      </c>
      <c r="Q75" s="1">
        <f t="shared" si="59"/>
        <v>5</v>
      </c>
      <c r="R75" s="1">
        <f t="shared" si="60"/>
        <v>20</v>
      </c>
      <c r="S75" s="1">
        <f t="shared" si="61"/>
        <v>3</v>
      </c>
      <c r="T75" s="1">
        <f t="shared" si="96"/>
        <v>0</v>
      </c>
      <c r="U75" s="1">
        <f t="shared" si="63"/>
        <v>0</v>
      </c>
      <c r="V75" s="1">
        <f t="shared" si="64"/>
        <v>4</v>
      </c>
      <c r="W75" s="1">
        <f t="shared" si="65"/>
        <v>1</v>
      </c>
      <c r="X75" s="1">
        <f t="shared" si="66"/>
        <v>1</v>
      </c>
      <c r="Y75" s="1">
        <f t="shared" si="67"/>
        <v>1</v>
      </c>
      <c r="Z75" s="1">
        <f t="shared" si="68"/>
        <v>1</v>
      </c>
      <c r="AA75" s="1">
        <f t="shared" si="92"/>
        <v>1</v>
      </c>
      <c r="AB75" s="1">
        <f t="shared" si="70"/>
        <v>1</v>
      </c>
      <c r="AC75" s="1">
        <f t="shared" si="97"/>
        <v>1</v>
      </c>
      <c r="AD75" s="1">
        <f>ROUNDDOWN(I75*(1+IF(F75=3,0.05+方案参数!$Y$4+AA75*0.12,IF(F75=4,方案参数!$BZ$4*方案参数!$AS$4,0)))+IF(AND(X75=1,F75&lt;&gt;3),方案参数!$CC$4,0)+AC75*方案参数!$CB$4,0)</f>
        <v>3044</v>
      </c>
      <c r="AE75" s="1">
        <f>IF(OR(F75=1,F75=4),配置与结果!$B$24,配置与结果!$B$25)*MAX(0,1-INDEX(配置与结果!$I$15:$I$18,F75))</f>
        <v>1000</v>
      </c>
      <c r="AF75" s="1">
        <f>方案参数!$CE$4</f>
        <v>8</v>
      </c>
      <c r="AG75" s="1">
        <f>MAX(配置与结果!$B$32,1+INDEX(配置与结果!$F$15:$F$18,F75)+0+Q75*方案参数!$W$4+Y75*(方案参数!$AN$4+MIN(方案参数!$AO$4,P75*0.03))+AB75*方案参数!$BZ$4*0.025-配置与结果!$B$28+方案参数!$AE$4)</f>
        <v>2.2800000000000002</v>
      </c>
      <c r="AH75" s="1">
        <f>MAX(0,1+V75*方案参数!$U$4+方案参数!$AE$4-配置与结果!$B$29)</f>
        <v>1.56</v>
      </c>
      <c r="AI75" s="1">
        <f>IF(OR(INDEX(配置与结果!$K$15:$K$18,F75)=1,G75="RHI_BERRY"),1+配置与结果!$B$33+P75*方案参数!$AH$4,1)</f>
        <v>1</v>
      </c>
      <c r="AJ75" s="1">
        <f>MIN(1,MAX(0,J75+方案参数!$AB$4-配置与结果!$B$27))</f>
        <v>0.76</v>
      </c>
      <c r="AK75" s="1">
        <f>MAX(1,K75+IF(F75=2,0.15+方案参数!$CH$4,0)+BN75*方案参数!$X$4+R75*方案参数!$AA$4+0-配置与结果!$B$26+Z75*(方案参数!$AP$4+MIN(方案参数!$AQ$4,P75*0.03)))</f>
        <v>2.3380000000000001</v>
      </c>
      <c r="AL75" s="7">
        <f>ROUNDDOWN(MAX(AD75*配置与结果!$B$31,AD75-AE75)*AF75*AG75*AH75*AI75,0)</f>
        <v>58160</v>
      </c>
      <c r="AM75" s="7">
        <f>ROUNDDOWN(MAX(AD75*配置与结果!$B$31,AD75-AE75)*AF75*AG75*AH75*AI75*AK75,0)</f>
        <v>135979</v>
      </c>
      <c r="AN75" s="7">
        <f t="shared" si="104"/>
        <v>117302.44</v>
      </c>
      <c r="AO75" s="7">
        <f>0</f>
        <v>0</v>
      </c>
      <c r="AP75" s="7">
        <f>MAX(0,1+INDEX(配置与结果!$J$15:$J$18,F75)+IF(T75&gt;0,方案参数!$BY$4,0)-配置与结果!$B$30)</f>
        <v>1</v>
      </c>
      <c r="AQ75" s="7">
        <f t="shared" si="105"/>
        <v>0</v>
      </c>
      <c r="AR75" s="7">
        <f t="shared" si="106"/>
        <v>0</v>
      </c>
      <c r="AS75" s="7">
        <f t="shared" si="107"/>
        <v>0</v>
      </c>
      <c r="AT75" s="7">
        <f>IF(U75&gt;0,ROUNDDOWN(AL75*方案参数!$AF$4,0)*(1-AJ75)+ROUNDDOWN(AM75*方案参数!$AF$4,0)*AJ75,0)</f>
        <v>0</v>
      </c>
      <c r="AU75" s="7">
        <f t="shared" si="108"/>
        <v>117302.44</v>
      </c>
      <c r="AV75" s="1">
        <f t="shared" si="109"/>
        <v>2</v>
      </c>
      <c r="AW75" s="1">
        <f t="shared" si="102"/>
        <v>10</v>
      </c>
      <c r="AX75" s="1">
        <f t="shared" si="110"/>
        <v>1</v>
      </c>
      <c r="AY75" s="1">
        <f>MIN(20,MAX(0,O75+0+0-0))</f>
        <v>8</v>
      </c>
      <c r="AZ75" s="1">
        <f t="shared" si="111"/>
        <v>5</v>
      </c>
      <c r="BA75" s="1">
        <f t="shared" si="93"/>
        <v>5</v>
      </c>
      <c r="BB75" s="1">
        <f t="shared" si="101"/>
        <v>20</v>
      </c>
      <c r="BC75" s="1">
        <f t="shared" si="99"/>
        <v>3</v>
      </c>
      <c r="BD75" s="1">
        <f t="shared" si="80"/>
        <v>0</v>
      </c>
      <c r="BE75" s="1">
        <f>MAX(0,U75-IF(AF75&gt;0,1,0))+1</f>
        <v>1</v>
      </c>
      <c r="BF75" s="1">
        <f t="shared" si="103"/>
        <v>4</v>
      </c>
      <c r="BG75" s="1">
        <f t="shared" si="90"/>
        <v>1</v>
      </c>
      <c r="BH75" s="1">
        <f t="shared" si="74"/>
        <v>1</v>
      </c>
      <c r="BI75" s="1">
        <f t="shared" si="91"/>
        <v>1</v>
      </c>
      <c r="BJ75" s="1">
        <f t="shared" si="94"/>
        <v>1</v>
      </c>
      <c r="BK75" s="1">
        <f t="shared" si="95"/>
        <v>1</v>
      </c>
      <c r="BL75" s="1">
        <f t="shared" si="100"/>
        <v>1</v>
      </c>
      <c r="BM75" s="1">
        <f t="shared" si="98"/>
        <v>1</v>
      </c>
      <c r="BN75" s="1">
        <f t="shared" si="75"/>
        <v>1</v>
      </c>
      <c r="BO75" s="1">
        <f t="shared" si="76"/>
        <v>1</v>
      </c>
    </row>
    <row r="76" spans="1:67" ht="30.95" customHeight="1">
      <c r="A76" s="1">
        <f>1</f>
        <v>1</v>
      </c>
      <c r="B76" s="1">
        <f>固定流程!A40</f>
        <v>35</v>
      </c>
      <c r="C76" s="1">
        <f>4</f>
        <v>4</v>
      </c>
      <c r="D76" s="1">
        <f>2</f>
        <v>2</v>
      </c>
      <c r="E76" s="1">
        <f>固定流程!C40</f>
        <v>3</v>
      </c>
      <c r="F76" s="1">
        <f>固定流程!G40</f>
        <v>2</v>
      </c>
      <c r="G76" s="1" t="str">
        <f>固定流程!H40</f>
        <v>37_WEAK</v>
      </c>
      <c r="H76" s="1">
        <f>固定流程!F40</f>
        <v>1</v>
      </c>
      <c r="I76" s="1">
        <f>INDEX(配置与结果!$B$15:$B$18,F76)</f>
        <v>2306</v>
      </c>
      <c r="J76" s="1">
        <f>INDEX(配置与结果!$D$15:$D$18,F76)</f>
        <v>0.46</v>
      </c>
      <c r="K76" s="1">
        <f>INDEX(配置与结果!$E$15:$E$18,F76)</f>
        <v>1.9279999999999999</v>
      </c>
      <c r="L76" s="1">
        <f t="shared" si="87"/>
        <v>2</v>
      </c>
      <c r="M76" s="1">
        <f t="shared" si="88"/>
        <v>10</v>
      </c>
      <c r="N76" s="1">
        <f t="shared" si="89"/>
        <v>1</v>
      </c>
      <c r="O76" s="1">
        <f t="shared" si="81"/>
        <v>8</v>
      </c>
      <c r="P76" s="1">
        <f>MIN(方案参数!$AI$4,AZ75+0+0)</f>
        <v>5</v>
      </c>
      <c r="Q76" s="1">
        <f t="shared" si="59"/>
        <v>5</v>
      </c>
      <c r="R76" s="1">
        <f t="shared" si="60"/>
        <v>20</v>
      </c>
      <c r="S76" s="1">
        <f t="shared" si="61"/>
        <v>3</v>
      </c>
      <c r="T76" s="1">
        <f t="shared" si="96"/>
        <v>0</v>
      </c>
      <c r="U76" s="1">
        <f t="shared" si="63"/>
        <v>1</v>
      </c>
      <c r="V76" s="1">
        <f t="shared" si="64"/>
        <v>4</v>
      </c>
      <c r="W76" s="1">
        <f t="shared" si="65"/>
        <v>1</v>
      </c>
      <c r="X76" s="1">
        <f t="shared" si="66"/>
        <v>1</v>
      </c>
      <c r="Y76" s="1">
        <f t="shared" si="67"/>
        <v>1</v>
      </c>
      <c r="Z76" s="1">
        <f t="shared" si="68"/>
        <v>1</v>
      </c>
      <c r="AA76" s="1">
        <f t="shared" si="92"/>
        <v>1</v>
      </c>
      <c r="AB76" s="1">
        <f t="shared" si="70"/>
        <v>1</v>
      </c>
      <c r="AC76" s="1">
        <f t="shared" si="97"/>
        <v>1</v>
      </c>
      <c r="AD76" s="1">
        <f>ROUNDDOWN(I76*(1+IF(F76=3,0.05+方案参数!$Y$4+AA76*0.12,IF(F76=4,方案参数!$BZ$4*方案参数!$AS$4,0)))+IF(AND(X76=1,F76&lt;&gt;3),方案参数!$CC$4,0)+AC76*方案参数!$CB$4,0)</f>
        <v>3044</v>
      </c>
      <c r="AE76" s="1">
        <f>IF(OR(F76=1,F76=4),配置与结果!$B$24,配置与结果!$B$25)*MAX(0,1-INDEX(配置与结果!$I$15:$I$18,F76))</f>
        <v>1000</v>
      </c>
      <c r="AF76" s="1">
        <f>方案参数!$CE$4</f>
        <v>8</v>
      </c>
      <c r="AG76" s="1">
        <f>MAX(配置与结果!$B$32,1+INDEX(配置与结果!$F$15:$F$18,F76)+0+Q76*方案参数!$W$4+Y76*(方案参数!$AN$4+MIN(方案参数!$AO$4,P76*0.03))+AB76*方案参数!$BZ$4*0.025-配置与结果!$B$28+方案参数!$AE$4)</f>
        <v>2.2800000000000002</v>
      </c>
      <c r="AH76" s="1">
        <f>MAX(0,1+V76*方案参数!$U$4+方案参数!$AE$4-配置与结果!$B$29)</f>
        <v>1.56</v>
      </c>
      <c r="AI76" s="1">
        <f>IF(OR(INDEX(配置与结果!$K$15:$K$18,F76)=1,G76="RHI_BERRY"),1+配置与结果!$B$33+P76*方案参数!$AH$4,1)</f>
        <v>1</v>
      </c>
      <c r="AJ76" s="1">
        <f>MIN(1,MAX(0,J76+方案参数!$AB$4-配置与结果!$B$27))</f>
        <v>0.76</v>
      </c>
      <c r="AK76" s="1">
        <f>MAX(1,K76+IF(F76=2,0.15+方案参数!$CH$4,0)+BN76*方案参数!$X$4+R76*方案参数!$AA$4+0-配置与结果!$B$26+Z76*(方案参数!$AP$4+MIN(方案参数!$AQ$4,P76*0.03)))</f>
        <v>2.3380000000000001</v>
      </c>
      <c r="AL76" s="7">
        <f>ROUNDDOWN(MAX(AD76*配置与结果!$B$31,AD76-AE76)*AF76*AG76*AH76*AI76,0)</f>
        <v>58160</v>
      </c>
      <c r="AM76" s="7">
        <f>ROUNDDOWN(MAX(AD76*配置与结果!$B$31,AD76-AE76)*AF76*AG76*AH76*AI76*AK76,0)</f>
        <v>135979</v>
      </c>
      <c r="AN76" s="7">
        <f t="shared" si="104"/>
        <v>117302.44</v>
      </c>
      <c r="AO76" s="7">
        <f>0</f>
        <v>0</v>
      </c>
      <c r="AP76" s="7">
        <f>MAX(0,1+INDEX(配置与结果!$J$15:$J$18,F76)+IF(T76&gt;0,方案参数!$BY$4,0)-配置与结果!$B$30)</f>
        <v>1</v>
      </c>
      <c r="AQ76" s="7">
        <f t="shared" si="105"/>
        <v>0</v>
      </c>
      <c r="AR76" s="7">
        <f t="shared" si="106"/>
        <v>0</v>
      </c>
      <c r="AS76" s="7">
        <f t="shared" si="107"/>
        <v>0</v>
      </c>
      <c r="AT76" s="7">
        <f>IF(U76&gt;0,ROUNDDOWN(AL76*方案参数!$AF$4,0)*(1-AJ76)+ROUNDDOWN(AM76*方案参数!$AF$4,0)*AJ76,0)</f>
        <v>46920.520000000004</v>
      </c>
      <c r="AU76" s="7">
        <f t="shared" si="108"/>
        <v>164222.96000000002</v>
      </c>
      <c r="AV76" s="1">
        <f t="shared" si="109"/>
        <v>2</v>
      </c>
      <c r="AW76" s="1">
        <f t="shared" si="102"/>
        <v>10</v>
      </c>
      <c r="AX76" s="1">
        <f t="shared" si="110"/>
        <v>1</v>
      </c>
      <c r="AY76" s="1">
        <f>MIN(20,MAX(0,O76+0+0-0))</f>
        <v>8</v>
      </c>
      <c r="AZ76" s="1">
        <f t="shared" si="111"/>
        <v>5</v>
      </c>
      <c r="BA76" s="1">
        <f t="shared" si="93"/>
        <v>5</v>
      </c>
      <c r="BB76" s="1">
        <f t="shared" si="101"/>
        <v>20</v>
      </c>
      <c r="BC76" s="1">
        <f t="shared" si="99"/>
        <v>3</v>
      </c>
      <c r="BD76" s="1">
        <f t="shared" si="80"/>
        <v>0</v>
      </c>
      <c r="BE76" s="1">
        <f>MAX(0,U76-IF(AF76&gt;0,1,0))+1</f>
        <v>1</v>
      </c>
      <c r="BF76" s="1">
        <f t="shared" si="103"/>
        <v>4</v>
      </c>
      <c r="BG76" s="1">
        <f t="shared" si="90"/>
        <v>1</v>
      </c>
      <c r="BH76" s="1">
        <f t="shared" si="74"/>
        <v>1</v>
      </c>
      <c r="BI76" s="1">
        <f t="shared" si="91"/>
        <v>1</v>
      </c>
      <c r="BJ76" s="1">
        <f t="shared" si="94"/>
        <v>1</v>
      </c>
      <c r="BK76" s="1">
        <f t="shared" si="95"/>
        <v>1</v>
      </c>
      <c r="BL76" s="1">
        <f t="shared" si="100"/>
        <v>1</v>
      </c>
      <c r="BM76" s="1">
        <f t="shared" si="98"/>
        <v>1</v>
      </c>
      <c r="BN76" s="1">
        <f t="shared" si="75"/>
        <v>1</v>
      </c>
      <c r="BO76" s="1">
        <f t="shared" si="76"/>
        <v>1</v>
      </c>
    </row>
    <row r="77" spans="1:67" ht="30.95" customHeight="1">
      <c r="A77" s="1">
        <f>1</f>
        <v>1</v>
      </c>
      <c r="B77" s="1">
        <f>固定流程!A41</f>
        <v>36</v>
      </c>
      <c r="C77" s="1">
        <f>4</f>
        <v>4</v>
      </c>
      <c r="D77" s="1">
        <f>2</f>
        <v>2</v>
      </c>
      <c r="E77" s="1">
        <f>固定流程!C41</f>
        <v>3</v>
      </c>
      <c r="F77" s="1">
        <f>固定流程!G41</f>
        <v>1</v>
      </c>
      <c r="G77" s="1" t="str">
        <f>固定流程!H41</f>
        <v>LILYA_FINISH</v>
      </c>
      <c r="H77" s="1">
        <f>固定流程!F41</f>
        <v>1</v>
      </c>
      <c r="I77" s="1">
        <f>INDEX(配置与结果!$B$15:$B$18,F77)</f>
        <v>2296</v>
      </c>
      <c r="J77" s="1">
        <f>INDEX(配置与结果!$D$15:$D$18,F77)</f>
        <v>0.7</v>
      </c>
      <c r="K77" s="1">
        <f>INDEX(配置与结果!$E$15:$E$18,F77)</f>
        <v>2.0249999999999999</v>
      </c>
      <c r="L77" s="1">
        <f t="shared" si="87"/>
        <v>2</v>
      </c>
      <c r="M77" s="1">
        <f t="shared" si="88"/>
        <v>10</v>
      </c>
      <c r="N77" s="1">
        <f t="shared" si="89"/>
        <v>1</v>
      </c>
      <c r="O77" s="1">
        <f t="shared" si="81"/>
        <v>8</v>
      </c>
      <c r="P77" s="1">
        <f>MIN(方案参数!$AI$4,AZ76+0+0)</f>
        <v>5</v>
      </c>
      <c r="Q77" s="1">
        <f t="shared" si="59"/>
        <v>5</v>
      </c>
      <c r="R77" s="1">
        <f t="shared" si="60"/>
        <v>20</v>
      </c>
      <c r="S77" s="1">
        <f t="shared" si="61"/>
        <v>3</v>
      </c>
      <c r="T77" s="1">
        <f t="shared" si="96"/>
        <v>0</v>
      </c>
      <c r="U77" s="1">
        <f t="shared" si="63"/>
        <v>1</v>
      </c>
      <c r="V77" s="1">
        <f t="shared" si="64"/>
        <v>4</v>
      </c>
      <c r="W77" s="1">
        <f t="shared" si="65"/>
        <v>1</v>
      </c>
      <c r="X77" s="1">
        <f t="shared" si="66"/>
        <v>1</v>
      </c>
      <c r="Y77" s="1">
        <f t="shared" si="67"/>
        <v>1</v>
      </c>
      <c r="Z77" s="1">
        <f t="shared" si="68"/>
        <v>1</v>
      </c>
      <c r="AA77" s="1">
        <f t="shared" si="92"/>
        <v>1</v>
      </c>
      <c r="AB77" s="1">
        <f t="shared" si="70"/>
        <v>1</v>
      </c>
      <c r="AC77" s="1">
        <f t="shared" si="97"/>
        <v>1</v>
      </c>
      <c r="AD77" s="1">
        <f>ROUNDDOWN(I77*(1+IF(F77=3,0.05+方案参数!$Y$4+AA77*0.12,IF(F77=4,方案参数!$BZ$4*方案参数!$AS$4,0)))+IF(AND(X77=1,F77&lt;&gt;3),方案参数!$CC$4,0)+AC77*方案参数!$CB$4,0)</f>
        <v>3034</v>
      </c>
      <c r="AE77" s="1">
        <f>IF(OR(F77=1,F77=4),配置与结果!$B$24,配置与结果!$B$25)*MAX(0,1-INDEX(配置与结果!$I$15:$I$18,F77))</f>
        <v>1200</v>
      </c>
      <c r="AF77" s="1">
        <f>方案参数!$BN$4+12*方案参数!$BO$4</f>
        <v>80</v>
      </c>
      <c r="AG77" s="1">
        <f>MAX(配置与结果!$B$32,1+INDEX(配置与结果!$F$15:$F$18,F77)+0.08+方案参数!$CD$4+Q77*方案参数!$W$4+Y77*(方案参数!$AN$4+MIN(方案参数!$AO$4,P77*0.03))+AB77*方案参数!$BZ$4*0.025-配置与结果!$B$28+方案参数!$AE$4)</f>
        <v>2.6150000000000002</v>
      </c>
      <c r="AH77" s="1">
        <f>MAX(0,1+V77*方案参数!$U$4+12*方案参数!$V$4+方案参数!$AE$4-配置与结果!$B$29)</f>
        <v>2.2799999999999998</v>
      </c>
      <c r="AI77" s="1">
        <f>IF(OR(INDEX(配置与结果!$K$15:$K$18,F77)=1,G77="RHI_BERRY"),1+配置与结果!$B$33+P77*方案参数!$AH$4,1)</f>
        <v>1</v>
      </c>
      <c r="AJ77" s="1">
        <f>MIN(1,MAX(0,J77+方案参数!$AB$4-配置与结果!$B$27))</f>
        <v>1</v>
      </c>
      <c r="AK77" s="1">
        <f>MAX(1,K77+IF(F77=2,0.15+方案参数!$CH$4,0)+BN77*方案参数!$X$4+R77*方案参数!$AA$4+方案参数!$BR$4-配置与结果!$B$26+Z77*(方案参数!$AP$4+MIN(方案参数!$AQ$4,P77*0.03)))</f>
        <v>3.165</v>
      </c>
      <c r="AL77" s="7">
        <f>ROUNDDOWN(MAX(AD77*配置与结果!$B$31,AD77-AE77)*AF77*AG77*AH77*AI77,0)</f>
        <v>874773</v>
      </c>
      <c r="AM77" s="7">
        <f>ROUNDDOWN(MAX(AD77*配置与结果!$B$31,AD77-AE77)*AF77*AG77*AH77*AI77*AK77,0)</f>
        <v>2768659</v>
      </c>
      <c r="AN77" s="7">
        <f t="shared" si="104"/>
        <v>2768659</v>
      </c>
      <c r="AO77" s="7">
        <f>0</f>
        <v>0</v>
      </c>
      <c r="AP77" s="7">
        <f>MAX(0,1+INDEX(配置与结果!$J$15:$J$18,F77)+IF(T77&gt;0,方案参数!$BY$4,0)-配置与结果!$B$30)</f>
        <v>1</v>
      </c>
      <c r="AQ77" s="7">
        <f t="shared" si="105"/>
        <v>0</v>
      </c>
      <c r="AR77" s="7">
        <f t="shared" si="106"/>
        <v>0</v>
      </c>
      <c r="AS77" s="7">
        <f t="shared" si="107"/>
        <v>0</v>
      </c>
      <c r="AT77" s="7">
        <f>IF(U77&gt;0,ROUNDDOWN(AL77*方案参数!$AF$4,0)*(1-AJ77)+ROUNDDOWN(AM77*方案参数!$AF$4,0)*AJ77,0)</f>
        <v>1107463</v>
      </c>
      <c r="AU77" s="7">
        <f t="shared" si="108"/>
        <v>3876122</v>
      </c>
      <c r="AV77" s="1">
        <f t="shared" si="109"/>
        <v>2</v>
      </c>
      <c r="AW77" s="1">
        <f t="shared" si="102"/>
        <v>10</v>
      </c>
      <c r="AX77" s="1">
        <f t="shared" si="110"/>
        <v>1</v>
      </c>
      <c r="AY77" s="1">
        <f>MIN(20,MAX(0,O77+0+1-0))</f>
        <v>9</v>
      </c>
      <c r="AZ77" s="1">
        <f t="shared" si="111"/>
        <v>5</v>
      </c>
      <c r="BA77" s="1">
        <f t="shared" si="93"/>
        <v>5</v>
      </c>
      <c r="BB77" s="1">
        <f t="shared" si="101"/>
        <v>20</v>
      </c>
      <c r="BC77" s="1">
        <f t="shared" si="99"/>
        <v>3</v>
      </c>
      <c r="BD77" s="1">
        <f t="shared" si="80"/>
        <v>0</v>
      </c>
      <c r="BE77" s="1">
        <f>MAX(0,U77-IF(AF77&gt;0,1,0))+0</f>
        <v>0</v>
      </c>
      <c r="BF77" s="1">
        <f t="shared" si="103"/>
        <v>4</v>
      </c>
      <c r="BG77" s="1">
        <f t="shared" si="90"/>
        <v>1</v>
      </c>
      <c r="BH77" s="1">
        <f t="shared" si="74"/>
        <v>1</v>
      </c>
      <c r="BI77" s="1">
        <f t="shared" si="91"/>
        <v>1</v>
      </c>
      <c r="BJ77" s="1">
        <f t="shared" si="94"/>
        <v>1</v>
      </c>
      <c r="BK77" s="1">
        <f t="shared" si="95"/>
        <v>1</v>
      </c>
      <c r="BL77" s="1">
        <f t="shared" si="100"/>
        <v>1</v>
      </c>
      <c r="BM77" s="1">
        <f t="shared" si="98"/>
        <v>1</v>
      </c>
      <c r="BN77" s="1">
        <f t="shared" si="75"/>
        <v>1</v>
      </c>
      <c r="BO77" s="1">
        <f t="shared" si="76"/>
        <v>1</v>
      </c>
    </row>
    <row r="78" spans="1:67" ht="30.95" customHeight="1">
      <c r="A78" s="1">
        <f>2</f>
        <v>2</v>
      </c>
      <c r="B78" s="1">
        <f>固定流程!A6</f>
        <v>1</v>
      </c>
      <c r="C78" s="1">
        <f>5</f>
        <v>5</v>
      </c>
      <c r="D78" s="1">
        <f>1</f>
        <v>1</v>
      </c>
      <c r="E78" s="1">
        <f>固定流程!C6</f>
        <v>1</v>
      </c>
      <c r="F78" s="1">
        <f>固定流程!G6</f>
        <v>3</v>
      </c>
      <c r="G78" s="1" t="str">
        <f>固定流程!H6</f>
        <v>RHI_ULT</v>
      </c>
      <c r="H78" s="1">
        <f>固定流程!F6</f>
        <v>1</v>
      </c>
      <c r="I78" s="1">
        <f>INDEX(配置与结果!$B$15:$B$18,F78)</f>
        <v>2597</v>
      </c>
      <c r="J78" s="1">
        <f>INDEX(配置与结果!$D$15:$D$18,F78)</f>
        <v>0.255</v>
      </c>
      <c r="K78" s="1">
        <f>INDEX(配置与结果!$E$15:$E$18,F78)</f>
        <v>1.55</v>
      </c>
      <c r="L78" s="1">
        <f>0</f>
        <v>0</v>
      </c>
      <c r="M78" s="1">
        <f>0</f>
        <v>0</v>
      </c>
      <c r="N78" s="1">
        <f>0</f>
        <v>0</v>
      </c>
      <c r="O78" s="1">
        <f>0</f>
        <v>0</v>
      </c>
      <c r="P78" s="1">
        <f>MIN(方案参数!$AI$5,0+方案参数!$AJ$5+0)</f>
        <v>1</v>
      </c>
      <c r="Q78" s="1">
        <f>0</f>
        <v>0</v>
      </c>
      <c r="R78" s="1">
        <f>0</f>
        <v>0</v>
      </c>
      <c r="S78" s="1">
        <f>0</f>
        <v>0</v>
      </c>
      <c r="T78" s="1">
        <f>0+0</f>
        <v>0</v>
      </c>
      <c r="U78" s="1">
        <f>0</f>
        <v>0</v>
      </c>
      <c r="V78" s="1">
        <f>0</f>
        <v>0</v>
      </c>
      <c r="W78" s="1">
        <f>0</f>
        <v>0</v>
      </c>
      <c r="X78" s="1">
        <f>0</f>
        <v>0</v>
      </c>
      <c r="Y78" s="1">
        <f>0</f>
        <v>0</v>
      </c>
      <c r="Z78" s="1">
        <f>0</f>
        <v>0</v>
      </c>
      <c r="AA78" s="1">
        <f>MAX(0,0)</f>
        <v>0</v>
      </c>
      <c r="AB78" s="1">
        <f>0</f>
        <v>0</v>
      </c>
      <c r="AC78" s="1">
        <f>MAX(0,0)</f>
        <v>0</v>
      </c>
      <c r="AD78" s="1">
        <f>ROUNDDOWN(I78*(1+IF(F78=3,0.05+方案参数!$Y$5+AA78*0.12,IF(F78=4,方案参数!$BZ$5*方案参数!$AS$5,0)))+IF(AND(X78=1,F78&lt;&gt;3),方案参数!$CC$5,0)+AC78*方案参数!$CB$5,0)</f>
        <v>2986</v>
      </c>
      <c r="AE78" s="1">
        <f>IF(OR(F78=1,F78=4),配置与结果!$B$24,配置与结果!$B$25)*MAX(0,1-INDEX(配置与结果!$I$15:$I$18,F78))</f>
        <v>1000</v>
      </c>
      <c r="AF78" s="1">
        <f>0</f>
        <v>0</v>
      </c>
      <c r="AG78" s="1">
        <f>MAX(配置与结果!$B$32,1+INDEX(配置与结果!$F$15:$F$18,F78)+0+Q78*方案参数!$W$5+Y78*(方案参数!$AN$5+MIN(方案参数!$AO$5,P78*0.03))+AB78*方案参数!$BZ$5*0.025-配置与结果!$B$28)</f>
        <v>0.6349999999999999</v>
      </c>
      <c r="AH78" s="1">
        <f>MAX(0,1+INDEX(配置与结果!$G$15:$G$18,F78)+W78*方案参数!$AG$5)</f>
        <v>1</v>
      </c>
      <c r="AI78" s="1">
        <f>IF(OR(INDEX(配置与结果!$K$15:$K$18,F78)=1,G78="RHI_BERRY"),1+配置与结果!$B$33+P78*方案参数!$AH$5,1)</f>
        <v>1</v>
      </c>
      <c r="AJ78" s="1">
        <f>MIN(1,MAX(0,J78+方案参数!$AB$5-配置与结果!$B$27))</f>
        <v>0.55499999999999994</v>
      </c>
      <c r="AK78" s="1">
        <f>MAX(1,K78+IF(F78=2,0.15+方案参数!$CH$5,0)+BN78*方案参数!$X$5+R78*方案参数!$AA$5+0-配置与结果!$B$26+Z78*(方案参数!$AP$5+MIN(方案参数!$AQ$5,P78*0.03)))</f>
        <v>1.1499999999999999</v>
      </c>
      <c r="AL78" s="7">
        <f>ROUNDDOWN(MAX(AD78*配置与结果!$B$31,AD78-AE78)*AF78*AG78*AH78*AI78,0)</f>
        <v>0</v>
      </c>
      <c r="AM78" s="7">
        <f>ROUNDDOWN(MAX(AD78*配置与结果!$B$31,AD78-AE78)*AF78*AG78*AH78*AI78*AK78,0)</f>
        <v>0</v>
      </c>
      <c r="AN78" s="7">
        <f t="shared" si="104"/>
        <v>0</v>
      </c>
      <c r="AO78" s="7">
        <f>0</f>
        <v>0</v>
      </c>
      <c r="AP78" s="7">
        <f>MAX(0,1+INDEX(配置与结果!$J$15:$J$18,F78)+IF(T78&gt;0,方案参数!$BY$5,0)-配置与结果!$B$30)</f>
        <v>1</v>
      </c>
      <c r="AQ78" s="7">
        <f t="shared" si="105"/>
        <v>0</v>
      </c>
      <c r="AR78" s="7">
        <f t="shared" si="106"/>
        <v>0</v>
      </c>
      <c r="AS78" s="7">
        <f t="shared" si="107"/>
        <v>0</v>
      </c>
      <c r="AT78" s="7">
        <f>0</f>
        <v>0</v>
      </c>
      <c r="AU78" s="7">
        <f t="shared" si="108"/>
        <v>0</v>
      </c>
      <c r="AV78" s="1">
        <f t="shared" si="109"/>
        <v>0</v>
      </c>
      <c r="AW78" s="1">
        <f t="shared" si="102"/>
        <v>0</v>
      </c>
      <c r="AX78" s="1">
        <f t="shared" si="110"/>
        <v>0</v>
      </c>
      <c r="AY78" s="1">
        <f>MIN(20,MAX(0,O78+0+0-0))</f>
        <v>0</v>
      </c>
      <c r="AZ78" s="1">
        <f t="shared" si="111"/>
        <v>1</v>
      </c>
      <c r="BA78" s="1">
        <f>MIN(6,Q78+1)</f>
        <v>1</v>
      </c>
      <c r="BB78" s="1">
        <f>MIN(30,R78+5)</f>
        <v>5</v>
      </c>
      <c r="BC78" s="1">
        <f t="shared" si="99"/>
        <v>0</v>
      </c>
      <c r="BD78" s="1">
        <f t="shared" si="80"/>
        <v>0</v>
      </c>
      <c r="BE78" s="1">
        <f>0</f>
        <v>0</v>
      </c>
      <c r="BF78" s="1">
        <f t="shared" si="103"/>
        <v>0</v>
      </c>
      <c r="BG78" s="1">
        <f t="shared" si="90"/>
        <v>0</v>
      </c>
      <c r="BH78" s="1">
        <f>MAX(X78,1)</f>
        <v>1</v>
      </c>
      <c r="BI78" s="1">
        <f t="shared" si="91"/>
        <v>0</v>
      </c>
      <c r="BJ78" s="1">
        <f t="shared" si="94"/>
        <v>0</v>
      </c>
      <c r="BK78" s="1">
        <f t="shared" si="95"/>
        <v>0</v>
      </c>
      <c r="BL78" s="1">
        <f t="shared" si="100"/>
        <v>0</v>
      </c>
      <c r="BM78" s="1">
        <f t="shared" si="98"/>
        <v>0</v>
      </c>
      <c r="BN78" s="1">
        <f>0</f>
        <v>0</v>
      </c>
      <c r="BO78" s="1">
        <f>MAX(BN78,1)</f>
        <v>1</v>
      </c>
    </row>
    <row r="79" spans="1:67" ht="30.95" customHeight="1">
      <c r="A79" s="1">
        <f>2</f>
        <v>2</v>
      </c>
      <c r="B79" s="1">
        <f>固定流程!A7</f>
        <v>2</v>
      </c>
      <c r="C79" s="1">
        <f>5</f>
        <v>5</v>
      </c>
      <c r="D79" s="1">
        <f>1</f>
        <v>1</v>
      </c>
      <c r="E79" s="1">
        <f>固定流程!C7</f>
        <v>1</v>
      </c>
      <c r="F79" s="1">
        <f>固定流程!G7</f>
        <v>3</v>
      </c>
      <c r="G79" s="1" t="str">
        <f>固定流程!H7</f>
        <v>RHI_BUFF</v>
      </c>
      <c r="H79" s="1">
        <f>固定流程!F7</f>
        <v>1</v>
      </c>
      <c r="I79" s="1">
        <f>INDEX(配置与结果!$B$15:$B$18,F79)</f>
        <v>2597</v>
      </c>
      <c r="J79" s="1">
        <f>INDEX(配置与结果!$D$15:$D$18,F79)</f>
        <v>0.255</v>
      </c>
      <c r="K79" s="1">
        <f>INDEX(配置与结果!$E$15:$E$18,F79)</f>
        <v>1.55</v>
      </c>
      <c r="L79" s="1">
        <f t="shared" ref="L79:O84" si="112">AV78</f>
        <v>0</v>
      </c>
      <c r="M79" s="1">
        <f t="shared" si="112"/>
        <v>0</v>
      </c>
      <c r="N79" s="1">
        <f t="shared" si="112"/>
        <v>0</v>
      </c>
      <c r="O79" s="1">
        <f t="shared" si="112"/>
        <v>0</v>
      </c>
      <c r="P79" s="1">
        <f>MIN(方案参数!$AI$5,AZ78+0+方案参数!$AK$5)</f>
        <v>3</v>
      </c>
      <c r="Q79" s="1">
        <f t="shared" ref="Q79:Q113" si="113">BA78</f>
        <v>1</v>
      </c>
      <c r="R79" s="1">
        <f t="shared" ref="R79:R113" si="114">BB78</f>
        <v>5</v>
      </c>
      <c r="S79" s="1">
        <f t="shared" ref="S79:S113" si="115">BC78</f>
        <v>0</v>
      </c>
      <c r="T79" s="1">
        <f t="shared" ref="T79:T92" si="116">BD78+0</f>
        <v>0</v>
      </c>
      <c r="U79" s="1">
        <f t="shared" ref="U79:U113" si="117">BE78</f>
        <v>0</v>
      </c>
      <c r="V79" s="1">
        <f t="shared" ref="V79:V113" si="118">BF78</f>
        <v>0</v>
      </c>
      <c r="W79" s="1">
        <f t="shared" ref="W79:W113" si="119">BG78</f>
        <v>0</v>
      </c>
      <c r="X79" s="1">
        <f t="shared" ref="X79:X113" si="120">BH78</f>
        <v>1</v>
      </c>
      <c r="Y79" s="1">
        <f t="shared" ref="Y79:Y113" si="121">BI78</f>
        <v>0</v>
      </c>
      <c r="Z79" s="1">
        <f t="shared" ref="Z79:Z113" si="122">BJ78</f>
        <v>0</v>
      </c>
      <c r="AA79" s="1">
        <f t="shared" ref="AA79:AA84" si="123">MAX(BK78,0)</f>
        <v>0</v>
      </c>
      <c r="AB79" s="1">
        <f t="shared" ref="AB79:AB113" si="124">BL78</f>
        <v>0</v>
      </c>
      <c r="AC79" s="1">
        <f t="shared" ref="AC79:AC92" si="125">MAX(BM78,0)</f>
        <v>0</v>
      </c>
      <c r="AD79" s="1">
        <f>ROUNDDOWN(I79*(1+IF(F79=3,0.05+方案参数!$Y$5+AA79*0.12,IF(F79=4,方案参数!$BZ$5*方案参数!$AS$5,0)))+IF(AND(X79=1,F79&lt;&gt;3),方案参数!$CC$5,0)+AC79*方案参数!$CB$5,0)</f>
        <v>2986</v>
      </c>
      <c r="AE79" s="1">
        <f>IF(OR(F79=1,F79=4),配置与结果!$B$24,配置与结果!$B$25)*MAX(0,1-INDEX(配置与结果!$I$15:$I$18,F79))</f>
        <v>1000</v>
      </c>
      <c r="AF79" s="1">
        <f>0</f>
        <v>0</v>
      </c>
      <c r="AG79" s="1">
        <f>MAX(配置与结果!$B$32,1+INDEX(配置与结果!$F$15:$F$18,F79)+0+Q79*方案参数!$W$5+Y79*(方案参数!$AN$5+MIN(方案参数!$AO$5,P79*0.03))+AB79*方案参数!$BZ$5*0.025-配置与结果!$B$28)</f>
        <v>0.65499999999999992</v>
      </c>
      <c r="AH79" s="1">
        <f>MAX(0,1+INDEX(配置与结果!$G$15:$G$18,F79)+W79*方案参数!$AG$5)</f>
        <v>1</v>
      </c>
      <c r="AI79" s="1">
        <f>IF(OR(INDEX(配置与结果!$K$15:$K$18,F79)=1,G79="RHI_BERRY"),1+配置与结果!$B$33+P79*方案参数!$AH$5,1)</f>
        <v>1</v>
      </c>
      <c r="AJ79" s="1">
        <f>MIN(1,MAX(0,J79+方案参数!$AB$5-配置与结果!$B$27))</f>
        <v>0.55499999999999994</v>
      </c>
      <c r="AK79" s="1">
        <f>MAX(1,K79+IF(F79=2,0.15+方案参数!$CH$5,0)+BN79*方案参数!$X$5+R79*方案参数!$AA$5+0-配置与结果!$B$26+Z79*(方案参数!$AP$5+MIN(方案参数!$AQ$5,P79*0.03)))</f>
        <v>1.33</v>
      </c>
      <c r="AL79" s="7">
        <f>ROUNDDOWN(MAX(AD79*配置与结果!$B$31,AD79-AE79)*AF79*AG79*AH79*AI79,0)</f>
        <v>0</v>
      </c>
      <c r="AM79" s="7">
        <f>ROUNDDOWN(MAX(AD79*配置与结果!$B$31,AD79-AE79)*AF79*AG79*AH79*AI79*AK79,0)</f>
        <v>0</v>
      </c>
      <c r="AN79" s="7">
        <f t="shared" si="104"/>
        <v>0</v>
      </c>
      <c r="AO79" s="7">
        <f>0</f>
        <v>0</v>
      </c>
      <c r="AP79" s="7">
        <f>MAX(0,1+INDEX(配置与结果!$J$15:$J$18,F79)+IF(T79&gt;0,方案参数!$BY$5,0)-配置与结果!$B$30)</f>
        <v>1</v>
      </c>
      <c r="AQ79" s="7">
        <f t="shared" si="105"/>
        <v>0</v>
      </c>
      <c r="AR79" s="7">
        <f t="shared" si="106"/>
        <v>0</v>
      </c>
      <c r="AS79" s="7">
        <f t="shared" si="107"/>
        <v>0</v>
      </c>
      <c r="AT79" s="7">
        <f>0</f>
        <v>0</v>
      </c>
      <c r="AU79" s="7">
        <f t="shared" si="108"/>
        <v>0</v>
      </c>
      <c r="AV79" s="1">
        <f t="shared" si="109"/>
        <v>0</v>
      </c>
      <c r="AW79" s="1">
        <f t="shared" si="102"/>
        <v>0</v>
      </c>
      <c r="AX79" s="1">
        <f t="shared" si="110"/>
        <v>0</v>
      </c>
      <c r="AY79" s="1">
        <f>MIN(20,MAX(0,O79+0+0-0))</f>
        <v>0</v>
      </c>
      <c r="AZ79" s="1">
        <f t="shared" si="111"/>
        <v>3</v>
      </c>
      <c r="BA79" s="1">
        <f>MIN(6,Q79+1)</f>
        <v>2</v>
      </c>
      <c r="BB79" s="1">
        <f t="shared" ref="BB79:BB92" si="126">MIN(30,R79+0)</f>
        <v>5</v>
      </c>
      <c r="BC79" s="1">
        <f t="shared" si="99"/>
        <v>0</v>
      </c>
      <c r="BD79" s="1">
        <f t="shared" si="80"/>
        <v>0</v>
      </c>
      <c r="BE79" s="1">
        <f t="shared" ref="BE79:BE100" si="127">BE78</f>
        <v>0</v>
      </c>
      <c r="BF79" s="1">
        <f t="shared" si="103"/>
        <v>0</v>
      </c>
      <c r="BG79" s="1">
        <f>MAX(W79,1)</f>
        <v>1</v>
      </c>
      <c r="BH79" s="1">
        <f t="shared" ref="BH79:BH113" si="128">MAX(X79,0)</f>
        <v>1</v>
      </c>
      <c r="BI79" s="1">
        <f>MAX(Y79,1)</f>
        <v>1</v>
      </c>
      <c r="BJ79" s="1">
        <f t="shared" si="94"/>
        <v>0</v>
      </c>
      <c r="BK79" s="1">
        <f t="shared" si="95"/>
        <v>0</v>
      </c>
      <c r="BL79" s="1">
        <f t="shared" si="100"/>
        <v>0</v>
      </c>
      <c r="BM79" s="1">
        <f t="shared" si="98"/>
        <v>0</v>
      </c>
      <c r="BN79" s="1">
        <f t="shared" ref="BN79:BN113" si="129">BO78</f>
        <v>1</v>
      </c>
      <c r="BO79" s="1">
        <f t="shared" ref="BO79:BO113" si="130">MAX(BN79,0)</f>
        <v>1</v>
      </c>
    </row>
    <row r="80" spans="1:67" ht="30.95" customHeight="1">
      <c r="A80" s="1">
        <f>2</f>
        <v>2</v>
      </c>
      <c r="B80" s="1">
        <f>固定流程!A8</f>
        <v>3</v>
      </c>
      <c r="C80" s="1">
        <f>5</f>
        <v>5</v>
      </c>
      <c r="D80" s="1">
        <f>1</f>
        <v>1</v>
      </c>
      <c r="E80" s="1">
        <f>固定流程!C8</f>
        <v>1</v>
      </c>
      <c r="F80" s="1">
        <f>固定流程!G8</f>
        <v>1</v>
      </c>
      <c r="G80" s="1" t="str">
        <f>固定流程!H8</f>
        <v>LILYA_COBRA</v>
      </c>
      <c r="H80" s="1">
        <f>固定流程!F8</f>
        <v>1</v>
      </c>
      <c r="I80" s="1">
        <f>INDEX(配置与结果!$B$15:$B$18,F80)</f>
        <v>2296</v>
      </c>
      <c r="J80" s="1">
        <f>INDEX(配置与结果!$D$15:$D$18,F80)</f>
        <v>0.7</v>
      </c>
      <c r="K80" s="1">
        <f>INDEX(配置与结果!$E$15:$E$18,F80)</f>
        <v>2.0249999999999999</v>
      </c>
      <c r="L80" s="1">
        <f t="shared" si="112"/>
        <v>0</v>
      </c>
      <c r="M80" s="1">
        <f t="shared" si="112"/>
        <v>0</v>
      </c>
      <c r="N80" s="1">
        <f t="shared" si="112"/>
        <v>0</v>
      </c>
      <c r="O80" s="1">
        <f t="shared" si="112"/>
        <v>0</v>
      </c>
      <c r="P80" s="1">
        <f>MIN(方案参数!$AI$5,AZ79+0+0)</f>
        <v>3</v>
      </c>
      <c r="Q80" s="1">
        <f t="shared" si="113"/>
        <v>2</v>
      </c>
      <c r="R80" s="1">
        <f t="shared" si="114"/>
        <v>5</v>
      </c>
      <c r="S80" s="1">
        <f t="shared" si="115"/>
        <v>0</v>
      </c>
      <c r="T80" s="1">
        <f t="shared" si="116"/>
        <v>0</v>
      </c>
      <c r="U80" s="1">
        <f t="shared" si="117"/>
        <v>0</v>
      </c>
      <c r="V80" s="1">
        <f t="shared" si="118"/>
        <v>0</v>
      </c>
      <c r="W80" s="1">
        <f t="shared" si="119"/>
        <v>1</v>
      </c>
      <c r="X80" s="1">
        <f t="shared" si="120"/>
        <v>1</v>
      </c>
      <c r="Y80" s="1">
        <f t="shared" si="121"/>
        <v>1</v>
      </c>
      <c r="Z80" s="1">
        <f t="shared" si="122"/>
        <v>0</v>
      </c>
      <c r="AA80" s="1">
        <f t="shared" si="123"/>
        <v>0</v>
      </c>
      <c r="AB80" s="1">
        <f t="shared" si="124"/>
        <v>0</v>
      </c>
      <c r="AC80" s="1">
        <f t="shared" si="125"/>
        <v>0</v>
      </c>
      <c r="AD80" s="1">
        <f>ROUNDDOWN(I80*(1+IF(F80=3,0.05+方案参数!$Y$5+AA80*0.12,IF(F80=4,方案参数!$BZ$5*方案参数!$AS$5,0)))+IF(AND(X80=1,F80&lt;&gt;3),方案参数!$CC$5,0)+AC80*方案参数!$CB$5,0)</f>
        <v>2534</v>
      </c>
      <c r="AE80" s="1">
        <f>IF(OR(F80=1,F80=4),配置与结果!$B$24,配置与结果!$B$25)*MAX(0,1-INDEX(配置与结果!$I$15:$I$18,F80))</f>
        <v>1200</v>
      </c>
      <c r="AF80" s="1">
        <f>0</f>
        <v>0</v>
      </c>
      <c r="AG80" s="1">
        <f>MAX(配置与结果!$B$32,1+INDEX(配置与结果!$F$15:$F$18,F80)+0.08+方案参数!$CD$5+Q80*方案参数!$W$5+Y80*(方案参数!$AN$5+MIN(方案参数!$AO$5,P80*0.03))+AB80*方案参数!$BZ$5*0.025-配置与结果!$B$28)</f>
        <v>1.2200000000000002</v>
      </c>
      <c r="AH80" s="1">
        <f>MAX(0,1+INDEX(配置与结果!$G$15:$G$18,F80)+W80*方案参数!$AG$5)</f>
        <v>1.3</v>
      </c>
      <c r="AI80" s="1">
        <f>IF(OR(INDEX(配置与结果!$K$15:$K$18,F80)=1,G80="RHI_BERRY"),1+配置与结果!$B$33+P80*方案参数!$AH$5,1)</f>
        <v>1</v>
      </c>
      <c r="AJ80" s="1">
        <f>MIN(1,MAX(0,J80+方案参数!$AB$5-配置与结果!$B$27))</f>
        <v>1</v>
      </c>
      <c r="AK80" s="1">
        <f>MAX(1,K80+IF(F80=2,0.15+方案参数!$CH$5,0)+BN80*方案参数!$X$5+R80*方案参数!$AA$5+0-配置与结果!$B$26+Z80*(方案参数!$AP$5+MIN(方案参数!$AQ$5,P80*0.03)))</f>
        <v>1.8050000000000002</v>
      </c>
      <c r="AL80" s="7">
        <f>ROUNDDOWN(MAX(AD80*配置与结果!$B$31,AD80-AE80)*AF80*AG80*AH80*AI80,0)</f>
        <v>0</v>
      </c>
      <c r="AM80" s="7">
        <f>ROUNDDOWN(MAX(AD80*配置与结果!$B$31,AD80-AE80)*AF80*AG80*AH80*AI80*AK80,0)</f>
        <v>0</v>
      </c>
      <c r="AN80" s="7">
        <f t="shared" si="104"/>
        <v>0</v>
      </c>
      <c r="AO80" s="7">
        <f>0</f>
        <v>0</v>
      </c>
      <c r="AP80" s="7">
        <f>MAX(0,1+INDEX(配置与结果!$J$15:$J$18,F80)+IF(T80&gt;0,方案参数!$BY$5,0)-配置与结果!$B$30)</f>
        <v>1</v>
      </c>
      <c r="AQ80" s="7">
        <f t="shared" si="105"/>
        <v>0</v>
      </c>
      <c r="AR80" s="7">
        <f t="shared" si="106"/>
        <v>0</v>
      </c>
      <c r="AS80" s="7">
        <f t="shared" si="107"/>
        <v>0</v>
      </c>
      <c r="AT80" s="7">
        <f>0</f>
        <v>0</v>
      </c>
      <c r="AU80" s="7">
        <f t="shared" si="108"/>
        <v>0</v>
      </c>
      <c r="AV80" s="1">
        <f t="shared" si="109"/>
        <v>1</v>
      </c>
      <c r="AW80" s="1">
        <f>MIN(10,M80+方案参数!$BD$5+0)</f>
        <v>3</v>
      </c>
      <c r="AX80" s="1">
        <f t="shared" si="110"/>
        <v>0</v>
      </c>
      <c r="AY80" s="1">
        <f>MIN(20,MAX(0,O80+6+0-0))</f>
        <v>6</v>
      </c>
      <c r="AZ80" s="1">
        <f t="shared" si="111"/>
        <v>3</v>
      </c>
      <c r="BA80" s="1">
        <f>MIN(6,Q80+0)</f>
        <v>2</v>
      </c>
      <c r="BB80" s="1">
        <f t="shared" si="126"/>
        <v>5</v>
      </c>
      <c r="BC80" s="1">
        <f t="shared" si="99"/>
        <v>0</v>
      </c>
      <c r="BD80" s="1">
        <f t="shared" si="80"/>
        <v>0</v>
      </c>
      <c r="BE80" s="1">
        <f t="shared" si="127"/>
        <v>0</v>
      </c>
      <c r="BF80" s="1">
        <f t="shared" si="103"/>
        <v>0</v>
      </c>
      <c r="BG80" s="1">
        <f t="shared" ref="BG80:BG90" si="131">MAX(W80,0)</f>
        <v>1</v>
      </c>
      <c r="BH80" s="1">
        <f t="shared" si="128"/>
        <v>1</v>
      </c>
      <c r="BI80" s="1">
        <f t="shared" ref="BI80:BI90" si="132">MAX(Y80,0)</f>
        <v>1</v>
      </c>
      <c r="BJ80" s="1">
        <f t="shared" si="94"/>
        <v>0</v>
      </c>
      <c r="BK80" s="1">
        <f t="shared" si="95"/>
        <v>0</v>
      </c>
      <c r="BL80" s="1">
        <f t="shared" si="100"/>
        <v>0</v>
      </c>
      <c r="BM80" s="1">
        <f t="shared" si="98"/>
        <v>0</v>
      </c>
      <c r="BN80" s="1">
        <f t="shared" si="129"/>
        <v>1</v>
      </c>
      <c r="BO80" s="1">
        <f t="shared" si="130"/>
        <v>1</v>
      </c>
    </row>
    <row r="81" spans="1:67" ht="30.95" customHeight="1">
      <c r="A81" s="1">
        <f>2</f>
        <v>2</v>
      </c>
      <c r="B81" s="1">
        <f>固定流程!A9</f>
        <v>4</v>
      </c>
      <c r="C81" s="1">
        <f>5</f>
        <v>5</v>
      </c>
      <c r="D81" s="1">
        <f>1</f>
        <v>1</v>
      </c>
      <c r="E81" s="1">
        <f>固定流程!C9</f>
        <v>1</v>
      </c>
      <c r="F81" s="1">
        <f>固定流程!G9</f>
        <v>1</v>
      </c>
      <c r="G81" s="1" t="str">
        <f>固定流程!H9</f>
        <v>LILYA_DIVE</v>
      </c>
      <c r="H81" s="1">
        <f>固定流程!F9</f>
        <v>1</v>
      </c>
      <c r="I81" s="1">
        <f>INDEX(配置与结果!$B$15:$B$18,F81)</f>
        <v>2296</v>
      </c>
      <c r="J81" s="1">
        <f>INDEX(配置与结果!$D$15:$D$18,F81)</f>
        <v>0.7</v>
      </c>
      <c r="K81" s="1">
        <f>INDEX(配置与结果!$E$15:$E$18,F81)</f>
        <v>2.0249999999999999</v>
      </c>
      <c r="L81" s="1">
        <f t="shared" si="112"/>
        <v>1</v>
      </c>
      <c r="M81" s="1">
        <f t="shared" si="112"/>
        <v>3</v>
      </c>
      <c r="N81" s="1">
        <f t="shared" si="112"/>
        <v>0</v>
      </c>
      <c r="O81" s="1">
        <f t="shared" si="112"/>
        <v>6</v>
      </c>
      <c r="P81" s="1">
        <f>MIN(方案参数!$AI$5,AZ80+0+0)</f>
        <v>3</v>
      </c>
      <c r="Q81" s="1">
        <f t="shared" si="113"/>
        <v>2</v>
      </c>
      <c r="R81" s="1">
        <f t="shared" si="114"/>
        <v>5</v>
      </c>
      <c r="S81" s="1">
        <f t="shared" si="115"/>
        <v>0</v>
      </c>
      <c r="T81" s="1">
        <f t="shared" si="116"/>
        <v>0</v>
      </c>
      <c r="U81" s="1">
        <f t="shared" si="117"/>
        <v>0</v>
      </c>
      <c r="V81" s="1">
        <f t="shared" si="118"/>
        <v>0</v>
      </c>
      <c r="W81" s="1">
        <f t="shared" si="119"/>
        <v>1</v>
      </c>
      <c r="X81" s="1">
        <f t="shared" si="120"/>
        <v>1</v>
      </c>
      <c r="Y81" s="1">
        <f t="shared" si="121"/>
        <v>1</v>
      </c>
      <c r="Z81" s="1">
        <f t="shared" si="122"/>
        <v>0</v>
      </c>
      <c r="AA81" s="1">
        <f t="shared" si="123"/>
        <v>0</v>
      </c>
      <c r="AB81" s="1">
        <f t="shared" si="124"/>
        <v>0</v>
      </c>
      <c r="AC81" s="1">
        <f t="shared" si="125"/>
        <v>0</v>
      </c>
      <c r="AD81" s="1">
        <f>ROUNDDOWN(I81*(1+IF(F81=3,0.05+方案参数!$Y$5+AA81*0.12,IF(F81=4,方案参数!$BZ$5*方案参数!$AS$5,0)))+IF(AND(X81=1,F81&lt;&gt;3),方案参数!$CC$5,0)+AC81*方案参数!$CB$5,0)</f>
        <v>2534</v>
      </c>
      <c r="AE81" s="1">
        <f>IF(OR(F81=1,F81=4),配置与结果!$B$24,配置与结果!$B$25)*MAX(0,1-INDEX(配置与结果!$I$15:$I$18,F81))</f>
        <v>1200</v>
      </c>
      <c r="AF81" s="1">
        <f>(IF(L81=1,方案参数!$AW$5,IF(L81=2,方案参数!$AX$5,0))+方案参数!$AV$5)*H81</f>
        <v>6</v>
      </c>
      <c r="AG81" s="1">
        <f>MAX(配置与结果!$B$32,1+INDEX(配置与结果!$F$15:$F$18,F81)+0.08+方案参数!$CD$5+Q81*方案参数!$W$5+Y81*(方案参数!$AN$5+MIN(方案参数!$AO$5,P81*0.03))+AB81*方案参数!$BZ$5*0.025+IF(L81=1,方案参数!$AY$5+(H81-1)*0.1,IF(L81=2,方案参数!$AZ$5+(H81-1)*0.2,0))-配置与结果!$B$28)</f>
        <v>1.3200000000000003</v>
      </c>
      <c r="AH81" s="1">
        <f>MAX(0,1+INDEX(配置与结果!$G$15:$G$18,F81)+W81*方案参数!$AG$5+IF(L81=1,方案参数!$BA$5,IF(L81=2,方案参数!$BB$5,0))+M81*方案参数!$BC$5)</f>
        <v>2.08</v>
      </c>
      <c r="AI81" s="1">
        <f>IF(OR(INDEX(配置与结果!$K$15:$K$18,F81)=1,G81="RHI_BERRY"),1+配置与结果!$B$33+P81*方案参数!$AH$5,1)</f>
        <v>1</v>
      </c>
      <c r="AJ81" s="1">
        <f>MIN(1,MAX(0,J81+方案参数!$AB$5-配置与结果!$B$27))</f>
        <v>1</v>
      </c>
      <c r="AK81" s="1">
        <f>MAX(1,K81+IF(F81=2,0.15+方案参数!$CH$5,0)+BN81*方案参数!$X$5+R81*方案参数!$AA$5+0-配置与结果!$B$26+Z81*(方案参数!$AP$5+MIN(方案参数!$AQ$5,P81*0.03)))</f>
        <v>1.8050000000000002</v>
      </c>
      <c r="AL81" s="7">
        <f>ROUNDDOWN(MAX(AD81*配置与结果!$B$31,AD81-AE81)*AF81*AG81*AH81*AI81,0)</f>
        <v>21975</v>
      </c>
      <c r="AM81" s="7">
        <f>ROUNDDOWN(MAX(AD81*配置与结果!$B$31,AD81-AE81)*AF81*AG81*AH81*AI81*AK81,0)</f>
        <v>39666</v>
      </c>
      <c r="AN81" s="7">
        <f t="shared" si="104"/>
        <v>39666</v>
      </c>
      <c r="AO81" s="7">
        <f>0</f>
        <v>0</v>
      </c>
      <c r="AP81" s="7">
        <f>MAX(0,1+INDEX(配置与结果!$J$15:$J$18,F81)+IF(T81&gt;0,方案参数!$BY$5,0)-配置与结果!$B$30)</f>
        <v>1</v>
      </c>
      <c r="AQ81" s="7">
        <f t="shared" si="105"/>
        <v>0</v>
      </c>
      <c r="AR81" s="7">
        <f t="shared" si="106"/>
        <v>0</v>
      </c>
      <c r="AS81" s="7">
        <f t="shared" si="107"/>
        <v>0</v>
      </c>
      <c r="AT81" s="7">
        <f>0</f>
        <v>0</v>
      </c>
      <c r="AU81" s="7">
        <f t="shared" si="108"/>
        <v>39666</v>
      </c>
      <c r="AV81" s="1">
        <f t="shared" si="109"/>
        <v>1</v>
      </c>
      <c r="AW81" s="1">
        <f>MIN(10,M81+0+IF(L81=1,方案参数!$BE$5,0))</f>
        <v>4</v>
      </c>
      <c r="AX81" s="1">
        <f t="shared" si="110"/>
        <v>0</v>
      </c>
      <c r="AY81" s="1">
        <f t="shared" ref="AY81:AY96" si="133">MIN(20,MAX(0,O81+0+0-0))</f>
        <v>6</v>
      </c>
      <c r="AZ81" s="1">
        <f t="shared" si="111"/>
        <v>3</v>
      </c>
      <c r="BA81" s="1">
        <f>MIN(6,Q81+0)</f>
        <v>2</v>
      </c>
      <c r="BB81" s="1">
        <f t="shared" si="126"/>
        <v>5</v>
      </c>
      <c r="BC81" s="1">
        <f t="shared" si="99"/>
        <v>0</v>
      </c>
      <c r="BD81" s="1">
        <f t="shared" si="80"/>
        <v>0</v>
      </c>
      <c r="BE81" s="1">
        <f t="shared" si="127"/>
        <v>0</v>
      </c>
      <c r="BF81" s="1">
        <f t="shared" si="103"/>
        <v>0</v>
      </c>
      <c r="BG81" s="1">
        <f t="shared" si="131"/>
        <v>1</v>
      </c>
      <c r="BH81" s="1">
        <f t="shared" si="128"/>
        <v>1</v>
      </c>
      <c r="BI81" s="1">
        <f t="shared" si="132"/>
        <v>1</v>
      </c>
      <c r="BJ81" s="1">
        <f t="shared" si="94"/>
        <v>0</v>
      </c>
      <c r="BK81" s="1">
        <f t="shared" si="95"/>
        <v>0</v>
      </c>
      <c r="BL81" s="1">
        <f t="shared" si="100"/>
        <v>0</v>
      </c>
      <c r="BM81" s="1">
        <f t="shared" si="98"/>
        <v>0</v>
      </c>
      <c r="BN81" s="1">
        <f t="shared" si="129"/>
        <v>1</v>
      </c>
      <c r="BO81" s="1">
        <f t="shared" si="130"/>
        <v>1</v>
      </c>
    </row>
    <row r="82" spans="1:67" ht="30.95" customHeight="1">
      <c r="A82" s="1">
        <f>2</f>
        <v>2</v>
      </c>
      <c r="B82" s="1">
        <f>固定流程!A10</f>
        <v>5</v>
      </c>
      <c r="C82" s="1">
        <f>5</f>
        <v>5</v>
      </c>
      <c r="D82" s="1">
        <f>1</f>
        <v>1</v>
      </c>
      <c r="E82" s="1">
        <f>固定流程!C10</f>
        <v>1</v>
      </c>
      <c r="F82" s="1">
        <f>固定流程!G10</f>
        <v>2</v>
      </c>
      <c r="G82" s="1" t="str">
        <f>固定流程!H10</f>
        <v>37_TRIANGLE</v>
      </c>
      <c r="H82" s="1">
        <f>固定流程!F10</f>
        <v>1</v>
      </c>
      <c r="I82" s="1">
        <f>INDEX(配置与结果!$B$15:$B$18,F82)</f>
        <v>2306</v>
      </c>
      <c r="J82" s="1">
        <f>INDEX(配置与结果!$D$15:$D$18,F82)</f>
        <v>0.46</v>
      </c>
      <c r="K82" s="1">
        <f>INDEX(配置与结果!$E$15:$E$18,F82)</f>
        <v>1.9279999999999999</v>
      </c>
      <c r="L82" s="1">
        <f t="shared" si="112"/>
        <v>1</v>
      </c>
      <c r="M82" s="1">
        <f t="shared" si="112"/>
        <v>4</v>
      </c>
      <c r="N82" s="1">
        <f t="shared" si="112"/>
        <v>0</v>
      </c>
      <c r="O82" s="1">
        <f t="shared" si="112"/>
        <v>6</v>
      </c>
      <c r="P82" s="1">
        <f>MIN(方案参数!$AI$5,AZ81+0+0)</f>
        <v>3</v>
      </c>
      <c r="Q82" s="1">
        <f t="shared" si="113"/>
        <v>2</v>
      </c>
      <c r="R82" s="1">
        <f t="shared" si="114"/>
        <v>5</v>
      </c>
      <c r="S82" s="1">
        <f t="shared" si="115"/>
        <v>0</v>
      </c>
      <c r="T82" s="1">
        <f t="shared" si="116"/>
        <v>0</v>
      </c>
      <c r="U82" s="1">
        <f t="shared" si="117"/>
        <v>0</v>
      </c>
      <c r="V82" s="1">
        <f t="shared" si="118"/>
        <v>0</v>
      </c>
      <c r="W82" s="1">
        <f t="shared" si="119"/>
        <v>1</v>
      </c>
      <c r="X82" s="1">
        <f t="shared" si="120"/>
        <v>1</v>
      </c>
      <c r="Y82" s="1">
        <f t="shared" si="121"/>
        <v>1</v>
      </c>
      <c r="Z82" s="1">
        <f t="shared" si="122"/>
        <v>0</v>
      </c>
      <c r="AA82" s="1">
        <f t="shared" si="123"/>
        <v>0</v>
      </c>
      <c r="AB82" s="1">
        <f t="shared" si="124"/>
        <v>0</v>
      </c>
      <c r="AC82" s="1">
        <f t="shared" si="125"/>
        <v>0</v>
      </c>
      <c r="AD82" s="1">
        <f>ROUNDDOWN(I82*(1+IF(F82=3,0.05+方案参数!$Y$5+AA82*0.12,IF(F82=4,方案参数!$BZ$5*方案参数!$AS$5,0)))+IF(AND(X82=1,F82&lt;&gt;3),方案参数!$CC$5,0)+AC82*方案参数!$CB$5,0)</f>
        <v>2544</v>
      </c>
      <c r="AE82" s="1">
        <f>IF(OR(F82=1,F82=4),配置与结果!$B$24,配置与结果!$B$25)*MAX(0,1-INDEX(配置与结果!$I$15:$I$18,F82))</f>
        <v>1000</v>
      </c>
      <c r="AF82" s="1">
        <f>方案参数!$BS$5*IF(H82=1,1,IF(H82=2,1.5,2.5))</f>
        <v>2.8</v>
      </c>
      <c r="AG82" s="1">
        <f>MAX(配置与结果!$B$32,1+INDEX(配置与结果!$F$15:$F$18,F82)+0+Q82*方案参数!$W$5+Y82*(方案参数!$AN$5+MIN(方案参数!$AO$5,P82*0.03))+AB82*方案参数!$BZ$5*0.025-配置与结果!$B$28)</f>
        <v>0.8849999999999999</v>
      </c>
      <c r="AH82" s="1">
        <f>MAX(0,1+INDEX(配置与结果!$G$15:$G$18,F82)+W82*方案参数!$AG$5)</f>
        <v>1.3</v>
      </c>
      <c r="AI82" s="1">
        <f>IF(OR(INDEX(配置与结果!$K$15:$K$18,F82)=1,G82="RHI_BERRY"),1+配置与结果!$B$33+P82*方案参数!$AH$5,1)</f>
        <v>1</v>
      </c>
      <c r="AJ82" s="1">
        <f>MIN(1,MAX(0,J82+方案参数!$AB$5-配置与结果!$B$27))</f>
        <v>0.76</v>
      </c>
      <c r="AK82" s="1">
        <f>MAX(1,K82+IF(F82=2,0.15+方案参数!$CH$5,0)+BN82*方案参数!$X$5+R82*方案参数!$AA$5+0-配置与结果!$B$26+Z82*(方案参数!$AP$5+MIN(方案参数!$AQ$5,P82*0.03)))</f>
        <v>1.9780000000000002</v>
      </c>
      <c r="AL82" s="7">
        <f>ROUNDDOWN(MAX(AD82*配置与结果!$B$31,AD82-AE82)*AF82*AG82*AH82*AI82,0)</f>
        <v>4973</v>
      </c>
      <c r="AM82" s="7">
        <f>ROUNDDOWN(MAX(AD82*配置与结果!$B$31,AD82-AE82)*AF82*AG82*AH82*AI82*AK82,0)</f>
        <v>9838</v>
      </c>
      <c r="AN82" s="7">
        <f t="shared" si="104"/>
        <v>8670.4</v>
      </c>
      <c r="AO82" s="7">
        <f>方案参数!$BU$5*IF(H82=1,1,IF(H82=2,1.5,2.5))</f>
        <v>0.8</v>
      </c>
      <c r="AP82" s="7">
        <f>MAX(0,1+INDEX(配置与结果!$J$15:$J$18,F82)+IF(T82&gt;0,方案参数!$BY$5,0)-配置与结果!$B$30)</f>
        <v>1</v>
      </c>
      <c r="AQ82" s="7">
        <f t="shared" si="105"/>
        <v>2035</v>
      </c>
      <c r="AR82" s="7">
        <f t="shared" si="106"/>
        <v>4025</v>
      </c>
      <c r="AS82" s="7">
        <f t="shared" si="107"/>
        <v>3547.4</v>
      </c>
      <c r="AT82" s="7">
        <f>0</f>
        <v>0</v>
      </c>
      <c r="AU82" s="7">
        <f t="shared" si="108"/>
        <v>12217.8</v>
      </c>
      <c r="AV82" s="1">
        <f t="shared" si="109"/>
        <v>1</v>
      </c>
      <c r="AW82" s="1">
        <f>MIN(10,M82+0+0)</f>
        <v>4</v>
      </c>
      <c r="AX82" s="1">
        <f t="shared" si="110"/>
        <v>0</v>
      </c>
      <c r="AY82" s="1">
        <f t="shared" si="133"/>
        <v>6</v>
      </c>
      <c r="AZ82" s="1">
        <f t="shared" si="111"/>
        <v>3</v>
      </c>
      <c r="BA82" s="1">
        <f>MIN(6,Q82+0)</f>
        <v>2</v>
      </c>
      <c r="BB82" s="1">
        <f t="shared" si="126"/>
        <v>5</v>
      </c>
      <c r="BC82" s="1">
        <f t="shared" si="99"/>
        <v>0</v>
      </c>
      <c r="BD82" s="1">
        <f>MAX(0,T82-IF(AO82&gt;0,1,0))+1</f>
        <v>1</v>
      </c>
      <c r="BE82" s="1">
        <f t="shared" si="127"/>
        <v>0</v>
      </c>
      <c r="BF82" s="1">
        <f t="shared" si="103"/>
        <v>0</v>
      </c>
      <c r="BG82" s="1">
        <f t="shared" si="131"/>
        <v>1</v>
      </c>
      <c r="BH82" s="1">
        <f t="shared" si="128"/>
        <v>1</v>
      </c>
      <c r="BI82" s="1">
        <f t="shared" si="132"/>
        <v>1</v>
      </c>
      <c r="BJ82" s="1">
        <f t="shared" si="94"/>
        <v>0</v>
      </c>
      <c r="BK82" s="1">
        <f t="shared" si="95"/>
        <v>0</v>
      </c>
      <c r="BL82" s="1">
        <f t="shared" si="100"/>
        <v>0</v>
      </c>
      <c r="BM82" s="1">
        <f t="shared" si="98"/>
        <v>0</v>
      </c>
      <c r="BN82" s="1">
        <f t="shared" si="129"/>
        <v>1</v>
      </c>
      <c r="BO82" s="1">
        <f t="shared" si="130"/>
        <v>1</v>
      </c>
    </row>
    <row r="83" spans="1:67" ht="30.95" customHeight="1">
      <c r="A83" s="1">
        <f>2</f>
        <v>2</v>
      </c>
      <c r="B83" s="1">
        <f>固定流程!A11</f>
        <v>6</v>
      </c>
      <c r="C83" s="1">
        <f>5</f>
        <v>5</v>
      </c>
      <c r="D83" s="1">
        <f>1</f>
        <v>1</v>
      </c>
      <c r="E83" s="1">
        <f>固定流程!C11</f>
        <v>1</v>
      </c>
      <c r="F83" s="1">
        <f>固定流程!G11</f>
        <v>2</v>
      </c>
      <c r="G83" s="1" t="str">
        <f>固定流程!H11</f>
        <v>37_FOLLOW</v>
      </c>
      <c r="H83" s="1">
        <f>固定流程!F11</f>
        <v>1</v>
      </c>
      <c r="I83" s="1">
        <f>INDEX(配置与结果!$B$15:$B$18,F83)</f>
        <v>2306</v>
      </c>
      <c r="J83" s="1">
        <f>INDEX(配置与结果!$D$15:$D$18,F83)</f>
        <v>0.46</v>
      </c>
      <c r="K83" s="1">
        <f>INDEX(配置与结果!$E$15:$E$18,F83)</f>
        <v>1.9279999999999999</v>
      </c>
      <c r="L83" s="1">
        <f t="shared" si="112"/>
        <v>1</v>
      </c>
      <c r="M83" s="1">
        <f t="shared" si="112"/>
        <v>4</v>
      </c>
      <c r="N83" s="1">
        <f t="shared" si="112"/>
        <v>0</v>
      </c>
      <c r="O83" s="1">
        <f t="shared" si="112"/>
        <v>6</v>
      </c>
      <c r="P83" s="1">
        <f>MIN(方案参数!$AI$5,AZ82+0+0)</f>
        <v>3</v>
      </c>
      <c r="Q83" s="1">
        <f t="shared" si="113"/>
        <v>2</v>
      </c>
      <c r="R83" s="1">
        <f t="shared" si="114"/>
        <v>5</v>
      </c>
      <c r="S83" s="1">
        <f t="shared" si="115"/>
        <v>0</v>
      </c>
      <c r="T83" s="1">
        <f t="shared" si="116"/>
        <v>1</v>
      </c>
      <c r="U83" s="1">
        <f t="shared" si="117"/>
        <v>0</v>
      </c>
      <c r="V83" s="1">
        <f t="shared" si="118"/>
        <v>0</v>
      </c>
      <c r="W83" s="1">
        <f t="shared" si="119"/>
        <v>1</v>
      </c>
      <c r="X83" s="1">
        <f t="shared" si="120"/>
        <v>1</v>
      </c>
      <c r="Y83" s="1">
        <f t="shared" si="121"/>
        <v>1</v>
      </c>
      <c r="Z83" s="1">
        <f t="shared" si="122"/>
        <v>0</v>
      </c>
      <c r="AA83" s="1">
        <f t="shared" si="123"/>
        <v>0</v>
      </c>
      <c r="AB83" s="1">
        <f t="shared" si="124"/>
        <v>0</v>
      </c>
      <c r="AC83" s="1">
        <f t="shared" si="125"/>
        <v>0</v>
      </c>
      <c r="AD83" s="1">
        <f>ROUNDDOWN(I83*(1+IF(F83=3,0.05+方案参数!$Y$5+AA83*0.12,IF(F83=4,方案参数!$BZ$5*方案参数!$AS$5,0)))+IF(AND(X83=1,F83&lt;&gt;3),方案参数!$CC$5,0)+AC83*方案参数!$CB$5,0)</f>
        <v>2544</v>
      </c>
      <c r="AE83" s="1">
        <f>IF(OR(F83=1,F83=4),配置与结果!$B$24,配置与结果!$B$25)*MAX(0,1-INDEX(配置与结果!$I$15:$I$18,F83))</f>
        <v>1000</v>
      </c>
      <c r="AF83" s="1">
        <f>方案参数!$BV$5</f>
        <v>3</v>
      </c>
      <c r="AG83" s="1">
        <f>MAX(配置与结果!$B$32,1+INDEX(配置与结果!$F$15:$F$18,F83)+0+Q83*方案参数!$W$5+Y83*(方案参数!$AN$5+MIN(方案参数!$AO$5,P83*0.03))+AB83*方案参数!$BZ$5*0.025-配置与结果!$B$28)</f>
        <v>0.8849999999999999</v>
      </c>
      <c r="AH83" s="1">
        <f>MAX(0,1+INDEX(配置与结果!$G$15:$G$18,F83)+W83*方案参数!$AG$5)</f>
        <v>1.3</v>
      </c>
      <c r="AI83" s="1">
        <f>IF(OR(INDEX(配置与结果!$K$15:$K$18,F83)=1,G83="RHI_BERRY"),1+配置与结果!$B$33+P83*方案参数!$AH$5,1)</f>
        <v>1</v>
      </c>
      <c r="AJ83" s="1">
        <f>MIN(1,MAX(0,J83+方案参数!$AB$5-配置与结果!$B$27))</f>
        <v>0.76</v>
      </c>
      <c r="AK83" s="1">
        <f>MAX(1,K83+IF(F83=2,0.15+方案参数!$CH$5,0)+BN83*方案参数!$X$5+R83*方案参数!$AA$5+0-配置与结果!$B$26+Z83*(方案参数!$AP$5+MIN(方案参数!$AQ$5,P83*0.03)))</f>
        <v>1.9780000000000002</v>
      </c>
      <c r="AL83" s="7">
        <f>ROUNDDOWN(MAX(AD83*配置与结果!$B$31,AD83-AE83)*AF83*AG83*AH83*AI83,0)</f>
        <v>5329</v>
      </c>
      <c r="AM83" s="7">
        <f>ROUNDDOWN(MAX(AD83*配置与结果!$B$31,AD83-AE83)*AF83*AG83*AH83*AI83*AK83,0)</f>
        <v>10540</v>
      </c>
      <c r="AN83" s="7">
        <f t="shared" si="104"/>
        <v>9289.36</v>
      </c>
      <c r="AO83" s="7">
        <f>方案参数!$BW$5</f>
        <v>1</v>
      </c>
      <c r="AP83" s="7">
        <f>MAX(0,1+INDEX(配置与结果!$J$15:$J$18,F83)+IF(T83&gt;0,方案参数!$BY$5,0)-配置与结果!$B$30)</f>
        <v>2</v>
      </c>
      <c r="AQ83" s="7">
        <f t="shared" si="105"/>
        <v>5088</v>
      </c>
      <c r="AR83" s="7">
        <f t="shared" si="106"/>
        <v>10064</v>
      </c>
      <c r="AS83" s="7">
        <f t="shared" si="107"/>
        <v>8869.76</v>
      </c>
      <c r="AT83" s="7">
        <f>0</f>
        <v>0</v>
      </c>
      <c r="AU83" s="7">
        <f t="shared" si="108"/>
        <v>18159.120000000003</v>
      </c>
      <c r="AV83" s="1">
        <f t="shared" si="109"/>
        <v>1</v>
      </c>
      <c r="AW83" s="1">
        <f>MIN(10,M83+0+0)</f>
        <v>4</v>
      </c>
      <c r="AX83" s="1">
        <f t="shared" si="110"/>
        <v>0</v>
      </c>
      <c r="AY83" s="1">
        <f t="shared" si="133"/>
        <v>6</v>
      </c>
      <c r="AZ83" s="1">
        <f t="shared" si="111"/>
        <v>3</v>
      </c>
      <c r="BA83" s="1">
        <f>MIN(6,Q83+0)</f>
        <v>2</v>
      </c>
      <c r="BB83" s="1">
        <f t="shared" si="126"/>
        <v>5</v>
      </c>
      <c r="BC83" s="1">
        <f t="shared" si="99"/>
        <v>0</v>
      </c>
      <c r="BD83" s="1">
        <f t="shared" ref="BD83:BD117" si="134">MAX(0,T83-IF(AO83&gt;0,1,0))+0</f>
        <v>0</v>
      </c>
      <c r="BE83" s="1">
        <f t="shared" si="127"/>
        <v>0</v>
      </c>
      <c r="BF83" s="1">
        <f>MIN(4,V83+1)</f>
        <v>1</v>
      </c>
      <c r="BG83" s="1">
        <f t="shared" si="131"/>
        <v>1</v>
      </c>
      <c r="BH83" s="1">
        <f t="shared" si="128"/>
        <v>1</v>
      </c>
      <c r="BI83" s="1">
        <f t="shared" si="132"/>
        <v>1</v>
      </c>
      <c r="BJ83" s="1">
        <f t="shared" si="94"/>
        <v>0</v>
      </c>
      <c r="BK83" s="1">
        <f t="shared" si="95"/>
        <v>0</v>
      </c>
      <c r="BL83" s="1">
        <f t="shared" si="100"/>
        <v>0</v>
      </c>
      <c r="BM83" s="1">
        <f t="shared" si="98"/>
        <v>0</v>
      </c>
      <c r="BN83" s="1">
        <f t="shared" si="129"/>
        <v>1</v>
      </c>
      <c r="BO83" s="1">
        <f t="shared" si="130"/>
        <v>1</v>
      </c>
    </row>
    <row r="84" spans="1:67" ht="30.95" customHeight="1">
      <c r="A84" s="1">
        <f>2</f>
        <v>2</v>
      </c>
      <c r="B84" s="1">
        <f>固定流程!A12</f>
        <v>7</v>
      </c>
      <c r="C84" s="1">
        <f>5</f>
        <v>5</v>
      </c>
      <c r="D84" s="1">
        <f>1</f>
        <v>1</v>
      </c>
      <c r="E84" s="1">
        <f>固定流程!C12</f>
        <v>1</v>
      </c>
      <c r="F84" s="1">
        <f>固定流程!G12</f>
        <v>4</v>
      </c>
      <c r="G84" s="1" t="str">
        <f>固定流程!H12</f>
        <v>J_HARD</v>
      </c>
      <c r="H84" s="1">
        <f>固定流程!F12</f>
        <v>1</v>
      </c>
      <c r="I84" s="1">
        <f>INDEX(配置与结果!$B$15:$B$18,F84)</f>
        <v>1906</v>
      </c>
      <c r="J84" s="1">
        <f>INDEX(配置与结果!$D$15:$D$18,F84)</f>
        <v>0.36699999999999999</v>
      </c>
      <c r="K84" s="1">
        <f>INDEX(配置与结果!$E$15:$E$18,F84)</f>
        <v>1.7170000000000001</v>
      </c>
      <c r="L84" s="1">
        <f t="shared" si="112"/>
        <v>1</v>
      </c>
      <c r="M84" s="1">
        <f t="shared" si="112"/>
        <v>4</v>
      </c>
      <c r="N84" s="1">
        <f t="shared" si="112"/>
        <v>0</v>
      </c>
      <c r="O84" s="1">
        <f t="shared" si="112"/>
        <v>6</v>
      </c>
      <c r="P84" s="1">
        <f>MIN(方案参数!$AI$5,AZ83+0+0)</f>
        <v>3</v>
      </c>
      <c r="Q84" s="1">
        <f t="shared" si="113"/>
        <v>2</v>
      </c>
      <c r="R84" s="1">
        <f t="shared" si="114"/>
        <v>5</v>
      </c>
      <c r="S84" s="1">
        <f t="shared" si="115"/>
        <v>0</v>
      </c>
      <c r="T84" s="1">
        <f t="shared" si="116"/>
        <v>0</v>
      </c>
      <c r="U84" s="1">
        <f t="shared" si="117"/>
        <v>0</v>
      </c>
      <c r="V84" s="1">
        <f t="shared" si="118"/>
        <v>1</v>
      </c>
      <c r="W84" s="1">
        <f t="shared" si="119"/>
        <v>1</v>
      </c>
      <c r="X84" s="1">
        <f t="shared" si="120"/>
        <v>1</v>
      </c>
      <c r="Y84" s="1">
        <f t="shared" si="121"/>
        <v>1</v>
      </c>
      <c r="Z84" s="1">
        <f t="shared" si="122"/>
        <v>0</v>
      </c>
      <c r="AA84" s="1">
        <f t="shared" si="123"/>
        <v>0</v>
      </c>
      <c r="AB84" s="1">
        <f t="shared" si="124"/>
        <v>0</v>
      </c>
      <c r="AC84" s="1">
        <f t="shared" si="125"/>
        <v>0</v>
      </c>
      <c r="AD84" s="1">
        <f>ROUNDDOWN(I84*(1+IF(F84=3,0.05+方案参数!$Y$5+AA84*0.12,IF(F84=4,方案参数!$BZ$5*方案参数!$AS$5,0)))+IF(AND(X84=1,F84&lt;&gt;3),方案参数!$CC$5,0)+AC84*方案参数!$CB$5,0)</f>
        <v>2811</v>
      </c>
      <c r="AE84" s="1">
        <f>IF(OR(F84=1,F84=4),配置与结果!$B$24,配置与结果!$B$25)*MAX(0,1-INDEX(配置与结果!$I$15:$I$18,F84))</f>
        <v>1200</v>
      </c>
      <c r="AF84" s="1">
        <f>3.6*IF(H84=1,1,IF(H84=2,1.5,2.5))</f>
        <v>3.6</v>
      </c>
      <c r="AG84" s="1">
        <f>MAX(配置与结果!$B$32,1+INDEX(配置与结果!$F$15:$F$18,F84)+0.08+Q84*方案参数!$W$5+Y84*(方案参数!$AN$5+MIN(方案参数!$AO$5,P84*0.03))+AB84*方案参数!$BZ$5*0.025+0.1+IF(方案参数!$BZ$5&gt;=30,方案参数!$BZ$5*0.01,0)-配置与结果!$B$28)</f>
        <v>1.4350000000000001</v>
      </c>
      <c r="AH84" s="1">
        <f>MAX(0,1+INDEX(配置与结果!$G$15:$G$18,F84)+W84*方案参数!$AG$5)</f>
        <v>1.3</v>
      </c>
      <c r="AI84" s="1">
        <f>IF(OR(INDEX(配置与结果!$K$15:$K$18,F84)=1,G84="RHI_BERRY"),1+配置与结果!$B$33+P84*方案参数!$AH$5,1)</f>
        <v>1</v>
      </c>
      <c r="AJ84" s="1">
        <f>MIN(1,MAX(0,J84+方案参数!$AB$5-配置与结果!$B$27))</f>
        <v>0.66700000000000004</v>
      </c>
      <c r="AK84" s="1">
        <f>MAX(1,K84+IF(F84=2,0.15+方案参数!$CH$5,0)+BN84*方案参数!$X$5+R84*方案参数!$AA$5+0-配置与结果!$B$26+Z84*(方案参数!$AP$5+MIN(方案参数!$AQ$5,P84*0.03)))</f>
        <v>1.4969999999999999</v>
      </c>
      <c r="AL84" s="7">
        <f>ROUNDDOWN(MAX(AD84*配置与结果!$B$31,AD84-AE84)*AF84*AG84*AH84*AI84,0)</f>
        <v>10819</v>
      </c>
      <c r="AM84" s="7">
        <f>ROUNDDOWN(MAX(AD84*配置与结果!$B$31,AD84-AE84)*AF84*AG84*AH84*AI84*AK84,0)</f>
        <v>16196</v>
      </c>
      <c r="AN84" s="7">
        <f t="shared" si="104"/>
        <v>14405.458999999999</v>
      </c>
      <c r="AO84" s="7">
        <f>0</f>
        <v>0</v>
      </c>
      <c r="AP84" s="7">
        <f>MAX(0,1+INDEX(配置与结果!$J$15:$J$18,F84)+IF(T84&gt;0,方案参数!$BY$5,0)-配置与结果!$B$30)</f>
        <v>1</v>
      </c>
      <c r="AQ84" s="7">
        <f t="shared" si="105"/>
        <v>0</v>
      </c>
      <c r="AR84" s="7">
        <f t="shared" si="106"/>
        <v>0</v>
      </c>
      <c r="AS84" s="7">
        <f t="shared" si="107"/>
        <v>0</v>
      </c>
      <c r="AT84" s="7">
        <f>0</f>
        <v>0</v>
      </c>
      <c r="AU84" s="7">
        <f t="shared" si="108"/>
        <v>14405.458999999999</v>
      </c>
      <c r="AV84" s="1">
        <f t="shared" si="109"/>
        <v>1</v>
      </c>
      <c r="AW84" s="1">
        <f>MIN(10,M84+0+0)</f>
        <v>4</v>
      </c>
      <c r="AX84" s="1">
        <f t="shared" si="110"/>
        <v>0</v>
      </c>
      <c r="AY84" s="1">
        <f t="shared" si="133"/>
        <v>6</v>
      </c>
      <c r="AZ84" s="1">
        <f t="shared" si="111"/>
        <v>3</v>
      </c>
      <c r="BA84" s="1">
        <f>MIN(6,Q84+0)</f>
        <v>2</v>
      </c>
      <c r="BB84" s="1">
        <f t="shared" si="126"/>
        <v>5</v>
      </c>
      <c r="BC84" s="1">
        <f>MIN(3,S84+1)</f>
        <v>1</v>
      </c>
      <c r="BD84" s="1">
        <f t="shared" si="134"/>
        <v>0</v>
      </c>
      <c r="BE84" s="1">
        <f t="shared" si="127"/>
        <v>0</v>
      </c>
      <c r="BF84" s="1">
        <f>MIN(4,V84+0)</f>
        <v>1</v>
      </c>
      <c r="BG84" s="1">
        <f t="shared" si="131"/>
        <v>1</v>
      </c>
      <c r="BH84" s="1">
        <f t="shared" si="128"/>
        <v>1</v>
      </c>
      <c r="BI84" s="1">
        <f t="shared" si="132"/>
        <v>1</v>
      </c>
      <c r="BJ84" s="1">
        <f t="shared" si="94"/>
        <v>0</v>
      </c>
      <c r="BK84" s="1">
        <f t="shared" si="95"/>
        <v>0</v>
      </c>
      <c r="BL84" s="1">
        <f t="shared" si="100"/>
        <v>0</v>
      </c>
      <c r="BM84" s="1">
        <f t="shared" si="98"/>
        <v>0</v>
      </c>
      <c r="BN84" s="1">
        <f t="shared" si="129"/>
        <v>1</v>
      </c>
      <c r="BO84" s="1">
        <f t="shared" si="130"/>
        <v>1</v>
      </c>
    </row>
    <row r="85" spans="1:67" ht="30.95" customHeight="1">
      <c r="A85" s="1">
        <f>2</f>
        <v>2</v>
      </c>
      <c r="B85" s="1">
        <f>固定流程!A13</f>
        <v>8</v>
      </c>
      <c r="C85" s="1">
        <f>5</f>
        <v>5</v>
      </c>
      <c r="D85" s="1">
        <f>1</f>
        <v>1</v>
      </c>
      <c r="E85" s="1">
        <f>固定流程!C13</f>
        <v>2</v>
      </c>
      <c r="F85" s="1">
        <f>固定流程!G13</f>
        <v>3</v>
      </c>
      <c r="G85" s="1" t="str">
        <f>固定流程!H13</f>
        <v>RHI_ATTACK</v>
      </c>
      <c r="H85" s="1">
        <f>固定流程!F13</f>
        <v>1</v>
      </c>
      <c r="I85" s="1">
        <f>INDEX(配置与结果!$B$15:$B$18,F85)</f>
        <v>2597</v>
      </c>
      <c r="J85" s="1">
        <f>INDEX(配置与结果!$D$15:$D$18,F85)</f>
        <v>0.255</v>
      </c>
      <c r="K85" s="1">
        <f>INDEX(配置与结果!$E$15:$E$18,F85)</f>
        <v>1.55</v>
      </c>
      <c r="L85" s="1">
        <f>IF(AV84=1,IF(M85&gt;=10,2,1),IF(AV84=2,IF(AX84&lt;=1,0,2),0))</f>
        <v>1</v>
      </c>
      <c r="M85" s="1">
        <f>IF(AND(AV84=2,AX84&lt;=1),0,MIN(10,AW84+IF(AV84=1,3,0)))</f>
        <v>7</v>
      </c>
      <c r="N85" s="1">
        <f>IF(AND(AV84=1,M85&gt;=10),2,IF(AV84=2,MAX(0,AX84-1),0))</f>
        <v>0</v>
      </c>
      <c r="O85" s="1">
        <f t="shared" ref="O85:O113" si="135">AY84</f>
        <v>6</v>
      </c>
      <c r="P85" s="1">
        <f>MIN(方案参数!$AI$5,AZ84+方案参数!$AJ$5+方案参数!$AK$5)</f>
        <v>5</v>
      </c>
      <c r="Q85" s="1">
        <f t="shared" si="113"/>
        <v>2</v>
      </c>
      <c r="R85" s="1">
        <f t="shared" si="114"/>
        <v>5</v>
      </c>
      <c r="S85" s="1">
        <f t="shared" si="115"/>
        <v>1</v>
      </c>
      <c r="T85" s="1">
        <f t="shared" si="116"/>
        <v>0</v>
      </c>
      <c r="U85" s="1">
        <f t="shared" si="117"/>
        <v>0</v>
      </c>
      <c r="V85" s="1">
        <f t="shared" si="118"/>
        <v>1</v>
      </c>
      <c r="W85" s="1">
        <f t="shared" si="119"/>
        <v>1</v>
      </c>
      <c r="X85" s="1">
        <f t="shared" si="120"/>
        <v>1</v>
      </c>
      <c r="Y85" s="1">
        <f t="shared" si="121"/>
        <v>1</v>
      </c>
      <c r="Z85" s="1">
        <f t="shared" si="122"/>
        <v>0</v>
      </c>
      <c r="AA85" s="1">
        <f>MAX(BK84,1)</f>
        <v>1</v>
      </c>
      <c r="AB85" s="1">
        <f t="shared" si="124"/>
        <v>0</v>
      </c>
      <c r="AC85" s="1">
        <f t="shared" si="125"/>
        <v>0</v>
      </c>
      <c r="AD85" s="1">
        <f>ROUNDDOWN(I85*(1+IF(F85=3,0.05+方案参数!$Y$5+AA85*0.12,IF(F85=4,方案参数!$BZ$5*方案参数!$AS$5,0)))+IF(AND(X85=1,F85&lt;&gt;3),方案参数!$CC$5,0)+AC85*方案参数!$CB$5,0)</f>
        <v>3298</v>
      </c>
      <c r="AE85" s="1">
        <f>IF(OR(F85=1,F85=4),配置与结果!$B$24,配置与结果!$B$25)*MAX(0,1-INDEX(配置与结果!$I$15:$I$18,F85))</f>
        <v>1000</v>
      </c>
      <c r="AF85" s="1">
        <f>4</f>
        <v>4</v>
      </c>
      <c r="AG85" s="1">
        <f>MAX(配置与结果!$B$32,1+INDEX(配置与结果!$F$15:$F$18,F85)+0+Q85*方案参数!$W$5+Y85*(方案参数!$AN$5+MIN(方案参数!$AO$5,P85*0.03))+AB85*方案参数!$BZ$5*0.025-配置与结果!$B$28)</f>
        <v>0.97499999999999998</v>
      </c>
      <c r="AH85" s="1">
        <f>MAX(0,1+INDEX(配置与结果!$G$15:$G$18,F85)+W85*方案参数!$AG$5)</f>
        <v>1.3</v>
      </c>
      <c r="AI85" s="1">
        <f>IF(OR(INDEX(配置与结果!$K$15:$K$18,F85)=1,G85="RHI_BERRY"),1+配置与结果!$B$33+P85*方案参数!$AH$5,1)</f>
        <v>1</v>
      </c>
      <c r="AJ85" s="1">
        <f>MIN(1,MAX(0,J85+方案参数!$AB$5-配置与结果!$B$27))</f>
        <v>0.55499999999999994</v>
      </c>
      <c r="AK85" s="1">
        <f>MAX(1,K85+IF(F85=2,0.15+方案参数!$CH$5,0)+BN85*方案参数!$X$5+R85*方案参数!$AA$5+0-配置与结果!$B$26+Z85*(方案参数!$AP$5+MIN(方案参数!$AQ$5,P85*0.03)))</f>
        <v>1.33</v>
      </c>
      <c r="AL85" s="7">
        <f>ROUNDDOWN(MAX(AD85*配置与结果!$B$31,AD85-AE85)*AF85*AG85*AH85*AI85,0)</f>
        <v>11650</v>
      </c>
      <c r="AM85" s="7">
        <f>ROUNDDOWN(MAX(AD85*配置与结果!$B$31,AD85-AE85)*AF85*AG85*AH85*AI85*AK85,0)</f>
        <v>15495</v>
      </c>
      <c r="AN85" s="7">
        <f t="shared" si="104"/>
        <v>13783.974999999999</v>
      </c>
      <c r="AO85" s="7">
        <f>0</f>
        <v>0</v>
      </c>
      <c r="AP85" s="7">
        <f>MAX(0,1+INDEX(配置与结果!$J$15:$J$18,F85)+IF(T85&gt;0,方案参数!$BY$5,0)-配置与结果!$B$30)</f>
        <v>1</v>
      </c>
      <c r="AQ85" s="7">
        <f t="shared" si="105"/>
        <v>0</v>
      </c>
      <c r="AR85" s="7">
        <f t="shared" si="106"/>
        <v>0</v>
      </c>
      <c r="AS85" s="7">
        <f t="shared" si="107"/>
        <v>0</v>
      </c>
      <c r="AT85" s="7">
        <f>0</f>
        <v>0</v>
      </c>
      <c r="AU85" s="7">
        <f t="shared" si="108"/>
        <v>13783.974999999999</v>
      </c>
      <c r="AV85" s="1">
        <f t="shared" si="109"/>
        <v>1</v>
      </c>
      <c r="AW85" s="1">
        <f>MIN(10,M85+0+0)</f>
        <v>7</v>
      </c>
      <c r="AX85" s="1">
        <f t="shared" si="110"/>
        <v>0</v>
      </c>
      <c r="AY85" s="1">
        <f t="shared" si="133"/>
        <v>6</v>
      </c>
      <c r="AZ85" s="1">
        <f t="shared" si="111"/>
        <v>5</v>
      </c>
      <c r="BA85" s="1">
        <f>MIN(6,Q85+1)</f>
        <v>3</v>
      </c>
      <c r="BB85" s="1">
        <f t="shared" si="126"/>
        <v>5</v>
      </c>
      <c r="BC85" s="1">
        <f>MIN(3,S85+0)</f>
        <v>1</v>
      </c>
      <c r="BD85" s="1">
        <f t="shared" si="134"/>
        <v>0</v>
      </c>
      <c r="BE85" s="1">
        <f t="shared" si="127"/>
        <v>0</v>
      </c>
      <c r="BF85" s="1">
        <f>MIN(4,V85+0)</f>
        <v>1</v>
      </c>
      <c r="BG85" s="1">
        <f t="shared" si="131"/>
        <v>1</v>
      </c>
      <c r="BH85" s="1">
        <f t="shared" si="128"/>
        <v>1</v>
      </c>
      <c r="BI85" s="1">
        <f t="shared" si="132"/>
        <v>1</v>
      </c>
      <c r="BJ85" s="1">
        <f>MAX(Z85,1)</f>
        <v>1</v>
      </c>
      <c r="BK85" s="1">
        <f>MAX(AA85,1)</f>
        <v>1</v>
      </c>
      <c r="BL85" s="1">
        <f t="shared" si="100"/>
        <v>0</v>
      </c>
      <c r="BM85" s="1">
        <f t="shared" si="98"/>
        <v>0</v>
      </c>
      <c r="BN85" s="1">
        <f t="shared" si="129"/>
        <v>1</v>
      </c>
      <c r="BO85" s="1">
        <f t="shared" si="130"/>
        <v>1</v>
      </c>
    </row>
    <row r="86" spans="1:67" ht="30.95" customHeight="1">
      <c r="A86" s="1">
        <f>2</f>
        <v>2</v>
      </c>
      <c r="B86" s="1">
        <f>固定流程!A14</f>
        <v>9</v>
      </c>
      <c r="C86" s="1">
        <f>5</f>
        <v>5</v>
      </c>
      <c r="D86" s="1">
        <f>1</f>
        <v>1</v>
      </c>
      <c r="E86" s="1">
        <f>固定流程!C14</f>
        <v>2</v>
      </c>
      <c r="F86" s="1">
        <f>固定流程!G14</f>
        <v>1</v>
      </c>
      <c r="G86" s="1" t="str">
        <f>固定流程!H14</f>
        <v>LILYA_DIVE</v>
      </c>
      <c r="H86" s="1">
        <f>固定流程!F14</f>
        <v>3</v>
      </c>
      <c r="I86" s="1">
        <f>INDEX(配置与结果!$B$15:$B$18,F86)</f>
        <v>2296</v>
      </c>
      <c r="J86" s="1">
        <f>INDEX(配置与结果!$D$15:$D$18,F86)</f>
        <v>0.7</v>
      </c>
      <c r="K86" s="1">
        <f>INDEX(配置与结果!$E$15:$E$18,F86)</f>
        <v>2.0249999999999999</v>
      </c>
      <c r="L86" s="1">
        <f t="shared" ref="L86:N90" si="136">AV85</f>
        <v>1</v>
      </c>
      <c r="M86" s="1">
        <f t="shared" si="136"/>
        <v>7</v>
      </c>
      <c r="N86" s="1">
        <f t="shared" si="136"/>
        <v>0</v>
      </c>
      <c r="O86" s="1">
        <f t="shared" si="135"/>
        <v>6</v>
      </c>
      <c r="P86" s="1">
        <f>MIN(方案参数!$AI$5,AZ85+0+0)</f>
        <v>5</v>
      </c>
      <c r="Q86" s="1">
        <f t="shared" si="113"/>
        <v>3</v>
      </c>
      <c r="R86" s="1">
        <f t="shared" si="114"/>
        <v>5</v>
      </c>
      <c r="S86" s="1">
        <f t="shared" si="115"/>
        <v>1</v>
      </c>
      <c r="T86" s="1">
        <f t="shared" si="116"/>
        <v>0</v>
      </c>
      <c r="U86" s="1">
        <f t="shared" si="117"/>
        <v>0</v>
      </c>
      <c r="V86" s="1">
        <f t="shared" si="118"/>
        <v>1</v>
      </c>
      <c r="W86" s="1">
        <f t="shared" si="119"/>
        <v>1</v>
      </c>
      <c r="X86" s="1">
        <f t="shared" si="120"/>
        <v>1</v>
      </c>
      <c r="Y86" s="1">
        <f t="shared" si="121"/>
        <v>1</v>
      </c>
      <c r="Z86" s="1">
        <f t="shared" si="122"/>
        <v>1</v>
      </c>
      <c r="AA86" s="1">
        <f t="shared" ref="AA86:AA91" si="137">MAX(BK85,0)</f>
        <v>1</v>
      </c>
      <c r="AB86" s="1">
        <f t="shared" si="124"/>
        <v>0</v>
      </c>
      <c r="AC86" s="1">
        <f t="shared" si="125"/>
        <v>0</v>
      </c>
      <c r="AD86" s="1">
        <f>ROUNDDOWN(I86*(1+IF(F86=3,0.05+方案参数!$Y$5+AA86*0.12,IF(F86=4,方案参数!$BZ$5*方案参数!$AS$5,0)))+IF(AND(X86=1,F86&lt;&gt;3),方案参数!$CC$5,0)+AC86*方案参数!$CB$5,0)</f>
        <v>2534</v>
      </c>
      <c r="AE86" s="1">
        <f>IF(OR(F86=1,F86=4),配置与结果!$B$24,配置与结果!$B$25)*MAX(0,1-INDEX(配置与结果!$I$15:$I$18,F86))</f>
        <v>1200</v>
      </c>
      <c r="AF86" s="1">
        <f>(IF(L86=1,方案参数!$AW$5,IF(L86=2,方案参数!$AX$5,0))+方案参数!$AV$5)*H86</f>
        <v>18</v>
      </c>
      <c r="AG86" s="1">
        <f>MAX(配置与结果!$B$32,1+INDEX(配置与结果!$F$15:$F$18,F86)+0.08+方案参数!$CD$5+Q86*方案参数!$W$5+Y86*(方案参数!$AN$5+MIN(方案参数!$AO$5,P86*0.03))+AB86*方案参数!$BZ$5*0.025+IF(L86=1,方案参数!$AY$5+(H86-1)*0.1,IF(L86=2,方案参数!$AZ$5+(H86-1)*0.2,0))-配置与结果!$B$28)</f>
        <v>1.6</v>
      </c>
      <c r="AH86" s="1">
        <f>MAX(0,1+INDEX(配置与结果!$G$15:$G$18,F86)+W86*方案参数!$AG$5+IF(L86=1,方案参数!$BA$5,IF(L86=2,方案参数!$BB$5,0))+M86*方案参数!$BC$5)</f>
        <v>2.3199999999999998</v>
      </c>
      <c r="AI86" s="1">
        <f>IF(OR(INDEX(配置与结果!$K$15:$K$18,F86)=1,G86="RHI_BERRY"),1+配置与结果!$B$33+P86*方案参数!$AH$5,1)</f>
        <v>1</v>
      </c>
      <c r="AJ86" s="1">
        <f>MIN(1,MAX(0,J86+方案参数!$AB$5-配置与结果!$B$27))</f>
        <v>1</v>
      </c>
      <c r="AK86" s="1">
        <f>MAX(1,K86+IF(F86=2,0.15+方案参数!$CH$5,0)+BN86*方案参数!$X$5+R86*方案参数!$AA$5+0-配置与结果!$B$26+Z86*(方案参数!$AP$5+MIN(方案参数!$AQ$5,P86*0.03)))</f>
        <v>2.105</v>
      </c>
      <c r="AL86" s="7">
        <f>ROUNDDOWN(MAX(AD86*配置与结果!$B$31,AD86-AE86)*AF86*AG86*AH86*AI86,0)</f>
        <v>89132</v>
      </c>
      <c r="AM86" s="7">
        <f>ROUNDDOWN(MAX(AD86*配置与结果!$B$31,AD86-AE86)*AF86*AG86*AH86*AI86*AK86,0)</f>
        <v>187624</v>
      </c>
      <c r="AN86" s="7">
        <f t="shared" si="104"/>
        <v>187624</v>
      </c>
      <c r="AO86" s="7">
        <f>0</f>
        <v>0</v>
      </c>
      <c r="AP86" s="7">
        <f>MAX(0,1+INDEX(配置与结果!$J$15:$J$18,F86)+IF(T86&gt;0,方案参数!$BY$5,0)-配置与结果!$B$30)</f>
        <v>1</v>
      </c>
      <c r="AQ86" s="7">
        <f t="shared" si="105"/>
        <v>0</v>
      </c>
      <c r="AR86" s="7">
        <f t="shared" si="106"/>
        <v>0</v>
      </c>
      <c r="AS86" s="7">
        <f t="shared" si="107"/>
        <v>0</v>
      </c>
      <c r="AT86" s="7">
        <f>0</f>
        <v>0</v>
      </c>
      <c r="AU86" s="7">
        <f t="shared" si="108"/>
        <v>187624</v>
      </c>
      <c r="AV86" s="1">
        <f t="shared" si="109"/>
        <v>1</v>
      </c>
      <c r="AW86" s="1">
        <f>MIN(10,M86+0+IF(L86=1,方案参数!$BE$5,0))</f>
        <v>8</v>
      </c>
      <c r="AX86" s="1">
        <f t="shared" si="110"/>
        <v>0</v>
      </c>
      <c r="AY86" s="1">
        <f t="shared" si="133"/>
        <v>6</v>
      </c>
      <c r="AZ86" s="1">
        <f t="shared" si="111"/>
        <v>5</v>
      </c>
      <c r="BA86" s="1">
        <f>MIN(6,Q86+0)</f>
        <v>3</v>
      </c>
      <c r="BB86" s="1">
        <f t="shared" si="126"/>
        <v>5</v>
      </c>
      <c r="BC86" s="1">
        <f>MIN(3,S86+0)</f>
        <v>1</v>
      </c>
      <c r="BD86" s="1">
        <f t="shared" si="134"/>
        <v>0</v>
      </c>
      <c r="BE86" s="1">
        <f t="shared" si="127"/>
        <v>0</v>
      </c>
      <c r="BF86" s="1">
        <f>MIN(4,V86+0)</f>
        <v>1</v>
      </c>
      <c r="BG86" s="1">
        <f t="shared" si="131"/>
        <v>1</v>
      </c>
      <c r="BH86" s="1">
        <f t="shared" si="128"/>
        <v>1</v>
      </c>
      <c r="BI86" s="1">
        <f t="shared" si="132"/>
        <v>1</v>
      </c>
      <c r="BJ86" s="1">
        <f t="shared" ref="BJ86:BK91" si="138">MAX(Z86,0)</f>
        <v>1</v>
      </c>
      <c r="BK86" s="1">
        <f t="shared" si="138"/>
        <v>1</v>
      </c>
      <c r="BL86" s="1">
        <f t="shared" si="100"/>
        <v>0</v>
      </c>
      <c r="BM86" s="1">
        <f t="shared" si="98"/>
        <v>0</v>
      </c>
      <c r="BN86" s="1">
        <f t="shared" si="129"/>
        <v>1</v>
      </c>
      <c r="BO86" s="1">
        <f t="shared" si="130"/>
        <v>1</v>
      </c>
    </row>
    <row r="87" spans="1:67" ht="30.95" customHeight="1">
      <c r="A87" s="1">
        <f>2</f>
        <v>2</v>
      </c>
      <c r="B87" s="1">
        <f>固定流程!A15</f>
        <v>10</v>
      </c>
      <c r="C87" s="1">
        <f>5</f>
        <v>5</v>
      </c>
      <c r="D87" s="1">
        <f>1</f>
        <v>1</v>
      </c>
      <c r="E87" s="1">
        <f>固定流程!C15</f>
        <v>2</v>
      </c>
      <c r="F87" s="1">
        <f>固定流程!G15</f>
        <v>4</v>
      </c>
      <c r="G87" s="1" t="str">
        <f>固定流程!H15</f>
        <v>J_HARD</v>
      </c>
      <c r="H87" s="1">
        <f>固定流程!F15</f>
        <v>1</v>
      </c>
      <c r="I87" s="1">
        <f>INDEX(配置与结果!$B$15:$B$18,F87)</f>
        <v>1906</v>
      </c>
      <c r="J87" s="1">
        <f>INDEX(配置与结果!$D$15:$D$18,F87)</f>
        <v>0.36699999999999999</v>
      </c>
      <c r="K87" s="1">
        <f>INDEX(配置与结果!$E$15:$E$18,F87)</f>
        <v>1.7170000000000001</v>
      </c>
      <c r="L87" s="1">
        <f t="shared" si="136"/>
        <v>1</v>
      </c>
      <c r="M87" s="1">
        <f t="shared" si="136"/>
        <v>8</v>
      </c>
      <c r="N87" s="1">
        <f t="shared" si="136"/>
        <v>0</v>
      </c>
      <c r="O87" s="1">
        <f t="shared" si="135"/>
        <v>6</v>
      </c>
      <c r="P87" s="1">
        <f>MIN(方案参数!$AI$5,AZ86+0+0)</f>
        <v>5</v>
      </c>
      <c r="Q87" s="1">
        <f t="shared" si="113"/>
        <v>3</v>
      </c>
      <c r="R87" s="1">
        <f t="shared" si="114"/>
        <v>5</v>
      </c>
      <c r="S87" s="1">
        <f t="shared" si="115"/>
        <v>1</v>
      </c>
      <c r="T87" s="1">
        <f t="shared" si="116"/>
        <v>0</v>
      </c>
      <c r="U87" s="1">
        <f t="shared" si="117"/>
        <v>0</v>
      </c>
      <c r="V87" s="1">
        <f t="shared" si="118"/>
        <v>1</v>
      </c>
      <c r="W87" s="1">
        <f t="shared" si="119"/>
        <v>1</v>
      </c>
      <c r="X87" s="1">
        <f t="shared" si="120"/>
        <v>1</v>
      </c>
      <c r="Y87" s="1">
        <f t="shared" si="121"/>
        <v>1</v>
      </c>
      <c r="Z87" s="1">
        <f t="shared" si="122"/>
        <v>1</v>
      </c>
      <c r="AA87" s="1">
        <f t="shared" si="137"/>
        <v>1</v>
      </c>
      <c r="AB87" s="1">
        <f t="shared" si="124"/>
        <v>0</v>
      </c>
      <c r="AC87" s="1">
        <f t="shared" si="125"/>
        <v>0</v>
      </c>
      <c r="AD87" s="1">
        <f>ROUNDDOWN(I87*(1+IF(F87=3,0.05+方案参数!$Y$5+AA87*0.12,IF(F87=4,方案参数!$BZ$5*方案参数!$AS$5,0)))+IF(AND(X87=1,F87&lt;&gt;3),方案参数!$CC$5,0)+AC87*方案参数!$CB$5,0)</f>
        <v>2811</v>
      </c>
      <c r="AE87" s="1">
        <f>IF(OR(F87=1,F87=4),配置与结果!$B$24,配置与结果!$B$25)*MAX(0,1-INDEX(配置与结果!$I$15:$I$18,F87))</f>
        <v>1200</v>
      </c>
      <c r="AF87" s="1">
        <f>3.6*IF(H87=1,1,IF(H87=2,1.5,2.5))</f>
        <v>3.6</v>
      </c>
      <c r="AG87" s="1">
        <f>MAX(配置与结果!$B$32,1+INDEX(配置与结果!$F$15:$F$18,F87)+0.08+Q87*方案参数!$W$5+Y87*(方案参数!$AN$5+MIN(方案参数!$AO$5,P87*0.03))+AB87*方案参数!$BZ$5*0.025+0.1+IF(方案参数!$BZ$5&gt;=30,方案参数!$BZ$5*0.01,0)-配置与结果!$B$28)</f>
        <v>1.5150000000000001</v>
      </c>
      <c r="AH87" s="1">
        <f>MAX(0,1+INDEX(配置与结果!$G$15:$G$18,F87)+W87*方案参数!$AG$5)</f>
        <v>1.3</v>
      </c>
      <c r="AI87" s="1">
        <f>IF(OR(INDEX(配置与结果!$K$15:$K$18,F87)=1,G87="RHI_BERRY"),1+配置与结果!$B$33+P87*方案参数!$AH$5,1)</f>
        <v>1</v>
      </c>
      <c r="AJ87" s="1">
        <f>MIN(1,MAX(0,J87+方案参数!$AB$5-配置与结果!$B$27))</f>
        <v>0.66700000000000004</v>
      </c>
      <c r="AK87" s="1">
        <f>MAX(1,K87+IF(F87=2,0.15+方案参数!$CH$5,0)+BN87*方案参数!$X$5+R87*方案参数!$AA$5+0-配置与结果!$B$26+Z87*(方案参数!$AP$5+MIN(方案参数!$AQ$5,P87*0.03)))</f>
        <v>1.7969999999999999</v>
      </c>
      <c r="AL87" s="7">
        <f>ROUNDDOWN(MAX(AD87*配置与结果!$B$31,AD87-AE87)*AF87*AG87*AH87*AI87,0)</f>
        <v>11422</v>
      </c>
      <c r="AM87" s="7">
        <f>ROUNDDOWN(MAX(AD87*配置与结果!$B$31,AD87-AE87)*AF87*AG87*AH87*AI87*AK87,0)</f>
        <v>20525</v>
      </c>
      <c r="AN87" s="7">
        <f t="shared" si="104"/>
        <v>17493.701000000001</v>
      </c>
      <c r="AO87" s="7">
        <f>0</f>
        <v>0</v>
      </c>
      <c r="AP87" s="7">
        <f>MAX(0,1+INDEX(配置与结果!$J$15:$J$18,F87)+IF(T87&gt;0,方案参数!$BY$5,0)-配置与结果!$B$30)</f>
        <v>1</v>
      </c>
      <c r="AQ87" s="7">
        <f t="shared" si="105"/>
        <v>0</v>
      </c>
      <c r="AR87" s="7">
        <f t="shared" si="106"/>
        <v>0</v>
      </c>
      <c r="AS87" s="7">
        <f t="shared" si="107"/>
        <v>0</v>
      </c>
      <c r="AT87" s="7">
        <f>0</f>
        <v>0</v>
      </c>
      <c r="AU87" s="7">
        <f t="shared" si="108"/>
        <v>17493.701000000001</v>
      </c>
      <c r="AV87" s="1">
        <f t="shared" si="109"/>
        <v>1</v>
      </c>
      <c r="AW87" s="1">
        <f t="shared" ref="AW87:AW97" si="139">MIN(10,M87+0+0)</f>
        <v>8</v>
      </c>
      <c r="AX87" s="1">
        <f t="shared" si="110"/>
        <v>0</v>
      </c>
      <c r="AY87" s="1">
        <f t="shared" si="133"/>
        <v>6</v>
      </c>
      <c r="AZ87" s="1">
        <f t="shared" si="111"/>
        <v>5</v>
      </c>
      <c r="BA87" s="1">
        <f>MIN(6,Q87+0)</f>
        <v>3</v>
      </c>
      <c r="BB87" s="1">
        <f t="shared" si="126"/>
        <v>5</v>
      </c>
      <c r="BC87" s="1">
        <f>MIN(3,S87+1)</f>
        <v>2</v>
      </c>
      <c r="BD87" s="1">
        <f t="shared" si="134"/>
        <v>0</v>
      </c>
      <c r="BE87" s="1">
        <f t="shared" si="127"/>
        <v>0</v>
      </c>
      <c r="BF87" s="1">
        <f>MIN(4,V87+0)</f>
        <v>1</v>
      </c>
      <c r="BG87" s="1">
        <f t="shared" si="131"/>
        <v>1</v>
      </c>
      <c r="BH87" s="1">
        <f t="shared" si="128"/>
        <v>1</v>
      </c>
      <c r="BI87" s="1">
        <f t="shared" si="132"/>
        <v>1</v>
      </c>
      <c r="BJ87" s="1">
        <f t="shared" si="138"/>
        <v>1</v>
      </c>
      <c r="BK87" s="1">
        <f t="shared" si="138"/>
        <v>1</v>
      </c>
      <c r="BL87" s="1">
        <f t="shared" si="100"/>
        <v>0</v>
      </c>
      <c r="BM87" s="1">
        <f t="shared" si="98"/>
        <v>0</v>
      </c>
      <c r="BN87" s="1">
        <f t="shared" si="129"/>
        <v>1</v>
      </c>
      <c r="BO87" s="1">
        <f t="shared" si="130"/>
        <v>1</v>
      </c>
    </row>
    <row r="88" spans="1:67" ht="30.95" customHeight="1">
      <c r="A88" s="1">
        <f>2</f>
        <v>2</v>
      </c>
      <c r="B88" s="1">
        <f>固定流程!A16</f>
        <v>11</v>
      </c>
      <c r="C88" s="1">
        <f>5</f>
        <v>5</v>
      </c>
      <c r="D88" s="1">
        <f>1</f>
        <v>1</v>
      </c>
      <c r="E88" s="1">
        <f>固定流程!C16</f>
        <v>2</v>
      </c>
      <c r="F88" s="1">
        <f>固定流程!G16</f>
        <v>2</v>
      </c>
      <c r="G88" s="1" t="str">
        <f>固定流程!H16</f>
        <v>37_CURVE</v>
      </c>
      <c r="H88" s="1">
        <f>固定流程!F16</f>
        <v>1</v>
      </c>
      <c r="I88" s="1">
        <f>INDEX(配置与结果!$B$15:$B$18,F88)</f>
        <v>2306</v>
      </c>
      <c r="J88" s="1">
        <f>INDEX(配置与结果!$D$15:$D$18,F88)</f>
        <v>0.46</v>
      </c>
      <c r="K88" s="1">
        <f>INDEX(配置与结果!$E$15:$E$18,F88)</f>
        <v>1.9279999999999999</v>
      </c>
      <c r="L88" s="1">
        <f t="shared" si="136"/>
        <v>1</v>
      </c>
      <c r="M88" s="1">
        <f t="shared" si="136"/>
        <v>8</v>
      </c>
      <c r="N88" s="1">
        <f t="shared" si="136"/>
        <v>0</v>
      </c>
      <c r="O88" s="1">
        <f t="shared" si="135"/>
        <v>6</v>
      </c>
      <c r="P88" s="1">
        <f>MIN(方案参数!$AI$5,AZ87+0+0)</f>
        <v>5</v>
      </c>
      <c r="Q88" s="1">
        <f t="shared" si="113"/>
        <v>3</v>
      </c>
      <c r="R88" s="1">
        <f t="shared" si="114"/>
        <v>5</v>
      </c>
      <c r="S88" s="1">
        <f t="shared" si="115"/>
        <v>2</v>
      </c>
      <c r="T88" s="1">
        <f t="shared" si="116"/>
        <v>0</v>
      </c>
      <c r="U88" s="1">
        <f t="shared" si="117"/>
        <v>0</v>
      </c>
      <c r="V88" s="1">
        <f t="shared" si="118"/>
        <v>1</v>
      </c>
      <c r="W88" s="1">
        <f t="shared" si="119"/>
        <v>1</v>
      </c>
      <c r="X88" s="1">
        <f t="shared" si="120"/>
        <v>1</v>
      </c>
      <c r="Y88" s="1">
        <f t="shared" si="121"/>
        <v>1</v>
      </c>
      <c r="Z88" s="1">
        <f t="shared" si="122"/>
        <v>1</v>
      </c>
      <c r="AA88" s="1">
        <f t="shared" si="137"/>
        <v>1</v>
      </c>
      <c r="AB88" s="1">
        <f t="shared" si="124"/>
        <v>0</v>
      </c>
      <c r="AC88" s="1">
        <f t="shared" si="125"/>
        <v>0</v>
      </c>
      <c r="AD88" s="1">
        <f>ROUNDDOWN(I88*(1+IF(F88=3,0.05+方案参数!$Y$5+AA88*0.12,IF(F88=4,方案参数!$BZ$5*方案参数!$AS$5,0)))+IF(AND(X88=1,F88&lt;&gt;3),方案参数!$CC$5,0)+AC88*方案参数!$CB$5,0)</f>
        <v>2544</v>
      </c>
      <c r="AE88" s="1">
        <f>IF(OR(F88=1,F88=4),配置与结果!$B$24,配置与结果!$B$25)*MAX(0,1-INDEX(配置与结果!$I$15:$I$18,F88))</f>
        <v>1000</v>
      </c>
      <c r="AF88" s="1">
        <f>方案参数!$BT$5*IF(H88=1,1,IF(H88=2,1.5,2.5))</f>
        <v>1.4</v>
      </c>
      <c r="AG88" s="1">
        <f>MAX(配置与结果!$B$32,1+INDEX(配置与结果!$F$15:$F$18,F88)+0+Q88*方案参数!$W$5+Y88*(方案参数!$AN$5+MIN(方案参数!$AO$5,P88*0.03))+AB88*方案参数!$BZ$5*0.025-配置与结果!$B$28)</f>
        <v>0.96499999999999997</v>
      </c>
      <c r="AH88" s="1">
        <f>MAX(0,1+INDEX(配置与结果!$G$15:$G$18,F88)+W88*方案参数!$AG$5)</f>
        <v>1.3</v>
      </c>
      <c r="AI88" s="1">
        <f>IF(OR(INDEX(配置与结果!$K$15:$K$18,F88)=1,G88="RHI_BERRY"),1+配置与结果!$B$33+P88*方案参数!$AH$5,1)</f>
        <v>1</v>
      </c>
      <c r="AJ88" s="1">
        <f>MIN(1,MAX(0,J88+方案参数!$AB$5-配置与结果!$B$27))</f>
        <v>0.76</v>
      </c>
      <c r="AK88" s="1">
        <f>MAX(1,K88+IF(F88=2,0.15+方案参数!$CH$5,0)+BN88*方案参数!$X$5+R88*方案参数!$AA$5+0-配置与结果!$B$26+Z88*(方案参数!$AP$5+MIN(方案参数!$AQ$5,P88*0.03)))</f>
        <v>2.278</v>
      </c>
      <c r="AL88" s="7">
        <f>ROUNDDOWN(MAX(AD88*配置与结果!$B$31,AD88-AE88)*AF88*AG88*AH88*AI88,0)</f>
        <v>2711</v>
      </c>
      <c r="AM88" s="7">
        <f>ROUNDDOWN(MAX(AD88*配置与结果!$B$31,AD88-AE88)*AF88*AG88*AH88*AI88*AK88,0)</f>
        <v>6177</v>
      </c>
      <c r="AN88" s="7">
        <f t="shared" si="104"/>
        <v>5345.1600000000008</v>
      </c>
      <c r="AO88" s="7">
        <f>方案参数!$BU$5*IF(H88=1,1,IF(H88=2,1.5,2.5))</f>
        <v>0.8</v>
      </c>
      <c r="AP88" s="7">
        <f>MAX(0,1+INDEX(配置与结果!$J$15:$J$18,F88)+IF(T88&gt;0,方案参数!$BY$5,0)-配置与结果!$B$30)</f>
        <v>1</v>
      </c>
      <c r="AQ88" s="7">
        <f t="shared" si="105"/>
        <v>2035</v>
      </c>
      <c r="AR88" s="7">
        <f t="shared" si="106"/>
        <v>4635</v>
      </c>
      <c r="AS88" s="7">
        <f t="shared" si="107"/>
        <v>4011</v>
      </c>
      <c r="AT88" s="7">
        <f>0</f>
        <v>0</v>
      </c>
      <c r="AU88" s="7">
        <f t="shared" si="108"/>
        <v>9356.16</v>
      </c>
      <c r="AV88" s="1">
        <f t="shared" si="109"/>
        <v>1</v>
      </c>
      <c r="AW88" s="1">
        <f t="shared" si="139"/>
        <v>8</v>
      </c>
      <c r="AX88" s="1">
        <f t="shared" si="110"/>
        <v>0</v>
      </c>
      <c r="AY88" s="1">
        <f t="shared" si="133"/>
        <v>6</v>
      </c>
      <c r="AZ88" s="1">
        <f t="shared" si="111"/>
        <v>5</v>
      </c>
      <c r="BA88" s="1">
        <f>MIN(6,Q88+0)</f>
        <v>3</v>
      </c>
      <c r="BB88" s="1">
        <f t="shared" si="126"/>
        <v>5</v>
      </c>
      <c r="BC88" s="1">
        <f t="shared" ref="BC88:BC94" si="140">MIN(3,S88+0)</f>
        <v>2</v>
      </c>
      <c r="BD88" s="1">
        <f t="shared" si="134"/>
        <v>0</v>
      </c>
      <c r="BE88" s="1">
        <f t="shared" si="127"/>
        <v>0</v>
      </c>
      <c r="BF88" s="1">
        <f>MIN(4,V88+0)</f>
        <v>1</v>
      </c>
      <c r="BG88" s="1">
        <f t="shared" si="131"/>
        <v>1</v>
      </c>
      <c r="BH88" s="1">
        <f t="shared" si="128"/>
        <v>1</v>
      </c>
      <c r="BI88" s="1">
        <f t="shared" si="132"/>
        <v>1</v>
      </c>
      <c r="BJ88" s="1">
        <f t="shared" si="138"/>
        <v>1</v>
      </c>
      <c r="BK88" s="1">
        <f t="shared" si="138"/>
        <v>1</v>
      </c>
      <c r="BL88" s="1">
        <f t="shared" si="100"/>
        <v>0</v>
      </c>
      <c r="BM88" s="1">
        <f t="shared" si="98"/>
        <v>0</v>
      </c>
      <c r="BN88" s="1">
        <f t="shared" si="129"/>
        <v>1</v>
      </c>
      <c r="BO88" s="1">
        <f t="shared" si="130"/>
        <v>1</v>
      </c>
    </row>
    <row r="89" spans="1:67" ht="30.95" customHeight="1">
      <c r="A89" s="1">
        <f>2</f>
        <v>2</v>
      </c>
      <c r="B89" s="1">
        <f>固定流程!A17</f>
        <v>12</v>
      </c>
      <c r="C89" s="1">
        <f>5</f>
        <v>5</v>
      </c>
      <c r="D89" s="1">
        <f>1</f>
        <v>1</v>
      </c>
      <c r="E89" s="1">
        <f>固定流程!C17</f>
        <v>2</v>
      </c>
      <c r="F89" s="1">
        <f>固定流程!G17</f>
        <v>2</v>
      </c>
      <c r="G89" s="1" t="str">
        <f>固定流程!H17</f>
        <v>37_FOLLOW</v>
      </c>
      <c r="H89" s="1">
        <f>固定流程!F17</f>
        <v>1</v>
      </c>
      <c r="I89" s="1">
        <f>INDEX(配置与结果!$B$15:$B$18,F89)</f>
        <v>2306</v>
      </c>
      <c r="J89" s="1">
        <f>INDEX(配置与结果!$D$15:$D$18,F89)</f>
        <v>0.46</v>
      </c>
      <c r="K89" s="1">
        <f>INDEX(配置与结果!$E$15:$E$18,F89)</f>
        <v>1.9279999999999999</v>
      </c>
      <c r="L89" s="1">
        <f t="shared" si="136"/>
        <v>1</v>
      </c>
      <c r="M89" s="1">
        <f t="shared" si="136"/>
        <v>8</v>
      </c>
      <c r="N89" s="1">
        <f t="shared" si="136"/>
        <v>0</v>
      </c>
      <c r="O89" s="1">
        <f t="shared" si="135"/>
        <v>6</v>
      </c>
      <c r="P89" s="1">
        <f>MIN(方案参数!$AI$5,AZ88+0+0)</f>
        <v>5</v>
      </c>
      <c r="Q89" s="1">
        <f t="shared" si="113"/>
        <v>3</v>
      </c>
      <c r="R89" s="1">
        <f t="shared" si="114"/>
        <v>5</v>
      </c>
      <c r="S89" s="1">
        <f t="shared" si="115"/>
        <v>2</v>
      </c>
      <c r="T89" s="1">
        <f t="shared" si="116"/>
        <v>0</v>
      </c>
      <c r="U89" s="1">
        <f t="shared" si="117"/>
        <v>0</v>
      </c>
      <c r="V89" s="1">
        <f t="shared" si="118"/>
        <v>1</v>
      </c>
      <c r="W89" s="1">
        <f t="shared" si="119"/>
        <v>1</v>
      </c>
      <c r="X89" s="1">
        <f t="shared" si="120"/>
        <v>1</v>
      </c>
      <c r="Y89" s="1">
        <f t="shared" si="121"/>
        <v>1</v>
      </c>
      <c r="Z89" s="1">
        <f t="shared" si="122"/>
        <v>1</v>
      </c>
      <c r="AA89" s="1">
        <f t="shared" si="137"/>
        <v>1</v>
      </c>
      <c r="AB89" s="1">
        <f t="shared" si="124"/>
        <v>0</v>
      </c>
      <c r="AC89" s="1">
        <f t="shared" si="125"/>
        <v>0</v>
      </c>
      <c r="AD89" s="1">
        <f>ROUNDDOWN(I89*(1+IF(F89=3,0.05+方案参数!$Y$5+AA89*0.12,IF(F89=4,方案参数!$BZ$5*方案参数!$AS$5,0)))+IF(AND(X89=1,F89&lt;&gt;3),方案参数!$CC$5,0)+AC89*方案参数!$CB$5,0)</f>
        <v>2544</v>
      </c>
      <c r="AE89" s="1">
        <f>IF(OR(F89=1,F89=4),配置与结果!$B$24,配置与结果!$B$25)*MAX(0,1-INDEX(配置与结果!$I$15:$I$18,F89))</f>
        <v>1000</v>
      </c>
      <c r="AF89" s="1">
        <f>方案参数!$BV$5</f>
        <v>3</v>
      </c>
      <c r="AG89" s="1">
        <f>MAX(配置与结果!$B$32,1+INDEX(配置与结果!$F$15:$F$18,F89)+0+Q89*方案参数!$W$5+Y89*(方案参数!$AN$5+MIN(方案参数!$AO$5,P89*0.03))+AB89*方案参数!$BZ$5*0.025-配置与结果!$B$28)</f>
        <v>0.96499999999999997</v>
      </c>
      <c r="AH89" s="1">
        <f>MAX(0,1+INDEX(配置与结果!$G$15:$G$18,F89)+W89*方案参数!$AG$5)</f>
        <v>1.3</v>
      </c>
      <c r="AI89" s="1">
        <f>IF(OR(INDEX(配置与结果!$K$15:$K$18,F89)=1,G89="RHI_BERRY"),1+配置与结果!$B$33+P89*方案参数!$AH$5,1)</f>
        <v>1</v>
      </c>
      <c r="AJ89" s="1">
        <f>MIN(1,MAX(0,J89+方案参数!$AB$5-配置与结果!$B$27))</f>
        <v>0.76</v>
      </c>
      <c r="AK89" s="1">
        <f>MAX(1,K89+IF(F89=2,0.15+方案参数!$CH$5,0)+BN89*方案参数!$X$5+R89*方案参数!$AA$5+0-配置与结果!$B$26+Z89*(方案参数!$AP$5+MIN(方案参数!$AQ$5,P89*0.03)))</f>
        <v>2.278</v>
      </c>
      <c r="AL89" s="7">
        <f>ROUNDDOWN(MAX(AD89*配置与结果!$B$31,AD89-AE89)*AF89*AG89*AH89*AI89,0)</f>
        <v>5810</v>
      </c>
      <c r="AM89" s="7">
        <f>ROUNDDOWN(MAX(AD89*配置与结果!$B$31,AD89-AE89)*AF89*AG89*AH89*AI89*AK89,0)</f>
        <v>13237</v>
      </c>
      <c r="AN89" s="7">
        <f t="shared" si="104"/>
        <v>11454.52</v>
      </c>
      <c r="AO89" s="7">
        <f>方案参数!$BW$5</f>
        <v>1</v>
      </c>
      <c r="AP89" s="7">
        <f>MAX(0,1+INDEX(配置与结果!$J$15:$J$18,F89)+IF(T89&gt;0,方案参数!$BY$5,0)-配置与结果!$B$30)</f>
        <v>1</v>
      </c>
      <c r="AQ89" s="7">
        <f t="shared" si="105"/>
        <v>2544</v>
      </c>
      <c r="AR89" s="7">
        <f t="shared" si="106"/>
        <v>5795</v>
      </c>
      <c r="AS89" s="7">
        <f t="shared" si="107"/>
        <v>5014.76</v>
      </c>
      <c r="AT89" s="7">
        <f>0</f>
        <v>0</v>
      </c>
      <c r="AU89" s="7">
        <f t="shared" si="108"/>
        <v>16469.28</v>
      </c>
      <c r="AV89" s="1">
        <f t="shared" si="109"/>
        <v>1</v>
      </c>
      <c r="AW89" s="1">
        <f t="shared" si="139"/>
        <v>8</v>
      </c>
      <c r="AX89" s="1">
        <f t="shared" si="110"/>
        <v>0</v>
      </c>
      <c r="AY89" s="1">
        <f t="shared" si="133"/>
        <v>6</v>
      </c>
      <c r="AZ89" s="1">
        <f t="shared" si="111"/>
        <v>5</v>
      </c>
      <c r="BA89" s="1">
        <f>MIN(6,Q89+0)</f>
        <v>3</v>
      </c>
      <c r="BB89" s="1">
        <f t="shared" si="126"/>
        <v>5</v>
      </c>
      <c r="BC89" s="1">
        <f t="shared" si="140"/>
        <v>2</v>
      </c>
      <c r="BD89" s="1">
        <f t="shared" si="134"/>
        <v>0</v>
      </c>
      <c r="BE89" s="1">
        <f t="shared" si="127"/>
        <v>0</v>
      </c>
      <c r="BF89" s="1">
        <f>MIN(4,V89+1)</f>
        <v>2</v>
      </c>
      <c r="BG89" s="1">
        <f t="shared" si="131"/>
        <v>1</v>
      </c>
      <c r="BH89" s="1">
        <f t="shared" si="128"/>
        <v>1</v>
      </c>
      <c r="BI89" s="1">
        <f t="shared" si="132"/>
        <v>1</v>
      </c>
      <c r="BJ89" s="1">
        <f t="shared" si="138"/>
        <v>1</v>
      </c>
      <c r="BK89" s="1">
        <f t="shared" si="138"/>
        <v>1</v>
      </c>
      <c r="BL89" s="1">
        <f t="shared" si="100"/>
        <v>0</v>
      </c>
      <c r="BM89" s="1">
        <f t="shared" si="98"/>
        <v>0</v>
      </c>
      <c r="BN89" s="1">
        <f t="shared" si="129"/>
        <v>1</v>
      </c>
      <c r="BO89" s="1">
        <f t="shared" si="130"/>
        <v>1</v>
      </c>
    </row>
    <row r="90" spans="1:67" ht="30.95" customHeight="1">
      <c r="A90" s="1">
        <f>2</f>
        <v>2</v>
      </c>
      <c r="B90" s="1">
        <f>固定流程!A18</f>
        <v>13</v>
      </c>
      <c r="C90" s="1">
        <f>5</f>
        <v>5</v>
      </c>
      <c r="D90" s="1">
        <f>1</f>
        <v>1</v>
      </c>
      <c r="E90" s="1">
        <f>固定流程!C18</f>
        <v>2</v>
      </c>
      <c r="F90" s="1">
        <f>固定流程!G18</f>
        <v>3</v>
      </c>
      <c r="G90" s="1" t="str">
        <f>固定流程!H18</f>
        <v>RHI_BERRY</v>
      </c>
      <c r="H90" s="1">
        <f>固定流程!F18</f>
        <v>1</v>
      </c>
      <c r="I90" s="1">
        <f>INDEX(配置与结果!$B$15:$B$18,F90)</f>
        <v>2597</v>
      </c>
      <c r="J90" s="1">
        <f>INDEX(配置与结果!$D$15:$D$18,F90)</f>
        <v>0.255</v>
      </c>
      <c r="K90" s="1">
        <f>INDEX(配置与结果!$E$15:$E$18,F90)</f>
        <v>1.55</v>
      </c>
      <c r="L90" s="1">
        <f t="shared" si="136"/>
        <v>1</v>
      </c>
      <c r="M90" s="1">
        <f t="shared" si="136"/>
        <v>8</v>
      </c>
      <c r="N90" s="1">
        <f t="shared" si="136"/>
        <v>0</v>
      </c>
      <c r="O90" s="1">
        <f t="shared" si="135"/>
        <v>6</v>
      </c>
      <c r="P90" s="1">
        <f>MIN(方案参数!$AI$5,AZ89+0+0)</f>
        <v>5</v>
      </c>
      <c r="Q90" s="1">
        <f t="shared" si="113"/>
        <v>3</v>
      </c>
      <c r="R90" s="1">
        <f t="shared" si="114"/>
        <v>5</v>
      </c>
      <c r="S90" s="1">
        <f t="shared" si="115"/>
        <v>2</v>
      </c>
      <c r="T90" s="1">
        <f t="shared" si="116"/>
        <v>0</v>
      </c>
      <c r="U90" s="1">
        <f t="shared" si="117"/>
        <v>0</v>
      </c>
      <c r="V90" s="1">
        <f t="shared" si="118"/>
        <v>2</v>
      </c>
      <c r="W90" s="1">
        <f t="shared" si="119"/>
        <v>1</v>
      </c>
      <c r="X90" s="1">
        <f t="shared" si="120"/>
        <v>1</v>
      </c>
      <c r="Y90" s="1">
        <f t="shared" si="121"/>
        <v>1</v>
      </c>
      <c r="Z90" s="1">
        <f t="shared" si="122"/>
        <v>1</v>
      </c>
      <c r="AA90" s="1">
        <f t="shared" si="137"/>
        <v>1</v>
      </c>
      <c r="AB90" s="1">
        <f t="shared" si="124"/>
        <v>0</v>
      </c>
      <c r="AC90" s="1">
        <f t="shared" si="125"/>
        <v>0</v>
      </c>
      <c r="AD90" s="1">
        <f>ROUNDDOWN(I90*(1+IF(F90=3,0.05+方案参数!$Y$5+AA90*0.12,IF(F90=4,方案参数!$BZ$5*方案参数!$AS$5,0)))+IF(AND(X90=1,F90&lt;&gt;3),方案参数!$CC$5,0)+AC90*方案参数!$CB$5,0)</f>
        <v>3298</v>
      </c>
      <c r="AE90" s="1">
        <f>IF(OR(F90=1,F90=4),配置与结果!$B$24,配置与结果!$B$25)*MAX(0,1-INDEX(配置与结果!$I$15:$I$18,F90))</f>
        <v>1000</v>
      </c>
      <c r="AF90" s="1">
        <f>方案参数!$CF$5+P90*方案参数!$CG$5</f>
        <v>22.5</v>
      </c>
      <c r="AG90" s="1">
        <f>MAX(配置与结果!$B$32,1+INDEX(配置与结果!$F$15:$F$18,F90)+0+Q90*方案参数!$W$5+Y90*(方案参数!$AN$5+MIN(方案参数!$AO$5,P90*0.03))+AB90*方案参数!$BZ$5*0.025-配置与结果!$B$28)</f>
        <v>0.995</v>
      </c>
      <c r="AH90" s="1">
        <f>MAX(0,1+INDEX(配置与结果!$G$15:$G$18,F90)+W90*方案参数!$AG$5)</f>
        <v>1.3</v>
      </c>
      <c r="AI90" s="1">
        <f>IF(OR(INDEX(配置与结果!$K$15:$K$18,F90)=1,G90="RHI_BERRY"),1+配置与结果!$B$33+P90*方案参数!$AH$5,1)</f>
        <v>1.5</v>
      </c>
      <c r="AJ90" s="1">
        <f>MIN(1,MAX(0,J90+方案参数!$AB$5-配置与结果!$B$27))</f>
        <v>0.55499999999999994</v>
      </c>
      <c r="AK90" s="1">
        <f>MAX(1,K90+IF(F90=2,0.15+方案参数!$CH$5,0)+BN90*方案参数!$X$5+R90*方案参数!$AA$5+0-配置与结果!$B$26+Z90*(方案参数!$AP$5+MIN(方案参数!$AQ$5,P90*0.03)))</f>
        <v>1.6300000000000001</v>
      </c>
      <c r="AL90" s="7">
        <f>ROUNDDOWN(MAX(AD90*配置与结果!$B$31,AD90-AE90)*AF90*AG90*AH90*AI90,0)</f>
        <v>100320</v>
      </c>
      <c r="AM90" s="7">
        <f>ROUNDDOWN(MAX(AD90*配置与结果!$B$31,AD90-AE90)*AF90*AG90*AH90*AI90*AK90,0)</f>
        <v>163522</v>
      </c>
      <c r="AN90" s="7">
        <f t="shared" si="104"/>
        <v>135397.10999999999</v>
      </c>
      <c r="AO90" s="7">
        <f>0</f>
        <v>0</v>
      </c>
      <c r="AP90" s="7">
        <f>MAX(0,1+INDEX(配置与结果!$J$15:$J$18,F90)+IF(T90&gt;0,方案参数!$BY$5,0)-配置与结果!$B$30)</f>
        <v>1</v>
      </c>
      <c r="AQ90" s="7">
        <f t="shared" si="105"/>
        <v>0</v>
      </c>
      <c r="AR90" s="7">
        <f t="shared" si="106"/>
        <v>0</v>
      </c>
      <c r="AS90" s="7">
        <f t="shared" si="107"/>
        <v>0</v>
      </c>
      <c r="AT90" s="7">
        <f>0</f>
        <v>0</v>
      </c>
      <c r="AU90" s="7">
        <f t="shared" si="108"/>
        <v>135397.10999999999</v>
      </c>
      <c r="AV90" s="1">
        <f t="shared" si="109"/>
        <v>1</v>
      </c>
      <c r="AW90" s="1">
        <f t="shared" si="139"/>
        <v>8</v>
      </c>
      <c r="AX90" s="1">
        <f t="shared" si="110"/>
        <v>0</v>
      </c>
      <c r="AY90" s="1">
        <f t="shared" si="133"/>
        <v>6</v>
      </c>
      <c r="AZ90" s="1">
        <f t="shared" si="111"/>
        <v>5</v>
      </c>
      <c r="BA90" s="1">
        <f>MIN(6,Q90+0)</f>
        <v>3</v>
      </c>
      <c r="BB90" s="1">
        <f t="shared" si="126"/>
        <v>5</v>
      </c>
      <c r="BC90" s="1">
        <f t="shared" si="140"/>
        <v>2</v>
      </c>
      <c r="BD90" s="1">
        <f t="shared" si="134"/>
        <v>0</v>
      </c>
      <c r="BE90" s="1">
        <f t="shared" si="127"/>
        <v>0</v>
      </c>
      <c r="BF90" s="1">
        <f>MIN(4,V90+0)</f>
        <v>2</v>
      </c>
      <c r="BG90" s="1">
        <f t="shared" si="131"/>
        <v>1</v>
      </c>
      <c r="BH90" s="1">
        <f t="shared" si="128"/>
        <v>1</v>
      </c>
      <c r="BI90" s="1">
        <f t="shared" si="132"/>
        <v>1</v>
      </c>
      <c r="BJ90" s="1">
        <f t="shared" si="138"/>
        <v>1</v>
      </c>
      <c r="BK90" s="1">
        <f t="shared" si="138"/>
        <v>1</v>
      </c>
      <c r="BL90" s="1">
        <f t="shared" si="100"/>
        <v>0</v>
      </c>
      <c r="BM90" s="1">
        <f t="shared" si="98"/>
        <v>0</v>
      </c>
      <c r="BN90" s="1">
        <f t="shared" si="129"/>
        <v>1</v>
      </c>
      <c r="BO90" s="1">
        <f t="shared" si="130"/>
        <v>1</v>
      </c>
    </row>
    <row r="91" spans="1:67" ht="30.95" customHeight="1">
      <c r="A91" s="1">
        <f>2</f>
        <v>2</v>
      </c>
      <c r="B91" s="1">
        <f>固定流程!A19</f>
        <v>14</v>
      </c>
      <c r="C91" s="1">
        <f>5</f>
        <v>5</v>
      </c>
      <c r="D91" s="1">
        <f>1</f>
        <v>1</v>
      </c>
      <c r="E91" s="1">
        <f>固定流程!C19</f>
        <v>3</v>
      </c>
      <c r="F91" s="1">
        <f>固定流程!G19</f>
        <v>3</v>
      </c>
      <c r="G91" s="1" t="str">
        <f>固定流程!H19</f>
        <v>RHI_BUFF</v>
      </c>
      <c r="H91" s="1">
        <f>固定流程!F19</f>
        <v>1</v>
      </c>
      <c r="I91" s="1">
        <f>INDEX(配置与结果!$B$15:$B$18,F91)</f>
        <v>2597</v>
      </c>
      <c r="J91" s="1">
        <f>INDEX(配置与结果!$D$15:$D$18,F91)</f>
        <v>0.255</v>
      </c>
      <c r="K91" s="1">
        <f>INDEX(配置与结果!$E$15:$E$18,F91)</f>
        <v>1.55</v>
      </c>
      <c r="L91" s="1">
        <f>IF(AV90=1,IF(M91&gt;=10,2,1),IF(AV90=2,IF(AX90&lt;=1,0,2),0))</f>
        <v>2</v>
      </c>
      <c r="M91" s="1">
        <f>IF(AND(AV90=2,AX90&lt;=1),0,MIN(10,AW90+IF(AV90=1,3,0)))</f>
        <v>10</v>
      </c>
      <c r="N91" s="1">
        <f>IF(AND(AV90=1,M91&gt;=10),2,IF(AV90=2,MAX(0,AX90-1),0))</f>
        <v>2</v>
      </c>
      <c r="O91" s="1">
        <f t="shared" si="135"/>
        <v>6</v>
      </c>
      <c r="P91" s="1">
        <f>MIN(方案参数!$AI$5,AZ90+方案参数!$AJ$5+方案参数!$AK$5)</f>
        <v>5</v>
      </c>
      <c r="Q91" s="1">
        <f t="shared" si="113"/>
        <v>3</v>
      </c>
      <c r="R91" s="1">
        <f t="shared" si="114"/>
        <v>5</v>
      </c>
      <c r="S91" s="1">
        <f t="shared" si="115"/>
        <v>2</v>
      </c>
      <c r="T91" s="1">
        <f t="shared" si="116"/>
        <v>0</v>
      </c>
      <c r="U91" s="1">
        <f t="shared" si="117"/>
        <v>0</v>
      </c>
      <c r="V91" s="1">
        <f t="shared" si="118"/>
        <v>2</v>
      </c>
      <c r="W91" s="1">
        <f t="shared" si="119"/>
        <v>1</v>
      </c>
      <c r="X91" s="1">
        <f t="shared" si="120"/>
        <v>1</v>
      </c>
      <c r="Y91" s="1">
        <f t="shared" si="121"/>
        <v>1</v>
      </c>
      <c r="Z91" s="1">
        <f t="shared" si="122"/>
        <v>1</v>
      </c>
      <c r="AA91" s="1">
        <f t="shared" si="137"/>
        <v>1</v>
      </c>
      <c r="AB91" s="1">
        <f t="shared" si="124"/>
        <v>0</v>
      </c>
      <c r="AC91" s="1">
        <f t="shared" si="125"/>
        <v>0</v>
      </c>
      <c r="AD91" s="1">
        <f>ROUNDDOWN(I91*(1+IF(F91=3,0.05+方案参数!$Y$5+AA91*0.12,IF(F91=4,方案参数!$BZ$5*方案参数!$AS$5,0)))+IF(AND(X91=1,F91&lt;&gt;3),方案参数!$CC$5,0)+AC91*方案参数!$CB$5,0)</f>
        <v>3298</v>
      </c>
      <c r="AE91" s="1">
        <f>IF(OR(F91=1,F91=4),配置与结果!$B$24,配置与结果!$B$25)*MAX(0,1-INDEX(配置与结果!$I$15:$I$18,F91))</f>
        <v>1000</v>
      </c>
      <c r="AF91" s="1">
        <f>0</f>
        <v>0</v>
      </c>
      <c r="AG91" s="1">
        <f>MAX(配置与结果!$B$32,1+INDEX(配置与结果!$F$15:$F$18,F91)+0+Q91*方案参数!$W$5+Y91*(方案参数!$AN$5+MIN(方案参数!$AO$5,P91*0.03))+AB91*方案参数!$BZ$5*0.025-配置与结果!$B$28)</f>
        <v>0.995</v>
      </c>
      <c r="AH91" s="1">
        <f>MAX(0,1+INDEX(配置与结果!$G$15:$G$18,F91)+W91*方案参数!$AG$5)</f>
        <v>1.3</v>
      </c>
      <c r="AI91" s="1">
        <f>IF(OR(INDEX(配置与结果!$K$15:$K$18,F91)=1,G91="RHI_BERRY"),1+配置与结果!$B$33+P91*方案参数!$AH$5,1)</f>
        <v>1</v>
      </c>
      <c r="AJ91" s="1">
        <f>MIN(1,MAX(0,J91+方案参数!$AB$5-配置与结果!$B$27))</f>
        <v>0.55499999999999994</v>
      </c>
      <c r="AK91" s="1">
        <f>MAX(1,K91+IF(F91=2,0.15+方案参数!$CH$5,0)+BN91*方案参数!$X$5+R91*方案参数!$AA$5+0-配置与结果!$B$26+Z91*(方案参数!$AP$5+MIN(方案参数!$AQ$5,P91*0.03)))</f>
        <v>1.6300000000000001</v>
      </c>
      <c r="AL91" s="7">
        <f>ROUNDDOWN(MAX(AD91*配置与结果!$B$31,AD91-AE91)*AF91*AG91*AH91*AI91,0)</f>
        <v>0</v>
      </c>
      <c r="AM91" s="7">
        <f>ROUNDDOWN(MAX(AD91*配置与结果!$B$31,AD91-AE91)*AF91*AG91*AH91*AI91*AK91,0)</f>
        <v>0</v>
      </c>
      <c r="AN91" s="7">
        <f t="shared" si="104"/>
        <v>0</v>
      </c>
      <c r="AO91" s="7">
        <f>0</f>
        <v>0</v>
      </c>
      <c r="AP91" s="7">
        <f>MAX(0,1+INDEX(配置与结果!$J$15:$J$18,F91)+IF(T91&gt;0,方案参数!$BY$5,0)-配置与结果!$B$30)</f>
        <v>1</v>
      </c>
      <c r="AQ91" s="7">
        <f t="shared" si="105"/>
        <v>0</v>
      </c>
      <c r="AR91" s="7">
        <f t="shared" si="106"/>
        <v>0</v>
      </c>
      <c r="AS91" s="7">
        <f t="shared" si="107"/>
        <v>0</v>
      </c>
      <c r="AT91" s="7">
        <f>0</f>
        <v>0</v>
      </c>
      <c r="AU91" s="7">
        <f t="shared" si="108"/>
        <v>0</v>
      </c>
      <c r="AV91" s="1">
        <f t="shared" si="109"/>
        <v>2</v>
      </c>
      <c r="AW91" s="1">
        <f t="shared" si="139"/>
        <v>10</v>
      </c>
      <c r="AX91" s="1">
        <f t="shared" si="110"/>
        <v>2</v>
      </c>
      <c r="AY91" s="1">
        <f t="shared" si="133"/>
        <v>6</v>
      </c>
      <c r="AZ91" s="1">
        <f t="shared" si="111"/>
        <v>5</v>
      </c>
      <c r="BA91" s="1">
        <f>MIN(6,Q91+1)</f>
        <v>4</v>
      </c>
      <c r="BB91" s="1">
        <f t="shared" si="126"/>
        <v>5</v>
      </c>
      <c r="BC91" s="1">
        <f t="shared" si="140"/>
        <v>2</v>
      </c>
      <c r="BD91" s="1">
        <f t="shared" si="134"/>
        <v>0</v>
      </c>
      <c r="BE91" s="1">
        <f t="shared" si="127"/>
        <v>0</v>
      </c>
      <c r="BF91" s="1">
        <f>MIN(4,V91+0)</f>
        <v>2</v>
      </c>
      <c r="BG91" s="1">
        <f>MAX(W91,1)</f>
        <v>1</v>
      </c>
      <c r="BH91" s="1">
        <f t="shared" si="128"/>
        <v>1</v>
      </c>
      <c r="BI91" s="1">
        <f>MAX(Y91,1)</f>
        <v>1</v>
      </c>
      <c r="BJ91" s="1">
        <f t="shared" si="138"/>
        <v>1</v>
      </c>
      <c r="BK91" s="1">
        <f t="shared" si="138"/>
        <v>1</v>
      </c>
      <c r="BL91" s="1">
        <f t="shared" si="100"/>
        <v>0</v>
      </c>
      <c r="BM91" s="1">
        <f t="shared" si="98"/>
        <v>0</v>
      </c>
      <c r="BN91" s="1">
        <f t="shared" si="129"/>
        <v>1</v>
      </c>
      <c r="BO91" s="1">
        <f t="shared" si="130"/>
        <v>1</v>
      </c>
    </row>
    <row r="92" spans="1:67" ht="30.95" customHeight="1">
      <c r="A92" s="1">
        <f>2</f>
        <v>2</v>
      </c>
      <c r="B92" s="1">
        <f>固定流程!A20</f>
        <v>15</v>
      </c>
      <c r="C92" s="1">
        <f>5</f>
        <v>5</v>
      </c>
      <c r="D92" s="1">
        <f>1</f>
        <v>1</v>
      </c>
      <c r="E92" s="1">
        <f>固定流程!C20</f>
        <v>3</v>
      </c>
      <c r="F92" s="1">
        <f>固定流程!G20</f>
        <v>3</v>
      </c>
      <c r="G92" s="1" t="str">
        <f>固定流程!H20</f>
        <v>RHI_ATTACK</v>
      </c>
      <c r="H92" s="1">
        <f>固定流程!F20</f>
        <v>1</v>
      </c>
      <c r="I92" s="1">
        <f>INDEX(配置与结果!$B$15:$B$18,F92)</f>
        <v>2597</v>
      </c>
      <c r="J92" s="1">
        <f>INDEX(配置与结果!$D$15:$D$18,F92)</f>
        <v>0.255</v>
      </c>
      <c r="K92" s="1">
        <f>INDEX(配置与结果!$E$15:$E$18,F92)</f>
        <v>1.55</v>
      </c>
      <c r="L92" s="1">
        <f t="shared" ref="L92:L113" si="141">AV91</f>
        <v>2</v>
      </c>
      <c r="M92" s="1">
        <f t="shared" ref="M92:M113" si="142">AW91</f>
        <v>10</v>
      </c>
      <c r="N92" s="1">
        <f t="shared" ref="N92:N113" si="143">AX91</f>
        <v>2</v>
      </c>
      <c r="O92" s="1">
        <f t="shared" si="135"/>
        <v>6</v>
      </c>
      <c r="P92" s="1">
        <f>MIN(方案参数!$AI$5,AZ91+0+方案参数!$AK$5)</f>
        <v>5</v>
      </c>
      <c r="Q92" s="1">
        <f t="shared" si="113"/>
        <v>4</v>
      </c>
      <c r="R92" s="1">
        <f t="shared" si="114"/>
        <v>5</v>
      </c>
      <c r="S92" s="1">
        <f t="shared" si="115"/>
        <v>2</v>
      </c>
      <c r="T92" s="1">
        <f t="shared" si="116"/>
        <v>0</v>
      </c>
      <c r="U92" s="1">
        <f t="shared" si="117"/>
        <v>0</v>
      </c>
      <c r="V92" s="1">
        <f t="shared" si="118"/>
        <v>2</v>
      </c>
      <c r="W92" s="1">
        <f t="shared" si="119"/>
        <v>1</v>
      </c>
      <c r="X92" s="1">
        <f t="shared" si="120"/>
        <v>1</v>
      </c>
      <c r="Y92" s="1">
        <f t="shared" si="121"/>
        <v>1</v>
      </c>
      <c r="Z92" s="1">
        <f t="shared" si="122"/>
        <v>1</v>
      </c>
      <c r="AA92" s="1">
        <f>MAX(BK91,1)</f>
        <v>1</v>
      </c>
      <c r="AB92" s="1">
        <f t="shared" si="124"/>
        <v>0</v>
      </c>
      <c r="AC92" s="1">
        <f t="shared" si="125"/>
        <v>0</v>
      </c>
      <c r="AD92" s="1">
        <f>ROUNDDOWN(I92*(1+IF(F92=3,0.05+方案参数!$Y$5+AA92*0.12,IF(F92=4,方案参数!$BZ$5*方案参数!$AS$5,0)))+IF(AND(X92=1,F92&lt;&gt;3),方案参数!$CC$5,0)+AC92*方案参数!$CB$5,0)</f>
        <v>3298</v>
      </c>
      <c r="AE92" s="1">
        <f>IF(OR(F92=1,F92=4),配置与结果!$B$24,配置与结果!$B$25)*MAX(0,1-INDEX(配置与结果!$I$15:$I$18,F92))</f>
        <v>1000</v>
      </c>
      <c r="AF92" s="1">
        <f>4</f>
        <v>4</v>
      </c>
      <c r="AG92" s="1">
        <f>MAX(配置与结果!$B$32,1+INDEX(配置与结果!$F$15:$F$18,F92)+0+Q92*方案参数!$W$5+Y92*(方案参数!$AN$5+MIN(方案参数!$AO$5,P92*0.03))+AB92*方案参数!$BZ$5*0.025-配置与结果!$B$28)</f>
        <v>1.0150000000000001</v>
      </c>
      <c r="AH92" s="1">
        <f>MAX(0,1+INDEX(配置与结果!$G$15:$G$18,F92)+W92*方案参数!$AG$5)</f>
        <v>1.3</v>
      </c>
      <c r="AI92" s="1">
        <f>IF(OR(INDEX(配置与结果!$K$15:$K$18,F92)=1,G92="RHI_BERRY"),1+配置与结果!$B$33+P92*方案参数!$AH$5,1)</f>
        <v>1</v>
      </c>
      <c r="AJ92" s="1">
        <f>MIN(1,MAX(0,J92+方案参数!$AB$5-配置与结果!$B$27))</f>
        <v>0.55499999999999994</v>
      </c>
      <c r="AK92" s="1">
        <f>MAX(1,K92+IF(F92=2,0.15+方案参数!$CH$5,0)+BN92*方案参数!$X$5+R92*方案参数!$AA$5+0-配置与结果!$B$26+Z92*(方案参数!$AP$5+MIN(方案参数!$AQ$5,P92*0.03)))</f>
        <v>1.6300000000000001</v>
      </c>
      <c r="AL92" s="7">
        <f>ROUNDDOWN(MAX(AD92*配置与结果!$B$31,AD92-AE92)*AF92*AG92*AH92*AI92,0)</f>
        <v>12128</v>
      </c>
      <c r="AM92" s="7">
        <f>ROUNDDOWN(MAX(AD92*配置与结果!$B$31,AD92-AE92)*AF92*AG92*AH92*AI92*AK92,0)</f>
        <v>19770</v>
      </c>
      <c r="AN92" s="7">
        <f t="shared" si="104"/>
        <v>16369.31</v>
      </c>
      <c r="AO92" s="7">
        <f>0</f>
        <v>0</v>
      </c>
      <c r="AP92" s="7">
        <f>MAX(0,1+INDEX(配置与结果!$J$15:$J$18,F92)+IF(T92&gt;0,方案参数!$BY$5,0)-配置与结果!$B$30)</f>
        <v>1</v>
      </c>
      <c r="AQ92" s="7">
        <f t="shared" si="105"/>
        <v>0</v>
      </c>
      <c r="AR92" s="7">
        <f t="shared" si="106"/>
        <v>0</v>
      </c>
      <c r="AS92" s="7">
        <f t="shared" si="107"/>
        <v>0</v>
      </c>
      <c r="AT92" s="7">
        <f>0</f>
        <v>0</v>
      </c>
      <c r="AU92" s="7">
        <f t="shared" si="108"/>
        <v>16369.31</v>
      </c>
      <c r="AV92" s="1">
        <f t="shared" si="109"/>
        <v>2</v>
      </c>
      <c r="AW92" s="1">
        <f t="shared" si="139"/>
        <v>10</v>
      </c>
      <c r="AX92" s="1">
        <f t="shared" si="110"/>
        <v>2</v>
      </c>
      <c r="AY92" s="1">
        <f t="shared" si="133"/>
        <v>6</v>
      </c>
      <c r="AZ92" s="1">
        <f t="shared" si="111"/>
        <v>5</v>
      </c>
      <c r="BA92" s="1">
        <f>MIN(6,Q92+1)</f>
        <v>5</v>
      </c>
      <c r="BB92" s="1">
        <f t="shared" si="126"/>
        <v>5</v>
      </c>
      <c r="BC92" s="1">
        <f t="shared" si="140"/>
        <v>2</v>
      </c>
      <c r="BD92" s="1">
        <f t="shared" si="134"/>
        <v>0</v>
      </c>
      <c r="BE92" s="1">
        <f t="shared" si="127"/>
        <v>0</v>
      </c>
      <c r="BF92" s="1">
        <f>MIN(4,V92+0)</f>
        <v>2</v>
      </c>
      <c r="BG92" s="1">
        <f t="shared" ref="BG92:BG114" si="144">MAX(W92,0)</f>
        <v>1</v>
      </c>
      <c r="BH92" s="1">
        <f t="shared" si="128"/>
        <v>1</v>
      </c>
      <c r="BI92" s="1">
        <f t="shared" ref="BI92:BI114" si="145">MAX(Y92,0)</f>
        <v>1</v>
      </c>
      <c r="BJ92" s="1">
        <f>MAX(Z92,1)</f>
        <v>1</v>
      </c>
      <c r="BK92" s="1">
        <f>MAX(AA92,1)</f>
        <v>1</v>
      </c>
      <c r="BL92" s="1">
        <f t="shared" si="100"/>
        <v>0</v>
      </c>
      <c r="BM92" s="1">
        <f t="shared" si="98"/>
        <v>0</v>
      </c>
      <c r="BN92" s="1">
        <f t="shared" si="129"/>
        <v>1</v>
      </c>
      <c r="BO92" s="1">
        <f t="shared" si="130"/>
        <v>1</v>
      </c>
    </row>
    <row r="93" spans="1:67" ht="30.95" customHeight="1">
      <c r="A93" s="1">
        <f>2</f>
        <v>2</v>
      </c>
      <c r="B93" s="1">
        <f>固定流程!A21</f>
        <v>16</v>
      </c>
      <c r="C93" s="1">
        <f>5</f>
        <v>5</v>
      </c>
      <c r="D93" s="1">
        <f>1</f>
        <v>1</v>
      </c>
      <c r="E93" s="1">
        <f>固定流程!C21</f>
        <v>3</v>
      </c>
      <c r="F93" s="1">
        <f>固定流程!G21</f>
        <v>2</v>
      </c>
      <c r="G93" s="1" t="str">
        <f>固定流程!H21</f>
        <v>37_ULT</v>
      </c>
      <c r="H93" s="1">
        <f>固定流程!F21</f>
        <v>1</v>
      </c>
      <c r="I93" s="1">
        <f>INDEX(配置与结果!$B$15:$B$18,F93)</f>
        <v>2306</v>
      </c>
      <c r="J93" s="1">
        <f>INDEX(配置与结果!$D$15:$D$18,F93)</f>
        <v>0.46</v>
      </c>
      <c r="K93" s="1">
        <f>INDEX(配置与结果!$E$15:$E$18,F93)</f>
        <v>1.9279999999999999</v>
      </c>
      <c r="L93" s="1">
        <f t="shared" si="141"/>
        <v>2</v>
      </c>
      <c r="M93" s="1">
        <f t="shared" si="142"/>
        <v>10</v>
      </c>
      <c r="N93" s="1">
        <f t="shared" si="143"/>
        <v>2</v>
      </c>
      <c r="O93" s="1">
        <f t="shared" si="135"/>
        <v>6</v>
      </c>
      <c r="P93" s="1">
        <f>MIN(方案参数!$AI$5,AZ92+0+0)</f>
        <v>5</v>
      </c>
      <c r="Q93" s="1">
        <f t="shared" si="113"/>
        <v>5</v>
      </c>
      <c r="R93" s="1">
        <f t="shared" si="114"/>
        <v>5</v>
      </c>
      <c r="S93" s="1">
        <f t="shared" si="115"/>
        <v>2</v>
      </c>
      <c r="T93" s="1">
        <f>BD92+方案参数!$BX$5</f>
        <v>2</v>
      </c>
      <c r="U93" s="1">
        <f t="shared" si="117"/>
        <v>0</v>
      </c>
      <c r="V93" s="1">
        <f t="shared" si="118"/>
        <v>2</v>
      </c>
      <c r="W93" s="1">
        <f t="shared" si="119"/>
        <v>1</v>
      </c>
      <c r="X93" s="1">
        <f t="shared" si="120"/>
        <v>1</v>
      </c>
      <c r="Y93" s="1">
        <f t="shared" si="121"/>
        <v>1</v>
      </c>
      <c r="Z93" s="1">
        <f t="shared" si="122"/>
        <v>1</v>
      </c>
      <c r="AA93" s="1">
        <f t="shared" ref="AA93:AA113" si="146">MAX(BK92,0)</f>
        <v>1</v>
      </c>
      <c r="AB93" s="1">
        <f t="shared" si="124"/>
        <v>0</v>
      </c>
      <c r="AC93" s="1">
        <f>MAX(BM92,1)</f>
        <v>1</v>
      </c>
      <c r="AD93" s="1">
        <f>ROUNDDOWN(I93*(1+IF(F93=3,0.05+方案参数!$Y$5+AA93*0.12,IF(F93=4,方案参数!$BZ$5*方案参数!$AS$5,0)))+IF(AND(X93=1,F93&lt;&gt;3),方案参数!$CC$5,0)+AC93*方案参数!$CB$5,0)</f>
        <v>3044</v>
      </c>
      <c r="AE93" s="1">
        <f>IF(OR(F93=1,F93=4),配置与结果!$B$24,配置与结果!$B$25)*MAX(0,1-INDEX(配置与结果!$I$15:$I$18,F93))</f>
        <v>1000</v>
      </c>
      <c r="AF93" s="1">
        <f>0</f>
        <v>0</v>
      </c>
      <c r="AG93" s="1">
        <f>MAX(配置与结果!$B$32,1+INDEX(配置与结果!$F$15:$F$18,F93)+0+Q93*方案参数!$W$5+Y93*(方案参数!$AN$5+MIN(方案参数!$AO$5,P93*0.03))+AB93*方案参数!$BZ$5*0.025-配置与结果!$B$28)</f>
        <v>1.0049999999999999</v>
      </c>
      <c r="AH93" s="1">
        <f>MAX(0,1+INDEX(配置与结果!$G$15:$G$18,F93)+W93*方案参数!$AG$5)</f>
        <v>1.3</v>
      </c>
      <c r="AI93" s="1">
        <f>IF(OR(INDEX(配置与结果!$K$15:$K$18,F93)=1,G93="RHI_BERRY"),1+配置与结果!$B$33+P93*方案参数!$AH$5,1)</f>
        <v>1</v>
      </c>
      <c r="AJ93" s="1">
        <f>MIN(1,MAX(0,J93+方案参数!$AB$5-配置与结果!$B$27))</f>
        <v>0.76</v>
      </c>
      <c r="AK93" s="1">
        <f>MAX(1,K93+IF(F93=2,0.15+方案参数!$CH$5,0)+BN93*方案参数!$X$5+R93*方案参数!$AA$5+0-配置与结果!$B$26+Z93*(方案参数!$AP$5+MIN(方案参数!$AQ$5,P93*0.03)))</f>
        <v>2.278</v>
      </c>
      <c r="AL93" s="7">
        <f>ROUNDDOWN(MAX(AD93*配置与结果!$B$31,AD93-AE93)*AF93*AG93*AH93*AI93,0)</f>
        <v>0</v>
      </c>
      <c r="AM93" s="7">
        <f>ROUNDDOWN(MAX(AD93*配置与结果!$B$31,AD93-AE93)*AF93*AG93*AH93*AI93*AK93,0)</f>
        <v>0</v>
      </c>
      <c r="AN93" s="7">
        <f t="shared" si="104"/>
        <v>0</v>
      </c>
      <c r="AO93" s="7">
        <f>0</f>
        <v>0</v>
      </c>
      <c r="AP93" s="7">
        <f>MAX(0,1+INDEX(配置与结果!$J$15:$J$18,F93)+IF(T93&gt;0,方案参数!$BY$5,0)-配置与结果!$B$30)</f>
        <v>2</v>
      </c>
      <c r="AQ93" s="7">
        <f t="shared" si="105"/>
        <v>0</v>
      </c>
      <c r="AR93" s="7">
        <f t="shared" si="106"/>
        <v>0</v>
      </c>
      <c r="AS93" s="7">
        <f t="shared" si="107"/>
        <v>0</v>
      </c>
      <c r="AT93" s="7">
        <f>0</f>
        <v>0</v>
      </c>
      <c r="AU93" s="7">
        <f t="shared" si="108"/>
        <v>0</v>
      </c>
      <c r="AV93" s="1">
        <f t="shared" si="109"/>
        <v>2</v>
      </c>
      <c r="AW93" s="1">
        <f t="shared" si="139"/>
        <v>10</v>
      </c>
      <c r="AX93" s="1">
        <f t="shared" si="110"/>
        <v>2</v>
      </c>
      <c r="AY93" s="1">
        <f t="shared" si="133"/>
        <v>6</v>
      </c>
      <c r="AZ93" s="1">
        <f t="shared" si="111"/>
        <v>5</v>
      </c>
      <c r="BA93" s="1">
        <f t="shared" ref="BA93:BA113" si="147">MIN(6,Q93+0)</f>
        <v>5</v>
      </c>
      <c r="BB93" s="1">
        <f>MIN(30,R93+5)</f>
        <v>10</v>
      </c>
      <c r="BC93" s="1">
        <f t="shared" si="140"/>
        <v>2</v>
      </c>
      <c r="BD93" s="1">
        <f t="shared" si="134"/>
        <v>2</v>
      </c>
      <c r="BE93" s="1">
        <f t="shared" si="127"/>
        <v>0</v>
      </c>
      <c r="BF93" s="1">
        <f>MIN(4,V93+0)</f>
        <v>2</v>
      </c>
      <c r="BG93" s="1">
        <f t="shared" si="144"/>
        <v>1</v>
      </c>
      <c r="BH93" s="1">
        <f t="shared" si="128"/>
        <v>1</v>
      </c>
      <c r="BI93" s="1">
        <f t="shared" si="145"/>
        <v>1</v>
      </c>
      <c r="BJ93" s="1">
        <f t="shared" ref="BJ93:BJ120" si="148">MAX(Z93,0)</f>
        <v>1</v>
      </c>
      <c r="BK93" s="1">
        <f t="shared" ref="BK93:BK120" si="149">MAX(AA93,0)</f>
        <v>1</v>
      </c>
      <c r="BL93" s="1">
        <f t="shared" si="100"/>
        <v>0</v>
      </c>
      <c r="BM93" s="1">
        <f>MAX(AC93,1)</f>
        <v>1</v>
      </c>
      <c r="BN93" s="1">
        <f t="shared" si="129"/>
        <v>1</v>
      </c>
      <c r="BO93" s="1">
        <f t="shared" si="130"/>
        <v>1</v>
      </c>
    </row>
    <row r="94" spans="1:67" ht="30.95" customHeight="1">
      <c r="A94" s="1">
        <f>2</f>
        <v>2</v>
      </c>
      <c r="B94" s="1">
        <f>固定流程!A22</f>
        <v>17</v>
      </c>
      <c r="C94" s="1">
        <f>5</f>
        <v>5</v>
      </c>
      <c r="D94" s="1">
        <f>1</f>
        <v>1</v>
      </c>
      <c r="E94" s="1">
        <f>固定流程!C22</f>
        <v>3</v>
      </c>
      <c r="F94" s="1">
        <f>固定流程!G22</f>
        <v>2</v>
      </c>
      <c r="G94" s="1" t="str">
        <f>固定流程!H22</f>
        <v>37_FOLLOW</v>
      </c>
      <c r="H94" s="1">
        <f>固定流程!F22</f>
        <v>1</v>
      </c>
      <c r="I94" s="1">
        <f>INDEX(配置与结果!$B$15:$B$18,F94)</f>
        <v>2306</v>
      </c>
      <c r="J94" s="1">
        <f>INDEX(配置与结果!$D$15:$D$18,F94)</f>
        <v>0.46</v>
      </c>
      <c r="K94" s="1">
        <f>INDEX(配置与结果!$E$15:$E$18,F94)</f>
        <v>1.9279999999999999</v>
      </c>
      <c r="L94" s="1">
        <f t="shared" si="141"/>
        <v>2</v>
      </c>
      <c r="M94" s="1">
        <f t="shared" si="142"/>
        <v>10</v>
      </c>
      <c r="N94" s="1">
        <f t="shared" si="143"/>
        <v>2</v>
      </c>
      <c r="O94" s="1">
        <f t="shared" si="135"/>
        <v>6</v>
      </c>
      <c r="P94" s="1">
        <f>MIN(方案参数!$AI$5,AZ93+0+0)</f>
        <v>5</v>
      </c>
      <c r="Q94" s="1">
        <f t="shared" si="113"/>
        <v>5</v>
      </c>
      <c r="R94" s="1">
        <f t="shared" si="114"/>
        <v>10</v>
      </c>
      <c r="S94" s="1">
        <f t="shared" si="115"/>
        <v>2</v>
      </c>
      <c r="T94" s="1">
        <f t="shared" ref="T94:T113" si="150">BD93+0</f>
        <v>2</v>
      </c>
      <c r="U94" s="1">
        <f t="shared" si="117"/>
        <v>0</v>
      </c>
      <c r="V94" s="1">
        <f t="shared" si="118"/>
        <v>2</v>
      </c>
      <c r="W94" s="1">
        <f t="shared" si="119"/>
        <v>1</v>
      </c>
      <c r="X94" s="1">
        <f t="shared" si="120"/>
        <v>1</v>
      </c>
      <c r="Y94" s="1">
        <f t="shared" si="121"/>
        <v>1</v>
      </c>
      <c r="Z94" s="1">
        <f t="shared" si="122"/>
        <v>1</v>
      </c>
      <c r="AA94" s="1">
        <f t="shared" si="146"/>
        <v>1</v>
      </c>
      <c r="AB94" s="1">
        <f t="shared" si="124"/>
        <v>0</v>
      </c>
      <c r="AC94" s="1">
        <f t="shared" ref="AC94:AC113" si="151">MAX(BM93,0)</f>
        <v>1</v>
      </c>
      <c r="AD94" s="1">
        <f>ROUNDDOWN(I94*(1+IF(F94=3,0.05+方案参数!$Y$5+AA94*0.12,IF(F94=4,方案参数!$BZ$5*方案参数!$AS$5,0)))+IF(AND(X94=1,F94&lt;&gt;3),方案参数!$CC$5,0)+AC94*方案参数!$CB$5,0)</f>
        <v>3044</v>
      </c>
      <c r="AE94" s="1">
        <f>IF(OR(F94=1,F94=4),配置与结果!$B$24,配置与结果!$B$25)*MAX(0,1-INDEX(配置与结果!$I$15:$I$18,F94))</f>
        <v>1000</v>
      </c>
      <c r="AF94" s="1">
        <f>方案参数!$BV$5</f>
        <v>3</v>
      </c>
      <c r="AG94" s="1">
        <f>MAX(配置与结果!$B$32,1+INDEX(配置与结果!$F$15:$F$18,F94)+0+Q94*方案参数!$W$5+Y94*(方案参数!$AN$5+MIN(方案参数!$AO$5,P94*0.03))+AB94*方案参数!$BZ$5*0.025-配置与结果!$B$28)</f>
        <v>1.0049999999999999</v>
      </c>
      <c r="AH94" s="1">
        <f>MAX(0,1+INDEX(配置与结果!$G$15:$G$18,F94)+W94*方案参数!$AG$5)</f>
        <v>1.3</v>
      </c>
      <c r="AI94" s="1">
        <f>IF(OR(INDEX(配置与结果!$K$15:$K$18,F94)=1,G94="RHI_BERRY"),1+配置与结果!$B$33+P94*方案参数!$AH$5,1)</f>
        <v>1</v>
      </c>
      <c r="AJ94" s="1">
        <f>MIN(1,MAX(0,J94+方案参数!$AB$5-配置与结果!$B$27))</f>
        <v>0.76</v>
      </c>
      <c r="AK94" s="1">
        <f>MAX(1,K94+IF(F94=2,0.15+方案参数!$CH$5,0)+BN94*方案参数!$X$5+R94*方案参数!$AA$5+0-配置与结果!$B$26+Z94*(方案参数!$AP$5+MIN(方案参数!$AQ$5,P94*0.03)))</f>
        <v>2.298</v>
      </c>
      <c r="AL94" s="7">
        <f>ROUNDDOWN(MAX(AD94*配置与结果!$B$31,AD94-AE94)*AF94*AG94*AH94*AI94,0)</f>
        <v>8011</v>
      </c>
      <c r="AM94" s="7">
        <f>ROUNDDOWN(MAX(AD94*配置与结果!$B$31,AD94-AE94)*AF94*AG94*AH94*AI94*AK94,0)</f>
        <v>18410</v>
      </c>
      <c r="AN94" s="7">
        <f t="shared" si="104"/>
        <v>15914.24</v>
      </c>
      <c r="AO94" s="7">
        <f>方案参数!$BW$5</f>
        <v>1</v>
      </c>
      <c r="AP94" s="7">
        <f>MAX(0,1+INDEX(配置与结果!$J$15:$J$18,F94)+IF(T94&gt;0,方案参数!$BY$5,0)-配置与结果!$B$30)</f>
        <v>2</v>
      </c>
      <c r="AQ94" s="7">
        <f t="shared" si="105"/>
        <v>6088</v>
      </c>
      <c r="AR94" s="7">
        <f t="shared" si="106"/>
        <v>13990</v>
      </c>
      <c r="AS94" s="7">
        <f t="shared" si="107"/>
        <v>12093.52</v>
      </c>
      <c r="AT94" s="7">
        <f>0</f>
        <v>0</v>
      </c>
      <c r="AU94" s="7">
        <f t="shared" si="108"/>
        <v>28007.760000000002</v>
      </c>
      <c r="AV94" s="1">
        <f t="shared" si="109"/>
        <v>2</v>
      </c>
      <c r="AW94" s="1">
        <f t="shared" si="139"/>
        <v>10</v>
      </c>
      <c r="AX94" s="1">
        <f t="shared" si="110"/>
        <v>2</v>
      </c>
      <c r="AY94" s="1">
        <f t="shared" si="133"/>
        <v>6</v>
      </c>
      <c r="AZ94" s="1">
        <f t="shared" si="111"/>
        <v>5</v>
      </c>
      <c r="BA94" s="1">
        <f t="shared" si="147"/>
        <v>5</v>
      </c>
      <c r="BB94" s="1">
        <f>MIN(30,R94+0)</f>
        <v>10</v>
      </c>
      <c r="BC94" s="1">
        <f t="shared" si="140"/>
        <v>2</v>
      </c>
      <c r="BD94" s="1">
        <f t="shared" si="134"/>
        <v>1</v>
      </c>
      <c r="BE94" s="1">
        <f t="shared" si="127"/>
        <v>0</v>
      </c>
      <c r="BF94" s="1">
        <f>MIN(4,V94+1)</f>
        <v>3</v>
      </c>
      <c r="BG94" s="1">
        <f t="shared" si="144"/>
        <v>1</v>
      </c>
      <c r="BH94" s="1">
        <f t="shared" si="128"/>
        <v>1</v>
      </c>
      <c r="BI94" s="1">
        <f t="shared" si="145"/>
        <v>1</v>
      </c>
      <c r="BJ94" s="1">
        <f t="shared" si="148"/>
        <v>1</v>
      </c>
      <c r="BK94" s="1">
        <f t="shared" si="149"/>
        <v>1</v>
      </c>
      <c r="BL94" s="1">
        <f t="shared" si="100"/>
        <v>0</v>
      </c>
      <c r="BM94" s="1">
        <f t="shared" ref="BM94:BM128" si="152">MAX(AC94,0)</f>
        <v>1</v>
      </c>
      <c r="BN94" s="1">
        <f t="shared" si="129"/>
        <v>1</v>
      </c>
      <c r="BO94" s="1">
        <f t="shared" si="130"/>
        <v>1</v>
      </c>
    </row>
    <row r="95" spans="1:67" ht="30.95" customHeight="1">
      <c r="A95" s="1">
        <f>2</f>
        <v>2</v>
      </c>
      <c r="B95" s="1">
        <f>固定流程!A23</f>
        <v>18</v>
      </c>
      <c r="C95" s="1">
        <f>5</f>
        <v>5</v>
      </c>
      <c r="D95" s="1">
        <f>1</f>
        <v>1</v>
      </c>
      <c r="E95" s="1">
        <f>固定流程!C23</f>
        <v>3</v>
      </c>
      <c r="F95" s="1">
        <f>固定流程!G23</f>
        <v>4</v>
      </c>
      <c r="G95" s="1" t="str">
        <f>固定流程!H23</f>
        <v>J_HARD</v>
      </c>
      <c r="H95" s="1">
        <f>固定流程!F23</f>
        <v>1</v>
      </c>
      <c r="I95" s="1">
        <f>INDEX(配置与结果!$B$15:$B$18,F95)</f>
        <v>1906</v>
      </c>
      <c r="J95" s="1">
        <f>INDEX(配置与结果!$D$15:$D$18,F95)</f>
        <v>0.36699999999999999</v>
      </c>
      <c r="K95" s="1">
        <f>INDEX(配置与结果!$E$15:$E$18,F95)</f>
        <v>1.7170000000000001</v>
      </c>
      <c r="L95" s="1">
        <f t="shared" si="141"/>
        <v>2</v>
      </c>
      <c r="M95" s="1">
        <f t="shared" si="142"/>
        <v>10</v>
      </c>
      <c r="N95" s="1">
        <f t="shared" si="143"/>
        <v>2</v>
      </c>
      <c r="O95" s="1">
        <f t="shared" si="135"/>
        <v>6</v>
      </c>
      <c r="P95" s="1">
        <f>MIN(方案参数!$AI$5,AZ94+0+0)</f>
        <v>5</v>
      </c>
      <c r="Q95" s="1">
        <f t="shared" si="113"/>
        <v>5</v>
      </c>
      <c r="R95" s="1">
        <f t="shared" si="114"/>
        <v>10</v>
      </c>
      <c r="S95" s="1">
        <f t="shared" si="115"/>
        <v>2</v>
      </c>
      <c r="T95" s="1">
        <f t="shared" si="150"/>
        <v>1</v>
      </c>
      <c r="U95" s="1">
        <f t="shared" si="117"/>
        <v>0</v>
      </c>
      <c r="V95" s="1">
        <f t="shared" si="118"/>
        <v>3</v>
      </c>
      <c r="W95" s="1">
        <f t="shared" si="119"/>
        <v>1</v>
      </c>
      <c r="X95" s="1">
        <f t="shared" si="120"/>
        <v>1</v>
      </c>
      <c r="Y95" s="1">
        <f t="shared" si="121"/>
        <v>1</v>
      </c>
      <c r="Z95" s="1">
        <f t="shared" si="122"/>
        <v>1</v>
      </c>
      <c r="AA95" s="1">
        <f t="shared" si="146"/>
        <v>1</v>
      </c>
      <c r="AB95" s="1">
        <f t="shared" si="124"/>
        <v>0</v>
      </c>
      <c r="AC95" s="1">
        <f t="shared" si="151"/>
        <v>1</v>
      </c>
      <c r="AD95" s="1">
        <f>ROUNDDOWN(I95*(1+IF(F95=3,0.05+方案参数!$Y$5+AA95*0.12,IF(F95=4,方案参数!$BZ$5*方案参数!$AS$5,0)))+IF(AND(X95=1,F95&lt;&gt;3),方案参数!$CC$5,0)+AC95*方案参数!$CB$5,0)</f>
        <v>3311</v>
      </c>
      <c r="AE95" s="1">
        <f>IF(OR(F95=1,F95=4),配置与结果!$B$24,配置与结果!$B$25)*MAX(0,1-INDEX(配置与结果!$I$15:$I$18,F95))</f>
        <v>1200</v>
      </c>
      <c r="AF95" s="1">
        <f>3.6*IF(H95=1,1,IF(H95=2,1.5,2.5))</f>
        <v>3.6</v>
      </c>
      <c r="AG95" s="1">
        <f>MAX(配置与结果!$B$32,1+INDEX(配置与结果!$F$15:$F$18,F95)+0.08+Q95*方案参数!$W$5+Y95*(方案参数!$AN$5+MIN(方案参数!$AO$5,P95*0.03))+AB95*方案参数!$BZ$5*0.025+0.1+IF(方案参数!$BZ$5&gt;=30,方案参数!$BZ$5*0.01,0)-配置与结果!$B$28)</f>
        <v>1.5550000000000002</v>
      </c>
      <c r="AH95" s="1">
        <f>MAX(0,1+INDEX(配置与结果!$G$15:$G$18,F95)+W95*方案参数!$AG$5)</f>
        <v>1.3</v>
      </c>
      <c r="AI95" s="1">
        <f>IF(OR(INDEX(配置与结果!$K$15:$K$18,F95)=1,G95="RHI_BERRY"),1+配置与结果!$B$33+P95*方案参数!$AH$5,1)</f>
        <v>1</v>
      </c>
      <c r="AJ95" s="1">
        <f>MIN(1,MAX(0,J95+方案参数!$AB$5-配置与结果!$B$27))</f>
        <v>0.66700000000000004</v>
      </c>
      <c r="AK95" s="1">
        <f>MAX(1,K95+IF(F95=2,0.15+方案参数!$CH$5,0)+BN95*方案参数!$X$5+R95*方案参数!$AA$5+0-配置与结果!$B$26+Z95*(方案参数!$AP$5+MIN(方案参数!$AQ$5,P95*0.03)))</f>
        <v>1.8169999999999999</v>
      </c>
      <c r="AL95" s="7">
        <f>ROUNDDOWN(MAX(AD95*配置与结果!$B$31,AD95-AE95)*AF95*AG95*AH95*AI95,0)</f>
        <v>15362</v>
      </c>
      <c r="AM95" s="7">
        <f>ROUNDDOWN(MAX(AD95*配置与结果!$B$31,AD95-AE95)*AF95*AG95*AH95*AI95*AK95,0)</f>
        <v>27913</v>
      </c>
      <c r="AN95" s="7">
        <f t="shared" si="104"/>
        <v>23733.517</v>
      </c>
      <c r="AO95" s="7">
        <f>0</f>
        <v>0</v>
      </c>
      <c r="AP95" s="7">
        <f>MAX(0,1+INDEX(配置与结果!$J$15:$J$18,F95)+IF(T95&gt;0,方案参数!$BY$5,0)-配置与结果!$B$30)</f>
        <v>2</v>
      </c>
      <c r="AQ95" s="7">
        <f t="shared" si="105"/>
        <v>0</v>
      </c>
      <c r="AR95" s="7">
        <f t="shared" si="106"/>
        <v>0</v>
      </c>
      <c r="AS95" s="7">
        <f t="shared" si="107"/>
        <v>0</v>
      </c>
      <c r="AT95" s="7">
        <f>0</f>
        <v>0</v>
      </c>
      <c r="AU95" s="7">
        <f t="shared" si="108"/>
        <v>23733.517</v>
      </c>
      <c r="AV95" s="1">
        <f t="shared" si="109"/>
        <v>2</v>
      </c>
      <c r="AW95" s="1">
        <f t="shared" si="139"/>
        <v>10</v>
      </c>
      <c r="AX95" s="1">
        <f t="shared" si="110"/>
        <v>2</v>
      </c>
      <c r="AY95" s="1">
        <f t="shared" si="133"/>
        <v>6</v>
      </c>
      <c r="AZ95" s="1">
        <f t="shared" si="111"/>
        <v>5</v>
      </c>
      <c r="BA95" s="1">
        <f t="shared" si="147"/>
        <v>5</v>
      </c>
      <c r="BB95" s="1">
        <f>MIN(30,R95+0)</f>
        <v>10</v>
      </c>
      <c r="BC95" s="1">
        <f>MIN(3,S95+1)</f>
        <v>3</v>
      </c>
      <c r="BD95" s="1">
        <f t="shared" si="134"/>
        <v>1</v>
      </c>
      <c r="BE95" s="1">
        <f t="shared" si="127"/>
        <v>0</v>
      </c>
      <c r="BF95" s="1">
        <f>MIN(4,V95+0)</f>
        <v>3</v>
      </c>
      <c r="BG95" s="1">
        <f t="shared" si="144"/>
        <v>1</v>
      </c>
      <c r="BH95" s="1">
        <f t="shared" si="128"/>
        <v>1</v>
      </c>
      <c r="BI95" s="1">
        <f t="shared" si="145"/>
        <v>1</v>
      </c>
      <c r="BJ95" s="1">
        <f t="shared" si="148"/>
        <v>1</v>
      </c>
      <c r="BK95" s="1">
        <f t="shared" si="149"/>
        <v>1</v>
      </c>
      <c r="BL95" s="1">
        <f t="shared" si="100"/>
        <v>0</v>
      </c>
      <c r="BM95" s="1">
        <f t="shared" si="152"/>
        <v>1</v>
      </c>
      <c r="BN95" s="1">
        <f t="shared" si="129"/>
        <v>1</v>
      </c>
      <c r="BO95" s="1">
        <f t="shared" si="130"/>
        <v>1</v>
      </c>
    </row>
    <row r="96" spans="1:67" ht="30.95" customHeight="1">
      <c r="A96" s="1">
        <f>2</f>
        <v>2</v>
      </c>
      <c r="B96" s="1">
        <f>固定流程!A24</f>
        <v>19</v>
      </c>
      <c r="C96" s="1">
        <f>5</f>
        <v>5</v>
      </c>
      <c r="D96" s="1">
        <f>1</f>
        <v>1</v>
      </c>
      <c r="E96" s="1">
        <f>固定流程!C24</f>
        <v>3</v>
      </c>
      <c r="F96" s="1">
        <f>固定流程!G24</f>
        <v>4</v>
      </c>
      <c r="G96" s="1" t="str">
        <f>固定流程!H24</f>
        <v>J_ULT</v>
      </c>
      <c r="H96" s="1">
        <f>固定流程!F24</f>
        <v>1</v>
      </c>
      <c r="I96" s="1">
        <f>INDEX(配置与结果!$B$15:$B$18,F96)</f>
        <v>1906</v>
      </c>
      <c r="J96" s="1">
        <f>INDEX(配置与结果!$D$15:$D$18,F96)</f>
        <v>0.36699999999999999</v>
      </c>
      <c r="K96" s="1">
        <f>INDEX(配置与结果!$E$15:$E$18,F96)</f>
        <v>1.7170000000000001</v>
      </c>
      <c r="L96" s="1">
        <f t="shared" si="141"/>
        <v>2</v>
      </c>
      <c r="M96" s="1">
        <f t="shared" si="142"/>
        <v>10</v>
      </c>
      <c r="N96" s="1">
        <f t="shared" si="143"/>
        <v>2</v>
      </c>
      <c r="O96" s="1">
        <f t="shared" si="135"/>
        <v>6</v>
      </c>
      <c r="P96" s="1">
        <f>MIN(方案参数!$AI$5,AZ95+0+0)</f>
        <v>5</v>
      </c>
      <c r="Q96" s="1">
        <f t="shared" si="113"/>
        <v>5</v>
      </c>
      <c r="R96" s="1">
        <f t="shared" si="114"/>
        <v>10</v>
      </c>
      <c r="S96" s="1">
        <f t="shared" si="115"/>
        <v>3</v>
      </c>
      <c r="T96" s="1">
        <f t="shared" si="150"/>
        <v>1</v>
      </c>
      <c r="U96" s="1">
        <f t="shared" si="117"/>
        <v>0</v>
      </c>
      <c r="V96" s="1">
        <f t="shared" si="118"/>
        <v>3</v>
      </c>
      <c r="W96" s="1">
        <f t="shared" si="119"/>
        <v>1</v>
      </c>
      <c r="X96" s="1">
        <f t="shared" si="120"/>
        <v>1</v>
      </c>
      <c r="Y96" s="1">
        <f t="shared" si="121"/>
        <v>1</v>
      </c>
      <c r="Z96" s="1">
        <f t="shared" si="122"/>
        <v>1</v>
      </c>
      <c r="AA96" s="1">
        <f t="shared" si="146"/>
        <v>1</v>
      </c>
      <c r="AB96" s="1">
        <f t="shared" si="124"/>
        <v>0</v>
      </c>
      <c r="AC96" s="1">
        <f t="shared" si="151"/>
        <v>1</v>
      </c>
      <c r="AD96" s="1">
        <f>ROUNDDOWN(I96*(1+IF(F96=3,0.05+方案参数!$Y$5+AA96*0.12,IF(F96=4,方案参数!$BZ$5*方案参数!$AS$5,0)))+IF(AND(X96=1,F96&lt;&gt;3),方案参数!$CC$5,0)+AC96*方案参数!$CB$5,0)</f>
        <v>3311</v>
      </c>
      <c r="AE96" s="1">
        <f>IF(OR(F96=1,F96=4),配置与结果!$B$24,配置与结果!$B$25)*MAX(0,1-INDEX(配置与结果!$I$15:$I$18,F96))</f>
        <v>1200</v>
      </c>
      <c r="AF96" s="1">
        <f>方案参数!$AT$5+MAX(0,配置与结果!$H$26+方案参数!$BZ$5-30)*方案参数!$AU$5*配置与结果!$H$27</f>
        <v>42</v>
      </c>
      <c r="AG96" s="1">
        <f>MAX(配置与结果!$B$32,1+INDEX(配置与结果!$F$15:$F$18,F96)+0.08+Q96*方案参数!$W$5+Y96*(方案参数!$AN$5+MIN(方案参数!$AO$5,P96*0.03))+AB96*方案参数!$BZ$5*0.025-配置与结果!$B$28)</f>
        <v>1.105</v>
      </c>
      <c r="AH96" s="1">
        <f>MAX(0,1+INDEX(配置与结果!$H$15:$H$18,F96)+W96*方案参数!$AG$5+S96*方案参数!$Z$5)</f>
        <v>1.42</v>
      </c>
      <c r="AI96" s="1">
        <f>IF(OR(INDEX(配置与结果!$K$15:$K$18,F96)=1,G96="RHI_BERRY"),1+配置与结果!$B$33+P96*方案参数!$AH$5,1)</f>
        <v>1</v>
      </c>
      <c r="AJ96" s="1">
        <f>MIN(1,MAX(0,J96+方案参数!$AB$5-配置与结果!$B$27))</f>
        <v>0.66700000000000004</v>
      </c>
      <c r="AK96" s="1">
        <f>MAX(1,K96+IF(F96=2,0.15+方案参数!$CH$5,0)+BN96*方案参数!$X$5+R96*方案参数!$AA$5+0-配置与结果!$B$26+Z96*(方案参数!$AP$5+MIN(方案参数!$AQ$5,P96*0.03)))</f>
        <v>1.8169999999999999</v>
      </c>
      <c r="AL96" s="7">
        <f>ROUNDDOWN(MAX(AD96*配置与结果!$B$31,AD96-AE96)*AF96*AG96*AH96*AI96,0)</f>
        <v>139119</v>
      </c>
      <c r="AM96" s="7">
        <f>ROUNDDOWN(MAX(AD96*配置与结果!$B$31,AD96-AE96)*AF96*AG96*AH96*AI96*AK96,0)</f>
        <v>252780</v>
      </c>
      <c r="AN96" s="7">
        <f t="shared" si="104"/>
        <v>214930.88699999999</v>
      </c>
      <c r="AO96" s="7">
        <f>0</f>
        <v>0</v>
      </c>
      <c r="AP96" s="7">
        <f>MAX(0,1+INDEX(配置与结果!$J$15:$J$18,F96)+IF(T96&gt;0,方案参数!$BY$5,0)-配置与结果!$B$30)</f>
        <v>2</v>
      </c>
      <c r="AQ96" s="7">
        <f t="shared" si="105"/>
        <v>0</v>
      </c>
      <c r="AR96" s="7">
        <f t="shared" si="106"/>
        <v>0</v>
      </c>
      <c r="AS96" s="7">
        <f t="shared" si="107"/>
        <v>0</v>
      </c>
      <c r="AT96" s="7">
        <f>0</f>
        <v>0</v>
      </c>
      <c r="AU96" s="7">
        <f t="shared" si="108"/>
        <v>214930.88699999999</v>
      </c>
      <c r="AV96" s="1">
        <f t="shared" si="109"/>
        <v>2</v>
      </c>
      <c r="AW96" s="1">
        <f t="shared" si="139"/>
        <v>10</v>
      </c>
      <c r="AX96" s="1">
        <f t="shared" si="110"/>
        <v>2</v>
      </c>
      <c r="AY96" s="1">
        <f t="shared" si="133"/>
        <v>6</v>
      </c>
      <c r="AZ96" s="1">
        <f t="shared" si="111"/>
        <v>5</v>
      </c>
      <c r="BA96" s="1">
        <f t="shared" si="147"/>
        <v>5</v>
      </c>
      <c r="BB96" s="1">
        <f>MIN(30,R96+5)</f>
        <v>15</v>
      </c>
      <c r="BC96" s="1">
        <f t="shared" ref="BC96:BC119" si="153">MIN(3,S96+0)</f>
        <v>3</v>
      </c>
      <c r="BD96" s="1">
        <f t="shared" si="134"/>
        <v>1</v>
      </c>
      <c r="BE96" s="1">
        <f t="shared" si="127"/>
        <v>0</v>
      </c>
      <c r="BF96" s="1">
        <f>MIN(4,V96+0)</f>
        <v>3</v>
      </c>
      <c r="BG96" s="1">
        <f t="shared" si="144"/>
        <v>1</v>
      </c>
      <c r="BH96" s="1">
        <f t="shared" si="128"/>
        <v>1</v>
      </c>
      <c r="BI96" s="1">
        <f t="shared" si="145"/>
        <v>1</v>
      </c>
      <c r="BJ96" s="1">
        <f t="shared" si="148"/>
        <v>1</v>
      </c>
      <c r="BK96" s="1">
        <f t="shared" si="149"/>
        <v>1</v>
      </c>
      <c r="BL96" s="1">
        <f>MAX(AB96,1)</f>
        <v>1</v>
      </c>
      <c r="BM96" s="1">
        <f t="shared" si="152"/>
        <v>1</v>
      </c>
      <c r="BN96" s="1">
        <f t="shared" si="129"/>
        <v>1</v>
      </c>
      <c r="BO96" s="1">
        <f t="shared" si="130"/>
        <v>1</v>
      </c>
    </row>
    <row r="97" spans="1:67" ht="30.95" customHeight="1">
      <c r="A97" s="1">
        <f>2</f>
        <v>2</v>
      </c>
      <c r="B97" s="1">
        <f>固定流程!A25</f>
        <v>20</v>
      </c>
      <c r="C97" s="1">
        <f>5</f>
        <v>5</v>
      </c>
      <c r="D97" s="1">
        <f>1</f>
        <v>1</v>
      </c>
      <c r="E97" s="1">
        <f>固定流程!C25</f>
        <v>3</v>
      </c>
      <c r="F97" s="1">
        <f>固定流程!G25</f>
        <v>1</v>
      </c>
      <c r="G97" s="1" t="str">
        <f>固定流程!H25</f>
        <v>LILYA_ULT</v>
      </c>
      <c r="H97" s="1">
        <f>固定流程!F25</f>
        <v>1</v>
      </c>
      <c r="I97" s="1">
        <f>INDEX(配置与结果!$B$15:$B$18,F97)</f>
        <v>2296</v>
      </c>
      <c r="J97" s="1">
        <f>INDEX(配置与结果!$D$15:$D$18,F97)</f>
        <v>0.7</v>
      </c>
      <c r="K97" s="1">
        <f>INDEX(配置与结果!$E$15:$E$18,F97)</f>
        <v>2.0249999999999999</v>
      </c>
      <c r="L97" s="1">
        <f t="shared" si="141"/>
        <v>2</v>
      </c>
      <c r="M97" s="1">
        <f t="shared" si="142"/>
        <v>10</v>
      </c>
      <c r="N97" s="1">
        <f t="shared" si="143"/>
        <v>2</v>
      </c>
      <c r="O97" s="1">
        <f t="shared" si="135"/>
        <v>6</v>
      </c>
      <c r="P97" s="1">
        <f>MIN(方案参数!$AI$5,AZ96+0+0)</f>
        <v>5</v>
      </c>
      <c r="Q97" s="1">
        <f t="shared" si="113"/>
        <v>5</v>
      </c>
      <c r="R97" s="1">
        <f t="shared" si="114"/>
        <v>15</v>
      </c>
      <c r="S97" s="1">
        <f t="shared" si="115"/>
        <v>3</v>
      </c>
      <c r="T97" s="1">
        <f t="shared" si="150"/>
        <v>1</v>
      </c>
      <c r="U97" s="1">
        <f t="shared" si="117"/>
        <v>0</v>
      </c>
      <c r="V97" s="1">
        <f t="shared" si="118"/>
        <v>3</v>
      </c>
      <c r="W97" s="1">
        <f t="shared" si="119"/>
        <v>1</v>
      </c>
      <c r="X97" s="1">
        <f t="shared" si="120"/>
        <v>1</v>
      </c>
      <c r="Y97" s="1">
        <f t="shared" si="121"/>
        <v>1</v>
      </c>
      <c r="Z97" s="1">
        <f t="shared" si="122"/>
        <v>1</v>
      </c>
      <c r="AA97" s="1">
        <f t="shared" si="146"/>
        <v>1</v>
      </c>
      <c r="AB97" s="1">
        <f t="shared" si="124"/>
        <v>1</v>
      </c>
      <c r="AC97" s="1">
        <f t="shared" si="151"/>
        <v>1</v>
      </c>
      <c r="AD97" s="1">
        <f>ROUNDDOWN(I97*(1+IF(F97=3,0.05+方案参数!$Y$5+AA97*0.12,IF(F97=4,方案参数!$BZ$5*方案参数!$AS$5,0)))+IF(AND(X97=1,F97&lt;&gt;3),方案参数!$CC$5,0)+AC97*方案参数!$CB$5,0)</f>
        <v>3034</v>
      </c>
      <c r="AE97" s="1">
        <f>IF(OR(F97=1,F97=4),配置与结果!$B$24,配置与结果!$B$25)*MAX(0,1-INDEX(配置与结果!$I$15:$I$18,F97)+IF(O97&gt;=6,方案参数!$BK$5,0))</f>
        <v>1440</v>
      </c>
      <c r="AF97" s="1">
        <f>方案参数!$BG$5+IF(O97&gt;=6,方案参数!$BH$5,0)</f>
        <v>36</v>
      </c>
      <c r="AG97" s="1">
        <f>MAX(配置与结果!$B$32,1+INDEX(配置与结果!$F$15:$F$18,F97)+0.08+方案参数!$CD$5+Q97*方案参数!$W$5+Y97*(方案参数!$AN$5+MIN(方案参数!$AO$5,P97*0.03))+AB97*方案参数!$BZ$5*0.025-配置与结果!$B$28)</f>
        <v>2.2150000000000003</v>
      </c>
      <c r="AH97" s="1">
        <f>MAX(0,1+INDEX(配置与结果!$H$15:$H$18,F97)+W97*方案参数!$AG$5+O97*方案参数!$BF$5+IF(O97&gt;=6,方案参数!$BI$5,0))</f>
        <v>2.4500000000000002</v>
      </c>
      <c r="AI97" s="1">
        <f>IF(OR(INDEX(配置与结果!$K$15:$K$18,F97)=1,G97="RHI_BERRY"),1+配置与结果!$B$33+P97*方案参数!$AH$5,1)</f>
        <v>1</v>
      </c>
      <c r="AJ97" s="1">
        <f>MIN(1,MAX(0,J97+方案参数!$AB$5-配置与结果!$B$27))</f>
        <v>1</v>
      </c>
      <c r="AK97" s="1">
        <f>MAX(1,K97+IF(F97=2,0.15+方案参数!$CH$5,0)+BN97*方案参数!$X$5+R97*方案参数!$AA$5+IF(O97&gt;=6,方案参数!$BJ$5,0)-配置与结果!$B$26+Z97*(方案参数!$AP$5+MIN(方案参数!$AQ$5,P97*0.03)))</f>
        <v>3.145</v>
      </c>
      <c r="AL97" s="7">
        <f>ROUNDDOWN(MAX(AD97*配置与结果!$B$31,AD97-AE97)*AF97*AG97*AH97*AI97,0)</f>
        <v>311408</v>
      </c>
      <c r="AM97" s="7">
        <f>ROUNDDOWN(MAX(AD97*配置与结果!$B$31,AD97-AE97)*AF97*AG97*AH97*AI97*AK97,0)</f>
        <v>979380</v>
      </c>
      <c r="AN97" s="7">
        <f t="shared" si="104"/>
        <v>979380</v>
      </c>
      <c r="AO97" s="7">
        <f>0</f>
        <v>0</v>
      </c>
      <c r="AP97" s="7">
        <f>MAX(0,1+INDEX(配置与结果!$J$15:$J$18,F97)+IF(T97&gt;0,方案参数!$BY$5,0)-配置与结果!$B$30)</f>
        <v>2</v>
      </c>
      <c r="AQ97" s="7">
        <f t="shared" si="105"/>
        <v>0</v>
      </c>
      <c r="AR97" s="7">
        <f t="shared" si="106"/>
        <v>0</v>
      </c>
      <c r="AS97" s="7">
        <f t="shared" si="107"/>
        <v>0</v>
      </c>
      <c r="AT97" s="7">
        <f>0</f>
        <v>0</v>
      </c>
      <c r="AU97" s="7">
        <f t="shared" si="108"/>
        <v>979380</v>
      </c>
      <c r="AV97" s="1">
        <f t="shared" si="109"/>
        <v>2</v>
      </c>
      <c r="AW97" s="1">
        <f t="shared" si="139"/>
        <v>10</v>
      </c>
      <c r="AX97" s="1">
        <f t="shared" si="110"/>
        <v>2</v>
      </c>
      <c r="AY97" s="1">
        <f>MIN(20,MAX(0,O97+0+0-IF(O97&gt;=6,6,0)))</f>
        <v>0</v>
      </c>
      <c r="AZ97" s="1">
        <f t="shared" si="111"/>
        <v>5</v>
      </c>
      <c r="BA97" s="1">
        <f t="shared" si="147"/>
        <v>5</v>
      </c>
      <c r="BB97" s="1">
        <f>MIN(30,R97+5)</f>
        <v>20</v>
      </c>
      <c r="BC97" s="1">
        <f t="shared" si="153"/>
        <v>3</v>
      </c>
      <c r="BD97" s="1">
        <f t="shared" si="134"/>
        <v>1</v>
      </c>
      <c r="BE97" s="1">
        <f t="shared" si="127"/>
        <v>0</v>
      </c>
      <c r="BF97" s="1">
        <f>MIN(4,V97+0)</f>
        <v>3</v>
      </c>
      <c r="BG97" s="1">
        <f t="shared" si="144"/>
        <v>1</v>
      </c>
      <c r="BH97" s="1">
        <f t="shared" si="128"/>
        <v>1</v>
      </c>
      <c r="BI97" s="1">
        <f t="shared" si="145"/>
        <v>1</v>
      </c>
      <c r="BJ97" s="1">
        <f t="shared" si="148"/>
        <v>1</v>
      </c>
      <c r="BK97" s="1">
        <f t="shared" si="149"/>
        <v>1</v>
      </c>
      <c r="BL97" s="1">
        <f t="shared" ref="BL97:BL131" si="154">MAX(AB97,0)</f>
        <v>1</v>
      </c>
      <c r="BM97" s="1">
        <f t="shared" si="152"/>
        <v>1</v>
      </c>
      <c r="BN97" s="1">
        <f t="shared" si="129"/>
        <v>1</v>
      </c>
      <c r="BO97" s="1">
        <f t="shared" si="130"/>
        <v>1</v>
      </c>
    </row>
    <row r="98" spans="1:67" ht="30.95" customHeight="1">
      <c r="A98" s="1">
        <f>2</f>
        <v>2</v>
      </c>
      <c r="B98" s="1">
        <f>固定流程!A26</f>
        <v>21</v>
      </c>
      <c r="C98" s="1">
        <f>5</f>
        <v>5</v>
      </c>
      <c r="D98" s="1">
        <f>1</f>
        <v>1</v>
      </c>
      <c r="E98" s="1">
        <f>固定流程!C26</f>
        <v>3</v>
      </c>
      <c r="F98" s="1">
        <f>固定流程!G26</f>
        <v>1</v>
      </c>
      <c r="G98" s="1" t="str">
        <f>固定流程!H26</f>
        <v>LILYA_DIVE</v>
      </c>
      <c r="H98" s="1">
        <f>固定流程!F26</f>
        <v>3</v>
      </c>
      <c r="I98" s="1">
        <f>INDEX(配置与结果!$B$15:$B$18,F98)</f>
        <v>2296</v>
      </c>
      <c r="J98" s="1">
        <f>INDEX(配置与结果!$D$15:$D$18,F98)</f>
        <v>0.7</v>
      </c>
      <c r="K98" s="1">
        <f>INDEX(配置与结果!$E$15:$E$18,F98)</f>
        <v>2.0249999999999999</v>
      </c>
      <c r="L98" s="1">
        <f t="shared" si="141"/>
        <v>2</v>
      </c>
      <c r="M98" s="1">
        <f t="shared" si="142"/>
        <v>10</v>
      </c>
      <c r="N98" s="1">
        <f t="shared" si="143"/>
        <v>2</v>
      </c>
      <c r="O98" s="1">
        <f t="shared" si="135"/>
        <v>0</v>
      </c>
      <c r="P98" s="1">
        <f>MIN(方案参数!$AI$5,AZ97+0+0)</f>
        <v>5</v>
      </c>
      <c r="Q98" s="1">
        <f t="shared" si="113"/>
        <v>5</v>
      </c>
      <c r="R98" s="1">
        <f t="shared" si="114"/>
        <v>20</v>
      </c>
      <c r="S98" s="1">
        <f t="shared" si="115"/>
        <v>3</v>
      </c>
      <c r="T98" s="1">
        <f t="shared" si="150"/>
        <v>1</v>
      </c>
      <c r="U98" s="1">
        <f t="shared" si="117"/>
        <v>0</v>
      </c>
      <c r="V98" s="1">
        <f t="shared" si="118"/>
        <v>3</v>
      </c>
      <c r="W98" s="1">
        <f t="shared" si="119"/>
        <v>1</v>
      </c>
      <c r="X98" s="1">
        <f t="shared" si="120"/>
        <v>1</v>
      </c>
      <c r="Y98" s="1">
        <f t="shared" si="121"/>
        <v>1</v>
      </c>
      <c r="Z98" s="1">
        <f t="shared" si="122"/>
        <v>1</v>
      </c>
      <c r="AA98" s="1">
        <f t="shared" si="146"/>
        <v>1</v>
      </c>
      <c r="AB98" s="1">
        <f t="shared" si="124"/>
        <v>1</v>
      </c>
      <c r="AC98" s="1">
        <f t="shared" si="151"/>
        <v>1</v>
      </c>
      <c r="AD98" s="1">
        <f>ROUNDDOWN(I98*(1+IF(F98=3,0.05+方案参数!$Y$5+AA98*0.12,IF(F98=4,方案参数!$BZ$5*方案参数!$AS$5,0)))+IF(AND(X98=1,F98&lt;&gt;3),方案参数!$CC$5,0)+AC98*方案参数!$CB$5,0)</f>
        <v>3034</v>
      </c>
      <c r="AE98" s="1">
        <f>IF(OR(F98=1,F98=4),配置与结果!$B$24,配置与结果!$B$25)*MAX(0,1-INDEX(配置与结果!$I$15:$I$18,F98))</f>
        <v>1200</v>
      </c>
      <c r="AF98" s="1">
        <f>(IF(L98=1,方案参数!$AW$5,IF(L98=2,方案参数!$AX$5,0))+方案参数!$AV$5)*H98</f>
        <v>30</v>
      </c>
      <c r="AG98" s="1">
        <f>MAX(配置与结果!$B$32,1+INDEX(配置与结果!$F$15:$F$18,F98)+0.08+方案参数!$CD$5+Q98*方案参数!$W$5+Y98*(方案参数!$AN$5+MIN(方案参数!$AO$5,P98*0.03))+AB98*方案参数!$BZ$5*0.025+IF(L98=1,方案参数!$AY$5+(H98-1)*0.1,IF(L98=2,方案参数!$AZ$5+(H98-1)*0.2,0))-配置与结果!$B$28)</f>
        <v>2.8150000000000004</v>
      </c>
      <c r="AH98" s="1">
        <f>MAX(0,1+INDEX(配置与结果!$G$15:$G$18,F98)+W98*方案参数!$AG$5+IF(L98=1,方案参数!$BA$5,IF(L98=2,方案参数!$BB$5,0))+M98*方案参数!$BC$5)</f>
        <v>3.1</v>
      </c>
      <c r="AI98" s="1">
        <f>IF(OR(INDEX(配置与结果!$K$15:$K$18,F98)=1,G98="RHI_BERRY"),1+配置与结果!$B$33+P98*方案参数!$AH$5,1)</f>
        <v>1</v>
      </c>
      <c r="AJ98" s="1">
        <f>MIN(1,MAX(0,J98+方案参数!$AB$5-配置与结果!$B$27))</f>
        <v>1</v>
      </c>
      <c r="AK98" s="1">
        <f>MAX(1,K98+IF(F98=2,0.15+方案参数!$CH$5,0)+BN98*方案参数!$X$5+R98*方案参数!$AA$5+0-配置与结果!$B$26+Z98*(方案参数!$AP$5+MIN(方案参数!$AQ$5,P98*0.03)))</f>
        <v>2.165</v>
      </c>
      <c r="AL98" s="7">
        <f>ROUNDDOWN(MAX(AD98*配置与结果!$B$31,AD98-AE98)*AF98*AG98*AH98*AI98,0)</f>
        <v>480132</v>
      </c>
      <c r="AM98" s="7">
        <f>ROUNDDOWN(MAX(AD98*配置与结果!$B$31,AD98-AE98)*AF98*AG98*AH98*AI98*AK98,0)</f>
        <v>1039485</v>
      </c>
      <c r="AN98" s="7">
        <f t="shared" si="104"/>
        <v>1039485</v>
      </c>
      <c r="AO98" s="7">
        <f>0</f>
        <v>0</v>
      </c>
      <c r="AP98" s="7">
        <f>MAX(0,1+INDEX(配置与结果!$J$15:$J$18,F98)+IF(T98&gt;0,方案参数!$BY$5,0)-配置与结果!$B$30)</f>
        <v>2</v>
      </c>
      <c r="AQ98" s="7">
        <f t="shared" si="105"/>
        <v>0</v>
      </c>
      <c r="AR98" s="7">
        <f t="shared" si="106"/>
        <v>0</v>
      </c>
      <c r="AS98" s="7">
        <f t="shared" si="107"/>
        <v>0</v>
      </c>
      <c r="AT98" s="7">
        <f>0</f>
        <v>0</v>
      </c>
      <c r="AU98" s="7">
        <f t="shared" si="108"/>
        <v>1039485</v>
      </c>
      <c r="AV98" s="1">
        <f t="shared" si="109"/>
        <v>2</v>
      </c>
      <c r="AW98" s="1">
        <f>MIN(10,M98+0+IF(L98=1,方案参数!$BE$5,0))</f>
        <v>10</v>
      </c>
      <c r="AX98" s="1">
        <f t="shared" si="110"/>
        <v>2</v>
      </c>
      <c r="AY98" s="1">
        <f>MIN(20,MAX(0,O98+0+0-0))</f>
        <v>0</v>
      </c>
      <c r="AZ98" s="1">
        <f t="shared" si="111"/>
        <v>5</v>
      </c>
      <c r="BA98" s="1">
        <f t="shared" si="147"/>
        <v>5</v>
      </c>
      <c r="BB98" s="1">
        <f t="shared" ref="BB98:BB113" si="155">MIN(30,R98+0)</f>
        <v>20</v>
      </c>
      <c r="BC98" s="1">
        <f t="shared" si="153"/>
        <v>3</v>
      </c>
      <c r="BD98" s="1">
        <f t="shared" si="134"/>
        <v>1</v>
      </c>
      <c r="BE98" s="1">
        <f t="shared" si="127"/>
        <v>0</v>
      </c>
      <c r="BF98" s="1">
        <f>MIN(4,V98+0)</f>
        <v>3</v>
      </c>
      <c r="BG98" s="1">
        <f t="shared" si="144"/>
        <v>1</v>
      </c>
      <c r="BH98" s="1">
        <f t="shared" si="128"/>
        <v>1</v>
      </c>
      <c r="BI98" s="1">
        <f t="shared" si="145"/>
        <v>1</v>
      </c>
      <c r="BJ98" s="1">
        <f t="shared" si="148"/>
        <v>1</v>
      </c>
      <c r="BK98" s="1">
        <f t="shared" si="149"/>
        <v>1</v>
      </c>
      <c r="BL98" s="1">
        <f t="shared" si="154"/>
        <v>1</v>
      </c>
      <c r="BM98" s="1">
        <f t="shared" si="152"/>
        <v>1</v>
      </c>
      <c r="BN98" s="1">
        <f t="shared" si="129"/>
        <v>1</v>
      </c>
      <c r="BO98" s="1">
        <f t="shared" si="130"/>
        <v>1</v>
      </c>
    </row>
    <row r="99" spans="1:67" ht="30.95" customHeight="1">
      <c r="A99" s="1">
        <f>2</f>
        <v>2</v>
      </c>
      <c r="B99" s="1">
        <f>固定流程!A27</f>
        <v>22</v>
      </c>
      <c r="C99" s="1">
        <f>5</f>
        <v>5</v>
      </c>
      <c r="D99" s="1">
        <f>1</f>
        <v>1</v>
      </c>
      <c r="E99" s="1">
        <f>固定流程!C27</f>
        <v>3</v>
      </c>
      <c r="F99" s="1">
        <f>固定流程!G27</f>
        <v>3</v>
      </c>
      <c r="G99" s="1" t="str">
        <f>固定流程!H27</f>
        <v>RHI_BERRY</v>
      </c>
      <c r="H99" s="1">
        <f>固定流程!F27</f>
        <v>1</v>
      </c>
      <c r="I99" s="1">
        <f>INDEX(配置与结果!$B$15:$B$18,F99)</f>
        <v>2597</v>
      </c>
      <c r="J99" s="1">
        <f>INDEX(配置与结果!$D$15:$D$18,F99)</f>
        <v>0.255</v>
      </c>
      <c r="K99" s="1">
        <f>INDEX(配置与结果!$E$15:$E$18,F99)</f>
        <v>1.55</v>
      </c>
      <c r="L99" s="1">
        <f t="shared" si="141"/>
        <v>2</v>
      </c>
      <c r="M99" s="1">
        <f t="shared" si="142"/>
        <v>10</v>
      </c>
      <c r="N99" s="1">
        <f t="shared" si="143"/>
        <v>2</v>
      </c>
      <c r="O99" s="1">
        <f t="shared" si="135"/>
        <v>0</v>
      </c>
      <c r="P99" s="1">
        <f>MIN(方案参数!$AI$5,AZ98+0+0)</f>
        <v>5</v>
      </c>
      <c r="Q99" s="1">
        <f t="shared" si="113"/>
        <v>5</v>
      </c>
      <c r="R99" s="1">
        <f t="shared" si="114"/>
        <v>20</v>
      </c>
      <c r="S99" s="1">
        <f t="shared" si="115"/>
        <v>3</v>
      </c>
      <c r="T99" s="1">
        <f t="shared" si="150"/>
        <v>1</v>
      </c>
      <c r="U99" s="1">
        <f t="shared" si="117"/>
        <v>0</v>
      </c>
      <c r="V99" s="1">
        <f t="shared" si="118"/>
        <v>3</v>
      </c>
      <c r="W99" s="1">
        <f t="shared" si="119"/>
        <v>1</v>
      </c>
      <c r="X99" s="1">
        <f t="shared" si="120"/>
        <v>1</v>
      </c>
      <c r="Y99" s="1">
        <f t="shared" si="121"/>
        <v>1</v>
      </c>
      <c r="Z99" s="1">
        <f t="shared" si="122"/>
        <v>1</v>
      </c>
      <c r="AA99" s="1">
        <f t="shared" si="146"/>
        <v>1</v>
      </c>
      <c r="AB99" s="1">
        <f t="shared" si="124"/>
        <v>1</v>
      </c>
      <c r="AC99" s="1">
        <f t="shared" si="151"/>
        <v>1</v>
      </c>
      <c r="AD99" s="1">
        <f>ROUNDDOWN(I99*(1+IF(F99=3,0.05+方案参数!$Y$5+AA99*0.12,IF(F99=4,方案参数!$BZ$5*方案参数!$AS$5,0)))+IF(AND(X99=1,F99&lt;&gt;3),方案参数!$CC$5,0)+AC99*方案参数!$CB$5,0)</f>
        <v>3798</v>
      </c>
      <c r="AE99" s="1">
        <f>IF(OR(F99=1,F99=4),配置与结果!$B$24,配置与结果!$B$25)*MAX(0,1-INDEX(配置与结果!$I$15:$I$18,F99))</f>
        <v>1000</v>
      </c>
      <c r="AF99" s="1">
        <f>方案参数!$CF$5+P99*方案参数!$CG$5</f>
        <v>22.5</v>
      </c>
      <c r="AG99" s="1">
        <f>MAX(配置与结果!$B$32,1+INDEX(配置与结果!$F$15:$F$18,F99)+0+Q99*方案参数!$W$5+Y99*(方案参数!$AN$5+MIN(方案参数!$AO$5,P99*0.03))+AB99*方案参数!$BZ$5*0.025-配置与结果!$B$28)</f>
        <v>1.9100000000000001</v>
      </c>
      <c r="AH99" s="1">
        <f>MAX(0,1+INDEX(配置与结果!$G$15:$G$18,F99)+W99*方案参数!$AG$5)</f>
        <v>1.3</v>
      </c>
      <c r="AI99" s="1">
        <f>IF(OR(INDEX(配置与结果!$K$15:$K$18,F99)=1,G99="RHI_BERRY"),1+配置与结果!$B$33+P99*方案参数!$AH$5,1)</f>
        <v>1.5</v>
      </c>
      <c r="AJ99" s="1">
        <f>MIN(1,MAX(0,J99+方案参数!$AB$5-配置与结果!$B$27))</f>
        <v>0.55499999999999994</v>
      </c>
      <c r="AK99" s="1">
        <f>MAX(1,K99+IF(F99=2,0.15+方案参数!$CH$5,0)+BN99*方案参数!$X$5+R99*方案参数!$AA$5+0-配置与结果!$B$26+Z99*(方案参数!$AP$5+MIN(方案参数!$AQ$5,P99*0.03)))</f>
        <v>1.6900000000000002</v>
      </c>
      <c r="AL99" s="7">
        <f>ROUNDDOWN(MAX(AD99*配置与结果!$B$31,AD99-AE99)*AF99*AG99*AH99*AI99,0)</f>
        <v>234475</v>
      </c>
      <c r="AM99" s="7">
        <f>ROUNDDOWN(MAX(AD99*配置与结果!$B$31,AD99-AE99)*AF99*AG99*AH99*AI99*AK99,0)</f>
        <v>396264</v>
      </c>
      <c r="AN99" s="7">
        <f t="shared" si="104"/>
        <v>324267.89500000002</v>
      </c>
      <c r="AO99" s="7">
        <f>0</f>
        <v>0</v>
      </c>
      <c r="AP99" s="7">
        <f>MAX(0,1+INDEX(配置与结果!$J$15:$J$18,F99)+IF(T99&gt;0,方案参数!$BY$5,0)-配置与结果!$B$30)</f>
        <v>2</v>
      </c>
      <c r="AQ99" s="7">
        <f t="shared" si="105"/>
        <v>0</v>
      </c>
      <c r="AR99" s="7">
        <f t="shared" si="106"/>
        <v>0</v>
      </c>
      <c r="AS99" s="7">
        <f t="shared" si="107"/>
        <v>0</v>
      </c>
      <c r="AT99" s="7">
        <f>0</f>
        <v>0</v>
      </c>
      <c r="AU99" s="7">
        <f t="shared" si="108"/>
        <v>324267.89500000002</v>
      </c>
      <c r="AV99" s="1">
        <f t="shared" si="109"/>
        <v>2</v>
      </c>
      <c r="AW99" s="1">
        <f t="shared" ref="AW99:AW115" si="156">MIN(10,M99+0+0)</f>
        <v>10</v>
      </c>
      <c r="AX99" s="1">
        <f t="shared" si="110"/>
        <v>2</v>
      </c>
      <c r="AY99" s="1">
        <f>MIN(20,MAX(0,O99+0+0-0))</f>
        <v>0</v>
      </c>
      <c r="AZ99" s="1">
        <f t="shared" si="111"/>
        <v>5</v>
      </c>
      <c r="BA99" s="1">
        <f t="shared" si="147"/>
        <v>5</v>
      </c>
      <c r="BB99" s="1">
        <f t="shared" si="155"/>
        <v>20</v>
      </c>
      <c r="BC99" s="1">
        <f t="shared" si="153"/>
        <v>3</v>
      </c>
      <c r="BD99" s="1">
        <f t="shared" si="134"/>
        <v>1</v>
      </c>
      <c r="BE99" s="1">
        <f t="shared" si="127"/>
        <v>0</v>
      </c>
      <c r="BF99" s="1">
        <f>MIN(4,V99+0)</f>
        <v>3</v>
      </c>
      <c r="BG99" s="1">
        <f t="shared" si="144"/>
        <v>1</v>
      </c>
      <c r="BH99" s="1">
        <f t="shared" si="128"/>
        <v>1</v>
      </c>
      <c r="BI99" s="1">
        <f t="shared" si="145"/>
        <v>1</v>
      </c>
      <c r="BJ99" s="1">
        <f t="shared" si="148"/>
        <v>1</v>
      </c>
      <c r="BK99" s="1">
        <f t="shared" si="149"/>
        <v>1</v>
      </c>
      <c r="BL99" s="1">
        <f t="shared" si="154"/>
        <v>1</v>
      </c>
      <c r="BM99" s="1">
        <f t="shared" si="152"/>
        <v>1</v>
      </c>
      <c r="BN99" s="1">
        <f t="shared" si="129"/>
        <v>1</v>
      </c>
      <c r="BO99" s="1">
        <f t="shared" si="130"/>
        <v>1</v>
      </c>
    </row>
    <row r="100" spans="1:67" ht="30.95" customHeight="1">
      <c r="A100" s="1">
        <f>2</f>
        <v>2</v>
      </c>
      <c r="B100" s="1">
        <f>固定流程!A28</f>
        <v>23</v>
      </c>
      <c r="C100" s="1">
        <f>5</f>
        <v>5</v>
      </c>
      <c r="D100" s="1">
        <f>1</f>
        <v>1</v>
      </c>
      <c r="E100" s="1">
        <f>固定流程!C28</f>
        <v>3</v>
      </c>
      <c r="F100" s="1">
        <f>固定流程!G28</f>
        <v>2</v>
      </c>
      <c r="G100" s="1" t="str">
        <f>固定流程!H28</f>
        <v>37_FOLLOW</v>
      </c>
      <c r="H100" s="1">
        <f>固定流程!F28</f>
        <v>1</v>
      </c>
      <c r="I100" s="1">
        <f>INDEX(配置与结果!$B$15:$B$18,F100)</f>
        <v>2306</v>
      </c>
      <c r="J100" s="1">
        <f>INDEX(配置与结果!$D$15:$D$18,F100)</f>
        <v>0.46</v>
      </c>
      <c r="K100" s="1">
        <f>INDEX(配置与结果!$E$15:$E$18,F100)</f>
        <v>1.9279999999999999</v>
      </c>
      <c r="L100" s="1">
        <f t="shared" si="141"/>
        <v>2</v>
      </c>
      <c r="M100" s="1">
        <f t="shared" si="142"/>
        <v>10</v>
      </c>
      <c r="N100" s="1">
        <f t="shared" si="143"/>
        <v>2</v>
      </c>
      <c r="O100" s="1">
        <f t="shared" si="135"/>
        <v>0</v>
      </c>
      <c r="P100" s="1">
        <f>MIN(方案参数!$AI$5,AZ99+0+0)</f>
        <v>5</v>
      </c>
      <c r="Q100" s="1">
        <f t="shared" si="113"/>
        <v>5</v>
      </c>
      <c r="R100" s="1">
        <f t="shared" si="114"/>
        <v>20</v>
      </c>
      <c r="S100" s="1">
        <f t="shared" si="115"/>
        <v>3</v>
      </c>
      <c r="T100" s="1">
        <f t="shared" si="150"/>
        <v>1</v>
      </c>
      <c r="U100" s="1">
        <f t="shared" si="117"/>
        <v>0</v>
      </c>
      <c r="V100" s="1">
        <f t="shared" si="118"/>
        <v>3</v>
      </c>
      <c r="W100" s="1">
        <f t="shared" si="119"/>
        <v>1</v>
      </c>
      <c r="X100" s="1">
        <f t="shared" si="120"/>
        <v>1</v>
      </c>
      <c r="Y100" s="1">
        <f t="shared" si="121"/>
        <v>1</v>
      </c>
      <c r="Z100" s="1">
        <f t="shared" si="122"/>
        <v>1</v>
      </c>
      <c r="AA100" s="1">
        <f t="shared" si="146"/>
        <v>1</v>
      </c>
      <c r="AB100" s="1">
        <f t="shared" si="124"/>
        <v>1</v>
      </c>
      <c r="AC100" s="1">
        <f t="shared" si="151"/>
        <v>1</v>
      </c>
      <c r="AD100" s="1">
        <f>ROUNDDOWN(I100*(1+IF(F100=3,0.05+方案参数!$Y$5+AA100*0.12,IF(F100=4,方案参数!$BZ$5*方案参数!$AS$5,0)))+IF(AND(X100=1,F100&lt;&gt;3),方案参数!$CC$5,0)+AC100*方案参数!$CB$5,0)</f>
        <v>3044</v>
      </c>
      <c r="AE100" s="1">
        <f>IF(OR(F100=1,F100=4),配置与结果!$B$24,配置与结果!$B$25)*MAX(0,1-INDEX(配置与结果!$I$15:$I$18,F100))</f>
        <v>1000</v>
      </c>
      <c r="AF100" s="1">
        <f>方案参数!$BV$5</f>
        <v>3</v>
      </c>
      <c r="AG100" s="1">
        <f>MAX(配置与结果!$B$32,1+INDEX(配置与结果!$F$15:$F$18,F100)+0+Q100*方案参数!$W$5+Y100*(方案参数!$AN$5+MIN(方案参数!$AO$5,P100*0.03))+AB100*方案参数!$BZ$5*0.025-配置与结果!$B$28)</f>
        <v>1.8800000000000003</v>
      </c>
      <c r="AH100" s="1">
        <f>MAX(0,1+INDEX(配置与结果!$G$15:$G$18,F100)+W100*方案参数!$AG$5)</f>
        <v>1.3</v>
      </c>
      <c r="AI100" s="1">
        <f>IF(OR(INDEX(配置与结果!$K$15:$K$18,F100)=1,G100="RHI_BERRY"),1+配置与结果!$B$33+P100*方案参数!$AH$5,1)</f>
        <v>1</v>
      </c>
      <c r="AJ100" s="1">
        <f>MIN(1,MAX(0,J100+方案参数!$AB$5-配置与结果!$B$27))</f>
        <v>0.76</v>
      </c>
      <c r="AK100" s="1">
        <f>MAX(1,K100+IF(F100=2,0.15+方案参数!$CH$5,0)+BN100*方案参数!$X$5+R100*方案参数!$AA$5+0-配置与结果!$B$26+Z100*(方案参数!$AP$5+MIN(方案参数!$AQ$5,P100*0.03)))</f>
        <v>2.3380000000000001</v>
      </c>
      <c r="AL100" s="7">
        <f>ROUNDDOWN(MAX(AD100*配置与结果!$B$31,AD100-AE100)*AF100*AG100*AH100*AI100,0)</f>
        <v>14986</v>
      </c>
      <c r="AM100" s="7">
        <f>ROUNDDOWN(MAX(AD100*配置与结果!$B$31,AD100-AE100)*AF100*AG100*AH100*AI100*AK100,0)</f>
        <v>35038</v>
      </c>
      <c r="AN100" s="7">
        <f t="shared" si="104"/>
        <v>30225.52</v>
      </c>
      <c r="AO100" s="7">
        <f>方案参数!$BW$5</f>
        <v>1</v>
      </c>
      <c r="AP100" s="7">
        <f>MAX(0,1+INDEX(配置与结果!$J$15:$J$18,F100)+IF(T100&gt;0,方案参数!$BY$5,0)-配置与结果!$B$30)</f>
        <v>2</v>
      </c>
      <c r="AQ100" s="7">
        <f t="shared" si="105"/>
        <v>6088</v>
      </c>
      <c r="AR100" s="7">
        <f t="shared" si="106"/>
        <v>14233</v>
      </c>
      <c r="AS100" s="7">
        <f t="shared" si="107"/>
        <v>12278.2</v>
      </c>
      <c r="AT100" s="7">
        <f>0</f>
        <v>0</v>
      </c>
      <c r="AU100" s="7">
        <f t="shared" si="108"/>
        <v>42503.72</v>
      </c>
      <c r="AV100" s="1">
        <f t="shared" si="109"/>
        <v>2</v>
      </c>
      <c r="AW100" s="1">
        <f t="shared" si="156"/>
        <v>10</v>
      </c>
      <c r="AX100" s="1">
        <f t="shared" si="110"/>
        <v>2</v>
      </c>
      <c r="AY100" s="1">
        <f>MIN(20,MAX(0,O100+0+0-0))</f>
        <v>0</v>
      </c>
      <c r="AZ100" s="1">
        <f t="shared" si="111"/>
        <v>5</v>
      </c>
      <c r="BA100" s="1">
        <f t="shared" si="147"/>
        <v>5</v>
      </c>
      <c r="BB100" s="1">
        <f t="shared" si="155"/>
        <v>20</v>
      </c>
      <c r="BC100" s="1">
        <f t="shared" si="153"/>
        <v>3</v>
      </c>
      <c r="BD100" s="1">
        <f t="shared" si="134"/>
        <v>0</v>
      </c>
      <c r="BE100" s="1">
        <f t="shared" si="127"/>
        <v>0</v>
      </c>
      <c r="BF100" s="1">
        <f>MIN(4,V100+1)</f>
        <v>4</v>
      </c>
      <c r="BG100" s="1">
        <f t="shared" si="144"/>
        <v>1</v>
      </c>
      <c r="BH100" s="1">
        <f t="shared" si="128"/>
        <v>1</v>
      </c>
      <c r="BI100" s="1">
        <f t="shared" si="145"/>
        <v>1</v>
      </c>
      <c r="BJ100" s="1">
        <f t="shared" si="148"/>
        <v>1</v>
      </c>
      <c r="BK100" s="1">
        <f t="shared" si="149"/>
        <v>1</v>
      </c>
      <c r="BL100" s="1">
        <f t="shared" si="154"/>
        <v>1</v>
      </c>
      <c r="BM100" s="1">
        <f t="shared" si="152"/>
        <v>1</v>
      </c>
      <c r="BN100" s="1">
        <f t="shared" si="129"/>
        <v>1</v>
      </c>
      <c r="BO100" s="1">
        <f t="shared" si="130"/>
        <v>1</v>
      </c>
    </row>
    <row r="101" spans="1:67" ht="30.95" customHeight="1">
      <c r="A101" s="1">
        <f>2</f>
        <v>2</v>
      </c>
      <c r="B101" s="1">
        <f>固定流程!A29</f>
        <v>24</v>
      </c>
      <c r="C101" s="1">
        <f>5</f>
        <v>5</v>
      </c>
      <c r="D101" s="1">
        <f>2</f>
        <v>2</v>
      </c>
      <c r="E101" s="1">
        <f>固定流程!C29</f>
        <v>3</v>
      </c>
      <c r="F101" s="1">
        <f>固定流程!G29</f>
        <v>1</v>
      </c>
      <c r="G101" s="1" t="str">
        <f>固定流程!H29</f>
        <v>LILYA_WEAK</v>
      </c>
      <c r="H101" s="1">
        <f>固定流程!F29</f>
        <v>1</v>
      </c>
      <c r="I101" s="1">
        <f>INDEX(配置与结果!$B$15:$B$18,F101)</f>
        <v>2296</v>
      </c>
      <c r="J101" s="1">
        <f>INDEX(配置与结果!$D$15:$D$18,F101)</f>
        <v>0.7</v>
      </c>
      <c r="K101" s="1">
        <f>INDEX(配置与结果!$E$15:$E$18,F101)</f>
        <v>2.0249999999999999</v>
      </c>
      <c r="L101" s="1">
        <f t="shared" si="141"/>
        <v>2</v>
      </c>
      <c r="M101" s="1">
        <f t="shared" si="142"/>
        <v>10</v>
      </c>
      <c r="N101" s="1">
        <f t="shared" si="143"/>
        <v>2</v>
      </c>
      <c r="O101" s="1">
        <f t="shared" si="135"/>
        <v>0</v>
      </c>
      <c r="P101" s="1">
        <f>MIN(方案参数!$AI$5,AZ100+0+0)</f>
        <v>5</v>
      </c>
      <c r="Q101" s="1">
        <f t="shared" si="113"/>
        <v>5</v>
      </c>
      <c r="R101" s="1">
        <f t="shared" si="114"/>
        <v>20</v>
      </c>
      <c r="S101" s="1">
        <f t="shared" si="115"/>
        <v>3</v>
      </c>
      <c r="T101" s="1">
        <f t="shared" si="150"/>
        <v>0</v>
      </c>
      <c r="U101" s="1">
        <f t="shared" si="117"/>
        <v>0</v>
      </c>
      <c r="V101" s="1">
        <f t="shared" si="118"/>
        <v>4</v>
      </c>
      <c r="W101" s="1">
        <f t="shared" si="119"/>
        <v>1</v>
      </c>
      <c r="X101" s="1">
        <f t="shared" si="120"/>
        <v>1</v>
      </c>
      <c r="Y101" s="1">
        <f t="shared" si="121"/>
        <v>1</v>
      </c>
      <c r="Z101" s="1">
        <f t="shared" si="122"/>
        <v>1</v>
      </c>
      <c r="AA101" s="1">
        <f t="shared" si="146"/>
        <v>1</v>
      </c>
      <c r="AB101" s="1">
        <f t="shared" si="124"/>
        <v>1</v>
      </c>
      <c r="AC101" s="1">
        <f t="shared" si="151"/>
        <v>1</v>
      </c>
      <c r="AD101" s="1">
        <f>ROUNDDOWN(I101*(1+IF(F101=3,0.05+方案参数!$Y$5+AA101*0.12,IF(F101=4,方案参数!$BZ$5*方案参数!$AS$5,0)))+IF(AND(X101=1,F101&lt;&gt;3),方案参数!$CC$5,0)+AC101*方案参数!$CB$5,0)</f>
        <v>3034</v>
      </c>
      <c r="AE101" s="1">
        <f>IF(OR(F101=1,F101=4),配置与结果!$B$24,配置与结果!$B$25)*MAX(0,1-INDEX(配置与结果!$I$15:$I$18,F101))</f>
        <v>1200</v>
      </c>
      <c r="AF101" s="1">
        <f>方案参数!$BL$5</f>
        <v>9</v>
      </c>
      <c r="AG101" s="1">
        <f>MAX(配置与结果!$B$32,1+INDEX(配置与结果!$F$15:$F$18,F101)+0.08+方案参数!$CD$5+Q101*方案参数!$W$5+Y101*(方案参数!$AN$5+MIN(方案参数!$AO$5,P101*0.03))+AB101*方案参数!$BZ$5*0.025-配置与结果!$B$28+方案参数!$AE$5)</f>
        <v>2.6150000000000002</v>
      </c>
      <c r="AH101" s="1">
        <f>MAX(0,1+V101*方案参数!$U$5+0*方案参数!$V$5+方案参数!$AE$5-配置与结果!$B$29)</f>
        <v>1.56</v>
      </c>
      <c r="AI101" s="1">
        <f>IF(OR(INDEX(配置与结果!$K$15:$K$18,F101)=1,G101="RHI_BERRY"),1+配置与结果!$B$33+P101*方案参数!$AH$5,1)</f>
        <v>1</v>
      </c>
      <c r="AJ101" s="1">
        <f>MIN(1,MAX(0,J101+方案参数!$AB$5-配置与结果!$B$27))</f>
        <v>1</v>
      </c>
      <c r="AK101" s="1">
        <f>MAX(1,K101+IF(F101=2,0.15+方案参数!$CH$5,0)+BN101*方案参数!$X$5+R101*方案参数!$AA$5+方案参数!$BP$5-配置与结果!$B$26+Z101*(方案参数!$AP$5+MIN(方案参数!$AQ$5,P101*0.03)))</f>
        <v>2.7650000000000001</v>
      </c>
      <c r="AL101" s="7">
        <f>ROUNDDOWN(MAX(AD101*配置与结果!$B$31,AD101-AE101)*AF101*AG101*AH101*AI101,0)</f>
        <v>67334</v>
      </c>
      <c r="AM101" s="7">
        <f>ROUNDDOWN(MAX(AD101*配置与结果!$B$31,AD101-AE101)*AF101*AG101*AH101*AI101*AK101,0)</f>
        <v>186180</v>
      </c>
      <c r="AN101" s="7">
        <f t="shared" si="104"/>
        <v>186180</v>
      </c>
      <c r="AO101" s="7">
        <f>0</f>
        <v>0</v>
      </c>
      <c r="AP101" s="7">
        <f>MAX(0,1+INDEX(配置与结果!$J$15:$J$18,F101)+IF(T101&gt;0,方案参数!$BY$5,0)-配置与结果!$B$30)</f>
        <v>1</v>
      </c>
      <c r="AQ101" s="7">
        <f t="shared" si="105"/>
        <v>0</v>
      </c>
      <c r="AR101" s="7">
        <f t="shared" si="106"/>
        <v>0</v>
      </c>
      <c r="AS101" s="7">
        <f t="shared" si="107"/>
        <v>0</v>
      </c>
      <c r="AT101" s="7">
        <f>IF(U101&gt;0,ROUNDDOWN(AL101*方案参数!$AF$5,0)*(1-AJ101)+ROUNDDOWN(AM101*方案参数!$AF$5,0)*AJ101,0)</f>
        <v>0</v>
      </c>
      <c r="AU101" s="7">
        <f t="shared" si="108"/>
        <v>186180</v>
      </c>
      <c r="AV101" s="1">
        <f t="shared" si="109"/>
        <v>2</v>
      </c>
      <c r="AW101" s="1">
        <f t="shared" si="156"/>
        <v>10</v>
      </c>
      <c r="AX101" s="1">
        <f t="shared" si="110"/>
        <v>2</v>
      </c>
      <c r="AY101" s="1">
        <f>MIN(20,MAX(0,O101+0+1-0))</f>
        <v>1</v>
      </c>
      <c r="AZ101" s="1">
        <f t="shared" si="111"/>
        <v>5</v>
      </c>
      <c r="BA101" s="1">
        <f t="shared" si="147"/>
        <v>5</v>
      </c>
      <c r="BB101" s="1">
        <f t="shared" si="155"/>
        <v>20</v>
      </c>
      <c r="BC101" s="1">
        <f t="shared" si="153"/>
        <v>3</v>
      </c>
      <c r="BD101" s="1">
        <f t="shared" si="134"/>
        <v>0</v>
      </c>
      <c r="BE101" s="1">
        <f>MAX(0,U101-IF(AF101&gt;0,1,0))+0</f>
        <v>0</v>
      </c>
      <c r="BF101" s="1">
        <f t="shared" ref="BF101:BF118" si="157">MIN(4,V101+0)</f>
        <v>4</v>
      </c>
      <c r="BG101" s="1">
        <f t="shared" si="144"/>
        <v>1</v>
      </c>
      <c r="BH101" s="1">
        <f t="shared" si="128"/>
        <v>1</v>
      </c>
      <c r="BI101" s="1">
        <f t="shared" si="145"/>
        <v>1</v>
      </c>
      <c r="BJ101" s="1">
        <f t="shared" si="148"/>
        <v>1</v>
      </c>
      <c r="BK101" s="1">
        <f t="shared" si="149"/>
        <v>1</v>
      </c>
      <c r="BL101" s="1">
        <f t="shared" si="154"/>
        <v>1</v>
      </c>
      <c r="BM101" s="1">
        <f t="shared" si="152"/>
        <v>1</v>
      </c>
      <c r="BN101" s="1">
        <f t="shared" si="129"/>
        <v>1</v>
      </c>
      <c r="BO101" s="1">
        <f t="shared" si="130"/>
        <v>1</v>
      </c>
    </row>
    <row r="102" spans="1:67" ht="30.95" customHeight="1">
      <c r="A102" s="1">
        <f>2</f>
        <v>2</v>
      </c>
      <c r="B102" s="1">
        <f>固定流程!A30</f>
        <v>25</v>
      </c>
      <c r="C102" s="1">
        <f>5</f>
        <v>5</v>
      </c>
      <c r="D102" s="1">
        <f>2</f>
        <v>2</v>
      </c>
      <c r="E102" s="1">
        <f>固定流程!C30</f>
        <v>3</v>
      </c>
      <c r="F102" s="1">
        <f>固定流程!G30</f>
        <v>1</v>
      </c>
      <c r="G102" s="1" t="str">
        <f>固定流程!H30</f>
        <v>LILYA_WEAK</v>
      </c>
      <c r="H102" s="1">
        <f>固定流程!F30</f>
        <v>1</v>
      </c>
      <c r="I102" s="1">
        <f>INDEX(配置与结果!$B$15:$B$18,F102)</f>
        <v>2296</v>
      </c>
      <c r="J102" s="1">
        <f>INDEX(配置与结果!$D$15:$D$18,F102)</f>
        <v>0.7</v>
      </c>
      <c r="K102" s="1">
        <f>INDEX(配置与结果!$E$15:$E$18,F102)</f>
        <v>2.0249999999999999</v>
      </c>
      <c r="L102" s="1">
        <f t="shared" si="141"/>
        <v>2</v>
      </c>
      <c r="M102" s="1">
        <f t="shared" si="142"/>
        <v>10</v>
      </c>
      <c r="N102" s="1">
        <f t="shared" si="143"/>
        <v>2</v>
      </c>
      <c r="O102" s="1">
        <f t="shared" si="135"/>
        <v>1</v>
      </c>
      <c r="P102" s="1">
        <f>MIN(方案参数!$AI$5,AZ101+0+0)</f>
        <v>5</v>
      </c>
      <c r="Q102" s="1">
        <f t="shared" si="113"/>
        <v>5</v>
      </c>
      <c r="R102" s="1">
        <f t="shared" si="114"/>
        <v>20</v>
      </c>
      <c r="S102" s="1">
        <f t="shared" si="115"/>
        <v>3</v>
      </c>
      <c r="T102" s="1">
        <f t="shared" si="150"/>
        <v>0</v>
      </c>
      <c r="U102" s="1">
        <f t="shared" si="117"/>
        <v>0</v>
      </c>
      <c r="V102" s="1">
        <f t="shared" si="118"/>
        <v>4</v>
      </c>
      <c r="W102" s="1">
        <f t="shared" si="119"/>
        <v>1</v>
      </c>
      <c r="X102" s="1">
        <f t="shared" si="120"/>
        <v>1</v>
      </c>
      <c r="Y102" s="1">
        <f t="shared" si="121"/>
        <v>1</v>
      </c>
      <c r="Z102" s="1">
        <f t="shared" si="122"/>
        <v>1</v>
      </c>
      <c r="AA102" s="1">
        <f t="shared" si="146"/>
        <v>1</v>
      </c>
      <c r="AB102" s="1">
        <f t="shared" si="124"/>
        <v>1</v>
      </c>
      <c r="AC102" s="1">
        <f t="shared" si="151"/>
        <v>1</v>
      </c>
      <c r="AD102" s="1">
        <f>ROUNDDOWN(I102*(1+IF(F102=3,0.05+方案参数!$Y$5+AA102*0.12,IF(F102=4,方案参数!$BZ$5*方案参数!$AS$5,0)))+IF(AND(X102=1,F102&lt;&gt;3),方案参数!$CC$5,0)+AC102*方案参数!$CB$5,0)</f>
        <v>3034</v>
      </c>
      <c r="AE102" s="1">
        <f>IF(OR(F102=1,F102=4),配置与结果!$B$24,配置与结果!$B$25)*MAX(0,1-INDEX(配置与结果!$I$15:$I$18,F102))</f>
        <v>1200</v>
      </c>
      <c r="AF102" s="1">
        <f>方案参数!$BL$5</f>
        <v>9</v>
      </c>
      <c r="AG102" s="1">
        <f>MAX(配置与结果!$B$32,1+INDEX(配置与结果!$F$15:$F$18,F102)+0.08+方案参数!$CD$5+Q102*方案参数!$W$5+Y102*(方案参数!$AN$5+MIN(方案参数!$AO$5,P102*0.03))+AB102*方案参数!$BZ$5*0.025-配置与结果!$B$28+方案参数!$AE$5)</f>
        <v>2.6150000000000002</v>
      </c>
      <c r="AH102" s="1">
        <f>MAX(0,1+V102*方案参数!$U$5+1*方案参数!$V$5+方案参数!$AE$5-配置与结果!$B$29)</f>
        <v>1.62</v>
      </c>
      <c r="AI102" s="1">
        <f>IF(OR(INDEX(配置与结果!$K$15:$K$18,F102)=1,G102="RHI_BERRY"),1+配置与结果!$B$33+P102*方案参数!$AH$5,1)</f>
        <v>1</v>
      </c>
      <c r="AJ102" s="1">
        <f>MIN(1,MAX(0,J102+方案参数!$AB$5-配置与结果!$B$27))</f>
        <v>1</v>
      </c>
      <c r="AK102" s="1">
        <f>MAX(1,K102+IF(F102=2,0.15+方案参数!$CH$5,0)+BN102*方案参数!$X$5+R102*方案参数!$AA$5+方案参数!$BP$5-配置与结果!$B$26+Z102*(方案参数!$AP$5+MIN(方案参数!$AQ$5,P102*0.03)))</f>
        <v>2.7650000000000001</v>
      </c>
      <c r="AL102" s="7">
        <f>ROUNDDOWN(MAX(AD102*配置与结果!$B$31,AD102-AE102)*AF102*AG102*AH102*AI102,0)</f>
        <v>69924</v>
      </c>
      <c r="AM102" s="7">
        <f>ROUNDDOWN(MAX(AD102*配置与结果!$B$31,AD102-AE102)*AF102*AG102*AH102*AI102*AK102,0)</f>
        <v>193340</v>
      </c>
      <c r="AN102" s="7">
        <f t="shared" si="104"/>
        <v>193340</v>
      </c>
      <c r="AO102" s="7">
        <f>0</f>
        <v>0</v>
      </c>
      <c r="AP102" s="7">
        <f>MAX(0,1+INDEX(配置与结果!$J$15:$J$18,F102)+IF(T102&gt;0,方案参数!$BY$5,0)-配置与结果!$B$30)</f>
        <v>1</v>
      </c>
      <c r="AQ102" s="7">
        <f t="shared" si="105"/>
        <v>0</v>
      </c>
      <c r="AR102" s="7">
        <f t="shared" si="106"/>
        <v>0</v>
      </c>
      <c r="AS102" s="7">
        <f t="shared" si="107"/>
        <v>0</v>
      </c>
      <c r="AT102" s="7">
        <f>IF(U102&gt;0,ROUNDDOWN(AL102*方案参数!$AF$5,0)*(1-AJ102)+ROUNDDOWN(AM102*方案参数!$AF$5,0)*AJ102,0)</f>
        <v>0</v>
      </c>
      <c r="AU102" s="7">
        <f t="shared" si="108"/>
        <v>193340</v>
      </c>
      <c r="AV102" s="1">
        <f t="shared" si="109"/>
        <v>2</v>
      </c>
      <c r="AW102" s="1">
        <f t="shared" si="156"/>
        <v>10</v>
      </c>
      <c r="AX102" s="1">
        <f t="shared" si="110"/>
        <v>2</v>
      </c>
      <c r="AY102" s="1">
        <f>MIN(20,MAX(0,O102+0+1-0))</f>
        <v>2</v>
      </c>
      <c r="AZ102" s="1">
        <f t="shared" si="111"/>
        <v>5</v>
      </c>
      <c r="BA102" s="1">
        <f t="shared" si="147"/>
        <v>5</v>
      </c>
      <c r="BB102" s="1">
        <f t="shared" si="155"/>
        <v>20</v>
      </c>
      <c r="BC102" s="1">
        <f t="shared" si="153"/>
        <v>3</v>
      </c>
      <c r="BD102" s="1">
        <f t="shared" si="134"/>
        <v>0</v>
      </c>
      <c r="BE102" s="1">
        <f>MAX(0,U102-IF(AF102&gt;0,1,0))+0</f>
        <v>0</v>
      </c>
      <c r="BF102" s="1">
        <f t="shared" si="157"/>
        <v>4</v>
      </c>
      <c r="BG102" s="1">
        <f t="shared" si="144"/>
        <v>1</v>
      </c>
      <c r="BH102" s="1">
        <f t="shared" si="128"/>
        <v>1</v>
      </c>
      <c r="BI102" s="1">
        <f t="shared" si="145"/>
        <v>1</v>
      </c>
      <c r="BJ102" s="1">
        <f t="shared" si="148"/>
        <v>1</v>
      </c>
      <c r="BK102" s="1">
        <f t="shared" si="149"/>
        <v>1</v>
      </c>
      <c r="BL102" s="1">
        <f t="shared" si="154"/>
        <v>1</v>
      </c>
      <c r="BM102" s="1">
        <f t="shared" si="152"/>
        <v>1</v>
      </c>
      <c r="BN102" s="1">
        <f t="shared" si="129"/>
        <v>1</v>
      </c>
      <c r="BO102" s="1">
        <f t="shared" si="130"/>
        <v>1</v>
      </c>
    </row>
    <row r="103" spans="1:67" ht="30.95" customHeight="1">
      <c r="A103" s="1">
        <f>2</f>
        <v>2</v>
      </c>
      <c r="B103" s="1">
        <f>固定流程!A31</f>
        <v>26</v>
      </c>
      <c r="C103" s="1">
        <f>5</f>
        <v>5</v>
      </c>
      <c r="D103" s="1">
        <f>2</f>
        <v>2</v>
      </c>
      <c r="E103" s="1">
        <f>固定流程!C31</f>
        <v>3</v>
      </c>
      <c r="F103" s="1">
        <f>固定流程!G31</f>
        <v>2</v>
      </c>
      <c r="G103" s="1" t="str">
        <f>固定流程!H31</f>
        <v>37_WEAK</v>
      </c>
      <c r="H103" s="1">
        <f>固定流程!F31</f>
        <v>1</v>
      </c>
      <c r="I103" s="1">
        <f>INDEX(配置与结果!$B$15:$B$18,F103)</f>
        <v>2306</v>
      </c>
      <c r="J103" s="1">
        <f>INDEX(配置与结果!$D$15:$D$18,F103)</f>
        <v>0.46</v>
      </c>
      <c r="K103" s="1">
        <f>INDEX(配置与结果!$E$15:$E$18,F103)</f>
        <v>1.9279999999999999</v>
      </c>
      <c r="L103" s="1">
        <f t="shared" si="141"/>
        <v>2</v>
      </c>
      <c r="M103" s="1">
        <f t="shared" si="142"/>
        <v>10</v>
      </c>
      <c r="N103" s="1">
        <f t="shared" si="143"/>
        <v>2</v>
      </c>
      <c r="O103" s="1">
        <f t="shared" si="135"/>
        <v>2</v>
      </c>
      <c r="P103" s="1">
        <f>MIN(方案参数!$AI$5,AZ102+0+0)</f>
        <v>5</v>
      </c>
      <c r="Q103" s="1">
        <f t="shared" si="113"/>
        <v>5</v>
      </c>
      <c r="R103" s="1">
        <f t="shared" si="114"/>
        <v>20</v>
      </c>
      <c r="S103" s="1">
        <f t="shared" si="115"/>
        <v>3</v>
      </c>
      <c r="T103" s="1">
        <f t="shared" si="150"/>
        <v>0</v>
      </c>
      <c r="U103" s="1">
        <f t="shared" si="117"/>
        <v>0</v>
      </c>
      <c r="V103" s="1">
        <f t="shared" si="118"/>
        <v>4</v>
      </c>
      <c r="W103" s="1">
        <f t="shared" si="119"/>
        <v>1</v>
      </c>
      <c r="X103" s="1">
        <f t="shared" si="120"/>
        <v>1</v>
      </c>
      <c r="Y103" s="1">
        <f t="shared" si="121"/>
        <v>1</v>
      </c>
      <c r="Z103" s="1">
        <f t="shared" si="122"/>
        <v>1</v>
      </c>
      <c r="AA103" s="1">
        <f t="shared" si="146"/>
        <v>1</v>
      </c>
      <c r="AB103" s="1">
        <f t="shared" si="124"/>
        <v>1</v>
      </c>
      <c r="AC103" s="1">
        <f t="shared" si="151"/>
        <v>1</v>
      </c>
      <c r="AD103" s="1">
        <f>ROUNDDOWN(I103*(1+IF(F103=3,0.05+方案参数!$Y$5+AA103*0.12,IF(F103=4,方案参数!$BZ$5*方案参数!$AS$5,0)))+IF(AND(X103=1,F103&lt;&gt;3),方案参数!$CC$5,0)+AC103*方案参数!$CB$5,0)</f>
        <v>3044</v>
      </c>
      <c r="AE103" s="1">
        <f>IF(OR(F103=1,F103=4),配置与结果!$B$24,配置与结果!$B$25)*MAX(0,1-INDEX(配置与结果!$I$15:$I$18,F103))</f>
        <v>1000</v>
      </c>
      <c r="AF103" s="1">
        <f>方案参数!$CE$5</f>
        <v>8</v>
      </c>
      <c r="AG103" s="1">
        <f>MAX(配置与结果!$B$32,1+INDEX(配置与结果!$F$15:$F$18,F103)+0+Q103*方案参数!$W$5+Y103*(方案参数!$AN$5+MIN(方案参数!$AO$5,P103*0.03))+AB103*方案参数!$BZ$5*0.025-配置与结果!$B$28+方案参数!$AE$5)</f>
        <v>2.2800000000000002</v>
      </c>
      <c r="AH103" s="1">
        <f>MAX(0,1+V103*方案参数!$U$5+方案参数!$AE$5-配置与结果!$B$29)</f>
        <v>1.56</v>
      </c>
      <c r="AI103" s="1">
        <f>IF(OR(INDEX(配置与结果!$K$15:$K$18,F103)=1,G103="RHI_BERRY"),1+配置与结果!$B$33+P103*方案参数!$AH$5,1)</f>
        <v>1</v>
      </c>
      <c r="AJ103" s="1">
        <f>MIN(1,MAX(0,J103+方案参数!$AB$5-配置与结果!$B$27))</f>
        <v>0.76</v>
      </c>
      <c r="AK103" s="1">
        <f>MAX(1,K103+IF(F103=2,0.15+方案参数!$CH$5,0)+BN103*方案参数!$X$5+R103*方案参数!$AA$5+0-配置与结果!$B$26+Z103*(方案参数!$AP$5+MIN(方案参数!$AQ$5,P103*0.03)))</f>
        <v>2.3380000000000001</v>
      </c>
      <c r="AL103" s="7">
        <f>ROUNDDOWN(MAX(AD103*配置与结果!$B$31,AD103-AE103)*AF103*AG103*AH103*AI103,0)</f>
        <v>58160</v>
      </c>
      <c r="AM103" s="7">
        <f>ROUNDDOWN(MAX(AD103*配置与结果!$B$31,AD103-AE103)*AF103*AG103*AH103*AI103*AK103,0)</f>
        <v>135979</v>
      </c>
      <c r="AN103" s="7">
        <f t="shared" si="104"/>
        <v>117302.44</v>
      </c>
      <c r="AO103" s="7">
        <f>0</f>
        <v>0</v>
      </c>
      <c r="AP103" s="7">
        <f>MAX(0,1+INDEX(配置与结果!$J$15:$J$18,F103)+IF(T103&gt;0,方案参数!$BY$5,0)-配置与结果!$B$30)</f>
        <v>1</v>
      </c>
      <c r="AQ103" s="7">
        <f t="shared" si="105"/>
        <v>0</v>
      </c>
      <c r="AR103" s="7">
        <f t="shared" si="106"/>
        <v>0</v>
      </c>
      <c r="AS103" s="7">
        <f t="shared" si="107"/>
        <v>0</v>
      </c>
      <c r="AT103" s="7">
        <f>IF(U103&gt;0,ROUNDDOWN(AL103*方案参数!$AF$5,0)*(1-AJ103)+ROUNDDOWN(AM103*方案参数!$AF$5,0)*AJ103,0)</f>
        <v>0</v>
      </c>
      <c r="AU103" s="7">
        <f t="shared" si="108"/>
        <v>117302.44</v>
      </c>
      <c r="AV103" s="1">
        <f t="shared" si="109"/>
        <v>2</v>
      </c>
      <c r="AW103" s="1">
        <f t="shared" si="156"/>
        <v>10</v>
      </c>
      <c r="AX103" s="1">
        <f t="shared" si="110"/>
        <v>2</v>
      </c>
      <c r="AY103" s="1">
        <f>MIN(20,MAX(0,O103+0+0-0))</f>
        <v>2</v>
      </c>
      <c r="AZ103" s="1">
        <f t="shared" si="111"/>
        <v>5</v>
      </c>
      <c r="BA103" s="1">
        <f t="shared" si="147"/>
        <v>5</v>
      </c>
      <c r="BB103" s="1">
        <f t="shared" si="155"/>
        <v>20</v>
      </c>
      <c r="BC103" s="1">
        <f t="shared" si="153"/>
        <v>3</v>
      </c>
      <c r="BD103" s="1">
        <f t="shared" si="134"/>
        <v>0</v>
      </c>
      <c r="BE103" s="1">
        <f>MAX(0,U103-IF(AF103&gt;0,1,0))+1</f>
        <v>1</v>
      </c>
      <c r="BF103" s="1">
        <f t="shared" si="157"/>
        <v>4</v>
      </c>
      <c r="BG103" s="1">
        <f t="shared" si="144"/>
        <v>1</v>
      </c>
      <c r="BH103" s="1">
        <f t="shared" si="128"/>
        <v>1</v>
      </c>
      <c r="BI103" s="1">
        <f t="shared" si="145"/>
        <v>1</v>
      </c>
      <c r="BJ103" s="1">
        <f t="shared" si="148"/>
        <v>1</v>
      </c>
      <c r="BK103" s="1">
        <f t="shared" si="149"/>
        <v>1</v>
      </c>
      <c r="BL103" s="1">
        <f t="shared" si="154"/>
        <v>1</v>
      </c>
      <c r="BM103" s="1">
        <f t="shared" si="152"/>
        <v>1</v>
      </c>
      <c r="BN103" s="1">
        <f t="shared" si="129"/>
        <v>1</v>
      </c>
      <c r="BO103" s="1">
        <f t="shared" si="130"/>
        <v>1</v>
      </c>
    </row>
    <row r="104" spans="1:67" ht="30.95" customHeight="1">
      <c r="A104" s="1">
        <f>2</f>
        <v>2</v>
      </c>
      <c r="B104" s="1">
        <f>固定流程!A32</f>
        <v>27</v>
      </c>
      <c r="C104" s="1">
        <f>5</f>
        <v>5</v>
      </c>
      <c r="D104" s="1">
        <f>2</f>
        <v>2</v>
      </c>
      <c r="E104" s="1">
        <f>固定流程!C32</f>
        <v>3</v>
      </c>
      <c r="F104" s="1">
        <f>固定流程!G32</f>
        <v>1</v>
      </c>
      <c r="G104" s="1" t="str">
        <f>固定流程!H32</f>
        <v>LILYA_THIRD</v>
      </c>
      <c r="H104" s="1">
        <f>固定流程!F32</f>
        <v>1</v>
      </c>
      <c r="I104" s="1">
        <f>INDEX(配置与结果!$B$15:$B$18,F104)</f>
        <v>2296</v>
      </c>
      <c r="J104" s="1">
        <f>INDEX(配置与结果!$D$15:$D$18,F104)</f>
        <v>0.7</v>
      </c>
      <c r="K104" s="1">
        <f>INDEX(配置与结果!$E$15:$E$18,F104)</f>
        <v>2.0249999999999999</v>
      </c>
      <c r="L104" s="1">
        <f t="shared" si="141"/>
        <v>2</v>
      </c>
      <c r="M104" s="1">
        <f t="shared" si="142"/>
        <v>10</v>
      </c>
      <c r="N104" s="1">
        <f t="shared" si="143"/>
        <v>2</v>
      </c>
      <c r="O104" s="1">
        <f t="shared" si="135"/>
        <v>2</v>
      </c>
      <c r="P104" s="1">
        <f>MIN(方案参数!$AI$5,AZ103+0+0)</f>
        <v>5</v>
      </c>
      <c r="Q104" s="1">
        <f t="shared" si="113"/>
        <v>5</v>
      </c>
      <c r="R104" s="1">
        <f t="shared" si="114"/>
        <v>20</v>
      </c>
      <c r="S104" s="1">
        <f t="shared" si="115"/>
        <v>3</v>
      </c>
      <c r="T104" s="1">
        <f t="shared" si="150"/>
        <v>0</v>
      </c>
      <c r="U104" s="1">
        <f t="shared" si="117"/>
        <v>1</v>
      </c>
      <c r="V104" s="1">
        <f t="shared" si="118"/>
        <v>4</v>
      </c>
      <c r="W104" s="1">
        <f t="shared" si="119"/>
        <v>1</v>
      </c>
      <c r="X104" s="1">
        <f t="shared" si="120"/>
        <v>1</v>
      </c>
      <c r="Y104" s="1">
        <f t="shared" si="121"/>
        <v>1</v>
      </c>
      <c r="Z104" s="1">
        <f t="shared" si="122"/>
        <v>1</v>
      </c>
      <c r="AA104" s="1">
        <f t="shared" si="146"/>
        <v>1</v>
      </c>
      <c r="AB104" s="1">
        <f t="shared" si="124"/>
        <v>1</v>
      </c>
      <c r="AC104" s="1">
        <f t="shared" si="151"/>
        <v>1</v>
      </c>
      <c r="AD104" s="1">
        <f>ROUNDDOWN(I104*(1+IF(F104=3,0.05+方案参数!$Y$5+AA104*0.12,IF(F104=4,方案参数!$BZ$5*方案参数!$AS$5,0)))+IF(AND(X104=1,F104&lt;&gt;3),方案参数!$CC$5,0)+AC104*方案参数!$CB$5,0)</f>
        <v>3034</v>
      </c>
      <c r="AE104" s="1">
        <f>IF(OR(F104=1,F104=4),配置与结果!$B$24,配置与结果!$B$25)*MAX(0,1-INDEX(配置与结果!$I$15:$I$18,F104))</f>
        <v>1200</v>
      </c>
      <c r="AF104" s="1">
        <f>方案参数!$BM$5</f>
        <v>20</v>
      </c>
      <c r="AG104" s="1">
        <f>MAX(配置与结果!$B$32,1+INDEX(配置与结果!$F$15:$F$18,F104)+0.08+方案参数!$CD$5+Q104*方案参数!$W$5+Y104*(方案参数!$AN$5+MIN(方案参数!$AO$5,P104*0.03))+AB104*方案参数!$BZ$5*0.025-配置与结果!$B$28+方案参数!$AE$5)</f>
        <v>2.6150000000000002</v>
      </c>
      <c r="AH104" s="1">
        <f>MAX(0,1+V104*方案参数!$U$5+3*方案参数!$V$5+方案参数!$AE$5-配置与结果!$B$29)</f>
        <v>1.7399999999999998</v>
      </c>
      <c r="AI104" s="1">
        <f>IF(OR(INDEX(配置与结果!$K$15:$K$18,F104)=1,G104="RHI_BERRY"),1+配置与结果!$B$33+P104*方案参数!$AH$5,1)</f>
        <v>1</v>
      </c>
      <c r="AJ104" s="1">
        <f>MIN(1,MAX(0,J104+方案参数!$AB$5-配置与结果!$B$27))</f>
        <v>1</v>
      </c>
      <c r="AK104" s="1">
        <f>MAX(1,K104+IF(F104=2,0.15+方案参数!$CH$5,0)+BN104*方案参数!$X$5+R104*方案参数!$AA$5+方案参数!$BQ$5-配置与结果!$B$26+Z104*(方案参数!$AP$5+MIN(方案参数!$AQ$5,P104*0.03)))</f>
        <v>2.9650000000000003</v>
      </c>
      <c r="AL104" s="7">
        <f>ROUNDDOWN(MAX(AD104*配置与结果!$B$31,AD104-AE104)*AF104*AG104*AH104*AI104,0)</f>
        <v>166897</v>
      </c>
      <c r="AM104" s="7">
        <f>ROUNDDOWN(MAX(AD104*配置与结果!$B$31,AD104-AE104)*AF104*AG104*AH104*AI104*AK104,0)</f>
        <v>494851</v>
      </c>
      <c r="AN104" s="7">
        <f t="shared" si="104"/>
        <v>494851</v>
      </c>
      <c r="AO104" s="7">
        <f>0</f>
        <v>0</v>
      </c>
      <c r="AP104" s="7">
        <f>MAX(0,1+INDEX(配置与结果!$J$15:$J$18,F104)+IF(T104&gt;0,方案参数!$BY$5,0)-配置与结果!$B$30)</f>
        <v>1</v>
      </c>
      <c r="AQ104" s="7">
        <f t="shared" si="105"/>
        <v>0</v>
      </c>
      <c r="AR104" s="7">
        <f t="shared" si="106"/>
        <v>0</v>
      </c>
      <c r="AS104" s="7">
        <f t="shared" si="107"/>
        <v>0</v>
      </c>
      <c r="AT104" s="7">
        <f>IF(U104&gt;0,ROUNDDOWN(AL104*方案参数!$AF$5,0)*(1-AJ104)+ROUNDDOWN(AM104*方案参数!$AF$5,0)*AJ104,0)</f>
        <v>197940</v>
      </c>
      <c r="AU104" s="7">
        <f t="shared" si="108"/>
        <v>692791</v>
      </c>
      <c r="AV104" s="1">
        <f t="shared" si="109"/>
        <v>2</v>
      </c>
      <c r="AW104" s="1">
        <f t="shared" si="156"/>
        <v>10</v>
      </c>
      <c r="AX104" s="1">
        <f t="shared" si="110"/>
        <v>2</v>
      </c>
      <c r="AY104" s="1">
        <f>MIN(20,MAX(0,O104+0+1-0))</f>
        <v>3</v>
      </c>
      <c r="AZ104" s="1">
        <f t="shared" si="111"/>
        <v>5</v>
      </c>
      <c r="BA104" s="1">
        <f t="shared" si="147"/>
        <v>5</v>
      </c>
      <c r="BB104" s="1">
        <f t="shared" si="155"/>
        <v>20</v>
      </c>
      <c r="BC104" s="1">
        <f t="shared" si="153"/>
        <v>3</v>
      </c>
      <c r="BD104" s="1">
        <f t="shared" si="134"/>
        <v>0</v>
      </c>
      <c r="BE104" s="1">
        <f>MAX(0,U104-IF(AF104&gt;0,1,0))+0</f>
        <v>0</v>
      </c>
      <c r="BF104" s="1">
        <f t="shared" si="157"/>
        <v>4</v>
      </c>
      <c r="BG104" s="1">
        <f t="shared" si="144"/>
        <v>1</v>
      </c>
      <c r="BH104" s="1">
        <f t="shared" si="128"/>
        <v>1</v>
      </c>
      <c r="BI104" s="1">
        <f t="shared" si="145"/>
        <v>1</v>
      </c>
      <c r="BJ104" s="1">
        <f t="shared" si="148"/>
        <v>1</v>
      </c>
      <c r="BK104" s="1">
        <f t="shared" si="149"/>
        <v>1</v>
      </c>
      <c r="BL104" s="1">
        <f t="shared" si="154"/>
        <v>1</v>
      </c>
      <c r="BM104" s="1">
        <f t="shared" si="152"/>
        <v>1</v>
      </c>
      <c r="BN104" s="1">
        <f t="shared" si="129"/>
        <v>1</v>
      </c>
      <c r="BO104" s="1">
        <f t="shared" si="130"/>
        <v>1</v>
      </c>
    </row>
    <row r="105" spans="1:67" ht="30.95" customHeight="1">
      <c r="A105" s="1">
        <f>2</f>
        <v>2</v>
      </c>
      <c r="B105" s="1">
        <f>固定流程!A33</f>
        <v>28</v>
      </c>
      <c r="C105" s="1">
        <f>5</f>
        <v>5</v>
      </c>
      <c r="D105" s="1">
        <f>2</f>
        <v>2</v>
      </c>
      <c r="E105" s="1">
        <f>固定流程!C33</f>
        <v>3</v>
      </c>
      <c r="F105" s="1">
        <f>固定流程!G33</f>
        <v>1</v>
      </c>
      <c r="G105" s="1" t="str">
        <f>固定流程!H33</f>
        <v>LILYA_WEAK</v>
      </c>
      <c r="H105" s="1">
        <f>固定流程!F33</f>
        <v>1</v>
      </c>
      <c r="I105" s="1">
        <f>INDEX(配置与结果!$B$15:$B$18,F105)</f>
        <v>2296</v>
      </c>
      <c r="J105" s="1">
        <f>INDEX(配置与结果!$D$15:$D$18,F105)</f>
        <v>0.7</v>
      </c>
      <c r="K105" s="1">
        <f>INDEX(配置与结果!$E$15:$E$18,F105)</f>
        <v>2.0249999999999999</v>
      </c>
      <c r="L105" s="1">
        <f t="shared" si="141"/>
        <v>2</v>
      </c>
      <c r="M105" s="1">
        <f t="shared" si="142"/>
        <v>10</v>
      </c>
      <c r="N105" s="1">
        <f t="shared" si="143"/>
        <v>2</v>
      </c>
      <c r="O105" s="1">
        <f t="shared" si="135"/>
        <v>3</v>
      </c>
      <c r="P105" s="1">
        <f>MIN(方案参数!$AI$5,AZ104+0+0)</f>
        <v>5</v>
      </c>
      <c r="Q105" s="1">
        <f t="shared" si="113"/>
        <v>5</v>
      </c>
      <c r="R105" s="1">
        <f t="shared" si="114"/>
        <v>20</v>
      </c>
      <c r="S105" s="1">
        <f t="shared" si="115"/>
        <v>3</v>
      </c>
      <c r="T105" s="1">
        <f t="shared" si="150"/>
        <v>0</v>
      </c>
      <c r="U105" s="1">
        <f t="shared" si="117"/>
        <v>0</v>
      </c>
      <c r="V105" s="1">
        <f t="shared" si="118"/>
        <v>4</v>
      </c>
      <c r="W105" s="1">
        <f t="shared" si="119"/>
        <v>1</v>
      </c>
      <c r="X105" s="1">
        <f t="shared" si="120"/>
        <v>1</v>
      </c>
      <c r="Y105" s="1">
        <f t="shared" si="121"/>
        <v>1</v>
      </c>
      <c r="Z105" s="1">
        <f t="shared" si="122"/>
        <v>1</v>
      </c>
      <c r="AA105" s="1">
        <f t="shared" si="146"/>
        <v>1</v>
      </c>
      <c r="AB105" s="1">
        <f t="shared" si="124"/>
        <v>1</v>
      </c>
      <c r="AC105" s="1">
        <f t="shared" si="151"/>
        <v>1</v>
      </c>
      <c r="AD105" s="1">
        <f>ROUNDDOWN(I105*(1+IF(F105=3,0.05+方案参数!$Y$5+AA105*0.12,IF(F105=4,方案参数!$BZ$5*方案参数!$AS$5,0)))+IF(AND(X105=1,F105&lt;&gt;3),方案参数!$CC$5,0)+AC105*方案参数!$CB$5,0)</f>
        <v>3034</v>
      </c>
      <c r="AE105" s="1">
        <f>IF(OR(F105=1,F105=4),配置与结果!$B$24,配置与结果!$B$25)*MAX(0,1-INDEX(配置与结果!$I$15:$I$18,F105))</f>
        <v>1200</v>
      </c>
      <c r="AF105" s="1">
        <f>方案参数!$BL$5</f>
        <v>9</v>
      </c>
      <c r="AG105" s="1">
        <f>MAX(配置与结果!$B$32,1+INDEX(配置与结果!$F$15:$F$18,F105)+0.08+方案参数!$CD$5+Q105*方案参数!$W$5+Y105*(方案参数!$AN$5+MIN(方案参数!$AO$5,P105*0.03))+AB105*方案参数!$BZ$5*0.025-配置与结果!$B$28+方案参数!$AE$5)</f>
        <v>2.6150000000000002</v>
      </c>
      <c r="AH105" s="1">
        <f>MAX(0,1+V105*方案参数!$U$5+4*方案参数!$V$5+方案参数!$AE$5-配置与结果!$B$29)</f>
        <v>1.7999999999999998</v>
      </c>
      <c r="AI105" s="1">
        <f>IF(OR(INDEX(配置与结果!$K$15:$K$18,F105)=1,G105="RHI_BERRY"),1+配置与结果!$B$33+P105*方案参数!$AH$5,1)</f>
        <v>1</v>
      </c>
      <c r="AJ105" s="1">
        <f>MIN(1,MAX(0,J105+方案参数!$AB$5-配置与结果!$B$27))</f>
        <v>1</v>
      </c>
      <c r="AK105" s="1">
        <f>MAX(1,K105+IF(F105=2,0.15+方案参数!$CH$5,0)+BN105*方案参数!$X$5+R105*方案参数!$AA$5+方案参数!$BP$5-配置与结果!$B$26+Z105*(方案参数!$AP$5+MIN(方案参数!$AQ$5,P105*0.03)))</f>
        <v>2.7650000000000001</v>
      </c>
      <c r="AL105" s="7">
        <f>ROUNDDOWN(MAX(AD105*配置与结果!$B$31,AD105-AE105)*AF105*AG105*AH105*AI105,0)</f>
        <v>77693</v>
      </c>
      <c r="AM105" s="7">
        <f>ROUNDDOWN(MAX(AD105*配置与结果!$B$31,AD105-AE105)*AF105*AG105*AH105*AI105*AK105,0)</f>
        <v>214823</v>
      </c>
      <c r="AN105" s="7">
        <f t="shared" si="104"/>
        <v>214823</v>
      </c>
      <c r="AO105" s="7">
        <f>0</f>
        <v>0</v>
      </c>
      <c r="AP105" s="7">
        <f>MAX(0,1+INDEX(配置与结果!$J$15:$J$18,F105)+IF(T105&gt;0,方案参数!$BY$5,0)-配置与结果!$B$30)</f>
        <v>1</v>
      </c>
      <c r="AQ105" s="7">
        <f t="shared" si="105"/>
        <v>0</v>
      </c>
      <c r="AR105" s="7">
        <f t="shared" si="106"/>
        <v>0</v>
      </c>
      <c r="AS105" s="7">
        <f t="shared" si="107"/>
        <v>0</v>
      </c>
      <c r="AT105" s="7">
        <f>IF(U105&gt;0,ROUNDDOWN(AL105*方案参数!$AF$5,0)*(1-AJ105)+ROUNDDOWN(AM105*方案参数!$AF$5,0)*AJ105,0)</f>
        <v>0</v>
      </c>
      <c r="AU105" s="7">
        <f t="shared" si="108"/>
        <v>214823</v>
      </c>
      <c r="AV105" s="1">
        <f t="shared" si="109"/>
        <v>2</v>
      </c>
      <c r="AW105" s="1">
        <f t="shared" si="156"/>
        <v>10</v>
      </c>
      <c r="AX105" s="1">
        <f t="shared" si="110"/>
        <v>2</v>
      </c>
      <c r="AY105" s="1">
        <f>MIN(20,MAX(0,O105+0+1-0))</f>
        <v>4</v>
      </c>
      <c r="AZ105" s="1">
        <f t="shared" si="111"/>
        <v>5</v>
      </c>
      <c r="BA105" s="1">
        <f t="shared" si="147"/>
        <v>5</v>
      </c>
      <c r="BB105" s="1">
        <f t="shared" si="155"/>
        <v>20</v>
      </c>
      <c r="BC105" s="1">
        <f t="shared" si="153"/>
        <v>3</v>
      </c>
      <c r="BD105" s="1">
        <f t="shared" si="134"/>
        <v>0</v>
      </c>
      <c r="BE105" s="1">
        <f>MAX(0,U105-IF(AF105&gt;0,1,0))+0</f>
        <v>0</v>
      </c>
      <c r="BF105" s="1">
        <f t="shared" si="157"/>
        <v>4</v>
      </c>
      <c r="BG105" s="1">
        <f t="shared" si="144"/>
        <v>1</v>
      </c>
      <c r="BH105" s="1">
        <f t="shared" si="128"/>
        <v>1</v>
      </c>
      <c r="BI105" s="1">
        <f t="shared" si="145"/>
        <v>1</v>
      </c>
      <c r="BJ105" s="1">
        <f t="shared" si="148"/>
        <v>1</v>
      </c>
      <c r="BK105" s="1">
        <f t="shared" si="149"/>
        <v>1</v>
      </c>
      <c r="BL105" s="1">
        <f t="shared" si="154"/>
        <v>1</v>
      </c>
      <c r="BM105" s="1">
        <f t="shared" si="152"/>
        <v>1</v>
      </c>
      <c r="BN105" s="1">
        <f t="shared" si="129"/>
        <v>1</v>
      </c>
      <c r="BO105" s="1">
        <f t="shared" si="130"/>
        <v>1</v>
      </c>
    </row>
    <row r="106" spans="1:67" ht="30.95" customHeight="1">
      <c r="A106" s="1">
        <f>2</f>
        <v>2</v>
      </c>
      <c r="B106" s="1">
        <f>固定流程!A34</f>
        <v>29</v>
      </c>
      <c r="C106" s="1">
        <f>5</f>
        <v>5</v>
      </c>
      <c r="D106" s="1">
        <f>2</f>
        <v>2</v>
      </c>
      <c r="E106" s="1">
        <f>固定流程!C34</f>
        <v>3</v>
      </c>
      <c r="F106" s="1">
        <f>固定流程!G34</f>
        <v>1</v>
      </c>
      <c r="G106" s="1" t="str">
        <f>固定流程!H34</f>
        <v>LILYA_WEAK</v>
      </c>
      <c r="H106" s="1">
        <f>固定流程!F34</f>
        <v>1</v>
      </c>
      <c r="I106" s="1">
        <f>INDEX(配置与结果!$B$15:$B$18,F106)</f>
        <v>2296</v>
      </c>
      <c r="J106" s="1">
        <f>INDEX(配置与结果!$D$15:$D$18,F106)</f>
        <v>0.7</v>
      </c>
      <c r="K106" s="1">
        <f>INDEX(配置与结果!$E$15:$E$18,F106)</f>
        <v>2.0249999999999999</v>
      </c>
      <c r="L106" s="1">
        <f t="shared" si="141"/>
        <v>2</v>
      </c>
      <c r="M106" s="1">
        <f t="shared" si="142"/>
        <v>10</v>
      </c>
      <c r="N106" s="1">
        <f t="shared" si="143"/>
        <v>2</v>
      </c>
      <c r="O106" s="1">
        <f t="shared" si="135"/>
        <v>4</v>
      </c>
      <c r="P106" s="1">
        <f>MIN(方案参数!$AI$5,AZ105+0+0)</f>
        <v>5</v>
      </c>
      <c r="Q106" s="1">
        <f t="shared" si="113"/>
        <v>5</v>
      </c>
      <c r="R106" s="1">
        <f t="shared" si="114"/>
        <v>20</v>
      </c>
      <c r="S106" s="1">
        <f t="shared" si="115"/>
        <v>3</v>
      </c>
      <c r="T106" s="1">
        <f t="shared" si="150"/>
        <v>0</v>
      </c>
      <c r="U106" s="1">
        <f t="shared" si="117"/>
        <v>0</v>
      </c>
      <c r="V106" s="1">
        <f t="shared" si="118"/>
        <v>4</v>
      </c>
      <c r="W106" s="1">
        <f t="shared" si="119"/>
        <v>1</v>
      </c>
      <c r="X106" s="1">
        <f t="shared" si="120"/>
        <v>1</v>
      </c>
      <c r="Y106" s="1">
        <f t="shared" si="121"/>
        <v>1</v>
      </c>
      <c r="Z106" s="1">
        <f t="shared" si="122"/>
        <v>1</v>
      </c>
      <c r="AA106" s="1">
        <f t="shared" si="146"/>
        <v>1</v>
      </c>
      <c r="AB106" s="1">
        <f t="shared" si="124"/>
        <v>1</v>
      </c>
      <c r="AC106" s="1">
        <f t="shared" si="151"/>
        <v>1</v>
      </c>
      <c r="AD106" s="1">
        <f>ROUNDDOWN(I106*(1+IF(F106=3,0.05+方案参数!$Y$5+AA106*0.12,IF(F106=4,方案参数!$BZ$5*方案参数!$AS$5,0)))+IF(AND(X106=1,F106&lt;&gt;3),方案参数!$CC$5,0)+AC106*方案参数!$CB$5,0)</f>
        <v>3034</v>
      </c>
      <c r="AE106" s="1">
        <f>IF(OR(F106=1,F106=4),配置与结果!$B$24,配置与结果!$B$25)*MAX(0,1-INDEX(配置与结果!$I$15:$I$18,F106))</f>
        <v>1200</v>
      </c>
      <c r="AF106" s="1">
        <f>方案参数!$BL$5</f>
        <v>9</v>
      </c>
      <c r="AG106" s="1">
        <f>MAX(配置与结果!$B$32,1+INDEX(配置与结果!$F$15:$F$18,F106)+0.08+方案参数!$CD$5+Q106*方案参数!$W$5+Y106*(方案参数!$AN$5+MIN(方案参数!$AO$5,P106*0.03))+AB106*方案参数!$BZ$5*0.025-配置与结果!$B$28+方案参数!$AE$5)</f>
        <v>2.6150000000000002</v>
      </c>
      <c r="AH106" s="1">
        <f>MAX(0,1+V106*方案参数!$U$5+5*方案参数!$V$5+方案参数!$AE$5-配置与结果!$B$29)</f>
        <v>1.8599999999999999</v>
      </c>
      <c r="AI106" s="1">
        <f>IF(OR(INDEX(配置与结果!$K$15:$K$18,F106)=1,G106="RHI_BERRY"),1+配置与结果!$B$33+P106*方案参数!$AH$5,1)</f>
        <v>1</v>
      </c>
      <c r="AJ106" s="1">
        <f>MIN(1,MAX(0,J106+方案参数!$AB$5-配置与结果!$B$27))</f>
        <v>1</v>
      </c>
      <c r="AK106" s="1">
        <f>MAX(1,K106+IF(F106=2,0.15+方案参数!$CH$5,0)+BN106*方案参数!$X$5+R106*方案参数!$AA$5+方案参数!$BP$5-配置与结果!$B$26+Z106*(方案参数!$AP$5+MIN(方案参数!$AQ$5,P106*0.03)))</f>
        <v>2.7650000000000001</v>
      </c>
      <c r="AL106" s="7">
        <f>ROUNDDOWN(MAX(AD106*配置与结果!$B$31,AD106-AE106)*AF106*AG106*AH106*AI106,0)</f>
        <v>80283</v>
      </c>
      <c r="AM106" s="7">
        <f>ROUNDDOWN(MAX(AD106*配置与结果!$B$31,AD106-AE106)*AF106*AG106*AH106*AI106*AK106,0)</f>
        <v>221983</v>
      </c>
      <c r="AN106" s="7">
        <f t="shared" si="104"/>
        <v>221983</v>
      </c>
      <c r="AO106" s="7">
        <f>0</f>
        <v>0</v>
      </c>
      <c r="AP106" s="7">
        <f>MAX(0,1+INDEX(配置与结果!$J$15:$J$18,F106)+IF(T106&gt;0,方案参数!$BY$5,0)-配置与结果!$B$30)</f>
        <v>1</v>
      </c>
      <c r="AQ106" s="7">
        <f t="shared" si="105"/>
        <v>0</v>
      </c>
      <c r="AR106" s="7">
        <f t="shared" si="106"/>
        <v>0</v>
      </c>
      <c r="AS106" s="7">
        <f t="shared" si="107"/>
        <v>0</v>
      </c>
      <c r="AT106" s="7">
        <f>IF(U106&gt;0,ROUNDDOWN(AL106*方案参数!$AF$5,0)*(1-AJ106)+ROUNDDOWN(AM106*方案参数!$AF$5,0)*AJ106,0)</f>
        <v>0</v>
      </c>
      <c r="AU106" s="7">
        <f t="shared" si="108"/>
        <v>221983</v>
      </c>
      <c r="AV106" s="1">
        <f t="shared" si="109"/>
        <v>2</v>
      </c>
      <c r="AW106" s="1">
        <f t="shared" si="156"/>
        <v>10</v>
      </c>
      <c r="AX106" s="1">
        <f t="shared" si="110"/>
        <v>2</v>
      </c>
      <c r="AY106" s="1">
        <f>MIN(20,MAX(0,O106+0+1-0))</f>
        <v>5</v>
      </c>
      <c r="AZ106" s="1">
        <f t="shared" si="111"/>
        <v>5</v>
      </c>
      <c r="BA106" s="1">
        <f t="shared" si="147"/>
        <v>5</v>
      </c>
      <c r="BB106" s="1">
        <f t="shared" si="155"/>
        <v>20</v>
      </c>
      <c r="BC106" s="1">
        <f t="shared" si="153"/>
        <v>3</v>
      </c>
      <c r="BD106" s="1">
        <f t="shared" si="134"/>
        <v>0</v>
      </c>
      <c r="BE106" s="1">
        <f>MAX(0,U106-IF(AF106&gt;0,1,0))+0</f>
        <v>0</v>
      </c>
      <c r="BF106" s="1">
        <f t="shared" si="157"/>
        <v>4</v>
      </c>
      <c r="BG106" s="1">
        <f t="shared" si="144"/>
        <v>1</v>
      </c>
      <c r="BH106" s="1">
        <f t="shared" si="128"/>
        <v>1</v>
      </c>
      <c r="BI106" s="1">
        <f t="shared" si="145"/>
        <v>1</v>
      </c>
      <c r="BJ106" s="1">
        <f t="shared" si="148"/>
        <v>1</v>
      </c>
      <c r="BK106" s="1">
        <f t="shared" si="149"/>
        <v>1</v>
      </c>
      <c r="BL106" s="1">
        <f t="shared" si="154"/>
        <v>1</v>
      </c>
      <c r="BM106" s="1">
        <f t="shared" si="152"/>
        <v>1</v>
      </c>
      <c r="BN106" s="1">
        <f t="shared" si="129"/>
        <v>1</v>
      </c>
      <c r="BO106" s="1">
        <f t="shared" si="130"/>
        <v>1</v>
      </c>
    </row>
    <row r="107" spans="1:67" ht="30.95" customHeight="1">
      <c r="A107" s="1">
        <f>2</f>
        <v>2</v>
      </c>
      <c r="B107" s="1">
        <f>固定流程!A35</f>
        <v>30</v>
      </c>
      <c r="C107" s="1">
        <f>5</f>
        <v>5</v>
      </c>
      <c r="D107" s="1">
        <f>2</f>
        <v>2</v>
      </c>
      <c r="E107" s="1">
        <f>固定流程!C35</f>
        <v>3</v>
      </c>
      <c r="F107" s="1">
        <f>固定流程!G35</f>
        <v>2</v>
      </c>
      <c r="G107" s="1" t="str">
        <f>固定流程!H35</f>
        <v>37_WEAK</v>
      </c>
      <c r="H107" s="1">
        <f>固定流程!F35</f>
        <v>1</v>
      </c>
      <c r="I107" s="1">
        <f>INDEX(配置与结果!$B$15:$B$18,F107)</f>
        <v>2306</v>
      </c>
      <c r="J107" s="1">
        <f>INDEX(配置与结果!$D$15:$D$18,F107)</f>
        <v>0.46</v>
      </c>
      <c r="K107" s="1">
        <f>INDEX(配置与结果!$E$15:$E$18,F107)</f>
        <v>1.9279999999999999</v>
      </c>
      <c r="L107" s="1">
        <f t="shared" si="141"/>
        <v>2</v>
      </c>
      <c r="M107" s="1">
        <f t="shared" si="142"/>
        <v>10</v>
      </c>
      <c r="N107" s="1">
        <f t="shared" si="143"/>
        <v>2</v>
      </c>
      <c r="O107" s="1">
        <f t="shared" si="135"/>
        <v>5</v>
      </c>
      <c r="P107" s="1">
        <f>MIN(方案参数!$AI$5,AZ106+0+0)</f>
        <v>5</v>
      </c>
      <c r="Q107" s="1">
        <f t="shared" si="113"/>
        <v>5</v>
      </c>
      <c r="R107" s="1">
        <f t="shared" si="114"/>
        <v>20</v>
      </c>
      <c r="S107" s="1">
        <f t="shared" si="115"/>
        <v>3</v>
      </c>
      <c r="T107" s="1">
        <f t="shared" si="150"/>
        <v>0</v>
      </c>
      <c r="U107" s="1">
        <f t="shared" si="117"/>
        <v>0</v>
      </c>
      <c r="V107" s="1">
        <f t="shared" si="118"/>
        <v>4</v>
      </c>
      <c r="W107" s="1">
        <f t="shared" si="119"/>
        <v>1</v>
      </c>
      <c r="X107" s="1">
        <f t="shared" si="120"/>
        <v>1</v>
      </c>
      <c r="Y107" s="1">
        <f t="shared" si="121"/>
        <v>1</v>
      </c>
      <c r="Z107" s="1">
        <f t="shared" si="122"/>
        <v>1</v>
      </c>
      <c r="AA107" s="1">
        <f t="shared" si="146"/>
        <v>1</v>
      </c>
      <c r="AB107" s="1">
        <f t="shared" si="124"/>
        <v>1</v>
      </c>
      <c r="AC107" s="1">
        <f t="shared" si="151"/>
        <v>1</v>
      </c>
      <c r="AD107" s="1">
        <f>ROUNDDOWN(I107*(1+IF(F107=3,0.05+方案参数!$Y$5+AA107*0.12,IF(F107=4,方案参数!$BZ$5*方案参数!$AS$5,0)))+IF(AND(X107=1,F107&lt;&gt;3),方案参数!$CC$5,0)+AC107*方案参数!$CB$5,0)</f>
        <v>3044</v>
      </c>
      <c r="AE107" s="1">
        <f>IF(OR(F107=1,F107=4),配置与结果!$B$24,配置与结果!$B$25)*MAX(0,1-INDEX(配置与结果!$I$15:$I$18,F107))</f>
        <v>1000</v>
      </c>
      <c r="AF107" s="1">
        <f>方案参数!$CE$5</f>
        <v>8</v>
      </c>
      <c r="AG107" s="1">
        <f>MAX(配置与结果!$B$32,1+INDEX(配置与结果!$F$15:$F$18,F107)+0+Q107*方案参数!$W$5+Y107*(方案参数!$AN$5+MIN(方案参数!$AO$5,P107*0.03))+AB107*方案参数!$BZ$5*0.025-配置与结果!$B$28+方案参数!$AE$5)</f>
        <v>2.2800000000000002</v>
      </c>
      <c r="AH107" s="1">
        <f>MAX(0,1+V107*方案参数!$U$5+方案参数!$AE$5-配置与结果!$B$29)</f>
        <v>1.56</v>
      </c>
      <c r="AI107" s="1">
        <f>IF(OR(INDEX(配置与结果!$K$15:$K$18,F107)=1,G107="RHI_BERRY"),1+配置与结果!$B$33+P107*方案参数!$AH$5,1)</f>
        <v>1</v>
      </c>
      <c r="AJ107" s="1">
        <f>MIN(1,MAX(0,J107+方案参数!$AB$5-配置与结果!$B$27))</f>
        <v>0.76</v>
      </c>
      <c r="AK107" s="1">
        <f>MAX(1,K107+IF(F107=2,0.15+方案参数!$CH$5,0)+BN107*方案参数!$X$5+R107*方案参数!$AA$5+0-配置与结果!$B$26+Z107*(方案参数!$AP$5+MIN(方案参数!$AQ$5,P107*0.03)))</f>
        <v>2.3380000000000001</v>
      </c>
      <c r="AL107" s="7">
        <f>ROUNDDOWN(MAX(AD107*配置与结果!$B$31,AD107-AE107)*AF107*AG107*AH107*AI107,0)</f>
        <v>58160</v>
      </c>
      <c r="AM107" s="7">
        <f>ROUNDDOWN(MAX(AD107*配置与结果!$B$31,AD107-AE107)*AF107*AG107*AH107*AI107*AK107,0)</f>
        <v>135979</v>
      </c>
      <c r="AN107" s="7">
        <f t="shared" si="104"/>
        <v>117302.44</v>
      </c>
      <c r="AO107" s="7">
        <f>0</f>
        <v>0</v>
      </c>
      <c r="AP107" s="7">
        <f>MAX(0,1+INDEX(配置与结果!$J$15:$J$18,F107)+IF(T107&gt;0,方案参数!$BY$5,0)-配置与结果!$B$30)</f>
        <v>1</v>
      </c>
      <c r="AQ107" s="7">
        <f t="shared" si="105"/>
        <v>0</v>
      </c>
      <c r="AR107" s="7">
        <f t="shared" si="106"/>
        <v>0</v>
      </c>
      <c r="AS107" s="7">
        <f t="shared" si="107"/>
        <v>0</v>
      </c>
      <c r="AT107" s="7">
        <f>IF(U107&gt;0,ROUNDDOWN(AL107*方案参数!$AF$5,0)*(1-AJ107)+ROUNDDOWN(AM107*方案参数!$AF$5,0)*AJ107,0)</f>
        <v>0</v>
      </c>
      <c r="AU107" s="7">
        <f t="shared" si="108"/>
        <v>117302.44</v>
      </c>
      <c r="AV107" s="1">
        <f t="shared" si="109"/>
        <v>2</v>
      </c>
      <c r="AW107" s="1">
        <f t="shared" si="156"/>
        <v>10</v>
      </c>
      <c r="AX107" s="1">
        <f t="shared" si="110"/>
        <v>2</v>
      </c>
      <c r="AY107" s="1">
        <f>MIN(20,MAX(0,O107+0+0-0))</f>
        <v>5</v>
      </c>
      <c r="AZ107" s="1">
        <f t="shared" si="111"/>
        <v>5</v>
      </c>
      <c r="BA107" s="1">
        <f t="shared" si="147"/>
        <v>5</v>
      </c>
      <c r="BB107" s="1">
        <f t="shared" si="155"/>
        <v>20</v>
      </c>
      <c r="BC107" s="1">
        <f t="shared" si="153"/>
        <v>3</v>
      </c>
      <c r="BD107" s="1">
        <f t="shared" si="134"/>
        <v>0</v>
      </c>
      <c r="BE107" s="1">
        <f>MAX(0,U107-IF(AF107&gt;0,1,0))+1</f>
        <v>1</v>
      </c>
      <c r="BF107" s="1">
        <f t="shared" si="157"/>
        <v>4</v>
      </c>
      <c r="BG107" s="1">
        <f t="shared" si="144"/>
        <v>1</v>
      </c>
      <c r="BH107" s="1">
        <f t="shared" si="128"/>
        <v>1</v>
      </c>
      <c r="BI107" s="1">
        <f t="shared" si="145"/>
        <v>1</v>
      </c>
      <c r="BJ107" s="1">
        <f t="shared" si="148"/>
        <v>1</v>
      </c>
      <c r="BK107" s="1">
        <f t="shared" si="149"/>
        <v>1</v>
      </c>
      <c r="BL107" s="1">
        <f t="shared" si="154"/>
        <v>1</v>
      </c>
      <c r="BM107" s="1">
        <f t="shared" si="152"/>
        <v>1</v>
      </c>
      <c r="BN107" s="1">
        <f t="shared" si="129"/>
        <v>1</v>
      </c>
      <c r="BO107" s="1">
        <f t="shared" si="130"/>
        <v>1</v>
      </c>
    </row>
    <row r="108" spans="1:67" ht="30.95" customHeight="1">
      <c r="A108" s="1">
        <f>2</f>
        <v>2</v>
      </c>
      <c r="B108" s="1">
        <f>固定流程!A36</f>
        <v>31</v>
      </c>
      <c r="C108" s="1">
        <f>5</f>
        <v>5</v>
      </c>
      <c r="D108" s="1">
        <f>2</f>
        <v>2</v>
      </c>
      <c r="E108" s="1">
        <f>固定流程!C36</f>
        <v>3</v>
      </c>
      <c r="F108" s="1">
        <f>固定流程!G36</f>
        <v>1</v>
      </c>
      <c r="G108" s="1" t="str">
        <f>固定流程!H36</f>
        <v>LILYA_THIRD</v>
      </c>
      <c r="H108" s="1">
        <f>固定流程!F36</f>
        <v>1</v>
      </c>
      <c r="I108" s="1">
        <f>INDEX(配置与结果!$B$15:$B$18,F108)</f>
        <v>2296</v>
      </c>
      <c r="J108" s="1">
        <f>INDEX(配置与结果!$D$15:$D$18,F108)</f>
        <v>0.7</v>
      </c>
      <c r="K108" s="1">
        <f>INDEX(配置与结果!$E$15:$E$18,F108)</f>
        <v>2.0249999999999999</v>
      </c>
      <c r="L108" s="1">
        <f t="shared" si="141"/>
        <v>2</v>
      </c>
      <c r="M108" s="1">
        <f t="shared" si="142"/>
        <v>10</v>
      </c>
      <c r="N108" s="1">
        <f t="shared" si="143"/>
        <v>2</v>
      </c>
      <c r="O108" s="1">
        <f t="shared" si="135"/>
        <v>5</v>
      </c>
      <c r="P108" s="1">
        <f>MIN(方案参数!$AI$5,AZ107+0+0)</f>
        <v>5</v>
      </c>
      <c r="Q108" s="1">
        <f t="shared" si="113"/>
        <v>5</v>
      </c>
      <c r="R108" s="1">
        <f t="shared" si="114"/>
        <v>20</v>
      </c>
      <c r="S108" s="1">
        <f t="shared" si="115"/>
        <v>3</v>
      </c>
      <c r="T108" s="1">
        <f t="shared" si="150"/>
        <v>0</v>
      </c>
      <c r="U108" s="1">
        <f t="shared" si="117"/>
        <v>1</v>
      </c>
      <c r="V108" s="1">
        <f t="shared" si="118"/>
        <v>4</v>
      </c>
      <c r="W108" s="1">
        <f t="shared" si="119"/>
        <v>1</v>
      </c>
      <c r="X108" s="1">
        <f t="shared" si="120"/>
        <v>1</v>
      </c>
      <c r="Y108" s="1">
        <f t="shared" si="121"/>
        <v>1</v>
      </c>
      <c r="Z108" s="1">
        <f t="shared" si="122"/>
        <v>1</v>
      </c>
      <c r="AA108" s="1">
        <f t="shared" si="146"/>
        <v>1</v>
      </c>
      <c r="AB108" s="1">
        <f t="shared" si="124"/>
        <v>1</v>
      </c>
      <c r="AC108" s="1">
        <f t="shared" si="151"/>
        <v>1</v>
      </c>
      <c r="AD108" s="1">
        <f>ROUNDDOWN(I108*(1+IF(F108=3,0.05+方案参数!$Y$5+AA108*0.12,IF(F108=4,方案参数!$BZ$5*方案参数!$AS$5,0)))+IF(AND(X108=1,F108&lt;&gt;3),方案参数!$CC$5,0)+AC108*方案参数!$CB$5,0)</f>
        <v>3034</v>
      </c>
      <c r="AE108" s="1">
        <f>IF(OR(F108=1,F108=4),配置与结果!$B$24,配置与结果!$B$25)*MAX(0,1-INDEX(配置与结果!$I$15:$I$18,F108))</f>
        <v>1200</v>
      </c>
      <c r="AF108" s="1">
        <f>方案参数!$BM$5</f>
        <v>20</v>
      </c>
      <c r="AG108" s="1">
        <f>MAX(配置与结果!$B$32,1+INDEX(配置与结果!$F$15:$F$18,F108)+0.08+方案参数!$CD$5+Q108*方案参数!$W$5+Y108*(方案参数!$AN$5+MIN(方案参数!$AO$5,P108*0.03))+AB108*方案参数!$BZ$5*0.025-配置与结果!$B$28+方案参数!$AE$5)</f>
        <v>2.6150000000000002</v>
      </c>
      <c r="AH108" s="1">
        <f>MAX(0,1+V108*方案参数!$U$5+7*方案参数!$V$5+方案参数!$AE$5-配置与结果!$B$29)</f>
        <v>1.98</v>
      </c>
      <c r="AI108" s="1">
        <f>IF(OR(INDEX(配置与结果!$K$15:$K$18,F108)=1,G108="RHI_BERRY"),1+配置与结果!$B$33+P108*方案参数!$AH$5,1)</f>
        <v>1</v>
      </c>
      <c r="AJ108" s="1">
        <f>MIN(1,MAX(0,J108+方案参数!$AB$5-配置与结果!$B$27))</f>
        <v>1</v>
      </c>
      <c r="AK108" s="1">
        <f>MAX(1,K108+IF(F108=2,0.15+方案参数!$CH$5,0)+BN108*方案参数!$X$5+R108*方案参数!$AA$5+方案参数!$BQ$5-配置与结果!$B$26+Z108*(方案参数!$AP$5+MIN(方案参数!$AQ$5,P108*0.03)))</f>
        <v>2.9650000000000003</v>
      </c>
      <c r="AL108" s="7">
        <f>ROUNDDOWN(MAX(AD108*配置与结果!$B$31,AD108-AE108)*AF108*AG108*AH108*AI108,0)</f>
        <v>189918</v>
      </c>
      <c r="AM108" s="7">
        <f>ROUNDDOWN(MAX(AD108*配置与结果!$B$31,AD108-AE108)*AF108*AG108*AH108*AI108*AK108,0)</f>
        <v>563106</v>
      </c>
      <c r="AN108" s="7">
        <f t="shared" si="104"/>
        <v>563106</v>
      </c>
      <c r="AO108" s="7">
        <f>0</f>
        <v>0</v>
      </c>
      <c r="AP108" s="7">
        <f>MAX(0,1+INDEX(配置与结果!$J$15:$J$18,F108)+IF(T108&gt;0,方案参数!$BY$5,0)-配置与结果!$B$30)</f>
        <v>1</v>
      </c>
      <c r="AQ108" s="7">
        <f t="shared" si="105"/>
        <v>0</v>
      </c>
      <c r="AR108" s="7">
        <f t="shared" si="106"/>
        <v>0</v>
      </c>
      <c r="AS108" s="7">
        <f t="shared" si="107"/>
        <v>0</v>
      </c>
      <c r="AT108" s="7">
        <f>IF(U108&gt;0,ROUNDDOWN(AL108*方案参数!$AF$5,0)*(1-AJ108)+ROUNDDOWN(AM108*方案参数!$AF$5,0)*AJ108,0)</f>
        <v>225242</v>
      </c>
      <c r="AU108" s="7">
        <f t="shared" si="108"/>
        <v>788348</v>
      </c>
      <c r="AV108" s="1">
        <f t="shared" si="109"/>
        <v>2</v>
      </c>
      <c r="AW108" s="1">
        <f t="shared" si="156"/>
        <v>10</v>
      </c>
      <c r="AX108" s="1">
        <f t="shared" si="110"/>
        <v>2</v>
      </c>
      <c r="AY108" s="1">
        <f>MIN(20,MAX(0,O108+0+1-0))</f>
        <v>6</v>
      </c>
      <c r="AZ108" s="1">
        <f t="shared" si="111"/>
        <v>5</v>
      </c>
      <c r="BA108" s="1">
        <f t="shared" si="147"/>
        <v>5</v>
      </c>
      <c r="BB108" s="1">
        <f t="shared" si="155"/>
        <v>20</v>
      </c>
      <c r="BC108" s="1">
        <f t="shared" si="153"/>
        <v>3</v>
      </c>
      <c r="BD108" s="1">
        <f t="shared" si="134"/>
        <v>0</v>
      </c>
      <c r="BE108" s="1">
        <f>MAX(0,U108-IF(AF108&gt;0,1,0))+0</f>
        <v>0</v>
      </c>
      <c r="BF108" s="1">
        <f t="shared" si="157"/>
        <v>4</v>
      </c>
      <c r="BG108" s="1">
        <f t="shared" si="144"/>
        <v>1</v>
      </c>
      <c r="BH108" s="1">
        <f t="shared" si="128"/>
        <v>1</v>
      </c>
      <c r="BI108" s="1">
        <f t="shared" si="145"/>
        <v>1</v>
      </c>
      <c r="BJ108" s="1">
        <f t="shared" si="148"/>
        <v>1</v>
      </c>
      <c r="BK108" s="1">
        <f t="shared" si="149"/>
        <v>1</v>
      </c>
      <c r="BL108" s="1">
        <f t="shared" si="154"/>
        <v>1</v>
      </c>
      <c r="BM108" s="1">
        <f t="shared" si="152"/>
        <v>1</v>
      </c>
      <c r="BN108" s="1">
        <f t="shared" si="129"/>
        <v>1</v>
      </c>
      <c r="BO108" s="1">
        <f t="shared" si="130"/>
        <v>1</v>
      </c>
    </row>
    <row r="109" spans="1:67" ht="30.95" customHeight="1">
      <c r="A109" s="1">
        <f>2</f>
        <v>2</v>
      </c>
      <c r="B109" s="1">
        <f>固定流程!A37</f>
        <v>32</v>
      </c>
      <c r="C109" s="1">
        <f>5</f>
        <v>5</v>
      </c>
      <c r="D109" s="1">
        <f>2</f>
        <v>2</v>
      </c>
      <c r="E109" s="1">
        <f>固定流程!C37</f>
        <v>3</v>
      </c>
      <c r="F109" s="1">
        <f>固定流程!G37</f>
        <v>1</v>
      </c>
      <c r="G109" s="1" t="str">
        <f>固定流程!H37</f>
        <v>LILYA_WEAK</v>
      </c>
      <c r="H109" s="1">
        <f>固定流程!F37</f>
        <v>1</v>
      </c>
      <c r="I109" s="1">
        <f>INDEX(配置与结果!$B$15:$B$18,F109)</f>
        <v>2296</v>
      </c>
      <c r="J109" s="1">
        <f>INDEX(配置与结果!$D$15:$D$18,F109)</f>
        <v>0.7</v>
      </c>
      <c r="K109" s="1">
        <f>INDEX(配置与结果!$E$15:$E$18,F109)</f>
        <v>2.0249999999999999</v>
      </c>
      <c r="L109" s="1">
        <f t="shared" si="141"/>
        <v>2</v>
      </c>
      <c r="M109" s="1">
        <f t="shared" si="142"/>
        <v>10</v>
      </c>
      <c r="N109" s="1">
        <f t="shared" si="143"/>
        <v>2</v>
      </c>
      <c r="O109" s="1">
        <f t="shared" si="135"/>
        <v>6</v>
      </c>
      <c r="P109" s="1">
        <f>MIN(方案参数!$AI$5,AZ108+0+0)</f>
        <v>5</v>
      </c>
      <c r="Q109" s="1">
        <f t="shared" si="113"/>
        <v>5</v>
      </c>
      <c r="R109" s="1">
        <f t="shared" si="114"/>
        <v>20</v>
      </c>
      <c r="S109" s="1">
        <f t="shared" si="115"/>
        <v>3</v>
      </c>
      <c r="T109" s="1">
        <f t="shared" si="150"/>
        <v>0</v>
      </c>
      <c r="U109" s="1">
        <f t="shared" si="117"/>
        <v>0</v>
      </c>
      <c r="V109" s="1">
        <f t="shared" si="118"/>
        <v>4</v>
      </c>
      <c r="W109" s="1">
        <f t="shared" si="119"/>
        <v>1</v>
      </c>
      <c r="X109" s="1">
        <f t="shared" si="120"/>
        <v>1</v>
      </c>
      <c r="Y109" s="1">
        <f t="shared" si="121"/>
        <v>1</v>
      </c>
      <c r="Z109" s="1">
        <f t="shared" si="122"/>
        <v>1</v>
      </c>
      <c r="AA109" s="1">
        <f t="shared" si="146"/>
        <v>1</v>
      </c>
      <c r="AB109" s="1">
        <f t="shared" si="124"/>
        <v>1</v>
      </c>
      <c r="AC109" s="1">
        <f t="shared" si="151"/>
        <v>1</v>
      </c>
      <c r="AD109" s="1">
        <f>ROUNDDOWN(I109*(1+IF(F109=3,0.05+方案参数!$Y$5+AA109*0.12,IF(F109=4,方案参数!$BZ$5*方案参数!$AS$5,0)))+IF(AND(X109=1,F109&lt;&gt;3),方案参数!$CC$5,0)+AC109*方案参数!$CB$5,0)</f>
        <v>3034</v>
      </c>
      <c r="AE109" s="1">
        <f>IF(OR(F109=1,F109=4),配置与结果!$B$24,配置与结果!$B$25)*MAX(0,1-INDEX(配置与结果!$I$15:$I$18,F109))</f>
        <v>1200</v>
      </c>
      <c r="AF109" s="1">
        <f>方案参数!$BL$5</f>
        <v>9</v>
      </c>
      <c r="AG109" s="1">
        <f>MAX(配置与结果!$B$32,1+INDEX(配置与结果!$F$15:$F$18,F109)+0.08+方案参数!$CD$5+Q109*方案参数!$W$5+Y109*(方案参数!$AN$5+MIN(方案参数!$AO$5,P109*0.03))+AB109*方案参数!$BZ$5*0.025-配置与结果!$B$28+方案参数!$AE$5)</f>
        <v>2.6150000000000002</v>
      </c>
      <c r="AH109" s="1">
        <f>MAX(0,1+V109*方案参数!$U$5+8*方案参数!$V$5+方案参数!$AE$5-配置与结果!$B$29)</f>
        <v>2.04</v>
      </c>
      <c r="AI109" s="1">
        <f>IF(OR(INDEX(配置与结果!$K$15:$K$18,F109)=1,G109="RHI_BERRY"),1+配置与结果!$B$33+P109*方案参数!$AH$5,1)</f>
        <v>1</v>
      </c>
      <c r="AJ109" s="1">
        <f>MIN(1,MAX(0,J109+方案参数!$AB$5-配置与结果!$B$27))</f>
        <v>1</v>
      </c>
      <c r="AK109" s="1">
        <f>MAX(1,K109+IF(F109=2,0.15+方案参数!$CH$5,0)+BN109*方案参数!$X$5+R109*方案参数!$AA$5+方案参数!$BP$5-配置与结果!$B$26+Z109*(方案参数!$AP$5+MIN(方案参数!$AQ$5,P109*0.03)))</f>
        <v>2.7650000000000001</v>
      </c>
      <c r="AL109" s="7">
        <f>ROUNDDOWN(MAX(AD109*配置与结果!$B$31,AD109-AE109)*AF109*AG109*AH109*AI109,0)</f>
        <v>88052</v>
      </c>
      <c r="AM109" s="7">
        <f>ROUNDDOWN(MAX(AD109*配置与结果!$B$31,AD109-AE109)*AF109*AG109*AH109*AI109*AK109,0)</f>
        <v>243466</v>
      </c>
      <c r="AN109" s="7">
        <f t="shared" si="104"/>
        <v>243466</v>
      </c>
      <c r="AO109" s="7">
        <f>0</f>
        <v>0</v>
      </c>
      <c r="AP109" s="7">
        <f>MAX(0,1+INDEX(配置与结果!$J$15:$J$18,F109)+IF(T109&gt;0,方案参数!$BY$5,0)-配置与结果!$B$30)</f>
        <v>1</v>
      </c>
      <c r="AQ109" s="7">
        <f t="shared" si="105"/>
        <v>0</v>
      </c>
      <c r="AR109" s="7">
        <f t="shared" si="106"/>
        <v>0</v>
      </c>
      <c r="AS109" s="7">
        <f t="shared" si="107"/>
        <v>0</v>
      </c>
      <c r="AT109" s="7">
        <f>IF(U109&gt;0,ROUNDDOWN(AL109*方案参数!$AF$5,0)*(1-AJ109)+ROUNDDOWN(AM109*方案参数!$AF$5,0)*AJ109,0)</f>
        <v>0</v>
      </c>
      <c r="AU109" s="7">
        <f t="shared" si="108"/>
        <v>243466</v>
      </c>
      <c r="AV109" s="1">
        <f t="shared" si="109"/>
        <v>2</v>
      </c>
      <c r="AW109" s="1">
        <f t="shared" si="156"/>
        <v>10</v>
      </c>
      <c r="AX109" s="1">
        <f t="shared" si="110"/>
        <v>2</v>
      </c>
      <c r="AY109" s="1">
        <f>MIN(20,MAX(0,O109+0+1-0))</f>
        <v>7</v>
      </c>
      <c r="AZ109" s="1">
        <f t="shared" si="111"/>
        <v>5</v>
      </c>
      <c r="BA109" s="1">
        <f t="shared" si="147"/>
        <v>5</v>
      </c>
      <c r="BB109" s="1">
        <f t="shared" si="155"/>
        <v>20</v>
      </c>
      <c r="BC109" s="1">
        <f t="shared" si="153"/>
        <v>3</v>
      </c>
      <c r="BD109" s="1">
        <f t="shared" si="134"/>
        <v>0</v>
      </c>
      <c r="BE109" s="1">
        <f>MAX(0,U109-IF(AF109&gt;0,1,0))+0</f>
        <v>0</v>
      </c>
      <c r="BF109" s="1">
        <f t="shared" si="157"/>
        <v>4</v>
      </c>
      <c r="BG109" s="1">
        <f t="shared" si="144"/>
        <v>1</v>
      </c>
      <c r="BH109" s="1">
        <f t="shared" si="128"/>
        <v>1</v>
      </c>
      <c r="BI109" s="1">
        <f t="shared" si="145"/>
        <v>1</v>
      </c>
      <c r="BJ109" s="1">
        <f t="shared" si="148"/>
        <v>1</v>
      </c>
      <c r="BK109" s="1">
        <f t="shared" si="149"/>
        <v>1</v>
      </c>
      <c r="BL109" s="1">
        <f t="shared" si="154"/>
        <v>1</v>
      </c>
      <c r="BM109" s="1">
        <f t="shared" si="152"/>
        <v>1</v>
      </c>
      <c r="BN109" s="1">
        <f t="shared" si="129"/>
        <v>1</v>
      </c>
      <c r="BO109" s="1">
        <f t="shared" si="130"/>
        <v>1</v>
      </c>
    </row>
    <row r="110" spans="1:67" ht="30.95" customHeight="1">
      <c r="A110" s="1">
        <f>2</f>
        <v>2</v>
      </c>
      <c r="B110" s="1">
        <f>固定流程!A38</f>
        <v>33</v>
      </c>
      <c r="C110" s="1">
        <f>5</f>
        <v>5</v>
      </c>
      <c r="D110" s="1">
        <f>2</f>
        <v>2</v>
      </c>
      <c r="E110" s="1">
        <f>固定流程!C38</f>
        <v>3</v>
      </c>
      <c r="F110" s="1">
        <f>固定流程!G38</f>
        <v>1</v>
      </c>
      <c r="G110" s="1" t="str">
        <f>固定流程!H38</f>
        <v>LILYA_WEAK</v>
      </c>
      <c r="H110" s="1">
        <f>固定流程!F38</f>
        <v>1</v>
      </c>
      <c r="I110" s="1">
        <f>INDEX(配置与结果!$B$15:$B$18,F110)</f>
        <v>2296</v>
      </c>
      <c r="J110" s="1">
        <f>INDEX(配置与结果!$D$15:$D$18,F110)</f>
        <v>0.7</v>
      </c>
      <c r="K110" s="1">
        <f>INDEX(配置与结果!$E$15:$E$18,F110)</f>
        <v>2.0249999999999999</v>
      </c>
      <c r="L110" s="1">
        <f t="shared" si="141"/>
        <v>2</v>
      </c>
      <c r="M110" s="1">
        <f t="shared" si="142"/>
        <v>10</v>
      </c>
      <c r="N110" s="1">
        <f t="shared" si="143"/>
        <v>2</v>
      </c>
      <c r="O110" s="1">
        <f t="shared" si="135"/>
        <v>7</v>
      </c>
      <c r="P110" s="1">
        <f>MIN(方案参数!$AI$5,AZ109+0+0)</f>
        <v>5</v>
      </c>
      <c r="Q110" s="1">
        <f t="shared" si="113"/>
        <v>5</v>
      </c>
      <c r="R110" s="1">
        <f t="shared" si="114"/>
        <v>20</v>
      </c>
      <c r="S110" s="1">
        <f t="shared" si="115"/>
        <v>3</v>
      </c>
      <c r="T110" s="1">
        <f t="shared" si="150"/>
        <v>0</v>
      </c>
      <c r="U110" s="1">
        <f t="shared" si="117"/>
        <v>0</v>
      </c>
      <c r="V110" s="1">
        <f t="shared" si="118"/>
        <v>4</v>
      </c>
      <c r="W110" s="1">
        <f t="shared" si="119"/>
        <v>1</v>
      </c>
      <c r="X110" s="1">
        <f t="shared" si="120"/>
        <v>1</v>
      </c>
      <c r="Y110" s="1">
        <f t="shared" si="121"/>
        <v>1</v>
      </c>
      <c r="Z110" s="1">
        <f t="shared" si="122"/>
        <v>1</v>
      </c>
      <c r="AA110" s="1">
        <f t="shared" si="146"/>
        <v>1</v>
      </c>
      <c r="AB110" s="1">
        <f t="shared" si="124"/>
        <v>1</v>
      </c>
      <c r="AC110" s="1">
        <f t="shared" si="151"/>
        <v>1</v>
      </c>
      <c r="AD110" s="1">
        <f>ROUNDDOWN(I110*(1+IF(F110=3,0.05+方案参数!$Y$5+AA110*0.12,IF(F110=4,方案参数!$BZ$5*方案参数!$AS$5,0)))+IF(AND(X110=1,F110&lt;&gt;3),方案参数!$CC$5,0)+AC110*方案参数!$CB$5,0)</f>
        <v>3034</v>
      </c>
      <c r="AE110" s="1">
        <f>IF(OR(F110=1,F110=4),配置与结果!$B$24,配置与结果!$B$25)*MAX(0,1-INDEX(配置与结果!$I$15:$I$18,F110))</f>
        <v>1200</v>
      </c>
      <c r="AF110" s="1">
        <f>方案参数!$BL$5</f>
        <v>9</v>
      </c>
      <c r="AG110" s="1">
        <f>MAX(配置与结果!$B$32,1+INDEX(配置与结果!$F$15:$F$18,F110)+0.08+方案参数!$CD$5+Q110*方案参数!$W$5+Y110*(方案参数!$AN$5+MIN(方案参数!$AO$5,P110*0.03))+AB110*方案参数!$BZ$5*0.025-配置与结果!$B$28+方案参数!$AE$5)</f>
        <v>2.6150000000000002</v>
      </c>
      <c r="AH110" s="1">
        <f>MAX(0,1+V110*方案参数!$U$5+9*方案参数!$V$5+方案参数!$AE$5-配置与结果!$B$29)</f>
        <v>2.1</v>
      </c>
      <c r="AI110" s="1">
        <f>IF(OR(INDEX(配置与结果!$K$15:$K$18,F110)=1,G110="RHI_BERRY"),1+配置与结果!$B$33+P110*方案参数!$AH$5,1)</f>
        <v>1</v>
      </c>
      <c r="AJ110" s="1">
        <f>MIN(1,MAX(0,J110+方案参数!$AB$5-配置与结果!$B$27))</f>
        <v>1</v>
      </c>
      <c r="AK110" s="1">
        <f>MAX(1,K110+IF(F110=2,0.15+方案参数!$CH$5,0)+BN110*方案参数!$X$5+R110*方案参数!$AA$5+方案参数!$BP$5-配置与结果!$B$26+Z110*(方案参数!$AP$5+MIN(方案参数!$AQ$5,P110*0.03)))</f>
        <v>2.7650000000000001</v>
      </c>
      <c r="AL110" s="7">
        <f>ROUNDDOWN(MAX(AD110*配置与结果!$B$31,AD110-AE110)*AF110*AG110*AH110*AI110,0)</f>
        <v>90642</v>
      </c>
      <c r="AM110" s="7">
        <f>ROUNDDOWN(MAX(AD110*配置与结果!$B$31,AD110-AE110)*AF110*AG110*AH110*AI110*AK110,0)</f>
        <v>250627</v>
      </c>
      <c r="AN110" s="7">
        <f t="shared" si="104"/>
        <v>250627</v>
      </c>
      <c r="AO110" s="7">
        <f>0</f>
        <v>0</v>
      </c>
      <c r="AP110" s="7">
        <f>MAX(0,1+INDEX(配置与结果!$J$15:$J$18,F110)+IF(T110&gt;0,方案参数!$BY$5,0)-配置与结果!$B$30)</f>
        <v>1</v>
      </c>
      <c r="AQ110" s="7">
        <f t="shared" si="105"/>
        <v>0</v>
      </c>
      <c r="AR110" s="7">
        <f t="shared" si="106"/>
        <v>0</v>
      </c>
      <c r="AS110" s="7">
        <f t="shared" si="107"/>
        <v>0</v>
      </c>
      <c r="AT110" s="7">
        <f>IF(U110&gt;0,ROUNDDOWN(AL110*方案参数!$AF$5,0)*(1-AJ110)+ROUNDDOWN(AM110*方案参数!$AF$5,0)*AJ110,0)</f>
        <v>0</v>
      </c>
      <c r="AU110" s="7">
        <f t="shared" si="108"/>
        <v>250627</v>
      </c>
      <c r="AV110" s="1">
        <f t="shared" si="109"/>
        <v>2</v>
      </c>
      <c r="AW110" s="1">
        <f t="shared" si="156"/>
        <v>10</v>
      </c>
      <c r="AX110" s="1">
        <f t="shared" si="110"/>
        <v>2</v>
      </c>
      <c r="AY110" s="1">
        <f>MIN(20,MAX(0,O110+0+1-0))</f>
        <v>8</v>
      </c>
      <c r="AZ110" s="1">
        <f t="shared" si="111"/>
        <v>5</v>
      </c>
      <c r="BA110" s="1">
        <f t="shared" si="147"/>
        <v>5</v>
      </c>
      <c r="BB110" s="1">
        <f t="shared" si="155"/>
        <v>20</v>
      </c>
      <c r="BC110" s="1">
        <f t="shared" si="153"/>
        <v>3</v>
      </c>
      <c r="BD110" s="1">
        <f t="shared" si="134"/>
        <v>0</v>
      </c>
      <c r="BE110" s="1">
        <f>MAX(0,U110-IF(AF110&gt;0,1,0))+0</f>
        <v>0</v>
      </c>
      <c r="BF110" s="1">
        <f t="shared" si="157"/>
        <v>4</v>
      </c>
      <c r="BG110" s="1">
        <f t="shared" si="144"/>
        <v>1</v>
      </c>
      <c r="BH110" s="1">
        <f t="shared" si="128"/>
        <v>1</v>
      </c>
      <c r="BI110" s="1">
        <f t="shared" si="145"/>
        <v>1</v>
      </c>
      <c r="BJ110" s="1">
        <f t="shared" si="148"/>
        <v>1</v>
      </c>
      <c r="BK110" s="1">
        <f t="shared" si="149"/>
        <v>1</v>
      </c>
      <c r="BL110" s="1">
        <f t="shared" si="154"/>
        <v>1</v>
      </c>
      <c r="BM110" s="1">
        <f t="shared" si="152"/>
        <v>1</v>
      </c>
      <c r="BN110" s="1">
        <f t="shared" si="129"/>
        <v>1</v>
      </c>
      <c r="BO110" s="1">
        <f t="shared" si="130"/>
        <v>1</v>
      </c>
    </row>
    <row r="111" spans="1:67" ht="30.95" customHeight="1">
      <c r="A111" s="1">
        <f>2</f>
        <v>2</v>
      </c>
      <c r="B111" s="1">
        <f>固定流程!A39</f>
        <v>34</v>
      </c>
      <c r="C111" s="1">
        <f>5</f>
        <v>5</v>
      </c>
      <c r="D111" s="1">
        <f>2</f>
        <v>2</v>
      </c>
      <c r="E111" s="1">
        <f>固定流程!C39</f>
        <v>3</v>
      </c>
      <c r="F111" s="1">
        <f>固定流程!G39</f>
        <v>2</v>
      </c>
      <c r="G111" s="1" t="str">
        <f>固定流程!H39</f>
        <v>37_WEAK</v>
      </c>
      <c r="H111" s="1">
        <f>固定流程!F39</f>
        <v>1</v>
      </c>
      <c r="I111" s="1">
        <f>INDEX(配置与结果!$B$15:$B$18,F111)</f>
        <v>2306</v>
      </c>
      <c r="J111" s="1">
        <f>INDEX(配置与结果!$D$15:$D$18,F111)</f>
        <v>0.46</v>
      </c>
      <c r="K111" s="1">
        <f>INDEX(配置与结果!$E$15:$E$18,F111)</f>
        <v>1.9279999999999999</v>
      </c>
      <c r="L111" s="1">
        <f t="shared" si="141"/>
        <v>2</v>
      </c>
      <c r="M111" s="1">
        <f t="shared" si="142"/>
        <v>10</v>
      </c>
      <c r="N111" s="1">
        <f t="shared" si="143"/>
        <v>2</v>
      </c>
      <c r="O111" s="1">
        <f t="shared" si="135"/>
        <v>8</v>
      </c>
      <c r="P111" s="1">
        <f>MIN(方案参数!$AI$5,AZ110+0+0)</f>
        <v>5</v>
      </c>
      <c r="Q111" s="1">
        <f t="shared" si="113"/>
        <v>5</v>
      </c>
      <c r="R111" s="1">
        <f t="shared" si="114"/>
        <v>20</v>
      </c>
      <c r="S111" s="1">
        <f t="shared" si="115"/>
        <v>3</v>
      </c>
      <c r="T111" s="1">
        <f t="shared" si="150"/>
        <v>0</v>
      </c>
      <c r="U111" s="1">
        <f t="shared" si="117"/>
        <v>0</v>
      </c>
      <c r="V111" s="1">
        <f t="shared" si="118"/>
        <v>4</v>
      </c>
      <c r="W111" s="1">
        <f t="shared" si="119"/>
        <v>1</v>
      </c>
      <c r="X111" s="1">
        <f t="shared" si="120"/>
        <v>1</v>
      </c>
      <c r="Y111" s="1">
        <f t="shared" si="121"/>
        <v>1</v>
      </c>
      <c r="Z111" s="1">
        <f t="shared" si="122"/>
        <v>1</v>
      </c>
      <c r="AA111" s="1">
        <f t="shared" si="146"/>
        <v>1</v>
      </c>
      <c r="AB111" s="1">
        <f t="shared" si="124"/>
        <v>1</v>
      </c>
      <c r="AC111" s="1">
        <f t="shared" si="151"/>
        <v>1</v>
      </c>
      <c r="AD111" s="1">
        <f>ROUNDDOWN(I111*(1+IF(F111=3,0.05+方案参数!$Y$5+AA111*0.12,IF(F111=4,方案参数!$BZ$5*方案参数!$AS$5,0)))+IF(AND(X111=1,F111&lt;&gt;3),方案参数!$CC$5,0)+AC111*方案参数!$CB$5,0)</f>
        <v>3044</v>
      </c>
      <c r="AE111" s="1">
        <f>IF(OR(F111=1,F111=4),配置与结果!$B$24,配置与结果!$B$25)*MAX(0,1-INDEX(配置与结果!$I$15:$I$18,F111))</f>
        <v>1000</v>
      </c>
      <c r="AF111" s="1">
        <f>方案参数!$CE$5</f>
        <v>8</v>
      </c>
      <c r="AG111" s="1">
        <f>MAX(配置与结果!$B$32,1+INDEX(配置与结果!$F$15:$F$18,F111)+0+Q111*方案参数!$W$5+Y111*(方案参数!$AN$5+MIN(方案参数!$AO$5,P111*0.03))+AB111*方案参数!$BZ$5*0.025-配置与结果!$B$28+方案参数!$AE$5)</f>
        <v>2.2800000000000002</v>
      </c>
      <c r="AH111" s="1">
        <f>MAX(0,1+V111*方案参数!$U$5+方案参数!$AE$5-配置与结果!$B$29)</f>
        <v>1.56</v>
      </c>
      <c r="AI111" s="1">
        <f>IF(OR(INDEX(配置与结果!$K$15:$K$18,F111)=1,G111="RHI_BERRY"),1+配置与结果!$B$33+P111*方案参数!$AH$5,1)</f>
        <v>1</v>
      </c>
      <c r="AJ111" s="1">
        <f>MIN(1,MAX(0,J111+方案参数!$AB$5-配置与结果!$B$27))</f>
        <v>0.76</v>
      </c>
      <c r="AK111" s="1">
        <f>MAX(1,K111+IF(F111=2,0.15+方案参数!$CH$5,0)+BN111*方案参数!$X$5+R111*方案参数!$AA$5+0-配置与结果!$B$26+Z111*(方案参数!$AP$5+MIN(方案参数!$AQ$5,P111*0.03)))</f>
        <v>2.3380000000000001</v>
      </c>
      <c r="AL111" s="7">
        <f>ROUNDDOWN(MAX(AD111*配置与结果!$B$31,AD111-AE111)*AF111*AG111*AH111*AI111,0)</f>
        <v>58160</v>
      </c>
      <c r="AM111" s="7">
        <f>ROUNDDOWN(MAX(AD111*配置与结果!$B$31,AD111-AE111)*AF111*AG111*AH111*AI111*AK111,0)</f>
        <v>135979</v>
      </c>
      <c r="AN111" s="7">
        <f t="shared" si="104"/>
        <v>117302.44</v>
      </c>
      <c r="AO111" s="7">
        <f>0</f>
        <v>0</v>
      </c>
      <c r="AP111" s="7">
        <f>MAX(0,1+INDEX(配置与结果!$J$15:$J$18,F111)+IF(T111&gt;0,方案参数!$BY$5,0)-配置与结果!$B$30)</f>
        <v>1</v>
      </c>
      <c r="AQ111" s="7">
        <f t="shared" si="105"/>
        <v>0</v>
      </c>
      <c r="AR111" s="7">
        <f t="shared" si="106"/>
        <v>0</v>
      </c>
      <c r="AS111" s="7">
        <f t="shared" si="107"/>
        <v>0</v>
      </c>
      <c r="AT111" s="7">
        <f>IF(U111&gt;0,ROUNDDOWN(AL111*方案参数!$AF$5,0)*(1-AJ111)+ROUNDDOWN(AM111*方案参数!$AF$5,0)*AJ111,0)</f>
        <v>0</v>
      </c>
      <c r="AU111" s="7">
        <f t="shared" si="108"/>
        <v>117302.44</v>
      </c>
      <c r="AV111" s="1">
        <f t="shared" si="109"/>
        <v>2</v>
      </c>
      <c r="AW111" s="1">
        <f t="shared" si="156"/>
        <v>10</v>
      </c>
      <c r="AX111" s="1">
        <f t="shared" si="110"/>
        <v>2</v>
      </c>
      <c r="AY111" s="1">
        <f>MIN(20,MAX(0,O111+0+0-0))</f>
        <v>8</v>
      </c>
      <c r="AZ111" s="1">
        <f t="shared" si="111"/>
        <v>5</v>
      </c>
      <c r="BA111" s="1">
        <f t="shared" si="147"/>
        <v>5</v>
      </c>
      <c r="BB111" s="1">
        <f t="shared" si="155"/>
        <v>20</v>
      </c>
      <c r="BC111" s="1">
        <f t="shared" si="153"/>
        <v>3</v>
      </c>
      <c r="BD111" s="1">
        <f t="shared" si="134"/>
        <v>0</v>
      </c>
      <c r="BE111" s="1">
        <f>MAX(0,U111-IF(AF111&gt;0,1,0))+1</f>
        <v>1</v>
      </c>
      <c r="BF111" s="1">
        <f t="shared" si="157"/>
        <v>4</v>
      </c>
      <c r="BG111" s="1">
        <f t="shared" si="144"/>
        <v>1</v>
      </c>
      <c r="BH111" s="1">
        <f t="shared" si="128"/>
        <v>1</v>
      </c>
      <c r="BI111" s="1">
        <f t="shared" si="145"/>
        <v>1</v>
      </c>
      <c r="BJ111" s="1">
        <f t="shared" si="148"/>
        <v>1</v>
      </c>
      <c r="BK111" s="1">
        <f t="shared" si="149"/>
        <v>1</v>
      </c>
      <c r="BL111" s="1">
        <f t="shared" si="154"/>
        <v>1</v>
      </c>
      <c r="BM111" s="1">
        <f t="shared" si="152"/>
        <v>1</v>
      </c>
      <c r="BN111" s="1">
        <f t="shared" si="129"/>
        <v>1</v>
      </c>
      <c r="BO111" s="1">
        <f t="shared" si="130"/>
        <v>1</v>
      </c>
    </row>
    <row r="112" spans="1:67" ht="30.95" customHeight="1">
      <c r="A112" s="1">
        <f>2</f>
        <v>2</v>
      </c>
      <c r="B112" s="1">
        <f>固定流程!A40</f>
        <v>35</v>
      </c>
      <c r="C112" s="1">
        <f>5</f>
        <v>5</v>
      </c>
      <c r="D112" s="1">
        <f>2</f>
        <v>2</v>
      </c>
      <c r="E112" s="1">
        <f>固定流程!C40</f>
        <v>3</v>
      </c>
      <c r="F112" s="1">
        <f>固定流程!G40</f>
        <v>2</v>
      </c>
      <c r="G112" s="1" t="str">
        <f>固定流程!H40</f>
        <v>37_WEAK</v>
      </c>
      <c r="H112" s="1">
        <f>固定流程!F40</f>
        <v>1</v>
      </c>
      <c r="I112" s="1">
        <f>INDEX(配置与结果!$B$15:$B$18,F112)</f>
        <v>2306</v>
      </c>
      <c r="J112" s="1">
        <f>INDEX(配置与结果!$D$15:$D$18,F112)</f>
        <v>0.46</v>
      </c>
      <c r="K112" s="1">
        <f>INDEX(配置与结果!$E$15:$E$18,F112)</f>
        <v>1.9279999999999999</v>
      </c>
      <c r="L112" s="1">
        <f t="shared" si="141"/>
        <v>2</v>
      </c>
      <c r="M112" s="1">
        <f t="shared" si="142"/>
        <v>10</v>
      </c>
      <c r="N112" s="1">
        <f t="shared" si="143"/>
        <v>2</v>
      </c>
      <c r="O112" s="1">
        <f t="shared" si="135"/>
        <v>8</v>
      </c>
      <c r="P112" s="1">
        <f>MIN(方案参数!$AI$5,AZ111+0+0)</f>
        <v>5</v>
      </c>
      <c r="Q112" s="1">
        <f t="shared" si="113"/>
        <v>5</v>
      </c>
      <c r="R112" s="1">
        <f t="shared" si="114"/>
        <v>20</v>
      </c>
      <c r="S112" s="1">
        <f t="shared" si="115"/>
        <v>3</v>
      </c>
      <c r="T112" s="1">
        <f t="shared" si="150"/>
        <v>0</v>
      </c>
      <c r="U112" s="1">
        <f t="shared" si="117"/>
        <v>1</v>
      </c>
      <c r="V112" s="1">
        <f t="shared" si="118"/>
        <v>4</v>
      </c>
      <c r="W112" s="1">
        <f t="shared" si="119"/>
        <v>1</v>
      </c>
      <c r="X112" s="1">
        <f t="shared" si="120"/>
        <v>1</v>
      </c>
      <c r="Y112" s="1">
        <f t="shared" si="121"/>
        <v>1</v>
      </c>
      <c r="Z112" s="1">
        <f t="shared" si="122"/>
        <v>1</v>
      </c>
      <c r="AA112" s="1">
        <f t="shared" si="146"/>
        <v>1</v>
      </c>
      <c r="AB112" s="1">
        <f t="shared" si="124"/>
        <v>1</v>
      </c>
      <c r="AC112" s="1">
        <f t="shared" si="151"/>
        <v>1</v>
      </c>
      <c r="AD112" s="1">
        <f>ROUNDDOWN(I112*(1+IF(F112=3,0.05+方案参数!$Y$5+AA112*0.12,IF(F112=4,方案参数!$BZ$5*方案参数!$AS$5,0)))+IF(AND(X112=1,F112&lt;&gt;3),方案参数!$CC$5,0)+AC112*方案参数!$CB$5,0)</f>
        <v>3044</v>
      </c>
      <c r="AE112" s="1">
        <f>IF(OR(F112=1,F112=4),配置与结果!$B$24,配置与结果!$B$25)*MAX(0,1-INDEX(配置与结果!$I$15:$I$18,F112))</f>
        <v>1000</v>
      </c>
      <c r="AF112" s="1">
        <f>方案参数!$CE$5</f>
        <v>8</v>
      </c>
      <c r="AG112" s="1">
        <f>MAX(配置与结果!$B$32,1+INDEX(配置与结果!$F$15:$F$18,F112)+0+Q112*方案参数!$W$5+Y112*(方案参数!$AN$5+MIN(方案参数!$AO$5,P112*0.03))+AB112*方案参数!$BZ$5*0.025-配置与结果!$B$28+方案参数!$AE$5)</f>
        <v>2.2800000000000002</v>
      </c>
      <c r="AH112" s="1">
        <f>MAX(0,1+V112*方案参数!$U$5+方案参数!$AE$5-配置与结果!$B$29)</f>
        <v>1.56</v>
      </c>
      <c r="AI112" s="1">
        <f>IF(OR(INDEX(配置与结果!$K$15:$K$18,F112)=1,G112="RHI_BERRY"),1+配置与结果!$B$33+P112*方案参数!$AH$5,1)</f>
        <v>1</v>
      </c>
      <c r="AJ112" s="1">
        <f>MIN(1,MAX(0,J112+方案参数!$AB$5-配置与结果!$B$27))</f>
        <v>0.76</v>
      </c>
      <c r="AK112" s="1">
        <f>MAX(1,K112+IF(F112=2,0.15+方案参数!$CH$5,0)+BN112*方案参数!$X$5+R112*方案参数!$AA$5+0-配置与结果!$B$26+Z112*(方案参数!$AP$5+MIN(方案参数!$AQ$5,P112*0.03)))</f>
        <v>2.3380000000000001</v>
      </c>
      <c r="AL112" s="7">
        <f>ROUNDDOWN(MAX(AD112*配置与结果!$B$31,AD112-AE112)*AF112*AG112*AH112*AI112,0)</f>
        <v>58160</v>
      </c>
      <c r="AM112" s="7">
        <f>ROUNDDOWN(MAX(AD112*配置与结果!$B$31,AD112-AE112)*AF112*AG112*AH112*AI112*AK112,0)</f>
        <v>135979</v>
      </c>
      <c r="AN112" s="7">
        <f t="shared" si="104"/>
        <v>117302.44</v>
      </c>
      <c r="AO112" s="7">
        <f>0</f>
        <v>0</v>
      </c>
      <c r="AP112" s="7">
        <f>MAX(0,1+INDEX(配置与结果!$J$15:$J$18,F112)+IF(T112&gt;0,方案参数!$BY$5,0)-配置与结果!$B$30)</f>
        <v>1</v>
      </c>
      <c r="AQ112" s="7">
        <f t="shared" si="105"/>
        <v>0</v>
      </c>
      <c r="AR112" s="7">
        <f t="shared" si="106"/>
        <v>0</v>
      </c>
      <c r="AS112" s="7">
        <f t="shared" si="107"/>
        <v>0</v>
      </c>
      <c r="AT112" s="7">
        <f>IF(U112&gt;0,ROUNDDOWN(AL112*方案参数!$AF$5,0)*(1-AJ112)+ROUNDDOWN(AM112*方案参数!$AF$5,0)*AJ112,0)</f>
        <v>46920.520000000004</v>
      </c>
      <c r="AU112" s="7">
        <f t="shared" si="108"/>
        <v>164222.96000000002</v>
      </c>
      <c r="AV112" s="1">
        <f t="shared" si="109"/>
        <v>2</v>
      </c>
      <c r="AW112" s="1">
        <f t="shared" si="156"/>
        <v>10</v>
      </c>
      <c r="AX112" s="1">
        <f t="shared" si="110"/>
        <v>2</v>
      </c>
      <c r="AY112" s="1">
        <f>MIN(20,MAX(0,O112+0+0-0))</f>
        <v>8</v>
      </c>
      <c r="AZ112" s="1">
        <f t="shared" si="111"/>
        <v>5</v>
      </c>
      <c r="BA112" s="1">
        <f t="shared" si="147"/>
        <v>5</v>
      </c>
      <c r="BB112" s="1">
        <f t="shared" si="155"/>
        <v>20</v>
      </c>
      <c r="BC112" s="1">
        <f t="shared" si="153"/>
        <v>3</v>
      </c>
      <c r="BD112" s="1">
        <f t="shared" si="134"/>
        <v>0</v>
      </c>
      <c r="BE112" s="1">
        <f>MAX(0,U112-IF(AF112&gt;0,1,0))+1</f>
        <v>1</v>
      </c>
      <c r="BF112" s="1">
        <f t="shared" si="157"/>
        <v>4</v>
      </c>
      <c r="BG112" s="1">
        <f t="shared" si="144"/>
        <v>1</v>
      </c>
      <c r="BH112" s="1">
        <f t="shared" si="128"/>
        <v>1</v>
      </c>
      <c r="BI112" s="1">
        <f t="shared" si="145"/>
        <v>1</v>
      </c>
      <c r="BJ112" s="1">
        <f t="shared" si="148"/>
        <v>1</v>
      </c>
      <c r="BK112" s="1">
        <f t="shared" si="149"/>
        <v>1</v>
      </c>
      <c r="BL112" s="1">
        <f t="shared" si="154"/>
        <v>1</v>
      </c>
      <c r="BM112" s="1">
        <f t="shared" si="152"/>
        <v>1</v>
      </c>
      <c r="BN112" s="1">
        <f t="shared" si="129"/>
        <v>1</v>
      </c>
      <c r="BO112" s="1">
        <f t="shared" si="130"/>
        <v>1</v>
      </c>
    </row>
    <row r="113" spans="1:67" ht="30.95" customHeight="1">
      <c r="A113" s="1">
        <f>2</f>
        <v>2</v>
      </c>
      <c r="B113" s="1">
        <f>固定流程!A41</f>
        <v>36</v>
      </c>
      <c r="C113" s="1">
        <f>5</f>
        <v>5</v>
      </c>
      <c r="D113" s="1">
        <f>2</f>
        <v>2</v>
      </c>
      <c r="E113" s="1">
        <f>固定流程!C41</f>
        <v>3</v>
      </c>
      <c r="F113" s="1">
        <f>固定流程!G41</f>
        <v>1</v>
      </c>
      <c r="G113" s="1" t="str">
        <f>固定流程!H41</f>
        <v>LILYA_FINISH</v>
      </c>
      <c r="H113" s="1">
        <f>固定流程!F41</f>
        <v>1</v>
      </c>
      <c r="I113" s="1">
        <f>INDEX(配置与结果!$B$15:$B$18,F113)</f>
        <v>2296</v>
      </c>
      <c r="J113" s="1">
        <f>INDEX(配置与结果!$D$15:$D$18,F113)</f>
        <v>0.7</v>
      </c>
      <c r="K113" s="1">
        <f>INDEX(配置与结果!$E$15:$E$18,F113)</f>
        <v>2.0249999999999999</v>
      </c>
      <c r="L113" s="1">
        <f t="shared" si="141"/>
        <v>2</v>
      </c>
      <c r="M113" s="1">
        <f t="shared" si="142"/>
        <v>10</v>
      </c>
      <c r="N113" s="1">
        <f t="shared" si="143"/>
        <v>2</v>
      </c>
      <c r="O113" s="1">
        <f t="shared" si="135"/>
        <v>8</v>
      </c>
      <c r="P113" s="1">
        <f>MIN(方案参数!$AI$5,AZ112+0+0)</f>
        <v>5</v>
      </c>
      <c r="Q113" s="1">
        <f t="shared" si="113"/>
        <v>5</v>
      </c>
      <c r="R113" s="1">
        <f t="shared" si="114"/>
        <v>20</v>
      </c>
      <c r="S113" s="1">
        <f t="shared" si="115"/>
        <v>3</v>
      </c>
      <c r="T113" s="1">
        <f t="shared" si="150"/>
        <v>0</v>
      </c>
      <c r="U113" s="1">
        <f t="shared" si="117"/>
        <v>1</v>
      </c>
      <c r="V113" s="1">
        <f t="shared" si="118"/>
        <v>4</v>
      </c>
      <c r="W113" s="1">
        <f t="shared" si="119"/>
        <v>1</v>
      </c>
      <c r="X113" s="1">
        <f t="shared" si="120"/>
        <v>1</v>
      </c>
      <c r="Y113" s="1">
        <f t="shared" si="121"/>
        <v>1</v>
      </c>
      <c r="Z113" s="1">
        <f t="shared" si="122"/>
        <v>1</v>
      </c>
      <c r="AA113" s="1">
        <f t="shared" si="146"/>
        <v>1</v>
      </c>
      <c r="AB113" s="1">
        <f t="shared" si="124"/>
        <v>1</v>
      </c>
      <c r="AC113" s="1">
        <f t="shared" si="151"/>
        <v>1</v>
      </c>
      <c r="AD113" s="1">
        <f>ROUNDDOWN(I113*(1+IF(F113=3,0.05+方案参数!$Y$5+AA113*0.12,IF(F113=4,方案参数!$BZ$5*方案参数!$AS$5,0)))+IF(AND(X113=1,F113&lt;&gt;3),方案参数!$CC$5,0)+AC113*方案参数!$CB$5,0)</f>
        <v>3034</v>
      </c>
      <c r="AE113" s="1">
        <f>IF(OR(F113=1,F113=4),配置与结果!$B$24,配置与结果!$B$25)*MAX(0,1-INDEX(配置与结果!$I$15:$I$18,F113))</f>
        <v>1200</v>
      </c>
      <c r="AF113" s="1">
        <f>方案参数!$BN$5+12*方案参数!$BO$5</f>
        <v>48</v>
      </c>
      <c r="AG113" s="1">
        <f>MAX(配置与结果!$B$32,1+INDEX(配置与结果!$F$15:$F$18,F113)+0.08+方案参数!$CD$5+Q113*方案参数!$W$5+Y113*(方案参数!$AN$5+MIN(方案参数!$AO$5,P113*0.03))+AB113*方案参数!$BZ$5*0.025-配置与结果!$B$28+方案参数!$AE$5)</f>
        <v>2.6150000000000002</v>
      </c>
      <c r="AH113" s="1">
        <f>MAX(0,1+V113*方案参数!$U$5+12*方案参数!$V$5+方案参数!$AE$5-配置与结果!$B$29)</f>
        <v>2.2799999999999998</v>
      </c>
      <c r="AI113" s="1">
        <f>IF(OR(INDEX(配置与结果!$K$15:$K$18,F113)=1,G113="RHI_BERRY"),1+配置与结果!$B$33+P113*方案参数!$AH$5,1)</f>
        <v>1</v>
      </c>
      <c r="AJ113" s="1">
        <f>MIN(1,MAX(0,J113+方案参数!$AB$5-配置与结果!$B$27))</f>
        <v>1</v>
      </c>
      <c r="AK113" s="1">
        <f>MAX(1,K113+IF(F113=2,0.15+方案参数!$CH$5,0)+BN113*方案参数!$X$5+R113*方案参数!$AA$5+方案参数!$BR$5-配置与结果!$B$26+Z113*(方案参数!$AP$5+MIN(方案参数!$AQ$5,P113*0.03)))</f>
        <v>3.165</v>
      </c>
      <c r="AL113" s="7">
        <f>ROUNDDOWN(MAX(AD113*配置与结果!$B$31,AD113-AE113)*AF113*AG113*AH113*AI113,0)</f>
        <v>524864</v>
      </c>
      <c r="AM113" s="7">
        <f>ROUNDDOWN(MAX(AD113*配置与结果!$B$31,AD113-AE113)*AF113*AG113*AH113*AI113*AK113,0)</f>
        <v>1661195</v>
      </c>
      <c r="AN113" s="7">
        <f t="shared" si="104"/>
        <v>1661195</v>
      </c>
      <c r="AO113" s="7">
        <f>0</f>
        <v>0</v>
      </c>
      <c r="AP113" s="7">
        <f>MAX(0,1+INDEX(配置与结果!$J$15:$J$18,F113)+IF(T113&gt;0,方案参数!$BY$5,0)-配置与结果!$B$30)</f>
        <v>1</v>
      </c>
      <c r="AQ113" s="7">
        <f t="shared" si="105"/>
        <v>0</v>
      </c>
      <c r="AR113" s="7">
        <f t="shared" si="106"/>
        <v>0</v>
      </c>
      <c r="AS113" s="7">
        <f t="shared" si="107"/>
        <v>0</v>
      </c>
      <c r="AT113" s="7">
        <f>IF(U113&gt;0,ROUNDDOWN(AL113*方案参数!$AF$5,0)*(1-AJ113)+ROUNDDOWN(AM113*方案参数!$AF$5,0)*AJ113,0)</f>
        <v>664478</v>
      </c>
      <c r="AU113" s="7">
        <f t="shared" si="108"/>
        <v>2325673</v>
      </c>
      <c r="AV113" s="1">
        <f t="shared" si="109"/>
        <v>2</v>
      </c>
      <c r="AW113" s="1">
        <f t="shared" si="156"/>
        <v>10</v>
      </c>
      <c r="AX113" s="1">
        <f t="shared" si="110"/>
        <v>2</v>
      </c>
      <c r="AY113" s="1">
        <f>MIN(20,MAX(0,O113+0+1-0))</f>
        <v>9</v>
      </c>
      <c r="AZ113" s="1">
        <f t="shared" si="111"/>
        <v>5</v>
      </c>
      <c r="BA113" s="1">
        <f t="shared" si="147"/>
        <v>5</v>
      </c>
      <c r="BB113" s="1">
        <f t="shared" si="155"/>
        <v>20</v>
      </c>
      <c r="BC113" s="1">
        <f t="shared" si="153"/>
        <v>3</v>
      </c>
      <c r="BD113" s="1">
        <f t="shared" si="134"/>
        <v>0</v>
      </c>
      <c r="BE113" s="1">
        <f>MAX(0,U113-IF(AF113&gt;0,1,0))+0</f>
        <v>0</v>
      </c>
      <c r="BF113" s="1">
        <f t="shared" si="157"/>
        <v>4</v>
      </c>
      <c r="BG113" s="1">
        <f t="shared" si="144"/>
        <v>1</v>
      </c>
      <c r="BH113" s="1">
        <f t="shared" si="128"/>
        <v>1</v>
      </c>
      <c r="BI113" s="1">
        <f t="shared" si="145"/>
        <v>1</v>
      </c>
      <c r="BJ113" s="1">
        <f t="shared" si="148"/>
        <v>1</v>
      </c>
      <c r="BK113" s="1">
        <f t="shared" si="149"/>
        <v>1</v>
      </c>
      <c r="BL113" s="1">
        <f t="shared" si="154"/>
        <v>1</v>
      </c>
      <c r="BM113" s="1">
        <f t="shared" si="152"/>
        <v>1</v>
      </c>
      <c r="BN113" s="1">
        <f t="shared" si="129"/>
        <v>1</v>
      </c>
      <c r="BO113" s="1">
        <f t="shared" si="130"/>
        <v>1</v>
      </c>
    </row>
    <row r="114" spans="1:67" ht="30.95" customHeight="1">
      <c r="A114" s="1">
        <f>3</f>
        <v>3</v>
      </c>
      <c r="B114" s="1">
        <f>固定流程!A6</f>
        <v>1</v>
      </c>
      <c r="C114" s="1">
        <f>6</f>
        <v>6</v>
      </c>
      <c r="D114" s="1">
        <f>1</f>
        <v>1</v>
      </c>
      <c r="E114" s="1">
        <f>固定流程!C6</f>
        <v>1</v>
      </c>
      <c r="F114" s="1">
        <f>固定流程!G6</f>
        <v>3</v>
      </c>
      <c r="G114" s="1" t="str">
        <f>固定流程!H6</f>
        <v>RHI_ULT</v>
      </c>
      <c r="H114" s="1">
        <f>固定流程!F6</f>
        <v>1</v>
      </c>
      <c r="I114" s="1">
        <f>INDEX(配置与结果!$B$15:$B$18,F114)</f>
        <v>2597</v>
      </c>
      <c r="J114" s="1">
        <f>INDEX(配置与结果!$D$15:$D$18,F114)</f>
        <v>0.255</v>
      </c>
      <c r="K114" s="1">
        <f>INDEX(配置与结果!$E$15:$E$18,F114)</f>
        <v>1.55</v>
      </c>
      <c r="L114" s="1">
        <f>0</f>
        <v>0</v>
      </c>
      <c r="M114" s="1">
        <f>0</f>
        <v>0</v>
      </c>
      <c r="N114" s="1">
        <f>0</f>
        <v>0</v>
      </c>
      <c r="O114" s="1">
        <f>0</f>
        <v>0</v>
      </c>
      <c r="P114" s="1">
        <f>MIN(方案参数!$AI$6,0+方案参数!$AJ$6+0)</f>
        <v>1</v>
      </c>
      <c r="Q114" s="1">
        <f>0</f>
        <v>0</v>
      </c>
      <c r="R114" s="1">
        <f>0</f>
        <v>0</v>
      </c>
      <c r="S114" s="1">
        <f>0</f>
        <v>0</v>
      </c>
      <c r="T114" s="1">
        <f>0+0</f>
        <v>0</v>
      </c>
      <c r="U114" s="1">
        <f>0</f>
        <v>0</v>
      </c>
      <c r="V114" s="1">
        <f>0</f>
        <v>0</v>
      </c>
      <c r="W114" s="1">
        <f>0</f>
        <v>0</v>
      </c>
      <c r="X114" s="1">
        <f>0</f>
        <v>0</v>
      </c>
      <c r="Y114" s="1">
        <f>0</f>
        <v>0</v>
      </c>
      <c r="Z114" s="1">
        <f>0</f>
        <v>0</v>
      </c>
      <c r="AA114" s="1">
        <f>MAX(0,0)</f>
        <v>0</v>
      </c>
      <c r="AB114" s="1">
        <f>0</f>
        <v>0</v>
      </c>
      <c r="AC114" s="1">
        <f>MAX(0,0)</f>
        <v>0</v>
      </c>
      <c r="AD114" s="1">
        <f>ROUNDDOWN(I114*(1+IF(F114=3,0.05+方案参数!$Y$6+AA114*0.12,IF(F114=4,方案参数!$BZ$6*方案参数!$AS$6,0)))+IF(AND(X114=1,F114&lt;&gt;3),方案参数!$CC$6,0)+AC114*方案参数!$CB$6,0)</f>
        <v>2986</v>
      </c>
      <c r="AE114" s="1">
        <f>IF(OR(F114=1,F114=4),配置与结果!$B$24,配置与结果!$B$25)*MAX(0,1-INDEX(配置与结果!$I$15:$I$18,F114))</f>
        <v>1000</v>
      </c>
      <c r="AF114" s="1">
        <f>0</f>
        <v>0</v>
      </c>
      <c r="AG114" s="1">
        <f>MAX(配置与结果!$B$32,1+INDEX(配置与结果!$F$15:$F$18,F114)+0+Q114*方案参数!$W$6+Y114*(方案参数!$AN$6+MIN(方案参数!$AO$6,P114*0.03))+AB114*方案参数!$BZ$6*0.025-配置与结果!$B$28)</f>
        <v>0.6349999999999999</v>
      </c>
      <c r="AH114" s="1">
        <f>MAX(0,1+INDEX(配置与结果!$G$15:$G$18,F114)+W114*方案参数!$AG$6)</f>
        <v>1</v>
      </c>
      <c r="AI114" s="1">
        <f>IF(OR(INDEX(配置与结果!$K$15:$K$18,F114)=1,G114="RHI_BERRY"),1+配置与结果!$B$33+P114*方案参数!$AH$6,1)</f>
        <v>1</v>
      </c>
      <c r="AJ114" s="1">
        <f>MIN(1,MAX(0,J114+方案参数!$AB$6-配置与结果!$B$27))</f>
        <v>0.55499999999999994</v>
      </c>
      <c r="AK114" s="1">
        <f>MAX(1,K114+IF(F114=2,0.15+方案参数!$CH$6,0)+BN114*方案参数!$X$6+R114*方案参数!$AA$6+0-配置与结果!$B$26+Z114*(方案参数!$AP$6+MIN(方案参数!$AQ$6,P114*0.03)))</f>
        <v>1.1499999999999999</v>
      </c>
      <c r="AL114" s="7">
        <f>ROUNDDOWN(MAX(AD114*配置与结果!$B$31,AD114-AE114)*AF114*AG114*AH114*AI114,0)</f>
        <v>0</v>
      </c>
      <c r="AM114" s="7">
        <f>ROUNDDOWN(MAX(AD114*配置与结果!$B$31,AD114-AE114)*AF114*AG114*AH114*AI114*AK114,0)</f>
        <v>0</v>
      </c>
      <c r="AN114" s="7">
        <f t="shared" si="104"/>
        <v>0</v>
      </c>
      <c r="AO114" s="7">
        <f>0</f>
        <v>0</v>
      </c>
      <c r="AP114" s="7">
        <f>MAX(0,1+INDEX(配置与结果!$J$15:$J$18,F114)+IF(T114&gt;0,方案参数!$BY$6,0)-配置与结果!$B$30)</f>
        <v>1</v>
      </c>
      <c r="AQ114" s="7">
        <f t="shared" si="105"/>
        <v>0</v>
      </c>
      <c r="AR114" s="7">
        <f t="shared" si="106"/>
        <v>0</v>
      </c>
      <c r="AS114" s="7">
        <f t="shared" si="107"/>
        <v>0</v>
      </c>
      <c r="AT114" s="7">
        <f>0</f>
        <v>0</v>
      </c>
      <c r="AU114" s="7">
        <f t="shared" si="108"/>
        <v>0</v>
      </c>
      <c r="AV114" s="1">
        <f t="shared" si="109"/>
        <v>0</v>
      </c>
      <c r="AW114" s="1">
        <f t="shared" si="156"/>
        <v>0</v>
      </c>
      <c r="AX114" s="1">
        <f t="shared" si="110"/>
        <v>0</v>
      </c>
      <c r="AY114" s="1">
        <f>MIN(20,MAX(0,O114+0+0-0))</f>
        <v>0</v>
      </c>
      <c r="AZ114" s="1">
        <f t="shared" si="111"/>
        <v>1</v>
      </c>
      <c r="BA114" s="1">
        <f>MIN(6,Q114+1)</f>
        <v>1</v>
      </c>
      <c r="BB114" s="1">
        <f>MIN(30,R114+5)</f>
        <v>5</v>
      </c>
      <c r="BC114" s="1">
        <f t="shared" si="153"/>
        <v>0</v>
      </c>
      <c r="BD114" s="1">
        <f t="shared" si="134"/>
        <v>0</v>
      </c>
      <c r="BE114" s="1">
        <f>0</f>
        <v>0</v>
      </c>
      <c r="BF114" s="1">
        <f t="shared" si="157"/>
        <v>0</v>
      </c>
      <c r="BG114" s="1">
        <f t="shared" si="144"/>
        <v>0</v>
      </c>
      <c r="BH114" s="1">
        <f>MAX(X114,1)</f>
        <v>1</v>
      </c>
      <c r="BI114" s="1">
        <f t="shared" si="145"/>
        <v>0</v>
      </c>
      <c r="BJ114" s="1">
        <f t="shared" si="148"/>
        <v>0</v>
      </c>
      <c r="BK114" s="1">
        <f t="shared" si="149"/>
        <v>0</v>
      </c>
      <c r="BL114" s="1">
        <f t="shared" si="154"/>
        <v>0</v>
      </c>
      <c r="BM114" s="1">
        <f t="shared" si="152"/>
        <v>0</v>
      </c>
      <c r="BN114" s="1">
        <f>0</f>
        <v>0</v>
      </c>
      <c r="BO114" s="1">
        <f>MAX(BN114,1)</f>
        <v>1</v>
      </c>
    </row>
    <row r="115" spans="1:67" ht="30.95" customHeight="1">
      <c r="A115" s="1">
        <f>3</f>
        <v>3</v>
      </c>
      <c r="B115" s="1">
        <f>固定流程!A7</f>
        <v>2</v>
      </c>
      <c r="C115" s="1">
        <f>6</f>
        <v>6</v>
      </c>
      <c r="D115" s="1">
        <f>1</f>
        <v>1</v>
      </c>
      <c r="E115" s="1">
        <f>固定流程!C7</f>
        <v>1</v>
      </c>
      <c r="F115" s="1">
        <f>固定流程!G7</f>
        <v>3</v>
      </c>
      <c r="G115" s="1" t="str">
        <f>固定流程!H7</f>
        <v>RHI_BUFF</v>
      </c>
      <c r="H115" s="1">
        <f>固定流程!F7</f>
        <v>1</v>
      </c>
      <c r="I115" s="1">
        <f>INDEX(配置与结果!$B$15:$B$18,F115)</f>
        <v>2597</v>
      </c>
      <c r="J115" s="1">
        <f>INDEX(配置与结果!$D$15:$D$18,F115)</f>
        <v>0.255</v>
      </c>
      <c r="K115" s="1">
        <f>INDEX(配置与结果!$E$15:$E$18,F115)</f>
        <v>1.55</v>
      </c>
      <c r="L115" s="1">
        <f t="shared" ref="L115:O120" si="158">AV114</f>
        <v>0</v>
      </c>
      <c r="M115" s="1">
        <f t="shared" si="158"/>
        <v>0</v>
      </c>
      <c r="N115" s="1">
        <f t="shared" si="158"/>
        <v>0</v>
      </c>
      <c r="O115" s="1">
        <f t="shared" si="158"/>
        <v>0</v>
      </c>
      <c r="P115" s="1">
        <f>MIN(方案参数!$AI$6,AZ114+0+方案参数!$AK$6)</f>
        <v>3</v>
      </c>
      <c r="Q115" s="1">
        <f t="shared" ref="Q115:Q149" si="159">BA114</f>
        <v>1</v>
      </c>
      <c r="R115" s="1">
        <f t="shared" ref="R115:R149" si="160">BB114</f>
        <v>5</v>
      </c>
      <c r="S115" s="1">
        <f t="shared" ref="S115:S149" si="161">BC114</f>
        <v>0</v>
      </c>
      <c r="T115" s="1">
        <f t="shared" ref="T115:T128" si="162">BD114+0</f>
        <v>0</v>
      </c>
      <c r="U115" s="1">
        <f t="shared" ref="U115:U149" si="163">BE114</f>
        <v>0</v>
      </c>
      <c r="V115" s="1">
        <f t="shared" ref="V115:V149" si="164">BF114</f>
        <v>0</v>
      </c>
      <c r="W115" s="1">
        <f t="shared" ref="W115:W149" si="165">BG114</f>
        <v>0</v>
      </c>
      <c r="X115" s="1">
        <f t="shared" ref="X115:X149" si="166">BH114</f>
        <v>1</v>
      </c>
      <c r="Y115" s="1">
        <f t="shared" ref="Y115:Y149" si="167">BI114</f>
        <v>0</v>
      </c>
      <c r="Z115" s="1">
        <f t="shared" ref="Z115:Z149" si="168">BJ114</f>
        <v>0</v>
      </c>
      <c r="AA115" s="1">
        <f t="shared" ref="AA115:AA120" si="169">MAX(BK114,0)</f>
        <v>0</v>
      </c>
      <c r="AB115" s="1">
        <f t="shared" ref="AB115:AB149" si="170">BL114</f>
        <v>0</v>
      </c>
      <c r="AC115" s="1">
        <f t="shared" ref="AC115:AC128" si="171">MAX(BM114,0)</f>
        <v>0</v>
      </c>
      <c r="AD115" s="1">
        <f>ROUNDDOWN(I115*(1+IF(F115=3,0.05+方案参数!$Y$6+AA115*0.12,IF(F115=4,方案参数!$BZ$6*方案参数!$AS$6,0)))+IF(AND(X115=1,F115&lt;&gt;3),方案参数!$CC$6,0)+AC115*方案参数!$CB$6,0)</f>
        <v>2986</v>
      </c>
      <c r="AE115" s="1">
        <f>IF(OR(F115=1,F115=4),配置与结果!$B$24,配置与结果!$B$25)*MAX(0,1-INDEX(配置与结果!$I$15:$I$18,F115))</f>
        <v>1000</v>
      </c>
      <c r="AF115" s="1">
        <f>0</f>
        <v>0</v>
      </c>
      <c r="AG115" s="1">
        <f>MAX(配置与结果!$B$32,1+INDEX(配置与结果!$F$15:$F$18,F115)+0+Q115*方案参数!$W$6+Y115*(方案参数!$AN$6+MIN(方案参数!$AO$6,P115*0.03))+AB115*方案参数!$BZ$6*0.025-配置与结果!$B$28)</f>
        <v>0.65499999999999992</v>
      </c>
      <c r="AH115" s="1">
        <f>MAX(0,1+INDEX(配置与结果!$G$15:$G$18,F115)+W115*方案参数!$AG$6)</f>
        <v>1</v>
      </c>
      <c r="AI115" s="1">
        <f>IF(OR(INDEX(配置与结果!$K$15:$K$18,F115)=1,G115="RHI_BERRY"),1+配置与结果!$B$33+P115*方案参数!$AH$6,1)</f>
        <v>1</v>
      </c>
      <c r="AJ115" s="1">
        <f>MIN(1,MAX(0,J115+方案参数!$AB$6-配置与结果!$B$27))</f>
        <v>0.55499999999999994</v>
      </c>
      <c r="AK115" s="1">
        <f>MAX(1,K115+IF(F115=2,0.15+方案参数!$CH$6,0)+BN115*方案参数!$X$6+R115*方案参数!$AA$6+0-配置与结果!$B$26+Z115*(方案参数!$AP$6+MIN(方案参数!$AQ$6,P115*0.03)))</f>
        <v>1.33</v>
      </c>
      <c r="AL115" s="7">
        <f>ROUNDDOWN(MAX(AD115*配置与结果!$B$31,AD115-AE115)*AF115*AG115*AH115*AI115,0)</f>
        <v>0</v>
      </c>
      <c r="AM115" s="7">
        <f>ROUNDDOWN(MAX(AD115*配置与结果!$B$31,AD115-AE115)*AF115*AG115*AH115*AI115*AK115,0)</f>
        <v>0</v>
      </c>
      <c r="AN115" s="7">
        <f t="shared" si="104"/>
        <v>0</v>
      </c>
      <c r="AO115" s="7">
        <f>0</f>
        <v>0</v>
      </c>
      <c r="AP115" s="7">
        <f>MAX(0,1+INDEX(配置与结果!$J$15:$J$18,F115)+IF(T115&gt;0,方案参数!$BY$6,0)-配置与结果!$B$30)</f>
        <v>1</v>
      </c>
      <c r="AQ115" s="7">
        <f t="shared" si="105"/>
        <v>0</v>
      </c>
      <c r="AR115" s="7">
        <f t="shared" si="106"/>
        <v>0</v>
      </c>
      <c r="AS115" s="7">
        <f t="shared" si="107"/>
        <v>0</v>
      </c>
      <c r="AT115" s="7">
        <f>0</f>
        <v>0</v>
      </c>
      <c r="AU115" s="7">
        <f t="shared" si="108"/>
        <v>0</v>
      </c>
      <c r="AV115" s="1">
        <f t="shared" si="109"/>
        <v>0</v>
      </c>
      <c r="AW115" s="1">
        <f t="shared" si="156"/>
        <v>0</v>
      </c>
      <c r="AX115" s="1">
        <f t="shared" si="110"/>
        <v>0</v>
      </c>
      <c r="AY115" s="1">
        <f>MIN(20,MAX(0,O115+0+0-0))</f>
        <v>0</v>
      </c>
      <c r="AZ115" s="1">
        <f t="shared" si="111"/>
        <v>3</v>
      </c>
      <c r="BA115" s="1">
        <f>MIN(6,Q115+1)</f>
        <v>2</v>
      </c>
      <c r="BB115" s="1">
        <f t="shared" ref="BB115:BB128" si="172">MIN(30,R115+0)</f>
        <v>5</v>
      </c>
      <c r="BC115" s="1">
        <f t="shared" si="153"/>
        <v>0</v>
      </c>
      <c r="BD115" s="1">
        <f t="shared" si="134"/>
        <v>0</v>
      </c>
      <c r="BE115" s="1">
        <f t="shared" ref="BE115:BE136" si="173">BE114</f>
        <v>0</v>
      </c>
      <c r="BF115" s="1">
        <f t="shared" si="157"/>
        <v>0</v>
      </c>
      <c r="BG115" s="1">
        <f>MAX(W115,1)</f>
        <v>1</v>
      </c>
      <c r="BH115" s="1">
        <f t="shared" ref="BH115:BH149" si="174">MAX(X115,0)</f>
        <v>1</v>
      </c>
      <c r="BI115" s="1">
        <f>MAX(Y115,1)</f>
        <v>1</v>
      </c>
      <c r="BJ115" s="1">
        <f t="shared" si="148"/>
        <v>0</v>
      </c>
      <c r="BK115" s="1">
        <f t="shared" si="149"/>
        <v>0</v>
      </c>
      <c r="BL115" s="1">
        <f t="shared" si="154"/>
        <v>0</v>
      </c>
      <c r="BM115" s="1">
        <f t="shared" si="152"/>
        <v>0</v>
      </c>
      <c r="BN115" s="1">
        <f t="shared" ref="BN115:BN149" si="175">BO114</f>
        <v>1</v>
      </c>
      <c r="BO115" s="1">
        <f t="shared" ref="BO115:BO149" si="176">MAX(BN115,0)</f>
        <v>1</v>
      </c>
    </row>
    <row r="116" spans="1:67" ht="30.95" customHeight="1">
      <c r="A116" s="1">
        <f>3</f>
        <v>3</v>
      </c>
      <c r="B116" s="1">
        <f>固定流程!A8</f>
        <v>3</v>
      </c>
      <c r="C116" s="1">
        <f>6</f>
        <v>6</v>
      </c>
      <c r="D116" s="1">
        <f>1</f>
        <v>1</v>
      </c>
      <c r="E116" s="1">
        <f>固定流程!C8</f>
        <v>1</v>
      </c>
      <c r="F116" s="1">
        <f>固定流程!G8</f>
        <v>1</v>
      </c>
      <c r="G116" s="1" t="str">
        <f>固定流程!H8</f>
        <v>LILYA_COBRA</v>
      </c>
      <c r="H116" s="1">
        <f>固定流程!F8</f>
        <v>1</v>
      </c>
      <c r="I116" s="1">
        <f>INDEX(配置与结果!$B$15:$B$18,F116)</f>
        <v>2296</v>
      </c>
      <c r="J116" s="1">
        <f>INDEX(配置与结果!$D$15:$D$18,F116)</f>
        <v>0.7</v>
      </c>
      <c r="K116" s="1">
        <f>INDEX(配置与结果!$E$15:$E$18,F116)</f>
        <v>2.0249999999999999</v>
      </c>
      <c r="L116" s="1">
        <f t="shared" si="158"/>
        <v>0</v>
      </c>
      <c r="M116" s="1">
        <f t="shared" si="158"/>
        <v>0</v>
      </c>
      <c r="N116" s="1">
        <f t="shared" si="158"/>
        <v>0</v>
      </c>
      <c r="O116" s="1">
        <f t="shared" si="158"/>
        <v>0</v>
      </c>
      <c r="P116" s="1">
        <f>MIN(方案参数!$AI$6,AZ115+0+0)</f>
        <v>3</v>
      </c>
      <c r="Q116" s="1">
        <f t="shared" si="159"/>
        <v>2</v>
      </c>
      <c r="R116" s="1">
        <f t="shared" si="160"/>
        <v>5</v>
      </c>
      <c r="S116" s="1">
        <f t="shared" si="161"/>
        <v>0</v>
      </c>
      <c r="T116" s="1">
        <f t="shared" si="162"/>
        <v>0</v>
      </c>
      <c r="U116" s="1">
        <f t="shared" si="163"/>
        <v>0</v>
      </c>
      <c r="V116" s="1">
        <f t="shared" si="164"/>
        <v>0</v>
      </c>
      <c r="W116" s="1">
        <f t="shared" si="165"/>
        <v>1</v>
      </c>
      <c r="X116" s="1">
        <f t="shared" si="166"/>
        <v>1</v>
      </c>
      <c r="Y116" s="1">
        <f t="shared" si="167"/>
        <v>1</v>
      </c>
      <c r="Z116" s="1">
        <f t="shared" si="168"/>
        <v>0</v>
      </c>
      <c r="AA116" s="1">
        <f t="shared" si="169"/>
        <v>0</v>
      </c>
      <c r="AB116" s="1">
        <f t="shared" si="170"/>
        <v>0</v>
      </c>
      <c r="AC116" s="1">
        <f t="shared" si="171"/>
        <v>0</v>
      </c>
      <c r="AD116" s="1">
        <f>ROUNDDOWN(I116*(1+IF(F116=3,0.05+方案参数!$Y$6+AA116*0.12,IF(F116=4,方案参数!$BZ$6*方案参数!$AS$6,0)))+IF(AND(X116=1,F116&lt;&gt;3),方案参数!$CC$6,0)+AC116*方案参数!$CB$6,0)</f>
        <v>2534</v>
      </c>
      <c r="AE116" s="1">
        <f>IF(OR(F116=1,F116=4),配置与结果!$B$24,配置与结果!$B$25)*MAX(0,1-INDEX(配置与结果!$I$15:$I$18,F116))</f>
        <v>1200</v>
      </c>
      <c r="AF116" s="1">
        <f>0</f>
        <v>0</v>
      </c>
      <c r="AG116" s="1">
        <f>MAX(配置与结果!$B$32,1+INDEX(配置与结果!$F$15:$F$18,F116)+0.08+方案参数!$CD$6+Q116*方案参数!$W$6+Y116*(方案参数!$AN$6+MIN(方案参数!$AO$6,P116*0.03))+AB116*方案参数!$BZ$6*0.025-配置与结果!$B$28)</f>
        <v>1.2200000000000002</v>
      </c>
      <c r="AH116" s="1">
        <f>MAX(0,1+INDEX(配置与结果!$G$15:$G$18,F116)+W116*方案参数!$AG$6)</f>
        <v>1.3</v>
      </c>
      <c r="AI116" s="1">
        <f>IF(OR(INDEX(配置与结果!$K$15:$K$18,F116)=1,G116="RHI_BERRY"),1+配置与结果!$B$33+P116*方案参数!$AH$6,1)</f>
        <v>1</v>
      </c>
      <c r="AJ116" s="1">
        <f>MIN(1,MAX(0,J116+方案参数!$AB$6-配置与结果!$B$27))</f>
        <v>1</v>
      </c>
      <c r="AK116" s="1">
        <f>MAX(1,K116+IF(F116=2,0.15+方案参数!$CH$6,0)+BN116*方案参数!$X$6+R116*方案参数!$AA$6+0-配置与结果!$B$26+Z116*(方案参数!$AP$6+MIN(方案参数!$AQ$6,P116*0.03)))</f>
        <v>1.8050000000000002</v>
      </c>
      <c r="AL116" s="7">
        <f>ROUNDDOWN(MAX(AD116*配置与结果!$B$31,AD116-AE116)*AF116*AG116*AH116*AI116,0)</f>
        <v>0</v>
      </c>
      <c r="AM116" s="7">
        <f>ROUNDDOWN(MAX(AD116*配置与结果!$B$31,AD116-AE116)*AF116*AG116*AH116*AI116*AK116,0)</f>
        <v>0</v>
      </c>
      <c r="AN116" s="7">
        <f t="shared" si="104"/>
        <v>0</v>
      </c>
      <c r="AO116" s="7">
        <f>0</f>
        <v>0</v>
      </c>
      <c r="AP116" s="7">
        <f>MAX(0,1+INDEX(配置与结果!$J$15:$J$18,F116)+IF(T116&gt;0,方案参数!$BY$6,0)-配置与结果!$B$30)</f>
        <v>1</v>
      </c>
      <c r="AQ116" s="7">
        <f t="shared" si="105"/>
        <v>0</v>
      </c>
      <c r="AR116" s="7">
        <f t="shared" si="106"/>
        <v>0</v>
      </c>
      <c r="AS116" s="7">
        <f t="shared" si="107"/>
        <v>0</v>
      </c>
      <c r="AT116" s="7">
        <f>0</f>
        <v>0</v>
      </c>
      <c r="AU116" s="7">
        <f t="shared" si="108"/>
        <v>0</v>
      </c>
      <c r="AV116" s="1">
        <f t="shared" si="109"/>
        <v>1</v>
      </c>
      <c r="AW116" s="1">
        <f>MIN(10,M116+方案参数!$BD$6+0)</f>
        <v>3</v>
      </c>
      <c r="AX116" s="1">
        <f t="shared" si="110"/>
        <v>0</v>
      </c>
      <c r="AY116" s="1">
        <f>MIN(20,MAX(0,O116+6+0-0))</f>
        <v>6</v>
      </c>
      <c r="AZ116" s="1">
        <f t="shared" si="111"/>
        <v>3</v>
      </c>
      <c r="BA116" s="1">
        <f>MIN(6,Q116+0)</f>
        <v>2</v>
      </c>
      <c r="BB116" s="1">
        <f t="shared" si="172"/>
        <v>5</v>
      </c>
      <c r="BC116" s="1">
        <f t="shared" si="153"/>
        <v>0</v>
      </c>
      <c r="BD116" s="1">
        <f t="shared" si="134"/>
        <v>0</v>
      </c>
      <c r="BE116" s="1">
        <f t="shared" si="173"/>
        <v>0</v>
      </c>
      <c r="BF116" s="1">
        <f t="shared" si="157"/>
        <v>0</v>
      </c>
      <c r="BG116" s="1">
        <f t="shared" ref="BG116:BG126" si="177">MAX(W116,0)</f>
        <v>1</v>
      </c>
      <c r="BH116" s="1">
        <f t="shared" si="174"/>
        <v>1</v>
      </c>
      <c r="BI116" s="1">
        <f t="shared" ref="BI116:BI126" si="178">MAX(Y116,0)</f>
        <v>1</v>
      </c>
      <c r="BJ116" s="1">
        <f t="shared" si="148"/>
        <v>0</v>
      </c>
      <c r="BK116" s="1">
        <f t="shared" si="149"/>
        <v>0</v>
      </c>
      <c r="BL116" s="1">
        <f t="shared" si="154"/>
        <v>0</v>
      </c>
      <c r="BM116" s="1">
        <f t="shared" si="152"/>
        <v>0</v>
      </c>
      <c r="BN116" s="1">
        <f t="shared" si="175"/>
        <v>1</v>
      </c>
      <c r="BO116" s="1">
        <f t="shared" si="176"/>
        <v>1</v>
      </c>
    </row>
    <row r="117" spans="1:67" ht="30.95" customHeight="1">
      <c r="A117" s="1">
        <f>3</f>
        <v>3</v>
      </c>
      <c r="B117" s="1">
        <f>固定流程!A9</f>
        <v>4</v>
      </c>
      <c r="C117" s="1">
        <f>6</f>
        <v>6</v>
      </c>
      <c r="D117" s="1">
        <f>1</f>
        <v>1</v>
      </c>
      <c r="E117" s="1">
        <f>固定流程!C9</f>
        <v>1</v>
      </c>
      <c r="F117" s="1">
        <f>固定流程!G9</f>
        <v>1</v>
      </c>
      <c r="G117" s="1" t="str">
        <f>固定流程!H9</f>
        <v>LILYA_DIVE</v>
      </c>
      <c r="H117" s="1">
        <f>固定流程!F9</f>
        <v>1</v>
      </c>
      <c r="I117" s="1">
        <f>INDEX(配置与结果!$B$15:$B$18,F117)</f>
        <v>2296</v>
      </c>
      <c r="J117" s="1">
        <f>INDEX(配置与结果!$D$15:$D$18,F117)</f>
        <v>0.7</v>
      </c>
      <c r="K117" s="1">
        <f>INDEX(配置与结果!$E$15:$E$18,F117)</f>
        <v>2.0249999999999999</v>
      </c>
      <c r="L117" s="1">
        <f t="shared" si="158"/>
        <v>1</v>
      </c>
      <c r="M117" s="1">
        <f t="shared" si="158"/>
        <v>3</v>
      </c>
      <c r="N117" s="1">
        <f t="shared" si="158"/>
        <v>0</v>
      </c>
      <c r="O117" s="1">
        <f t="shared" si="158"/>
        <v>6</v>
      </c>
      <c r="P117" s="1">
        <f>MIN(方案参数!$AI$6,AZ116+0+0)</f>
        <v>3</v>
      </c>
      <c r="Q117" s="1">
        <f t="shared" si="159"/>
        <v>2</v>
      </c>
      <c r="R117" s="1">
        <f t="shared" si="160"/>
        <v>5</v>
      </c>
      <c r="S117" s="1">
        <f t="shared" si="161"/>
        <v>0</v>
      </c>
      <c r="T117" s="1">
        <f t="shared" si="162"/>
        <v>0</v>
      </c>
      <c r="U117" s="1">
        <f t="shared" si="163"/>
        <v>0</v>
      </c>
      <c r="V117" s="1">
        <f t="shared" si="164"/>
        <v>0</v>
      </c>
      <c r="W117" s="1">
        <f t="shared" si="165"/>
        <v>1</v>
      </c>
      <c r="X117" s="1">
        <f t="shared" si="166"/>
        <v>1</v>
      </c>
      <c r="Y117" s="1">
        <f t="shared" si="167"/>
        <v>1</v>
      </c>
      <c r="Z117" s="1">
        <f t="shared" si="168"/>
        <v>0</v>
      </c>
      <c r="AA117" s="1">
        <f t="shared" si="169"/>
        <v>0</v>
      </c>
      <c r="AB117" s="1">
        <f t="shared" si="170"/>
        <v>0</v>
      </c>
      <c r="AC117" s="1">
        <f t="shared" si="171"/>
        <v>0</v>
      </c>
      <c r="AD117" s="1">
        <f>ROUNDDOWN(I117*(1+IF(F117=3,0.05+方案参数!$Y$6+AA117*0.12,IF(F117=4,方案参数!$BZ$6*方案参数!$AS$6,0)))+IF(AND(X117=1,F117&lt;&gt;3),方案参数!$CC$6,0)+AC117*方案参数!$CB$6,0)</f>
        <v>2534</v>
      </c>
      <c r="AE117" s="1">
        <f>IF(OR(F117=1,F117=4),配置与结果!$B$24,配置与结果!$B$25)*MAX(0,1-INDEX(配置与结果!$I$15:$I$18,F117))</f>
        <v>1200</v>
      </c>
      <c r="AF117" s="1">
        <f>(IF(L117=1,方案参数!$AW$6,IF(L117=2,方案参数!$AX$6,0))+方案参数!$AV$6)*H117</f>
        <v>6</v>
      </c>
      <c r="AG117" s="1">
        <f>MAX(配置与结果!$B$32,1+INDEX(配置与结果!$F$15:$F$18,F117)+0.08+方案参数!$CD$6+Q117*方案参数!$W$6+Y117*(方案参数!$AN$6+MIN(方案参数!$AO$6,P117*0.03))+AB117*方案参数!$BZ$6*0.025+IF(L117=1,方案参数!$AY$6+(H117-1)*0.1,IF(L117=2,方案参数!$AZ$6+(H117-1)*0.2,0))-配置与结果!$B$28)</f>
        <v>1.3200000000000003</v>
      </c>
      <c r="AH117" s="1">
        <f>MAX(0,1+INDEX(配置与结果!$G$15:$G$18,F117)+W117*方案参数!$AG$6+IF(L117=1,方案参数!$BA$6,IF(L117=2,方案参数!$BB$6,0))+M117*方案参数!$BC$6)</f>
        <v>2.08</v>
      </c>
      <c r="AI117" s="1">
        <f>IF(OR(INDEX(配置与结果!$K$15:$K$18,F117)=1,G117="RHI_BERRY"),1+配置与结果!$B$33+P117*方案参数!$AH$6,1)</f>
        <v>1</v>
      </c>
      <c r="AJ117" s="1">
        <f>MIN(1,MAX(0,J117+方案参数!$AB$6-配置与结果!$B$27))</f>
        <v>1</v>
      </c>
      <c r="AK117" s="1">
        <f>MAX(1,K117+IF(F117=2,0.15+方案参数!$CH$6,0)+BN117*方案参数!$X$6+R117*方案参数!$AA$6+0-配置与结果!$B$26+Z117*(方案参数!$AP$6+MIN(方案参数!$AQ$6,P117*0.03)))</f>
        <v>1.8050000000000002</v>
      </c>
      <c r="AL117" s="7">
        <f>ROUNDDOWN(MAX(AD117*配置与结果!$B$31,AD117-AE117)*AF117*AG117*AH117*AI117,0)</f>
        <v>21975</v>
      </c>
      <c r="AM117" s="7">
        <f>ROUNDDOWN(MAX(AD117*配置与结果!$B$31,AD117-AE117)*AF117*AG117*AH117*AI117*AK117,0)</f>
        <v>39666</v>
      </c>
      <c r="AN117" s="7">
        <f t="shared" si="104"/>
        <v>39666</v>
      </c>
      <c r="AO117" s="7">
        <f>0</f>
        <v>0</v>
      </c>
      <c r="AP117" s="7">
        <f>MAX(0,1+INDEX(配置与结果!$J$15:$J$18,F117)+IF(T117&gt;0,方案参数!$BY$6,0)-配置与结果!$B$30)</f>
        <v>1</v>
      </c>
      <c r="AQ117" s="7">
        <f t="shared" si="105"/>
        <v>0</v>
      </c>
      <c r="AR117" s="7">
        <f t="shared" si="106"/>
        <v>0</v>
      </c>
      <c r="AS117" s="7">
        <f t="shared" si="107"/>
        <v>0</v>
      </c>
      <c r="AT117" s="7">
        <f>0</f>
        <v>0</v>
      </c>
      <c r="AU117" s="7">
        <f t="shared" si="108"/>
        <v>39666</v>
      </c>
      <c r="AV117" s="1">
        <f t="shared" si="109"/>
        <v>1</v>
      </c>
      <c r="AW117" s="1">
        <f>MIN(10,M117+0+IF(L117=1,方案参数!$BE$6,0))</f>
        <v>4</v>
      </c>
      <c r="AX117" s="1">
        <f t="shared" si="110"/>
        <v>0</v>
      </c>
      <c r="AY117" s="1">
        <f t="shared" ref="AY117:AY132" si="179">MIN(20,MAX(0,O117+0+0-0))</f>
        <v>6</v>
      </c>
      <c r="AZ117" s="1">
        <f t="shared" si="111"/>
        <v>3</v>
      </c>
      <c r="BA117" s="1">
        <f>MIN(6,Q117+0)</f>
        <v>2</v>
      </c>
      <c r="BB117" s="1">
        <f t="shared" si="172"/>
        <v>5</v>
      </c>
      <c r="BC117" s="1">
        <f t="shared" si="153"/>
        <v>0</v>
      </c>
      <c r="BD117" s="1">
        <f t="shared" si="134"/>
        <v>0</v>
      </c>
      <c r="BE117" s="1">
        <f t="shared" si="173"/>
        <v>0</v>
      </c>
      <c r="BF117" s="1">
        <f t="shared" si="157"/>
        <v>0</v>
      </c>
      <c r="BG117" s="1">
        <f t="shared" si="177"/>
        <v>1</v>
      </c>
      <c r="BH117" s="1">
        <f t="shared" si="174"/>
        <v>1</v>
      </c>
      <c r="BI117" s="1">
        <f t="shared" si="178"/>
        <v>1</v>
      </c>
      <c r="BJ117" s="1">
        <f t="shared" si="148"/>
        <v>0</v>
      </c>
      <c r="BK117" s="1">
        <f t="shared" si="149"/>
        <v>0</v>
      </c>
      <c r="BL117" s="1">
        <f t="shared" si="154"/>
        <v>0</v>
      </c>
      <c r="BM117" s="1">
        <f t="shared" si="152"/>
        <v>0</v>
      </c>
      <c r="BN117" s="1">
        <f t="shared" si="175"/>
        <v>1</v>
      </c>
      <c r="BO117" s="1">
        <f t="shared" si="176"/>
        <v>1</v>
      </c>
    </row>
    <row r="118" spans="1:67" ht="30.95" customHeight="1">
      <c r="A118" s="1">
        <f>3</f>
        <v>3</v>
      </c>
      <c r="B118" s="1">
        <f>固定流程!A10</f>
        <v>5</v>
      </c>
      <c r="C118" s="1">
        <f>6</f>
        <v>6</v>
      </c>
      <c r="D118" s="1">
        <f>1</f>
        <v>1</v>
      </c>
      <c r="E118" s="1">
        <f>固定流程!C10</f>
        <v>1</v>
      </c>
      <c r="F118" s="1">
        <f>固定流程!G10</f>
        <v>2</v>
      </c>
      <c r="G118" s="1" t="str">
        <f>固定流程!H10</f>
        <v>37_TRIANGLE</v>
      </c>
      <c r="H118" s="1">
        <f>固定流程!F10</f>
        <v>1</v>
      </c>
      <c r="I118" s="1">
        <f>INDEX(配置与结果!$B$15:$B$18,F118)</f>
        <v>2306</v>
      </c>
      <c r="J118" s="1">
        <f>INDEX(配置与结果!$D$15:$D$18,F118)</f>
        <v>0.46</v>
      </c>
      <c r="K118" s="1">
        <f>INDEX(配置与结果!$E$15:$E$18,F118)</f>
        <v>1.9279999999999999</v>
      </c>
      <c r="L118" s="1">
        <f t="shared" si="158"/>
        <v>1</v>
      </c>
      <c r="M118" s="1">
        <f t="shared" si="158"/>
        <v>4</v>
      </c>
      <c r="N118" s="1">
        <f t="shared" si="158"/>
        <v>0</v>
      </c>
      <c r="O118" s="1">
        <f t="shared" si="158"/>
        <v>6</v>
      </c>
      <c r="P118" s="1">
        <f>MIN(方案参数!$AI$6,AZ117+0+0)</f>
        <v>3</v>
      </c>
      <c r="Q118" s="1">
        <f t="shared" si="159"/>
        <v>2</v>
      </c>
      <c r="R118" s="1">
        <f t="shared" si="160"/>
        <v>5</v>
      </c>
      <c r="S118" s="1">
        <f t="shared" si="161"/>
        <v>0</v>
      </c>
      <c r="T118" s="1">
        <f t="shared" si="162"/>
        <v>0</v>
      </c>
      <c r="U118" s="1">
        <f t="shared" si="163"/>
        <v>0</v>
      </c>
      <c r="V118" s="1">
        <f t="shared" si="164"/>
        <v>0</v>
      </c>
      <c r="W118" s="1">
        <f t="shared" si="165"/>
        <v>1</v>
      </c>
      <c r="X118" s="1">
        <f t="shared" si="166"/>
        <v>1</v>
      </c>
      <c r="Y118" s="1">
        <f t="shared" si="167"/>
        <v>1</v>
      </c>
      <c r="Z118" s="1">
        <f t="shared" si="168"/>
        <v>0</v>
      </c>
      <c r="AA118" s="1">
        <f t="shared" si="169"/>
        <v>0</v>
      </c>
      <c r="AB118" s="1">
        <f t="shared" si="170"/>
        <v>0</v>
      </c>
      <c r="AC118" s="1">
        <f t="shared" si="171"/>
        <v>0</v>
      </c>
      <c r="AD118" s="1">
        <f>ROUNDDOWN(I118*(1+IF(F118=3,0.05+方案参数!$Y$6+AA118*0.12,IF(F118=4,方案参数!$BZ$6*方案参数!$AS$6,0)))+IF(AND(X118=1,F118&lt;&gt;3),方案参数!$CC$6,0)+AC118*方案参数!$CB$6,0)</f>
        <v>2544</v>
      </c>
      <c r="AE118" s="1">
        <f>IF(OR(F118=1,F118=4),配置与结果!$B$24,配置与结果!$B$25)*MAX(0,1-INDEX(配置与结果!$I$15:$I$18,F118))</f>
        <v>1000</v>
      </c>
      <c r="AF118" s="1">
        <f>方案参数!$BS$6*IF(H118=1,1,IF(H118=2,1.5,2.5))</f>
        <v>2.8</v>
      </c>
      <c r="AG118" s="1">
        <f>MAX(配置与结果!$B$32,1+INDEX(配置与结果!$F$15:$F$18,F118)+0+Q118*方案参数!$W$6+Y118*(方案参数!$AN$6+MIN(方案参数!$AO$6,P118*0.03))+AB118*方案参数!$BZ$6*0.025-配置与结果!$B$28)</f>
        <v>0.8849999999999999</v>
      </c>
      <c r="AH118" s="1">
        <f>MAX(0,1+INDEX(配置与结果!$G$15:$G$18,F118)+W118*方案参数!$AG$6)</f>
        <v>1.3</v>
      </c>
      <c r="AI118" s="1">
        <f>IF(OR(INDEX(配置与结果!$K$15:$K$18,F118)=1,G118="RHI_BERRY"),1+配置与结果!$B$33+P118*方案参数!$AH$6,1)</f>
        <v>1</v>
      </c>
      <c r="AJ118" s="1">
        <f>MIN(1,MAX(0,J118+方案参数!$AB$6-配置与结果!$B$27))</f>
        <v>0.76</v>
      </c>
      <c r="AK118" s="1">
        <f>MAX(1,K118+IF(F118=2,0.15+方案参数!$CH$6,0)+BN118*方案参数!$X$6+R118*方案参数!$AA$6+0-配置与结果!$B$26+Z118*(方案参数!$AP$6+MIN(方案参数!$AQ$6,P118*0.03)))</f>
        <v>1.9780000000000002</v>
      </c>
      <c r="AL118" s="7">
        <f>ROUNDDOWN(MAX(AD118*配置与结果!$B$31,AD118-AE118)*AF118*AG118*AH118*AI118,0)</f>
        <v>4973</v>
      </c>
      <c r="AM118" s="7">
        <f>ROUNDDOWN(MAX(AD118*配置与结果!$B$31,AD118-AE118)*AF118*AG118*AH118*AI118*AK118,0)</f>
        <v>9838</v>
      </c>
      <c r="AN118" s="7">
        <f t="shared" si="104"/>
        <v>8670.4</v>
      </c>
      <c r="AO118" s="7">
        <f>方案参数!$BU$6*IF(H118=1,1,IF(H118=2,1.5,2.5))</f>
        <v>0.8</v>
      </c>
      <c r="AP118" s="7">
        <f>MAX(0,1+INDEX(配置与结果!$J$15:$J$18,F118)+IF(T118&gt;0,方案参数!$BY$6,0)-配置与结果!$B$30)</f>
        <v>1</v>
      </c>
      <c r="AQ118" s="7">
        <f t="shared" si="105"/>
        <v>2035</v>
      </c>
      <c r="AR118" s="7">
        <f t="shared" si="106"/>
        <v>4025</v>
      </c>
      <c r="AS118" s="7">
        <f t="shared" si="107"/>
        <v>3547.4</v>
      </c>
      <c r="AT118" s="7">
        <f>0</f>
        <v>0</v>
      </c>
      <c r="AU118" s="7">
        <f t="shared" si="108"/>
        <v>12217.8</v>
      </c>
      <c r="AV118" s="1">
        <f t="shared" si="109"/>
        <v>1</v>
      </c>
      <c r="AW118" s="1">
        <f>MIN(10,M118+0+0)</f>
        <v>4</v>
      </c>
      <c r="AX118" s="1">
        <f t="shared" si="110"/>
        <v>0</v>
      </c>
      <c r="AY118" s="1">
        <f t="shared" si="179"/>
        <v>6</v>
      </c>
      <c r="AZ118" s="1">
        <f t="shared" si="111"/>
        <v>3</v>
      </c>
      <c r="BA118" s="1">
        <f>MIN(6,Q118+0)</f>
        <v>2</v>
      </c>
      <c r="BB118" s="1">
        <f t="shared" si="172"/>
        <v>5</v>
      </c>
      <c r="BC118" s="1">
        <f t="shared" si="153"/>
        <v>0</v>
      </c>
      <c r="BD118" s="1">
        <f>MAX(0,T118-IF(AO118&gt;0,1,0))+1</f>
        <v>1</v>
      </c>
      <c r="BE118" s="1">
        <f t="shared" si="173"/>
        <v>0</v>
      </c>
      <c r="BF118" s="1">
        <f t="shared" si="157"/>
        <v>0</v>
      </c>
      <c r="BG118" s="1">
        <f t="shared" si="177"/>
        <v>1</v>
      </c>
      <c r="BH118" s="1">
        <f t="shared" si="174"/>
        <v>1</v>
      </c>
      <c r="BI118" s="1">
        <f t="shared" si="178"/>
        <v>1</v>
      </c>
      <c r="BJ118" s="1">
        <f t="shared" si="148"/>
        <v>0</v>
      </c>
      <c r="BK118" s="1">
        <f t="shared" si="149"/>
        <v>0</v>
      </c>
      <c r="BL118" s="1">
        <f t="shared" si="154"/>
        <v>0</v>
      </c>
      <c r="BM118" s="1">
        <f t="shared" si="152"/>
        <v>0</v>
      </c>
      <c r="BN118" s="1">
        <f t="shared" si="175"/>
        <v>1</v>
      </c>
      <c r="BO118" s="1">
        <f t="shared" si="176"/>
        <v>1</v>
      </c>
    </row>
    <row r="119" spans="1:67" ht="30.95" customHeight="1">
      <c r="A119" s="1">
        <f>3</f>
        <v>3</v>
      </c>
      <c r="B119" s="1">
        <f>固定流程!A11</f>
        <v>6</v>
      </c>
      <c r="C119" s="1">
        <f>6</f>
        <v>6</v>
      </c>
      <c r="D119" s="1">
        <f>1</f>
        <v>1</v>
      </c>
      <c r="E119" s="1">
        <f>固定流程!C11</f>
        <v>1</v>
      </c>
      <c r="F119" s="1">
        <f>固定流程!G11</f>
        <v>2</v>
      </c>
      <c r="G119" s="1" t="str">
        <f>固定流程!H11</f>
        <v>37_FOLLOW</v>
      </c>
      <c r="H119" s="1">
        <f>固定流程!F11</f>
        <v>1</v>
      </c>
      <c r="I119" s="1">
        <f>INDEX(配置与结果!$B$15:$B$18,F119)</f>
        <v>2306</v>
      </c>
      <c r="J119" s="1">
        <f>INDEX(配置与结果!$D$15:$D$18,F119)</f>
        <v>0.46</v>
      </c>
      <c r="K119" s="1">
        <f>INDEX(配置与结果!$E$15:$E$18,F119)</f>
        <v>1.9279999999999999</v>
      </c>
      <c r="L119" s="1">
        <f t="shared" si="158"/>
        <v>1</v>
      </c>
      <c r="M119" s="1">
        <f t="shared" si="158"/>
        <v>4</v>
      </c>
      <c r="N119" s="1">
        <f t="shared" si="158"/>
        <v>0</v>
      </c>
      <c r="O119" s="1">
        <f t="shared" si="158"/>
        <v>6</v>
      </c>
      <c r="P119" s="1">
        <f>MIN(方案参数!$AI$6,AZ118+0+0)</f>
        <v>3</v>
      </c>
      <c r="Q119" s="1">
        <f t="shared" si="159"/>
        <v>2</v>
      </c>
      <c r="R119" s="1">
        <f t="shared" si="160"/>
        <v>5</v>
      </c>
      <c r="S119" s="1">
        <f t="shared" si="161"/>
        <v>0</v>
      </c>
      <c r="T119" s="1">
        <f t="shared" si="162"/>
        <v>1</v>
      </c>
      <c r="U119" s="1">
        <f t="shared" si="163"/>
        <v>0</v>
      </c>
      <c r="V119" s="1">
        <f t="shared" si="164"/>
        <v>0</v>
      </c>
      <c r="W119" s="1">
        <f t="shared" si="165"/>
        <v>1</v>
      </c>
      <c r="X119" s="1">
        <f t="shared" si="166"/>
        <v>1</v>
      </c>
      <c r="Y119" s="1">
        <f t="shared" si="167"/>
        <v>1</v>
      </c>
      <c r="Z119" s="1">
        <f t="shared" si="168"/>
        <v>0</v>
      </c>
      <c r="AA119" s="1">
        <f t="shared" si="169"/>
        <v>0</v>
      </c>
      <c r="AB119" s="1">
        <f t="shared" si="170"/>
        <v>0</v>
      </c>
      <c r="AC119" s="1">
        <f t="shared" si="171"/>
        <v>0</v>
      </c>
      <c r="AD119" s="1">
        <f>ROUNDDOWN(I119*(1+IF(F119=3,0.05+方案参数!$Y$6+AA119*0.12,IF(F119=4,方案参数!$BZ$6*方案参数!$AS$6,0)))+IF(AND(X119=1,F119&lt;&gt;3),方案参数!$CC$6,0)+AC119*方案参数!$CB$6,0)</f>
        <v>2544</v>
      </c>
      <c r="AE119" s="1">
        <f>IF(OR(F119=1,F119=4),配置与结果!$B$24,配置与结果!$B$25)*MAX(0,1-INDEX(配置与结果!$I$15:$I$18,F119))</f>
        <v>1000</v>
      </c>
      <c r="AF119" s="1">
        <f>方案参数!$BV$6</f>
        <v>3</v>
      </c>
      <c r="AG119" s="1">
        <f>MAX(配置与结果!$B$32,1+INDEX(配置与结果!$F$15:$F$18,F119)+0+Q119*方案参数!$W$6+Y119*(方案参数!$AN$6+MIN(方案参数!$AO$6,P119*0.03))+AB119*方案参数!$BZ$6*0.025-配置与结果!$B$28)</f>
        <v>0.8849999999999999</v>
      </c>
      <c r="AH119" s="1">
        <f>MAX(0,1+INDEX(配置与结果!$G$15:$G$18,F119)+W119*方案参数!$AG$6)</f>
        <v>1.3</v>
      </c>
      <c r="AI119" s="1">
        <f>IF(OR(INDEX(配置与结果!$K$15:$K$18,F119)=1,G119="RHI_BERRY"),1+配置与结果!$B$33+P119*方案参数!$AH$6,1)</f>
        <v>1</v>
      </c>
      <c r="AJ119" s="1">
        <f>MIN(1,MAX(0,J119+方案参数!$AB$6-配置与结果!$B$27))</f>
        <v>0.76</v>
      </c>
      <c r="AK119" s="1">
        <f>MAX(1,K119+IF(F119=2,0.15+方案参数!$CH$6,0)+BN119*方案参数!$X$6+R119*方案参数!$AA$6+0-配置与结果!$B$26+Z119*(方案参数!$AP$6+MIN(方案参数!$AQ$6,P119*0.03)))</f>
        <v>1.9780000000000002</v>
      </c>
      <c r="AL119" s="7">
        <f>ROUNDDOWN(MAX(AD119*配置与结果!$B$31,AD119-AE119)*AF119*AG119*AH119*AI119,0)</f>
        <v>5329</v>
      </c>
      <c r="AM119" s="7">
        <f>ROUNDDOWN(MAX(AD119*配置与结果!$B$31,AD119-AE119)*AF119*AG119*AH119*AI119*AK119,0)</f>
        <v>10540</v>
      </c>
      <c r="AN119" s="7">
        <f t="shared" si="104"/>
        <v>9289.36</v>
      </c>
      <c r="AO119" s="7">
        <f>方案参数!$BW$6</f>
        <v>1</v>
      </c>
      <c r="AP119" s="7">
        <f>MAX(0,1+INDEX(配置与结果!$J$15:$J$18,F119)+IF(T119&gt;0,方案参数!$BY$6,0)-配置与结果!$B$30)</f>
        <v>2</v>
      </c>
      <c r="AQ119" s="7">
        <f t="shared" si="105"/>
        <v>5088</v>
      </c>
      <c r="AR119" s="7">
        <f t="shared" si="106"/>
        <v>10064</v>
      </c>
      <c r="AS119" s="7">
        <f t="shared" si="107"/>
        <v>8869.76</v>
      </c>
      <c r="AT119" s="7">
        <f>0</f>
        <v>0</v>
      </c>
      <c r="AU119" s="7">
        <f t="shared" si="108"/>
        <v>18159.120000000003</v>
      </c>
      <c r="AV119" s="1">
        <f t="shared" si="109"/>
        <v>1</v>
      </c>
      <c r="AW119" s="1">
        <f>MIN(10,M119+0+0)</f>
        <v>4</v>
      </c>
      <c r="AX119" s="1">
        <f t="shared" si="110"/>
        <v>0</v>
      </c>
      <c r="AY119" s="1">
        <f t="shared" si="179"/>
        <v>6</v>
      </c>
      <c r="AZ119" s="1">
        <f t="shared" si="111"/>
        <v>3</v>
      </c>
      <c r="BA119" s="1">
        <f>MIN(6,Q119+0)</f>
        <v>2</v>
      </c>
      <c r="BB119" s="1">
        <f t="shared" si="172"/>
        <v>5</v>
      </c>
      <c r="BC119" s="1">
        <f t="shared" si="153"/>
        <v>0</v>
      </c>
      <c r="BD119" s="1">
        <f t="shared" ref="BD119:BD153" si="180">MAX(0,T119-IF(AO119&gt;0,1,0))+0</f>
        <v>0</v>
      </c>
      <c r="BE119" s="1">
        <f t="shared" si="173"/>
        <v>0</v>
      </c>
      <c r="BF119" s="1">
        <f>MIN(4,V119+1)</f>
        <v>1</v>
      </c>
      <c r="BG119" s="1">
        <f t="shared" si="177"/>
        <v>1</v>
      </c>
      <c r="BH119" s="1">
        <f t="shared" si="174"/>
        <v>1</v>
      </c>
      <c r="BI119" s="1">
        <f t="shared" si="178"/>
        <v>1</v>
      </c>
      <c r="BJ119" s="1">
        <f t="shared" si="148"/>
        <v>0</v>
      </c>
      <c r="BK119" s="1">
        <f t="shared" si="149"/>
        <v>0</v>
      </c>
      <c r="BL119" s="1">
        <f t="shared" si="154"/>
        <v>0</v>
      </c>
      <c r="BM119" s="1">
        <f t="shared" si="152"/>
        <v>0</v>
      </c>
      <c r="BN119" s="1">
        <f t="shared" si="175"/>
        <v>1</v>
      </c>
      <c r="BO119" s="1">
        <f t="shared" si="176"/>
        <v>1</v>
      </c>
    </row>
    <row r="120" spans="1:67" ht="30.95" customHeight="1">
      <c r="A120" s="1">
        <f>3</f>
        <v>3</v>
      </c>
      <c r="B120" s="1">
        <f>固定流程!A12</f>
        <v>7</v>
      </c>
      <c r="C120" s="1">
        <f>6</f>
        <v>6</v>
      </c>
      <c r="D120" s="1">
        <f>1</f>
        <v>1</v>
      </c>
      <c r="E120" s="1">
        <f>固定流程!C12</f>
        <v>1</v>
      </c>
      <c r="F120" s="1">
        <f>固定流程!G12</f>
        <v>4</v>
      </c>
      <c r="G120" s="1" t="str">
        <f>固定流程!H12</f>
        <v>J_HARD</v>
      </c>
      <c r="H120" s="1">
        <f>固定流程!F12</f>
        <v>1</v>
      </c>
      <c r="I120" s="1">
        <f>INDEX(配置与结果!$B$15:$B$18,F120)</f>
        <v>1906</v>
      </c>
      <c r="J120" s="1">
        <f>INDEX(配置与结果!$D$15:$D$18,F120)</f>
        <v>0.36699999999999999</v>
      </c>
      <c r="K120" s="1">
        <f>INDEX(配置与结果!$E$15:$E$18,F120)</f>
        <v>1.7170000000000001</v>
      </c>
      <c r="L120" s="1">
        <f t="shared" si="158"/>
        <v>1</v>
      </c>
      <c r="M120" s="1">
        <f t="shared" si="158"/>
        <v>4</v>
      </c>
      <c r="N120" s="1">
        <f t="shared" si="158"/>
        <v>0</v>
      </c>
      <c r="O120" s="1">
        <f t="shared" si="158"/>
        <v>6</v>
      </c>
      <c r="P120" s="1">
        <f>MIN(方案参数!$AI$6,AZ119+0+0)</f>
        <v>3</v>
      </c>
      <c r="Q120" s="1">
        <f t="shared" si="159"/>
        <v>2</v>
      </c>
      <c r="R120" s="1">
        <f t="shared" si="160"/>
        <v>5</v>
      </c>
      <c r="S120" s="1">
        <f t="shared" si="161"/>
        <v>0</v>
      </c>
      <c r="T120" s="1">
        <f t="shared" si="162"/>
        <v>0</v>
      </c>
      <c r="U120" s="1">
        <f t="shared" si="163"/>
        <v>0</v>
      </c>
      <c r="V120" s="1">
        <f t="shared" si="164"/>
        <v>1</v>
      </c>
      <c r="W120" s="1">
        <f t="shared" si="165"/>
        <v>1</v>
      </c>
      <c r="X120" s="1">
        <f t="shared" si="166"/>
        <v>1</v>
      </c>
      <c r="Y120" s="1">
        <f t="shared" si="167"/>
        <v>1</v>
      </c>
      <c r="Z120" s="1">
        <f t="shared" si="168"/>
        <v>0</v>
      </c>
      <c r="AA120" s="1">
        <f t="shared" si="169"/>
        <v>0</v>
      </c>
      <c r="AB120" s="1">
        <f t="shared" si="170"/>
        <v>0</v>
      </c>
      <c r="AC120" s="1">
        <f t="shared" si="171"/>
        <v>0</v>
      </c>
      <c r="AD120" s="1">
        <f>ROUNDDOWN(I120*(1+IF(F120=3,0.05+方案参数!$Y$6+AA120*0.12,IF(F120=4,方案参数!$BZ$6*方案参数!$AS$6,0)))+IF(AND(X120=1,F120&lt;&gt;3),方案参数!$CC$6,0)+AC120*方案参数!$CB$6,0)</f>
        <v>2811</v>
      </c>
      <c r="AE120" s="1">
        <f>IF(OR(F120=1,F120=4),配置与结果!$B$24,配置与结果!$B$25)*MAX(0,1-INDEX(配置与结果!$I$15:$I$18,F120))</f>
        <v>1200</v>
      </c>
      <c r="AF120" s="1">
        <f>3.6*IF(H120=1,1,IF(H120=2,1.5,2.5))</f>
        <v>3.6</v>
      </c>
      <c r="AG120" s="1">
        <f>MAX(配置与结果!$B$32,1+INDEX(配置与结果!$F$15:$F$18,F120)+0.08+Q120*方案参数!$W$6+Y120*(方案参数!$AN$6+MIN(方案参数!$AO$6,P120*0.03))+AB120*方案参数!$BZ$6*0.025+0.1+IF(方案参数!$BZ$6&gt;=30,方案参数!$BZ$6*0.01,0)-配置与结果!$B$28)</f>
        <v>1.4350000000000001</v>
      </c>
      <c r="AH120" s="1">
        <f>MAX(0,1+INDEX(配置与结果!$G$15:$G$18,F120)+W120*方案参数!$AG$6)</f>
        <v>1.3</v>
      </c>
      <c r="AI120" s="1">
        <f>IF(OR(INDEX(配置与结果!$K$15:$K$18,F120)=1,G120="RHI_BERRY"),1+配置与结果!$B$33+P120*方案参数!$AH$6,1)</f>
        <v>1</v>
      </c>
      <c r="AJ120" s="1">
        <f>MIN(1,MAX(0,J120+方案参数!$AB$6-配置与结果!$B$27))</f>
        <v>0.66700000000000004</v>
      </c>
      <c r="AK120" s="1">
        <f>MAX(1,K120+IF(F120=2,0.15+方案参数!$CH$6,0)+BN120*方案参数!$X$6+R120*方案参数!$AA$6+0-配置与结果!$B$26+Z120*(方案参数!$AP$6+MIN(方案参数!$AQ$6,P120*0.03)))</f>
        <v>1.4969999999999999</v>
      </c>
      <c r="AL120" s="7">
        <f>ROUNDDOWN(MAX(AD120*配置与结果!$B$31,AD120-AE120)*AF120*AG120*AH120*AI120,0)</f>
        <v>10819</v>
      </c>
      <c r="AM120" s="7">
        <f>ROUNDDOWN(MAX(AD120*配置与结果!$B$31,AD120-AE120)*AF120*AG120*AH120*AI120*AK120,0)</f>
        <v>16196</v>
      </c>
      <c r="AN120" s="7">
        <f t="shared" si="104"/>
        <v>14405.458999999999</v>
      </c>
      <c r="AO120" s="7">
        <f>0</f>
        <v>0</v>
      </c>
      <c r="AP120" s="7">
        <f>MAX(0,1+INDEX(配置与结果!$J$15:$J$18,F120)+IF(T120&gt;0,方案参数!$BY$6,0)-配置与结果!$B$30)</f>
        <v>1</v>
      </c>
      <c r="AQ120" s="7">
        <f t="shared" si="105"/>
        <v>0</v>
      </c>
      <c r="AR120" s="7">
        <f t="shared" si="106"/>
        <v>0</v>
      </c>
      <c r="AS120" s="7">
        <f t="shared" si="107"/>
        <v>0</v>
      </c>
      <c r="AT120" s="7">
        <f>0</f>
        <v>0</v>
      </c>
      <c r="AU120" s="7">
        <f t="shared" si="108"/>
        <v>14405.458999999999</v>
      </c>
      <c r="AV120" s="1">
        <f t="shared" si="109"/>
        <v>1</v>
      </c>
      <c r="AW120" s="1">
        <f>MIN(10,M120+0+0)</f>
        <v>4</v>
      </c>
      <c r="AX120" s="1">
        <f t="shared" si="110"/>
        <v>0</v>
      </c>
      <c r="AY120" s="1">
        <f t="shared" si="179"/>
        <v>6</v>
      </c>
      <c r="AZ120" s="1">
        <f t="shared" si="111"/>
        <v>3</v>
      </c>
      <c r="BA120" s="1">
        <f>MIN(6,Q120+0)</f>
        <v>2</v>
      </c>
      <c r="BB120" s="1">
        <f t="shared" si="172"/>
        <v>5</v>
      </c>
      <c r="BC120" s="1">
        <f>MIN(3,S120+1)</f>
        <v>1</v>
      </c>
      <c r="BD120" s="1">
        <f t="shared" si="180"/>
        <v>0</v>
      </c>
      <c r="BE120" s="1">
        <f t="shared" si="173"/>
        <v>0</v>
      </c>
      <c r="BF120" s="1">
        <f>MIN(4,V120+0)</f>
        <v>1</v>
      </c>
      <c r="BG120" s="1">
        <f t="shared" si="177"/>
        <v>1</v>
      </c>
      <c r="BH120" s="1">
        <f t="shared" si="174"/>
        <v>1</v>
      </c>
      <c r="BI120" s="1">
        <f t="shared" si="178"/>
        <v>1</v>
      </c>
      <c r="BJ120" s="1">
        <f t="shared" si="148"/>
        <v>0</v>
      </c>
      <c r="BK120" s="1">
        <f t="shared" si="149"/>
        <v>0</v>
      </c>
      <c r="BL120" s="1">
        <f t="shared" si="154"/>
        <v>0</v>
      </c>
      <c r="BM120" s="1">
        <f t="shared" si="152"/>
        <v>0</v>
      </c>
      <c r="BN120" s="1">
        <f t="shared" si="175"/>
        <v>1</v>
      </c>
      <c r="BO120" s="1">
        <f t="shared" si="176"/>
        <v>1</v>
      </c>
    </row>
    <row r="121" spans="1:67" ht="30.95" customHeight="1">
      <c r="A121" s="1">
        <f>3</f>
        <v>3</v>
      </c>
      <c r="B121" s="1">
        <f>固定流程!A13</f>
        <v>8</v>
      </c>
      <c r="C121" s="1">
        <f>6</f>
        <v>6</v>
      </c>
      <c r="D121" s="1">
        <f>1</f>
        <v>1</v>
      </c>
      <c r="E121" s="1">
        <f>固定流程!C13</f>
        <v>2</v>
      </c>
      <c r="F121" s="1">
        <f>固定流程!G13</f>
        <v>3</v>
      </c>
      <c r="G121" s="1" t="str">
        <f>固定流程!H13</f>
        <v>RHI_ATTACK</v>
      </c>
      <c r="H121" s="1">
        <f>固定流程!F13</f>
        <v>1</v>
      </c>
      <c r="I121" s="1">
        <f>INDEX(配置与结果!$B$15:$B$18,F121)</f>
        <v>2597</v>
      </c>
      <c r="J121" s="1">
        <f>INDEX(配置与结果!$D$15:$D$18,F121)</f>
        <v>0.255</v>
      </c>
      <c r="K121" s="1">
        <f>INDEX(配置与结果!$E$15:$E$18,F121)</f>
        <v>1.55</v>
      </c>
      <c r="L121" s="1">
        <f>IF(AV120=1,IF(M121&gt;=10,2,1),IF(AV120=2,IF(AX120&lt;=1,0,2),0))</f>
        <v>1</v>
      </c>
      <c r="M121" s="1">
        <f>IF(AND(AV120=2,AX120&lt;=1),0,MIN(10,AW120+IF(AV120=1,3,0)))</f>
        <v>7</v>
      </c>
      <c r="N121" s="1">
        <f>IF(AND(AV120=1,M121&gt;=10),2,IF(AV120=2,MAX(0,AX120-1),0))</f>
        <v>0</v>
      </c>
      <c r="O121" s="1">
        <f t="shared" ref="O121:O149" si="181">AY120</f>
        <v>6</v>
      </c>
      <c r="P121" s="1">
        <f>MIN(方案参数!$AI$6,AZ120+方案参数!$AJ$6+方案参数!$AK$6)</f>
        <v>5</v>
      </c>
      <c r="Q121" s="1">
        <f t="shared" si="159"/>
        <v>2</v>
      </c>
      <c r="R121" s="1">
        <f t="shared" si="160"/>
        <v>5</v>
      </c>
      <c r="S121" s="1">
        <f t="shared" si="161"/>
        <v>1</v>
      </c>
      <c r="T121" s="1">
        <f t="shared" si="162"/>
        <v>0</v>
      </c>
      <c r="U121" s="1">
        <f t="shared" si="163"/>
        <v>0</v>
      </c>
      <c r="V121" s="1">
        <f t="shared" si="164"/>
        <v>1</v>
      </c>
      <c r="W121" s="1">
        <f t="shared" si="165"/>
        <v>1</v>
      </c>
      <c r="X121" s="1">
        <f t="shared" si="166"/>
        <v>1</v>
      </c>
      <c r="Y121" s="1">
        <f t="shared" si="167"/>
        <v>1</v>
      </c>
      <c r="Z121" s="1">
        <f t="shared" si="168"/>
        <v>0</v>
      </c>
      <c r="AA121" s="1">
        <f>MAX(BK120,1)</f>
        <v>1</v>
      </c>
      <c r="AB121" s="1">
        <f t="shared" si="170"/>
        <v>0</v>
      </c>
      <c r="AC121" s="1">
        <f t="shared" si="171"/>
        <v>0</v>
      </c>
      <c r="AD121" s="1">
        <f>ROUNDDOWN(I121*(1+IF(F121=3,0.05+方案参数!$Y$6+AA121*0.12,IF(F121=4,方案参数!$BZ$6*方案参数!$AS$6,0)))+IF(AND(X121=1,F121&lt;&gt;3),方案参数!$CC$6,0)+AC121*方案参数!$CB$6,0)</f>
        <v>3298</v>
      </c>
      <c r="AE121" s="1">
        <f>IF(OR(F121=1,F121=4),配置与结果!$B$24,配置与结果!$B$25)*MAX(0,1-INDEX(配置与结果!$I$15:$I$18,F121))</f>
        <v>1000</v>
      </c>
      <c r="AF121" s="1">
        <f>4</f>
        <v>4</v>
      </c>
      <c r="AG121" s="1">
        <f>MAX(配置与结果!$B$32,1+INDEX(配置与结果!$F$15:$F$18,F121)+0+Q121*方案参数!$W$6+Y121*(方案参数!$AN$6+MIN(方案参数!$AO$6,P121*0.03))+AB121*方案参数!$BZ$6*0.025-配置与结果!$B$28)</f>
        <v>0.97499999999999998</v>
      </c>
      <c r="AH121" s="1">
        <f>MAX(0,1+INDEX(配置与结果!$G$15:$G$18,F121)+W121*方案参数!$AG$6)</f>
        <v>1.3</v>
      </c>
      <c r="AI121" s="1">
        <f>IF(OR(INDEX(配置与结果!$K$15:$K$18,F121)=1,G121="RHI_BERRY"),1+配置与结果!$B$33+P121*方案参数!$AH$6,1)</f>
        <v>1</v>
      </c>
      <c r="AJ121" s="1">
        <f>MIN(1,MAX(0,J121+方案参数!$AB$6-配置与结果!$B$27))</f>
        <v>0.55499999999999994</v>
      </c>
      <c r="AK121" s="1">
        <f>MAX(1,K121+IF(F121=2,0.15+方案参数!$CH$6,0)+BN121*方案参数!$X$6+R121*方案参数!$AA$6+0-配置与结果!$B$26+Z121*(方案参数!$AP$6+MIN(方案参数!$AQ$6,P121*0.03)))</f>
        <v>1.33</v>
      </c>
      <c r="AL121" s="7">
        <f>ROUNDDOWN(MAX(AD121*配置与结果!$B$31,AD121-AE121)*AF121*AG121*AH121*AI121,0)</f>
        <v>11650</v>
      </c>
      <c r="AM121" s="7">
        <f>ROUNDDOWN(MAX(AD121*配置与结果!$B$31,AD121-AE121)*AF121*AG121*AH121*AI121*AK121,0)</f>
        <v>15495</v>
      </c>
      <c r="AN121" s="7">
        <f t="shared" si="104"/>
        <v>13783.974999999999</v>
      </c>
      <c r="AO121" s="7">
        <f>0</f>
        <v>0</v>
      </c>
      <c r="AP121" s="7">
        <f>MAX(0,1+INDEX(配置与结果!$J$15:$J$18,F121)+IF(T121&gt;0,方案参数!$BY$6,0)-配置与结果!$B$30)</f>
        <v>1</v>
      </c>
      <c r="AQ121" s="7">
        <f t="shared" si="105"/>
        <v>0</v>
      </c>
      <c r="AR121" s="7">
        <f t="shared" si="106"/>
        <v>0</v>
      </c>
      <c r="AS121" s="7">
        <f t="shared" si="107"/>
        <v>0</v>
      </c>
      <c r="AT121" s="7">
        <f>0</f>
        <v>0</v>
      </c>
      <c r="AU121" s="7">
        <f t="shared" si="108"/>
        <v>13783.974999999999</v>
      </c>
      <c r="AV121" s="1">
        <f t="shared" si="109"/>
        <v>1</v>
      </c>
      <c r="AW121" s="1">
        <f>MIN(10,M121+0+0)</f>
        <v>7</v>
      </c>
      <c r="AX121" s="1">
        <f t="shared" si="110"/>
        <v>0</v>
      </c>
      <c r="AY121" s="1">
        <f t="shared" si="179"/>
        <v>6</v>
      </c>
      <c r="AZ121" s="1">
        <f t="shared" si="111"/>
        <v>5</v>
      </c>
      <c r="BA121" s="1">
        <f>MIN(6,Q121+1)</f>
        <v>3</v>
      </c>
      <c r="BB121" s="1">
        <f t="shared" si="172"/>
        <v>5</v>
      </c>
      <c r="BC121" s="1">
        <f>MIN(3,S121+0)</f>
        <v>1</v>
      </c>
      <c r="BD121" s="1">
        <f t="shared" si="180"/>
        <v>0</v>
      </c>
      <c r="BE121" s="1">
        <f t="shared" si="173"/>
        <v>0</v>
      </c>
      <c r="BF121" s="1">
        <f>MIN(4,V121+0)</f>
        <v>1</v>
      </c>
      <c r="BG121" s="1">
        <f t="shared" si="177"/>
        <v>1</v>
      </c>
      <c r="BH121" s="1">
        <f t="shared" si="174"/>
        <v>1</v>
      </c>
      <c r="BI121" s="1">
        <f t="shared" si="178"/>
        <v>1</v>
      </c>
      <c r="BJ121" s="1">
        <f>MAX(Z121,1)</f>
        <v>1</v>
      </c>
      <c r="BK121" s="1">
        <f>MAX(AA121,1)</f>
        <v>1</v>
      </c>
      <c r="BL121" s="1">
        <f t="shared" si="154"/>
        <v>0</v>
      </c>
      <c r="BM121" s="1">
        <f t="shared" si="152"/>
        <v>0</v>
      </c>
      <c r="BN121" s="1">
        <f t="shared" si="175"/>
        <v>1</v>
      </c>
      <c r="BO121" s="1">
        <f t="shared" si="176"/>
        <v>1</v>
      </c>
    </row>
    <row r="122" spans="1:67" ht="30.95" customHeight="1">
      <c r="A122" s="1">
        <f>3</f>
        <v>3</v>
      </c>
      <c r="B122" s="1">
        <f>固定流程!A14</f>
        <v>9</v>
      </c>
      <c r="C122" s="1">
        <f>6</f>
        <v>6</v>
      </c>
      <c r="D122" s="1">
        <f>1</f>
        <v>1</v>
      </c>
      <c r="E122" s="1">
        <f>固定流程!C14</f>
        <v>2</v>
      </c>
      <c r="F122" s="1">
        <f>固定流程!G14</f>
        <v>1</v>
      </c>
      <c r="G122" s="1" t="str">
        <f>固定流程!H14</f>
        <v>LILYA_DIVE</v>
      </c>
      <c r="H122" s="1">
        <f>固定流程!F14</f>
        <v>3</v>
      </c>
      <c r="I122" s="1">
        <f>INDEX(配置与结果!$B$15:$B$18,F122)</f>
        <v>2296</v>
      </c>
      <c r="J122" s="1">
        <f>INDEX(配置与结果!$D$15:$D$18,F122)</f>
        <v>0.7</v>
      </c>
      <c r="K122" s="1">
        <f>INDEX(配置与结果!$E$15:$E$18,F122)</f>
        <v>2.0249999999999999</v>
      </c>
      <c r="L122" s="1">
        <f t="shared" ref="L122:N126" si="182">AV121</f>
        <v>1</v>
      </c>
      <c r="M122" s="1">
        <f t="shared" si="182"/>
        <v>7</v>
      </c>
      <c r="N122" s="1">
        <f t="shared" si="182"/>
        <v>0</v>
      </c>
      <c r="O122" s="1">
        <f t="shared" si="181"/>
        <v>6</v>
      </c>
      <c r="P122" s="1">
        <f>MIN(方案参数!$AI$6,AZ121+0+0)</f>
        <v>5</v>
      </c>
      <c r="Q122" s="1">
        <f t="shared" si="159"/>
        <v>3</v>
      </c>
      <c r="R122" s="1">
        <f t="shared" si="160"/>
        <v>5</v>
      </c>
      <c r="S122" s="1">
        <f t="shared" si="161"/>
        <v>1</v>
      </c>
      <c r="T122" s="1">
        <f t="shared" si="162"/>
        <v>0</v>
      </c>
      <c r="U122" s="1">
        <f t="shared" si="163"/>
        <v>0</v>
      </c>
      <c r="V122" s="1">
        <f t="shared" si="164"/>
        <v>1</v>
      </c>
      <c r="W122" s="1">
        <f t="shared" si="165"/>
        <v>1</v>
      </c>
      <c r="X122" s="1">
        <f t="shared" si="166"/>
        <v>1</v>
      </c>
      <c r="Y122" s="1">
        <f t="shared" si="167"/>
        <v>1</v>
      </c>
      <c r="Z122" s="1">
        <f t="shared" si="168"/>
        <v>1</v>
      </c>
      <c r="AA122" s="1">
        <f t="shared" ref="AA122:AA127" si="183">MAX(BK121,0)</f>
        <v>1</v>
      </c>
      <c r="AB122" s="1">
        <f t="shared" si="170"/>
        <v>0</v>
      </c>
      <c r="AC122" s="1">
        <f t="shared" si="171"/>
        <v>0</v>
      </c>
      <c r="AD122" s="1">
        <f>ROUNDDOWN(I122*(1+IF(F122=3,0.05+方案参数!$Y$6+AA122*0.12,IF(F122=4,方案参数!$BZ$6*方案参数!$AS$6,0)))+IF(AND(X122=1,F122&lt;&gt;3),方案参数!$CC$6,0)+AC122*方案参数!$CB$6,0)</f>
        <v>2534</v>
      </c>
      <c r="AE122" s="1">
        <f>IF(OR(F122=1,F122=4),配置与结果!$B$24,配置与结果!$B$25)*MAX(0,1-INDEX(配置与结果!$I$15:$I$18,F122))</f>
        <v>1200</v>
      </c>
      <c r="AF122" s="1">
        <f>(IF(L122=1,方案参数!$AW$6,IF(L122=2,方案参数!$AX$6,0))+方案参数!$AV$6)*H122</f>
        <v>18</v>
      </c>
      <c r="AG122" s="1">
        <f>MAX(配置与结果!$B$32,1+INDEX(配置与结果!$F$15:$F$18,F122)+0.08+方案参数!$CD$6+Q122*方案参数!$W$6+Y122*(方案参数!$AN$6+MIN(方案参数!$AO$6,P122*0.03))+AB122*方案参数!$BZ$6*0.025+IF(L122=1,方案参数!$AY$6+(H122-1)*0.1,IF(L122=2,方案参数!$AZ$6+(H122-1)*0.2,0))-配置与结果!$B$28)</f>
        <v>1.6</v>
      </c>
      <c r="AH122" s="1">
        <f>MAX(0,1+INDEX(配置与结果!$G$15:$G$18,F122)+W122*方案参数!$AG$6+IF(L122=1,方案参数!$BA$6,IF(L122=2,方案参数!$BB$6,0))+M122*方案参数!$BC$6)</f>
        <v>2.3199999999999998</v>
      </c>
      <c r="AI122" s="1">
        <f>IF(OR(INDEX(配置与结果!$K$15:$K$18,F122)=1,G122="RHI_BERRY"),1+配置与结果!$B$33+P122*方案参数!$AH$6,1)</f>
        <v>1</v>
      </c>
      <c r="AJ122" s="1">
        <f>MIN(1,MAX(0,J122+方案参数!$AB$6-配置与结果!$B$27))</f>
        <v>1</v>
      </c>
      <c r="AK122" s="1">
        <f>MAX(1,K122+IF(F122=2,0.15+方案参数!$CH$6,0)+BN122*方案参数!$X$6+R122*方案参数!$AA$6+0-配置与结果!$B$26+Z122*(方案参数!$AP$6+MIN(方案参数!$AQ$6,P122*0.03)))</f>
        <v>2.105</v>
      </c>
      <c r="AL122" s="7">
        <f>ROUNDDOWN(MAX(AD122*配置与结果!$B$31,AD122-AE122)*AF122*AG122*AH122*AI122,0)</f>
        <v>89132</v>
      </c>
      <c r="AM122" s="7">
        <f>ROUNDDOWN(MAX(AD122*配置与结果!$B$31,AD122-AE122)*AF122*AG122*AH122*AI122*AK122,0)</f>
        <v>187624</v>
      </c>
      <c r="AN122" s="7">
        <f t="shared" si="104"/>
        <v>187624</v>
      </c>
      <c r="AO122" s="7">
        <f>0</f>
        <v>0</v>
      </c>
      <c r="AP122" s="7">
        <f>MAX(0,1+INDEX(配置与结果!$J$15:$J$18,F122)+IF(T122&gt;0,方案参数!$BY$6,0)-配置与结果!$B$30)</f>
        <v>1</v>
      </c>
      <c r="AQ122" s="7">
        <f t="shared" si="105"/>
        <v>0</v>
      </c>
      <c r="AR122" s="7">
        <f t="shared" si="106"/>
        <v>0</v>
      </c>
      <c r="AS122" s="7">
        <f t="shared" si="107"/>
        <v>0</v>
      </c>
      <c r="AT122" s="7">
        <f>0</f>
        <v>0</v>
      </c>
      <c r="AU122" s="7">
        <f t="shared" si="108"/>
        <v>187624</v>
      </c>
      <c r="AV122" s="1">
        <f t="shared" si="109"/>
        <v>1</v>
      </c>
      <c r="AW122" s="1">
        <f>MIN(10,M122+0+IF(L122=1,方案参数!$BE$6,0))</f>
        <v>8</v>
      </c>
      <c r="AX122" s="1">
        <f t="shared" si="110"/>
        <v>0</v>
      </c>
      <c r="AY122" s="1">
        <f t="shared" si="179"/>
        <v>6</v>
      </c>
      <c r="AZ122" s="1">
        <f t="shared" si="111"/>
        <v>5</v>
      </c>
      <c r="BA122" s="1">
        <f>MIN(6,Q122+0)</f>
        <v>3</v>
      </c>
      <c r="BB122" s="1">
        <f t="shared" si="172"/>
        <v>5</v>
      </c>
      <c r="BC122" s="1">
        <f>MIN(3,S122+0)</f>
        <v>1</v>
      </c>
      <c r="BD122" s="1">
        <f t="shared" si="180"/>
        <v>0</v>
      </c>
      <c r="BE122" s="1">
        <f t="shared" si="173"/>
        <v>0</v>
      </c>
      <c r="BF122" s="1">
        <f>MIN(4,V122+0)</f>
        <v>1</v>
      </c>
      <c r="BG122" s="1">
        <f t="shared" si="177"/>
        <v>1</v>
      </c>
      <c r="BH122" s="1">
        <f t="shared" si="174"/>
        <v>1</v>
      </c>
      <c r="BI122" s="1">
        <f t="shared" si="178"/>
        <v>1</v>
      </c>
      <c r="BJ122" s="1">
        <f t="shared" ref="BJ122:BK127" si="184">MAX(Z122,0)</f>
        <v>1</v>
      </c>
      <c r="BK122" s="1">
        <f t="shared" si="184"/>
        <v>1</v>
      </c>
      <c r="BL122" s="1">
        <f t="shared" si="154"/>
        <v>0</v>
      </c>
      <c r="BM122" s="1">
        <f t="shared" si="152"/>
        <v>0</v>
      </c>
      <c r="BN122" s="1">
        <f t="shared" si="175"/>
        <v>1</v>
      </c>
      <c r="BO122" s="1">
        <f t="shared" si="176"/>
        <v>1</v>
      </c>
    </row>
    <row r="123" spans="1:67" ht="30.95" customHeight="1">
      <c r="A123" s="1">
        <f>3</f>
        <v>3</v>
      </c>
      <c r="B123" s="1">
        <f>固定流程!A15</f>
        <v>10</v>
      </c>
      <c r="C123" s="1">
        <f>6</f>
        <v>6</v>
      </c>
      <c r="D123" s="1">
        <f>1</f>
        <v>1</v>
      </c>
      <c r="E123" s="1">
        <f>固定流程!C15</f>
        <v>2</v>
      </c>
      <c r="F123" s="1">
        <f>固定流程!G15</f>
        <v>4</v>
      </c>
      <c r="G123" s="1" t="str">
        <f>固定流程!H15</f>
        <v>J_HARD</v>
      </c>
      <c r="H123" s="1">
        <f>固定流程!F15</f>
        <v>1</v>
      </c>
      <c r="I123" s="1">
        <f>INDEX(配置与结果!$B$15:$B$18,F123)</f>
        <v>1906</v>
      </c>
      <c r="J123" s="1">
        <f>INDEX(配置与结果!$D$15:$D$18,F123)</f>
        <v>0.36699999999999999</v>
      </c>
      <c r="K123" s="1">
        <f>INDEX(配置与结果!$E$15:$E$18,F123)</f>
        <v>1.7170000000000001</v>
      </c>
      <c r="L123" s="1">
        <f t="shared" si="182"/>
        <v>1</v>
      </c>
      <c r="M123" s="1">
        <f t="shared" si="182"/>
        <v>8</v>
      </c>
      <c r="N123" s="1">
        <f t="shared" si="182"/>
        <v>0</v>
      </c>
      <c r="O123" s="1">
        <f t="shared" si="181"/>
        <v>6</v>
      </c>
      <c r="P123" s="1">
        <f>MIN(方案参数!$AI$6,AZ122+0+0)</f>
        <v>5</v>
      </c>
      <c r="Q123" s="1">
        <f t="shared" si="159"/>
        <v>3</v>
      </c>
      <c r="R123" s="1">
        <f t="shared" si="160"/>
        <v>5</v>
      </c>
      <c r="S123" s="1">
        <f t="shared" si="161"/>
        <v>1</v>
      </c>
      <c r="T123" s="1">
        <f t="shared" si="162"/>
        <v>0</v>
      </c>
      <c r="U123" s="1">
        <f t="shared" si="163"/>
        <v>0</v>
      </c>
      <c r="V123" s="1">
        <f t="shared" si="164"/>
        <v>1</v>
      </c>
      <c r="W123" s="1">
        <f t="shared" si="165"/>
        <v>1</v>
      </c>
      <c r="X123" s="1">
        <f t="shared" si="166"/>
        <v>1</v>
      </c>
      <c r="Y123" s="1">
        <f t="shared" si="167"/>
        <v>1</v>
      </c>
      <c r="Z123" s="1">
        <f t="shared" si="168"/>
        <v>1</v>
      </c>
      <c r="AA123" s="1">
        <f t="shared" si="183"/>
        <v>1</v>
      </c>
      <c r="AB123" s="1">
        <f t="shared" si="170"/>
        <v>0</v>
      </c>
      <c r="AC123" s="1">
        <f t="shared" si="171"/>
        <v>0</v>
      </c>
      <c r="AD123" s="1">
        <f>ROUNDDOWN(I123*(1+IF(F123=3,0.05+方案参数!$Y$6+AA123*0.12,IF(F123=4,方案参数!$BZ$6*方案参数!$AS$6,0)))+IF(AND(X123=1,F123&lt;&gt;3),方案参数!$CC$6,0)+AC123*方案参数!$CB$6,0)</f>
        <v>2811</v>
      </c>
      <c r="AE123" s="1">
        <f>IF(OR(F123=1,F123=4),配置与结果!$B$24,配置与结果!$B$25)*MAX(0,1-INDEX(配置与结果!$I$15:$I$18,F123))</f>
        <v>1200</v>
      </c>
      <c r="AF123" s="1">
        <f>3.6*IF(H123=1,1,IF(H123=2,1.5,2.5))</f>
        <v>3.6</v>
      </c>
      <c r="AG123" s="1">
        <f>MAX(配置与结果!$B$32,1+INDEX(配置与结果!$F$15:$F$18,F123)+0.08+Q123*方案参数!$W$6+Y123*(方案参数!$AN$6+MIN(方案参数!$AO$6,P123*0.03))+AB123*方案参数!$BZ$6*0.025+0.1+IF(方案参数!$BZ$6&gt;=30,方案参数!$BZ$6*0.01,0)-配置与结果!$B$28)</f>
        <v>1.5150000000000001</v>
      </c>
      <c r="AH123" s="1">
        <f>MAX(0,1+INDEX(配置与结果!$G$15:$G$18,F123)+W123*方案参数!$AG$6)</f>
        <v>1.3</v>
      </c>
      <c r="AI123" s="1">
        <f>IF(OR(INDEX(配置与结果!$K$15:$K$18,F123)=1,G123="RHI_BERRY"),1+配置与结果!$B$33+P123*方案参数!$AH$6,1)</f>
        <v>1</v>
      </c>
      <c r="AJ123" s="1">
        <f>MIN(1,MAX(0,J123+方案参数!$AB$6-配置与结果!$B$27))</f>
        <v>0.66700000000000004</v>
      </c>
      <c r="AK123" s="1">
        <f>MAX(1,K123+IF(F123=2,0.15+方案参数!$CH$6,0)+BN123*方案参数!$X$6+R123*方案参数!$AA$6+0-配置与结果!$B$26+Z123*(方案参数!$AP$6+MIN(方案参数!$AQ$6,P123*0.03)))</f>
        <v>1.7969999999999999</v>
      </c>
      <c r="AL123" s="7">
        <f>ROUNDDOWN(MAX(AD123*配置与结果!$B$31,AD123-AE123)*AF123*AG123*AH123*AI123,0)</f>
        <v>11422</v>
      </c>
      <c r="AM123" s="7">
        <f>ROUNDDOWN(MAX(AD123*配置与结果!$B$31,AD123-AE123)*AF123*AG123*AH123*AI123*AK123,0)</f>
        <v>20525</v>
      </c>
      <c r="AN123" s="7">
        <f t="shared" si="104"/>
        <v>17493.701000000001</v>
      </c>
      <c r="AO123" s="7">
        <f>0</f>
        <v>0</v>
      </c>
      <c r="AP123" s="7">
        <f>MAX(0,1+INDEX(配置与结果!$J$15:$J$18,F123)+IF(T123&gt;0,方案参数!$BY$6,0)-配置与结果!$B$30)</f>
        <v>1</v>
      </c>
      <c r="AQ123" s="7">
        <f t="shared" si="105"/>
        <v>0</v>
      </c>
      <c r="AR123" s="7">
        <f t="shared" si="106"/>
        <v>0</v>
      </c>
      <c r="AS123" s="7">
        <f t="shared" si="107"/>
        <v>0</v>
      </c>
      <c r="AT123" s="7">
        <f>0</f>
        <v>0</v>
      </c>
      <c r="AU123" s="7">
        <f t="shared" si="108"/>
        <v>17493.701000000001</v>
      </c>
      <c r="AV123" s="1">
        <f t="shared" si="109"/>
        <v>1</v>
      </c>
      <c r="AW123" s="1">
        <f t="shared" ref="AW123:AW133" si="185">MIN(10,M123+0+0)</f>
        <v>8</v>
      </c>
      <c r="AX123" s="1">
        <f t="shared" si="110"/>
        <v>0</v>
      </c>
      <c r="AY123" s="1">
        <f t="shared" si="179"/>
        <v>6</v>
      </c>
      <c r="AZ123" s="1">
        <f t="shared" si="111"/>
        <v>5</v>
      </c>
      <c r="BA123" s="1">
        <f>MIN(6,Q123+0)</f>
        <v>3</v>
      </c>
      <c r="BB123" s="1">
        <f t="shared" si="172"/>
        <v>5</v>
      </c>
      <c r="BC123" s="1">
        <f>MIN(3,S123+1)</f>
        <v>2</v>
      </c>
      <c r="BD123" s="1">
        <f t="shared" si="180"/>
        <v>0</v>
      </c>
      <c r="BE123" s="1">
        <f t="shared" si="173"/>
        <v>0</v>
      </c>
      <c r="BF123" s="1">
        <f>MIN(4,V123+0)</f>
        <v>1</v>
      </c>
      <c r="BG123" s="1">
        <f t="shared" si="177"/>
        <v>1</v>
      </c>
      <c r="BH123" s="1">
        <f t="shared" si="174"/>
        <v>1</v>
      </c>
      <c r="BI123" s="1">
        <f t="shared" si="178"/>
        <v>1</v>
      </c>
      <c r="BJ123" s="1">
        <f t="shared" si="184"/>
        <v>1</v>
      </c>
      <c r="BK123" s="1">
        <f t="shared" si="184"/>
        <v>1</v>
      </c>
      <c r="BL123" s="1">
        <f t="shared" si="154"/>
        <v>0</v>
      </c>
      <c r="BM123" s="1">
        <f t="shared" si="152"/>
        <v>0</v>
      </c>
      <c r="BN123" s="1">
        <f t="shared" si="175"/>
        <v>1</v>
      </c>
      <c r="BO123" s="1">
        <f t="shared" si="176"/>
        <v>1</v>
      </c>
    </row>
    <row r="124" spans="1:67" ht="30.95" customHeight="1">
      <c r="A124" s="1">
        <f>3</f>
        <v>3</v>
      </c>
      <c r="B124" s="1">
        <f>固定流程!A16</f>
        <v>11</v>
      </c>
      <c r="C124" s="1">
        <f>6</f>
        <v>6</v>
      </c>
      <c r="D124" s="1">
        <f>1</f>
        <v>1</v>
      </c>
      <c r="E124" s="1">
        <f>固定流程!C16</f>
        <v>2</v>
      </c>
      <c r="F124" s="1">
        <f>固定流程!G16</f>
        <v>2</v>
      </c>
      <c r="G124" s="1" t="str">
        <f>固定流程!H16</f>
        <v>37_CURVE</v>
      </c>
      <c r="H124" s="1">
        <f>固定流程!F16</f>
        <v>1</v>
      </c>
      <c r="I124" s="1">
        <f>INDEX(配置与结果!$B$15:$B$18,F124)</f>
        <v>2306</v>
      </c>
      <c r="J124" s="1">
        <f>INDEX(配置与结果!$D$15:$D$18,F124)</f>
        <v>0.46</v>
      </c>
      <c r="K124" s="1">
        <f>INDEX(配置与结果!$E$15:$E$18,F124)</f>
        <v>1.9279999999999999</v>
      </c>
      <c r="L124" s="1">
        <f t="shared" si="182"/>
        <v>1</v>
      </c>
      <c r="M124" s="1">
        <f t="shared" si="182"/>
        <v>8</v>
      </c>
      <c r="N124" s="1">
        <f t="shared" si="182"/>
        <v>0</v>
      </c>
      <c r="O124" s="1">
        <f t="shared" si="181"/>
        <v>6</v>
      </c>
      <c r="P124" s="1">
        <f>MIN(方案参数!$AI$6,AZ123+0+0)</f>
        <v>5</v>
      </c>
      <c r="Q124" s="1">
        <f t="shared" si="159"/>
        <v>3</v>
      </c>
      <c r="R124" s="1">
        <f t="shared" si="160"/>
        <v>5</v>
      </c>
      <c r="S124" s="1">
        <f t="shared" si="161"/>
        <v>2</v>
      </c>
      <c r="T124" s="1">
        <f t="shared" si="162"/>
        <v>0</v>
      </c>
      <c r="U124" s="1">
        <f t="shared" si="163"/>
        <v>0</v>
      </c>
      <c r="V124" s="1">
        <f t="shared" si="164"/>
        <v>1</v>
      </c>
      <c r="W124" s="1">
        <f t="shared" si="165"/>
        <v>1</v>
      </c>
      <c r="X124" s="1">
        <f t="shared" si="166"/>
        <v>1</v>
      </c>
      <c r="Y124" s="1">
        <f t="shared" si="167"/>
        <v>1</v>
      </c>
      <c r="Z124" s="1">
        <f t="shared" si="168"/>
        <v>1</v>
      </c>
      <c r="AA124" s="1">
        <f t="shared" si="183"/>
        <v>1</v>
      </c>
      <c r="AB124" s="1">
        <f t="shared" si="170"/>
        <v>0</v>
      </c>
      <c r="AC124" s="1">
        <f t="shared" si="171"/>
        <v>0</v>
      </c>
      <c r="AD124" s="1">
        <f>ROUNDDOWN(I124*(1+IF(F124=3,0.05+方案参数!$Y$6+AA124*0.12,IF(F124=4,方案参数!$BZ$6*方案参数!$AS$6,0)))+IF(AND(X124=1,F124&lt;&gt;3),方案参数!$CC$6,0)+AC124*方案参数!$CB$6,0)</f>
        <v>2544</v>
      </c>
      <c r="AE124" s="1">
        <f>IF(OR(F124=1,F124=4),配置与结果!$B$24,配置与结果!$B$25)*MAX(0,1-INDEX(配置与结果!$I$15:$I$18,F124))</f>
        <v>1000</v>
      </c>
      <c r="AF124" s="1">
        <f>方案参数!$BT$6*IF(H124=1,1,IF(H124=2,1.5,2.5))</f>
        <v>1.4</v>
      </c>
      <c r="AG124" s="1">
        <f>MAX(配置与结果!$B$32,1+INDEX(配置与结果!$F$15:$F$18,F124)+0+Q124*方案参数!$W$6+Y124*(方案参数!$AN$6+MIN(方案参数!$AO$6,P124*0.03))+AB124*方案参数!$BZ$6*0.025-配置与结果!$B$28)</f>
        <v>0.96499999999999997</v>
      </c>
      <c r="AH124" s="1">
        <f>MAX(0,1+INDEX(配置与结果!$G$15:$G$18,F124)+W124*方案参数!$AG$6)</f>
        <v>1.3</v>
      </c>
      <c r="AI124" s="1">
        <f>IF(OR(INDEX(配置与结果!$K$15:$K$18,F124)=1,G124="RHI_BERRY"),1+配置与结果!$B$33+P124*方案参数!$AH$6,1)</f>
        <v>1</v>
      </c>
      <c r="AJ124" s="1">
        <f>MIN(1,MAX(0,J124+方案参数!$AB$6-配置与结果!$B$27))</f>
        <v>0.76</v>
      </c>
      <c r="AK124" s="1">
        <f>MAX(1,K124+IF(F124=2,0.15+方案参数!$CH$6,0)+BN124*方案参数!$X$6+R124*方案参数!$AA$6+0-配置与结果!$B$26+Z124*(方案参数!$AP$6+MIN(方案参数!$AQ$6,P124*0.03)))</f>
        <v>2.278</v>
      </c>
      <c r="AL124" s="7">
        <f>ROUNDDOWN(MAX(AD124*配置与结果!$B$31,AD124-AE124)*AF124*AG124*AH124*AI124,0)</f>
        <v>2711</v>
      </c>
      <c r="AM124" s="7">
        <f>ROUNDDOWN(MAX(AD124*配置与结果!$B$31,AD124-AE124)*AF124*AG124*AH124*AI124*AK124,0)</f>
        <v>6177</v>
      </c>
      <c r="AN124" s="7">
        <f t="shared" si="104"/>
        <v>5345.1600000000008</v>
      </c>
      <c r="AO124" s="7">
        <f>方案参数!$BU$6*IF(H124=1,1,IF(H124=2,1.5,2.5))</f>
        <v>0.8</v>
      </c>
      <c r="AP124" s="7">
        <f>MAX(0,1+INDEX(配置与结果!$J$15:$J$18,F124)+IF(T124&gt;0,方案参数!$BY$6,0)-配置与结果!$B$30)</f>
        <v>1</v>
      </c>
      <c r="AQ124" s="7">
        <f t="shared" si="105"/>
        <v>2035</v>
      </c>
      <c r="AR124" s="7">
        <f t="shared" si="106"/>
        <v>4635</v>
      </c>
      <c r="AS124" s="7">
        <f t="shared" si="107"/>
        <v>4011</v>
      </c>
      <c r="AT124" s="7">
        <f>0</f>
        <v>0</v>
      </c>
      <c r="AU124" s="7">
        <f t="shared" si="108"/>
        <v>9356.16</v>
      </c>
      <c r="AV124" s="1">
        <f t="shared" si="109"/>
        <v>1</v>
      </c>
      <c r="AW124" s="1">
        <f t="shared" si="185"/>
        <v>8</v>
      </c>
      <c r="AX124" s="1">
        <f t="shared" si="110"/>
        <v>0</v>
      </c>
      <c r="AY124" s="1">
        <f t="shared" si="179"/>
        <v>6</v>
      </c>
      <c r="AZ124" s="1">
        <f t="shared" si="111"/>
        <v>5</v>
      </c>
      <c r="BA124" s="1">
        <f>MIN(6,Q124+0)</f>
        <v>3</v>
      </c>
      <c r="BB124" s="1">
        <f t="shared" si="172"/>
        <v>5</v>
      </c>
      <c r="BC124" s="1">
        <f t="shared" ref="BC124:BC130" si="186">MIN(3,S124+0)</f>
        <v>2</v>
      </c>
      <c r="BD124" s="1">
        <f t="shared" si="180"/>
        <v>0</v>
      </c>
      <c r="BE124" s="1">
        <f t="shared" si="173"/>
        <v>0</v>
      </c>
      <c r="BF124" s="1">
        <f>MIN(4,V124+0)</f>
        <v>1</v>
      </c>
      <c r="BG124" s="1">
        <f t="shared" si="177"/>
        <v>1</v>
      </c>
      <c r="BH124" s="1">
        <f t="shared" si="174"/>
        <v>1</v>
      </c>
      <c r="BI124" s="1">
        <f t="shared" si="178"/>
        <v>1</v>
      </c>
      <c r="BJ124" s="1">
        <f t="shared" si="184"/>
        <v>1</v>
      </c>
      <c r="BK124" s="1">
        <f t="shared" si="184"/>
        <v>1</v>
      </c>
      <c r="BL124" s="1">
        <f t="shared" si="154"/>
        <v>0</v>
      </c>
      <c r="BM124" s="1">
        <f t="shared" si="152"/>
        <v>0</v>
      </c>
      <c r="BN124" s="1">
        <f t="shared" si="175"/>
        <v>1</v>
      </c>
      <c r="BO124" s="1">
        <f t="shared" si="176"/>
        <v>1</v>
      </c>
    </row>
    <row r="125" spans="1:67" ht="30.95" customHeight="1">
      <c r="A125" s="1">
        <f>3</f>
        <v>3</v>
      </c>
      <c r="B125" s="1">
        <f>固定流程!A17</f>
        <v>12</v>
      </c>
      <c r="C125" s="1">
        <f>6</f>
        <v>6</v>
      </c>
      <c r="D125" s="1">
        <f>1</f>
        <v>1</v>
      </c>
      <c r="E125" s="1">
        <f>固定流程!C17</f>
        <v>2</v>
      </c>
      <c r="F125" s="1">
        <f>固定流程!G17</f>
        <v>2</v>
      </c>
      <c r="G125" s="1" t="str">
        <f>固定流程!H17</f>
        <v>37_FOLLOW</v>
      </c>
      <c r="H125" s="1">
        <f>固定流程!F17</f>
        <v>1</v>
      </c>
      <c r="I125" s="1">
        <f>INDEX(配置与结果!$B$15:$B$18,F125)</f>
        <v>2306</v>
      </c>
      <c r="J125" s="1">
        <f>INDEX(配置与结果!$D$15:$D$18,F125)</f>
        <v>0.46</v>
      </c>
      <c r="K125" s="1">
        <f>INDEX(配置与结果!$E$15:$E$18,F125)</f>
        <v>1.9279999999999999</v>
      </c>
      <c r="L125" s="1">
        <f t="shared" si="182"/>
        <v>1</v>
      </c>
      <c r="M125" s="1">
        <f t="shared" si="182"/>
        <v>8</v>
      </c>
      <c r="N125" s="1">
        <f t="shared" si="182"/>
        <v>0</v>
      </c>
      <c r="O125" s="1">
        <f t="shared" si="181"/>
        <v>6</v>
      </c>
      <c r="P125" s="1">
        <f>MIN(方案参数!$AI$6,AZ124+0+0)</f>
        <v>5</v>
      </c>
      <c r="Q125" s="1">
        <f t="shared" si="159"/>
        <v>3</v>
      </c>
      <c r="R125" s="1">
        <f t="shared" si="160"/>
        <v>5</v>
      </c>
      <c r="S125" s="1">
        <f t="shared" si="161"/>
        <v>2</v>
      </c>
      <c r="T125" s="1">
        <f t="shared" si="162"/>
        <v>0</v>
      </c>
      <c r="U125" s="1">
        <f t="shared" si="163"/>
        <v>0</v>
      </c>
      <c r="V125" s="1">
        <f t="shared" si="164"/>
        <v>1</v>
      </c>
      <c r="W125" s="1">
        <f t="shared" si="165"/>
        <v>1</v>
      </c>
      <c r="X125" s="1">
        <f t="shared" si="166"/>
        <v>1</v>
      </c>
      <c r="Y125" s="1">
        <f t="shared" si="167"/>
        <v>1</v>
      </c>
      <c r="Z125" s="1">
        <f t="shared" si="168"/>
        <v>1</v>
      </c>
      <c r="AA125" s="1">
        <f t="shared" si="183"/>
        <v>1</v>
      </c>
      <c r="AB125" s="1">
        <f t="shared" si="170"/>
        <v>0</v>
      </c>
      <c r="AC125" s="1">
        <f t="shared" si="171"/>
        <v>0</v>
      </c>
      <c r="AD125" s="1">
        <f>ROUNDDOWN(I125*(1+IF(F125=3,0.05+方案参数!$Y$6+AA125*0.12,IF(F125=4,方案参数!$BZ$6*方案参数!$AS$6,0)))+IF(AND(X125=1,F125&lt;&gt;3),方案参数!$CC$6,0)+AC125*方案参数!$CB$6,0)</f>
        <v>2544</v>
      </c>
      <c r="AE125" s="1">
        <f>IF(OR(F125=1,F125=4),配置与结果!$B$24,配置与结果!$B$25)*MAX(0,1-INDEX(配置与结果!$I$15:$I$18,F125))</f>
        <v>1000</v>
      </c>
      <c r="AF125" s="1">
        <f>方案参数!$BV$6</f>
        <v>3</v>
      </c>
      <c r="AG125" s="1">
        <f>MAX(配置与结果!$B$32,1+INDEX(配置与结果!$F$15:$F$18,F125)+0+Q125*方案参数!$W$6+Y125*(方案参数!$AN$6+MIN(方案参数!$AO$6,P125*0.03))+AB125*方案参数!$BZ$6*0.025-配置与结果!$B$28)</f>
        <v>0.96499999999999997</v>
      </c>
      <c r="AH125" s="1">
        <f>MAX(0,1+INDEX(配置与结果!$G$15:$G$18,F125)+W125*方案参数!$AG$6)</f>
        <v>1.3</v>
      </c>
      <c r="AI125" s="1">
        <f>IF(OR(INDEX(配置与结果!$K$15:$K$18,F125)=1,G125="RHI_BERRY"),1+配置与结果!$B$33+P125*方案参数!$AH$6,1)</f>
        <v>1</v>
      </c>
      <c r="AJ125" s="1">
        <f>MIN(1,MAX(0,J125+方案参数!$AB$6-配置与结果!$B$27))</f>
        <v>0.76</v>
      </c>
      <c r="AK125" s="1">
        <f>MAX(1,K125+IF(F125=2,0.15+方案参数!$CH$6,0)+BN125*方案参数!$X$6+R125*方案参数!$AA$6+0-配置与结果!$B$26+Z125*(方案参数!$AP$6+MIN(方案参数!$AQ$6,P125*0.03)))</f>
        <v>2.278</v>
      </c>
      <c r="AL125" s="7">
        <f>ROUNDDOWN(MAX(AD125*配置与结果!$B$31,AD125-AE125)*AF125*AG125*AH125*AI125,0)</f>
        <v>5810</v>
      </c>
      <c r="AM125" s="7">
        <f>ROUNDDOWN(MAX(AD125*配置与结果!$B$31,AD125-AE125)*AF125*AG125*AH125*AI125*AK125,0)</f>
        <v>13237</v>
      </c>
      <c r="AN125" s="7">
        <f t="shared" si="104"/>
        <v>11454.52</v>
      </c>
      <c r="AO125" s="7">
        <f>方案参数!$BW$6</f>
        <v>1</v>
      </c>
      <c r="AP125" s="7">
        <f>MAX(0,1+INDEX(配置与结果!$J$15:$J$18,F125)+IF(T125&gt;0,方案参数!$BY$6,0)-配置与结果!$B$30)</f>
        <v>1</v>
      </c>
      <c r="AQ125" s="7">
        <f t="shared" si="105"/>
        <v>2544</v>
      </c>
      <c r="AR125" s="7">
        <f t="shared" si="106"/>
        <v>5795</v>
      </c>
      <c r="AS125" s="7">
        <f t="shared" si="107"/>
        <v>5014.76</v>
      </c>
      <c r="AT125" s="7">
        <f>0</f>
        <v>0</v>
      </c>
      <c r="AU125" s="7">
        <f t="shared" si="108"/>
        <v>16469.28</v>
      </c>
      <c r="AV125" s="1">
        <f t="shared" si="109"/>
        <v>1</v>
      </c>
      <c r="AW125" s="1">
        <f t="shared" si="185"/>
        <v>8</v>
      </c>
      <c r="AX125" s="1">
        <f t="shared" si="110"/>
        <v>0</v>
      </c>
      <c r="AY125" s="1">
        <f t="shared" si="179"/>
        <v>6</v>
      </c>
      <c r="AZ125" s="1">
        <f t="shared" si="111"/>
        <v>5</v>
      </c>
      <c r="BA125" s="1">
        <f>MIN(6,Q125+0)</f>
        <v>3</v>
      </c>
      <c r="BB125" s="1">
        <f t="shared" si="172"/>
        <v>5</v>
      </c>
      <c r="BC125" s="1">
        <f t="shared" si="186"/>
        <v>2</v>
      </c>
      <c r="BD125" s="1">
        <f t="shared" si="180"/>
        <v>0</v>
      </c>
      <c r="BE125" s="1">
        <f t="shared" si="173"/>
        <v>0</v>
      </c>
      <c r="BF125" s="1">
        <f>MIN(4,V125+1)</f>
        <v>2</v>
      </c>
      <c r="BG125" s="1">
        <f t="shared" si="177"/>
        <v>1</v>
      </c>
      <c r="BH125" s="1">
        <f t="shared" si="174"/>
        <v>1</v>
      </c>
      <c r="BI125" s="1">
        <f t="shared" si="178"/>
        <v>1</v>
      </c>
      <c r="BJ125" s="1">
        <f t="shared" si="184"/>
        <v>1</v>
      </c>
      <c r="BK125" s="1">
        <f t="shared" si="184"/>
        <v>1</v>
      </c>
      <c r="BL125" s="1">
        <f t="shared" si="154"/>
        <v>0</v>
      </c>
      <c r="BM125" s="1">
        <f t="shared" si="152"/>
        <v>0</v>
      </c>
      <c r="BN125" s="1">
        <f t="shared" si="175"/>
        <v>1</v>
      </c>
      <c r="BO125" s="1">
        <f t="shared" si="176"/>
        <v>1</v>
      </c>
    </row>
    <row r="126" spans="1:67" ht="30.95" customHeight="1">
      <c r="A126" s="1">
        <f>3</f>
        <v>3</v>
      </c>
      <c r="B126" s="1">
        <f>固定流程!A18</f>
        <v>13</v>
      </c>
      <c r="C126" s="1">
        <f>6</f>
        <v>6</v>
      </c>
      <c r="D126" s="1">
        <f>1</f>
        <v>1</v>
      </c>
      <c r="E126" s="1">
        <f>固定流程!C18</f>
        <v>2</v>
      </c>
      <c r="F126" s="1">
        <f>固定流程!G18</f>
        <v>3</v>
      </c>
      <c r="G126" s="1" t="str">
        <f>固定流程!H18</f>
        <v>RHI_BERRY</v>
      </c>
      <c r="H126" s="1">
        <f>固定流程!F18</f>
        <v>1</v>
      </c>
      <c r="I126" s="1">
        <f>INDEX(配置与结果!$B$15:$B$18,F126)</f>
        <v>2597</v>
      </c>
      <c r="J126" s="1">
        <f>INDEX(配置与结果!$D$15:$D$18,F126)</f>
        <v>0.255</v>
      </c>
      <c r="K126" s="1">
        <f>INDEX(配置与结果!$E$15:$E$18,F126)</f>
        <v>1.55</v>
      </c>
      <c r="L126" s="1">
        <f t="shared" si="182"/>
        <v>1</v>
      </c>
      <c r="M126" s="1">
        <f t="shared" si="182"/>
        <v>8</v>
      </c>
      <c r="N126" s="1">
        <f t="shared" si="182"/>
        <v>0</v>
      </c>
      <c r="O126" s="1">
        <f t="shared" si="181"/>
        <v>6</v>
      </c>
      <c r="P126" s="1">
        <f>MIN(方案参数!$AI$6,AZ125+0+0)</f>
        <v>5</v>
      </c>
      <c r="Q126" s="1">
        <f t="shared" si="159"/>
        <v>3</v>
      </c>
      <c r="R126" s="1">
        <f t="shared" si="160"/>
        <v>5</v>
      </c>
      <c r="S126" s="1">
        <f t="shared" si="161"/>
        <v>2</v>
      </c>
      <c r="T126" s="1">
        <f t="shared" si="162"/>
        <v>0</v>
      </c>
      <c r="U126" s="1">
        <f t="shared" si="163"/>
        <v>0</v>
      </c>
      <c r="V126" s="1">
        <f t="shared" si="164"/>
        <v>2</v>
      </c>
      <c r="W126" s="1">
        <f t="shared" si="165"/>
        <v>1</v>
      </c>
      <c r="X126" s="1">
        <f t="shared" si="166"/>
        <v>1</v>
      </c>
      <c r="Y126" s="1">
        <f t="shared" si="167"/>
        <v>1</v>
      </c>
      <c r="Z126" s="1">
        <f t="shared" si="168"/>
        <v>1</v>
      </c>
      <c r="AA126" s="1">
        <f t="shared" si="183"/>
        <v>1</v>
      </c>
      <c r="AB126" s="1">
        <f t="shared" si="170"/>
        <v>0</v>
      </c>
      <c r="AC126" s="1">
        <f t="shared" si="171"/>
        <v>0</v>
      </c>
      <c r="AD126" s="1">
        <f>ROUNDDOWN(I126*(1+IF(F126=3,0.05+方案参数!$Y$6+AA126*0.12,IF(F126=4,方案参数!$BZ$6*方案参数!$AS$6,0)))+IF(AND(X126=1,F126&lt;&gt;3),方案参数!$CC$6,0)+AC126*方案参数!$CB$6,0)</f>
        <v>3298</v>
      </c>
      <c r="AE126" s="1">
        <f>IF(OR(F126=1,F126=4),配置与结果!$B$24,配置与结果!$B$25)*MAX(0,1-INDEX(配置与结果!$I$15:$I$18,F126))</f>
        <v>1000</v>
      </c>
      <c r="AF126" s="1">
        <f>方案参数!$CF$6+P126*方案参数!$CG$6</f>
        <v>22.5</v>
      </c>
      <c r="AG126" s="1">
        <f>MAX(配置与结果!$B$32,1+INDEX(配置与结果!$F$15:$F$18,F126)+0+Q126*方案参数!$W$6+Y126*(方案参数!$AN$6+MIN(方案参数!$AO$6,P126*0.03))+AB126*方案参数!$BZ$6*0.025-配置与结果!$B$28)</f>
        <v>0.995</v>
      </c>
      <c r="AH126" s="1">
        <f>MAX(0,1+INDEX(配置与结果!$G$15:$G$18,F126)+W126*方案参数!$AG$6)</f>
        <v>1.3</v>
      </c>
      <c r="AI126" s="1">
        <f>IF(OR(INDEX(配置与结果!$K$15:$K$18,F126)=1,G126="RHI_BERRY"),1+配置与结果!$B$33+P126*方案参数!$AH$6,1)</f>
        <v>1.5</v>
      </c>
      <c r="AJ126" s="1">
        <f>MIN(1,MAX(0,J126+方案参数!$AB$6-配置与结果!$B$27))</f>
        <v>0.55499999999999994</v>
      </c>
      <c r="AK126" s="1">
        <f>MAX(1,K126+IF(F126=2,0.15+方案参数!$CH$6,0)+BN126*方案参数!$X$6+R126*方案参数!$AA$6+0-配置与结果!$B$26+Z126*(方案参数!$AP$6+MIN(方案参数!$AQ$6,P126*0.03)))</f>
        <v>1.6300000000000001</v>
      </c>
      <c r="AL126" s="7">
        <f>ROUNDDOWN(MAX(AD126*配置与结果!$B$31,AD126-AE126)*AF126*AG126*AH126*AI126,0)</f>
        <v>100320</v>
      </c>
      <c r="AM126" s="7">
        <f>ROUNDDOWN(MAX(AD126*配置与结果!$B$31,AD126-AE126)*AF126*AG126*AH126*AI126*AK126,0)</f>
        <v>163522</v>
      </c>
      <c r="AN126" s="7">
        <f t="shared" si="104"/>
        <v>135397.10999999999</v>
      </c>
      <c r="AO126" s="7">
        <f>0</f>
        <v>0</v>
      </c>
      <c r="AP126" s="7">
        <f>MAX(0,1+INDEX(配置与结果!$J$15:$J$18,F126)+IF(T126&gt;0,方案参数!$BY$6,0)-配置与结果!$B$30)</f>
        <v>1</v>
      </c>
      <c r="AQ126" s="7">
        <f t="shared" si="105"/>
        <v>0</v>
      </c>
      <c r="AR126" s="7">
        <f t="shared" si="106"/>
        <v>0</v>
      </c>
      <c r="AS126" s="7">
        <f t="shared" si="107"/>
        <v>0</v>
      </c>
      <c r="AT126" s="7">
        <f>0</f>
        <v>0</v>
      </c>
      <c r="AU126" s="7">
        <f t="shared" si="108"/>
        <v>135397.10999999999</v>
      </c>
      <c r="AV126" s="1">
        <f t="shared" si="109"/>
        <v>1</v>
      </c>
      <c r="AW126" s="1">
        <f t="shared" si="185"/>
        <v>8</v>
      </c>
      <c r="AX126" s="1">
        <f t="shared" si="110"/>
        <v>0</v>
      </c>
      <c r="AY126" s="1">
        <f t="shared" si="179"/>
        <v>6</v>
      </c>
      <c r="AZ126" s="1">
        <f t="shared" si="111"/>
        <v>5</v>
      </c>
      <c r="BA126" s="1">
        <f>MIN(6,Q126+0)</f>
        <v>3</v>
      </c>
      <c r="BB126" s="1">
        <f t="shared" si="172"/>
        <v>5</v>
      </c>
      <c r="BC126" s="1">
        <f t="shared" si="186"/>
        <v>2</v>
      </c>
      <c r="BD126" s="1">
        <f t="shared" si="180"/>
        <v>0</v>
      </c>
      <c r="BE126" s="1">
        <f t="shared" si="173"/>
        <v>0</v>
      </c>
      <c r="BF126" s="1">
        <f>MIN(4,V126+0)</f>
        <v>2</v>
      </c>
      <c r="BG126" s="1">
        <f t="shared" si="177"/>
        <v>1</v>
      </c>
      <c r="BH126" s="1">
        <f t="shared" si="174"/>
        <v>1</v>
      </c>
      <c r="BI126" s="1">
        <f t="shared" si="178"/>
        <v>1</v>
      </c>
      <c r="BJ126" s="1">
        <f t="shared" si="184"/>
        <v>1</v>
      </c>
      <c r="BK126" s="1">
        <f t="shared" si="184"/>
        <v>1</v>
      </c>
      <c r="BL126" s="1">
        <f t="shared" si="154"/>
        <v>0</v>
      </c>
      <c r="BM126" s="1">
        <f t="shared" si="152"/>
        <v>0</v>
      </c>
      <c r="BN126" s="1">
        <f t="shared" si="175"/>
        <v>1</v>
      </c>
      <c r="BO126" s="1">
        <f t="shared" si="176"/>
        <v>1</v>
      </c>
    </row>
    <row r="127" spans="1:67" ht="30.95" customHeight="1">
      <c r="A127" s="1">
        <f>3</f>
        <v>3</v>
      </c>
      <c r="B127" s="1">
        <f>固定流程!A19</f>
        <v>14</v>
      </c>
      <c r="C127" s="1">
        <f>6</f>
        <v>6</v>
      </c>
      <c r="D127" s="1">
        <f>1</f>
        <v>1</v>
      </c>
      <c r="E127" s="1">
        <f>固定流程!C19</f>
        <v>3</v>
      </c>
      <c r="F127" s="1">
        <f>固定流程!G19</f>
        <v>3</v>
      </c>
      <c r="G127" s="1" t="str">
        <f>固定流程!H19</f>
        <v>RHI_BUFF</v>
      </c>
      <c r="H127" s="1">
        <f>固定流程!F19</f>
        <v>1</v>
      </c>
      <c r="I127" s="1">
        <f>INDEX(配置与结果!$B$15:$B$18,F127)</f>
        <v>2597</v>
      </c>
      <c r="J127" s="1">
        <f>INDEX(配置与结果!$D$15:$D$18,F127)</f>
        <v>0.255</v>
      </c>
      <c r="K127" s="1">
        <f>INDEX(配置与结果!$E$15:$E$18,F127)</f>
        <v>1.55</v>
      </c>
      <c r="L127" s="1">
        <f>IF(AV126=1,IF(M127&gt;=10,2,1),IF(AV126=2,IF(AX126&lt;=1,0,2),0))</f>
        <v>2</v>
      </c>
      <c r="M127" s="1">
        <f>IF(AND(AV126=2,AX126&lt;=1),0,MIN(10,AW126+IF(AV126=1,3,0)))</f>
        <v>10</v>
      </c>
      <c r="N127" s="1">
        <f>IF(AND(AV126=1,M127&gt;=10),2,IF(AV126=2,MAX(0,AX126-1),0))</f>
        <v>2</v>
      </c>
      <c r="O127" s="1">
        <f t="shared" si="181"/>
        <v>6</v>
      </c>
      <c r="P127" s="1">
        <f>MIN(方案参数!$AI$6,AZ126+方案参数!$AJ$6+方案参数!$AK$6)</f>
        <v>5</v>
      </c>
      <c r="Q127" s="1">
        <f t="shared" si="159"/>
        <v>3</v>
      </c>
      <c r="R127" s="1">
        <f t="shared" si="160"/>
        <v>5</v>
      </c>
      <c r="S127" s="1">
        <f t="shared" si="161"/>
        <v>2</v>
      </c>
      <c r="T127" s="1">
        <f t="shared" si="162"/>
        <v>0</v>
      </c>
      <c r="U127" s="1">
        <f t="shared" si="163"/>
        <v>0</v>
      </c>
      <c r="V127" s="1">
        <f t="shared" si="164"/>
        <v>2</v>
      </c>
      <c r="W127" s="1">
        <f t="shared" si="165"/>
        <v>1</v>
      </c>
      <c r="X127" s="1">
        <f t="shared" si="166"/>
        <v>1</v>
      </c>
      <c r="Y127" s="1">
        <f t="shared" si="167"/>
        <v>1</v>
      </c>
      <c r="Z127" s="1">
        <f t="shared" si="168"/>
        <v>1</v>
      </c>
      <c r="AA127" s="1">
        <f t="shared" si="183"/>
        <v>1</v>
      </c>
      <c r="AB127" s="1">
        <f t="shared" si="170"/>
        <v>0</v>
      </c>
      <c r="AC127" s="1">
        <f t="shared" si="171"/>
        <v>0</v>
      </c>
      <c r="AD127" s="1">
        <f>ROUNDDOWN(I127*(1+IF(F127=3,0.05+方案参数!$Y$6+AA127*0.12,IF(F127=4,方案参数!$BZ$6*方案参数!$AS$6,0)))+IF(AND(X127=1,F127&lt;&gt;3),方案参数!$CC$6,0)+AC127*方案参数!$CB$6,0)</f>
        <v>3298</v>
      </c>
      <c r="AE127" s="1">
        <f>IF(OR(F127=1,F127=4),配置与结果!$B$24,配置与结果!$B$25)*MAX(0,1-INDEX(配置与结果!$I$15:$I$18,F127))</f>
        <v>1000</v>
      </c>
      <c r="AF127" s="1">
        <f>0</f>
        <v>0</v>
      </c>
      <c r="AG127" s="1">
        <f>MAX(配置与结果!$B$32,1+INDEX(配置与结果!$F$15:$F$18,F127)+0+Q127*方案参数!$W$6+Y127*(方案参数!$AN$6+MIN(方案参数!$AO$6,P127*0.03))+AB127*方案参数!$BZ$6*0.025-配置与结果!$B$28)</f>
        <v>0.995</v>
      </c>
      <c r="AH127" s="1">
        <f>MAX(0,1+INDEX(配置与结果!$G$15:$G$18,F127)+W127*方案参数!$AG$6)</f>
        <v>1.3</v>
      </c>
      <c r="AI127" s="1">
        <f>IF(OR(INDEX(配置与结果!$K$15:$K$18,F127)=1,G127="RHI_BERRY"),1+配置与结果!$B$33+P127*方案参数!$AH$6,1)</f>
        <v>1</v>
      </c>
      <c r="AJ127" s="1">
        <f>MIN(1,MAX(0,J127+方案参数!$AB$6-配置与结果!$B$27))</f>
        <v>0.55499999999999994</v>
      </c>
      <c r="AK127" s="1">
        <f>MAX(1,K127+IF(F127=2,0.15+方案参数!$CH$6,0)+BN127*方案参数!$X$6+R127*方案参数!$AA$6+0-配置与结果!$B$26+Z127*(方案参数!$AP$6+MIN(方案参数!$AQ$6,P127*0.03)))</f>
        <v>1.6300000000000001</v>
      </c>
      <c r="AL127" s="7">
        <f>ROUNDDOWN(MAX(AD127*配置与结果!$B$31,AD127-AE127)*AF127*AG127*AH127*AI127,0)</f>
        <v>0</v>
      </c>
      <c r="AM127" s="7">
        <f>ROUNDDOWN(MAX(AD127*配置与结果!$B$31,AD127-AE127)*AF127*AG127*AH127*AI127*AK127,0)</f>
        <v>0</v>
      </c>
      <c r="AN127" s="7">
        <f t="shared" si="104"/>
        <v>0</v>
      </c>
      <c r="AO127" s="7">
        <f>0</f>
        <v>0</v>
      </c>
      <c r="AP127" s="7">
        <f>MAX(0,1+INDEX(配置与结果!$J$15:$J$18,F127)+IF(T127&gt;0,方案参数!$BY$6,0)-配置与结果!$B$30)</f>
        <v>1</v>
      </c>
      <c r="AQ127" s="7">
        <f t="shared" si="105"/>
        <v>0</v>
      </c>
      <c r="AR127" s="7">
        <f t="shared" si="106"/>
        <v>0</v>
      </c>
      <c r="AS127" s="7">
        <f t="shared" si="107"/>
        <v>0</v>
      </c>
      <c r="AT127" s="7">
        <f>0</f>
        <v>0</v>
      </c>
      <c r="AU127" s="7">
        <f t="shared" si="108"/>
        <v>0</v>
      </c>
      <c r="AV127" s="1">
        <f t="shared" si="109"/>
        <v>2</v>
      </c>
      <c r="AW127" s="1">
        <f t="shared" si="185"/>
        <v>10</v>
      </c>
      <c r="AX127" s="1">
        <f t="shared" si="110"/>
        <v>2</v>
      </c>
      <c r="AY127" s="1">
        <f t="shared" si="179"/>
        <v>6</v>
      </c>
      <c r="AZ127" s="1">
        <f t="shared" si="111"/>
        <v>5</v>
      </c>
      <c r="BA127" s="1">
        <f>MIN(6,Q127+1)</f>
        <v>4</v>
      </c>
      <c r="BB127" s="1">
        <f t="shared" si="172"/>
        <v>5</v>
      </c>
      <c r="BC127" s="1">
        <f t="shared" si="186"/>
        <v>2</v>
      </c>
      <c r="BD127" s="1">
        <f t="shared" si="180"/>
        <v>0</v>
      </c>
      <c r="BE127" s="1">
        <f t="shared" si="173"/>
        <v>0</v>
      </c>
      <c r="BF127" s="1">
        <f>MIN(4,V127+0)</f>
        <v>2</v>
      </c>
      <c r="BG127" s="1">
        <f>MAX(W127,1)</f>
        <v>1</v>
      </c>
      <c r="BH127" s="1">
        <f t="shared" si="174"/>
        <v>1</v>
      </c>
      <c r="BI127" s="1">
        <f>MAX(Y127,1)</f>
        <v>1</v>
      </c>
      <c r="BJ127" s="1">
        <f t="shared" si="184"/>
        <v>1</v>
      </c>
      <c r="BK127" s="1">
        <f t="shared" si="184"/>
        <v>1</v>
      </c>
      <c r="BL127" s="1">
        <f t="shared" si="154"/>
        <v>0</v>
      </c>
      <c r="BM127" s="1">
        <f t="shared" si="152"/>
        <v>0</v>
      </c>
      <c r="BN127" s="1">
        <f t="shared" si="175"/>
        <v>1</v>
      </c>
      <c r="BO127" s="1">
        <f t="shared" si="176"/>
        <v>1</v>
      </c>
    </row>
    <row r="128" spans="1:67" ht="30.95" customHeight="1">
      <c r="A128" s="1">
        <f>3</f>
        <v>3</v>
      </c>
      <c r="B128" s="1">
        <f>固定流程!A20</f>
        <v>15</v>
      </c>
      <c r="C128" s="1">
        <f>6</f>
        <v>6</v>
      </c>
      <c r="D128" s="1">
        <f>1</f>
        <v>1</v>
      </c>
      <c r="E128" s="1">
        <f>固定流程!C20</f>
        <v>3</v>
      </c>
      <c r="F128" s="1">
        <f>固定流程!G20</f>
        <v>3</v>
      </c>
      <c r="G128" s="1" t="str">
        <f>固定流程!H20</f>
        <v>RHI_ATTACK</v>
      </c>
      <c r="H128" s="1">
        <f>固定流程!F20</f>
        <v>1</v>
      </c>
      <c r="I128" s="1">
        <f>INDEX(配置与结果!$B$15:$B$18,F128)</f>
        <v>2597</v>
      </c>
      <c r="J128" s="1">
        <f>INDEX(配置与结果!$D$15:$D$18,F128)</f>
        <v>0.255</v>
      </c>
      <c r="K128" s="1">
        <f>INDEX(配置与结果!$E$15:$E$18,F128)</f>
        <v>1.55</v>
      </c>
      <c r="L128" s="1">
        <f t="shared" ref="L128:L149" si="187">AV127</f>
        <v>2</v>
      </c>
      <c r="M128" s="1">
        <f t="shared" ref="M128:M149" si="188">AW127</f>
        <v>10</v>
      </c>
      <c r="N128" s="1">
        <f t="shared" ref="N128:N149" si="189">AX127</f>
        <v>2</v>
      </c>
      <c r="O128" s="1">
        <f t="shared" si="181"/>
        <v>6</v>
      </c>
      <c r="P128" s="1">
        <f>MIN(方案参数!$AI$6,AZ127+0+方案参数!$AK$6)</f>
        <v>5</v>
      </c>
      <c r="Q128" s="1">
        <f t="shared" si="159"/>
        <v>4</v>
      </c>
      <c r="R128" s="1">
        <f t="shared" si="160"/>
        <v>5</v>
      </c>
      <c r="S128" s="1">
        <f t="shared" si="161"/>
        <v>2</v>
      </c>
      <c r="T128" s="1">
        <f t="shared" si="162"/>
        <v>0</v>
      </c>
      <c r="U128" s="1">
        <f t="shared" si="163"/>
        <v>0</v>
      </c>
      <c r="V128" s="1">
        <f t="shared" si="164"/>
        <v>2</v>
      </c>
      <c r="W128" s="1">
        <f t="shared" si="165"/>
        <v>1</v>
      </c>
      <c r="X128" s="1">
        <f t="shared" si="166"/>
        <v>1</v>
      </c>
      <c r="Y128" s="1">
        <f t="shared" si="167"/>
        <v>1</v>
      </c>
      <c r="Z128" s="1">
        <f t="shared" si="168"/>
        <v>1</v>
      </c>
      <c r="AA128" s="1">
        <f>MAX(BK127,1)</f>
        <v>1</v>
      </c>
      <c r="AB128" s="1">
        <f t="shared" si="170"/>
        <v>0</v>
      </c>
      <c r="AC128" s="1">
        <f t="shared" si="171"/>
        <v>0</v>
      </c>
      <c r="AD128" s="1">
        <f>ROUNDDOWN(I128*(1+IF(F128=3,0.05+方案参数!$Y$6+AA128*0.12,IF(F128=4,方案参数!$BZ$6*方案参数!$AS$6,0)))+IF(AND(X128=1,F128&lt;&gt;3),方案参数!$CC$6,0)+AC128*方案参数!$CB$6,0)</f>
        <v>3298</v>
      </c>
      <c r="AE128" s="1">
        <f>IF(OR(F128=1,F128=4),配置与结果!$B$24,配置与结果!$B$25)*MAX(0,1-INDEX(配置与结果!$I$15:$I$18,F128))</f>
        <v>1000</v>
      </c>
      <c r="AF128" s="1">
        <f>4</f>
        <v>4</v>
      </c>
      <c r="AG128" s="1">
        <f>MAX(配置与结果!$B$32,1+INDEX(配置与结果!$F$15:$F$18,F128)+0+Q128*方案参数!$W$6+Y128*(方案参数!$AN$6+MIN(方案参数!$AO$6,P128*0.03))+AB128*方案参数!$BZ$6*0.025-配置与结果!$B$28)</f>
        <v>1.0150000000000001</v>
      </c>
      <c r="AH128" s="1">
        <f>MAX(0,1+INDEX(配置与结果!$G$15:$G$18,F128)+W128*方案参数!$AG$6)</f>
        <v>1.3</v>
      </c>
      <c r="AI128" s="1">
        <f>IF(OR(INDEX(配置与结果!$K$15:$K$18,F128)=1,G128="RHI_BERRY"),1+配置与结果!$B$33+P128*方案参数!$AH$6,1)</f>
        <v>1</v>
      </c>
      <c r="AJ128" s="1">
        <f>MIN(1,MAX(0,J128+方案参数!$AB$6-配置与结果!$B$27))</f>
        <v>0.55499999999999994</v>
      </c>
      <c r="AK128" s="1">
        <f>MAX(1,K128+IF(F128=2,0.15+方案参数!$CH$6,0)+BN128*方案参数!$X$6+R128*方案参数!$AA$6+0-配置与结果!$B$26+Z128*(方案参数!$AP$6+MIN(方案参数!$AQ$6,P128*0.03)))</f>
        <v>1.6300000000000001</v>
      </c>
      <c r="AL128" s="7">
        <f>ROUNDDOWN(MAX(AD128*配置与结果!$B$31,AD128-AE128)*AF128*AG128*AH128*AI128,0)</f>
        <v>12128</v>
      </c>
      <c r="AM128" s="7">
        <f>ROUNDDOWN(MAX(AD128*配置与结果!$B$31,AD128-AE128)*AF128*AG128*AH128*AI128*AK128,0)</f>
        <v>19770</v>
      </c>
      <c r="AN128" s="7">
        <f t="shared" si="104"/>
        <v>16369.31</v>
      </c>
      <c r="AO128" s="7">
        <f>0</f>
        <v>0</v>
      </c>
      <c r="AP128" s="7">
        <f>MAX(0,1+INDEX(配置与结果!$J$15:$J$18,F128)+IF(T128&gt;0,方案参数!$BY$6,0)-配置与结果!$B$30)</f>
        <v>1</v>
      </c>
      <c r="AQ128" s="7">
        <f t="shared" si="105"/>
        <v>0</v>
      </c>
      <c r="AR128" s="7">
        <f t="shared" si="106"/>
        <v>0</v>
      </c>
      <c r="AS128" s="7">
        <f t="shared" si="107"/>
        <v>0</v>
      </c>
      <c r="AT128" s="7">
        <f>0</f>
        <v>0</v>
      </c>
      <c r="AU128" s="7">
        <f t="shared" si="108"/>
        <v>16369.31</v>
      </c>
      <c r="AV128" s="1">
        <f t="shared" si="109"/>
        <v>2</v>
      </c>
      <c r="AW128" s="1">
        <f t="shared" si="185"/>
        <v>10</v>
      </c>
      <c r="AX128" s="1">
        <f t="shared" si="110"/>
        <v>2</v>
      </c>
      <c r="AY128" s="1">
        <f t="shared" si="179"/>
        <v>6</v>
      </c>
      <c r="AZ128" s="1">
        <f t="shared" si="111"/>
        <v>5</v>
      </c>
      <c r="BA128" s="1">
        <f>MIN(6,Q128+1)</f>
        <v>5</v>
      </c>
      <c r="BB128" s="1">
        <f t="shared" si="172"/>
        <v>5</v>
      </c>
      <c r="BC128" s="1">
        <f t="shared" si="186"/>
        <v>2</v>
      </c>
      <c r="BD128" s="1">
        <f t="shared" si="180"/>
        <v>0</v>
      </c>
      <c r="BE128" s="1">
        <f t="shared" si="173"/>
        <v>0</v>
      </c>
      <c r="BF128" s="1">
        <f>MIN(4,V128+0)</f>
        <v>2</v>
      </c>
      <c r="BG128" s="1">
        <f t="shared" ref="BG128:BG150" si="190">MAX(W128,0)</f>
        <v>1</v>
      </c>
      <c r="BH128" s="1">
        <f t="shared" si="174"/>
        <v>1</v>
      </c>
      <c r="BI128" s="1">
        <f t="shared" ref="BI128:BI150" si="191">MAX(Y128,0)</f>
        <v>1</v>
      </c>
      <c r="BJ128" s="1">
        <f>MAX(Z128,1)</f>
        <v>1</v>
      </c>
      <c r="BK128" s="1">
        <f>MAX(AA128,1)</f>
        <v>1</v>
      </c>
      <c r="BL128" s="1">
        <f t="shared" si="154"/>
        <v>0</v>
      </c>
      <c r="BM128" s="1">
        <f t="shared" si="152"/>
        <v>0</v>
      </c>
      <c r="BN128" s="1">
        <f t="shared" si="175"/>
        <v>1</v>
      </c>
      <c r="BO128" s="1">
        <f t="shared" si="176"/>
        <v>1</v>
      </c>
    </row>
    <row r="129" spans="1:67" ht="30.95" customHeight="1">
      <c r="A129" s="1">
        <f>3</f>
        <v>3</v>
      </c>
      <c r="B129" s="1">
        <f>固定流程!A21</f>
        <v>16</v>
      </c>
      <c r="C129" s="1">
        <f>6</f>
        <v>6</v>
      </c>
      <c r="D129" s="1">
        <f>1</f>
        <v>1</v>
      </c>
      <c r="E129" s="1">
        <f>固定流程!C21</f>
        <v>3</v>
      </c>
      <c r="F129" s="1">
        <f>固定流程!G21</f>
        <v>2</v>
      </c>
      <c r="G129" s="1" t="str">
        <f>固定流程!H21</f>
        <v>37_ULT</v>
      </c>
      <c r="H129" s="1">
        <f>固定流程!F21</f>
        <v>1</v>
      </c>
      <c r="I129" s="1">
        <f>INDEX(配置与结果!$B$15:$B$18,F129)</f>
        <v>2306</v>
      </c>
      <c r="J129" s="1">
        <f>INDEX(配置与结果!$D$15:$D$18,F129)</f>
        <v>0.46</v>
      </c>
      <c r="K129" s="1">
        <f>INDEX(配置与结果!$E$15:$E$18,F129)</f>
        <v>1.9279999999999999</v>
      </c>
      <c r="L129" s="1">
        <f t="shared" si="187"/>
        <v>2</v>
      </c>
      <c r="M129" s="1">
        <f t="shared" si="188"/>
        <v>10</v>
      </c>
      <c r="N129" s="1">
        <f t="shared" si="189"/>
        <v>2</v>
      </c>
      <c r="O129" s="1">
        <f t="shared" si="181"/>
        <v>6</v>
      </c>
      <c r="P129" s="1">
        <f>MIN(方案参数!$AI$6,AZ128+0+0)</f>
        <v>5</v>
      </c>
      <c r="Q129" s="1">
        <f t="shared" si="159"/>
        <v>5</v>
      </c>
      <c r="R129" s="1">
        <f t="shared" si="160"/>
        <v>5</v>
      </c>
      <c r="S129" s="1">
        <f t="shared" si="161"/>
        <v>2</v>
      </c>
      <c r="T129" s="1">
        <f>BD128+方案参数!$BX$6</f>
        <v>2</v>
      </c>
      <c r="U129" s="1">
        <f t="shared" si="163"/>
        <v>0</v>
      </c>
      <c r="V129" s="1">
        <f t="shared" si="164"/>
        <v>2</v>
      </c>
      <c r="W129" s="1">
        <f t="shared" si="165"/>
        <v>1</v>
      </c>
      <c r="X129" s="1">
        <f t="shared" si="166"/>
        <v>1</v>
      </c>
      <c r="Y129" s="1">
        <f t="shared" si="167"/>
        <v>1</v>
      </c>
      <c r="Z129" s="1">
        <f t="shared" si="168"/>
        <v>1</v>
      </c>
      <c r="AA129" s="1">
        <f t="shared" ref="AA129:AA149" si="192">MAX(BK128,0)</f>
        <v>1</v>
      </c>
      <c r="AB129" s="1">
        <f t="shared" si="170"/>
        <v>0</v>
      </c>
      <c r="AC129" s="1">
        <f>MAX(BM128,1)</f>
        <v>1</v>
      </c>
      <c r="AD129" s="1">
        <f>ROUNDDOWN(I129*(1+IF(F129=3,0.05+方案参数!$Y$6+AA129*0.12,IF(F129=4,方案参数!$BZ$6*方案参数!$AS$6,0)))+IF(AND(X129=1,F129&lt;&gt;3),方案参数!$CC$6,0)+AC129*方案参数!$CB$6,0)</f>
        <v>3044</v>
      </c>
      <c r="AE129" s="1">
        <f>IF(OR(F129=1,F129=4),配置与结果!$B$24,配置与结果!$B$25)*MAX(0,1-INDEX(配置与结果!$I$15:$I$18,F129))</f>
        <v>1000</v>
      </c>
      <c r="AF129" s="1">
        <f>0</f>
        <v>0</v>
      </c>
      <c r="AG129" s="1">
        <f>MAX(配置与结果!$B$32,1+INDEX(配置与结果!$F$15:$F$18,F129)+0+Q129*方案参数!$W$6+Y129*(方案参数!$AN$6+MIN(方案参数!$AO$6,P129*0.03))+AB129*方案参数!$BZ$6*0.025-配置与结果!$B$28)</f>
        <v>1.0049999999999999</v>
      </c>
      <c r="AH129" s="1">
        <f>MAX(0,1+INDEX(配置与结果!$G$15:$G$18,F129)+W129*方案参数!$AG$6)</f>
        <v>1.3</v>
      </c>
      <c r="AI129" s="1">
        <f>IF(OR(INDEX(配置与结果!$K$15:$K$18,F129)=1,G129="RHI_BERRY"),1+配置与结果!$B$33+P129*方案参数!$AH$6,1)</f>
        <v>1</v>
      </c>
      <c r="AJ129" s="1">
        <f>MIN(1,MAX(0,J129+方案参数!$AB$6-配置与结果!$B$27))</f>
        <v>0.76</v>
      </c>
      <c r="AK129" s="1">
        <f>MAX(1,K129+IF(F129=2,0.15+方案参数!$CH$6,0)+BN129*方案参数!$X$6+R129*方案参数!$AA$6+0-配置与结果!$B$26+Z129*(方案参数!$AP$6+MIN(方案参数!$AQ$6,P129*0.03)))</f>
        <v>2.278</v>
      </c>
      <c r="AL129" s="7">
        <f>ROUNDDOWN(MAX(AD129*配置与结果!$B$31,AD129-AE129)*AF129*AG129*AH129*AI129,0)</f>
        <v>0</v>
      </c>
      <c r="AM129" s="7">
        <f>ROUNDDOWN(MAX(AD129*配置与结果!$B$31,AD129-AE129)*AF129*AG129*AH129*AI129*AK129,0)</f>
        <v>0</v>
      </c>
      <c r="AN129" s="7">
        <f t="shared" si="104"/>
        <v>0</v>
      </c>
      <c r="AO129" s="7">
        <f>0</f>
        <v>0</v>
      </c>
      <c r="AP129" s="7">
        <f>MAX(0,1+INDEX(配置与结果!$J$15:$J$18,F129)+IF(T129&gt;0,方案参数!$BY$6,0)-配置与结果!$B$30)</f>
        <v>2</v>
      </c>
      <c r="AQ129" s="7">
        <f t="shared" si="105"/>
        <v>0</v>
      </c>
      <c r="AR129" s="7">
        <f t="shared" si="106"/>
        <v>0</v>
      </c>
      <c r="AS129" s="7">
        <f t="shared" si="107"/>
        <v>0</v>
      </c>
      <c r="AT129" s="7">
        <f>0</f>
        <v>0</v>
      </c>
      <c r="AU129" s="7">
        <f t="shared" si="108"/>
        <v>0</v>
      </c>
      <c r="AV129" s="1">
        <f t="shared" si="109"/>
        <v>2</v>
      </c>
      <c r="AW129" s="1">
        <f t="shared" si="185"/>
        <v>10</v>
      </c>
      <c r="AX129" s="1">
        <f t="shared" si="110"/>
        <v>2</v>
      </c>
      <c r="AY129" s="1">
        <f t="shared" si="179"/>
        <v>6</v>
      </c>
      <c r="AZ129" s="1">
        <f t="shared" si="111"/>
        <v>5</v>
      </c>
      <c r="BA129" s="1">
        <f t="shared" ref="BA129:BA149" si="193">MIN(6,Q129+0)</f>
        <v>5</v>
      </c>
      <c r="BB129" s="1">
        <f>MIN(30,R129+5)</f>
        <v>10</v>
      </c>
      <c r="BC129" s="1">
        <f t="shared" si="186"/>
        <v>2</v>
      </c>
      <c r="BD129" s="1">
        <f t="shared" si="180"/>
        <v>2</v>
      </c>
      <c r="BE129" s="1">
        <f t="shared" si="173"/>
        <v>0</v>
      </c>
      <c r="BF129" s="1">
        <f>MIN(4,V129+0)</f>
        <v>2</v>
      </c>
      <c r="BG129" s="1">
        <f t="shared" si="190"/>
        <v>1</v>
      </c>
      <c r="BH129" s="1">
        <f t="shared" si="174"/>
        <v>1</v>
      </c>
      <c r="BI129" s="1">
        <f t="shared" si="191"/>
        <v>1</v>
      </c>
      <c r="BJ129" s="1">
        <f t="shared" ref="BJ129:BJ156" si="194">MAX(Z129,0)</f>
        <v>1</v>
      </c>
      <c r="BK129" s="1">
        <f t="shared" ref="BK129:BK156" si="195">MAX(AA129,0)</f>
        <v>1</v>
      </c>
      <c r="BL129" s="1">
        <f t="shared" si="154"/>
        <v>0</v>
      </c>
      <c r="BM129" s="1">
        <f>MAX(AC129,1)</f>
        <v>1</v>
      </c>
      <c r="BN129" s="1">
        <f t="shared" si="175"/>
        <v>1</v>
      </c>
      <c r="BO129" s="1">
        <f t="shared" si="176"/>
        <v>1</v>
      </c>
    </row>
    <row r="130" spans="1:67" ht="30.95" customHeight="1">
      <c r="A130" s="1">
        <f>3</f>
        <v>3</v>
      </c>
      <c r="B130" s="1">
        <f>固定流程!A22</f>
        <v>17</v>
      </c>
      <c r="C130" s="1">
        <f>6</f>
        <v>6</v>
      </c>
      <c r="D130" s="1">
        <f>1</f>
        <v>1</v>
      </c>
      <c r="E130" s="1">
        <f>固定流程!C22</f>
        <v>3</v>
      </c>
      <c r="F130" s="1">
        <f>固定流程!G22</f>
        <v>2</v>
      </c>
      <c r="G130" s="1" t="str">
        <f>固定流程!H22</f>
        <v>37_FOLLOW</v>
      </c>
      <c r="H130" s="1">
        <f>固定流程!F22</f>
        <v>1</v>
      </c>
      <c r="I130" s="1">
        <f>INDEX(配置与结果!$B$15:$B$18,F130)</f>
        <v>2306</v>
      </c>
      <c r="J130" s="1">
        <f>INDEX(配置与结果!$D$15:$D$18,F130)</f>
        <v>0.46</v>
      </c>
      <c r="K130" s="1">
        <f>INDEX(配置与结果!$E$15:$E$18,F130)</f>
        <v>1.9279999999999999</v>
      </c>
      <c r="L130" s="1">
        <f t="shared" si="187"/>
        <v>2</v>
      </c>
      <c r="M130" s="1">
        <f t="shared" si="188"/>
        <v>10</v>
      </c>
      <c r="N130" s="1">
        <f t="shared" si="189"/>
        <v>2</v>
      </c>
      <c r="O130" s="1">
        <f t="shared" si="181"/>
        <v>6</v>
      </c>
      <c r="P130" s="1">
        <f>MIN(方案参数!$AI$6,AZ129+0+0)</f>
        <v>5</v>
      </c>
      <c r="Q130" s="1">
        <f t="shared" si="159"/>
        <v>5</v>
      </c>
      <c r="R130" s="1">
        <f t="shared" si="160"/>
        <v>10</v>
      </c>
      <c r="S130" s="1">
        <f t="shared" si="161"/>
        <v>2</v>
      </c>
      <c r="T130" s="1">
        <f t="shared" ref="T130:T149" si="196">BD129+0</f>
        <v>2</v>
      </c>
      <c r="U130" s="1">
        <f t="shared" si="163"/>
        <v>0</v>
      </c>
      <c r="V130" s="1">
        <f t="shared" si="164"/>
        <v>2</v>
      </c>
      <c r="W130" s="1">
        <f t="shared" si="165"/>
        <v>1</v>
      </c>
      <c r="X130" s="1">
        <f t="shared" si="166"/>
        <v>1</v>
      </c>
      <c r="Y130" s="1">
        <f t="shared" si="167"/>
        <v>1</v>
      </c>
      <c r="Z130" s="1">
        <f t="shared" si="168"/>
        <v>1</v>
      </c>
      <c r="AA130" s="1">
        <f t="shared" si="192"/>
        <v>1</v>
      </c>
      <c r="AB130" s="1">
        <f t="shared" si="170"/>
        <v>0</v>
      </c>
      <c r="AC130" s="1">
        <f t="shared" ref="AC130:AC149" si="197">MAX(BM129,0)</f>
        <v>1</v>
      </c>
      <c r="AD130" s="1">
        <f>ROUNDDOWN(I130*(1+IF(F130=3,0.05+方案参数!$Y$6+AA130*0.12,IF(F130=4,方案参数!$BZ$6*方案参数!$AS$6,0)))+IF(AND(X130=1,F130&lt;&gt;3),方案参数!$CC$6,0)+AC130*方案参数!$CB$6,0)</f>
        <v>3044</v>
      </c>
      <c r="AE130" s="1">
        <f>IF(OR(F130=1,F130=4),配置与结果!$B$24,配置与结果!$B$25)*MAX(0,1-INDEX(配置与结果!$I$15:$I$18,F130))</f>
        <v>1000</v>
      </c>
      <c r="AF130" s="1">
        <f>方案参数!$BV$6</f>
        <v>3</v>
      </c>
      <c r="AG130" s="1">
        <f>MAX(配置与结果!$B$32,1+INDEX(配置与结果!$F$15:$F$18,F130)+0+Q130*方案参数!$W$6+Y130*(方案参数!$AN$6+MIN(方案参数!$AO$6,P130*0.03))+AB130*方案参数!$BZ$6*0.025-配置与结果!$B$28)</f>
        <v>1.0049999999999999</v>
      </c>
      <c r="AH130" s="1">
        <f>MAX(0,1+INDEX(配置与结果!$G$15:$G$18,F130)+W130*方案参数!$AG$6)</f>
        <v>1.3</v>
      </c>
      <c r="AI130" s="1">
        <f>IF(OR(INDEX(配置与结果!$K$15:$K$18,F130)=1,G130="RHI_BERRY"),1+配置与结果!$B$33+P130*方案参数!$AH$6,1)</f>
        <v>1</v>
      </c>
      <c r="AJ130" s="1">
        <f>MIN(1,MAX(0,J130+方案参数!$AB$6-配置与结果!$B$27))</f>
        <v>0.76</v>
      </c>
      <c r="AK130" s="1">
        <f>MAX(1,K130+IF(F130=2,0.15+方案参数!$CH$6,0)+BN130*方案参数!$X$6+R130*方案参数!$AA$6+0-配置与结果!$B$26+Z130*(方案参数!$AP$6+MIN(方案参数!$AQ$6,P130*0.03)))</f>
        <v>2.298</v>
      </c>
      <c r="AL130" s="7">
        <f>ROUNDDOWN(MAX(AD130*配置与结果!$B$31,AD130-AE130)*AF130*AG130*AH130*AI130,0)</f>
        <v>8011</v>
      </c>
      <c r="AM130" s="7">
        <f>ROUNDDOWN(MAX(AD130*配置与结果!$B$31,AD130-AE130)*AF130*AG130*AH130*AI130*AK130,0)</f>
        <v>18410</v>
      </c>
      <c r="AN130" s="7">
        <f t="shared" si="104"/>
        <v>15914.24</v>
      </c>
      <c r="AO130" s="7">
        <f>方案参数!$BW$6</f>
        <v>1</v>
      </c>
      <c r="AP130" s="7">
        <f>MAX(0,1+INDEX(配置与结果!$J$15:$J$18,F130)+IF(T130&gt;0,方案参数!$BY$6,0)-配置与结果!$B$30)</f>
        <v>2</v>
      </c>
      <c r="AQ130" s="7">
        <f t="shared" si="105"/>
        <v>6088</v>
      </c>
      <c r="AR130" s="7">
        <f t="shared" si="106"/>
        <v>13990</v>
      </c>
      <c r="AS130" s="7">
        <f t="shared" si="107"/>
        <v>12093.52</v>
      </c>
      <c r="AT130" s="7">
        <f>0</f>
        <v>0</v>
      </c>
      <c r="AU130" s="7">
        <f t="shared" si="108"/>
        <v>28007.760000000002</v>
      </c>
      <c r="AV130" s="1">
        <f t="shared" si="109"/>
        <v>2</v>
      </c>
      <c r="AW130" s="1">
        <f t="shared" si="185"/>
        <v>10</v>
      </c>
      <c r="AX130" s="1">
        <f t="shared" si="110"/>
        <v>2</v>
      </c>
      <c r="AY130" s="1">
        <f t="shared" si="179"/>
        <v>6</v>
      </c>
      <c r="AZ130" s="1">
        <f t="shared" si="111"/>
        <v>5</v>
      </c>
      <c r="BA130" s="1">
        <f t="shared" si="193"/>
        <v>5</v>
      </c>
      <c r="BB130" s="1">
        <f>MIN(30,R130+0)</f>
        <v>10</v>
      </c>
      <c r="BC130" s="1">
        <f t="shared" si="186"/>
        <v>2</v>
      </c>
      <c r="BD130" s="1">
        <f t="shared" si="180"/>
        <v>1</v>
      </c>
      <c r="BE130" s="1">
        <f t="shared" si="173"/>
        <v>0</v>
      </c>
      <c r="BF130" s="1">
        <f>MIN(4,V130+1)</f>
        <v>3</v>
      </c>
      <c r="BG130" s="1">
        <f t="shared" si="190"/>
        <v>1</v>
      </c>
      <c r="BH130" s="1">
        <f t="shared" si="174"/>
        <v>1</v>
      </c>
      <c r="BI130" s="1">
        <f t="shared" si="191"/>
        <v>1</v>
      </c>
      <c r="BJ130" s="1">
        <f t="shared" si="194"/>
        <v>1</v>
      </c>
      <c r="BK130" s="1">
        <f t="shared" si="195"/>
        <v>1</v>
      </c>
      <c r="BL130" s="1">
        <f t="shared" si="154"/>
        <v>0</v>
      </c>
      <c r="BM130" s="1">
        <f t="shared" ref="BM130:BM164" si="198">MAX(AC130,0)</f>
        <v>1</v>
      </c>
      <c r="BN130" s="1">
        <f t="shared" si="175"/>
        <v>1</v>
      </c>
      <c r="BO130" s="1">
        <f t="shared" si="176"/>
        <v>1</v>
      </c>
    </row>
    <row r="131" spans="1:67" ht="30.95" customHeight="1">
      <c r="A131" s="1">
        <f>3</f>
        <v>3</v>
      </c>
      <c r="B131" s="1">
        <f>固定流程!A23</f>
        <v>18</v>
      </c>
      <c r="C131" s="1">
        <f>6</f>
        <v>6</v>
      </c>
      <c r="D131" s="1">
        <f>1</f>
        <v>1</v>
      </c>
      <c r="E131" s="1">
        <f>固定流程!C23</f>
        <v>3</v>
      </c>
      <c r="F131" s="1">
        <f>固定流程!G23</f>
        <v>4</v>
      </c>
      <c r="G131" s="1" t="str">
        <f>固定流程!H23</f>
        <v>J_HARD</v>
      </c>
      <c r="H131" s="1">
        <f>固定流程!F23</f>
        <v>1</v>
      </c>
      <c r="I131" s="1">
        <f>INDEX(配置与结果!$B$15:$B$18,F131)</f>
        <v>1906</v>
      </c>
      <c r="J131" s="1">
        <f>INDEX(配置与结果!$D$15:$D$18,F131)</f>
        <v>0.36699999999999999</v>
      </c>
      <c r="K131" s="1">
        <f>INDEX(配置与结果!$E$15:$E$18,F131)</f>
        <v>1.7170000000000001</v>
      </c>
      <c r="L131" s="1">
        <f t="shared" si="187"/>
        <v>2</v>
      </c>
      <c r="M131" s="1">
        <f t="shared" si="188"/>
        <v>10</v>
      </c>
      <c r="N131" s="1">
        <f t="shared" si="189"/>
        <v>2</v>
      </c>
      <c r="O131" s="1">
        <f t="shared" si="181"/>
        <v>6</v>
      </c>
      <c r="P131" s="1">
        <f>MIN(方案参数!$AI$6,AZ130+0+0)</f>
        <v>5</v>
      </c>
      <c r="Q131" s="1">
        <f t="shared" si="159"/>
        <v>5</v>
      </c>
      <c r="R131" s="1">
        <f t="shared" si="160"/>
        <v>10</v>
      </c>
      <c r="S131" s="1">
        <f t="shared" si="161"/>
        <v>2</v>
      </c>
      <c r="T131" s="1">
        <f t="shared" si="196"/>
        <v>1</v>
      </c>
      <c r="U131" s="1">
        <f t="shared" si="163"/>
        <v>0</v>
      </c>
      <c r="V131" s="1">
        <f t="shared" si="164"/>
        <v>3</v>
      </c>
      <c r="W131" s="1">
        <f t="shared" si="165"/>
        <v>1</v>
      </c>
      <c r="X131" s="1">
        <f t="shared" si="166"/>
        <v>1</v>
      </c>
      <c r="Y131" s="1">
        <f t="shared" si="167"/>
        <v>1</v>
      </c>
      <c r="Z131" s="1">
        <f t="shared" si="168"/>
        <v>1</v>
      </c>
      <c r="AA131" s="1">
        <f t="shared" si="192"/>
        <v>1</v>
      </c>
      <c r="AB131" s="1">
        <f t="shared" si="170"/>
        <v>0</v>
      </c>
      <c r="AC131" s="1">
        <f t="shared" si="197"/>
        <v>1</v>
      </c>
      <c r="AD131" s="1">
        <f>ROUNDDOWN(I131*(1+IF(F131=3,0.05+方案参数!$Y$6+AA131*0.12,IF(F131=4,方案参数!$BZ$6*方案参数!$AS$6,0)))+IF(AND(X131=1,F131&lt;&gt;3),方案参数!$CC$6,0)+AC131*方案参数!$CB$6,0)</f>
        <v>3311</v>
      </c>
      <c r="AE131" s="1">
        <f>IF(OR(F131=1,F131=4),配置与结果!$B$24,配置与结果!$B$25)*MAX(0,1-INDEX(配置与结果!$I$15:$I$18,F131))</f>
        <v>1200</v>
      </c>
      <c r="AF131" s="1">
        <f>3.6*IF(H131=1,1,IF(H131=2,1.5,2.5))</f>
        <v>3.6</v>
      </c>
      <c r="AG131" s="1">
        <f>MAX(配置与结果!$B$32,1+INDEX(配置与结果!$F$15:$F$18,F131)+0.08+Q131*方案参数!$W$6+Y131*(方案参数!$AN$6+MIN(方案参数!$AO$6,P131*0.03))+AB131*方案参数!$BZ$6*0.025+0.1+IF(方案参数!$BZ$6&gt;=30,方案参数!$BZ$6*0.01,0)-配置与结果!$B$28)</f>
        <v>1.5550000000000002</v>
      </c>
      <c r="AH131" s="1">
        <f>MAX(0,1+INDEX(配置与结果!$G$15:$G$18,F131)+W131*方案参数!$AG$6)</f>
        <v>1.3</v>
      </c>
      <c r="AI131" s="1">
        <f>IF(OR(INDEX(配置与结果!$K$15:$K$18,F131)=1,G131="RHI_BERRY"),1+配置与结果!$B$33+P131*方案参数!$AH$6,1)</f>
        <v>1</v>
      </c>
      <c r="AJ131" s="1">
        <f>MIN(1,MAX(0,J131+方案参数!$AB$6-配置与结果!$B$27))</f>
        <v>0.66700000000000004</v>
      </c>
      <c r="AK131" s="1">
        <f>MAX(1,K131+IF(F131=2,0.15+方案参数!$CH$6,0)+BN131*方案参数!$X$6+R131*方案参数!$AA$6+0-配置与结果!$B$26+Z131*(方案参数!$AP$6+MIN(方案参数!$AQ$6,P131*0.03)))</f>
        <v>1.8169999999999999</v>
      </c>
      <c r="AL131" s="7">
        <f>ROUNDDOWN(MAX(AD131*配置与结果!$B$31,AD131-AE131)*AF131*AG131*AH131*AI131,0)</f>
        <v>15362</v>
      </c>
      <c r="AM131" s="7">
        <f>ROUNDDOWN(MAX(AD131*配置与结果!$B$31,AD131-AE131)*AF131*AG131*AH131*AI131*AK131,0)</f>
        <v>27913</v>
      </c>
      <c r="AN131" s="7">
        <f t="shared" si="104"/>
        <v>23733.517</v>
      </c>
      <c r="AO131" s="7">
        <f>0</f>
        <v>0</v>
      </c>
      <c r="AP131" s="7">
        <f>MAX(0,1+INDEX(配置与结果!$J$15:$J$18,F131)+IF(T131&gt;0,方案参数!$BY$6,0)-配置与结果!$B$30)</f>
        <v>2</v>
      </c>
      <c r="AQ131" s="7">
        <f t="shared" si="105"/>
        <v>0</v>
      </c>
      <c r="AR131" s="7">
        <f t="shared" si="106"/>
        <v>0</v>
      </c>
      <c r="AS131" s="7">
        <f t="shared" si="107"/>
        <v>0</v>
      </c>
      <c r="AT131" s="7">
        <f>0</f>
        <v>0</v>
      </c>
      <c r="AU131" s="7">
        <f t="shared" si="108"/>
        <v>23733.517</v>
      </c>
      <c r="AV131" s="1">
        <f t="shared" si="109"/>
        <v>2</v>
      </c>
      <c r="AW131" s="1">
        <f t="shared" si="185"/>
        <v>10</v>
      </c>
      <c r="AX131" s="1">
        <f t="shared" si="110"/>
        <v>2</v>
      </c>
      <c r="AY131" s="1">
        <f t="shared" si="179"/>
        <v>6</v>
      </c>
      <c r="AZ131" s="1">
        <f t="shared" si="111"/>
        <v>5</v>
      </c>
      <c r="BA131" s="1">
        <f t="shared" si="193"/>
        <v>5</v>
      </c>
      <c r="BB131" s="1">
        <f>MIN(30,R131+0)</f>
        <v>10</v>
      </c>
      <c r="BC131" s="1">
        <f>MIN(3,S131+1)</f>
        <v>3</v>
      </c>
      <c r="BD131" s="1">
        <f t="shared" si="180"/>
        <v>1</v>
      </c>
      <c r="BE131" s="1">
        <f t="shared" si="173"/>
        <v>0</v>
      </c>
      <c r="BF131" s="1">
        <f>MIN(4,V131+0)</f>
        <v>3</v>
      </c>
      <c r="BG131" s="1">
        <f t="shared" si="190"/>
        <v>1</v>
      </c>
      <c r="BH131" s="1">
        <f t="shared" si="174"/>
        <v>1</v>
      </c>
      <c r="BI131" s="1">
        <f t="shared" si="191"/>
        <v>1</v>
      </c>
      <c r="BJ131" s="1">
        <f t="shared" si="194"/>
        <v>1</v>
      </c>
      <c r="BK131" s="1">
        <f t="shared" si="195"/>
        <v>1</v>
      </c>
      <c r="BL131" s="1">
        <f t="shared" si="154"/>
        <v>0</v>
      </c>
      <c r="BM131" s="1">
        <f t="shared" si="198"/>
        <v>1</v>
      </c>
      <c r="BN131" s="1">
        <f t="shared" si="175"/>
        <v>1</v>
      </c>
      <c r="BO131" s="1">
        <f t="shared" si="176"/>
        <v>1</v>
      </c>
    </row>
    <row r="132" spans="1:67" ht="30.95" customHeight="1">
      <c r="A132" s="1">
        <f>3</f>
        <v>3</v>
      </c>
      <c r="B132" s="1">
        <f>固定流程!A24</f>
        <v>19</v>
      </c>
      <c r="C132" s="1">
        <f>6</f>
        <v>6</v>
      </c>
      <c r="D132" s="1">
        <f>1</f>
        <v>1</v>
      </c>
      <c r="E132" s="1">
        <f>固定流程!C24</f>
        <v>3</v>
      </c>
      <c r="F132" s="1">
        <f>固定流程!G24</f>
        <v>4</v>
      </c>
      <c r="G132" s="1" t="str">
        <f>固定流程!H24</f>
        <v>J_ULT</v>
      </c>
      <c r="H132" s="1">
        <f>固定流程!F24</f>
        <v>1</v>
      </c>
      <c r="I132" s="1">
        <f>INDEX(配置与结果!$B$15:$B$18,F132)</f>
        <v>1906</v>
      </c>
      <c r="J132" s="1">
        <f>INDEX(配置与结果!$D$15:$D$18,F132)</f>
        <v>0.36699999999999999</v>
      </c>
      <c r="K132" s="1">
        <f>INDEX(配置与结果!$E$15:$E$18,F132)</f>
        <v>1.7170000000000001</v>
      </c>
      <c r="L132" s="1">
        <f t="shared" si="187"/>
        <v>2</v>
      </c>
      <c r="M132" s="1">
        <f t="shared" si="188"/>
        <v>10</v>
      </c>
      <c r="N132" s="1">
        <f t="shared" si="189"/>
        <v>2</v>
      </c>
      <c r="O132" s="1">
        <f t="shared" si="181"/>
        <v>6</v>
      </c>
      <c r="P132" s="1">
        <f>MIN(方案参数!$AI$6,AZ131+0+0)</f>
        <v>5</v>
      </c>
      <c r="Q132" s="1">
        <f t="shared" si="159"/>
        <v>5</v>
      </c>
      <c r="R132" s="1">
        <f t="shared" si="160"/>
        <v>10</v>
      </c>
      <c r="S132" s="1">
        <f t="shared" si="161"/>
        <v>3</v>
      </c>
      <c r="T132" s="1">
        <f t="shared" si="196"/>
        <v>1</v>
      </c>
      <c r="U132" s="1">
        <f t="shared" si="163"/>
        <v>0</v>
      </c>
      <c r="V132" s="1">
        <f t="shared" si="164"/>
        <v>3</v>
      </c>
      <c r="W132" s="1">
        <f t="shared" si="165"/>
        <v>1</v>
      </c>
      <c r="X132" s="1">
        <f t="shared" si="166"/>
        <v>1</v>
      </c>
      <c r="Y132" s="1">
        <f t="shared" si="167"/>
        <v>1</v>
      </c>
      <c r="Z132" s="1">
        <f t="shared" si="168"/>
        <v>1</v>
      </c>
      <c r="AA132" s="1">
        <f t="shared" si="192"/>
        <v>1</v>
      </c>
      <c r="AB132" s="1">
        <f t="shared" si="170"/>
        <v>0</v>
      </c>
      <c r="AC132" s="1">
        <f t="shared" si="197"/>
        <v>1</v>
      </c>
      <c r="AD132" s="1">
        <f>ROUNDDOWN(I132*(1+IF(F132=3,0.05+方案参数!$Y$6+AA132*0.12,IF(F132=4,方案参数!$BZ$6*方案参数!$AS$6,0)))+IF(AND(X132=1,F132&lt;&gt;3),方案参数!$CC$6,0)+AC132*方案参数!$CB$6,0)</f>
        <v>3311</v>
      </c>
      <c r="AE132" s="1">
        <f>IF(OR(F132=1,F132=4),配置与结果!$B$24,配置与结果!$B$25)*MAX(0,1-INDEX(配置与结果!$I$15:$I$18,F132))</f>
        <v>1200</v>
      </c>
      <c r="AF132" s="1">
        <f>方案参数!$AT$6+MAX(0,配置与结果!$H$26+方案参数!$BZ$6-30)*方案参数!$AU$6*配置与结果!$H$27</f>
        <v>42</v>
      </c>
      <c r="AG132" s="1">
        <f>MAX(配置与结果!$B$32,1+INDEX(配置与结果!$F$15:$F$18,F132)+0.08+Q132*方案参数!$W$6+Y132*(方案参数!$AN$6+MIN(方案参数!$AO$6,P132*0.03))+AB132*方案参数!$BZ$6*0.025-配置与结果!$B$28)</f>
        <v>1.105</v>
      </c>
      <c r="AH132" s="1">
        <f>MAX(0,1+INDEX(配置与结果!$H$15:$H$18,F132)+W132*方案参数!$AG$6+S132*方案参数!$Z$6)</f>
        <v>1.42</v>
      </c>
      <c r="AI132" s="1">
        <f>IF(OR(INDEX(配置与结果!$K$15:$K$18,F132)=1,G132="RHI_BERRY"),1+配置与结果!$B$33+P132*方案参数!$AH$6,1)</f>
        <v>1</v>
      </c>
      <c r="AJ132" s="1">
        <f>MIN(1,MAX(0,J132+方案参数!$AB$6-配置与结果!$B$27))</f>
        <v>0.66700000000000004</v>
      </c>
      <c r="AK132" s="1">
        <f>MAX(1,K132+IF(F132=2,0.15+方案参数!$CH$6,0)+BN132*方案参数!$X$6+R132*方案参数!$AA$6+0-配置与结果!$B$26+Z132*(方案参数!$AP$6+MIN(方案参数!$AQ$6,P132*0.03)))</f>
        <v>1.8169999999999999</v>
      </c>
      <c r="AL132" s="7">
        <f>ROUNDDOWN(MAX(AD132*配置与结果!$B$31,AD132-AE132)*AF132*AG132*AH132*AI132,0)</f>
        <v>139119</v>
      </c>
      <c r="AM132" s="7">
        <f>ROUNDDOWN(MAX(AD132*配置与结果!$B$31,AD132-AE132)*AF132*AG132*AH132*AI132*AK132,0)</f>
        <v>252780</v>
      </c>
      <c r="AN132" s="7">
        <f t="shared" si="104"/>
        <v>214930.88699999999</v>
      </c>
      <c r="AO132" s="7">
        <f>0</f>
        <v>0</v>
      </c>
      <c r="AP132" s="7">
        <f>MAX(0,1+INDEX(配置与结果!$J$15:$J$18,F132)+IF(T132&gt;0,方案参数!$BY$6,0)-配置与结果!$B$30)</f>
        <v>2</v>
      </c>
      <c r="AQ132" s="7">
        <f t="shared" si="105"/>
        <v>0</v>
      </c>
      <c r="AR132" s="7">
        <f t="shared" si="106"/>
        <v>0</v>
      </c>
      <c r="AS132" s="7">
        <f t="shared" si="107"/>
        <v>0</v>
      </c>
      <c r="AT132" s="7">
        <f>0</f>
        <v>0</v>
      </c>
      <c r="AU132" s="7">
        <f t="shared" si="108"/>
        <v>214930.88699999999</v>
      </c>
      <c r="AV132" s="1">
        <f t="shared" si="109"/>
        <v>2</v>
      </c>
      <c r="AW132" s="1">
        <f t="shared" si="185"/>
        <v>10</v>
      </c>
      <c r="AX132" s="1">
        <f t="shared" si="110"/>
        <v>2</v>
      </c>
      <c r="AY132" s="1">
        <f t="shared" si="179"/>
        <v>6</v>
      </c>
      <c r="AZ132" s="1">
        <f t="shared" si="111"/>
        <v>5</v>
      </c>
      <c r="BA132" s="1">
        <f t="shared" si="193"/>
        <v>5</v>
      </c>
      <c r="BB132" s="1">
        <f>MIN(30,R132+5)</f>
        <v>15</v>
      </c>
      <c r="BC132" s="1">
        <f t="shared" ref="BC132:BC155" si="199">MIN(3,S132+0)</f>
        <v>3</v>
      </c>
      <c r="BD132" s="1">
        <f t="shared" si="180"/>
        <v>1</v>
      </c>
      <c r="BE132" s="1">
        <f t="shared" si="173"/>
        <v>0</v>
      </c>
      <c r="BF132" s="1">
        <f>MIN(4,V132+0)</f>
        <v>3</v>
      </c>
      <c r="BG132" s="1">
        <f t="shared" si="190"/>
        <v>1</v>
      </c>
      <c r="BH132" s="1">
        <f t="shared" si="174"/>
        <v>1</v>
      </c>
      <c r="BI132" s="1">
        <f t="shared" si="191"/>
        <v>1</v>
      </c>
      <c r="BJ132" s="1">
        <f t="shared" si="194"/>
        <v>1</v>
      </c>
      <c r="BK132" s="1">
        <f t="shared" si="195"/>
        <v>1</v>
      </c>
      <c r="BL132" s="1">
        <f>MAX(AB132,1)</f>
        <v>1</v>
      </c>
      <c r="BM132" s="1">
        <f t="shared" si="198"/>
        <v>1</v>
      </c>
      <c r="BN132" s="1">
        <f t="shared" si="175"/>
        <v>1</v>
      </c>
      <c r="BO132" s="1">
        <f t="shared" si="176"/>
        <v>1</v>
      </c>
    </row>
    <row r="133" spans="1:67" ht="30.95" customHeight="1">
      <c r="A133" s="1">
        <f>3</f>
        <v>3</v>
      </c>
      <c r="B133" s="1">
        <f>固定流程!A25</f>
        <v>20</v>
      </c>
      <c r="C133" s="1">
        <f>6</f>
        <v>6</v>
      </c>
      <c r="D133" s="1">
        <f>1</f>
        <v>1</v>
      </c>
      <c r="E133" s="1">
        <f>固定流程!C25</f>
        <v>3</v>
      </c>
      <c r="F133" s="1">
        <f>固定流程!G25</f>
        <v>1</v>
      </c>
      <c r="G133" s="1" t="str">
        <f>固定流程!H25</f>
        <v>LILYA_ULT</v>
      </c>
      <c r="H133" s="1">
        <f>固定流程!F25</f>
        <v>1</v>
      </c>
      <c r="I133" s="1">
        <f>INDEX(配置与结果!$B$15:$B$18,F133)</f>
        <v>2296</v>
      </c>
      <c r="J133" s="1">
        <f>INDEX(配置与结果!$D$15:$D$18,F133)</f>
        <v>0.7</v>
      </c>
      <c r="K133" s="1">
        <f>INDEX(配置与结果!$E$15:$E$18,F133)</f>
        <v>2.0249999999999999</v>
      </c>
      <c r="L133" s="1">
        <f t="shared" si="187"/>
        <v>2</v>
      </c>
      <c r="M133" s="1">
        <f t="shared" si="188"/>
        <v>10</v>
      </c>
      <c r="N133" s="1">
        <f t="shared" si="189"/>
        <v>2</v>
      </c>
      <c r="O133" s="1">
        <f t="shared" si="181"/>
        <v>6</v>
      </c>
      <c r="P133" s="1">
        <f>MIN(方案参数!$AI$6,AZ132+0+0)</f>
        <v>5</v>
      </c>
      <c r="Q133" s="1">
        <f t="shared" si="159"/>
        <v>5</v>
      </c>
      <c r="R133" s="1">
        <f t="shared" si="160"/>
        <v>15</v>
      </c>
      <c r="S133" s="1">
        <f t="shared" si="161"/>
        <v>3</v>
      </c>
      <c r="T133" s="1">
        <f t="shared" si="196"/>
        <v>1</v>
      </c>
      <c r="U133" s="1">
        <f t="shared" si="163"/>
        <v>0</v>
      </c>
      <c r="V133" s="1">
        <f t="shared" si="164"/>
        <v>3</v>
      </c>
      <c r="W133" s="1">
        <f t="shared" si="165"/>
        <v>1</v>
      </c>
      <c r="X133" s="1">
        <f t="shared" si="166"/>
        <v>1</v>
      </c>
      <c r="Y133" s="1">
        <f t="shared" si="167"/>
        <v>1</v>
      </c>
      <c r="Z133" s="1">
        <f t="shared" si="168"/>
        <v>1</v>
      </c>
      <c r="AA133" s="1">
        <f t="shared" si="192"/>
        <v>1</v>
      </c>
      <c r="AB133" s="1">
        <f t="shared" si="170"/>
        <v>1</v>
      </c>
      <c r="AC133" s="1">
        <f t="shared" si="197"/>
        <v>1</v>
      </c>
      <c r="AD133" s="1">
        <f>ROUNDDOWN(I133*(1+IF(F133=3,0.05+方案参数!$Y$6+AA133*0.12,IF(F133=4,方案参数!$BZ$6*方案参数!$AS$6,0)))+IF(AND(X133=1,F133&lt;&gt;3),方案参数!$CC$6,0)+AC133*方案参数!$CB$6,0)</f>
        <v>3034</v>
      </c>
      <c r="AE133" s="1">
        <f>IF(OR(F133=1,F133=4),配置与结果!$B$24,配置与结果!$B$25)*MAX(0,1-INDEX(配置与结果!$I$15:$I$18,F133)+IF(O133&gt;=6,方案参数!$BK$6,0))</f>
        <v>1440</v>
      </c>
      <c r="AF133" s="1">
        <f>方案参数!$BG$6+IF(O133&gt;=6,方案参数!$BH$6,0)</f>
        <v>36</v>
      </c>
      <c r="AG133" s="1">
        <f>MAX(配置与结果!$B$32,1+INDEX(配置与结果!$F$15:$F$18,F133)+0.08+方案参数!$CD$6+Q133*方案参数!$W$6+Y133*(方案参数!$AN$6+MIN(方案参数!$AO$6,P133*0.03))+AB133*方案参数!$BZ$6*0.025-配置与结果!$B$28)</f>
        <v>2.2150000000000003</v>
      </c>
      <c r="AH133" s="1">
        <f>MAX(0,1+INDEX(配置与结果!$H$15:$H$18,F133)+W133*方案参数!$AG$6+O133*方案参数!$BF$6+IF(O133&gt;=6,方案参数!$BI$6,0))</f>
        <v>2.4500000000000002</v>
      </c>
      <c r="AI133" s="1">
        <f>IF(OR(INDEX(配置与结果!$K$15:$K$18,F133)=1,G133="RHI_BERRY"),1+配置与结果!$B$33+P133*方案参数!$AH$6,1)</f>
        <v>1</v>
      </c>
      <c r="AJ133" s="1">
        <f>MIN(1,MAX(0,J133+方案参数!$AB$6-配置与结果!$B$27))</f>
        <v>1</v>
      </c>
      <c r="AK133" s="1">
        <f>MAX(1,K133+IF(F133=2,0.15+方案参数!$CH$6,0)+BN133*方案参数!$X$6+R133*方案参数!$AA$6+IF(O133&gt;=6,方案参数!$BJ$6,0)-配置与结果!$B$26+Z133*(方案参数!$AP$6+MIN(方案参数!$AQ$6,P133*0.03)))</f>
        <v>3.145</v>
      </c>
      <c r="AL133" s="7">
        <f>ROUNDDOWN(MAX(AD133*配置与结果!$B$31,AD133-AE133)*AF133*AG133*AH133*AI133,0)</f>
        <v>311408</v>
      </c>
      <c r="AM133" s="7">
        <f>ROUNDDOWN(MAX(AD133*配置与结果!$B$31,AD133-AE133)*AF133*AG133*AH133*AI133*AK133,0)</f>
        <v>979380</v>
      </c>
      <c r="AN133" s="7">
        <f t="shared" si="104"/>
        <v>979380</v>
      </c>
      <c r="AO133" s="7">
        <f>0</f>
        <v>0</v>
      </c>
      <c r="AP133" s="7">
        <f>MAX(0,1+INDEX(配置与结果!$J$15:$J$18,F133)+IF(T133&gt;0,方案参数!$BY$6,0)-配置与结果!$B$30)</f>
        <v>2</v>
      </c>
      <c r="AQ133" s="7">
        <f t="shared" si="105"/>
        <v>0</v>
      </c>
      <c r="AR133" s="7">
        <f t="shared" si="106"/>
        <v>0</v>
      </c>
      <c r="AS133" s="7">
        <f t="shared" si="107"/>
        <v>0</v>
      </c>
      <c r="AT133" s="7">
        <f>0</f>
        <v>0</v>
      </c>
      <c r="AU133" s="7">
        <f t="shared" si="108"/>
        <v>979380</v>
      </c>
      <c r="AV133" s="1">
        <f t="shared" si="109"/>
        <v>2</v>
      </c>
      <c r="AW133" s="1">
        <f t="shared" si="185"/>
        <v>10</v>
      </c>
      <c r="AX133" s="1">
        <f t="shared" si="110"/>
        <v>2</v>
      </c>
      <c r="AY133" s="1">
        <f>MIN(20,MAX(0,O133+0+0-IF(O133&gt;=6,6,0)))</f>
        <v>0</v>
      </c>
      <c r="AZ133" s="1">
        <f t="shared" si="111"/>
        <v>5</v>
      </c>
      <c r="BA133" s="1">
        <f t="shared" si="193"/>
        <v>5</v>
      </c>
      <c r="BB133" s="1">
        <f>MIN(30,R133+5)</f>
        <v>20</v>
      </c>
      <c r="BC133" s="1">
        <f t="shared" si="199"/>
        <v>3</v>
      </c>
      <c r="BD133" s="1">
        <f t="shared" si="180"/>
        <v>1</v>
      </c>
      <c r="BE133" s="1">
        <f t="shared" si="173"/>
        <v>0</v>
      </c>
      <c r="BF133" s="1">
        <f>MIN(4,V133+0)</f>
        <v>3</v>
      </c>
      <c r="BG133" s="1">
        <f t="shared" si="190"/>
        <v>1</v>
      </c>
      <c r="BH133" s="1">
        <f t="shared" si="174"/>
        <v>1</v>
      </c>
      <c r="BI133" s="1">
        <f t="shared" si="191"/>
        <v>1</v>
      </c>
      <c r="BJ133" s="1">
        <f t="shared" si="194"/>
        <v>1</v>
      </c>
      <c r="BK133" s="1">
        <f t="shared" si="195"/>
        <v>1</v>
      </c>
      <c r="BL133" s="1">
        <f t="shared" ref="BL133:BL167" si="200">MAX(AB133,0)</f>
        <v>1</v>
      </c>
      <c r="BM133" s="1">
        <f t="shared" si="198"/>
        <v>1</v>
      </c>
      <c r="BN133" s="1">
        <f t="shared" si="175"/>
        <v>1</v>
      </c>
      <c r="BO133" s="1">
        <f t="shared" si="176"/>
        <v>1</v>
      </c>
    </row>
    <row r="134" spans="1:67" ht="30.95" customHeight="1">
      <c r="A134" s="1">
        <f>3</f>
        <v>3</v>
      </c>
      <c r="B134" s="1">
        <f>固定流程!A26</f>
        <v>21</v>
      </c>
      <c r="C134" s="1">
        <f>6</f>
        <v>6</v>
      </c>
      <c r="D134" s="1">
        <f>1</f>
        <v>1</v>
      </c>
      <c r="E134" s="1">
        <f>固定流程!C26</f>
        <v>3</v>
      </c>
      <c r="F134" s="1">
        <f>固定流程!G26</f>
        <v>1</v>
      </c>
      <c r="G134" s="1" t="str">
        <f>固定流程!H26</f>
        <v>LILYA_DIVE</v>
      </c>
      <c r="H134" s="1">
        <f>固定流程!F26</f>
        <v>3</v>
      </c>
      <c r="I134" s="1">
        <f>INDEX(配置与结果!$B$15:$B$18,F134)</f>
        <v>2296</v>
      </c>
      <c r="J134" s="1">
        <f>INDEX(配置与结果!$D$15:$D$18,F134)</f>
        <v>0.7</v>
      </c>
      <c r="K134" s="1">
        <f>INDEX(配置与结果!$E$15:$E$18,F134)</f>
        <v>2.0249999999999999</v>
      </c>
      <c r="L134" s="1">
        <f t="shared" si="187"/>
        <v>2</v>
      </c>
      <c r="M134" s="1">
        <f t="shared" si="188"/>
        <v>10</v>
      </c>
      <c r="N134" s="1">
        <f t="shared" si="189"/>
        <v>2</v>
      </c>
      <c r="O134" s="1">
        <f t="shared" si="181"/>
        <v>0</v>
      </c>
      <c r="P134" s="1">
        <f>MIN(方案参数!$AI$6,AZ133+0+0)</f>
        <v>5</v>
      </c>
      <c r="Q134" s="1">
        <f t="shared" si="159"/>
        <v>5</v>
      </c>
      <c r="R134" s="1">
        <f t="shared" si="160"/>
        <v>20</v>
      </c>
      <c r="S134" s="1">
        <f t="shared" si="161"/>
        <v>3</v>
      </c>
      <c r="T134" s="1">
        <f t="shared" si="196"/>
        <v>1</v>
      </c>
      <c r="U134" s="1">
        <f t="shared" si="163"/>
        <v>0</v>
      </c>
      <c r="V134" s="1">
        <f t="shared" si="164"/>
        <v>3</v>
      </c>
      <c r="W134" s="1">
        <f t="shared" si="165"/>
        <v>1</v>
      </c>
      <c r="X134" s="1">
        <f t="shared" si="166"/>
        <v>1</v>
      </c>
      <c r="Y134" s="1">
        <f t="shared" si="167"/>
        <v>1</v>
      </c>
      <c r="Z134" s="1">
        <f t="shared" si="168"/>
        <v>1</v>
      </c>
      <c r="AA134" s="1">
        <f t="shared" si="192"/>
        <v>1</v>
      </c>
      <c r="AB134" s="1">
        <f t="shared" si="170"/>
        <v>1</v>
      </c>
      <c r="AC134" s="1">
        <f t="shared" si="197"/>
        <v>1</v>
      </c>
      <c r="AD134" s="1">
        <f>ROUNDDOWN(I134*(1+IF(F134=3,0.05+方案参数!$Y$6+AA134*0.12,IF(F134=4,方案参数!$BZ$6*方案参数!$AS$6,0)))+IF(AND(X134=1,F134&lt;&gt;3),方案参数!$CC$6,0)+AC134*方案参数!$CB$6,0)</f>
        <v>3034</v>
      </c>
      <c r="AE134" s="1">
        <f>IF(OR(F134=1,F134=4),配置与结果!$B$24,配置与结果!$B$25)*MAX(0,1-INDEX(配置与结果!$I$15:$I$18,F134))</f>
        <v>1200</v>
      </c>
      <c r="AF134" s="1">
        <f>(IF(L134=1,方案参数!$AW$6,IF(L134=2,方案参数!$AX$6,0))+方案参数!$AV$6)*H134</f>
        <v>30</v>
      </c>
      <c r="AG134" s="1">
        <f>MAX(配置与结果!$B$32,1+INDEX(配置与结果!$F$15:$F$18,F134)+0.08+方案参数!$CD$6+Q134*方案参数!$W$6+Y134*(方案参数!$AN$6+MIN(方案参数!$AO$6,P134*0.03))+AB134*方案参数!$BZ$6*0.025+IF(L134=1,方案参数!$AY$6+(H134-1)*0.1,IF(L134=2,方案参数!$AZ$6+(H134-1)*0.2,0))-配置与结果!$B$28)</f>
        <v>2.8150000000000004</v>
      </c>
      <c r="AH134" s="1">
        <f>MAX(0,1+INDEX(配置与结果!$G$15:$G$18,F134)+W134*方案参数!$AG$6+IF(L134=1,方案参数!$BA$6,IF(L134=2,方案参数!$BB$6,0))+M134*方案参数!$BC$6)</f>
        <v>3.1</v>
      </c>
      <c r="AI134" s="1">
        <f>IF(OR(INDEX(配置与结果!$K$15:$K$18,F134)=1,G134="RHI_BERRY"),1+配置与结果!$B$33+P134*方案参数!$AH$6,1)</f>
        <v>1</v>
      </c>
      <c r="AJ134" s="1">
        <f>MIN(1,MAX(0,J134+方案参数!$AB$6-配置与结果!$B$27))</f>
        <v>1</v>
      </c>
      <c r="AK134" s="1">
        <f>MAX(1,K134+IF(F134=2,0.15+方案参数!$CH$6,0)+BN134*方案参数!$X$6+R134*方案参数!$AA$6+0-配置与结果!$B$26+Z134*(方案参数!$AP$6+MIN(方案参数!$AQ$6,P134*0.03)))</f>
        <v>2.165</v>
      </c>
      <c r="AL134" s="7">
        <f>ROUNDDOWN(MAX(AD134*配置与结果!$B$31,AD134-AE134)*AF134*AG134*AH134*AI134,0)</f>
        <v>480132</v>
      </c>
      <c r="AM134" s="7">
        <f>ROUNDDOWN(MAX(AD134*配置与结果!$B$31,AD134-AE134)*AF134*AG134*AH134*AI134*AK134,0)</f>
        <v>1039485</v>
      </c>
      <c r="AN134" s="7">
        <f t="shared" ref="AN134:AN197" si="201">AL134*(1-AJ134)+AM134*AJ134</f>
        <v>1039485</v>
      </c>
      <c r="AO134" s="7">
        <f>0</f>
        <v>0</v>
      </c>
      <c r="AP134" s="7">
        <f>MAX(0,1+INDEX(配置与结果!$J$15:$J$18,F134)+IF(T134&gt;0,方案参数!$BY$6,0)-配置与结果!$B$30)</f>
        <v>2</v>
      </c>
      <c r="AQ134" s="7">
        <f t="shared" ref="AQ134:AQ197" si="202">ROUNDDOWN(ROUNDDOWN(AD134*AO134,0)*AP134,0)</f>
        <v>0</v>
      </c>
      <c r="AR134" s="7">
        <f t="shared" ref="AR134:AR197" si="203">ROUNDDOWN(ROUNDDOWN(AD134*AO134,0)*AP134*AK134,0)</f>
        <v>0</v>
      </c>
      <c r="AS134" s="7">
        <f t="shared" ref="AS134:AS197" si="204">AQ134*(1-AJ134)+AR134*AJ134</f>
        <v>0</v>
      </c>
      <c r="AT134" s="7">
        <f>0</f>
        <v>0</v>
      </c>
      <c r="AU134" s="7">
        <f t="shared" ref="AU134:AU197" si="205">AN134+AS134+AT134</f>
        <v>1039485</v>
      </c>
      <c r="AV134" s="1">
        <f t="shared" ref="AV134:AV197" si="206">IF(G134="LILYA_COBRA",IF(L134=0,1,L134),L134)</f>
        <v>2</v>
      </c>
      <c r="AW134" s="1">
        <f>MIN(10,M134+0+IF(L134=1,方案参数!$BE$6,0))</f>
        <v>10</v>
      </c>
      <c r="AX134" s="1">
        <f t="shared" ref="AX134:AX197" si="207">N134</f>
        <v>2</v>
      </c>
      <c r="AY134" s="1">
        <f>MIN(20,MAX(0,O134+0+0-0))</f>
        <v>0</v>
      </c>
      <c r="AZ134" s="1">
        <f t="shared" ref="AZ134:AZ197" si="208">P134</f>
        <v>5</v>
      </c>
      <c r="BA134" s="1">
        <f t="shared" si="193"/>
        <v>5</v>
      </c>
      <c r="BB134" s="1">
        <f t="shared" ref="BB134:BB149" si="209">MIN(30,R134+0)</f>
        <v>20</v>
      </c>
      <c r="BC134" s="1">
        <f t="shared" si="199"/>
        <v>3</v>
      </c>
      <c r="BD134" s="1">
        <f t="shared" si="180"/>
        <v>1</v>
      </c>
      <c r="BE134" s="1">
        <f t="shared" si="173"/>
        <v>0</v>
      </c>
      <c r="BF134" s="1">
        <f>MIN(4,V134+0)</f>
        <v>3</v>
      </c>
      <c r="BG134" s="1">
        <f t="shared" si="190"/>
        <v>1</v>
      </c>
      <c r="BH134" s="1">
        <f t="shared" si="174"/>
        <v>1</v>
      </c>
      <c r="BI134" s="1">
        <f t="shared" si="191"/>
        <v>1</v>
      </c>
      <c r="BJ134" s="1">
        <f t="shared" si="194"/>
        <v>1</v>
      </c>
      <c r="BK134" s="1">
        <f t="shared" si="195"/>
        <v>1</v>
      </c>
      <c r="BL134" s="1">
        <f t="shared" si="200"/>
        <v>1</v>
      </c>
      <c r="BM134" s="1">
        <f t="shared" si="198"/>
        <v>1</v>
      </c>
      <c r="BN134" s="1">
        <f t="shared" si="175"/>
        <v>1</v>
      </c>
      <c r="BO134" s="1">
        <f t="shared" si="176"/>
        <v>1</v>
      </c>
    </row>
    <row r="135" spans="1:67" ht="30.95" customHeight="1">
      <c r="A135" s="1">
        <f>3</f>
        <v>3</v>
      </c>
      <c r="B135" s="1">
        <f>固定流程!A27</f>
        <v>22</v>
      </c>
      <c r="C135" s="1">
        <f>6</f>
        <v>6</v>
      </c>
      <c r="D135" s="1">
        <f>1</f>
        <v>1</v>
      </c>
      <c r="E135" s="1">
        <f>固定流程!C27</f>
        <v>3</v>
      </c>
      <c r="F135" s="1">
        <f>固定流程!G27</f>
        <v>3</v>
      </c>
      <c r="G135" s="1" t="str">
        <f>固定流程!H27</f>
        <v>RHI_BERRY</v>
      </c>
      <c r="H135" s="1">
        <f>固定流程!F27</f>
        <v>1</v>
      </c>
      <c r="I135" s="1">
        <f>INDEX(配置与结果!$B$15:$B$18,F135)</f>
        <v>2597</v>
      </c>
      <c r="J135" s="1">
        <f>INDEX(配置与结果!$D$15:$D$18,F135)</f>
        <v>0.255</v>
      </c>
      <c r="K135" s="1">
        <f>INDEX(配置与结果!$E$15:$E$18,F135)</f>
        <v>1.55</v>
      </c>
      <c r="L135" s="1">
        <f t="shared" si="187"/>
        <v>2</v>
      </c>
      <c r="M135" s="1">
        <f t="shared" si="188"/>
        <v>10</v>
      </c>
      <c r="N135" s="1">
        <f t="shared" si="189"/>
        <v>2</v>
      </c>
      <c r="O135" s="1">
        <f t="shared" si="181"/>
        <v>0</v>
      </c>
      <c r="P135" s="1">
        <f>MIN(方案参数!$AI$6,AZ134+0+0)</f>
        <v>5</v>
      </c>
      <c r="Q135" s="1">
        <f t="shared" si="159"/>
        <v>5</v>
      </c>
      <c r="R135" s="1">
        <f t="shared" si="160"/>
        <v>20</v>
      </c>
      <c r="S135" s="1">
        <f t="shared" si="161"/>
        <v>3</v>
      </c>
      <c r="T135" s="1">
        <f t="shared" si="196"/>
        <v>1</v>
      </c>
      <c r="U135" s="1">
        <f t="shared" si="163"/>
        <v>0</v>
      </c>
      <c r="V135" s="1">
        <f t="shared" si="164"/>
        <v>3</v>
      </c>
      <c r="W135" s="1">
        <f t="shared" si="165"/>
        <v>1</v>
      </c>
      <c r="X135" s="1">
        <f t="shared" si="166"/>
        <v>1</v>
      </c>
      <c r="Y135" s="1">
        <f t="shared" si="167"/>
        <v>1</v>
      </c>
      <c r="Z135" s="1">
        <f t="shared" si="168"/>
        <v>1</v>
      </c>
      <c r="AA135" s="1">
        <f t="shared" si="192"/>
        <v>1</v>
      </c>
      <c r="AB135" s="1">
        <f t="shared" si="170"/>
        <v>1</v>
      </c>
      <c r="AC135" s="1">
        <f t="shared" si="197"/>
        <v>1</v>
      </c>
      <c r="AD135" s="1">
        <f>ROUNDDOWN(I135*(1+IF(F135=3,0.05+方案参数!$Y$6+AA135*0.12,IF(F135=4,方案参数!$BZ$6*方案参数!$AS$6,0)))+IF(AND(X135=1,F135&lt;&gt;3),方案参数!$CC$6,0)+AC135*方案参数!$CB$6,0)</f>
        <v>3798</v>
      </c>
      <c r="AE135" s="1">
        <f>IF(OR(F135=1,F135=4),配置与结果!$B$24,配置与结果!$B$25)*MAX(0,1-INDEX(配置与结果!$I$15:$I$18,F135))</f>
        <v>1000</v>
      </c>
      <c r="AF135" s="1">
        <f>方案参数!$CF$6+P135*方案参数!$CG$6</f>
        <v>22.5</v>
      </c>
      <c r="AG135" s="1">
        <f>MAX(配置与结果!$B$32,1+INDEX(配置与结果!$F$15:$F$18,F135)+0+Q135*方案参数!$W$6+Y135*(方案参数!$AN$6+MIN(方案参数!$AO$6,P135*0.03))+AB135*方案参数!$BZ$6*0.025-配置与结果!$B$28)</f>
        <v>1.9100000000000001</v>
      </c>
      <c r="AH135" s="1">
        <f>MAX(0,1+INDEX(配置与结果!$G$15:$G$18,F135)+W135*方案参数!$AG$6)</f>
        <v>1.3</v>
      </c>
      <c r="AI135" s="1">
        <f>IF(OR(INDEX(配置与结果!$K$15:$K$18,F135)=1,G135="RHI_BERRY"),1+配置与结果!$B$33+P135*方案参数!$AH$6,1)</f>
        <v>1.5</v>
      </c>
      <c r="AJ135" s="1">
        <f>MIN(1,MAX(0,J135+方案参数!$AB$6-配置与结果!$B$27))</f>
        <v>0.55499999999999994</v>
      </c>
      <c r="AK135" s="1">
        <f>MAX(1,K135+IF(F135=2,0.15+方案参数!$CH$6,0)+BN135*方案参数!$X$6+R135*方案参数!$AA$6+0-配置与结果!$B$26+Z135*(方案参数!$AP$6+MIN(方案参数!$AQ$6,P135*0.03)))</f>
        <v>1.6900000000000002</v>
      </c>
      <c r="AL135" s="7">
        <f>ROUNDDOWN(MAX(AD135*配置与结果!$B$31,AD135-AE135)*AF135*AG135*AH135*AI135,0)</f>
        <v>234475</v>
      </c>
      <c r="AM135" s="7">
        <f>ROUNDDOWN(MAX(AD135*配置与结果!$B$31,AD135-AE135)*AF135*AG135*AH135*AI135*AK135,0)</f>
        <v>396264</v>
      </c>
      <c r="AN135" s="7">
        <f t="shared" si="201"/>
        <v>324267.89500000002</v>
      </c>
      <c r="AO135" s="7">
        <f>0</f>
        <v>0</v>
      </c>
      <c r="AP135" s="7">
        <f>MAX(0,1+INDEX(配置与结果!$J$15:$J$18,F135)+IF(T135&gt;0,方案参数!$BY$6,0)-配置与结果!$B$30)</f>
        <v>2</v>
      </c>
      <c r="AQ135" s="7">
        <f t="shared" si="202"/>
        <v>0</v>
      </c>
      <c r="AR135" s="7">
        <f t="shared" si="203"/>
        <v>0</v>
      </c>
      <c r="AS135" s="7">
        <f t="shared" si="204"/>
        <v>0</v>
      </c>
      <c r="AT135" s="7">
        <f>0</f>
        <v>0</v>
      </c>
      <c r="AU135" s="7">
        <f t="shared" si="205"/>
        <v>324267.89500000002</v>
      </c>
      <c r="AV135" s="1">
        <f t="shared" si="206"/>
        <v>2</v>
      </c>
      <c r="AW135" s="1">
        <f t="shared" ref="AW135:AW151" si="210">MIN(10,M135+0+0)</f>
        <v>10</v>
      </c>
      <c r="AX135" s="1">
        <f t="shared" si="207"/>
        <v>2</v>
      </c>
      <c r="AY135" s="1">
        <f>MIN(20,MAX(0,O135+0+0-0))</f>
        <v>0</v>
      </c>
      <c r="AZ135" s="1">
        <f t="shared" si="208"/>
        <v>5</v>
      </c>
      <c r="BA135" s="1">
        <f t="shared" si="193"/>
        <v>5</v>
      </c>
      <c r="BB135" s="1">
        <f t="shared" si="209"/>
        <v>20</v>
      </c>
      <c r="BC135" s="1">
        <f t="shared" si="199"/>
        <v>3</v>
      </c>
      <c r="BD135" s="1">
        <f t="shared" si="180"/>
        <v>1</v>
      </c>
      <c r="BE135" s="1">
        <f t="shared" si="173"/>
        <v>0</v>
      </c>
      <c r="BF135" s="1">
        <f>MIN(4,V135+0)</f>
        <v>3</v>
      </c>
      <c r="BG135" s="1">
        <f t="shared" si="190"/>
        <v>1</v>
      </c>
      <c r="BH135" s="1">
        <f t="shared" si="174"/>
        <v>1</v>
      </c>
      <c r="BI135" s="1">
        <f t="shared" si="191"/>
        <v>1</v>
      </c>
      <c r="BJ135" s="1">
        <f t="shared" si="194"/>
        <v>1</v>
      </c>
      <c r="BK135" s="1">
        <f t="shared" si="195"/>
        <v>1</v>
      </c>
      <c r="BL135" s="1">
        <f t="shared" si="200"/>
        <v>1</v>
      </c>
      <c r="BM135" s="1">
        <f t="shared" si="198"/>
        <v>1</v>
      </c>
      <c r="BN135" s="1">
        <f t="shared" si="175"/>
        <v>1</v>
      </c>
      <c r="BO135" s="1">
        <f t="shared" si="176"/>
        <v>1</v>
      </c>
    </row>
    <row r="136" spans="1:67" ht="30.95" customHeight="1">
      <c r="A136" s="1">
        <f>3</f>
        <v>3</v>
      </c>
      <c r="B136" s="1">
        <f>固定流程!A28</f>
        <v>23</v>
      </c>
      <c r="C136" s="1">
        <f>6</f>
        <v>6</v>
      </c>
      <c r="D136" s="1">
        <f>1</f>
        <v>1</v>
      </c>
      <c r="E136" s="1">
        <f>固定流程!C28</f>
        <v>3</v>
      </c>
      <c r="F136" s="1">
        <f>固定流程!G28</f>
        <v>2</v>
      </c>
      <c r="G136" s="1" t="str">
        <f>固定流程!H28</f>
        <v>37_FOLLOW</v>
      </c>
      <c r="H136" s="1">
        <f>固定流程!F28</f>
        <v>1</v>
      </c>
      <c r="I136" s="1">
        <f>INDEX(配置与结果!$B$15:$B$18,F136)</f>
        <v>2306</v>
      </c>
      <c r="J136" s="1">
        <f>INDEX(配置与结果!$D$15:$D$18,F136)</f>
        <v>0.46</v>
      </c>
      <c r="K136" s="1">
        <f>INDEX(配置与结果!$E$15:$E$18,F136)</f>
        <v>1.9279999999999999</v>
      </c>
      <c r="L136" s="1">
        <f t="shared" si="187"/>
        <v>2</v>
      </c>
      <c r="M136" s="1">
        <f t="shared" si="188"/>
        <v>10</v>
      </c>
      <c r="N136" s="1">
        <f t="shared" si="189"/>
        <v>2</v>
      </c>
      <c r="O136" s="1">
        <f t="shared" si="181"/>
        <v>0</v>
      </c>
      <c r="P136" s="1">
        <f>MIN(方案参数!$AI$6,AZ135+0+0)</f>
        <v>5</v>
      </c>
      <c r="Q136" s="1">
        <f t="shared" si="159"/>
        <v>5</v>
      </c>
      <c r="R136" s="1">
        <f t="shared" si="160"/>
        <v>20</v>
      </c>
      <c r="S136" s="1">
        <f t="shared" si="161"/>
        <v>3</v>
      </c>
      <c r="T136" s="1">
        <f t="shared" si="196"/>
        <v>1</v>
      </c>
      <c r="U136" s="1">
        <f t="shared" si="163"/>
        <v>0</v>
      </c>
      <c r="V136" s="1">
        <f t="shared" si="164"/>
        <v>3</v>
      </c>
      <c r="W136" s="1">
        <f t="shared" si="165"/>
        <v>1</v>
      </c>
      <c r="X136" s="1">
        <f t="shared" si="166"/>
        <v>1</v>
      </c>
      <c r="Y136" s="1">
        <f t="shared" si="167"/>
        <v>1</v>
      </c>
      <c r="Z136" s="1">
        <f t="shared" si="168"/>
        <v>1</v>
      </c>
      <c r="AA136" s="1">
        <f t="shared" si="192"/>
        <v>1</v>
      </c>
      <c r="AB136" s="1">
        <f t="shared" si="170"/>
        <v>1</v>
      </c>
      <c r="AC136" s="1">
        <f t="shared" si="197"/>
        <v>1</v>
      </c>
      <c r="AD136" s="1">
        <f>ROUNDDOWN(I136*(1+IF(F136=3,0.05+方案参数!$Y$6+AA136*0.12,IF(F136=4,方案参数!$BZ$6*方案参数!$AS$6,0)))+IF(AND(X136=1,F136&lt;&gt;3),方案参数!$CC$6,0)+AC136*方案参数!$CB$6,0)</f>
        <v>3044</v>
      </c>
      <c r="AE136" s="1">
        <f>IF(OR(F136=1,F136=4),配置与结果!$B$24,配置与结果!$B$25)*MAX(0,1-INDEX(配置与结果!$I$15:$I$18,F136))</f>
        <v>1000</v>
      </c>
      <c r="AF136" s="1">
        <f>方案参数!$BV$6</f>
        <v>3</v>
      </c>
      <c r="AG136" s="1">
        <f>MAX(配置与结果!$B$32,1+INDEX(配置与结果!$F$15:$F$18,F136)+0+Q136*方案参数!$W$6+Y136*(方案参数!$AN$6+MIN(方案参数!$AO$6,P136*0.03))+AB136*方案参数!$BZ$6*0.025-配置与结果!$B$28)</f>
        <v>1.8800000000000003</v>
      </c>
      <c r="AH136" s="1">
        <f>MAX(0,1+INDEX(配置与结果!$G$15:$G$18,F136)+W136*方案参数!$AG$6)</f>
        <v>1.3</v>
      </c>
      <c r="AI136" s="1">
        <f>IF(OR(INDEX(配置与结果!$K$15:$K$18,F136)=1,G136="RHI_BERRY"),1+配置与结果!$B$33+P136*方案参数!$AH$6,1)</f>
        <v>1</v>
      </c>
      <c r="AJ136" s="1">
        <f>MIN(1,MAX(0,J136+方案参数!$AB$6-配置与结果!$B$27))</f>
        <v>0.76</v>
      </c>
      <c r="AK136" s="1">
        <f>MAX(1,K136+IF(F136=2,0.15+方案参数!$CH$6,0)+BN136*方案参数!$X$6+R136*方案参数!$AA$6+0-配置与结果!$B$26+Z136*(方案参数!$AP$6+MIN(方案参数!$AQ$6,P136*0.03)))</f>
        <v>2.3380000000000001</v>
      </c>
      <c r="AL136" s="7">
        <f>ROUNDDOWN(MAX(AD136*配置与结果!$B$31,AD136-AE136)*AF136*AG136*AH136*AI136,0)</f>
        <v>14986</v>
      </c>
      <c r="AM136" s="7">
        <f>ROUNDDOWN(MAX(AD136*配置与结果!$B$31,AD136-AE136)*AF136*AG136*AH136*AI136*AK136,0)</f>
        <v>35038</v>
      </c>
      <c r="AN136" s="7">
        <f t="shared" si="201"/>
        <v>30225.52</v>
      </c>
      <c r="AO136" s="7">
        <f>方案参数!$BW$6</f>
        <v>1</v>
      </c>
      <c r="AP136" s="7">
        <f>MAX(0,1+INDEX(配置与结果!$J$15:$J$18,F136)+IF(T136&gt;0,方案参数!$BY$6,0)-配置与结果!$B$30)</f>
        <v>2</v>
      </c>
      <c r="AQ136" s="7">
        <f t="shared" si="202"/>
        <v>6088</v>
      </c>
      <c r="AR136" s="7">
        <f t="shared" si="203"/>
        <v>14233</v>
      </c>
      <c r="AS136" s="7">
        <f t="shared" si="204"/>
        <v>12278.2</v>
      </c>
      <c r="AT136" s="7">
        <f>0</f>
        <v>0</v>
      </c>
      <c r="AU136" s="7">
        <f t="shared" si="205"/>
        <v>42503.72</v>
      </c>
      <c r="AV136" s="1">
        <f t="shared" si="206"/>
        <v>2</v>
      </c>
      <c r="AW136" s="1">
        <f t="shared" si="210"/>
        <v>10</v>
      </c>
      <c r="AX136" s="1">
        <f t="shared" si="207"/>
        <v>2</v>
      </c>
      <c r="AY136" s="1">
        <f>MIN(20,MAX(0,O136+0+0-0))</f>
        <v>0</v>
      </c>
      <c r="AZ136" s="1">
        <f t="shared" si="208"/>
        <v>5</v>
      </c>
      <c r="BA136" s="1">
        <f t="shared" si="193"/>
        <v>5</v>
      </c>
      <c r="BB136" s="1">
        <f t="shared" si="209"/>
        <v>20</v>
      </c>
      <c r="BC136" s="1">
        <f t="shared" si="199"/>
        <v>3</v>
      </c>
      <c r="BD136" s="1">
        <f t="shared" si="180"/>
        <v>0</v>
      </c>
      <c r="BE136" s="1">
        <f t="shared" si="173"/>
        <v>0</v>
      </c>
      <c r="BF136" s="1">
        <f>MIN(4,V136+1)</f>
        <v>4</v>
      </c>
      <c r="BG136" s="1">
        <f t="shared" si="190"/>
        <v>1</v>
      </c>
      <c r="BH136" s="1">
        <f t="shared" si="174"/>
        <v>1</v>
      </c>
      <c r="BI136" s="1">
        <f t="shared" si="191"/>
        <v>1</v>
      </c>
      <c r="BJ136" s="1">
        <f t="shared" si="194"/>
        <v>1</v>
      </c>
      <c r="BK136" s="1">
        <f t="shared" si="195"/>
        <v>1</v>
      </c>
      <c r="BL136" s="1">
        <f t="shared" si="200"/>
        <v>1</v>
      </c>
      <c r="BM136" s="1">
        <f t="shared" si="198"/>
        <v>1</v>
      </c>
      <c r="BN136" s="1">
        <f t="shared" si="175"/>
        <v>1</v>
      </c>
      <c r="BO136" s="1">
        <f t="shared" si="176"/>
        <v>1</v>
      </c>
    </row>
    <row r="137" spans="1:67" ht="30.95" customHeight="1">
      <c r="A137" s="1">
        <f>3</f>
        <v>3</v>
      </c>
      <c r="B137" s="1">
        <f>固定流程!A29</f>
        <v>24</v>
      </c>
      <c r="C137" s="1">
        <f>6</f>
        <v>6</v>
      </c>
      <c r="D137" s="1">
        <f>2</f>
        <v>2</v>
      </c>
      <c r="E137" s="1">
        <f>固定流程!C29</f>
        <v>3</v>
      </c>
      <c r="F137" s="1">
        <f>固定流程!G29</f>
        <v>1</v>
      </c>
      <c r="G137" s="1" t="str">
        <f>固定流程!H29</f>
        <v>LILYA_WEAK</v>
      </c>
      <c r="H137" s="1">
        <f>固定流程!F29</f>
        <v>1</v>
      </c>
      <c r="I137" s="1">
        <f>INDEX(配置与结果!$B$15:$B$18,F137)</f>
        <v>2296</v>
      </c>
      <c r="J137" s="1">
        <f>INDEX(配置与结果!$D$15:$D$18,F137)</f>
        <v>0.7</v>
      </c>
      <c r="K137" s="1">
        <f>INDEX(配置与结果!$E$15:$E$18,F137)</f>
        <v>2.0249999999999999</v>
      </c>
      <c r="L137" s="1">
        <f t="shared" si="187"/>
        <v>2</v>
      </c>
      <c r="M137" s="1">
        <f t="shared" si="188"/>
        <v>10</v>
      </c>
      <c r="N137" s="1">
        <f t="shared" si="189"/>
        <v>2</v>
      </c>
      <c r="O137" s="1">
        <f t="shared" si="181"/>
        <v>0</v>
      </c>
      <c r="P137" s="1">
        <f>MIN(方案参数!$AI$6,AZ136+0+0)</f>
        <v>5</v>
      </c>
      <c r="Q137" s="1">
        <f t="shared" si="159"/>
        <v>5</v>
      </c>
      <c r="R137" s="1">
        <f t="shared" si="160"/>
        <v>20</v>
      </c>
      <c r="S137" s="1">
        <f t="shared" si="161"/>
        <v>3</v>
      </c>
      <c r="T137" s="1">
        <f t="shared" si="196"/>
        <v>0</v>
      </c>
      <c r="U137" s="1">
        <f t="shared" si="163"/>
        <v>0</v>
      </c>
      <c r="V137" s="1">
        <f t="shared" si="164"/>
        <v>4</v>
      </c>
      <c r="W137" s="1">
        <f t="shared" si="165"/>
        <v>1</v>
      </c>
      <c r="X137" s="1">
        <f t="shared" si="166"/>
        <v>1</v>
      </c>
      <c r="Y137" s="1">
        <f t="shared" si="167"/>
        <v>1</v>
      </c>
      <c r="Z137" s="1">
        <f t="shared" si="168"/>
        <v>1</v>
      </c>
      <c r="AA137" s="1">
        <f t="shared" si="192"/>
        <v>1</v>
      </c>
      <c r="AB137" s="1">
        <f t="shared" si="170"/>
        <v>1</v>
      </c>
      <c r="AC137" s="1">
        <f t="shared" si="197"/>
        <v>1</v>
      </c>
      <c r="AD137" s="1">
        <f>ROUNDDOWN(I137*(1+IF(F137=3,0.05+方案参数!$Y$6+AA137*0.12,IF(F137=4,方案参数!$BZ$6*方案参数!$AS$6,0)))+IF(AND(X137=1,F137&lt;&gt;3),方案参数!$CC$6,0)+AC137*方案参数!$CB$6,0)</f>
        <v>3034</v>
      </c>
      <c r="AE137" s="1">
        <f>IF(OR(F137=1,F137=4),配置与结果!$B$24,配置与结果!$B$25)*MAX(0,1-INDEX(配置与结果!$I$15:$I$18,F137))</f>
        <v>1200</v>
      </c>
      <c r="AF137" s="1">
        <f>方案参数!$BL$6</f>
        <v>15</v>
      </c>
      <c r="AG137" s="1">
        <f>MAX(配置与结果!$B$32,1+INDEX(配置与结果!$F$15:$F$18,F137)+0.08+方案参数!$CD$6+Q137*方案参数!$W$6+Y137*(方案参数!$AN$6+MIN(方案参数!$AO$6,P137*0.03))+AB137*方案参数!$BZ$6*0.025-配置与结果!$B$28+方案参数!$AE$6)</f>
        <v>2.6150000000000002</v>
      </c>
      <c r="AH137" s="1">
        <f>MAX(0,1+V137*方案参数!$U$6+0*方案参数!$V$6+方案参数!$AE$6-配置与结果!$B$29)</f>
        <v>1.56</v>
      </c>
      <c r="AI137" s="1">
        <f>IF(OR(INDEX(配置与结果!$K$15:$K$18,F137)=1,G137="RHI_BERRY"),1+配置与结果!$B$33+P137*方案参数!$AH$6,1)</f>
        <v>1</v>
      </c>
      <c r="AJ137" s="1">
        <f>MIN(1,MAX(0,J137+方案参数!$AB$6-配置与结果!$B$27))</f>
        <v>1</v>
      </c>
      <c r="AK137" s="1">
        <f>MAX(1,K137+IF(F137=2,0.15+方案参数!$CH$6,0)+BN137*方案参数!$X$6+R137*方案参数!$AA$6+方案参数!$BP$6-配置与结果!$B$26+Z137*(方案参数!$AP$6+MIN(方案参数!$AQ$6,P137*0.03)))</f>
        <v>2.7650000000000001</v>
      </c>
      <c r="AL137" s="7">
        <f>ROUNDDOWN(MAX(AD137*配置与结果!$B$31,AD137-AE137)*AF137*AG137*AH137*AI137,0)</f>
        <v>112224</v>
      </c>
      <c r="AM137" s="7">
        <f>ROUNDDOWN(MAX(AD137*配置与结果!$B$31,AD137-AE137)*AF137*AG137*AH137*AI137*AK137,0)</f>
        <v>310300</v>
      </c>
      <c r="AN137" s="7">
        <f t="shared" si="201"/>
        <v>310300</v>
      </c>
      <c r="AO137" s="7">
        <f>0</f>
        <v>0</v>
      </c>
      <c r="AP137" s="7">
        <f>MAX(0,1+INDEX(配置与结果!$J$15:$J$18,F137)+IF(T137&gt;0,方案参数!$BY$6,0)-配置与结果!$B$30)</f>
        <v>1</v>
      </c>
      <c r="AQ137" s="7">
        <f t="shared" si="202"/>
        <v>0</v>
      </c>
      <c r="AR137" s="7">
        <f t="shared" si="203"/>
        <v>0</v>
      </c>
      <c r="AS137" s="7">
        <f t="shared" si="204"/>
        <v>0</v>
      </c>
      <c r="AT137" s="7">
        <f>IF(U137&gt;0,ROUNDDOWN(AL137*方案参数!$AF$6,0)*(1-AJ137)+ROUNDDOWN(AM137*方案参数!$AF$6,0)*AJ137,0)</f>
        <v>0</v>
      </c>
      <c r="AU137" s="7">
        <f t="shared" si="205"/>
        <v>310300</v>
      </c>
      <c r="AV137" s="1">
        <f t="shared" si="206"/>
        <v>2</v>
      </c>
      <c r="AW137" s="1">
        <f t="shared" si="210"/>
        <v>10</v>
      </c>
      <c r="AX137" s="1">
        <f t="shared" si="207"/>
        <v>2</v>
      </c>
      <c r="AY137" s="1">
        <f>MIN(20,MAX(0,O137+0+1-0))</f>
        <v>1</v>
      </c>
      <c r="AZ137" s="1">
        <f t="shared" si="208"/>
        <v>5</v>
      </c>
      <c r="BA137" s="1">
        <f t="shared" si="193"/>
        <v>5</v>
      </c>
      <c r="BB137" s="1">
        <f t="shared" si="209"/>
        <v>20</v>
      </c>
      <c r="BC137" s="1">
        <f t="shared" si="199"/>
        <v>3</v>
      </c>
      <c r="BD137" s="1">
        <f t="shared" si="180"/>
        <v>0</v>
      </c>
      <c r="BE137" s="1">
        <f>MAX(0,U137-IF(AF137&gt;0,1,0))+0</f>
        <v>0</v>
      </c>
      <c r="BF137" s="1">
        <f t="shared" ref="BF137:BF154" si="211">MIN(4,V137+0)</f>
        <v>4</v>
      </c>
      <c r="BG137" s="1">
        <f t="shared" si="190"/>
        <v>1</v>
      </c>
      <c r="BH137" s="1">
        <f t="shared" si="174"/>
        <v>1</v>
      </c>
      <c r="BI137" s="1">
        <f t="shared" si="191"/>
        <v>1</v>
      </c>
      <c r="BJ137" s="1">
        <f t="shared" si="194"/>
        <v>1</v>
      </c>
      <c r="BK137" s="1">
        <f t="shared" si="195"/>
        <v>1</v>
      </c>
      <c r="BL137" s="1">
        <f t="shared" si="200"/>
        <v>1</v>
      </c>
      <c r="BM137" s="1">
        <f t="shared" si="198"/>
        <v>1</v>
      </c>
      <c r="BN137" s="1">
        <f t="shared" si="175"/>
        <v>1</v>
      </c>
      <c r="BO137" s="1">
        <f t="shared" si="176"/>
        <v>1</v>
      </c>
    </row>
    <row r="138" spans="1:67" ht="30.95" customHeight="1">
      <c r="A138" s="1">
        <f>3</f>
        <v>3</v>
      </c>
      <c r="B138" s="1">
        <f>固定流程!A30</f>
        <v>25</v>
      </c>
      <c r="C138" s="1">
        <f>6</f>
        <v>6</v>
      </c>
      <c r="D138" s="1">
        <f>2</f>
        <v>2</v>
      </c>
      <c r="E138" s="1">
        <f>固定流程!C30</f>
        <v>3</v>
      </c>
      <c r="F138" s="1">
        <f>固定流程!G30</f>
        <v>1</v>
      </c>
      <c r="G138" s="1" t="str">
        <f>固定流程!H30</f>
        <v>LILYA_WEAK</v>
      </c>
      <c r="H138" s="1">
        <f>固定流程!F30</f>
        <v>1</v>
      </c>
      <c r="I138" s="1">
        <f>INDEX(配置与结果!$B$15:$B$18,F138)</f>
        <v>2296</v>
      </c>
      <c r="J138" s="1">
        <f>INDEX(配置与结果!$D$15:$D$18,F138)</f>
        <v>0.7</v>
      </c>
      <c r="K138" s="1">
        <f>INDEX(配置与结果!$E$15:$E$18,F138)</f>
        <v>2.0249999999999999</v>
      </c>
      <c r="L138" s="1">
        <f t="shared" si="187"/>
        <v>2</v>
      </c>
      <c r="M138" s="1">
        <f t="shared" si="188"/>
        <v>10</v>
      </c>
      <c r="N138" s="1">
        <f t="shared" si="189"/>
        <v>2</v>
      </c>
      <c r="O138" s="1">
        <f t="shared" si="181"/>
        <v>1</v>
      </c>
      <c r="P138" s="1">
        <f>MIN(方案参数!$AI$6,AZ137+0+0)</f>
        <v>5</v>
      </c>
      <c r="Q138" s="1">
        <f t="shared" si="159"/>
        <v>5</v>
      </c>
      <c r="R138" s="1">
        <f t="shared" si="160"/>
        <v>20</v>
      </c>
      <c r="S138" s="1">
        <f t="shared" si="161"/>
        <v>3</v>
      </c>
      <c r="T138" s="1">
        <f t="shared" si="196"/>
        <v>0</v>
      </c>
      <c r="U138" s="1">
        <f t="shared" si="163"/>
        <v>0</v>
      </c>
      <c r="V138" s="1">
        <f t="shared" si="164"/>
        <v>4</v>
      </c>
      <c r="W138" s="1">
        <f t="shared" si="165"/>
        <v>1</v>
      </c>
      <c r="X138" s="1">
        <f t="shared" si="166"/>
        <v>1</v>
      </c>
      <c r="Y138" s="1">
        <f t="shared" si="167"/>
        <v>1</v>
      </c>
      <c r="Z138" s="1">
        <f t="shared" si="168"/>
        <v>1</v>
      </c>
      <c r="AA138" s="1">
        <f t="shared" si="192"/>
        <v>1</v>
      </c>
      <c r="AB138" s="1">
        <f t="shared" si="170"/>
        <v>1</v>
      </c>
      <c r="AC138" s="1">
        <f t="shared" si="197"/>
        <v>1</v>
      </c>
      <c r="AD138" s="1">
        <f>ROUNDDOWN(I138*(1+IF(F138=3,0.05+方案参数!$Y$6+AA138*0.12,IF(F138=4,方案参数!$BZ$6*方案参数!$AS$6,0)))+IF(AND(X138=1,F138&lt;&gt;3),方案参数!$CC$6,0)+AC138*方案参数!$CB$6,0)</f>
        <v>3034</v>
      </c>
      <c r="AE138" s="1">
        <f>IF(OR(F138=1,F138=4),配置与结果!$B$24,配置与结果!$B$25)*MAX(0,1-INDEX(配置与结果!$I$15:$I$18,F138))</f>
        <v>1200</v>
      </c>
      <c r="AF138" s="1">
        <f>方案参数!$BL$6</f>
        <v>15</v>
      </c>
      <c r="AG138" s="1">
        <f>MAX(配置与结果!$B$32,1+INDEX(配置与结果!$F$15:$F$18,F138)+0.08+方案参数!$CD$6+Q138*方案参数!$W$6+Y138*(方案参数!$AN$6+MIN(方案参数!$AO$6,P138*0.03))+AB138*方案参数!$BZ$6*0.025-配置与结果!$B$28+方案参数!$AE$6)</f>
        <v>2.6150000000000002</v>
      </c>
      <c r="AH138" s="1">
        <f>MAX(0,1+V138*方案参数!$U$6+1*方案参数!$V$6+方案参数!$AE$6-配置与结果!$B$29)</f>
        <v>1.62</v>
      </c>
      <c r="AI138" s="1">
        <f>IF(OR(INDEX(配置与结果!$K$15:$K$18,F138)=1,G138="RHI_BERRY"),1+配置与结果!$B$33+P138*方案参数!$AH$6,1)</f>
        <v>1</v>
      </c>
      <c r="AJ138" s="1">
        <f>MIN(1,MAX(0,J138+方案参数!$AB$6-配置与结果!$B$27))</f>
        <v>1</v>
      </c>
      <c r="AK138" s="1">
        <f>MAX(1,K138+IF(F138=2,0.15+方案参数!$CH$6,0)+BN138*方案参数!$X$6+R138*方案参数!$AA$6+方案参数!$BP$6-配置与结果!$B$26+Z138*(方案参数!$AP$6+MIN(方案参数!$AQ$6,P138*0.03)))</f>
        <v>2.7650000000000001</v>
      </c>
      <c r="AL138" s="7">
        <f>ROUNDDOWN(MAX(AD138*配置与结果!$B$31,AD138-AE138)*AF138*AG138*AH138*AI138,0)</f>
        <v>116540</v>
      </c>
      <c r="AM138" s="7">
        <f>ROUNDDOWN(MAX(AD138*配置与结果!$B$31,AD138-AE138)*AF138*AG138*AH138*AI138*AK138,0)</f>
        <v>322234</v>
      </c>
      <c r="AN138" s="7">
        <f t="shared" si="201"/>
        <v>322234</v>
      </c>
      <c r="AO138" s="7">
        <f>0</f>
        <v>0</v>
      </c>
      <c r="AP138" s="7">
        <f>MAX(0,1+INDEX(配置与结果!$J$15:$J$18,F138)+IF(T138&gt;0,方案参数!$BY$6,0)-配置与结果!$B$30)</f>
        <v>1</v>
      </c>
      <c r="AQ138" s="7">
        <f t="shared" si="202"/>
        <v>0</v>
      </c>
      <c r="AR138" s="7">
        <f t="shared" si="203"/>
        <v>0</v>
      </c>
      <c r="AS138" s="7">
        <f t="shared" si="204"/>
        <v>0</v>
      </c>
      <c r="AT138" s="7">
        <f>IF(U138&gt;0,ROUNDDOWN(AL138*方案参数!$AF$6,0)*(1-AJ138)+ROUNDDOWN(AM138*方案参数!$AF$6,0)*AJ138,0)</f>
        <v>0</v>
      </c>
      <c r="AU138" s="7">
        <f t="shared" si="205"/>
        <v>322234</v>
      </c>
      <c r="AV138" s="1">
        <f t="shared" si="206"/>
        <v>2</v>
      </c>
      <c r="AW138" s="1">
        <f t="shared" si="210"/>
        <v>10</v>
      </c>
      <c r="AX138" s="1">
        <f t="shared" si="207"/>
        <v>2</v>
      </c>
      <c r="AY138" s="1">
        <f>MIN(20,MAX(0,O138+0+1-0))</f>
        <v>2</v>
      </c>
      <c r="AZ138" s="1">
        <f t="shared" si="208"/>
        <v>5</v>
      </c>
      <c r="BA138" s="1">
        <f t="shared" si="193"/>
        <v>5</v>
      </c>
      <c r="BB138" s="1">
        <f t="shared" si="209"/>
        <v>20</v>
      </c>
      <c r="BC138" s="1">
        <f t="shared" si="199"/>
        <v>3</v>
      </c>
      <c r="BD138" s="1">
        <f t="shared" si="180"/>
        <v>0</v>
      </c>
      <c r="BE138" s="1">
        <f>MAX(0,U138-IF(AF138&gt;0,1,0))+0</f>
        <v>0</v>
      </c>
      <c r="BF138" s="1">
        <f t="shared" si="211"/>
        <v>4</v>
      </c>
      <c r="BG138" s="1">
        <f t="shared" si="190"/>
        <v>1</v>
      </c>
      <c r="BH138" s="1">
        <f t="shared" si="174"/>
        <v>1</v>
      </c>
      <c r="BI138" s="1">
        <f t="shared" si="191"/>
        <v>1</v>
      </c>
      <c r="BJ138" s="1">
        <f t="shared" si="194"/>
        <v>1</v>
      </c>
      <c r="BK138" s="1">
        <f t="shared" si="195"/>
        <v>1</v>
      </c>
      <c r="BL138" s="1">
        <f t="shared" si="200"/>
        <v>1</v>
      </c>
      <c r="BM138" s="1">
        <f t="shared" si="198"/>
        <v>1</v>
      </c>
      <c r="BN138" s="1">
        <f t="shared" si="175"/>
        <v>1</v>
      </c>
      <c r="BO138" s="1">
        <f t="shared" si="176"/>
        <v>1</v>
      </c>
    </row>
    <row r="139" spans="1:67" ht="30.95" customHeight="1">
      <c r="A139" s="1">
        <f>3</f>
        <v>3</v>
      </c>
      <c r="B139" s="1">
        <f>固定流程!A31</f>
        <v>26</v>
      </c>
      <c r="C139" s="1">
        <f>6</f>
        <v>6</v>
      </c>
      <c r="D139" s="1">
        <f>2</f>
        <v>2</v>
      </c>
      <c r="E139" s="1">
        <f>固定流程!C31</f>
        <v>3</v>
      </c>
      <c r="F139" s="1">
        <f>固定流程!G31</f>
        <v>2</v>
      </c>
      <c r="G139" s="1" t="str">
        <f>固定流程!H31</f>
        <v>37_WEAK</v>
      </c>
      <c r="H139" s="1">
        <f>固定流程!F31</f>
        <v>1</v>
      </c>
      <c r="I139" s="1">
        <f>INDEX(配置与结果!$B$15:$B$18,F139)</f>
        <v>2306</v>
      </c>
      <c r="J139" s="1">
        <f>INDEX(配置与结果!$D$15:$D$18,F139)</f>
        <v>0.46</v>
      </c>
      <c r="K139" s="1">
        <f>INDEX(配置与结果!$E$15:$E$18,F139)</f>
        <v>1.9279999999999999</v>
      </c>
      <c r="L139" s="1">
        <f t="shared" si="187"/>
        <v>2</v>
      </c>
      <c r="M139" s="1">
        <f t="shared" si="188"/>
        <v>10</v>
      </c>
      <c r="N139" s="1">
        <f t="shared" si="189"/>
        <v>2</v>
      </c>
      <c r="O139" s="1">
        <f t="shared" si="181"/>
        <v>2</v>
      </c>
      <c r="P139" s="1">
        <f>MIN(方案参数!$AI$6,AZ138+0+0)</f>
        <v>5</v>
      </c>
      <c r="Q139" s="1">
        <f t="shared" si="159"/>
        <v>5</v>
      </c>
      <c r="R139" s="1">
        <f t="shared" si="160"/>
        <v>20</v>
      </c>
      <c r="S139" s="1">
        <f t="shared" si="161"/>
        <v>3</v>
      </c>
      <c r="T139" s="1">
        <f t="shared" si="196"/>
        <v>0</v>
      </c>
      <c r="U139" s="1">
        <f t="shared" si="163"/>
        <v>0</v>
      </c>
      <c r="V139" s="1">
        <f t="shared" si="164"/>
        <v>4</v>
      </c>
      <c r="W139" s="1">
        <f t="shared" si="165"/>
        <v>1</v>
      </c>
      <c r="X139" s="1">
        <f t="shared" si="166"/>
        <v>1</v>
      </c>
      <c r="Y139" s="1">
        <f t="shared" si="167"/>
        <v>1</v>
      </c>
      <c r="Z139" s="1">
        <f t="shared" si="168"/>
        <v>1</v>
      </c>
      <c r="AA139" s="1">
        <f t="shared" si="192"/>
        <v>1</v>
      </c>
      <c r="AB139" s="1">
        <f t="shared" si="170"/>
        <v>1</v>
      </c>
      <c r="AC139" s="1">
        <f t="shared" si="197"/>
        <v>1</v>
      </c>
      <c r="AD139" s="1">
        <f>ROUNDDOWN(I139*(1+IF(F139=3,0.05+方案参数!$Y$6+AA139*0.12,IF(F139=4,方案参数!$BZ$6*方案参数!$AS$6,0)))+IF(AND(X139=1,F139&lt;&gt;3),方案参数!$CC$6,0)+AC139*方案参数!$CB$6,0)</f>
        <v>3044</v>
      </c>
      <c r="AE139" s="1">
        <f>IF(OR(F139=1,F139=4),配置与结果!$B$24,配置与结果!$B$25)*MAX(0,1-INDEX(配置与结果!$I$15:$I$18,F139))</f>
        <v>1000</v>
      </c>
      <c r="AF139" s="1">
        <f>方案参数!$CE$6</f>
        <v>8</v>
      </c>
      <c r="AG139" s="1">
        <f>MAX(配置与结果!$B$32,1+INDEX(配置与结果!$F$15:$F$18,F139)+0+Q139*方案参数!$W$6+Y139*(方案参数!$AN$6+MIN(方案参数!$AO$6,P139*0.03))+AB139*方案参数!$BZ$6*0.025-配置与结果!$B$28+方案参数!$AE$6)</f>
        <v>2.2800000000000002</v>
      </c>
      <c r="AH139" s="1">
        <f>MAX(0,1+V139*方案参数!$U$6+方案参数!$AE$6-配置与结果!$B$29)</f>
        <v>1.56</v>
      </c>
      <c r="AI139" s="1">
        <f>IF(OR(INDEX(配置与结果!$K$15:$K$18,F139)=1,G139="RHI_BERRY"),1+配置与结果!$B$33+P139*方案参数!$AH$6,1)</f>
        <v>1</v>
      </c>
      <c r="AJ139" s="1">
        <f>MIN(1,MAX(0,J139+方案参数!$AB$6-配置与结果!$B$27))</f>
        <v>0.76</v>
      </c>
      <c r="AK139" s="1">
        <f>MAX(1,K139+IF(F139=2,0.15+方案参数!$CH$6,0)+BN139*方案参数!$X$6+R139*方案参数!$AA$6+0-配置与结果!$B$26+Z139*(方案参数!$AP$6+MIN(方案参数!$AQ$6,P139*0.03)))</f>
        <v>2.3380000000000001</v>
      </c>
      <c r="AL139" s="7">
        <f>ROUNDDOWN(MAX(AD139*配置与结果!$B$31,AD139-AE139)*AF139*AG139*AH139*AI139,0)</f>
        <v>58160</v>
      </c>
      <c r="AM139" s="7">
        <f>ROUNDDOWN(MAX(AD139*配置与结果!$B$31,AD139-AE139)*AF139*AG139*AH139*AI139*AK139,0)</f>
        <v>135979</v>
      </c>
      <c r="AN139" s="7">
        <f t="shared" si="201"/>
        <v>117302.44</v>
      </c>
      <c r="AO139" s="7">
        <f>0</f>
        <v>0</v>
      </c>
      <c r="AP139" s="7">
        <f>MAX(0,1+INDEX(配置与结果!$J$15:$J$18,F139)+IF(T139&gt;0,方案参数!$BY$6,0)-配置与结果!$B$30)</f>
        <v>1</v>
      </c>
      <c r="AQ139" s="7">
        <f t="shared" si="202"/>
        <v>0</v>
      </c>
      <c r="AR139" s="7">
        <f t="shared" si="203"/>
        <v>0</v>
      </c>
      <c r="AS139" s="7">
        <f t="shared" si="204"/>
        <v>0</v>
      </c>
      <c r="AT139" s="7">
        <f>IF(U139&gt;0,ROUNDDOWN(AL139*方案参数!$AF$6,0)*(1-AJ139)+ROUNDDOWN(AM139*方案参数!$AF$6,0)*AJ139,0)</f>
        <v>0</v>
      </c>
      <c r="AU139" s="7">
        <f t="shared" si="205"/>
        <v>117302.44</v>
      </c>
      <c r="AV139" s="1">
        <f t="shared" si="206"/>
        <v>2</v>
      </c>
      <c r="AW139" s="1">
        <f t="shared" si="210"/>
        <v>10</v>
      </c>
      <c r="AX139" s="1">
        <f t="shared" si="207"/>
        <v>2</v>
      </c>
      <c r="AY139" s="1">
        <f>MIN(20,MAX(0,O139+0+0-0))</f>
        <v>2</v>
      </c>
      <c r="AZ139" s="1">
        <f t="shared" si="208"/>
        <v>5</v>
      </c>
      <c r="BA139" s="1">
        <f t="shared" si="193"/>
        <v>5</v>
      </c>
      <c r="BB139" s="1">
        <f t="shared" si="209"/>
        <v>20</v>
      </c>
      <c r="BC139" s="1">
        <f t="shared" si="199"/>
        <v>3</v>
      </c>
      <c r="BD139" s="1">
        <f t="shared" si="180"/>
        <v>0</v>
      </c>
      <c r="BE139" s="1">
        <f>MAX(0,U139-IF(AF139&gt;0,1,0))+1</f>
        <v>1</v>
      </c>
      <c r="BF139" s="1">
        <f t="shared" si="211"/>
        <v>4</v>
      </c>
      <c r="BG139" s="1">
        <f t="shared" si="190"/>
        <v>1</v>
      </c>
      <c r="BH139" s="1">
        <f t="shared" si="174"/>
        <v>1</v>
      </c>
      <c r="BI139" s="1">
        <f t="shared" si="191"/>
        <v>1</v>
      </c>
      <c r="BJ139" s="1">
        <f t="shared" si="194"/>
        <v>1</v>
      </c>
      <c r="BK139" s="1">
        <f t="shared" si="195"/>
        <v>1</v>
      </c>
      <c r="BL139" s="1">
        <f t="shared" si="200"/>
        <v>1</v>
      </c>
      <c r="BM139" s="1">
        <f t="shared" si="198"/>
        <v>1</v>
      </c>
      <c r="BN139" s="1">
        <f t="shared" si="175"/>
        <v>1</v>
      </c>
      <c r="BO139" s="1">
        <f t="shared" si="176"/>
        <v>1</v>
      </c>
    </row>
    <row r="140" spans="1:67" ht="30.95" customHeight="1">
      <c r="A140" s="1">
        <f>3</f>
        <v>3</v>
      </c>
      <c r="B140" s="1">
        <f>固定流程!A32</f>
        <v>27</v>
      </c>
      <c r="C140" s="1">
        <f>6</f>
        <v>6</v>
      </c>
      <c r="D140" s="1">
        <f>2</f>
        <v>2</v>
      </c>
      <c r="E140" s="1">
        <f>固定流程!C32</f>
        <v>3</v>
      </c>
      <c r="F140" s="1">
        <f>固定流程!G32</f>
        <v>1</v>
      </c>
      <c r="G140" s="1" t="str">
        <f>固定流程!H32</f>
        <v>LILYA_THIRD</v>
      </c>
      <c r="H140" s="1">
        <f>固定流程!F32</f>
        <v>1</v>
      </c>
      <c r="I140" s="1">
        <f>INDEX(配置与结果!$B$15:$B$18,F140)</f>
        <v>2296</v>
      </c>
      <c r="J140" s="1">
        <f>INDEX(配置与结果!$D$15:$D$18,F140)</f>
        <v>0.7</v>
      </c>
      <c r="K140" s="1">
        <f>INDEX(配置与结果!$E$15:$E$18,F140)</f>
        <v>2.0249999999999999</v>
      </c>
      <c r="L140" s="1">
        <f t="shared" si="187"/>
        <v>2</v>
      </c>
      <c r="M140" s="1">
        <f t="shared" si="188"/>
        <v>10</v>
      </c>
      <c r="N140" s="1">
        <f t="shared" si="189"/>
        <v>2</v>
      </c>
      <c r="O140" s="1">
        <f t="shared" si="181"/>
        <v>2</v>
      </c>
      <c r="P140" s="1">
        <f>MIN(方案参数!$AI$6,AZ139+0+0)</f>
        <v>5</v>
      </c>
      <c r="Q140" s="1">
        <f t="shared" si="159"/>
        <v>5</v>
      </c>
      <c r="R140" s="1">
        <f t="shared" si="160"/>
        <v>20</v>
      </c>
      <c r="S140" s="1">
        <f t="shared" si="161"/>
        <v>3</v>
      </c>
      <c r="T140" s="1">
        <f t="shared" si="196"/>
        <v>0</v>
      </c>
      <c r="U140" s="1">
        <f t="shared" si="163"/>
        <v>1</v>
      </c>
      <c r="V140" s="1">
        <f t="shared" si="164"/>
        <v>4</v>
      </c>
      <c r="W140" s="1">
        <f t="shared" si="165"/>
        <v>1</v>
      </c>
      <c r="X140" s="1">
        <f t="shared" si="166"/>
        <v>1</v>
      </c>
      <c r="Y140" s="1">
        <f t="shared" si="167"/>
        <v>1</v>
      </c>
      <c r="Z140" s="1">
        <f t="shared" si="168"/>
        <v>1</v>
      </c>
      <c r="AA140" s="1">
        <f t="shared" si="192"/>
        <v>1</v>
      </c>
      <c r="AB140" s="1">
        <f t="shared" si="170"/>
        <v>1</v>
      </c>
      <c r="AC140" s="1">
        <f t="shared" si="197"/>
        <v>1</v>
      </c>
      <c r="AD140" s="1">
        <f>ROUNDDOWN(I140*(1+IF(F140=3,0.05+方案参数!$Y$6+AA140*0.12,IF(F140=4,方案参数!$BZ$6*方案参数!$AS$6,0)))+IF(AND(X140=1,F140&lt;&gt;3),方案参数!$CC$6,0)+AC140*方案参数!$CB$6,0)</f>
        <v>3034</v>
      </c>
      <c r="AE140" s="1">
        <f>IF(OR(F140=1,F140=4),配置与结果!$B$24,配置与结果!$B$25)*MAX(0,1-INDEX(配置与结果!$I$15:$I$18,F140))</f>
        <v>1200</v>
      </c>
      <c r="AF140" s="1">
        <f>方案参数!$BM$6</f>
        <v>32</v>
      </c>
      <c r="AG140" s="1">
        <f>MAX(配置与结果!$B$32,1+INDEX(配置与结果!$F$15:$F$18,F140)+0.08+方案参数!$CD$6+Q140*方案参数!$W$6+Y140*(方案参数!$AN$6+MIN(方案参数!$AO$6,P140*0.03))+AB140*方案参数!$BZ$6*0.025-配置与结果!$B$28+方案参数!$AE$6)</f>
        <v>2.6150000000000002</v>
      </c>
      <c r="AH140" s="1">
        <f>MAX(0,1+V140*方案参数!$U$6+3*方案参数!$V$6+方案参数!$AE$6-配置与结果!$B$29)</f>
        <v>1.7399999999999998</v>
      </c>
      <c r="AI140" s="1">
        <f>IF(OR(INDEX(配置与结果!$K$15:$K$18,F140)=1,G140="RHI_BERRY"),1+配置与结果!$B$33+P140*方案参数!$AH$6,1)</f>
        <v>1</v>
      </c>
      <c r="AJ140" s="1">
        <f>MIN(1,MAX(0,J140+方案参数!$AB$6-配置与结果!$B$27))</f>
        <v>1</v>
      </c>
      <c r="AK140" s="1">
        <f>MAX(1,K140+IF(F140=2,0.15+方案参数!$CH$6,0)+BN140*方案参数!$X$6+R140*方案参数!$AA$6+方案参数!$BQ$6-配置与结果!$B$26+Z140*(方案参数!$AP$6+MIN(方案参数!$AQ$6,P140*0.03)))</f>
        <v>2.9650000000000003</v>
      </c>
      <c r="AL140" s="7">
        <f>ROUNDDOWN(MAX(AD140*配置与结果!$B$31,AD140-AE140)*AF140*AG140*AH140*AI140,0)</f>
        <v>267036</v>
      </c>
      <c r="AM140" s="7">
        <f>ROUNDDOWN(MAX(AD140*配置与结果!$B$31,AD140-AE140)*AF140*AG140*AH140*AI140*AK140,0)</f>
        <v>791762</v>
      </c>
      <c r="AN140" s="7">
        <f t="shared" si="201"/>
        <v>791762</v>
      </c>
      <c r="AO140" s="7">
        <f>0</f>
        <v>0</v>
      </c>
      <c r="AP140" s="7">
        <f>MAX(0,1+INDEX(配置与结果!$J$15:$J$18,F140)+IF(T140&gt;0,方案参数!$BY$6,0)-配置与结果!$B$30)</f>
        <v>1</v>
      </c>
      <c r="AQ140" s="7">
        <f t="shared" si="202"/>
        <v>0</v>
      </c>
      <c r="AR140" s="7">
        <f t="shared" si="203"/>
        <v>0</v>
      </c>
      <c r="AS140" s="7">
        <f t="shared" si="204"/>
        <v>0</v>
      </c>
      <c r="AT140" s="7">
        <f>IF(U140&gt;0,ROUNDDOWN(AL140*方案参数!$AF$6,0)*(1-AJ140)+ROUNDDOWN(AM140*方案参数!$AF$6,0)*AJ140,0)</f>
        <v>316704</v>
      </c>
      <c r="AU140" s="7">
        <f t="shared" si="205"/>
        <v>1108466</v>
      </c>
      <c r="AV140" s="1">
        <f t="shared" si="206"/>
        <v>2</v>
      </c>
      <c r="AW140" s="1">
        <f t="shared" si="210"/>
        <v>10</v>
      </c>
      <c r="AX140" s="1">
        <f t="shared" si="207"/>
        <v>2</v>
      </c>
      <c r="AY140" s="1">
        <f>MIN(20,MAX(0,O140+0+1-0))</f>
        <v>3</v>
      </c>
      <c r="AZ140" s="1">
        <f t="shared" si="208"/>
        <v>5</v>
      </c>
      <c r="BA140" s="1">
        <f t="shared" si="193"/>
        <v>5</v>
      </c>
      <c r="BB140" s="1">
        <f t="shared" si="209"/>
        <v>20</v>
      </c>
      <c r="BC140" s="1">
        <f t="shared" si="199"/>
        <v>3</v>
      </c>
      <c r="BD140" s="1">
        <f t="shared" si="180"/>
        <v>0</v>
      </c>
      <c r="BE140" s="1">
        <f>MAX(0,U140-IF(AF140&gt;0,1,0))+0</f>
        <v>0</v>
      </c>
      <c r="BF140" s="1">
        <f t="shared" si="211"/>
        <v>4</v>
      </c>
      <c r="BG140" s="1">
        <f t="shared" si="190"/>
        <v>1</v>
      </c>
      <c r="BH140" s="1">
        <f t="shared" si="174"/>
        <v>1</v>
      </c>
      <c r="BI140" s="1">
        <f t="shared" si="191"/>
        <v>1</v>
      </c>
      <c r="BJ140" s="1">
        <f t="shared" si="194"/>
        <v>1</v>
      </c>
      <c r="BK140" s="1">
        <f t="shared" si="195"/>
        <v>1</v>
      </c>
      <c r="BL140" s="1">
        <f t="shared" si="200"/>
        <v>1</v>
      </c>
      <c r="BM140" s="1">
        <f t="shared" si="198"/>
        <v>1</v>
      </c>
      <c r="BN140" s="1">
        <f t="shared" si="175"/>
        <v>1</v>
      </c>
      <c r="BO140" s="1">
        <f t="shared" si="176"/>
        <v>1</v>
      </c>
    </row>
    <row r="141" spans="1:67" ht="30.95" customHeight="1">
      <c r="A141" s="1">
        <f>3</f>
        <v>3</v>
      </c>
      <c r="B141" s="1">
        <f>固定流程!A33</f>
        <v>28</v>
      </c>
      <c r="C141" s="1">
        <f>6</f>
        <v>6</v>
      </c>
      <c r="D141" s="1">
        <f>2</f>
        <v>2</v>
      </c>
      <c r="E141" s="1">
        <f>固定流程!C33</f>
        <v>3</v>
      </c>
      <c r="F141" s="1">
        <f>固定流程!G33</f>
        <v>1</v>
      </c>
      <c r="G141" s="1" t="str">
        <f>固定流程!H33</f>
        <v>LILYA_WEAK</v>
      </c>
      <c r="H141" s="1">
        <f>固定流程!F33</f>
        <v>1</v>
      </c>
      <c r="I141" s="1">
        <f>INDEX(配置与结果!$B$15:$B$18,F141)</f>
        <v>2296</v>
      </c>
      <c r="J141" s="1">
        <f>INDEX(配置与结果!$D$15:$D$18,F141)</f>
        <v>0.7</v>
      </c>
      <c r="K141" s="1">
        <f>INDEX(配置与结果!$E$15:$E$18,F141)</f>
        <v>2.0249999999999999</v>
      </c>
      <c r="L141" s="1">
        <f t="shared" si="187"/>
        <v>2</v>
      </c>
      <c r="M141" s="1">
        <f t="shared" si="188"/>
        <v>10</v>
      </c>
      <c r="N141" s="1">
        <f t="shared" si="189"/>
        <v>2</v>
      </c>
      <c r="O141" s="1">
        <f t="shared" si="181"/>
        <v>3</v>
      </c>
      <c r="P141" s="1">
        <f>MIN(方案参数!$AI$6,AZ140+0+0)</f>
        <v>5</v>
      </c>
      <c r="Q141" s="1">
        <f t="shared" si="159"/>
        <v>5</v>
      </c>
      <c r="R141" s="1">
        <f t="shared" si="160"/>
        <v>20</v>
      </c>
      <c r="S141" s="1">
        <f t="shared" si="161"/>
        <v>3</v>
      </c>
      <c r="T141" s="1">
        <f t="shared" si="196"/>
        <v>0</v>
      </c>
      <c r="U141" s="1">
        <f t="shared" si="163"/>
        <v>0</v>
      </c>
      <c r="V141" s="1">
        <f t="shared" si="164"/>
        <v>4</v>
      </c>
      <c r="W141" s="1">
        <f t="shared" si="165"/>
        <v>1</v>
      </c>
      <c r="X141" s="1">
        <f t="shared" si="166"/>
        <v>1</v>
      </c>
      <c r="Y141" s="1">
        <f t="shared" si="167"/>
        <v>1</v>
      </c>
      <c r="Z141" s="1">
        <f t="shared" si="168"/>
        <v>1</v>
      </c>
      <c r="AA141" s="1">
        <f t="shared" si="192"/>
        <v>1</v>
      </c>
      <c r="AB141" s="1">
        <f t="shared" si="170"/>
        <v>1</v>
      </c>
      <c r="AC141" s="1">
        <f t="shared" si="197"/>
        <v>1</v>
      </c>
      <c r="AD141" s="1">
        <f>ROUNDDOWN(I141*(1+IF(F141=3,0.05+方案参数!$Y$6+AA141*0.12,IF(F141=4,方案参数!$BZ$6*方案参数!$AS$6,0)))+IF(AND(X141=1,F141&lt;&gt;3),方案参数!$CC$6,0)+AC141*方案参数!$CB$6,0)</f>
        <v>3034</v>
      </c>
      <c r="AE141" s="1">
        <f>IF(OR(F141=1,F141=4),配置与结果!$B$24,配置与结果!$B$25)*MAX(0,1-INDEX(配置与结果!$I$15:$I$18,F141))</f>
        <v>1200</v>
      </c>
      <c r="AF141" s="1">
        <f>方案参数!$BL$6</f>
        <v>15</v>
      </c>
      <c r="AG141" s="1">
        <f>MAX(配置与结果!$B$32,1+INDEX(配置与结果!$F$15:$F$18,F141)+0.08+方案参数!$CD$6+Q141*方案参数!$W$6+Y141*(方案参数!$AN$6+MIN(方案参数!$AO$6,P141*0.03))+AB141*方案参数!$BZ$6*0.025-配置与结果!$B$28+方案参数!$AE$6)</f>
        <v>2.6150000000000002</v>
      </c>
      <c r="AH141" s="1">
        <f>MAX(0,1+V141*方案参数!$U$6+4*方案参数!$V$6+方案参数!$AE$6-配置与结果!$B$29)</f>
        <v>1.7999999999999998</v>
      </c>
      <c r="AI141" s="1">
        <f>IF(OR(INDEX(配置与结果!$K$15:$K$18,F141)=1,G141="RHI_BERRY"),1+配置与结果!$B$33+P141*方案参数!$AH$6,1)</f>
        <v>1</v>
      </c>
      <c r="AJ141" s="1">
        <f>MIN(1,MAX(0,J141+方案参数!$AB$6-配置与结果!$B$27))</f>
        <v>1</v>
      </c>
      <c r="AK141" s="1">
        <f>MAX(1,K141+IF(F141=2,0.15+方案参数!$CH$6,0)+BN141*方案参数!$X$6+R141*方案参数!$AA$6+方案参数!$BP$6-配置与结果!$B$26+Z141*(方案参数!$AP$6+MIN(方案参数!$AQ$6,P141*0.03)))</f>
        <v>2.7650000000000001</v>
      </c>
      <c r="AL141" s="7">
        <f>ROUNDDOWN(MAX(AD141*配置与结果!$B$31,AD141-AE141)*AF141*AG141*AH141*AI141,0)</f>
        <v>129489</v>
      </c>
      <c r="AM141" s="7">
        <f>ROUNDDOWN(MAX(AD141*配置与结果!$B$31,AD141-AE141)*AF141*AG141*AH141*AI141*AK141,0)</f>
        <v>358038</v>
      </c>
      <c r="AN141" s="7">
        <f t="shared" si="201"/>
        <v>358038</v>
      </c>
      <c r="AO141" s="7">
        <f>0</f>
        <v>0</v>
      </c>
      <c r="AP141" s="7">
        <f>MAX(0,1+INDEX(配置与结果!$J$15:$J$18,F141)+IF(T141&gt;0,方案参数!$BY$6,0)-配置与结果!$B$30)</f>
        <v>1</v>
      </c>
      <c r="AQ141" s="7">
        <f t="shared" si="202"/>
        <v>0</v>
      </c>
      <c r="AR141" s="7">
        <f t="shared" si="203"/>
        <v>0</v>
      </c>
      <c r="AS141" s="7">
        <f t="shared" si="204"/>
        <v>0</v>
      </c>
      <c r="AT141" s="7">
        <f>IF(U141&gt;0,ROUNDDOWN(AL141*方案参数!$AF$6,0)*(1-AJ141)+ROUNDDOWN(AM141*方案参数!$AF$6,0)*AJ141,0)</f>
        <v>0</v>
      </c>
      <c r="AU141" s="7">
        <f t="shared" si="205"/>
        <v>358038</v>
      </c>
      <c r="AV141" s="1">
        <f t="shared" si="206"/>
        <v>2</v>
      </c>
      <c r="AW141" s="1">
        <f t="shared" si="210"/>
        <v>10</v>
      </c>
      <c r="AX141" s="1">
        <f t="shared" si="207"/>
        <v>2</v>
      </c>
      <c r="AY141" s="1">
        <f>MIN(20,MAX(0,O141+0+1-0))</f>
        <v>4</v>
      </c>
      <c r="AZ141" s="1">
        <f t="shared" si="208"/>
        <v>5</v>
      </c>
      <c r="BA141" s="1">
        <f t="shared" si="193"/>
        <v>5</v>
      </c>
      <c r="BB141" s="1">
        <f t="shared" si="209"/>
        <v>20</v>
      </c>
      <c r="BC141" s="1">
        <f t="shared" si="199"/>
        <v>3</v>
      </c>
      <c r="BD141" s="1">
        <f t="shared" si="180"/>
        <v>0</v>
      </c>
      <c r="BE141" s="1">
        <f>MAX(0,U141-IF(AF141&gt;0,1,0))+0</f>
        <v>0</v>
      </c>
      <c r="BF141" s="1">
        <f t="shared" si="211"/>
        <v>4</v>
      </c>
      <c r="BG141" s="1">
        <f t="shared" si="190"/>
        <v>1</v>
      </c>
      <c r="BH141" s="1">
        <f t="shared" si="174"/>
        <v>1</v>
      </c>
      <c r="BI141" s="1">
        <f t="shared" si="191"/>
        <v>1</v>
      </c>
      <c r="BJ141" s="1">
        <f t="shared" si="194"/>
        <v>1</v>
      </c>
      <c r="BK141" s="1">
        <f t="shared" si="195"/>
        <v>1</v>
      </c>
      <c r="BL141" s="1">
        <f t="shared" si="200"/>
        <v>1</v>
      </c>
      <c r="BM141" s="1">
        <f t="shared" si="198"/>
        <v>1</v>
      </c>
      <c r="BN141" s="1">
        <f t="shared" si="175"/>
        <v>1</v>
      </c>
      <c r="BO141" s="1">
        <f t="shared" si="176"/>
        <v>1</v>
      </c>
    </row>
    <row r="142" spans="1:67" ht="30.95" customHeight="1">
      <c r="A142" s="1">
        <f>3</f>
        <v>3</v>
      </c>
      <c r="B142" s="1">
        <f>固定流程!A34</f>
        <v>29</v>
      </c>
      <c r="C142" s="1">
        <f>6</f>
        <v>6</v>
      </c>
      <c r="D142" s="1">
        <f>2</f>
        <v>2</v>
      </c>
      <c r="E142" s="1">
        <f>固定流程!C34</f>
        <v>3</v>
      </c>
      <c r="F142" s="1">
        <f>固定流程!G34</f>
        <v>1</v>
      </c>
      <c r="G142" s="1" t="str">
        <f>固定流程!H34</f>
        <v>LILYA_WEAK</v>
      </c>
      <c r="H142" s="1">
        <f>固定流程!F34</f>
        <v>1</v>
      </c>
      <c r="I142" s="1">
        <f>INDEX(配置与结果!$B$15:$B$18,F142)</f>
        <v>2296</v>
      </c>
      <c r="J142" s="1">
        <f>INDEX(配置与结果!$D$15:$D$18,F142)</f>
        <v>0.7</v>
      </c>
      <c r="K142" s="1">
        <f>INDEX(配置与结果!$E$15:$E$18,F142)</f>
        <v>2.0249999999999999</v>
      </c>
      <c r="L142" s="1">
        <f t="shared" si="187"/>
        <v>2</v>
      </c>
      <c r="M142" s="1">
        <f t="shared" si="188"/>
        <v>10</v>
      </c>
      <c r="N142" s="1">
        <f t="shared" si="189"/>
        <v>2</v>
      </c>
      <c r="O142" s="1">
        <f t="shared" si="181"/>
        <v>4</v>
      </c>
      <c r="P142" s="1">
        <f>MIN(方案参数!$AI$6,AZ141+0+0)</f>
        <v>5</v>
      </c>
      <c r="Q142" s="1">
        <f t="shared" si="159"/>
        <v>5</v>
      </c>
      <c r="R142" s="1">
        <f t="shared" si="160"/>
        <v>20</v>
      </c>
      <c r="S142" s="1">
        <f t="shared" si="161"/>
        <v>3</v>
      </c>
      <c r="T142" s="1">
        <f t="shared" si="196"/>
        <v>0</v>
      </c>
      <c r="U142" s="1">
        <f t="shared" si="163"/>
        <v>0</v>
      </c>
      <c r="V142" s="1">
        <f t="shared" si="164"/>
        <v>4</v>
      </c>
      <c r="W142" s="1">
        <f t="shared" si="165"/>
        <v>1</v>
      </c>
      <c r="X142" s="1">
        <f t="shared" si="166"/>
        <v>1</v>
      </c>
      <c r="Y142" s="1">
        <f t="shared" si="167"/>
        <v>1</v>
      </c>
      <c r="Z142" s="1">
        <f t="shared" si="168"/>
        <v>1</v>
      </c>
      <c r="AA142" s="1">
        <f t="shared" si="192"/>
        <v>1</v>
      </c>
      <c r="AB142" s="1">
        <f t="shared" si="170"/>
        <v>1</v>
      </c>
      <c r="AC142" s="1">
        <f t="shared" si="197"/>
        <v>1</v>
      </c>
      <c r="AD142" s="1">
        <f>ROUNDDOWN(I142*(1+IF(F142=3,0.05+方案参数!$Y$6+AA142*0.12,IF(F142=4,方案参数!$BZ$6*方案参数!$AS$6,0)))+IF(AND(X142=1,F142&lt;&gt;3),方案参数!$CC$6,0)+AC142*方案参数!$CB$6,0)</f>
        <v>3034</v>
      </c>
      <c r="AE142" s="1">
        <f>IF(OR(F142=1,F142=4),配置与结果!$B$24,配置与结果!$B$25)*MAX(0,1-INDEX(配置与结果!$I$15:$I$18,F142))</f>
        <v>1200</v>
      </c>
      <c r="AF142" s="1">
        <f>方案参数!$BL$6</f>
        <v>15</v>
      </c>
      <c r="AG142" s="1">
        <f>MAX(配置与结果!$B$32,1+INDEX(配置与结果!$F$15:$F$18,F142)+0.08+方案参数!$CD$6+Q142*方案参数!$W$6+Y142*(方案参数!$AN$6+MIN(方案参数!$AO$6,P142*0.03))+AB142*方案参数!$BZ$6*0.025-配置与结果!$B$28+方案参数!$AE$6)</f>
        <v>2.6150000000000002</v>
      </c>
      <c r="AH142" s="1">
        <f>MAX(0,1+V142*方案参数!$U$6+5*方案参数!$V$6+方案参数!$AE$6-配置与结果!$B$29)</f>
        <v>1.8599999999999999</v>
      </c>
      <c r="AI142" s="1">
        <f>IF(OR(INDEX(配置与结果!$K$15:$K$18,F142)=1,G142="RHI_BERRY"),1+配置与结果!$B$33+P142*方案参数!$AH$6,1)</f>
        <v>1</v>
      </c>
      <c r="AJ142" s="1">
        <f>MIN(1,MAX(0,J142+方案参数!$AB$6-配置与结果!$B$27))</f>
        <v>1</v>
      </c>
      <c r="AK142" s="1">
        <f>MAX(1,K142+IF(F142=2,0.15+方案参数!$CH$6,0)+BN142*方案参数!$X$6+R142*方案参数!$AA$6+方案参数!$BP$6-配置与结果!$B$26+Z142*(方案参数!$AP$6+MIN(方案参数!$AQ$6,P142*0.03)))</f>
        <v>2.7650000000000001</v>
      </c>
      <c r="AL142" s="7">
        <f>ROUNDDOWN(MAX(AD142*配置与结果!$B$31,AD142-AE142)*AF142*AG142*AH142*AI142,0)</f>
        <v>133805</v>
      </c>
      <c r="AM142" s="7">
        <f>ROUNDDOWN(MAX(AD142*配置与结果!$B$31,AD142-AE142)*AF142*AG142*AH142*AI142*AK142,0)</f>
        <v>369973</v>
      </c>
      <c r="AN142" s="7">
        <f t="shared" si="201"/>
        <v>369973</v>
      </c>
      <c r="AO142" s="7">
        <f>0</f>
        <v>0</v>
      </c>
      <c r="AP142" s="7">
        <f>MAX(0,1+INDEX(配置与结果!$J$15:$J$18,F142)+IF(T142&gt;0,方案参数!$BY$6,0)-配置与结果!$B$30)</f>
        <v>1</v>
      </c>
      <c r="AQ142" s="7">
        <f t="shared" si="202"/>
        <v>0</v>
      </c>
      <c r="AR142" s="7">
        <f t="shared" si="203"/>
        <v>0</v>
      </c>
      <c r="AS142" s="7">
        <f t="shared" si="204"/>
        <v>0</v>
      </c>
      <c r="AT142" s="7">
        <f>IF(U142&gt;0,ROUNDDOWN(AL142*方案参数!$AF$6,0)*(1-AJ142)+ROUNDDOWN(AM142*方案参数!$AF$6,0)*AJ142,0)</f>
        <v>0</v>
      </c>
      <c r="AU142" s="7">
        <f t="shared" si="205"/>
        <v>369973</v>
      </c>
      <c r="AV142" s="1">
        <f t="shared" si="206"/>
        <v>2</v>
      </c>
      <c r="AW142" s="1">
        <f t="shared" si="210"/>
        <v>10</v>
      </c>
      <c r="AX142" s="1">
        <f t="shared" si="207"/>
        <v>2</v>
      </c>
      <c r="AY142" s="1">
        <f>MIN(20,MAX(0,O142+0+1-0))</f>
        <v>5</v>
      </c>
      <c r="AZ142" s="1">
        <f t="shared" si="208"/>
        <v>5</v>
      </c>
      <c r="BA142" s="1">
        <f t="shared" si="193"/>
        <v>5</v>
      </c>
      <c r="BB142" s="1">
        <f t="shared" si="209"/>
        <v>20</v>
      </c>
      <c r="BC142" s="1">
        <f t="shared" si="199"/>
        <v>3</v>
      </c>
      <c r="BD142" s="1">
        <f t="shared" si="180"/>
        <v>0</v>
      </c>
      <c r="BE142" s="1">
        <f>MAX(0,U142-IF(AF142&gt;0,1,0))+0</f>
        <v>0</v>
      </c>
      <c r="BF142" s="1">
        <f t="shared" si="211"/>
        <v>4</v>
      </c>
      <c r="BG142" s="1">
        <f t="shared" si="190"/>
        <v>1</v>
      </c>
      <c r="BH142" s="1">
        <f t="shared" si="174"/>
        <v>1</v>
      </c>
      <c r="BI142" s="1">
        <f t="shared" si="191"/>
        <v>1</v>
      </c>
      <c r="BJ142" s="1">
        <f t="shared" si="194"/>
        <v>1</v>
      </c>
      <c r="BK142" s="1">
        <f t="shared" si="195"/>
        <v>1</v>
      </c>
      <c r="BL142" s="1">
        <f t="shared" si="200"/>
        <v>1</v>
      </c>
      <c r="BM142" s="1">
        <f t="shared" si="198"/>
        <v>1</v>
      </c>
      <c r="BN142" s="1">
        <f t="shared" si="175"/>
        <v>1</v>
      </c>
      <c r="BO142" s="1">
        <f t="shared" si="176"/>
        <v>1</v>
      </c>
    </row>
    <row r="143" spans="1:67" ht="30.95" customHeight="1">
      <c r="A143" s="1">
        <f>3</f>
        <v>3</v>
      </c>
      <c r="B143" s="1">
        <f>固定流程!A35</f>
        <v>30</v>
      </c>
      <c r="C143" s="1">
        <f>6</f>
        <v>6</v>
      </c>
      <c r="D143" s="1">
        <f>2</f>
        <v>2</v>
      </c>
      <c r="E143" s="1">
        <f>固定流程!C35</f>
        <v>3</v>
      </c>
      <c r="F143" s="1">
        <f>固定流程!G35</f>
        <v>2</v>
      </c>
      <c r="G143" s="1" t="str">
        <f>固定流程!H35</f>
        <v>37_WEAK</v>
      </c>
      <c r="H143" s="1">
        <f>固定流程!F35</f>
        <v>1</v>
      </c>
      <c r="I143" s="1">
        <f>INDEX(配置与结果!$B$15:$B$18,F143)</f>
        <v>2306</v>
      </c>
      <c r="J143" s="1">
        <f>INDEX(配置与结果!$D$15:$D$18,F143)</f>
        <v>0.46</v>
      </c>
      <c r="K143" s="1">
        <f>INDEX(配置与结果!$E$15:$E$18,F143)</f>
        <v>1.9279999999999999</v>
      </c>
      <c r="L143" s="1">
        <f t="shared" si="187"/>
        <v>2</v>
      </c>
      <c r="M143" s="1">
        <f t="shared" si="188"/>
        <v>10</v>
      </c>
      <c r="N143" s="1">
        <f t="shared" si="189"/>
        <v>2</v>
      </c>
      <c r="O143" s="1">
        <f t="shared" si="181"/>
        <v>5</v>
      </c>
      <c r="P143" s="1">
        <f>MIN(方案参数!$AI$6,AZ142+0+0)</f>
        <v>5</v>
      </c>
      <c r="Q143" s="1">
        <f t="shared" si="159"/>
        <v>5</v>
      </c>
      <c r="R143" s="1">
        <f t="shared" si="160"/>
        <v>20</v>
      </c>
      <c r="S143" s="1">
        <f t="shared" si="161"/>
        <v>3</v>
      </c>
      <c r="T143" s="1">
        <f t="shared" si="196"/>
        <v>0</v>
      </c>
      <c r="U143" s="1">
        <f t="shared" si="163"/>
        <v>0</v>
      </c>
      <c r="V143" s="1">
        <f t="shared" si="164"/>
        <v>4</v>
      </c>
      <c r="W143" s="1">
        <f t="shared" si="165"/>
        <v>1</v>
      </c>
      <c r="X143" s="1">
        <f t="shared" si="166"/>
        <v>1</v>
      </c>
      <c r="Y143" s="1">
        <f t="shared" si="167"/>
        <v>1</v>
      </c>
      <c r="Z143" s="1">
        <f t="shared" si="168"/>
        <v>1</v>
      </c>
      <c r="AA143" s="1">
        <f t="shared" si="192"/>
        <v>1</v>
      </c>
      <c r="AB143" s="1">
        <f t="shared" si="170"/>
        <v>1</v>
      </c>
      <c r="AC143" s="1">
        <f t="shared" si="197"/>
        <v>1</v>
      </c>
      <c r="AD143" s="1">
        <f>ROUNDDOWN(I143*(1+IF(F143=3,0.05+方案参数!$Y$6+AA143*0.12,IF(F143=4,方案参数!$BZ$6*方案参数!$AS$6,0)))+IF(AND(X143=1,F143&lt;&gt;3),方案参数!$CC$6,0)+AC143*方案参数!$CB$6,0)</f>
        <v>3044</v>
      </c>
      <c r="AE143" s="1">
        <f>IF(OR(F143=1,F143=4),配置与结果!$B$24,配置与结果!$B$25)*MAX(0,1-INDEX(配置与结果!$I$15:$I$18,F143))</f>
        <v>1000</v>
      </c>
      <c r="AF143" s="1">
        <f>方案参数!$CE$6</f>
        <v>8</v>
      </c>
      <c r="AG143" s="1">
        <f>MAX(配置与结果!$B$32,1+INDEX(配置与结果!$F$15:$F$18,F143)+0+Q143*方案参数!$W$6+Y143*(方案参数!$AN$6+MIN(方案参数!$AO$6,P143*0.03))+AB143*方案参数!$BZ$6*0.025-配置与结果!$B$28+方案参数!$AE$6)</f>
        <v>2.2800000000000002</v>
      </c>
      <c r="AH143" s="1">
        <f>MAX(0,1+V143*方案参数!$U$6+方案参数!$AE$6-配置与结果!$B$29)</f>
        <v>1.56</v>
      </c>
      <c r="AI143" s="1">
        <f>IF(OR(INDEX(配置与结果!$K$15:$K$18,F143)=1,G143="RHI_BERRY"),1+配置与结果!$B$33+P143*方案参数!$AH$6,1)</f>
        <v>1</v>
      </c>
      <c r="AJ143" s="1">
        <f>MIN(1,MAX(0,J143+方案参数!$AB$6-配置与结果!$B$27))</f>
        <v>0.76</v>
      </c>
      <c r="AK143" s="1">
        <f>MAX(1,K143+IF(F143=2,0.15+方案参数!$CH$6,0)+BN143*方案参数!$X$6+R143*方案参数!$AA$6+0-配置与结果!$B$26+Z143*(方案参数!$AP$6+MIN(方案参数!$AQ$6,P143*0.03)))</f>
        <v>2.3380000000000001</v>
      </c>
      <c r="AL143" s="7">
        <f>ROUNDDOWN(MAX(AD143*配置与结果!$B$31,AD143-AE143)*AF143*AG143*AH143*AI143,0)</f>
        <v>58160</v>
      </c>
      <c r="AM143" s="7">
        <f>ROUNDDOWN(MAX(AD143*配置与结果!$B$31,AD143-AE143)*AF143*AG143*AH143*AI143*AK143,0)</f>
        <v>135979</v>
      </c>
      <c r="AN143" s="7">
        <f t="shared" si="201"/>
        <v>117302.44</v>
      </c>
      <c r="AO143" s="7">
        <f>0</f>
        <v>0</v>
      </c>
      <c r="AP143" s="7">
        <f>MAX(0,1+INDEX(配置与结果!$J$15:$J$18,F143)+IF(T143&gt;0,方案参数!$BY$6,0)-配置与结果!$B$30)</f>
        <v>1</v>
      </c>
      <c r="AQ143" s="7">
        <f t="shared" si="202"/>
        <v>0</v>
      </c>
      <c r="AR143" s="7">
        <f t="shared" si="203"/>
        <v>0</v>
      </c>
      <c r="AS143" s="7">
        <f t="shared" si="204"/>
        <v>0</v>
      </c>
      <c r="AT143" s="7">
        <f>IF(U143&gt;0,ROUNDDOWN(AL143*方案参数!$AF$6,0)*(1-AJ143)+ROUNDDOWN(AM143*方案参数!$AF$6,0)*AJ143,0)</f>
        <v>0</v>
      </c>
      <c r="AU143" s="7">
        <f t="shared" si="205"/>
        <v>117302.44</v>
      </c>
      <c r="AV143" s="1">
        <f t="shared" si="206"/>
        <v>2</v>
      </c>
      <c r="AW143" s="1">
        <f t="shared" si="210"/>
        <v>10</v>
      </c>
      <c r="AX143" s="1">
        <f t="shared" si="207"/>
        <v>2</v>
      </c>
      <c r="AY143" s="1">
        <f>MIN(20,MAX(0,O143+0+0-0))</f>
        <v>5</v>
      </c>
      <c r="AZ143" s="1">
        <f t="shared" si="208"/>
        <v>5</v>
      </c>
      <c r="BA143" s="1">
        <f t="shared" si="193"/>
        <v>5</v>
      </c>
      <c r="BB143" s="1">
        <f t="shared" si="209"/>
        <v>20</v>
      </c>
      <c r="BC143" s="1">
        <f t="shared" si="199"/>
        <v>3</v>
      </c>
      <c r="BD143" s="1">
        <f t="shared" si="180"/>
        <v>0</v>
      </c>
      <c r="BE143" s="1">
        <f>MAX(0,U143-IF(AF143&gt;0,1,0))+1</f>
        <v>1</v>
      </c>
      <c r="BF143" s="1">
        <f t="shared" si="211"/>
        <v>4</v>
      </c>
      <c r="BG143" s="1">
        <f t="shared" si="190"/>
        <v>1</v>
      </c>
      <c r="BH143" s="1">
        <f t="shared" si="174"/>
        <v>1</v>
      </c>
      <c r="BI143" s="1">
        <f t="shared" si="191"/>
        <v>1</v>
      </c>
      <c r="BJ143" s="1">
        <f t="shared" si="194"/>
        <v>1</v>
      </c>
      <c r="BK143" s="1">
        <f t="shared" si="195"/>
        <v>1</v>
      </c>
      <c r="BL143" s="1">
        <f t="shared" si="200"/>
        <v>1</v>
      </c>
      <c r="BM143" s="1">
        <f t="shared" si="198"/>
        <v>1</v>
      </c>
      <c r="BN143" s="1">
        <f t="shared" si="175"/>
        <v>1</v>
      </c>
      <c r="BO143" s="1">
        <f t="shared" si="176"/>
        <v>1</v>
      </c>
    </row>
    <row r="144" spans="1:67" ht="30.95" customHeight="1">
      <c r="A144" s="1">
        <f>3</f>
        <v>3</v>
      </c>
      <c r="B144" s="1">
        <f>固定流程!A36</f>
        <v>31</v>
      </c>
      <c r="C144" s="1">
        <f>6</f>
        <v>6</v>
      </c>
      <c r="D144" s="1">
        <f>2</f>
        <v>2</v>
      </c>
      <c r="E144" s="1">
        <f>固定流程!C36</f>
        <v>3</v>
      </c>
      <c r="F144" s="1">
        <f>固定流程!G36</f>
        <v>1</v>
      </c>
      <c r="G144" s="1" t="str">
        <f>固定流程!H36</f>
        <v>LILYA_THIRD</v>
      </c>
      <c r="H144" s="1">
        <f>固定流程!F36</f>
        <v>1</v>
      </c>
      <c r="I144" s="1">
        <f>INDEX(配置与结果!$B$15:$B$18,F144)</f>
        <v>2296</v>
      </c>
      <c r="J144" s="1">
        <f>INDEX(配置与结果!$D$15:$D$18,F144)</f>
        <v>0.7</v>
      </c>
      <c r="K144" s="1">
        <f>INDEX(配置与结果!$E$15:$E$18,F144)</f>
        <v>2.0249999999999999</v>
      </c>
      <c r="L144" s="1">
        <f t="shared" si="187"/>
        <v>2</v>
      </c>
      <c r="M144" s="1">
        <f t="shared" si="188"/>
        <v>10</v>
      </c>
      <c r="N144" s="1">
        <f t="shared" si="189"/>
        <v>2</v>
      </c>
      <c r="O144" s="1">
        <f t="shared" si="181"/>
        <v>5</v>
      </c>
      <c r="P144" s="1">
        <f>MIN(方案参数!$AI$6,AZ143+0+0)</f>
        <v>5</v>
      </c>
      <c r="Q144" s="1">
        <f t="shared" si="159"/>
        <v>5</v>
      </c>
      <c r="R144" s="1">
        <f t="shared" si="160"/>
        <v>20</v>
      </c>
      <c r="S144" s="1">
        <f t="shared" si="161"/>
        <v>3</v>
      </c>
      <c r="T144" s="1">
        <f t="shared" si="196"/>
        <v>0</v>
      </c>
      <c r="U144" s="1">
        <f t="shared" si="163"/>
        <v>1</v>
      </c>
      <c r="V144" s="1">
        <f t="shared" si="164"/>
        <v>4</v>
      </c>
      <c r="W144" s="1">
        <f t="shared" si="165"/>
        <v>1</v>
      </c>
      <c r="X144" s="1">
        <f t="shared" si="166"/>
        <v>1</v>
      </c>
      <c r="Y144" s="1">
        <f t="shared" si="167"/>
        <v>1</v>
      </c>
      <c r="Z144" s="1">
        <f t="shared" si="168"/>
        <v>1</v>
      </c>
      <c r="AA144" s="1">
        <f t="shared" si="192"/>
        <v>1</v>
      </c>
      <c r="AB144" s="1">
        <f t="shared" si="170"/>
        <v>1</v>
      </c>
      <c r="AC144" s="1">
        <f t="shared" si="197"/>
        <v>1</v>
      </c>
      <c r="AD144" s="1">
        <f>ROUNDDOWN(I144*(1+IF(F144=3,0.05+方案参数!$Y$6+AA144*0.12,IF(F144=4,方案参数!$BZ$6*方案参数!$AS$6,0)))+IF(AND(X144=1,F144&lt;&gt;3),方案参数!$CC$6,0)+AC144*方案参数!$CB$6,0)</f>
        <v>3034</v>
      </c>
      <c r="AE144" s="1">
        <f>IF(OR(F144=1,F144=4),配置与结果!$B$24,配置与结果!$B$25)*MAX(0,1-INDEX(配置与结果!$I$15:$I$18,F144))</f>
        <v>1200</v>
      </c>
      <c r="AF144" s="1">
        <f>方案参数!$BM$6</f>
        <v>32</v>
      </c>
      <c r="AG144" s="1">
        <f>MAX(配置与结果!$B$32,1+INDEX(配置与结果!$F$15:$F$18,F144)+0.08+方案参数!$CD$6+Q144*方案参数!$W$6+Y144*(方案参数!$AN$6+MIN(方案参数!$AO$6,P144*0.03))+AB144*方案参数!$BZ$6*0.025-配置与结果!$B$28+方案参数!$AE$6)</f>
        <v>2.6150000000000002</v>
      </c>
      <c r="AH144" s="1">
        <f>MAX(0,1+V144*方案参数!$U$6+7*方案参数!$V$6+方案参数!$AE$6-配置与结果!$B$29)</f>
        <v>1.98</v>
      </c>
      <c r="AI144" s="1">
        <f>IF(OR(INDEX(配置与结果!$K$15:$K$18,F144)=1,G144="RHI_BERRY"),1+配置与结果!$B$33+P144*方案参数!$AH$6,1)</f>
        <v>1</v>
      </c>
      <c r="AJ144" s="1">
        <f>MIN(1,MAX(0,J144+方案参数!$AB$6-配置与结果!$B$27))</f>
        <v>1</v>
      </c>
      <c r="AK144" s="1">
        <f>MAX(1,K144+IF(F144=2,0.15+方案参数!$CH$6,0)+BN144*方案参数!$X$6+R144*方案参数!$AA$6+方案参数!$BQ$6-配置与结果!$B$26+Z144*(方案参数!$AP$6+MIN(方案参数!$AQ$6,P144*0.03)))</f>
        <v>2.9650000000000003</v>
      </c>
      <c r="AL144" s="7">
        <f>ROUNDDOWN(MAX(AD144*配置与结果!$B$31,AD144-AE144)*AF144*AG144*AH144*AI144,0)</f>
        <v>303868</v>
      </c>
      <c r="AM144" s="7">
        <f>ROUNDDOWN(MAX(AD144*配置与结果!$B$31,AD144-AE144)*AF144*AG144*AH144*AI144*AK144,0)</f>
        <v>900971</v>
      </c>
      <c r="AN144" s="7">
        <f t="shared" si="201"/>
        <v>900971</v>
      </c>
      <c r="AO144" s="7">
        <f>0</f>
        <v>0</v>
      </c>
      <c r="AP144" s="7">
        <f>MAX(0,1+INDEX(配置与结果!$J$15:$J$18,F144)+IF(T144&gt;0,方案参数!$BY$6,0)-配置与结果!$B$30)</f>
        <v>1</v>
      </c>
      <c r="AQ144" s="7">
        <f t="shared" si="202"/>
        <v>0</v>
      </c>
      <c r="AR144" s="7">
        <f t="shared" si="203"/>
        <v>0</v>
      </c>
      <c r="AS144" s="7">
        <f t="shared" si="204"/>
        <v>0</v>
      </c>
      <c r="AT144" s="7">
        <f>IF(U144&gt;0,ROUNDDOWN(AL144*方案参数!$AF$6,0)*(1-AJ144)+ROUNDDOWN(AM144*方案参数!$AF$6,0)*AJ144,0)</f>
        <v>360388</v>
      </c>
      <c r="AU144" s="7">
        <f t="shared" si="205"/>
        <v>1261359</v>
      </c>
      <c r="AV144" s="1">
        <f t="shared" si="206"/>
        <v>2</v>
      </c>
      <c r="AW144" s="1">
        <f t="shared" si="210"/>
        <v>10</v>
      </c>
      <c r="AX144" s="1">
        <f t="shared" si="207"/>
        <v>2</v>
      </c>
      <c r="AY144" s="1">
        <f>MIN(20,MAX(0,O144+0+1-0))</f>
        <v>6</v>
      </c>
      <c r="AZ144" s="1">
        <f t="shared" si="208"/>
        <v>5</v>
      </c>
      <c r="BA144" s="1">
        <f t="shared" si="193"/>
        <v>5</v>
      </c>
      <c r="BB144" s="1">
        <f t="shared" si="209"/>
        <v>20</v>
      </c>
      <c r="BC144" s="1">
        <f t="shared" si="199"/>
        <v>3</v>
      </c>
      <c r="BD144" s="1">
        <f t="shared" si="180"/>
        <v>0</v>
      </c>
      <c r="BE144" s="1">
        <f>MAX(0,U144-IF(AF144&gt;0,1,0))+0</f>
        <v>0</v>
      </c>
      <c r="BF144" s="1">
        <f t="shared" si="211"/>
        <v>4</v>
      </c>
      <c r="BG144" s="1">
        <f t="shared" si="190"/>
        <v>1</v>
      </c>
      <c r="BH144" s="1">
        <f t="shared" si="174"/>
        <v>1</v>
      </c>
      <c r="BI144" s="1">
        <f t="shared" si="191"/>
        <v>1</v>
      </c>
      <c r="BJ144" s="1">
        <f t="shared" si="194"/>
        <v>1</v>
      </c>
      <c r="BK144" s="1">
        <f t="shared" si="195"/>
        <v>1</v>
      </c>
      <c r="BL144" s="1">
        <f t="shared" si="200"/>
        <v>1</v>
      </c>
      <c r="BM144" s="1">
        <f t="shared" si="198"/>
        <v>1</v>
      </c>
      <c r="BN144" s="1">
        <f t="shared" si="175"/>
        <v>1</v>
      </c>
      <c r="BO144" s="1">
        <f t="shared" si="176"/>
        <v>1</v>
      </c>
    </row>
    <row r="145" spans="1:67" ht="30.95" customHeight="1">
      <c r="A145" s="1">
        <f>3</f>
        <v>3</v>
      </c>
      <c r="B145" s="1">
        <f>固定流程!A37</f>
        <v>32</v>
      </c>
      <c r="C145" s="1">
        <f>6</f>
        <v>6</v>
      </c>
      <c r="D145" s="1">
        <f>2</f>
        <v>2</v>
      </c>
      <c r="E145" s="1">
        <f>固定流程!C37</f>
        <v>3</v>
      </c>
      <c r="F145" s="1">
        <f>固定流程!G37</f>
        <v>1</v>
      </c>
      <c r="G145" s="1" t="str">
        <f>固定流程!H37</f>
        <v>LILYA_WEAK</v>
      </c>
      <c r="H145" s="1">
        <f>固定流程!F37</f>
        <v>1</v>
      </c>
      <c r="I145" s="1">
        <f>INDEX(配置与结果!$B$15:$B$18,F145)</f>
        <v>2296</v>
      </c>
      <c r="J145" s="1">
        <f>INDEX(配置与结果!$D$15:$D$18,F145)</f>
        <v>0.7</v>
      </c>
      <c r="K145" s="1">
        <f>INDEX(配置与结果!$E$15:$E$18,F145)</f>
        <v>2.0249999999999999</v>
      </c>
      <c r="L145" s="1">
        <f t="shared" si="187"/>
        <v>2</v>
      </c>
      <c r="M145" s="1">
        <f t="shared" si="188"/>
        <v>10</v>
      </c>
      <c r="N145" s="1">
        <f t="shared" si="189"/>
        <v>2</v>
      </c>
      <c r="O145" s="1">
        <f t="shared" si="181"/>
        <v>6</v>
      </c>
      <c r="P145" s="1">
        <f>MIN(方案参数!$AI$6,AZ144+0+0)</f>
        <v>5</v>
      </c>
      <c r="Q145" s="1">
        <f t="shared" si="159"/>
        <v>5</v>
      </c>
      <c r="R145" s="1">
        <f t="shared" si="160"/>
        <v>20</v>
      </c>
      <c r="S145" s="1">
        <f t="shared" si="161"/>
        <v>3</v>
      </c>
      <c r="T145" s="1">
        <f t="shared" si="196"/>
        <v>0</v>
      </c>
      <c r="U145" s="1">
        <f t="shared" si="163"/>
        <v>0</v>
      </c>
      <c r="V145" s="1">
        <f t="shared" si="164"/>
        <v>4</v>
      </c>
      <c r="W145" s="1">
        <f t="shared" si="165"/>
        <v>1</v>
      </c>
      <c r="X145" s="1">
        <f t="shared" si="166"/>
        <v>1</v>
      </c>
      <c r="Y145" s="1">
        <f t="shared" si="167"/>
        <v>1</v>
      </c>
      <c r="Z145" s="1">
        <f t="shared" si="168"/>
        <v>1</v>
      </c>
      <c r="AA145" s="1">
        <f t="shared" si="192"/>
        <v>1</v>
      </c>
      <c r="AB145" s="1">
        <f t="shared" si="170"/>
        <v>1</v>
      </c>
      <c r="AC145" s="1">
        <f t="shared" si="197"/>
        <v>1</v>
      </c>
      <c r="AD145" s="1">
        <f>ROUNDDOWN(I145*(1+IF(F145=3,0.05+方案参数!$Y$6+AA145*0.12,IF(F145=4,方案参数!$BZ$6*方案参数!$AS$6,0)))+IF(AND(X145=1,F145&lt;&gt;3),方案参数!$CC$6,0)+AC145*方案参数!$CB$6,0)</f>
        <v>3034</v>
      </c>
      <c r="AE145" s="1">
        <f>IF(OR(F145=1,F145=4),配置与结果!$B$24,配置与结果!$B$25)*MAX(0,1-INDEX(配置与结果!$I$15:$I$18,F145))</f>
        <v>1200</v>
      </c>
      <c r="AF145" s="1">
        <f>方案参数!$BL$6</f>
        <v>15</v>
      </c>
      <c r="AG145" s="1">
        <f>MAX(配置与结果!$B$32,1+INDEX(配置与结果!$F$15:$F$18,F145)+0.08+方案参数!$CD$6+Q145*方案参数!$W$6+Y145*(方案参数!$AN$6+MIN(方案参数!$AO$6,P145*0.03))+AB145*方案参数!$BZ$6*0.025-配置与结果!$B$28+方案参数!$AE$6)</f>
        <v>2.6150000000000002</v>
      </c>
      <c r="AH145" s="1">
        <f>MAX(0,1+V145*方案参数!$U$6+8*方案参数!$V$6+方案参数!$AE$6-配置与结果!$B$29)</f>
        <v>2.04</v>
      </c>
      <c r="AI145" s="1">
        <f>IF(OR(INDEX(配置与结果!$K$15:$K$18,F145)=1,G145="RHI_BERRY"),1+配置与结果!$B$33+P145*方案参数!$AH$6,1)</f>
        <v>1</v>
      </c>
      <c r="AJ145" s="1">
        <f>MIN(1,MAX(0,J145+方案参数!$AB$6-配置与结果!$B$27))</f>
        <v>1</v>
      </c>
      <c r="AK145" s="1">
        <f>MAX(1,K145+IF(F145=2,0.15+方案参数!$CH$6,0)+BN145*方案参数!$X$6+R145*方案参数!$AA$6+方案参数!$BP$6-配置与结果!$B$26+Z145*(方案参数!$AP$6+MIN(方案参数!$AQ$6,P145*0.03)))</f>
        <v>2.7650000000000001</v>
      </c>
      <c r="AL145" s="7">
        <f>ROUNDDOWN(MAX(AD145*配置与结果!$B$31,AD145-AE145)*AF145*AG145*AH145*AI145,0)</f>
        <v>146754</v>
      </c>
      <c r="AM145" s="7">
        <f>ROUNDDOWN(MAX(AD145*配置与结果!$B$31,AD145-AE145)*AF145*AG145*AH145*AI145*AK145,0)</f>
        <v>405777</v>
      </c>
      <c r="AN145" s="7">
        <f t="shared" si="201"/>
        <v>405777</v>
      </c>
      <c r="AO145" s="7">
        <f>0</f>
        <v>0</v>
      </c>
      <c r="AP145" s="7">
        <f>MAX(0,1+INDEX(配置与结果!$J$15:$J$18,F145)+IF(T145&gt;0,方案参数!$BY$6,0)-配置与结果!$B$30)</f>
        <v>1</v>
      </c>
      <c r="AQ145" s="7">
        <f t="shared" si="202"/>
        <v>0</v>
      </c>
      <c r="AR145" s="7">
        <f t="shared" si="203"/>
        <v>0</v>
      </c>
      <c r="AS145" s="7">
        <f t="shared" si="204"/>
        <v>0</v>
      </c>
      <c r="AT145" s="7">
        <f>IF(U145&gt;0,ROUNDDOWN(AL145*方案参数!$AF$6,0)*(1-AJ145)+ROUNDDOWN(AM145*方案参数!$AF$6,0)*AJ145,0)</f>
        <v>0</v>
      </c>
      <c r="AU145" s="7">
        <f t="shared" si="205"/>
        <v>405777</v>
      </c>
      <c r="AV145" s="1">
        <f t="shared" si="206"/>
        <v>2</v>
      </c>
      <c r="AW145" s="1">
        <f t="shared" si="210"/>
        <v>10</v>
      </c>
      <c r="AX145" s="1">
        <f t="shared" si="207"/>
        <v>2</v>
      </c>
      <c r="AY145" s="1">
        <f>MIN(20,MAX(0,O145+0+1-0))</f>
        <v>7</v>
      </c>
      <c r="AZ145" s="1">
        <f t="shared" si="208"/>
        <v>5</v>
      </c>
      <c r="BA145" s="1">
        <f t="shared" si="193"/>
        <v>5</v>
      </c>
      <c r="BB145" s="1">
        <f t="shared" si="209"/>
        <v>20</v>
      </c>
      <c r="BC145" s="1">
        <f t="shared" si="199"/>
        <v>3</v>
      </c>
      <c r="BD145" s="1">
        <f t="shared" si="180"/>
        <v>0</v>
      </c>
      <c r="BE145" s="1">
        <f>MAX(0,U145-IF(AF145&gt;0,1,0))+0</f>
        <v>0</v>
      </c>
      <c r="BF145" s="1">
        <f t="shared" si="211"/>
        <v>4</v>
      </c>
      <c r="BG145" s="1">
        <f t="shared" si="190"/>
        <v>1</v>
      </c>
      <c r="BH145" s="1">
        <f t="shared" si="174"/>
        <v>1</v>
      </c>
      <c r="BI145" s="1">
        <f t="shared" si="191"/>
        <v>1</v>
      </c>
      <c r="BJ145" s="1">
        <f t="shared" si="194"/>
        <v>1</v>
      </c>
      <c r="BK145" s="1">
        <f t="shared" si="195"/>
        <v>1</v>
      </c>
      <c r="BL145" s="1">
        <f t="shared" si="200"/>
        <v>1</v>
      </c>
      <c r="BM145" s="1">
        <f t="shared" si="198"/>
        <v>1</v>
      </c>
      <c r="BN145" s="1">
        <f t="shared" si="175"/>
        <v>1</v>
      </c>
      <c r="BO145" s="1">
        <f t="shared" si="176"/>
        <v>1</v>
      </c>
    </row>
    <row r="146" spans="1:67" ht="30.95" customHeight="1">
      <c r="A146" s="1">
        <f>3</f>
        <v>3</v>
      </c>
      <c r="B146" s="1">
        <f>固定流程!A38</f>
        <v>33</v>
      </c>
      <c r="C146" s="1">
        <f>6</f>
        <v>6</v>
      </c>
      <c r="D146" s="1">
        <f>2</f>
        <v>2</v>
      </c>
      <c r="E146" s="1">
        <f>固定流程!C38</f>
        <v>3</v>
      </c>
      <c r="F146" s="1">
        <f>固定流程!G38</f>
        <v>1</v>
      </c>
      <c r="G146" s="1" t="str">
        <f>固定流程!H38</f>
        <v>LILYA_WEAK</v>
      </c>
      <c r="H146" s="1">
        <f>固定流程!F38</f>
        <v>1</v>
      </c>
      <c r="I146" s="1">
        <f>INDEX(配置与结果!$B$15:$B$18,F146)</f>
        <v>2296</v>
      </c>
      <c r="J146" s="1">
        <f>INDEX(配置与结果!$D$15:$D$18,F146)</f>
        <v>0.7</v>
      </c>
      <c r="K146" s="1">
        <f>INDEX(配置与结果!$E$15:$E$18,F146)</f>
        <v>2.0249999999999999</v>
      </c>
      <c r="L146" s="1">
        <f t="shared" si="187"/>
        <v>2</v>
      </c>
      <c r="M146" s="1">
        <f t="shared" si="188"/>
        <v>10</v>
      </c>
      <c r="N146" s="1">
        <f t="shared" si="189"/>
        <v>2</v>
      </c>
      <c r="O146" s="1">
        <f t="shared" si="181"/>
        <v>7</v>
      </c>
      <c r="P146" s="1">
        <f>MIN(方案参数!$AI$6,AZ145+0+0)</f>
        <v>5</v>
      </c>
      <c r="Q146" s="1">
        <f t="shared" si="159"/>
        <v>5</v>
      </c>
      <c r="R146" s="1">
        <f t="shared" si="160"/>
        <v>20</v>
      </c>
      <c r="S146" s="1">
        <f t="shared" si="161"/>
        <v>3</v>
      </c>
      <c r="T146" s="1">
        <f t="shared" si="196"/>
        <v>0</v>
      </c>
      <c r="U146" s="1">
        <f t="shared" si="163"/>
        <v>0</v>
      </c>
      <c r="V146" s="1">
        <f t="shared" si="164"/>
        <v>4</v>
      </c>
      <c r="W146" s="1">
        <f t="shared" si="165"/>
        <v>1</v>
      </c>
      <c r="X146" s="1">
        <f t="shared" si="166"/>
        <v>1</v>
      </c>
      <c r="Y146" s="1">
        <f t="shared" si="167"/>
        <v>1</v>
      </c>
      <c r="Z146" s="1">
        <f t="shared" si="168"/>
        <v>1</v>
      </c>
      <c r="AA146" s="1">
        <f t="shared" si="192"/>
        <v>1</v>
      </c>
      <c r="AB146" s="1">
        <f t="shared" si="170"/>
        <v>1</v>
      </c>
      <c r="AC146" s="1">
        <f t="shared" si="197"/>
        <v>1</v>
      </c>
      <c r="AD146" s="1">
        <f>ROUNDDOWN(I146*(1+IF(F146=3,0.05+方案参数!$Y$6+AA146*0.12,IF(F146=4,方案参数!$BZ$6*方案参数!$AS$6,0)))+IF(AND(X146=1,F146&lt;&gt;3),方案参数!$CC$6,0)+AC146*方案参数!$CB$6,0)</f>
        <v>3034</v>
      </c>
      <c r="AE146" s="1">
        <f>IF(OR(F146=1,F146=4),配置与结果!$B$24,配置与结果!$B$25)*MAX(0,1-INDEX(配置与结果!$I$15:$I$18,F146))</f>
        <v>1200</v>
      </c>
      <c r="AF146" s="1">
        <f>方案参数!$BL$6</f>
        <v>15</v>
      </c>
      <c r="AG146" s="1">
        <f>MAX(配置与结果!$B$32,1+INDEX(配置与结果!$F$15:$F$18,F146)+0.08+方案参数!$CD$6+Q146*方案参数!$W$6+Y146*(方案参数!$AN$6+MIN(方案参数!$AO$6,P146*0.03))+AB146*方案参数!$BZ$6*0.025-配置与结果!$B$28+方案参数!$AE$6)</f>
        <v>2.6150000000000002</v>
      </c>
      <c r="AH146" s="1">
        <f>MAX(0,1+V146*方案参数!$U$6+9*方案参数!$V$6+方案参数!$AE$6-配置与结果!$B$29)</f>
        <v>2.1</v>
      </c>
      <c r="AI146" s="1">
        <f>IF(OR(INDEX(配置与结果!$K$15:$K$18,F146)=1,G146="RHI_BERRY"),1+配置与结果!$B$33+P146*方案参数!$AH$6,1)</f>
        <v>1</v>
      </c>
      <c r="AJ146" s="1">
        <f>MIN(1,MAX(0,J146+方案参数!$AB$6-配置与结果!$B$27))</f>
        <v>1</v>
      </c>
      <c r="AK146" s="1">
        <f>MAX(1,K146+IF(F146=2,0.15+方案参数!$CH$6,0)+BN146*方案参数!$X$6+R146*方案参数!$AA$6+方案参数!$BP$6-配置与结果!$B$26+Z146*(方案参数!$AP$6+MIN(方案参数!$AQ$6,P146*0.03)))</f>
        <v>2.7650000000000001</v>
      </c>
      <c r="AL146" s="7">
        <f>ROUNDDOWN(MAX(AD146*配置与结果!$B$31,AD146-AE146)*AF146*AG146*AH146*AI146,0)</f>
        <v>151071</v>
      </c>
      <c r="AM146" s="7">
        <f>ROUNDDOWN(MAX(AD146*配置与结果!$B$31,AD146-AE146)*AF146*AG146*AH146*AI146*AK146,0)</f>
        <v>417711</v>
      </c>
      <c r="AN146" s="7">
        <f t="shared" si="201"/>
        <v>417711</v>
      </c>
      <c r="AO146" s="7">
        <f>0</f>
        <v>0</v>
      </c>
      <c r="AP146" s="7">
        <f>MAX(0,1+INDEX(配置与结果!$J$15:$J$18,F146)+IF(T146&gt;0,方案参数!$BY$6,0)-配置与结果!$B$30)</f>
        <v>1</v>
      </c>
      <c r="AQ146" s="7">
        <f t="shared" si="202"/>
        <v>0</v>
      </c>
      <c r="AR146" s="7">
        <f t="shared" si="203"/>
        <v>0</v>
      </c>
      <c r="AS146" s="7">
        <f t="shared" si="204"/>
        <v>0</v>
      </c>
      <c r="AT146" s="7">
        <f>IF(U146&gt;0,ROUNDDOWN(AL146*方案参数!$AF$6,0)*(1-AJ146)+ROUNDDOWN(AM146*方案参数!$AF$6,0)*AJ146,0)</f>
        <v>0</v>
      </c>
      <c r="AU146" s="7">
        <f t="shared" si="205"/>
        <v>417711</v>
      </c>
      <c r="AV146" s="1">
        <f t="shared" si="206"/>
        <v>2</v>
      </c>
      <c r="AW146" s="1">
        <f t="shared" si="210"/>
        <v>10</v>
      </c>
      <c r="AX146" s="1">
        <f t="shared" si="207"/>
        <v>2</v>
      </c>
      <c r="AY146" s="1">
        <f>MIN(20,MAX(0,O146+0+1-0))</f>
        <v>8</v>
      </c>
      <c r="AZ146" s="1">
        <f t="shared" si="208"/>
        <v>5</v>
      </c>
      <c r="BA146" s="1">
        <f t="shared" si="193"/>
        <v>5</v>
      </c>
      <c r="BB146" s="1">
        <f t="shared" si="209"/>
        <v>20</v>
      </c>
      <c r="BC146" s="1">
        <f t="shared" si="199"/>
        <v>3</v>
      </c>
      <c r="BD146" s="1">
        <f t="shared" si="180"/>
        <v>0</v>
      </c>
      <c r="BE146" s="1">
        <f>MAX(0,U146-IF(AF146&gt;0,1,0))+0</f>
        <v>0</v>
      </c>
      <c r="BF146" s="1">
        <f t="shared" si="211"/>
        <v>4</v>
      </c>
      <c r="BG146" s="1">
        <f t="shared" si="190"/>
        <v>1</v>
      </c>
      <c r="BH146" s="1">
        <f t="shared" si="174"/>
        <v>1</v>
      </c>
      <c r="BI146" s="1">
        <f t="shared" si="191"/>
        <v>1</v>
      </c>
      <c r="BJ146" s="1">
        <f t="shared" si="194"/>
        <v>1</v>
      </c>
      <c r="BK146" s="1">
        <f t="shared" si="195"/>
        <v>1</v>
      </c>
      <c r="BL146" s="1">
        <f t="shared" si="200"/>
        <v>1</v>
      </c>
      <c r="BM146" s="1">
        <f t="shared" si="198"/>
        <v>1</v>
      </c>
      <c r="BN146" s="1">
        <f t="shared" si="175"/>
        <v>1</v>
      </c>
      <c r="BO146" s="1">
        <f t="shared" si="176"/>
        <v>1</v>
      </c>
    </row>
    <row r="147" spans="1:67" ht="30.95" customHeight="1">
      <c r="A147" s="1">
        <f>3</f>
        <v>3</v>
      </c>
      <c r="B147" s="1">
        <f>固定流程!A39</f>
        <v>34</v>
      </c>
      <c r="C147" s="1">
        <f>6</f>
        <v>6</v>
      </c>
      <c r="D147" s="1">
        <f>2</f>
        <v>2</v>
      </c>
      <c r="E147" s="1">
        <f>固定流程!C39</f>
        <v>3</v>
      </c>
      <c r="F147" s="1">
        <f>固定流程!G39</f>
        <v>2</v>
      </c>
      <c r="G147" s="1" t="str">
        <f>固定流程!H39</f>
        <v>37_WEAK</v>
      </c>
      <c r="H147" s="1">
        <f>固定流程!F39</f>
        <v>1</v>
      </c>
      <c r="I147" s="1">
        <f>INDEX(配置与结果!$B$15:$B$18,F147)</f>
        <v>2306</v>
      </c>
      <c r="J147" s="1">
        <f>INDEX(配置与结果!$D$15:$D$18,F147)</f>
        <v>0.46</v>
      </c>
      <c r="K147" s="1">
        <f>INDEX(配置与结果!$E$15:$E$18,F147)</f>
        <v>1.9279999999999999</v>
      </c>
      <c r="L147" s="1">
        <f t="shared" si="187"/>
        <v>2</v>
      </c>
      <c r="M147" s="1">
        <f t="shared" si="188"/>
        <v>10</v>
      </c>
      <c r="N147" s="1">
        <f t="shared" si="189"/>
        <v>2</v>
      </c>
      <c r="O147" s="1">
        <f t="shared" si="181"/>
        <v>8</v>
      </c>
      <c r="P147" s="1">
        <f>MIN(方案参数!$AI$6,AZ146+0+0)</f>
        <v>5</v>
      </c>
      <c r="Q147" s="1">
        <f t="shared" si="159"/>
        <v>5</v>
      </c>
      <c r="R147" s="1">
        <f t="shared" si="160"/>
        <v>20</v>
      </c>
      <c r="S147" s="1">
        <f t="shared" si="161"/>
        <v>3</v>
      </c>
      <c r="T147" s="1">
        <f t="shared" si="196"/>
        <v>0</v>
      </c>
      <c r="U147" s="1">
        <f t="shared" si="163"/>
        <v>0</v>
      </c>
      <c r="V147" s="1">
        <f t="shared" si="164"/>
        <v>4</v>
      </c>
      <c r="W147" s="1">
        <f t="shared" si="165"/>
        <v>1</v>
      </c>
      <c r="X147" s="1">
        <f t="shared" si="166"/>
        <v>1</v>
      </c>
      <c r="Y147" s="1">
        <f t="shared" si="167"/>
        <v>1</v>
      </c>
      <c r="Z147" s="1">
        <f t="shared" si="168"/>
        <v>1</v>
      </c>
      <c r="AA147" s="1">
        <f t="shared" si="192"/>
        <v>1</v>
      </c>
      <c r="AB147" s="1">
        <f t="shared" si="170"/>
        <v>1</v>
      </c>
      <c r="AC147" s="1">
        <f t="shared" si="197"/>
        <v>1</v>
      </c>
      <c r="AD147" s="1">
        <f>ROUNDDOWN(I147*(1+IF(F147=3,0.05+方案参数!$Y$6+AA147*0.12,IF(F147=4,方案参数!$BZ$6*方案参数!$AS$6,0)))+IF(AND(X147=1,F147&lt;&gt;3),方案参数!$CC$6,0)+AC147*方案参数!$CB$6,0)</f>
        <v>3044</v>
      </c>
      <c r="AE147" s="1">
        <f>IF(OR(F147=1,F147=4),配置与结果!$B$24,配置与结果!$B$25)*MAX(0,1-INDEX(配置与结果!$I$15:$I$18,F147))</f>
        <v>1000</v>
      </c>
      <c r="AF147" s="1">
        <f>方案参数!$CE$6</f>
        <v>8</v>
      </c>
      <c r="AG147" s="1">
        <f>MAX(配置与结果!$B$32,1+INDEX(配置与结果!$F$15:$F$18,F147)+0+Q147*方案参数!$W$6+Y147*(方案参数!$AN$6+MIN(方案参数!$AO$6,P147*0.03))+AB147*方案参数!$BZ$6*0.025-配置与结果!$B$28+方案参数!$AE$6)</f>
        <v>2.2800000000000002</v>
      </c>
      <c r="AH147" s="1">
        <f>MAX(0,1+V147*方案参数!$U$6+方案参数!$AE$6-配置与结果!$B$29)</f>
        <v>1.56</v>
      </c>
      <c r="AI147" s="1">
        <f>IF(OR(INDEX(配置与结果!$K$15:$K$18,F147)=1,G147="RHI_BERRY"),1+配置与结果!$B$33+P147*方案参数!$AH$6,1)</f>
        <v>1</v>
      </c>
      <c r="AJ147" s="1">
        <f>MIN(1,MAX(0,J147+方案参数!$AB$6-配置与结果!$B$27))</f>
        <v>0.76</v>
      </c>
      <c r="AK147" s="1">
        <f>MAX(1,K147+IF(F147=2,0.15+方案参数!$CH$6,0)+BN147*方案参数!$X$6+R147*方案参数!$AA$6+0-配置与结果!$B$26+Z147*(方案参数!$AP$6+MIN(方案参数!$AQ$6,P147*0.03)))</f>
        <v>2.3380000000000001</v>
      </c>
      <c r="AL147" s="7">
        <f>ROUNDDOWN(MAX(AD147*配置与结果!$B$31,AD147-AE147)*AF147*AG147*AH147*AI147,0)</f>
        <v>58160</v>
      </c>
      <c r="AM147" s="7">
        <f>ROUNDDOWN(MAX(AD147*配置与结果!$B$31,AD147-AE147)*AF147*AG147*AH147*AI147*AK147,0)</f>
        <v>135979</v>
      </c>
      <c r="AN147" s="7">
        <f t="shared" si="201"/>
        <v>117302.44</v>
      </c>
      <c r="AO147" s="7">
        <f>0</f>
        <v>0</v>
      </c>
      <c r="AP147" s="7">
        <f>MAX(0,1+INDEX(配置与结果!$J$15:$J$18,F147)+IF(T147&gt;0,方案参数!$BY$6,0)-配置与结果!$B$30)</f>
        <v>1</v>
      </c>
      <c r="AQ147" s="7">
        <f t="shared" si="202"/>
        <v>0</v>
      </c>
      <c r="AR147" s="7">
        <f t="shared" si="203"/>
        <v>0</v>
      </c>
      <c r="AS147" s="7">
        <f t="shared" si="204"/>
        <v>0</v>
      </c>
      <c r="AT147" s="7">
        <f>IF(U147&gt;0,ROUNDDOWN(AL147*方案参数!$AF$6,0)*(1-AJ147)+ROUNDDOWN(AM147*方案参数!$AF$6,0)*AJ147,0)</f>
        <v>0</v>
      </c>
      <c r="AU147" s="7">
        <f t="shared" si="205"/>
        <v>117302.44</v>
      </c>
      <c r="AV147" s="1">
        <f t="shared" si="206"/>
        <v>2</v>
      </c>
      <c r="AW147" s="1">
        <f t="shared" si="210"/>
        <v>10</v>
      </c>
      <c r="AX147" s="1">
        <f t="shared" si="207"/>
        <v>2</v>
      </c>
      <c r="AY147" s="1">
        <f>MIN(20,MAX(0,O147+0+0-0))</f>
        <v>8</v>
      </c>
      <c r="AZ147" s="1">
        <f t="shared" si="208"/>
        <v>5</v>
      </c>
      <c r="BA147" s="1">
        <f t="shared" si="193"/>
        <v>5</v>
      </c>
      <c r="BB147" s="1">
        <f t="shared" si="209"/>
        <v>20</v>
      </c>
      <c r="BC147" s="1">
        <f t="shared" si="199"/>
        <v>3</v>
      </c>
      <c r="BD147" s="1">
        <f t="shared" si="180"/>
        <v>0</v>
      </c>
      <c r="BE147" s="1">
        <f>MAX(0,U147-IF(AF147&gt;0,1,0))+1</f>
        <v>1</v>
      </c>
      <c r="BF147" s="1">
        <f t="shared" si="211"/>
        <v>4</v>
      </c>
      <c r="BG147" s="1">
        <f t="shared" si="190"/>
        <v>1</v>
      </c>
      <c r="BH147" s="1">
        <f t="shared" si="174"/>
        <v>1</v>
      </c>
      <c r="BI147" s="1">
        <f t="shared" si="191"/>
        <v>1</v>
      </c>
      <c r="BJ147" s="1">
        <f t="shared" si="194"/>
        <v>1</v>
      </c>
      <c r="BK147" s="1">
        <f t="shared" si="195"/>
        <v>1</v>
      </c>
      <c r="BL147" s="1">
        <f t="shared" si="200"/>
        <v>1</v>
      </c>
      <c r="BM147" s="1">
        <f t="shared" si="198"/>
        <v>1</v>
      </c>
      <c r="BN147" s="1">
        <f t="shared" si="175"/>
        <v>1</v>
      </c>
      <c r="BO147" s="1">
        <f t="shared" si="176"/>
        <v>1</v>
      </c>
    </row>
    <row r="148" spans="1:67" ht="30.95" customHeight="1">
      <c r="A148" s="1">
        <f>3</f>
        <v>3</v>
      </c>
      <c r="B148" s="1">
        <f>固定流程!A40</f>
        <v>35</v>
      </c>
      <c r="C148" s="1">
        <f>6</f>
        <v>6</v>
      </c>
      <c r="D148" s="1">
        <f>2</f>
        <v>2</v>
      </c>
      <c r="E148" s="1">
        <f>固定流程!C40</f>
        <v>3</v>
      </c>
      <c r="F148" s="1">
        <f>固定流程!G40</f>
        <v>2</v>
      </c>
      <c r="G148" s="1" t="str">
        <f>固定流程!H40</f>
        <v>37_WEAK</v>
      </c>
      <c r="H148" s="1">
        <f>固定流程!F40</f>
        <v>1</v>
      </c>
      <c r="I148" s="1">
        <f>INDEX(配置与结果!$B$15:$B$18,F148)</f>
        <v>2306</v>
      </c>
      <c r="J148" s="1">
        <f>INDEX(配置与结果!$D$15:$D$18,F148)</f>
        <v>0.46</v>
      </c>
      <c r="K148" s="1">
        <f>INDEX(配置与结果!$E$15:$E$18,F148)</f>
        <v>1.9279999999999999</v>
      </c>
      <c r="L148" s="1">
        <f t="shared" si="187"/>
        <v>2</v>
      </c>
      <c r="M148" s="1">
        <f t="shared" si="188"/>
        <v>10</v>
      </c>
      <c r="N148" s="1">
        <f t="shared" si="189"/>
        <v>2</v>
      </c>
      <c r="O148" s="1">
        <f t="shared" si="181"/>
        <v>8</v>
      </c>
      <c r="P148" s="1">
        <f>MIN(方案参数!$AI$6,AZ147+0+0)</f>
        <v>5</v>
      </c>
      <c r="Q148" s="1">
        <f t="shared" si="159"/>
        <v>5</v>
      </c>
      <c r="R148" s="1">
        <f t="shared" si="160"/>
        <v>20</v>
      </c>
      <c r="S148" s="1">
        <f t="shared" si="161"/>
        <v>3</v>
      </c>
      <c r="T148" s="1">
        <f t="shared" si="196"/>
        <v>0</v>
      </c>
      <c r="U148" s="1">
        <f t="shared" si="163"/>
        <v>1</v>
      </c>
      <c r="V148" s="1">
        <f t="shared" si="164"/>
        <v>4</v>
      </c>
      <c r="W148" s="1">
        <f t="shared" si="165"/>
        <v>1</v>
      </c>
      <c r="X148" s="1">
        <f t="shared" si="166"/>
        <v>1</v>
      </c>
      <c r="Y148" s="1">
        <f t="shared" si="167"/>
        <v>1</v>
      </c>
      <c r="Z148" s="1">
        <f t="shared" si="168"/>
        <v>1</v>
      </c>
      <c r="AA148" s="1">
        <f t="shared" si="192"/>
        <v>1</v>
      </c>
      <c r="AB148" s="1">
        <f t="shared" si="170"/>
        <v>1</v>
      </c>
      <c r="AC148" s="1">
        <f t="shared" si="197"/>
        <v>1</v>
      </c>
      <c r="AD148" s="1">
        <f>ROUNDDOWN(I148*(1+IF(F148=3,0.05+方案参数!$Y$6+AA148*0.12,IF(F148=4,方案参数!$BZ$6*方案参数!$AS$6,0)))+IF(AND(X148=1,F148&lt;&gt;3),方案参数!$CC$6,0)+AC148*方案参数!$CB$6,0)</f>
        <v>3044</v>
      </c>
      <c r="AE148" s="1">
        <f>IF(OR(F148=1,F148=4),配置与结果!$B$24,配置与结果!$B$25)*MAX(0,1-INDEX(配置与结果!$I$15:$I$18,F148))</f>
        <v>1000</v>
      </c>
      <c r="AF148" s="1">
        <f>方案参数!$CE$6</f>
        <v>8</v>
      </c>
      <c r="AG148" s="1">
        <f>MAX(配置与结果!$B$32,1+INDEX(配置与结果!$F$15:$F$18,F148)+0+Q148*方案参数!$W$6+Y148*(方案参数!$AN$6+MIN(方案参数!$AO$6,P148*0.03))+AB148*方案参数!$BZ$6*0.025-配置与结果!$B$28+方案参数!$AE$6)</f>
        <v>2.2800000000000002</v>
      </c>
      <c r="AH148" s="1">
        <f>MAX(0,1+V148*方案参数!$U$6+方案参数!$AE$6-配置与结果!$B$29)</f>
        <v>1.56</v>
      </c>
      <c r="AI148" s="1">
        <f>IF(OR(INDEX(配置与结果!$K$15:$K$18,F148)=1,G148="RHI_BERRY"),1+配置与结果!$B$33+P148*方案参数!$AH$6,1)</f>
        <v>1</v>
      </c>
      <c r="AJ148" s="1">
        <f>MIN(1,MAX(0,J148+方案参数!$AB$6-配置与结果!$B$27))</f>
        <v>0.76</v>
      </c>
      <c r="AK148" s="1">
        <f>MAX(1,K148+IF(F148=2,0.15+方案参数!$CH$6,0)+BN148*方案参数!$X$6+R148*方案参数!$AA$6+0-配置与结果!$B$26+Z148*(方案参数!$AP$6+MIN(方案参数!$AQ$6,P148*0.03)))</f>
        <v>2.3380000000000001</v>
      </c>
      <c r="AL148" s="7">
        <f>ROUNDDOWN(MAX(AD148*配置与结果!$B$31,AD148-AE148)*AF148*AG148*AH148*AI148,0)</f>
        <v>58160</v>
      </c>
      <c r="AM148" s="7">
        <f>ROUNDDOWN(MAX(AD148*配置与结果!$B$31,AD148-AE148)*AF148*AG148*AH148*AI148*AK148,0)</f>
        <v>135979</v>
      </c>
      <c r="AN148" s="7">
        <f t="shared" si="201"/>
        <v>117302.44</v>
      </c>
      <c r="AO148" s="7">
        <f>0</f>
        <v>0</v>
      </c>
      <c r="AP148" s="7">
        <f>MAX(0,1+INDEX(配置与结果!$J$15:$J$18,F148)+IF(T148&gt;0,方案参数!$BY$6,0)-配置与结果!$B$30)</f>
        <v>1</v>
      </c>
      <c r="AQ148" s="7">
        <f t="shared" si="202"/>
        <v>0</v>
      </c>
      <c r="AR148" s="7">
        <f t="shared" si="203"/>
        <v>0</v>
      </c>
      <c r="AS148" s="7">
        <f t="shared" si="204"/>
        <v>0</v>
      </c>
      <c r="AT148" s="7">
        <f>IF(U148&gt;0,ROUNDDOWN(AL148*方案参数!$AF$6,0)*(1-AJ148)+ROUNDDOWN(AM148*方案参数!$AF$6,0)*AJ148,0)</f>
        <v>46920.520000000004</v>
      </c>
      <c r="AU148" s="7">
        <f t="shared" si="205"/>
        <v>164222.96000000002</v>
      </c>
      <c r="AV148" s="1">
        <f t="shared" si="206"/>
        <v>2</v>
      </c>
      <c r="AW148" s="1">
        <f t="shared" si="210"/>
        <v>10</v>
      </c>
      <c r="AX148" s="1">
        <f t="shared" si="207"/>
        <v>2</v>
      </c>
      <c r="AY148" s="1">
        <f>MIN(20,MAX(0,O148+0+0-0))</f>
        <v>8</v>
      </c>
      <c r="AZ148" s="1">
        <f t="shared" si="208"/>
        <v>5</v>
      </c>
      <c r="BA148" s="1">
        <f t="shared" si="193"/>
        <v>5</v>
      </c>
      <c r="BB148" s="1">
        <f t="shared" si="209"/>
        <v>20</v>
      </c>
      <c r="BC148" s="1">
        <f t="shared" si="199"/>
        <v>3</v>
      </c>
      <c r="BD148" s="1">
        <f t="shared" si="180"/>
        <v>0</v>
      </c>
      <c r="BE148" s="1">
        <f>MAX(0,U148-IF(AF148&gt;0,1,0))+1</f>
        <v>1</v>
      </c>
      <c r="BF148" s="1">
        <f t="shared" si="211"/>
        <v>4</v>
      </c>
      <c r="BG148" s="1">
        <f t="shared" si="190"/>
        <v>1</v>
      </c>
      <c r="BH148" s="1">
        <f t="shared" si="174"/>
        <v>1</v>
      </c>
      <c r="BI148" s="1">
        <f t="shared" si="191"/>
        <v>1</v>
      </c>
      <c r="BJ148" s="1">
        <f t="shared" si="194"/>
        <v>1</v>
      </c>
      <c r="BK148" s="1">
        <f t="shared" si="195"/>
        <v>1</v>
      </c>
      <c r="BL148" s="1">
        <f t="shared" si="200"/>
        <v>1</v>
      </c>
      <c r="BM148" s="1">
        <f t="shared" si="198"/>
        <v>1</v>
      </c>
      <c r="BN148" s="1">
        <f t="shared" si="175"/>
        <v>1</v>
      </c>
      <c r="BO148" s="1">
        <f t="shared" si="176"/>
        <v>1</v>
      </c>
    </row>
    <row r="149" spans="1:67" ht="30.95" customHeight="1">
      <c r="A149" s="1">
        <f>3</f>
        <v>3</v>
      </c>
      <c r="B149" s="1">
        <f>固定流程!A41</f>
        <v>36</v>
      </c>
      <c r="C149" s="1">
        <f>6</f>
        <v>6</v>
      </c>
      <c r="D149" s="1">
        <f>2</f>
        <v>2</v>
      </c>
      <c r="E149" s="1">
        <f>固定流程!C41</f>
        <v>3</v>
      </c>
      <c r="F149" s="1">
        <f>固定流程!G41</f>
        <v>1</v>
      </c>
      <c r="G149" s="1" t="str">
        <f>固定流程!H41</f>
        <v>LILYA_FINISH</v>
      </c>
      <c r="H149" s="1">
        <f>固定流程!F41</f>
        <v>1</v>
      </c>
      <c r="I149" s="1">
        <f>INDEX(配置与结果!$B$15:$B$18,F149)</f>
        <v>2296</v>
      </c>
      <c r="J149" s="1">
        <f>INDEX(配置与结果!$D$15:$D$18,F149)</f>
        <v>0.7</v>
      </c>
      <c r="K149" s="1">
        <f>INDEX(配置与结果!$E$15:$E$18,F149)</f>
        <v>2.0249999999999999</v>
      </c>
      <c r="L149" s="1">
        <f t="shared" si="187"/>
        <v>2</v>
      </c>
      <c r="M149" s="1">
        <f t="shared" si="188"/>
        <v>10</v>
      </c>
      <c r="N149" s="1">
        <f t="shared" si="189"/>
        <v>2</v>
      </c>
      <c r="O149" s="1">
        <f t="shared" si="181"/>
        <v>8</v>
      </c>
      <c r="P149" s="1">
        <f>MIN(方案参数!$AI$6,AZ148+0+0)</f>
        <v>5</v>
      </c>
      <c r="Q149" s="1">
        <f t="shared" si="159"/>
        <v>5</v>
      </c>
      <c r="R149" s="1">
        <f t="shared" si="160"/>
        <v>20</v>
      </c>
      <c r="S149" s="1">
        <f t="shared" si="161"/>
        <v>3</v>
      </c>
      <c r="T149" s="1">
        <f t="shared" si="196"/>
        <v>0</v>
      </c>
      <c r="U149" s="1">
        <f t="shared" si="163"/>
        <v>1</v>
      </c>
      <c r="V149" s="1">
        <f t="shared" si="164"/>
        <v>4</v>
      </c>
      <c r="W149" s="1">
        <f t="shared" si="165"/>
        <v>1</v>
      </c>
      <c r="X149" s="1">
        <f t="shared" si="166"/>
        <v>1</v>
      </c>
      <c r="Y149" s="1">
        <f t="shared" si="167"/>
        <v>1</v>
      </c>
      <c r="Z149" s="1">
        <f t="shared" si="168"/>
        <v>1</v>
      </c>
      <c r="AA149" s="1">
        <f t="shared" si="192"/>
        <v>1</v>
      </c>
      <c r="AB149" s="1">
        <f t="shared" si="170"/>
        <v>1</v>
      </c>
      <c r="AC149" s="1">
        <f t="shared" si="197"/>
        <v>1</v>
      </c>
      <c r="AD149" s="1">
        <f>ROUNDDOWN(I149*(1+IF(F149=3,0.05+方案参数!$Y$6+AA149*0.12,IF(F149=4,方案参数!$BZ$6*方案参数!$AS$6,0)))+IF(AND(X149=1,F149&lt;&gt;3),方案参数!$CC$6,0)+AC149*方案参数!$CB$6,0)</f>
        <v>3034</v>
      </c>
      <c r="AE149" s="1">
        <f>IF(OR(F149=1,F149=4),配置与结果!$B$24,配置与结果!$B$25)*MAX(0,1-INDEX(配置与结果!$I$15:$I$18,F149))</f>
        <v>1200</v>
      </c>
      <c r="AF149" s="1">
        <f>方案参数!$BN$6+12*方案参数!$BO$6</f>
        <v>80</v>
      </c>
      <c r="AG149" s="1">
        <f>MAX(配置与结果!$B$32,1+INDEX(配置与结果!$F$15:$F$18,F149)+0.08+方案参数!$CD$6+Q149*方案参数!$W$6+Y149*(方案参数!$AN$6+MIN(方案参数!$AO$6,P149*0.03))+AB149*方案参数!$BZ$6*0.025-配置与结果!$B$28+方案参数!$AE$6)</f>
        <v>2.6150000000000002</v>
      </c>
      <c r="AH149" s="1">
        <f>MAX(0,1+V149*方案参数!$U$6+12*方案参数!$V$6+方案参数!$AE$6-配置与结果!$B$29)</f>
        <v>2.2799999999999998</v>
      </c>
      <c r="AI149" s="1">
        <f>IF(OR(INDEX(配置与结果!$K$15:$K$18,F149)=1,G149="RHI_BERRY"),1+配置与结果!$B$33+P149*方案参数!$AH$6,1)</f>
        <v>1</v>
      </c>
      <c r="AJ149" s="1">
        <f>MIN(1,MAX(0,J149+方案参数!$AB$6-配置与结果!$B$27))</f>
        <v>1</v>
      </c>
      <c r="AK149" s="1">
        <f>MAX(1,K149+IF(F149=2,0.15+方案参数!$CH$6,0)+BN149*方案参数!$X$6+R149*方案参数!$AA$6+方案参数!$BR$6-配置与结果!$B$26+Z149*(方案参数!$AP$6+MIN(方案参数!$AQ$6,P149*0.03)))</f>
        <v>3.165</v>
      </c>
      <c r="AL149" s="7">
        <f>ROUNDDOWN(MAX(AD149*配置与结果!$B$31,AD149-AE149)*AF149*AG149*AH149*AI149,0)</f>
        <v>874773</v>
      </c>
      <c r="AM149" s="7">
        <f>ROUNDDOWN(MAX(AD149*配置与结果!$B$31,AD149-AE149)*AF149*AG149*AH149*AI149*AK149,0)</f>
        <v>2768659</v>
      </c>
      <c r="AN149" s="7">
        <f t="shared" si="201"/>
        <v>2768659</v>
      </c>
      <c r="AO149" s="7">
        <f>0</f>
        <v>0</v>
      </c>
      <c r="AP149" s="7">
        <f>MAX(0,1+INDEX(配置与结果!$J$15:$J$18,F149)+IF(T149&gt;0,方案参数!$BY$6,0)-配置与结果!$B$30)</f>
        <v>1</v>
      </c>
      <c r="AQ149" s="7">
        <f t="shared" si="202"/>
        <v>0</v>
      </c>
      <c r="AR149" s="7">
        <f t="shared" si="203"/>
        <v>0</v>
      </c>
      <c r="AS149" s="7">
        <f t="shared" si="204"/>
        <v>0</v>
      </c>
      <c r="AT149" s="7">
        <f>IF(U149&gt;0,ROUNDDOWN(AL149*方案参数!$AF$6,0)*(1-AJ149)+ROUNDDOWN(AM149*方案参数!$AF$6,0)*AJ149,0)</f>
        <v>1107463</v>
      </c>
      <c r="AU149" s="7">
        <f t="shared" si="205"/>
        <v>3876122</v>
      </c>
      <c r="AV149" s="1">
        <f t="shared" si="206"/>
        <v>2</v>
      </c>
      <c r="AW149" s="1">
        <f t="shared" si="210"/>
        <v>10</v>
      </c>
      <c r="AX149" s="1">
        <f t="shared" si="207"/>
        <v>2</v>
      </c>
      <c r="AY149" s="1">
        <f>MIN(20,MAX(0,O149+0+1-0))</f>
        <v>9</v>
      </c>
      <c r="AZ149" s="1">
        <f t="shared" si="208"/>
        <v>5</v>
      </c>
      <c r="BA149" s="1">
        <f t="shared" si="193"/>
        <v>5</v>
      </c>
      <c r="BB149" s="1">
        <f t="shared" si="209"/>
        <v>20</v>
      </c>
      <c r="BC149" s="1">
        <f t="shared" si="199"/>
        <v>3</v>
      </c>
      <c r="BD149" s="1">
        <f t="shared" si="180"/>
        <v>0</v>
      </c>
      <c r="BE149" s="1">
        <f>MAX(0,U149-IF(AF149&gt;0,1,0))+0</f>
        <v>0</v>
      </c>
      <c r="BF149" s="1">
        <f t="shared" si="211"/>
        <v>4</v>
      </c>
      <c r="BG149" s="1">
        <f t="shared" si="190"/>
        <v>1</v>
      </c>
      <c r="BH149" s="1">
        <f t="shared" si="174"/>
        <v>1</v>
      </c>
      <c r="BI149" s="1">
        <f t="shared" si="191"/>
        <v>1</v>
      </c>
      <c r="BJ149" s="1">
        <f t="shared" si="194"/>
        <v>1</v>
      </c>
      <c r="BK149" s="1">
        <f t="shared" si="195"/>
        <v>1</v>
      </c>
      <c r="BL149" s="1">
        <f t="shared" si="200"/>
        <v>1</v>
      </c>
      <c r="BM149" s="1">
        <f t="shared" si="198"/>
        <v>1</v>
      </c>
      <c r="BN149" s="1">
        <f t="shared" si="175"/>
        <v>1</v>
      </c>
      <c r="BO149" s="1">
        <f t="shared" si="176"/>
        <v>1</v>
      </c>
    </row>
    <row r="150" spans="1:67" ht="30.95" customHeight="1">
      <c r="A150" s="1">
        <f>4</f>
        <v>4</v>
      </c>
      <c r="B150" s="1">
        <f>固定流程!A6</f>
        <v>1</v>
      </c>
      <c r="C150" s="1">
        <f>7</f>
        <v>7</v>
      </c>
      <c r="D150" s="1">
        <f>1</f>
        <v>1</v>
      </c>
      <c r="E150" s="1">
        <f>固定流程!C6</f>
        <v>1</v>
      </c>
      <c r="F150" s="1">
        <f>固定流程!G6</f>
        <v>3</v>
      </c>
      <c r="G150" s="1" t="str">
        <f>固定流程!H6</f>
        <v>RHI_ULT</v>
      </c>
      <c r="H150" s="1">
        <f>固定流程!F6</f>
        <v>1</v>
      </c>
      <c r="I150" s="1">
        <f>INDEX(配置与结果!$B$15:$B$18,F150)</f>
        <v>2597</v>
      </c>
      <c r="J150" s="1">
        <f>INDEX(配置与结果!$D$15:$D$18,F150)</f>
        <v>0.255</v>
      </c>
      <c r="K150" s="1">
        <f>INDEX(配置与结果!$E$15:$E$18,F150)</f>
        <v>1.55</v>
      </c>
      <c r="L150" s="1">
        <f>0</f>
        <v>0</v>
      </c>
      <c r="M150" s="1">
        <f>0</f>
        <v>0</v>
      </c>
      <c r="N150" s="1">
        <f>0</f>
        <v>0</v>
      </c>
      <c r="O150" s="1">
        <f>0</f>
        <v>0</v>
      </c>
      <c r="P150" s="1">
        <f>MIN(方案参数!$AI$7,0+方案参数!$AJ$7+0)</f>
        <v>1</v>
      </c>
      <c r="Q150" s="1">
        <f>0</f>
        <v>0</v>
      </c>
      <c r="R150" s="1">
        <f>0</f>
        <v>0</v>
      </c>
      <c r="S150" s="1">
        <f>0</f>
        <v>0</v>
      </c>
      <c r="T150" s="1">
        <f>0+0</f>
        <v>0</v>
      </c>
      <c r="U150" s="1">
        <f>0</f>
        <v>0</v>
      </c>
      <c r="V150" s="1">
        <f>0</f>
        <v>0</v>
      </c>
      <c r="W150" s="1">
        <f>0</f>
        <v>0</v>
      </c>
      <c r="X150" s="1">
        <f>0</f>
        <v>0</v>
      </c>
      <c r="Y150" s="1">
        <f>0</f>
        <v>0</v>
      </c>
      <c r="Z150" s="1">
        <f>0</f>
        <v>0</v>
      </c>
      <c r="AA150" s="1">
        <f>MAX(0,0)</f>
        <v>0</v>
      </c>
      <c r="AB150" s="1">
        <f>0</f>
        <v>0</v>
      </c>
      <c r="AC150" s="1">
        <f>MAX(0,0)</f>
        <v>0</v>
      </c>
      <c r="AD150" s="1">
        <f>ROUNDDOWN(I150*(1+IF(F150=3,0.05+方案参数!$Y$7+AA150*0.12,IF(F150=4,方案参数!$BZ$7*方案参数!$AS$7,0)))+IF(AND(X150=1,F150&lt;&gt;3),方案参数!$CC$7,0)+AC150*方案参数!$CB$7,0)</f>
        <v>2986</v>
      </c>
      <c r="AE150" s="1">
        <f>IF(OR(F150=1,F150=4),配置与结果!$B$24,配置与结果!$B$25)*MAX(0,1-INDEX(配置与结果!$I$15:$I$18,F150))</f>
        <v>1000</v>
      </c>
      <c r="AF150" s="1">
        <f>0</f>
        <v>0</v>
      </c>
      <c r="AG150" s="1">
        <f>MAX(配置与结果!$B$32,1+INDEX(配置与结果!$F$15:$F$18,F150)+0+Q150*方案参数!$W$7+Y150*(方案参数!$AN$7+MIN(方案参数!$AO$7,P150*0.03))+AB150*方案参数!$BZ$7*0.025-配置与结果!$B$28)</f>
        <v>0.6349999999999999</v>
      </c>
      <c r="AH150" s="1">
        <f>MAX(0,1+INDEX(配置与结果!$G$15:$G$18,F150)+W150*方案参数!$AG$7)</f>
        <v>1</v>
      </c>
      <c r="AI150" s="1">
        <f>IF(OR(INDEX(配置与结果!$K$15:$K$18,F150)=1,G150="RHI_BERRY"),1+配置与结果!$B$33+P150*方案参数!$AH$7,1)</f>
        <v>1</v>
      </c>
      <c r="AJ150" s="1">
        <f>MIN(1,MAX(0,J150+方案参数!$AB$7-配置与结果!$B$27))</f>
        <v>0.55499999999999994</v>
      </c>
      <c r="AK150" s="1">
        <f>MAX(1,K150+IF(F150=2,0.15+方案参数!$CH$7,0)+BN150*方案参数!$X$7+R150*方案参数!$AA$7+0-配置与结果!$B$26+Z150*(方案参数!$AP$7+MIN(方案参数!$AQ$7,P150*0.03)))</f>
        <v>1.1499999999999999</v>
      </c>
      <c r="AL150" s="7">
        <f>ROUNDDOWN(MAX(AD150*配置与结果!$B$31,AD150-AE150)*AF150*AG150*AH150*AI150,0)</f>
        <v>0</v>
      </c>
      <c r="AM150" s="7">
        <f>ROUNDDOWN(MAX(AD150*配置与结果!$B$31,AD150-AE150)*AF150*AG150*AH150*AI150*AK150,0)</f>
        <v>0</v>
      </c>
      <c r="AN150" s="7">
        <f t="shared" si="201"/>
        <v>0</v>
      </c>
      <c r="AO150" s="7">
        <f>0</f>
        <v>0</v>
      </c>
      <c r="AP150" s="7">
        <f>MAX(0,1+INDEX(配置与结果!$J$15:$J$18,F150)+IF(T150&gt;0,方案参数!$BY$7,0)-配置与结果!$B$30)</f>
        <v>1</v>
      </c>
      <c r="AQ150" s="7">
        <f t="shared" si="202"/>
        <v>0</v>
      </c>
      <c r="AR150" s="7">
        <f t="shared" si="203"/>
        <v>0</v>
      </c>
      <c r="AS150" s="7">
        <f t="shared" si="204"/>
        <v>0</v>
      </c>
      <c r="AT150" s="7">
        <f>0</f>
        <v>0</v>
      </c>
      <c r="AU150" s="7">
        <f t="shared" si="205"/>
        <v>0</v>
      </c>
      <c r="AV150" s="1">
        <f t="shared" si="206"/>
        <v>0</v>
      </c>
      <c r="AW150" s="1">
        <f t="shared" si="210"/>
        <v>0</v>
      </c>
      <c r="AX150" s="1">
        <f t="shared" si="207"/>
        <v>0</v>
      </c>
      <c r="AY150" s="1">
        <f>MIN(20,MAX(0,O150+0+0-0))</f>
        <v>0</v>
      </c>
      <c r="AZ150" s="1">
        <f t="shared" si="208"/>
        <v>1</v>
      </c>
      <c r="BA150" s="1">
        <f>MIN(6,Q150+1)</f>
        <v>1</v>
      </c>
      <c r="BB150" s="1">
        <f>MIN(30,R150+5)</f>
        <v>5</v>
      </c>
      <c r="BC150" s="1">
        <f t="shared" si="199"/>
        <v>0</v>
      </c>
      <c r="BD150" s="1">
        <f t="shared" si="180"/>
        <v>0</v>
      </c>
      <c r="BE150" s="1">
        <f>0</f>
        <v>0</v>
      </c>
      <c r="BF150" s="1">
        <f t="shared" si="211"/>
        <v>0</v>
      </c>
      <c r="BG150" s="1">
        <f t="shared" si="190"/>
        <v>0</v>
      </c>
      <c r="BH150" s="1">
        <f>MAX(X150,1)</f>
        <v>1</v>
      </c>
      <c r="BI150" s="1">
        <f t="shared" si="191"/>
        <v>0</v>
      </c>
      <c r="BJ150" s="1">
        <f t="shared" si="194"/>
        <v>0</v>
      </c>
      <c r="BK150" s="1">
        <f t="shared" si="195"/>
        <v>0</v>
      </c>
      <c r="BL150" s="1">
        <f t="shared" si="200"/>
        <v>0</v>
      </c>
      <c r="BM150" s="1">
        <f t="shared" si="198"/>
        <v>0</v>
      </c>
      <c r="BN150" s="1">
        <f>0</f>
        <v>0</v>
      </c>
      <c r="BO150" s="1">
        <f>MAX(BN150,1)</f>
        <v>1</v>
      </c>
    </row>
    <row r="151" spans="1:67" ht="30.95" customHeight="1">
      <c r="A151" s="1">
        <f>4</f>
        <v>4</v>
      </c>
      <c r="B151" s="1">
        <f>固定流程!A7</f>
        <v>2</v>
      </c>
      <c r="C151" s="1">
        <f>7</f>
        <v>7</v>
      </c>
      <c r="D151" s="1">
        <f>1</f>
        <v>1</v>
      </c>
      <c r="E151" s="1">
        <f>固定流程!C7</f>
        <v>1</v>
      </c>
      <c r="F151" s="1">
        <f>固定流程!G7</f>
        <v>3</v>
      </c>
      <c r="G151" s="1" t="str">
        <f>固定流程!H7</f>
        <v>RHI_BUFF</v>
      </c>
      <c r="H151" s="1">
        <f>固定流程!F7</f>
        <v>1</v>
      </c>
      <c r="I151" s="1">
        <f>INDEX(配置与结果!$B$15:$B$18,F151)</f>
        <v>2597</v>
      </c>
      <c r="J151" s="1">
        <f>INDEX(配置与结果!$D$15:$D$18,F151)</f>
        <v>0.255</v>
      </c>
      <c r="K151" s="1">
        <f>INDEX(配置与结果!$E$15:$E$18,F151)</f>
        <v>1.55</v>
      </c>
      <c r="L151" s="1">
        <f t="shared" ref="L151:O156" si="212">AV150</f>
        <v>0</v>
      </c>
      <c r="M151" s="1">
        <f t="shared" si="212"/>
        <v>0</v>
      </c>
      <c r="N151" s="1">
        <f t="shared" si="212"/>
        <v>0</v>
      </c>
      <c r="O151" s="1">
        <f t="shared" si="212"/>
        <v>0</v>
      </c>
      <c r="P151" s="1">
        <f>MIN(方案参数!$AI$7,AZ150+0+方案参数!$AK$7)</f>
        <v>3</v>
      </c>
      <c r="Q151" s="1">
        <f t="shared" ref="Q151:Q185" si="213">BA150</f>
        <v>1</v>
      </c>
      <c r="R151" s="1">
        <f t="shared" ref="R151:R185" si="214">BB150</f>
        <v>5</v>
      </c>
      <c r="S151" s="1">
        <f t="shared" ref="S151:S185" si="215">BC150</f>
        <v>0</v>
      </c>
      <c r="T151" s="1">
        <f t="shared" ref="T151:T164" si="216">BD150+0</f>
        <v>0</v>
      </c>
      <c r="U151" s="1">
        <f t="shared" ref="U151:U185" si="217">BE150</f>
        <v>0</v>
      </c>
      <c r="V151" s="1">
        <f t="shared" ref="V151:V185" si="218">BF150</f>
        <v>0</v>
      </c>
      <c r="W151" s="1">
        <f t="shared" ref="W151:W185" si="219">BG150</f>
        <v>0</v>
      </c>
      <c r="X151" s="1">
        <f t="shared" ref="X151:X185" si="220">BH150</f>
        <v>1</v>
      </c>
      <c r="Y151" s="1">
        <f t="shared" ref="Y151:Y185" si="221">BI150</f>
        <v>0</v>
      </c>
      <c r="Z151" s="1">
        <f t="shared" ref="Z151:Z185" si="222">BJ150</f>
        <v>0</v>
      </c>
      <c r="AA151" s="1">
        <f t="shared" ref="AA151:AA156" si="223">MAX(BK150,0)</f>
        <v>0</v>
      </c>
      <c r="AB151" s="1">
        <f t="shared" ref="AB151:AB185" si="224">BL150</f>
        <v>0</v>
      </c>
      <c r="AC151" s="1">
        <f t="shared" ref="AC151:AC164" si="225">MAX(BM150,0)</f>
        <v>0</v>
      </c>
      <c r="AD151" s="1">
        <f>ROUNDDOWN(I151*(1+IF(F151=3,0.05+方案参数!$Y$7+AA151*0.12,IF(F151=4,方案参数!$BZ$7*方案参数!$AS$7,0)))+IF(AND(X151=1,F151&lt;&gt;3),方案参数!$CC$7,0)+AC151*方案参数!$CB$7,0)</f>
        <v>2986</v>
      </c>
      <c r="AE151" s="1">
        <f>IF(OR(F151=1,F151=4),配置与结果!$B$24,配置与结果!$B$25)*MAX(0,1-INDEX(配置与结果!$I$15:$I$18,F151))</f>
        <v>1000</v>
      </c>
      <c r="AF151" s="1">
        <f>0</f>
        <v>0</v>
      </c>
      <c r="AG151" s="1">
        <f>MAX(配置与结果!$B$32,1+INDEX(配置与结果!$F$15:$F$18,F151)+0+Q151*方案参数!$W$7+Y151*(方案参数!$AN$7+MIN(方案参数!$AO$7,P151*0.03))+AB151*方案参数!$BZ$7*0.025-配置与结果!$B$28)</f>
        <v>0.65499999999999992</v>
      </c>
      <c r="AH151" s="1">
        <f>MAX(0,1+INDEX(配置与结果!$G$15:$G$18,F151)+W151*方案参数!$AG$7)</f>
        <v>1</v>
      </c>
      <c r="AI151" s="1">
        <f>IF(OR(INDEX(配置与结果!$K$15:$K$18,F151)=1,G151="RHI_BERRY"),1+配置与结果!$B$33+P151*方案参数!$AH$7,1)</f>
        <v>1</v>
      </c>
      <c r="AJ151" s="1">
        <f>MIN(1,MAX(0,J151+方案参数!$AB$7-配置与结果!$B$27))</f>
        <v>0.55499999999999994</v>
      </c>
      <c r="AK151" s="1">
        <f>MAX(1,K151+IF(F151=2,0.15+方案参数!$CH$7,0)+BN151*方案参数!$X$7+R151*方案参数!$AA$7+0-配置与结果!$B$26+Z151*(方案参数!$AP$7+MIN(方案参数!$AQ$7,P151*0.03)))</f>
        <v>1.33</v>
      </c>
      <c r="AL151" s="7">
        <f>ROUNDDOWN(MAX(AD151*配置与结果!$B$31,AD151-AE151)*AF151*AG151*AH151*AI151,0)</f>
        <v>0</v>
      </c>
      <c r="AM151" s="7">
        <f>ROUNDDOWN(MAX(AD151*配置与结果!$B$31,AD151-AE151)*AF151*AG151*AH151*AI151*AK151,0)</f>
        <v>0</v>
      </c>
      <c r="AN151" s="7">
        <f t="shared" si="201"/>
        <v>0</v>
      </c>
      <c r="AO151" s="7">
        <f>0</f>
        <v>0</v>
      </c>
      <c r="AP151" s="7">
        <f>MAX(0,1+INDEX(配置与结果!$J$15:$J$18,F151)+IF(T151&gt;0,方案参数!$BY$7,0)-配置与结果!$B$30)</f>
        <v>1</v>
      </c>
      <c r="AQ151" s="7">
        <f t="shared" si="202"/>
        <v>0</v>
      </c>
      <c r="AR151" s="7">
        <f t="shared" si="203"/>
        <v>0</v>
      </c>
      <c r="AS151" s="7">
        <f t="shared" si="204"/>
        <v>0</v>
      </c>
      <c r="AT151" s="7">
        <f>0</f>
        <v>0</v>
      </c>
      <c r="AU151" s="7">
        <f t="shared" si="205"/>
        <v>0</v>
      </c>
      <c r="AV151" s="1">
        <f t="shared" si="206"/>
        <v>0</v>
      </c>
      <c r="AW151" s="1">
        <f t="shared" si="210"/>
        <v>0</v>
      </c>
      <c r="AX151" s="1">
        <f t="shared" si="207"/>
        <v>0</v>
      </c>
      <c r="AY151" s="1">
        <f>MIN(20,MAX(0,O151+0+0-0))</f>
        <v>0</v>
      </c>
      <c r="AZ151" s="1">
        <f t="shared" si="208"/>
        <v>3</v>
      </c>
      <c r="BA151" s="1">
        <f>MIN(6,Q151+1)</f>
        <v>2</v>
      </c>
      <c r="BB151" s="1">
        <f t="shared" ref="BB151:BB164" si="226">MIN(30,R151+0)</f>
        <v>5</v>
      </c>
      <c r="BC151" s="1">
        <f t="shared" si="199"/>
        <v>0</v>
      </c>
      <c r="BD151" s="1">
        <f t="shared" si="180"/>
        <v>0</v>
      </c>
      <c r="BE151" s="1">
        <f t="shared" ref="BE151:BE172" si="227">BE150</f>
        <v>0</v>
      </c>
      <c r="BF151" s="1">
        <f t="shared" si="211"/>
        <v>0</v>
      </c>
      <c r="BG151" s="1">
        <f>MAX(W151,1)</f>
        <v>1</v>
      </c>
      <c r="BH151" s="1">
        <f t="shared" ref="BH151:BH185" si="228">MAX(X151,0)</f>
        <v>1</v>
      </c>
      <c r="BI151" s="1">
        <f>MAX(Y151,1)</f>
        <v>1</v>
      </c>
      <c r="BJ151" s="1">
        <f t="shared" si="194"/>
        <v>0</v>
      </c>
      <c r="BK151" s="1">
        <f t="shared" si="195"/>
        <v>0</v>
      </c>
      <c r="BL151" s="1">
        <f t="shared" si="200"/>
        <v>0</v>
      </c>
      <c r="BM151" s="1">
        <f t="shared" si="198"/>
        <v>0</v>
      </c>
      <c r="BN151" s="1">
        <f t="shared" ref="BN151:BN185" si="229">BO150</f>
        <v>1</v>
      </c>
      <c r="BO151" s="1">
        <f t="shared" ref="BO151:BO185" si="230">MAX(BN151,0)</f>
        <v>1</v>
      </c>
    </row>
    <row r="152" spans="1:67" ht="30.95" customHeight="1">
      <c r="A152" s="1">
        <f>4</f>
        <v>4</v>
      </c>
      <c r="B152" s="1">
        <f>固定流程!A8</f>
        <v>3</v>
      </c>
      <c r="C152" s="1">
        <f>7</f>
        <v>7</v>
      </c>
      <c r="D152" s="1">
        <f>1</f>
        <v>1</v>
      </c>
      <c r="E152" s="1">
        <f>固定流程!C8</f>
        <v>1</v>
      </c>
      <c r="F152" s="1">
        <f>固定流程!G8</f>
        <v>1</v>
      </c>
      <c r="G152" s="1" t="str">
        <f>固定流程!H8</f>
        <v>LILYA_COBRA</v>
      </c>
      <c r="H152" s="1">
        <f>固定流程!F8</f>
        <v>1</v>
      </c>
      <c r="I152" s="1">
        <f>INDEX(配置与结果!$B$15:$B$18,F152)</f>
        <v>2296</v>
      </c>
      <c r="J152" s="1">
        <f>INDEX(配置与结果!$D$15:$D$18,F152)</f>
        <v>0.7</v>
      </c>
      <c r="K152" s="1">
        <f>INDEX(配置与结果!$E$15:$E$18,F152)</f>
        <v>2.0249999999999999</v>
      </c>
      <c r="L152" s="1">
        <f t="shared" si="212"/>
        <v>0</v>
      </c>
      <c r="M152" s="1">
        <f t="shared" si="212"/>
        <v>0</v>
      </c>
      <c r="N152" s="1">
        <f t="shared" si="212"/>
        <v>0</v>
      </c>
      <c r="O152" s="1">
        <f t="shared" si="212"/>
        <v>0</v>
      </c>
      <c r="P152" s="1">
        <f>MIN(方案参数!$AI$7,AZ151+0+0)</f>
        <v>3</v>
      </c>
      <c r="Q152" s="1">
        <f t="shared" si="213"/>
        <v>2</v>
      </c>
      <c r="R152" s="1">
        <f t="shared" si="214"/>
        <v>5</v>
      </c>
      <c r="S152" s="1">
        <f t="shared" si="215"/>
        <v>0</v>
      </c>
      <c r="T152" s="1">
        <f t="shared" si="216"/>
        <v>0</v>
      </c>
      <c r="U152" s="1">
        <f t="shared" si="217"/>
        <v>0</v>
      </c>
      <c r="V152" s="1">
        <f t="shared" si="218"/>
        <v>0</v>
      </c>
      <c r="W152" s="1">
        <f t="shared" si="219"/>
        <v>1</v>
      </c>
      <c r="X152" s="1">
        <f t="shared" si="220"/>
        <v>1</v>
      </c>
      <c r="Y152" s="1">
        <f t="shared" si="221"/>
        <v>1</v>
      </c>
      <c r="Z152" s="1">
        <f t="shared" si="222"/>
        <v>0</v>
      </c>
      <c r="AA152" s="1">
        <f t="shared" si="223"/>
        <v>0</v>
      </c>
      <c r="AB152" s="1">
        <f t="shared" si="224"/>
        <v>0</v>
      </c>
      <c r="AC152" s="1">
        <f t="shared" si="225"/>
        <v>0</v>
      </c>
      <c r="AD152" s="1">
        <f>ROUNDDOWN(I152*(1+IF(F152=3,0.05+方案参数!$Y$7+AA152*0.12,IF(F152=4,方案参数!$BZ$7*方案参数!$AS$7,0)))+IF(AND(X152=1,F152&lt;&gt;3),方案参数!$CC$7,0)+AC152*方案参数!$CB$7,0)</f>
        <v>2534</v>
      </c>
      <c r="AE152" s="1">
        <f>IF(OR(F152=1,F152=4),配置与结果!$B$24,配置与结果!$B$25)*MAX(0,1-INDEX(配置与结果!$I$15:$I$18,F152))</f>
        <v>1200</v>
      </c>
      <c r="AF152" s="1">
        <f>0</f>
        <v>0</v>
      </c>
      <c r="AG152" s="1">
        <f>MAX(配置与结果!$B$32,1+INDEX(配置与结果!$F$15:$F$18,F152)+0.08+方案参数!$CD$7+Q152*方案参数!$W$7+Y152*(方案参数!$AN$7+MIN(方案参数!$AO$7,P152*0.03))+AB152*方案参数!$BZ$7*0.025-配置与结果!$B$28)</f>
        <v>1.2200000000000002</v>
      </c>
      <c r="AH152" s="1">
        <f>MAX(0,1+INDEX(配置与结果!$G$15:$G$18,F152)+W152*方案参数!$AG$7)</f>
        <v>1.3</v>
      </c>
      <c r="AI152" s="1">
        <f>IF(OR(INDEX(配置与结果!$K$15:$K$18,F152)=1,G152="RHI_BERRY"),1+配置与结果!$B$33+P152*方案参数!$AH$7,1)</f>
        <v>1</v>
      </c>
      <c r="AJ152" s="1">
        <f>MIN(1,MAX(0,J152+方案参数!$AB$7-配置与结果!$B$27))</f>
        <v>1</v>
      </c>
      <c r="AK152" s="1">
        <f>MAX(1,K152+IF(F152=2,0.15+方案参数!$CH$7,0)+BN152*方案参数!$X$7+R152*方案参数!$AA$7+0-配置与结果!$B$26+Z152*(方案参数!$AP$7+MIN(方案参数!$AQ$7,P152*0.03)))</f>
        <v>1.8050000000000002</v>
      </c>
      <c r="AL152" s="7">
        <f>ROUNDDOWN(MAX(AD152*配置与结果!$B$31,AD152-AE152)*AF152*AG152*AH152*AI152,0)</f>
        <v>0</v>
      </c>
      <c r="AM152" s="7">
        <f>ROUNDDOWN(MAX(AD152*配置与结果!$B$31,AD152-AE152)*AF152*AG152*AH152*AI152*AK152,0)</f>
        <v>0</v>
      </c>
      <c r="AN152" s="7">
        <f t="shared" si="201"/>
        <v>0</v>
      </c>
      <c r="AO152" s="7">
        <f>0</f>
        <v>0</v>
      </c>
      <c r="AP152" s="7">
        <f>MAX(0,1+INDEX(配置与结果!$J$15:$J$18,F152)+IF(T152&gt;0,方案参数!$BY$7,0)-配置与结果!$B$30)</f>
        <v>1</v>
      </c>
      <c r="AQ152" s="7">
        <f t="shared" si="202"/>
        <v>0</v>
      </c>
      <c r="AR152" s="7">
        <f t="shared" si="203"/>
        <v>0</v>
      </c>
      <c r="AS152" s="7">
        <f t="shared" si="204"/>
        <v>0</v>
      </c>
      <c r="AT152" s="7">
        <f>0</f>
        <v>0</v>
      </c>
      <c r="AU152" s="7">
        <f t="shared" si="205"/>
        <v>0</v>
      </c>
      <c r="AV152" s="1">
        <f t="shared" si="206"/>
        <v>1</v>
      </c>
      <c r="AW152" s="1">
        <f>MIN(10,M152+方案参数!$BD$7+0)</f>
        <v>5</v>
      </c>
      <c r="AX152" s="1">
        <f t="shared" si="207"/>
        <v>0</v>
      </c>
      <c r="AY152" s="1">
        <f>MIN(20,MAX(0,O152+6+0-0))</f>
        <v>6</v>
      </c>
      <c r="AZ152" s="1">
        <f t="shared" si="208"/>
        <v>3</v>
      </c>
      <c r="BA152" s="1">
        <f>MIN(6,Q152+0)</f>
        <v>2</v>
      </c>
      <c r="BB152" s="1">
        <f t="shared" si="226"/>
        <v>5</v>
      </c>
      <c r="BC152" s="1">
        <f t="shared" si="199"/>
        <v>0</v>
      </c>
      <c r="BD152" s="1">
        <f t="shared" si="180"/>
        <v>0</v>
      </c>
      <c r="BE152" s="1">
        <f t="shared" si="227"/>
        <v>0</v>
      </c>
      <c r="BF152" s="1">
        <f t="shared" si="211"/>
        <v>0</v>
      </c>
      <c r="BG152" s="1">
        <f t="shared" ref="BG152:BG162" si="231">MAX(W152,0)</f>
        <v>1</v>
      </c>
      <c r="BH152" s="1">
        <f t="shared" si="228"/>
        <v>1</v>
      </c>
      <c r="BI152" s="1">
        <f t="shared" ref="BI152:BI162" si="232">MAX(Y152,0)</f>
        <v>1</v>
      </c>
      <c r="BJ152" s="1">
        <f t="shared" si="194"/>
        <v>0</v>
      </c>
      <c r="BK152" s="1">
        <f t="shared" si="195"/>
        <v>0</v>
      </c>
      <c r="BL152" s="1">
        <f t="shared" si="200"/>
        <v>0</v>
      </c>
      <c r="BM152" s="1">
        <f t="shared" si="198"/>
        <v>0</v>
      </c>
      <c r="BN152" s="1">
        <f t="shared" si="229"/>
        <v>1</v>
      </c>
      <c r="BO152" s="1">
        <f t="shared" si="230"/>
        <v>1</v>
      </c>
    </row>
    <row r="153" spans="1:67" ht="30.95" customHeight="1">
      <c r="A153" s="1">
        <f>4</f>
        <v>4</v>
      </c>
      <c r="B153" s="1">
        <f>固定流程!A9</f>
        <v>4</v>
      </c>
      <c r="C153" s="1">
        <f>7</f>
        <v>7</v>
      </c>
      <c r="D153" s="1">
        <f>1</f>
        <v>1</v>
      </c>
      <c r="E153" s="1">
        <f>固定流程!C9</f>
        <v>1</v>
      </c>
      <c r="F153" s="1">
        <f>固定流程!G9</f>
        <v>1</v>
      </c>
      <c r="G153" s="1" t="str">
        <f>固定流程!H9</f>
        <v>LILYA_DIVE</v>
      </c>
      <c r="H153" s="1">
        <f>固定流程!F9</f>
        <v>1</v>
      </c>
      <c r="I153" s="1">
        <f>INDEX(配置与结果!$B$15:$B$18,F153)</f>
        <v>2296</v>
      </c>
      <c r="J153" s="1">
        <f>INDEX(配置与结果!$D$15:$D$18,F153)</f>
        <v>0.7</v>
      </c>
      <c r="K153" s="1">
        <f>INDEX(配置与结果!$E$15:$E$18,F153)</f>
        <v>2.0249999999999999</v>
      </c>
      <c r="L153" s="1">
        <f t="shared" si="212"/>
        <v>1</v>
      </c>
      <c r="M153" s="1">
        <f t="shared" si="212"/>
        <v>5</v>
      </c>
      <c r="N153" s="1">
        <f t="shared" si="212"/>
        <v>0</v>
      </c>
      <c r="O153" s="1">
        <f t="shared" si="212"/>
        <v>6</v>
      </c>
      <c r="P153" s="1">
        <f>MIN(方案参数!$AI$7,AZ152+0+0)</f>
        <v>3</v>
      </c>
      <c r="Q153" s="1">
        <f t="shared" si="213"/>
        <v>2</v>
      </c>
      <c r="R153" s="1">
        <f t="shared" si="214"/>
        <v>5</v>
      </c>
      <c r="S153" s="1">
        <f t="shared" si="215"/>
        <v>0</v>
      </c>
      <c r="T153" s="1">
        <f t="shared" si="216"/>
        <v>0</v>
      </c>
      <c r="U153" s="1">
        <f t="shared" si="217"/>
        <v>0</v>
      </c>
      <c r="V153" s="1">
        <f t="shared" si="218"/>
        <v>0</v>
      </c>
      <c r="W153" s="1">
        <f t="shared" si="219"/>
        <v>1</v>
      </c>
      <c r="X153" s="1">
        <f t="shared" si="220"/>
        <v>1</v>
      </c>
      <c r="Y153" s="1">
        <f t="shared" si="221"/>
        <v>1</v>
      </c>
      <c r="Z153" s="1">
        <f t="shared" si="222"/>
        <v>0</v>
      </c>
      <c r="AA153" s="1">
        <f t="shared" si="223"/>
        <v>0</v>
      </c>
      <c r="AB153" s="1">
        <f t="shared" si="224"/>
        <v>0</v>
      </c>
      <c r="AC153" s="1">
        <f t="shared" si="225"/>
        <v>0</v>
      </c>
      <c r="AD153" s="1">
        <f>ROUNDDOWN(I153*(1+IF(F153=3,0.05+方案参数!$Y$7+AA153*0.12,IF(F153=4,方案参数!$BZ$7*方案参数!$AS$7,0)))+IF(AND(X153=1,F153&lt;&gt;3),方案参数!$CC$7,0)+AC153*方案参数!$CB$7,0)</f>
        <v>2534</v>
      </c>
      <c r="AE153" s="1">
        <f>IF(OR(F153=1,F153=4),配置与结果!$B$24,配置与结果!$B$25)*MAX(0,1-INDEX(配置与结果!$I$15:$I$18,F153))</f>
        <v>1200</v>
      </c>
      <c r="AF153" s="1">
        <f>(IF(L153=1,方案参数!$AW$7,IF(L153=2,方案参数!$AX$7,0))+方案参数!$AV$7)*H153</f>
        <v>9</v>
      </c>
      <c r="AG153" s="1">
        <f>MAX(配置与结果!$B$32,1+INDEX(配置与结果!$F$15:$F$18,F153)+0.08+方案参数!$CD$7+Q153*方案参数!$W$7+Y153*(方案参数!$AN$7+MIN(方案参数!$AO$7,P153*0.03))+AB153*方案参数!$BZ$7*0.025+IF(L153=1,方案参数!$AY$7+(H153-1)*0.1,IF(L153=2,方案参数!$AZ$7+(H153-1)*0.2,0))-配置与结果!$B$28)</f>
        <v>1.52</v>
      </c>
      <c r="AH153" s="1">
        <f>MAX(0,1+INDEX(配置与结果!$G$15:$G$18,F153)+W153*方案参数!$AG$7+IF(L153=1,方案参数!$BA$7,IF(L153=2,方案参数!$BB$7,0))+M153*方案参数!$BC$7)</f>
        <v>2.1999999999999997</v>
      </c>
      <c r="AI153" s="1">
        <f>IF(OR(INDEX(配置与结果!$K$15:$K$18,F153)=1,G153="RHI_BERRY"),1+配置与结果!$B$33+P153*方案参数!$AH$7,1)</f>
        <v>1</v>
      </c>
      <c r="AJ153" s="1">
        <f>MIN(1,MAX(0,J153+方案参数!$AB$7-配置与结果!$B$27))</f>
        <v>1</v>
      </c>
      <c r="AK153" s="1">
        <f>MAX(1,K153+IF(F153=2,0.15+方案参数!$CH$7,0)+BN153*方案参数!$X$7+R153*方案参数!$AA$7+0-配置与结果!$B$26+Z153*(方案参数!$AP$7+MIN(方案参数!$AQ$7,P153*0.03)))</f>
        <v>1.8050000000000002</v>
      </c>
      <c r="AL153" s="7">
        <f>ROUNDDOWN(MAX(AD153*配置与结果!$B$31,AD153-AE153)*AF153*AG153*AH153*AI153,0)</f>
        <v>40148</v>
      </c>
      <c r="AM153" s="7">
        <f>ROUNDDOWN(MAX(AD153*配置与结果!$B$31,AD153-AE153)*AF153*AG153*AH153*AI153*AK153,0)</f>
        <v>72467</v>
      </c>
      <c r="AN153" s="7">
        <f t="shared" si="201"/>
        <v>72467</v>
      </c>
      <c r="AO153" s="7">
        <f>0</f>
        <v>0</v>
      </c>
      <c r="AP153" s="7">
        <f>MAX(0,1+INDEX(配置与结果!$J$15:$J$18,F153)+IF(T153&gt;0,方案参数!$BY$7,0)-配置与结果!$B$30)</f>
        <v>1</v>
      </c>
      <c r="AQ153" s="7">
        <f t="shared" si="202"/>
        <v>0</v>
      </c>
      <c r="AR153" s="7">
        <f t="shared" si="203"/>
        <v>0</v>
      </c>
      <c r="AS153" s="7">
        <f t="shared" si="204"/>
        <v>0</v>
      </c>
      <c r="AT153" s="7">
        <f>0</f>
        <v>0</v>
      </c>
      <c r="AU153" s="7">
        <f t="shared" si="205"/>
        <v>72467</v>
      </c>
      <c r="AV153" s="1">
        <f t="shared" si="206"/>
        <v>1</v>
      </c>
      <c r="AW153" s="1">
        <f>MIN(10,M153+0+IF(L153=1,方案参数!$BE$7,0))</f>
        <v>7</v>
      </c>
      <c r="AX153" s="1">
        <f t="shared" si="207"/>
        <v>0</v>
      </c>
      <c r="AY153" s="1">
        <f t="shared" ref="AY153:AY168" si="233">MIN(20,MAX(0,O153+0+0-0))</f>
        <v>6</v>
      </c>
      <c r="AZ153" s="1">
        <f t="shared" si="208"/>
        <v>3</v>
      </c>
      <c r="BA153" s="1">
        <f>MIN(6,Q153+0)</f>
        <v>2</v>
      </c>
      <c r="BB153" s="1">
        <f t="shared" si="226"/>
        <v>5</v>
      </c>
      <c r="BC153" s="1">
        <f t="shared" si="199"/>
        <v>0</v>
      </c>
      <c r="BD153" s="1">
        <f t="shared" si="180"/>
        <v>0</v>
      </c>
      <c r="BE153" s="1">
        <f t="shared" si="227"/>
        <v>0</v>
      </c>
      <c r="BF153" s="1">
        <f t="shared" si="211"/>
        <v>0</v>
      </c>
      <c r="BG153" s="1">
        <f t="shared" si="231"/>
        <v>1</v>
      </c>
      <c r="BH153" s="1">
        <f t="shared" si="228"/>
        <v>1</v>
      </c>
      <c r="BI153" s="1">
        <f t="shared" si="232"/>
        <v>1</v>
      </c>
      <c r="BJ153" s="1">
        <f t="shared" si="194"/>
        <v>0</v>
      </c>
      <c r="BK153" s="1">
        <f t="shared" si="195"/>
        <v>0</v>
      </c>
      <c r="BL153" s="1">
        <f t="shared" si="200"/>
        <v>0</v>
      </c>
      <c r="BM153" s="1">
        <f t="shared" si="198"/>
        <v>0</v>
      </c>
      <c r="BN153" s="1">
        <f t="shared" si="229"/>
        <v>1</v>
      </c>
      <c r="BO153" s="1">
        <f t="shared" si="230"/>
        <v>1</v>
      </c>
    </row>
    <row r="154" spans="1:67" ht="30.95" customHeight="1">
      <c r="A154" s="1">
        <f>4</f>
        <v>4</v>
      </c>
      <c r="B154" s="1">
        <f>固定流程!A10</f>
        <v>5</v>
      </c>
      <c r="C154" s="1">
        <f>7</f>
        <v>7</v>
      </c>
      <c r="D154" s="1">
        <f>1</f>
        <v>1</v>
      </c>
      <c r="E154" s="1">
        <f>固定流程!C10</f>
        <v>1</v>
      </c>
      <c r="F154" s="1">
        <f>固定流程!G10</f>
        <v>2</v>
      </c>
      <c r="G154" s="1" t="str">
        <f>固定流程!H10</f>
        <v>37_TRIANGLE</v>
      </c>
      <c r="H154" s="1">
        <f>固定流程!F10</f>
        <v>1</v>
      </c>
      <c r="I154" s="1">
        <f>INDEX(配置与结果!$B$15:$B$18,F154)</f>
        <v>2306</v>
      </c>
      <c r="J154" s="1">
        <f>INDEX(配置与结果!$D$15:$D$18,F154)</f>
        <v>0.46</v>
      </c>
      <c r="K154" s="1">
        <f>INDEX(配置与结果!$E$15:$E$18,F154)</f>
        <v>1.9279999999999999</v>
      </c>
      <c r="L154" s="1">
        <f t="shared" si="212"/>
        <v>1</v>
      </c>
      <c r="M154" s="1">
        <f t="shared" si="212"/>
        <v>7</v>
      </c>
      <c r="N154" s="1">
        <f t="shared" si="212"/>
        <v>0</v>
      </c>
      <c r="O154" s="1">
        <f t="shared" si="212"/>
        <v>6</v>
      </c>
      <c r="P154" s="1">
        <f>MIN(方案参数!$AI$7,AZ153+0+0)</f>
        <v>3</v>
      </c>
      <c r="Q154" s="1">
        <f t="shared" si="213"/>
        <v>2</v>
      </c>
      <c r="R154" s="1">
        <f t="shared" si="214"/>
        <v>5</v>
      </c>
      <c r="S154" s="1">
        <f t="shared" si="215"/>
        <v>0</v>
      </c>
      <c r="T154" s="1">
        <f t="shared" si="216"/>
        <v>0</v>
      </c>
      <c r="U154" s="1">
        <f t="shared" si="217"/>
        <v>0</v>
      </c>
      <c r="V154" s="1">
        <f t="shared" si="218"/>
        <v>0</v>
      </c>
      <c r="W154" s="1">
        <f t="shared" si="219"/>
        <v>1</v>
      </c>
      <c r="X154" s="1">
        <f t="shared" si="220"/>
        <v>1</v>
      </c>
      <c r="Y154" s="1">
        <f t="shared" si="221"/>
        <v>1</v>
      </c>
      <c r="Z154" s="1">
        <f t="shared" si="222"/>
        <v>0</v>
      </c>
      <c r="AA154" s="1">
        <f t="shared" si="223"/>
        <v>0</v>
      </c>
      <c r="AB154" s="1">
        <f t="shared" si="224"/>
        <v>0</v>
      </c>
      <c r="AC154" s="1">
        <f t="shared" si="225"/>
        <v>0</v>
      </c>
      <c r="AD154" s="1">
        <f>ROUNDDOWN(I154*(1+IF(F154=3,0.05+方案参数!$Y$7+AA154*0.12,IF(F154=4,方案参数!$BZ$7*方案参数!$AS$7,0)))+IF(AND(X154=1,F154&lt;&gt;3),方案参数!$CC$7,0)+AC154*方案参数!$CB$7,0)</f>
        <v>2544</v>
      </c>
      <c r="AE154" s="1">
        <f>IF(OR(F154=1,F154=4),配置与结果!$B$24,配置与结果!$B$25)*MAX(0,1-INDEX(配置与结果!$I$15:$I$18,F154))</f>
        <v>1000</v>
      </c>
      <c r="AF154" s="1">
        <f>方案参数!$BS$7*IF(H154=1,1,IF(H154=2,1.5,2.5))</f>
        <v>2.8</v>
      </c>
      <c r="AG154" s="1">
        <f>MAX(配置与结果!$B$32,1+INDEX(配置与结果!$F$15:$F$18,F154)+0+Q154*方案参数!$W$7+Y154*(方案参数!$AN$7+MIN(方案参数!$AO$7,P154*0.03))+AB154*方案参数!$BZ$7*0.025-配置与结果!$B$28)</f>
        <v>0.8849999999999999</v>
      </c>
      <c r="AH154" s="1">
        <f>MAX(0,1+INDEX(配置与结果!$G$15:$G$18,F154)+W154*方案参数!$AG$7)</f>
        <v>1.3</v>
      </c>
      <c r="AI154" s="1">
        <f>IF(OR(INDEX(配置与结果!$K$15:$K$18,F154)=1,G154="RHI_BERRY"),1+配置与结果!$B$33+P154*方案参数!$AH$7,1)</f>
        <v>1</v>
      </c>
      <c r="AJ154" s="1">
        <f>MIN(1,MAX(0,J154+方案参数!$AB$7-配置与结果!$B$27))</f>
        <v>0.76</v>
      </c>
      <c r="AK154" s="1">
        <f>MAX(1,K154+IF(F154=2,0.15+方案参数!$CH$7,0)+BN154*方案参数!$X$7+R154*方案参数!$AA$7+0-配置与结果!$B$26+Z154*(方案参数!$AP$7+MIN(方案参数!$AQ$7,P154*0.03)))</f>
        <v>1.9780000000000002</v>
      </c>
      <c r="AL154" s="7">
        <f>ROUNDDOWN(MAX(AD154*配置与结果!$B$31,AD154-AE154)*AF154*AG154*AH154*AI154,0)</f>
        <v>4973</v>
      </c>
      <c r="AM154" s="7">
        <f>ROUNDDOWN(MAX(AD154*配置与结果!$B$31,AD154-AE154)*AF154*AG154*AH154*AI154*AK154,0)</f>
        <v>9838</v>
      </c>
      <c r="AN154" s="7">
        <f t="shared" si="201"/>
        <v>8670.4</v>
      </c>
      <c r="AO154" s="7">
        <f>方案参数!$BU$7*IF(H154=1,1,IF(H154=2,1.5,2.5))</f>
        <v>0.8</v>
      </c>
      <c r="AP154" s="7">
        <f>MAX(0,1+INDEX(配置与结果!$J$15:$J$18,F154)+IF(T154&gt;0,方案参数!$BY$7,0)-配置与结果!$B$30)</f>
        <v>1</v>
      </c>
      <c r="AQ154" s="7">
        <f t="shared" si="202"/>
        <v>2035</v>
      </c>
      <c r="AR154" s="7">
        <f t="shared" si="203"/>
        <v>4025</v>
      </c>
      <c r="AS154" s="7">
        <f t="shared" si="204"/>
        <v>3547.4</v>
      </c>
      <c r="AT154" s="7">
        <f>0</f>
        <v>0</v>
      </c>
      <c r="AU154" s="7">
        <f t="shared" si="205"/>
        <v>12217.8</v>
      </c>
      <c r="AV154" s="1">
        <f t="shared" si="206"/>
        <v>1</v>
      </c>
      <c r="AW154" s="1">
        <f>MIN(10,M154+0+0)</f>
        <v>7</v>
      </c>
      <c r="AX154" s="1">
        <f t="shared" si="207"/>
        <v>0</v>
      </c>
      <c r="AY154" s="1">
        <f t="shared" si="233"/>
        <v>6</v>
      </c>
      <c r="AZ154" s="1">
        <f t="shared" si="208"/>
        <v>3</v>
      </c>
      <c r="BA154" s="1">
        <f>MIN(6,Q154+0)</f>
        <v>2</v>
      </c>
      <c r="BB154" s="1">
        <f t="shared" si="226"/>
        <v>5</v>
      </c>
      <c r="BC154" s="1">
        <f t="shared" si="199"/>
        <v>0</v>
      </c>
      <c r="BD154" s="1">
        <f>MAX(0,T154-IF(AO154&gt;0,1,0))+1</f>
        <v>1</v>
      </c>
      <c r="BE154" s="1">
        <f t="shared" si="227"/>
        <v>0</v>
      </c>
      <c r="BF154" s="1">
        <f t="shared" si="211"/>
        <v>0</v>
      </c>
      <c r="BG154" s="1">
        <f t="shared" si="231"/>
        <v>1</v>
      </c>
      <c r="BH154" s="1">
        <f t="shared" si="228"/>
        <v>1</v>
      </c>
      <c r="BI154" s="1">
        <f t="shared" si="232"/>
        <v>1</v>
      </c>
      <c r="BJ154" s="1">
        <f t="shared" si="194"/>
        <v>0</v>
      </c>
      <c r="BK154" s="1">
        <f t="shared" si="195"/>
        <v>0</v>
      </c>
      <c r="BL154" s="1">
        <f t="shared" si="200"/>
        <v>0</v>
      </c>
      <c r="BM154" s="1">
        <f t="shared" si="198"/>
        <v>0</v>
      </c>
      <c r="BN154" s="1">
        <f t="shared" si="229"/>
        <v>1</v>
      </c>
      <c r="BO154" s="1">
        <f t="shared" si="230"/>
        <v>1</v>
      </c>
    </row>
    <row r="155" spans="1:67" ht="30.95" customHeight="1">
      <c r="A155" s="1">
        <f>4</f>
        <v>4</v>
      </c>
      <c r="B155" s="1">
        <f>固定流程!A11</f>
        <v>6</v>
      </c>
      <c r="C155" s="1">
        <f>7</f>
        <v>7</v>
      </c>
      <c r="D155" s="1">
        <f>1</f>
        <v>1</v>
      </c>
      <c r="E155" s="1">
        <f>固定流程!C11</f>
        <v>1</v>
      </c>
      <c r="F155" s="1">
        <f>固定流程!G11</f>
        <v>2</v>
      </c>
      <c r="G155" s="1" t="str">
        <f>固定流程!H11</f>
        <v>37_FOLLOW</v>
      </c>
      <c r="H155" s="1">
        <f>固定流程!F11</f>
        <v>1</v>
      </c>
      <c r="I155" s="1">
        <f>INDEX(配置与结果!$B$15:$B$18,F155)</f>
        <v>2306</v>
      </c>
      <c r="J155" s="1">
        <f>INDEX(配置与结果!$D$15:$D$18,F155)</f>
        <v>0.46</v>
      </c>
      <c r="K155" s="1">
        <f>INDEX(配置与结果!$E$15:$E$18,F155)</f>
        <v>1.9279999999999999</v>
      </c>
      <c r="L155" s="1">
        <f t="shared" si="212"/>
        <v>1</v>
      </c>
      <c r="M155" s="1">
        <f t="shared" si="212"/>
        <v>7</v>
      </c>
      <c r="N155" s="1">
        <f t="shared" si="212"/>
        <v>0</v>
      </c>
      <c r="O155" s="1">
        <f t="shared" si="212"/>
        <v>6</v>
      </c>
      <c r="P155" s="1">
        <f>MIN(方案参数!$AI$7,AZ154+0+0)</f>
        <v>3</v>
      </c>
      <c r="Q155" s="1">
        <f t="shared" si="213"/>
        <v>2</v>
      </c>
      <c r="R155" s="1">
        <f t="shared" si="214"/>
        <v>5</v>
      </c>
      <c r="S155" s="1">
        <f t="shared" si="215"/>
        <v>0</v>
      </c>
      <c r="T155" s="1">
        <f t="shared" si="216"/>
        <v>1</v>
      </c>
      <c r="U155" s="1">
        <f t="shared" si="217"/>
        <v>0</v>
      </c>
      <c r="V155" s="1">
        <f t="shared" si="218"/>
        <v>0</v>
      </c>
      <c r="W155" s="1">
        <f t="shared" si="219"/>
        <v>1</v>
      </c>
      <c r="X155" s="1">
        <f t="shared" si="220"/>
        <v>1</v>
      </c>
      <c r="Y155" s="1">
        <f t="shared" si="221"/>
        <v>1</v>
      </c>
      <c r="Z155" s="1">
        <f t="shared" si="222"/>
        <v>0</v>
      </c>
      <c r="AA155" s="1">
        <f t="shared" si="223"/>
        <v>0</v>
      </c>
      <c r="AB155" s="1">
        <f t="shared" si="224"/>
        <v>0</v>
      </c>
      <c r="AC155" s="1">
        <f t="shared" si="225"/>
        <v>0</v>
      </c>
      <c r="AD155" s="1">
        <f>ROUNDDOWN(I155*(1+IF(F155=3,0.05+方案参数!$Y$7+AA155*0.12,IF(F155=4,方案参数!$BZ$7*方案参数!$AS$7,0)))+IF(AND(X155=1,F155&lt;&gt;3),方案参数!$CC$7,0)+AC155*方案参数!$CB$7,0)</f>
        <v>2544</v>
      </c>
      <c r="AE155" s="1">
        <f>IF(OR(F155=1,F155=4),配置与结果!$B$24,配置与结果!$B$25)*MAX(0,1-INDEX(配置与结果!$I$15:$I$18,F155))</f>
        <v>1000</v>
      </c>
      <c r="AF155" s="1">
        <f>方案参数!$BV$7</f>
        <v>3</v>
      </c>
      <c r="AG155" s="1">
        <f>MAX(配置与结果!$B$32,1+INDEX(配置与结果!$F$15:$F$18,F155)+0+Q155*方案参数!$W$7+Y155*(方案参数!$AN$7+MIN(方案参数!$AO$7,P155*0.03))+AB155*方案参数!$BZ$7*0.025-配置与结果!$B$28)</f>
        <v>0.8849999999999999</v>
      </c>
      <c r="AH155" s="1">
        <f>MAX(0,1+INDEX(配置与结果!$G$15:$G$18,F155)+W155*方案参数!$AG$7)</f>
        <v>1.3</v>
      </c>
      <c r="AI155" s="1">
        <f>IF(OR(INDEX(配置与结果!$K$15:$K$18,F155)=1,G155="RHI_BERRY"),1+配置与结果!$B$33+P155*方案参数!$AH$7,1)</f>
        <v>1</v>
      </c>
      <c r="AJ155" s="1">
        <f>MIN(1,MAX(0,J155+方案参数!$AB$7-配置与结果!$B$27))</f>
        <v>0.76</v>
      </c>
      <c r="AK155" s="1">
        <f>MAX(1,K155+IF(F155=2,0.15+方案参数!$CH$7,0)+BN155*方案参数!$X$7+R155*方案参数!$AA$7+0-配置与结果!$B$26+Z155*(方案参数!$AP$7+MIN(方案参数!$AQ$7,P155*0.03)))</f>
        <v>1.9780000000000002</v>
      </c>
      <c r="AL155" s="7">
        <f>ROUNDDOWN(MAX(AD155*配置与结果!$B$31,AD155-AE155)*AF155*AG155*AH155*AI155,0)</f>
        <v>5329</v>
      </c>
      <c r="AM155" s="7">
        <f>ROUNDDOWN(MAX(AD155*配置与结果!$B$31,AD155-AE155)*AF155*AG155*AH155*AI155*AK155,0)</f>
        <v>10540</v>
      </c>
      <c r="AN155" s="7">
        <f t="shared" si="201"/>
        <v>9289.36</v>
      </c>
      <c r="AO155" s="7">
        <f>方案参数!$BW$7</f>
        <v>1</v>
      </c>
      <c r="AP155" s="7">
        <f>MAX(0,1+INDEX(配置与结果!$J$15:$J$18,F155)+IF(T155&gt;0,方案参数!$BY$7,0)-配置与结果!$B$30)</f>
        <v>2</v>
      </c>
      <c r="AQ155" s="7">
        <f t="shared" si="202"/>
        <v>5088</v>
      </c>
      <c r="AR155" s="7">
        <f t="shared" si="203"/>
        <v>10064</v>
      </c>
      <c r="AS155" s="7">
        <f t="shared" si="204"/>
        <v>8869.76</v>
      </c>
      <c r="AT155" s="7">
        <f>0</f>
        <v>0</v>
      </c>
      <c r="AU155" s="7">
        <f t="shared" si="205"/>
        <v>18159.120000000003</v>
      </c>
      <c r="AV155" s="1">
        <f t="shared" si="206"/>
        <v>1</v>
      </c>
      <c r="AW155" s="1">
        <f>MIN(10,M155+0+0)</f>
        <v>7</v>
      </c>
      <c r="AX155" s="1">
        <f t="shared" si="207"/>
        <v>0</v>
      </c>
      <c r="AY155" s="1">
        <f t="shared" si="233"/>
        <v>6</v>
      </c>
      <c r="AZ155" s="1">
        <f t="shared" si="208"/>
        <v>3</v>
      </c>
      <c r="BA155" s="1">
        <f>MIN(6,Q155+0)</f>
        <v>2</v>
      </c>
      <c r="BB155" s="1">
        <f t="shared" si="226"/>
        <v>5</v>
      </c>
      <c r="BC155" s="1">
        <f t="shared" si="199"/>
        <v>0</v>
      </c>
      <c r="BD155" s="1">
        <f t="shared" ref="BD155:BD189" si="234">MAX(0,T155-IF(AO155&gt;0,1,0))+0</f>
        <v>0</v>
      </c>
      <c r="BE155" s="1">
        <f t="shared" si="227"/>
        <v>0</v>
      </c>
      <c r="BF155" s="1">
        <f>MIN(4,V155+1)</f>
        <v>1</v>
      </c>
      <c r="BG155" s="1">
        <f t="shared" si="231"/>
        <v>1</v>
      </c>
      <c r="BH155" s="1">
        <f t="shared" si="228"/>
        <v>1</v>
      </c>
      <c r="BI155" s="1">
        <f t="shared" si="232"/>
        <v>1</v>
      </c>
      <c r="BJ155" s="1">
        <f t="shared" si="194"/>
        <v>0</v>
      </c>
      <c r="BK155" s="1">
        <f t="shared" si="195"/>
        <v>0</v>
      </c>
      <c r="BL155" s="1">
        <f t="shared" si="200"/>
        <v>0</v>
      </c>
      <c r="BM155" s="1">
        <f t="shared" si="198"/>
        <v>0</v>
      </c>
      <c r="BN155" s="1">
        <f t="shared" si="229"/>
        <v>1</v>
      </c>
      <c r="BO155" s="1">
        <f t="shared" si="230"/>
        <v>1</v>
      </c>
    </row>
    <row r="156" spans="1:67" ht="30.95" customHeight="1">
      <c r="A156" s="1">
        <f>4</f>
        <v>4</v>
      </c>
      <c r="B156" s="1">
        <f>固定流程!A12</f>
        <v>7</v>
      </c>
      <c r="C156" s="1">
        <f>7</f>
        <v>7</v>
      </c>
      <c r="D156" s="1">
        <f>1</f>
        <v>1</v>
      </c>
      <c r="E156" s="1">
        <f>固定流程!C12</f>
        <v>1</v>
      </c>
      <c r="F156" s="1">
        <f>固定流程!G12</f>
        <v>4</v>
      </c>
      <c r="G156" s="1" t="str">
        <f>固定流程!H12</f>
        <v>J_HARD</v>
      </c>
      <c r="H156" s="1">
        <f>固定流程!F12</f>
        <v>1</v>
      </c>
      <c r="I156" s="1">
        <f>INDEX(配置与结果!$B$15:$B$18,F156)</f>
        <v>1906</v>
      </c>
      <c r="J156" s="1">
        <f>INDEX(配置与结果!$D$15:$D$18,F156)</f>
        <v>0.36699999999999999</v>
      </c>
      <c r="K156" s="1">
        <f>INDEX(配置与结果!$E$15:$E$18,F156)</f>
        <v>1.7170000000000001</v>
      </c>
      <c r="L156" s="1">
        <f t="shared" si="212"/>
        <v>1</v>
      </c>
      <c r="M156" s="1">
        <f t="shared" si="212"/>
        <v>7</v>
      </c>
      <c r="N156" s="1">
        <f t="shared" si="212"/>
        <v>0</v>
      </c>
      <c r="O156" s="1">
        <f t="shared" si="212"/>
        <v>6</v>
      </c>
      <c r="P156" s="1">
        <f>MIN(方案参数!$AI$7,AZ155+0+0)</f>
        <v>3</v>
      </c>
      <c r="Q156" s="1">
        <f t="shared" si="213"/>
        <v>2</v>
      </c>
      <c r="R156" s="1">
        <f t="shared" si="214"/>
        <v>5</v>
      </c>
      <c r="S156" s="1">
        <f t="shared" si="215"/>
        <v>0</v>
      </c>
      <c r="T156" s="1">
        <f t="shared" si="216"/>
        <v>0</v>
      </c>
      <c r="U156" s="1">
        <f t="shared" si="217"/>
        <v>0</v>
      </c>
      <c r="V156" s="1">
        <f t="shared" si="218"/>
        <v>1</v>
      </c>
      <c r="W156" s="1">
        <f t="shared" si="219"/>
        <v>1</v>
      </c>
      <c r="X156" s="1">
        <f t="shared" si="220"/>
        <v>1</v>
      </c>
      <c r="Y156" s="1">
        <f t="shared" si="221"/>
        <v>1</v>
      </c>
      <c r="Z156" s="1">
        <f t="shared" si="222"/>
        <v>0</v>
      </c>
      <c r="AA156" s="1">
        <f t="shared" si="223"/>
        <v>0</v>
      </c>
      <c r="AB156" s="1">
        <f t="shared" si="224"/>
        <v>0</v>
      </c>
      <c r="AC156" s="1">
        <f t="shared" si="225"/>
        <v>0</v>
      </c>
      <c r="AD156" s="1">
        <f>ROUNDDOWN(I156*(1+IF(F156=3,0.05+方案参数!$Y$7+AA156*0.12,IF(F156=4,方案参数!$BZ$7*方案参数!$AS$7,0)))+IF(AND(X156=1,F156&lt;&gt;3),方案参数!$CC$7,0)+AC156*方案参数!$CB$7,0)</f>
        <v>2811</v>
      </c>
      <c r="AE156" s="1">
        <f>IF(OR(F156=1,F156=4),配置与结果!$B$24,配置与结果!$B$25)*MAX(0,1-INDEX(配置与结果!$I$15:$I$18,F156))</f>
        <v>1200</v>
      </c>
      <c r="AF156" s="1">
        <f>3.6*IF(H156=1,1,IF(H156=2,1.5,2.5))</f>
        <v>3.6</v>
      </c>
      <c r="AG156" s="1">
        <f>MAX(配置与结果!$B$32,1+INDEX(配置与结果!$F$15:$F$18,F156)+0.08+Q156*方案参数!$W$7+Y156*(方案参数!$AN$7+MIN(方案参数!$AO$7,P156*0.03))+AB156*方案参数!$BZ$7*0.025+0.1+IF(方案参数!$BZ$7&gt;=30,方案参数!$BZ$7*0.01,0)-配置与结果!$B$28)</f>
        <v>1.4350000000000001</v>
      </c>
      <c r="AH156" s="1">
        <f>MAX(0,1+INDEX(配置与结果!$G$15:$G$18,F156)+W156*方案参数!$AG$7)</f>
        <v>1.3</v>
      </c>
      <c r="AI156" s="1">
        <f>IF(OR(INDEX(配置与结果!$K$15:$K$18,F156)=1,G156="RHI_BERRY"),1+配置与结果!$B$33+P156*方案参数!$AH$7,1)</f>
        <v>1</v>
      </c>
      <c r="AJ156" s="1">
        <f>MIN(1,MAX(0,J156+方案参数!$AB$7-配置与结果!$B$27))</f>
        <v>0.66700000000000004</v>
      </c>
      <c r="AK156" s="1">
        <f>MAX(1,K156+IF(F156=2,0.15+方案参数!$CH$7,0)+BN156*方案参数!$X$7+R156*方案参数!$AA$7+0-配置与结果!$B$26+Z156*(方案参数!$AP$7+MIN(方案参数!$AQ$7,P156*0.03)))</f>
        <v>1.4969999999999999</v>
      </c>
      <c r="AL156" s="7">
        <f>ROUNDDOWN(MAX(AD156*配置与结果!$B$31,AD156-AE156)*AF156*AG156*AH156*AI156,0)</f>
        <v>10819</v>
      </c>
      <c r="AM156" s="7">
        <f>ROUNDDOWN(MAX(AD156*配置与结果!$B$31,AD156-AE156)*AF156*AG156*AH156*AI156*AK156,0)</f>
        <v>16196</v>
      </c>
      <c r="AN156" s="7">
        <f t="shared" si="201"/>
        <v>14405.458999999999</v>
      </c>
      <c r="AO156" s="7">
        <f>0</f>
        <v>0</v>
      </c>
      <c r="AP156" s="7">
        <f>MAX(0,1+INDEX(配置与结果!$J$15:$J$18,F156)+IF(T156&gt;0,方案参数!$BY$7,0)-配置与结果!$B$30)</f>
        <v>1</v>
      </c>
      <c r="AQ156" s="7">
        <f t="shared" si="202"/>
        <v>0</v>
      </c>
      <c r="AR156" s="7">
        <f t="shared" si="203"/>
        <v>0</v>
      </c>
      <c r="AS156" s="7">
        <f t="shared" si="204"/>
        <v>0</v>
      </c>
      <c r="AT156" s="7">
        <f>0</f>
        <v>0</v>
      </c>
      <c r="AU156" s="7">
        <f t="shared" si="205"/>
        <v>14405.458999999999</v>
      </c>
      <c r="AV156" s="1">
        <f t="shared" si="206"/>
        <v>1</v>
      </c>
      <c r="AW156" s="1">
        <f>MIN(10,M156+0+0)</f>
        <v>7</v>
      </c>
      <c r="AX156" s="1">
        <f t="shared" si="207"/>
        <v>0</v>
      </c>
      <c r="AY156" s="1">
        <f t="shared" si="233"/>
        <v>6</v>
      </c>
      <c r="AZ156" s="1">
        <f t="shared" si="208"/>
        <v>3</v>
      </c>
      <c r="BA156" s="1">
        <f>MIN(6,Q156+0)</f>
        <v>2</v>
      </c>
      <c r="BB156" s="1">
        <f t="shared" si="226"/>
        <v>5</v>
      </c>
      <c r="BC156" s="1">
        <f>MIN(3,S156+1)</f>
        <v>1</v>
      </c>
      <c r="BD156" s="1">
        <f t="shared" si="234"/>
        <v>0</v>
      </c>
      <c r="BE156" s="1">
        <f t="shared" si="227"/>
        <v>0</v>
      </c>
      <c r="BF156" s="1">
        <f>MIN(4,V156+0)</f>
        <v>1</v>
      </c>
      <c r="BG156" s="1">
        <f t="shared" si="231"/>
        <v>1</v>
      </c>
      <c r="BH156" s="1">
        <f t="shared" si="228"/>
        <v>1</v>
      </c>
      <c r="BI156" s="1">
        <f t="shared" si="232"/>
        <v>1</v>
      </c>
      <c r="BJ156" s="1">
        <f t="shared" si="194"/>
        <v>0</v>
      </c>
      <c r="BK156" s="1">
        <f t="shared" si="195"/>
        <v>0</v>
      </c>
      <c r="BL156" s="1">
        <f t="shared" si="200"/>
        <v>0</v>
      </c>
      <c r="BM156" s="1">
        <f t="shared" si="198"/>
        <v>0</v>
      </c>
      <c r="BN156" s="1">
        <f t="shared" si="229"/>
        <v>1</v>
      </c>
      <c r="BO156" s="1">
        <f t="shared" si="230"/>
        <v>1</v>
      </c>
    </row>
    <row r="157" spans="1:67" ht="30.95" customHeight="1">
      <c r="A157" s="1">
        <f>4</f>
        <v>4</v>
      </c>
      <c r="B157" s="1">
        <f>固定流程!A13</f>
        <v>8</v>
      </c>
      <c r="C157" s="1">
        <f>7</f>
        <v>7</v>
      </c>
      <c r="D157" s="1">
        <f>1</f>
        <v>1</v>
      </c>
      <c r="E157" s="1">
        <f>固定流程!C13</f>
        <v>2</v>
      </c>
      <c r="F157" s="1">
        <f>固定流程!G13</f>
        <v>3</v>
      </c>
      <c r="G157" s="1" t="str">
        <f>固定流程!H13</f>
        <v>RHI_ATTACK</v>
      </c>
      <c r="H157" s="1">
        <f>固定流程!F13</f>
        <v>1</v>
      </c>
      <c r="I157" s="1">
        <f>INDEX(配置与结果!$B$15:$B$18,F157)</f>
        <v>2597</v>
      </c>
      <c r="J157" s="1">
        <f>INDEX(配置与结果!$D$15:$D$18,F157)</f>
        <v>0.255</v>
      </c>
      <c r="K157" s="1">
        <f>INDEX(配置与结果!$E$15:$E$18,F157)</f>
        <v>1.55</v>
      </c>
      <c r="L157" s="1">
        <f>IF(AV156=1,IF(M157&gt;=10,2,1),IF(AV156=2,IF(AX156&lt;=1,0,2),0))</f>
        <v>2</v>
      </c>
      <c r="M157" s="1">
        <f>IF(AND(AV156=2,AX156&lt;=1),0,MIN(10,AW156+IF(AV156=1,3,0)))</f>
        <v>10</v>
      </c>
      <c r="N157" s="1">
        <f>IF(AND(AV156=1,M157&gt;=10),2,IF(AV156=2,MAX(0,AX156-1),0))</f>
        <v>2</v>
      </c>
      <c r="O157" s="1">
        <f t="shared" ref="O157:O185" si="235">AY156</f>
        <v>6</v>
      </c>
      <c r="P157" s="1">
        <f>MIN(方案参数!$AI$7,AZ156+方案参数!$AJ$7+方案参数!$AK$7)</f>
        <v>5</v>
      </c>
      <c r="Q157" s="1">
        <f t="shared" si="213"/>
        <v>2</v>
      </c>
      <c r="R157" s="1">
        <f t="shared" si="214"/>
        <v>5</v>
      </c>
      <c r="S157" s="1">
        <f t="shared" si="215"/>
        <v>1</v>
      </c>
      <c r="T157" s="1">
        <f t="shared" si="216"/>
        <v>0</v>
      </c>
      <c r="U157" s="1">
        <f t="shared" si="217"/>
        <v>0</v>
      </c>
      <c r="V157" s="1">
        <f t="shared" si="218"/>
        <v>1</v>
      </c>
      <c r="W157" s="1">
        <f t="shared" si="219"/>
        <v>1</v>
      </c>
      <c r="X157" s="1">
        <f t="shared" si="220"/>
        <v>1</v>
      </c>
      <c r="Y157" s="1">
        <f t="shared" si="221"/>
        <v>1</v>
      </c>
      <c r="Z157" s="1">
        <f t="shared" si="222"/>
        <v>0</v>
      </c>
      <c r="AA157" s="1">
        <f>MAX(BK156,1)</f>
        <v>1</v>
      </c>
      <c r="AB157" s="1">
        <f t="shared" si="224"/>
        <v>0</v>
      </c>
      <c r="AC157" s="1">
        <f t="shared" si="225"/>
        <v>0</v>
      </c>
      <c r="AD157" s="1">
        <f>ROUNDDOWN(I157*(1+IF(F157=3,0.05+方案参数!$Y$7+AA157*0.12,IF(F157=4,方案参数!$BZ$7*方案参数!$AS$7,0)))+IF(AND(X157=1,F157&lt;&gt;3),方案参数!$CC$7,0)+AC157*方案参数!$CB$7,0)</f>
        <v>3298</v>
      </c>
      <c r="AE157" s="1">
        <f>IF(OR(F157=1,F157=4),配置与结果!$B$24,配置与结果!$B$25)*MAX(0,1-INDEX(配置与结果!$I$15:$I$18,F157))</f>
        <v>1000</v>
      </c>
      <c r="AF157" s="1">
        <f>4</f>
        <v>4</v>
      </c>
      <c r="AG157" s="1">
        <f>MAX(配置与结果!$B$32,1+INDEX(配置与结果!$F$15:$F$18,F157)+0+Q157*方案参数!$W$7+Y157*(方案参数!$AN$7+MIN(方案参数!$AO$7,P157*0.03))+AB157*方案参数!$BZ$7*0.025-配置与结果!$B$28)</f>
        <v>0.97499999999999998</v>
      </c>
      <c r="AH157" s="1">
        <f>MAX(0,1+INDEX(配置与结果!$G$15:$G$18,F157)+W157*方案参数!$AG$7)</f>
        <v>1.3</v>
      </c>
      <c r="AI157" s="1">
        <f>IF(OR(INDEX(配置与结果!$K$15:$K$18,F157)=1,G157="RHI_BERRY"),1+配置与结果!$B$33+P157*方案参数!$AH$7,1)</f>
        <v>1</v>
      </c>
      <c r="AJ157" s="1">
        <f>MIN(1,MAX(0,J157+方案参数!$AB$7-配置与结果!$B$27))</f>
        <v>0.55499999999999994</v>
      </c>
      <c r="AK157" s="1">
        <f>MAX(1,K157+IF(F157=2,0.15+方案参数!$CH$7,0)+BN157*方案参数!$X$7+R157*方案参数!$AA$7+0-配置与结果!$B$26+Z157*(方案参数!$AP$7+MIN(方案参数!$AQ$7,P157*0.03)))</f>
        <v>1.33</v>
      </c>
      <c r="AL157" s="7">
        <f>ROUNDDOWN(MAX(AD157*配置与结果!$B$31,AD157-AE157)*AF157*AG157*AH157*AI157,0)</f>
        <v>11650</v>
      </c>
      <c r="AM157" s="7">
        <f>ROUNDDOWN(MAX(AD157*配置与结果!$B$31,AD157-AE157)*AF157*AG157*AH157*AI157*AK157,0)</f>
        <v>15495</v>
      </c>
      <c r="AN157" s="7">
        <f t="shared" si="201"/>
        <v>13783.974999999999</v>
      </c>
      <c r="AO157" s="7">
        <f>0</f>
        <v>0</v>
      </c>
      <c r="AP157" s="7">
        <f>MAX(0,1+INDEX(配置与结果!$J$15:$J$18,F157)+IF(T157&gt;0,方案参数!$BY$7,0)-配置与结果!$B$30)</f>
        <v>1</v>
      </c>
      <c r="AQ157" s="7">
        <f t="shared" si="202"/>
        <v>0</v>
      </c>
      <c r="AR157" s="7">
        <f t="shared" si="203"/>
        <v>0</v>
      </c>
      <c r="AS157" s="7">
        <f t="shared" si="204"/>
        <v>0</v>
      </c>
      <c r="AT157" s="7">
        <f>0</f>
        <v>0</v>
      </c>
      <c r="AU157" s="7">
        <f t="shared" si="205"/>
        <v>13783.974999999999</v>
      </c>
      <c r="AV157" s="1">
        <f t="shared" si="206"/>
        <v>2</v>
      </c>
      <c r="AW157" s="1">
        <f>MIN(10,M157+0+0)</f>
        <v>10</v>
      </c>
      <c r="AX157" s="1">
        <f t="shared" si="207"/>
        <v>2</v>
      </c>
      <c r="AY157" s="1">
        <f t="shared" si="233"/>
        <v>6</v>
      </c>
      <c r="AZ157" s="1">
        <f t="shared" si="208"/>
        <v>5</v>
      </c>
      <c r="BA157" s="1">
        <f>MIN(6,Q157+1)</f>
        <v>3</v>
      </c>
      <c r="BB157" s="1">
        <f t="shared" si="226"/>
        <v>5</v>
      </c>
      <c r="BC157" s="1">
        <f>MIN(3,S157+0)</f>
        <v>1</v>
      </c>
      <c r="BD157" s="1">
        <f t="shared" si="234"/>
        <v>0</v>
      </c>
      <c r="BE157" s="1">
        <f t="shared" si="227"/>
        <v>0</v>
      </c>
      <c r="BF157" s="1">
        <f>MIN(4,V157+0)</f>
        <v>1</v>
      </c>
      <c r="BG157" s="1">
        <f t="shared" si="231"/>
        <v>1</v>
      </c>
      <c r="BH157" s="1">
        <f t="shared" si="228"/>
        <v>1</v>
      </c>
      <c r="BI157" s="1">
        <f t="shared" si="232"/>
        <v>1</v>
      </c>
      <c r="BJ157" s="1">
        <f>MAX(Z157,1)</f>
        <v>1</v>
      </c>
      <c r="BK157" s="1">
        <f>MAX(AA157,1)</f>
        <v>1</v>
      </c>
      <c r="BL157" s="1">
        <f t="shared" si="200"/>
        <v>0</v>
      </c>
      <c r="BM157" s="1">
        <f t="shared" si="198"/>
        <v>0</v>
      </c>
      <c r="BN157" s="1">
        <f t="shared" si="229"/>
        <v>1</v>
      </c>
      <c r="BO157" s="1">
        <f t="shared" si="230"/>
        <v>1</v>
      </c>
    </row>
    <row r="158" spans="1:67" ht="30.95" customHeight="1">
      <c r="A158" s="1">
        <f>4</f>
        <v>4</v>
      </c>
      <c r="B158" s="1">
        <f>固定流程!A14</f>
        <v>9</v>
      </c>
      <c r="C158" s="1">
        <f>7</f>
        <v>7</v>
      </c>
      <c r="D158" s="1">
        <f>1</f>
        <v>1</v>
      </c>
      <c r="E158" s="1">
        <f>固定流程!C14</f>
        <v>2</v>
      </c>
      <c r="F158" s="1">
        <f>固定流程!G14</f>
        <v>1</v>
      </c>
      <c r="G158" s="1" t="str">
        <f>固定流程!H14</f>
        <v>LILYA_DIVE</v>
      </c>
      <c r="H158" s="1">
        <f>固定流程!F14</f>
        <v>3</v>
      </c>
      <c r="I158" s="1">
        <f>INDEX(配置与结果!$B$15:$B$18,F158)</f>
        <v>2296</v>
      </c>
      <c r="J158" s="1">
        <f>INDEX(配置与结果!$D$15:$D$18,F158)</f>
        <v>0.7</v>
      </c>
      <c r="K158" s="1">
        <f>INDEX(配置与结果!$E$15:$E$18,F158)</f>
        <v>2.0249999999999999</v>
      </c>
      <c r="L158" s="1">
        <f t="shared" ref="L158:N162" si="236">AV157</f>
        <v>2</v>
      </c>
      <c r="M158" s="1">
        <f t="shared" si="236"/>
        <v>10</v>
      </c>
      <c r="N158" s="1">
        <f t="shared" si="236"/>
        <v>2</v>
      </c>
      <c r="O158" s="1">
        <f t="shared" si="235"/>
        <v>6</v>
      </c>
      <c r="P158" s="1">
        <f>MIN(方案参数!$AI$7,AZ157+0+0)</f>
        <v>5</v>
      </c>
      <c r="Q158" s="1">
        <f t="shared" si="213"/>
        <v>3</v>
      </c>
      <c r="R158" s="1">
        <f t="shared" si="214"/>
        <v>5</v>
      </c>
      <c r="S158" s="1">
        <f t="shared" si="215"/>
        <v>1</v>
      </c>
      <c r="T158" s="1">
        <f t="shared" si="216"/>
        <v>0</v>
      </c>
      <c r="U158" s="1">
        <f t="shared" si="217"/>
        <v>0</v>
      </c>
      <c r="V158" s="1">
        <f t="shared" si="218"/>
        <v>1</v>
      </c>
      <c r="W158" s="1">
        <f t="shared" si="219"/>
        <v>1</v>
      </c>
      <c r="X158" s="1">
        <f t="shared" si="220"/>
        <v>1</v>
      </c>
      <c r="Y158" s="1">
        <f t="shared" si="221"/>
        <v>1</v>
      </c>
      <c r="Z158" s="1">
        <f t="shared" si="222"/>
        <v>1</v>
      </c>
      <c r="AA158" s="1">
        <f t="shared" ref="AA158:AA163" si="237">MAX(BK157,0)</f>
        <v>1</v>
      </c>
      <c r="AB158" s="1">
        <f t="shared" si="224"/>
        <v>0</v>
      </c>
      <c r="AC158" s="1">
        <f t="shared" si="225"/>
        <v>0</v>
      </c>
      <c r="AD158" s="1">
        <f>ROUNDDOWN(I158*(1+IF(F158=3,0.05+方案参数!$Y$7+AA158*0.12,IF(F158=4,方案参数!$BZ$7*方案参数!$AS$7,0)))+IF(AND(X158=1,F158&lt;&gt;3),方案参数!$CC$7,0)+AC158*方案参数!$CB$7,0)</f>
        <v>2534</v>
      </c>
      <c r="AE158" s="1">
        <f>IF(OR(F158=1,F158=4),配置与结果!$B$24,配置与结果!$B$25)*MAX(0,1-INDEX(配置与结果!$I$15:$I$18,F158))</f>
        <v>1200</v>
      </c>
      <c r="AF158" s="1">
        <f>(IF(L158=1,方案参数!$AW$7,IF(L158=2,方案参数!$AX$7,0))+方案参数!$AV$7)*H158</f>
        <v>45</v>
      </c>
      <c r="AG158" s="1">
        <f>MAX(配置与结果!$B$32,1+INDEX(配置与结果!$F$15:$F$18,F158)+0.08+方案参数!$CD$7+Q158*方案参数!$W$7+Y158*(方案参数!$AN$7+MIN(方案参数!$AO$7,P158*0.03))+AB158*方案参数!$BZ$7*0.025+IF(L158=1,方案参数!$AY$7+(H158-1)*0.1,IF(L158=2,方案参数!$AZ$7+(H158-1)*0.2,0))-配置与结果!$B$28)</f>
        <v>2.3000000000000003</v>
      </c>
      <c r="AH158" s="1">
        <f>MAX(0,1+INDEX(配置与结果!$G$15:$G$18,F158)+W158*方案参数!$AG$7+IF(L158=1,方案参数!$BA$7,IF(L158=2,方案参数!$BB$7,0))+M158*方案参数!$BC$7)</f>
        <v>3.1</v>
      </c>
      <c r="AI158" s="1">
        <f>IF(OR(INDEX(配置与结果!$K$15:$K$18,F158)=1,G158="RHI_BERRY"),1+配置与结果!$B$33+P158*方案参数!$AH$7,1)</f>
        <v>1</v>
      </c>
      <c r="AJ158" s="1">
        <f>MIN(1,MAX(0,J158+方案参数!$AB$7-配置与结果!$B$27))</f>
        <v>1</v>
      </c>
      <c r="AK158" s="1">
        <f>MAX(1,K158+IF(F158=2,0.15+方案参数!$CH$7,0)+BN158*方案参数!$X$7+R158*方案参数!$AA$7+0-配置与结果!$B$26+Z158*(方案参数!$AP$7+MIN(方案参数!$AQ$7,P158*0.03)))</f>
        <v>2.105</v>
      </c>
      <c r="AL158" s="7">
        <f>ROUNDDOWN(MAX(AD158*配置与结果!$B$31,AD158-AE158)*AF158*AG158*AH158*AI158,0)</f>
        <v>428013</v>
      </c>
      <c r="AM158" s="7">
        <f>ROUNDDOWN(MAX(AD158*配置与结果!$B$31,AD158-AE158)*AF158*AG158*AH158*AI158*AK158,0)</f>
        <v>900969</v>
      </c>
      <c r="AN158" s="7">
        <f t="shared" si="201"/>
        <v>900969</v>
      </c>
      <c r="AO158" s="7">
        <f>0</f>
        <v>0</v>
      </c>
      <c r="AP158" s="7">
        <f>MAX(0,1+INDEX(配置与结果!$J$15:$J$18,F158)+IF(T158&gt;0,方案参数!$BY$7,0)-配置与结果!$B$30)</f>
        <v>1</v>
      </c>
      <c r="AQ158" s="7">
        <f t="shared" si="202"/>
        <v>0</v>
      </c>
      <c r="AR158" s="7">
        <f t="shared" si="203"/>
        <v>0</v>
      </c>
      <c r="AS158" s="7">
        <f t="shared" si="204"/>
        <v>0</v>
      </c>
      <c r="AT158" s="7">
        <f>0</f>
        <v>0</v>
      </c>
      <c r="AU158" s="7">
        <f t="shared" si="205"/>
        <v>900969</v>
      </c>
      <c r="AV158" s="1">
        <f t="shared" si="206"/>
        <v>2</v>
      </c>
      <c r="AW158" s="1">
        <f>MIN(10,M158+0+IF(L158=1,方案参数!$BE$7,0))</f>
        <v>10</v>
      </c>
      <c r="AX158" s="1">
        <f t="shared" si="207"/>
        <v>2</v>
      </c>
      <c r="AY158" s="1">
        <f t="shared" si="233"/>
        <v>6</v>
      </c>
      <c r="AZ158" s="1">
        <f t="shared" si="208"/>
        <v>5</v>
      </c>
      <c r="BA158" s="1">
        <f>MIN(6,Q158+0)</f>
        <v>3</v>
      </c>
      <c r="BB158" s="1">
        <f t="shared" si="226"/>
        <v>5</v>
      </c>
      <c r="BC158" s="1">
        <f>MIN(3,S158+0)</f>
        <v>1</v>
      </c>
      <c r="BD158" s="1">
        <f t="shared" si="234"/>
        <v>0</v>
      </c>
      <c r="BE158" s="1">
        <f t="shared" si="227"/>
        <v>0</v>
      </c>
      <c r="BF158" s="1">
        <f>MIN(4,V158+0)</f>
        <v>1</v>
      </c>
      <c r="BG158" s="1">
        <f t="shared" si="231"/>
        <v>1</v>
      </c>
      <c r="BH158" s="1">
        <f t="shared" si="228"/>
        <v>1</v>
      </c>
      <c r="BI158" s="1">
        <f t="shared" si="232"/>
        <v>1</v>
      </c>
      <c r="BJ158" s="1">
        <f t="shared" ref="BJ158:BK163" si="238">MAX(Z158,0)</f>
        <v>1</v>
      </c>
      <c r="BK158" s="1">
        <f t="shared" si="238"/>
        <v>1</v>
      </c>
      <c r="BL158" s="1">
        <f t="shared" si="200"/>
        <v>0</v>
      </c>
      <c r="BM158" s="1">
        <f t="shared" si="198"/>
        <v>0</v>
      </c>
      <c r="BN158" s="1">
        <f t="shared" si="229"/>
        <v>1</v>
      </c>
      <c r="BO158" s="1">
        <f t="shared" si="230"/>
        <v>1</v>
      </c>
    </row>
    <row r="159" spans="1:67" ht="30.95" customHeight="1">
      <c r="A159" s="1">
        <f>4</f>
        <v>4</v>
      </c>
      <c r="B159" s="1">
        <f>固定流程!A15</f>
        <v>10</v>
      </c>
      <c r="C159" s="1">
        <f>7</f>
        <v>7</v>
      </c>
      <c r="D159" s="1">
        <f>1</f>
        <v>1</v>
      </c>
      <c r="E159" s="1">
        <f>固定流程!C15</f>
        <v>2</v>
      </c>
      <c r="F159" s="1">
        <f>固定流程!G15</f>
        <v>4</v>
      </c>
      <c r="G159" s="1" t="str">
        <f>固定流程!H15</f>
        <v>J_HARD</v>
      </c>
      <c r="H159" s="1">
        <f>固定流程!F15</f>
        <v>1</v>
      </c>
      <c r="I159" s="1">
        <f>INDEX(配置与结果!$B$15:$B$18,F159)</f>
        <v>1906</v>
      </c>
      <c r="J159" s="1">
        <f>INDEX(配置与结果!$D$15:$D$18,F159)</f>
        <v>0.36699999999999999</v>
      </c>
      <c r="K159" s="1">
        <f>INDEX(配置与结果!$E$15:$E$18,F159)</f>
        <v>1.7170000000000001</v>
      </c>
      <c r="L159" s="1">
        <f t="shared" si="236"/>
        <v>2</v>
      </c>
      <c r="M159" s="1">
        <f t="shared" si="236"/>
        <v>10</v>
      </c>
      <c r="N159" s="1">
        <f t="shared" si="236"/>
        <v>2</v>
      </c>
      <c r="O159" s="1">
        <f t="shared" si="235"/>
        <v>6</v>
      </c>
      <c r="P159" s="1">
        <f>MIN(方案参数!$AI$7,AZ158+0+0)</f>
        <v>5</v>
      </c>
      <c r="Q159" s="1">
        <f t="shared" si="213"/>
        <v>3</v>
      </c>
      <c r="R159" s="1">
        <f t="shared" si="214"/>
        <v>5</v>
      </c>
      <c r="S159" s="1">
        <f t="shared" si="215"/>
        <v>1</v>
      </c>
      <c r="T159" s="1">
        <f t="shared" si="216"/>
        <v>0</v>
      </c>
      <c r="U159" s="1">
        <f t="shared" si="217"/>
        <v>0</v>
      </c>
      <c r="V159" s="1">
        <f t="shared" si="218"/>
        <v>1</v>
      </c>
      <c r="W159" s="1">
        <f t="shared" si="219"/>
        <v>1</v>
      </c>
      <c r="X159" s="1">
        <f t="shared" si="220"/>
        <v>1</v>
      </c>
      <c r="Y159" s="1">
        <f t="shared" si="221"/>
        <v>1</v>
      </c>
      <c r="Z159" s="1">
        <f t="shared" si="222"/>
        <v>1</v>
      </c>
      <c r="AA159" s="1">
        <f t="shared" si="237"/>
        <v>1</v>
      </c>
      <c r="AB159" s="1">
        <f t="shared" si="224"/>
        <v>0</v>
      </c>
      <c r="AC159" s="1">
        <f t="shared" si="225"/>
        <v>0</v>
      </c>
      <c r="AD159" s="1">
        <f>ROUNDDOWN(I159*(1+IF(F159=3,0.05+方案参数!$Y$7+AA159*0.12,IF(F159=4,方案参数!$BZ$7*方案参数!$AS$7,0)))+IF(AND(X159=1,F159&lt;&gt;3),方案参数!$CC$7,0)+AC159*方案参数!$CB$7,0)</f>
        <v>2811</v>
      </c>
      <c r="AE159" s="1">
        <f>IF(OR(F159=1,F159=4),配置与结果!$B$24,配置与结果!$B$25)*MAX(0,1-INDEX(配置与结果!$I$15:$I$18,F159))</f>
        <v>1200</v>
      </c>
      <c r="AF159" s="1">
        <f>3.6*IF(H159=1,1,IF(H159=2,1.5,2.5))</f>
        <v>3.6</v>
      </c>
      <c r="AG159" s="1">
        <f>MAX(配置与结果!$B$32,1+INDEX(配置与结果!$F$15:$F$18,F159)+0.08+Q159*方案参数!$W$7+Y159*(方案参数!$AN$7+MIN(方案参数!$AO$7,P159*0.03))+AB159*方案参数!$BZ$7*0.025+0.1+IF(方案参数!$BZ$7&gt;=30,方案参数!$BZ$7*0.01,0)-配置与结果!$B$28)</f>
        <v>1.5150000000000001</v>
      </c>
      <c r="AH159" s="1">
        <f>MAX(0,1+INDEX(配置与结果!$G$15:$G$18,F159)+W159*方案参数!$AG$7)</f>
        <v>1.3</v>
      </c>
      <c r="AI159" s="1">
        <f>IF(OR(INDEX(配置与结果!$K$15:$K$18,F159)=1,G159="RHI_BERRY"),1+配置与结果!$B$33+P159*方案参数!$AH$7,1)</f>
        <v>1</v>
      </c>
      <c r="AJ159" s="1">
        <f>MIN(1,MAX(0,J159+方案参数!$AB$7-配置与结果!$B$27))</f>
        <v>0.66700000000000004</v>
      </c>
      <c r="AK159" s="1">
        <f>MAX(1,K159+IF(F159=2,0.15+方案参数!$CH$7,0)+BN159*方案参数!$X$7+R159*方案参数!$AA$7+0-配置与结果!$B$26+Z159*(方案参数!$AP$7+MIN(方案参数!$AQ$7,P159*0.03)))</f>
        <v>1.7969999999999999</v>
      </c>
      <c r="AL159" s="7">
        <f>ROUNDDOWN(MAX(AD159*配置与结果!$B$31,AD159-AE159)*AF159*AG159*AH159*AI159,0)</f>
        <v>11422</v>
      </c>
      <c r="AM159" s="7">
        <f>ROUNDDOWN(MAX(AD159*配置与结果!$B$31,AD159-AE159)*AF159*AG159*AH159*AI159*AK159,0)</f>
        <v>20525</v>
      </c>
      <c r="AN159" s="7">
        <f t="shared" si="201"/>
        <v>17493.701000000001</v>
      </c>
      <c r="AO159" s="7">
        <f>0</f>
        <v>0</v>
      </c>
      <c r="AP159" s="7">
        <f>MAX(0,1+INDEX(配置与结果!$J$15:$J$18,F159)+IF(T159&gt;0,方案参数!$BY$7,0)-配置与结果!$B$30)</f>
        <v>1</v>
      </c>
      <c r="AQ159" s="7">
        <f t="shared" si="202"/>
        <v>0</v>
      </c>
      <c r="AR159" s="7">
        <f t="shared" si="203"/>
        <v>0</v>
      </c>
      <c r="AS159" s="7">
        <f t="shared" si="204"/>
        <v>0</v>
      </c>
      <c r="AT159" s="7">
        <f>0</f>
        <v>0</v>
      </c>
      <c r="AU159" s="7">
        <f t="shared" si="205"/>
        <v>17493.701000000001</v>
      </c>
      <c r="AV159" s="1">
        <f t="shared" si="206"/>
        <v>2</v>
      </c>
      <c r="AW159" s="1">
        <f t="shared" ref="AW159:AW169" si="239">MIN(10,M159+0+0)</f>
        <v>10</v>
      </c>
      <c r="AX159" s="1">
        <f t="shared" si="207"/>
        <v>2</v>
      </c>
      <c r="AY159" s="1">
        <f t="shared" si="233"/>
        <v>6</v>
      </c>
      <c r="AZ159" s="1">
        <f t="shared" si="208"/>
        <v>5</v>
      </c>
      <c r="BA159" s="1">
        <f>MIN(6,Q159+0)</f>
        <v>3</v>
      </c>
      <c r="BB159" s="1">
        <f t="shared" si="226"/>
        <v>5</v>
      </c>
      <c r="BC159" s="1">
        <f>MIN(3,S159+1)</f>
        <v>2</v>
      </c>
      <c r="BD159" s="1">
        <f t="shared" si="234"/>
        <v>0</v>
      </c>
      <c r="BE159" s="1">
        <f t="shared" si="227"/>
        <v>0</v>
      </c>
      <c r="BF159" s="1">
        <f>MIN(4,V159+0)</f>
        <v>1</v>
      </c>
      <c r="BG159" s="1">
        <f t="shared" si="231"/>
        <v>1</v>
      </c>
      <c r="BH159" s="1">
        <f t="shared" si="228"/>
        <v>1</v>
      </c>
      <c r="BI159" s="1">
        <f t="shared" si="232"/>
        <v>1</v>
      </c>
      <c r="BJ159" s="1">
        <f t="shared" si="238"/>
        <v>1</v>
      </c>
      <c r="BK159" s="1">
        <f t="shared" si="238"/>
        <v>1</v>
      </c>
      <c r="BL159" s="1">
        <f t="shared" si="200"/>
        <v>0</v>
      </c>
      <c r="BM159" s="1">
        <f t="shared" si="198"/>
        <v>0</v>
      </c>
      <c r="BN159" s="1">
        <f t="shared" si="229"/>
        <v>1</v>
      </c>
      <c r="BO159" s="1">
        <f t="shared" si="230"/>
        <v>1</v>
      </c>
    </row>
    <row r="160" spans="1:67" ht="30.95" customHeight="1">
      <c r="A160" s="1">
        <f>4</f>
        <v>4</v>
      </c>
      <c r="B160" s="1">
        <f>固定流程!A16</f>
        <v>11</v>
      </c>
      <c r="C160" s="1">
        <f>7</f>
        <v>7</v>
      </c>
      <c r="D160" s="1">
        <f>1</f>
        <v>1</v>
      </c>
      <c r="E160" s="1">
        <f>固定流程!C16</f>
        <v>2</v>
      </c>
      <c r="F160" s="1">
        <f>固定流程!G16</f>
        <v>2</v>
      </c>
      <c r="G160" s="1" t="str">
        <f>固定流程!H16</f>
        <v>37_CURVE</v>
      </c>
      <c r="H160" s="1">
        <f>固定流程!F16</f>
        <v>1</v>
      </c>
      <c r="I160" s="1">
        <f>INDEX(配置与结果!$B$15:$B$18,F160)</f>
        <v>2306</v>
      </c>
      <c r="J160" s="1">
        <f>INDEX(配置与结果!$D$15:$D$18,F160)</f>
        <v>0.46</v>
      </c>
      <c r="K160" s="1">
        <f>INDEX(配置与结果!$E$15:$E$18,F160)</f>
        <v>1.9279999999999999</v>
      </c>
      <c r="L160" s="1">
        <f t="shared" si="236"/>
        <v>2</v>
      </c>
      <c r="M160" s="1">
        <f t="shared" si="236"/>
        <v>10</v>
      </c>
      <c r="N160" s="1">
        <f t="shared" si="236"/>
        <v>2</v>
      </c>
      <c r="O160" s="1">
        <f t="shared" si="235"/>
        <v>6</v>
      </c>
      <c r="P160" s="1">
        <f>MIN(方案参数!$AI$7,AZ159+0+0)</f>
        <v>5</v>
      </c>
      <c r="Q160" s="1">
        <f t="shared" si="213"/>
        <v>3</v>
      </c>
      <c r="R160" s="1">
        <f t="shared" si="214"/>
        <v>5</v>
      </c>
      <c r="S160" s="1">
        <f t="shared" si="215"/>
        <v>2</v>
      </c>
      <c r="T160" s="1">
        <f t="shared" si="216"/>
        <v>0</v>
      </c>
      <c r="U160" s="1">
        <f t="shared" si="217"/>
        <v>0</v>
      </c>
      <c r="V160" s="1">
        <f t="shared" si="218"/>
        <v>1</v>
      </c>
      <c r="W160" s="1">
        <f t="shared" si="219"/>
        <v>1</v>
      </c>
      <c r="X160" s="1">
        <f t="shared" si="220"/>
        <v>1</v>
      </c>
      <c r="Y160" s="1">
        <f t="shared" si="221"/>
        <v>1</v>
      </c>
      <c r="Z160" s="1">
        <f t="shared" si="222"/>
        <v>1</v>
      </c>
      <c r="AA160" s="1">
        <f t="shared" si="237"/>
        <v>1</v>
      </c>
      <c r="AB160" s="1">
        <f t="shared" si="224"/>
        <v>0</v>
      </c>
      <c r="AC160" s="1">
        <f t="shared" si="225"/>
        <v>0</v>
      </c>
      <c r="AD160" s="1">
        <f>ROUNDDOWN(I160*(1+IF(F160=3,0.05+方案参数!$Y$7+AA160*0.12,IF(F160=4,方案参数!$BZ$7*方案参数!$AS$7,0)))+IF(AND(X160=1,F160&lt;&gt;3),方案参数!$CC$7,0)+AC160*方案参数!$CB$7,0)</f>
        <v>2544</v>
      </c>
      <c r="AE160" s="1">
        <f>IF(OR(F160=1,F160=4),配置与结果!$B$24,配置与结果!$B$25)*MAX(0,1-INDEX(配置与结果!$I$15:$I$18,F160))</f>
        <v>1000</v>
      </c>
      <c r="AF160" s="1">
        <f>方案参数!$BT$7*IF(H160=1,1,IF(H160=2,1.5,2.5))</f>
        <v>1.4</v>
      </c>
      <c r="AG160" s="1">
        <f>MAX(配置与结果!$B$32,1+INDEX(配置与结果!$F$15:$F$18,F160)+0+Q160*方案参数!$W$7+Y160*(方案参数!$AN$7+MIN(方案参数!$AO$7,P160*0.03))+AB160*方案参数!$BZ$7*0.025-配置与结果!$B$28)</f>
        <v>0.96499999999999997</v>
      </c>
      <c r="AH160" s="1">
        <f>MAX(0,1+INDEX(配置与结果!$G$15:$G$18,F160)+W160*方案参数!$AG$7)</f>
        <v>1.3</v>
      </c>
      <c r="AI160" s="1">
        <f>IF(OR(INDEX(配置与结果!$K$15:$K$18,F160)=1,G160="RHI_BERRY"),1+配置与结果!$B$33+P160*方案参数!$AH$7,1)</f>
        <v>1</v>
      </c>
      <c r="AJ160" s="1">
        <f>MIN(1,MAX(0,J160+方案参数!$AB$7-配置与结果!$B$27))</f>
        <v>0.76</v>
      </c>
      <c r="AK160" s="1">
        <f>MAX(1,K160+IF(F160=2,0.15+方案参数!$CH$7,0)+BN160*方案参数!$X$7+R160*方案参数!$AA$7+0-配置与结果!$B$26+Z160*(方案参数!$AP$7+MIN(方案参数!$AQ$7,P160*0.03)))</f>
        <v>2.278</v>
      </c>
      <c r="AL160" s="7">
        <f>ROUNDDOWN(MAX(AD160*配置与结果!$B$31,AD160-AE160)*AF160*AG160*AH160*AI160,0)</f>
        <v>2711</v>
      </c>
      <c r="AM160" s="7">
        <f>ROUNDDOWN(MAX(AD160*配置与结果!$B$31,AD160-AE160)*AF160*AG160*AH160*AI160*AK160,0)</f>
        <v>6177</v>
      </c>
      <c r="AN160" s="7">
        <f t="shared" si="201"/>
        <v>5345.1600000000008</v>
      </c>
      <c r="AO160" s="7">
        <f>方案参数!$BU$7*IF(H160=1,1,IF(H160=2,1.5,2.5))</f>
        <v>0.8</v>
      </c>
      <c r="AP160" s="7">
        <f>MAX(0,1+INDEX(配置与结果!$J$15:$J$18,F160)+IF(T160&gt;0,方案参数!$BY$7,0)-配置与结果!$B$30)</f>
        <v>1</v>
      </c>
      <c r="AQ160" s="7">
        <f t="shared" si="202"/>
        <v>2035</v>
      </c>
      <c r="AR160" s="7">
        <f t="shared" si="203"/>
        <v>4635</v>
      </c>
      <c r="AS160" s="7">
        <f t="shared" si="204"/>
        <v>4011</v>
      </c>
      <c r="AT160" s="7">
        <f>0</f>
        <v>0</v>
      </c>
      <c r="AU160" s="7">
        <f t="shared" si="205"/>
        <v>9356.16</v>
      </c>
      <c r="AV160" s="1">
        <f t="shared" si="206"/>
        <v>2</v>
      </c>
      <c r="AW160" s="1">
        <f t="shared" si="239"/>
        <v>10</v>
      </c>
      <c r="AX160" s="1">
        <f t="shared" si="207"/>
        <v>2</v>
      </c>
      <c r="AY160" s="1">
        <f t="shared" si="233"/>
        <v>6</v>
      </c>
      <c r="AZ160" s="1">
        <f t="shared" si="208"/>
        <v>5</v>
      </c>
      <c r="BA160" s="1">
        <f>MIN(6,Q160+0)</f>
        <v>3</v>
      </c>
      <c r="BB160" s="1">
        <f t="shared" si="226"/>
        <v>5</v>
      </c>
      <c r="BC160" s="1">
        <f t="shared" ref="BC160:BC166" si="240">MIN(3,S160+0)</f>
        <v>2</v>
      </c>
      <c r="BD160" s="1">
        <f t="shared" si="234"/>
        <v>0</v>
      </c>
      <c r="BE160" s="1">
        <f t="shared" si="227"/>
        <v>0</v>
      </c>
      <c r="BF160" s="1">
        <f>MIN(4,V160+0)</f>
        <v>1</v>
      </c>
      <c r="BG160" s="1">
        <f t="shared" si="231"/>
        <v>1</v>
      </c>
      <c r="BH160" s="1">
        <f t="shared" si="228"/>
        <v>1</v>
      </c>
      <c r="BI160" s="1">
        <f t="shared" si="232"/>
        <v>1</v>
      </c>
      <c r="BJ160" s="1">
        <f t="shared" si="238"/>
        <v>1</v>
      </c>
      <c r="BK160" s="1">
        <f t="shared" si="238"/>
        <v>1</v>
      </c>
      <c r="BL160" s="1">
        <f t="shared" si="200"/>
        <v>0</v>
      </c>
      <c r="BM160" s="1">
        <f t="shared" si="198"/>
        <v>0</v>
      </c>
      <c r="BN160" s="1">
        <f t="shared" si="229"/>
        <v>1</v>
      </c>
      <c r="BO160" s="1">
        <f t="shared" si="230"/>
        <v>1</v>
      </c>
    </row>
    <row r="161" spans="1:67" ht="30.95" customHeight="1">
      <c r="A161" s="1">
        <f>4</f>
        <v>4</v>
      </c>
      <c r="B161" s="1">
        <f>固定流程!A17</f>
        <v>12</v>
      </c>
      <c r="C161" s="1">
        <f>7</f>
        <v>7</v>
      </c>
      <c r="D161" s="1">
        <f>1</f>
        <v>1</v>
      </c>
      <c r="E161" s="1">
        <f>固定流程!C17</f>
        <v>2</v>
      </c>
      <c r="F161" s="1">
        <f>固定流程!G17</f>
        <v>2</v>
      </c>
      <c r="G161" s="1" t="str">
        <f>固定流程!H17</f>
        <v>37_FOLLOW</v>
      </c>
      <c r="H161" s="1">
        <f>固定流程!F17</f>
        <v>1</v>
      </c>
      <c r="I161" s="1">
        <f>INDEX(配置与结果!$B$15:$B$18,F161)</f>
        <v>2306</v>
      </c>
      <c r="J161" s="1">
        <f>INDEX(配置与结果!$D$15:$D$18,F161)</f>
        <v>0.46</v>
      </c>
      <c r="K161" s="1">
        <f>INDEX(配置与结果!$E$15:$E$18,F161)</f>
        <v>1.9279999999999999</v>
      </c>
      <c r="L161" s="1">
        <f t="shared" si="236"/>
        <v>2</v>
      </c>
      <c r="M161" s="1">
        <f t="shared" si="236"/>
        <v>10</v>
      </c>
      <c r="N161" s="1">
        <f t="shared" si="236"/>
        <v>2</v>
      </c>
      <c r="O161" s="1">
        <f t="shared" si="235"/>
        <v>6</v>
      </c>
      <c r="P161" s="1">
        <f>MIN(方案参数!$AI$7,AZ160+0+0)</f>
        <v>5</v>
      </c>
      <c r="Q161" s="1">
        <f t="shared" si="213"/>
        <v>3</v>
      </c>
      <c r="R161" s="1">
        <f t="shared" si="214"/>
        <v>5</v>
      </c>
      <c r="S161" s="1">
        <f t="shared" si="215"/>
        <v>2</v>
      </c>
      <c r="T161" s="1">
        <f t="shared" si="216"/>
        <v>0</v>
      </c>
      <c r="U161" s="1">
        <f t="shared" si="217"/>
        <v>0</v>
      </c>
      <c r="V161" s="1">
        <f t="shared" si="218"/>
        <v>1</v>
      </c>
      <c r="W161" s="1">
        <f t="shared" si="219"/>
        <v>1</v>
      </c>
      <c r="X161" s="1">
        <f t="shared" si="220"/>
        <v>1</v>
      </c>
      <c r="Y161" s="1">
        <f t="shared" si="221"/>
        <v>1</v>
      </c>
      <c r="Z161" s="1">
        <f t="shared" si="222"/>
        <v>1</v>
      </c>
      <c r="AA161" s="1">
        <f t="shared" si="237"/>
        <v>1</v>
      </c>
      <c r="AB161" s="1">
        <f t="shared" si="224"/>
        <v>0</v>
      </c>
      <c r="AC161" s="1">
        <f t="shared" si="225"/>
        <v>0</v>
      </c>
      <c r="AD161" s="1">
        <f>ROUNDDOWN(I161*(1+IF(F161=3,0.05+方案参数!$Y$7+AA161*0.12,IF(F161=4,方案参数!$BZ$7*方案参数!$AS$7,0)))+IF(AND(X161=1,F161&lt;&gt;3),方案参数!$CC$7,0)+AC161*方案参数!$CB$7,0)</f>
        <v>2544</v>
      </c>
      <c r="AE161" s="1">
        <f>IF(OR(F161=1,F161=4),配置与结果!$B$24,配置与结果!$B$25)*MAX(0,1-INDEX(配置与结果!$I$15:$I$18,F161))</f>
        <v>1000</v>
      </c>
      <c r="AF161" s="1">
        <f>方案参数!$BV$7</f>
        <v>3</v>
      </c>
      <c r="AG161" s="1">
        <f>MAX(配置与结果!$B$32,1+INDEX(配置与结果!$F$15:$F$18,F161)+0+Q161*方案参数!$W$7+Y161*(方案参数!$AN$7+MIN(方案参数!$AO$7,P161*0.03))+AB161*方案参数!$BZ$7*0.025-配置与结果!$B$28)</f>
        <v>0.96499999999999997</v>
      </c>
      <c r="AH161" s="1">
        <f>MAX(0,1+INDEX(配置与结果!$G$15:$G$18,F161)+W161*方案参数!$AG$7)</f>
        <v>1.3</v>
      </c>
      <c r="AI161" s="1">
        <f>IF(OR(INDEX(配置与结果!$K$15:$K$18,F161)=1,G161="RHI_BERRY"),1+配置与结果!$B$33+P161*方案参数!$AH$7,1)</f>
        <v>1</v>
      </c>
      <c r="AJ161" s="1">
        <f>MIN(1,MAX(0,J161+方案参数!$AB$7-配置与结果!$B$27))</f>
        <v>0.76</v>
      </c>
      <c r="AK161" s="1">
        <f>MAX(1,K161+IF(F161=2,0.15+方案参数!$CH$7,0)+BN161*方案参数!$X$7+R161*方案参数!$AA$7+0-配置与结果!$B$26+Z161*(方案参数!$AP$7+MIN(方案参数!$AQ$7,P161*0.03)))</f>
        <v>2.278</v>
      </c>
      <c r="AL161" s="7">
        <f>ROUNDDOWN(MAX(AD161*配置与结果!$B$31,AD161-AE161)*AF161*AG161*AH161*AI161,0)</f>
        <v>5810</v>
      </c>
      <c r="AM161" s="7">
        <f>ROUNDDOWN(MAX(AD161*配置与结果!$B$31,AD161-AE161)*AF161*AG161*AH161*AI161*AK161,0)</f>
        <v>13237</v>
      </c>
      <c r="AN161" s="7">
        <f t="shared" si="201"/>
        <v>11454.52</v>
      </c>
      <c r="AO161" s="7">
        <f>方案参数!$BW$7</f>
        <v>1</v>
      </c>
      <c r="AP161" s="7">
        <f>MAX(0,1+INDEX(配置与结果!$J$15:$J$18,F161)+IF(T161&gt;0,方案参数!$BY$7,0)-配置与结果!$B$30)</f>
        <v>1</v>
      </c>
      <c r="AQ161" s="7">
        <f t="shared" si="202"/>
        <v>2544</v>
      </c>
      <c r="AR161" s="7">
        <f t="shared" si="203"/>
        <v>5795</v>
      </c>
      <c r="AS161" s="7">
        <f t="shared" si="204"/>
        <v>5014.76</v>
      </c>
      <c r="AT161" s="7">
        <f>0</f>
        <v>0</v>
      </c>
      <c r="AU161" s="7">
        <f t="shared" si="205"/>
        <v>16469.28</v>
      </c>
      <c r="AV161" s="1">
        <f t="shared" si="206"/>
        <v>2</v>
      </c>
      <c r="AW161" s="1">
        <f t="shared" si="239"/>
        <v>10</v>
      </c>
      <c r="AX161" s="1">
        <f t="shared" si="207"/>
        <v>2</v>
      </c>
      <c r="AY161" s="1">
        <f t="shared" si="233"/>
        <v>6</v>
      </c>
      <c r="AZ161" s="1">
        <f t="shared" si="208"/>
        <v>5</v>
      </c>
      <c r="BA161" s="1">
        <f>MIN(6,Q161+0)</f>
        <v>3</v>
      </c>
      <c r="BB161" s="1">
        <f t="shared" si="226"/>
        <v>5</v>
      </c>
      <c r="BC161" s="1">
        <f t="shared" si="240"/>
        <v>2</v>
      </c>
      <c r="BD161" s="1">
        <f t="shared" si="234"/>
        <v>0</v>
      </c>
      <c r="BE161" s="1">
        <f t="shared" si="227"/>
        <v>0</v>
      </c>
      <c r="BF161" s="1">
        <f>MIN(4,V161+1)</f>
        <v>2</v>
      </c>
      <c r="BG161" s="1">
        <f t="shared" si="231"/>
        <v>1</v>
      </c>
      <c r="BH161" s="1">
        <f t="shared" si="228"/>
        <v>1</v>
      </c>
      <c r="BI161" s="1">
        <f t="shared" si="232"/>
        <v>1</v>
      </c>
      <c r="BJ161" s="1">
        <f t="shared" si="238"/>
        <v>1</v>
      </c>
      <c r="BK161" s="1">
        <f t="shared" si="238"/>
        <v>1</v>
      </c>
      <c r="BL161" s="1">
        <f t="shared" si="200"/>
        <v>0</v>
      </c>
      <c r="BM161" s="1">
        <f t="shared" si="198"/>
        <v>0</v>
      </c>
      <c r="BN161" s="1">
        <f t="shared" si="229"/>
        <v>1</v>
      </c>
      <c r="BO161" s="1">
        <f t="shared" si="230"/>
        <v>1</v>
      </c>
    </row>
    <row r="162" spans="1:67" ht="30.95" customHeight="1">
      <c r="A162" s="1">
        <f>4</f>
        <v>4</v>
      </c>
      <c r="B162" s="1">
        <f>固定流程!A18</f>
        <v>13</v>
      </c>
      <c r="C162" s="1">
        <f>7</f>
        <v>7</v>
      </c>
      <c r="D162" s="1">
        <f>1</f>
        <v>1</v>
      </c>
      <c r="E162" s="1">
        <f>固定流程!C18</f>
        <v>2</v>
      </c>
      <c r="F162" s="1">
        <f>固定流程!G18</f>
        <v>3</v>
      </c>
      <c r="G162" s="1" t="str">
        <f>固定流程!H18</f>
        <v>RHI_BERRY</v>
      </c>
      <c r="H162" s="1">
        <f>固定流程!F18</f>
        <v>1</v>
      </c>
      <c r="I162" s="1">
        <f>INDEX(配置与结果!$B$15:$B$18,F162)</f>
        <v>2597</v>
      </c>
      <c r="J162" s="1">
        <f>INDEX(配置与结果!$D$15:$D$18,F162)</f>
        <v>0.255</v>
      </c>
      <c r="K162" s="1">
        <f>INDEX(配置与结果!$E$15:$E$18,F162)</f>
        <v>1.55</v>
      </c>
      <c r="L162" s="1">
        <f t="shared" si="236"/>
        <v>2</v>
      </c>
      <c r="M162" s="1">
        <f t="shared" si="236"/>
        <v>10</v>
      </c>
      <c r="N162" s="1">
        <f t="shared" si="236"/>
        <v>2</v>
      </c>
      <c r="O162" s="1">
        <f t="shared" si="235"/>
        <v>6</v>
      </c>
      <c r="P162" s="1">
        <f>MIN(方案参数!$AI$7,AZ161+0+0)</f>
        <v>5</v>
      </c>
      <c r="Q162" s="1">
        <f t="shared" si="213"/>
        <v>3</v>
      </c>
      <c r="R162" s="1">
        <f t="shared" si="214"/>
        <v>5</v>
      </c>
      <c r="S162" s="1">
        <f t="shared" si="215"/>
        <v>2</v>
      </c>
      <c r="T162" s="1">
        <f t="shared" si="216"/>
        <v>0</v>
      </c>
      <c r="U162" s="1">
        <f t="shared" si="217"/>
        <v>0</v>
      </c>
      <c r="V162" s="1">
        <f t="shared" si="218"/>
        <v>2</v>
      </c>
      <c r="W162" s="1">
        <f t="shared" si="219"/>
        <v>1</v>
      </c>
      <c r="X162" s="1">
        <f t="shared" si="220"/>
        <v>1</v>
      </c>
      <c r="Y162" s="1">
        <f t="shared" si="221"/>
        <v>1</v>
      </c>
      <c r="Z162" s="1">
        <f t="shared" si="222"/>
        <v>1</v>
      </c>
      <c r="AA162" s="1">
        <f t="shared" si="237"/>
        <v>1</v>
      </c>
      <c r="AB162" s="1">
        <f t="shared" si="224"/>
        <v>0</v>
      </c>
      <c r="AC162" s="1">
        <f t="shared" si="225"/>
        <v>0</v>
      </c>
      <c r="AD162" s="1">
        <f>ROUNDDOWN(I162*(1+IF(F162=3,0.05+方案参数!$Y$7+AA162*0.12,IF(F162=4,方案参数!$BZ$7*方案参数!$AS$7,0)))+IF(AND(X162=1,F162&lt;&gt;3),方案参数!$CC$7,0)+AC162*方案参数!$CB$7,0)</f>
        <v>3298</v>
      </c>
      <c r="AE162" s="1">
        <f>IF(OR(F162=1,F162=4),配置与结果!$B$24,配置与结果!$B$25)*MAX(0,1-INDEX(配置与结果!$I$15:$I$18,F162))</f>
        <v>1000</v>
      </c>
      <c r="AF162" s="1">
        <f>方案参数!$CF$7+P162*方案参数!$CG$7</f>
        <v>22.5</v>
      </c>
      <c r="AG162" s="1">
        <f>MAX(配置与结果!$B$32,1+INDEX(配置与结果!$F$15:$F$18,F162)+0+Q162*方案参数!$W$7+Y162*(方案参数!$AN$7+MIN(方案参数!$AO$7,P162*0.03))+AB162*方案参数!$BZ$7*0.025-配置与结果!$B$28)</f>
        <v>0.995</v>
      </c>
      <c r="AH162" s="1">
        <f>MAX(0,1+INDEX(配置与结果!$G$15:$G$18,F162)+W162*方案参数!$AG$7)</f>
        <v>1.3</v>
      </c>
      <c r="AI162" s="1">
        <f>IF(OR(INDEX(配置与结果!$K$15:$K$18,F162)=1,G162="RHI_BERRY"),1+配置与结果!$B$33+P162*方案参数!$AH$7,1)</f>
        <v>1.5</v>
      </c>
      <c r="AJ162" s="1">
        <f>MIN(1,MAX(0,J162+方案参数!$AB$7-配置与结果!$B$27))</f>
        <v>0.55499999999999994</v>
      </c>
      <c r="AK162" s="1">
        <f>MAX(1,K162+IF(F162=2,0.15+方案参数!$CH$7,0)+BN162*方案参数!$X$7+R162*方案参数!$AA$7+0-配置与结果!$B$26+Z162*(方案参数!$AP$7+MIN(方案参数!$AQ$7,P162*0.03)))</f>
        <v>1.6300000000000001</v>
      </c>
      <c r="AL162" s="7">
        <f>ROUNDDOWN(MAX(AD162*配置与结果!$B$31,AD162-AE162)*AF162*AG162*AH162*AI162,0)</f>
        <v>100320</v>
      </c>
      <c r="AM162" s="7">
        <f>ROUNDDOWN(MAX(AD162*配置与结果!$B$31,AD162-AE162)*AF162*AG162*AH162*AI162*AK162,0)</f>
        <v>163522</v>
      </c>
      <c r="AN162" s="7">
        <f t="shared" si="201"/>
        <v>135397.10999999999</v>
      </c>
      <c r="AO162" s="7">
        <f>0</f>
        <v>0</v>
      </c>
      <c r="AP162" s="7">
        <f>MAX(0,1+INDEX(配置与结果!$J$15:$J$18,F162)+IF(T162&gt;0,方案参数!$BY$7,0)-配置与结果!$B$30)</f>
        <v>1</v>
      </c>
      <c r="AQ162" s="7">
        <f t="shared" si="202"/>
        <v>0</v>
      </c>
      <c r="AR162" s="7">
        <f t="shared" si="203"/>
        <v>0</v>
      </c>
      <c r="AS162" s="7">
        <f t="shared" si="204"/>
        <v>0</v>
      </c>
      <c r="AT162" s="7">
        <f>0</f>
        <v>0</v>
      </c>
      <c r="AU162" s="7">
        <f t="shared" si="205"/>
        <v>135397.10999999999</v>
      </c>
      <c r="AV162" s="1">
        <f t="shared" si="206"/>
        <v>2</v>
      </c>
      <c r="AW162" s="1">
        <f t="shared" si="239"/>
        <v>10</v>
      </c>
      <c r="AX162" s="1">
        <f t="shared" si="207"/>
        <v>2</v>
      </c>
      <c r="AY162" s="1">
        <f t="shared" si="233"/>
        <v>6</v>
      </c>
      <c r="AZ162" s="1">
        <f t="shared" si="208"/>
        <v>5</v>
      </c>
      <c r="BA162" s="1">
        <f>MIN(6,Q162+0)</f>
        <v>3</v>
      </c>
      <c r="BB162" s="1">
        <f t="shared" si="226"/>
        <v>5</v>
      </c>
      <c r="BC162" s="1">
        <f t="shared" si="240"/>
        <v>2</v>
      </c>
      <c r="BD162" s="1">
        <f t="shared" si="234"/>
        <v>0</v>
      </c>
      <c r="BE162" s="1">
        <f t="shared" si="227"/>
        <v>0</v>
      </c>
      <c r="BF162" s="1">
        <f>MIN(4,V162+0)</f>
        <v>2</v>
      </c>
      <c r="BG162" s="1">
        <f t="shared" si="231"/>
        <v>1</v>
      </c>
      <c r="BH162" s="1">
        <f t="shared" si="228"/>
        <v>1</v>
      </c>
      <c r="BI162" s="1">
        <f t="shared" si="232"/>
        <v>1</v>
      </c>
      <c r="BJ162" s="1">
        <f t="shared" si="238"/>
        <v>1</v>
      </c>
      <c r="BK162" s="1">
        <f t="shared" si="238"/>
        <v>1</v>
      </c>
      <c r="BL162" s="1">
        <f t="shared" si="200"/>
        <v>0</v>
      </c>
      <c r="BM162" s="1">
        <f t="shared" si="198"/>
        <v>0</v>
      </c>
      <c r="BN162" s="1">
        <f t="shared" si="229"/>
        <v>1</v>
      </c>
      <c r="BO162" s="1">
        <f t="shared" si="230"/>
        <v>1</v>
      </c>
    </row>
    <row r="163" spans="1:67" ht="30.95" customHeight="1">
      <c r="A163" s="1">
        <f>4</f>
        <v>4</v>
      </c>
      <c r="B163" s="1">
        <f>固定流程!A19</f>
        <v>14</v>
      </c>
      <c r="C163" s="1">
        <f>7</f>
        <v>7</v>
      </c>
      <c r="D163" s="1">
        <f>1</f>
        <v>1</v>
      </c>
      <c r="E163" s="1">
        <f>固定流程!C19</f>
        <v>3</v>
      </c>
      <c r="F163" s="1">
        <f>固定流程!G19</f>
        <v>3</v>
      </c>
      <c r="G163" s="1" t="str">
        <f>固定流程!H19</f>
        <v>RHI_BUFF</v>
      </c>
      <c r="H163" s="1">
        <f>固定流程!F19</f>
        <v>1</v>
      </c>
      <c r="I163" s="1">
        <f>INDEX(配置与结果!$B$15:$B$18,F163)</f>
        <v>2597</v>
      </c>
      <c r="J163" s="1">
        <f>INDEX(配置与结果!$D$15:$D$18,F163)</f>
        <v>0.255</v>
      </c>
      <c r="K163" s="1">
        <f>INDEX(配置与结果!$E$15:$E$18,F163)</f>
        <v>1.55</v>
      </c>
      <c r="L163" s="1">
        <f>IF(AV162=1,IF(M163&gt;=10,2,1),IF(AV162=2,IF(AX162&lt;=1,0,2),0))</f>
        <v>2</v>
      </c>
      <c r="M163" s="1">
        <f>IF(AND(AV162=2,AX162&lt;=1),0,MIN(10,AW162+IF(AV162=1,3,0)))</f>
        <v>10</v>
      </c>
      <c r="N163" s="1">
        <f>IF(AND(AV162=1,M163&gt;=10),2,IF(AV162=2,MAX(0,AX162-1),0))</f>
        <v>1</v>
      </c>
      <c r="O163" s="1">
        <f t="shared" si="235"/>
        <v>6</v>
      </c>
      <c r="P163" s="1">
        <f>MIN(方案参数!$AI$7,AZ162+方案参数!$AJ$7+方案参数!$AK$7)</f>
        <v>5</v>
      </c>
      <c r="Q163" s="1">
        <f t="shared" si="213"/>
        <v>3</v>
      </c>
      <c r="R163" s="1">
        <f t="shared" si="214"/>
        <v>5</v>
      </c>
      <c r="S163" s="1">
        <f t="shared" si="215"/>
        <v>2</v>
      </c>
      <c r="T163" s="1">
        <f t="shared" si="216"/>
        <v>0</v>
      </c>
      <c r="U163" s="1">
        <f t="shared" si="217"/>
        <v>0</v>
      </c>
      <c r="V163" s="1">
        <f t="shared" si="218"/>
        <v>2</v>
      </c>
      <c r="W163" s="1">
        <f t="shared" si="219"/>
        <v>1</v>
      </c>
      <c r="X163" s="1">
        <f t="shared" si="220"/>
        <v>1</v>
      </c>
      <c r="Y163" s="1">
        <f t="shared" si="221"/>
        <v>1</v>
      </c>
      <c r="Z163" s="1">
        <f t="shared" si="222"/>
        <v>1</v>
      </c>
      <c r="AA163" s="1">
        <f t="shared" si="237"/>
        <v>1</v>
      </c>
      <c r="AB163" s="1">
        <f t="shared" si="224"/>
        <v>0</v>
      </c>
      <c r="AC163" s="1">
        <f t="shared" si="225"/>
        <v>0</v>
      </c>
      <c r="AD163" s="1">
        <f>ROUNDDOWN(I163*(1+IF(F163=3,0.05+方案参数!$Y$7+AA163*0.12,IF(F163=4,方案参数!$BZ$7*方案参数!$AS$7,0)))+IF(AND(X163=1,F163&lt;&gt;3),方案参数!$CC$7,0)+AC163*方案参数!$CB$7,0)</f>
        <v>3298</v>
      </c>
      <c r="AE163" s="1">
        <f>IF(OR(F163=1,F163=4),配置与结果!$B$24,配置与结果!$B$25)*MAX(0,1-INDEX(配置与结果!$I$15:$I$18,F163))</f>
        <v>1000</v>
      </c>
      <c r="AF163" s="1">
        <f>0</f>
        <v>0</v>
      </c>
      <c r="AG163" s="1">
        <f>MAX(配置与结果!$B$32,1+INDEX(配置与结果!$F$15:$F$18,F163)+0+Q163*方案参数!$W$7+Y163*(方案参数!$AN$7+MIN(方案参数!$AO$7,P163*0.03))+AB163*方案参数!$BZ$7*0.025-配置与结果!$B$28)</f>
        <v>0.995</v>
      </c>
      <c r="AH163" s="1">
        <f>MAX(0,1+INDEX(配置与结果!$G$15:$G$18,F163)+W163*方案参数!$AG$7)</f>
        <v>1.3</v>
      </c>
      <c r="AI163" s="1">
        <f>IF(OR(INDEX(配置与结果!$K$15:$K$18,F163)=1,G163="RHI_BERRY"),1+配置与结果!$B$33+P163*方案参数!$AH$7,1)</f>
        <v>1</v>
      </c>
      <c r="AJ163" s="1">
        <f>MIN(1,MAX(0,J163+方案参数!$AB$7-配置与结果!$B$27))</f>
        <v>0.55499999999999994</v>
      </c>
      <c r="AK163" s="1">
        <f>MAX(1,K163+IF(F163=2,0.15+方案参数!$CH$7,0)+BN163*方案参数!$X$7+R163*方案参数!$AA$7+0-配置与结果!$B$26+Z163*(方案参数!$AP$7+MIN(方案参数!$AQ$7,P163*0.03)))</f>
        <v>1.6300000000000001</v>
      </c>
      <c r="AL163" s="7">
        <f>ROUNDDOWN(MAX(AD163*配置与结果!$B$31,AD163-AE163)*AF163*AG163*AH163*AI163,0)</f>
        <v>0</v>
      </c>
      <c r="AM163" s="7">
        <f>ROUNDDOWN(MAX(AD163*配置与结果!$B$31,AD163-AE163)*AF163*AG163*AH163*AI163*AK163,0)</f>
        <v>0</v>
      </c>
      <c r="AN163" s="7">
        <f t="shared" si="201"/>
        <v>0</v>
      </c>
      <c r="AO163" s="7">
        <f>0</f>
        <v>0</v>
      </c>
      <c r="AP163" s="7">
        <f>MAX(0,1+INDEX(配置与结果!$J$15:$J$18,F163)+IF(T163&gt;0,方案参数!$BY$7,0)-配置与结果!$B$30)</f>
        <v>1</v>
      </c>
      <c r="AQ163" s="7">
        <f t="shared" si="202"/>
        <v>0</v>
      </c>
      <c r="AR163" s="7">
        <f t="shared" si="203"/>
        <v>0</v>
      </c>
      <c r="AS163" s="7">
        <f t="shared" si="204"/>
        <v>0</v>
      </c>
      <c r="AT163" s="7">
        <f>0</f>
        <v>0</v>
      </c>
      <c r="AU163" s="7">
        <f t="shared" si="205"/>
        <v>0</v>
      </c>
      <c r="AV163" s="1">
        <f t="shared" si="206"/>
        <v>2</v>
      </c>
      <c r="AW163" s="1">
        <f t="shared" si="239"/>
        <v>10</v>
      </c>
      <c r="AX163" s="1">
        <f t="shared" si="207"/>
        <v>1</v>
      </c>
      <c r="AY163" s="1">
        <f t="shared" si="233"/>
        <v>6</v>
      </c>
      <c r="AZ163" s="1">
        <f t="shared" si="208"/>
        <v>5</v>
      </c>
      <c r="BA163" s="1">
        <f>MIN(6,Q163+1)</f>
        <v>4</v>
      </c>
      <c r="BB163" s="1">
        <f t="shared" si="226"/>
        <v>5</v>
      </c>
      <c r="BC163" s="1">
        <f t="shared" si="240"/>
        <v>2</v>
      </c>
      <c r="BD163" s="1">
        <f t="shared" si="234"/>
        <v>0</v>
      </c>
      <c r="BE163" s="1">
        <f t="shared" si="227"/>
        <v>0</v>
      </c>
      <c r="BF163" s="1">
        <f>MIN(4,V163+0)</f>
        <v>2</v>
      </c>
      <c r="BG163" s="1">
        <f>MAX(W163,1)</f>
        <v>1</v>
      </c>
      <c r="BH163" s="1">
        <f t="shared" si="228"/>
        <v>1</v>
      </c>
      <c r="BI163" s="1">
        <f>MAX(Y163,1)</f>
        <v>1</v>
      </c>
      <c r="BJ163" s="1">
        <f t="shared" si="238"/>
        <v>1</v>
      </c>
      <c r="BK163" s="1">
        <f t="shared" si="238"/>
        <v>1</v>
      </c>
      <c r="BL163" s="1">
        <f t="shared" si="200"/>
        <v>0</v>
      </c>
      <c r="BM163" s="1">
        <f t="shared" si="198"/>
        <v>0</v>
      </c>
      <c r="BN163" s="1">
        <f t="shared" si="229"/>
        <v>1</v>
      </c>
      <c r="BO163" s="1">
        <f t="shared" si="230"/>
        <v>1</v>
      </c>
    </row>
    <row r="164" spans="1:67" ht="30.95" customHeight="1">
      <c r="A164" s="1">
        <f>4</f>
        <v>4</v>
      </c>
      <c r="B164" s="1">
        <f>固定流程!A20</f>
        <v>15</v>
      </c>
      <c r="C164" s="1">
        <f>7</f>
        <v>7</v>
      </c>
      <c r="D164" s="1">
        <f>1</f>
        <v>1</v>
      </c>
      <c r="E164" s="1">
        <f>固定流程!C20</f>
        <v>3</v>
      </c>
      <c r="F164" s="1">
        <f>固定流程!G20</f>
        <v>3</v>
      </c>
      <c r="G164" s="1" t="str">
        <f>固定流程!H20</f>
        <v>RHI_ATTACK</v>
      </c>
      <c r="H164" s="1">
        <f>固定流程!F20</f>
        <v>1</v>
      </c>
      <c r="I164" s="1">
        <f>INDEX(配置与结果!$B$15:$B$18,F164)</f>
        <v>2597</v>
      </c>
      <c r="J164" s="1">
        <f>INDEX(配置与结果!$D$15:$D$18,F164)</f>
        <v>0.255</v>
      </c>
      <c r="K164" s="1">
        <f>INDEX(配置与结果!$E$15:$E$18,F164)</f>
        <v>1.55</v>
      </c>
      <c r="L164" s="1">
        <f t="shared" ref="L164:L185" si="241">AV163</f>
        <v>2</v>
      </c>
      <c r="M164" s="1">
        <f t="shared" ref="M164:M185" si="242">AW163</f>
        <v>10</v>
      </c>
      <c r="N164" s="1">
        <f t="shared" ref="N164:N185" si="243">AX163</f>
        <v>1</v>
      </c>
      <c r="O164" s="1">
        <f t="shared" si="235"/>
        <v>6</v>
      </c>
      <c r="P164" s="1">
        <f>MIN(方案参数!$AI$7,AZ163+0+方案参数!$AK$7)</f>
        <v>5</v>
      </c>
      <c r="Q164" s="1">
        <f t="shared" si="213"/>
        <v>4</v>
      </c>
      <c r="R164" s="1">
        <f t="shared" si="214"/>
        <v>5</v>
      </c>
      <c r="S164" s="1">
        <f t="shared" si="215"/>
        <v>2</v>
      </c>
      <c r="T164" s="1">
        <f t="shared" si="216"/>
        <v>0</v>
      </c>
      <c r="U164" s="1">
        <f t="shared" si="217"/>
        <v>0</v>
      </c>
      <c r="V164" s="1">
        <f t="shared" si="218"/>
        <v>2</v>
      </c>
      <c r="W164" s="1">
        <f t="shared" si="219"/>
        <v>1</v>
      </c>
      <c r="X164" s="1">
        <f t="shared" si="220"/>
        <v>1</v>
      </c>
      <c r="Y164" s="1">
        <f t="shared" si="221"/>
        <v>1</v>
      </c>
      <c r="Z164" s="1">
        <f t="shared" si="222"/>
        <v>1</v>
      </c>
      <c r="AA164" s="1">
        <f>MAX(BK163,1)</f>
        <v>1</v>
      </c>
      <c r="AB164" s="1">
        <f t="shared" si="224"/>
        <v>0</v>
      </c>
      <c r="AC164" s="1">
        <f t="shared" si="225"/>
        <v>0</v>
      </c>
      <c r="AD164" s="1">
        <f>ROUNDDOWN(I164*(1+IF(F164=3,0.05+方案参数!$Y$7+AA164*0.12,IF(F164=4,方案参数!$BZ$7*方案参数!$AS$7,0)))+IF(AND(X164=1,F164&lt;&gt;3),方案参数!$CC$7,0)+AC164*方案参数!$CB$7,0)</f>
        <v>3298</v>
      </c>
      <c r="AE164" s="1">
        <f>IF(OR(F164=1,F164=4),配置与结果!$B$24,配置与结果!$B$25)*MAX(0,1-INDEX(配置与结果!$I$15:$I$18,F164))</f>
        <v>1000</v>
      </c>
      <c r="AF164" s="1">
        <f>4</f>
        <v>4</v>
      </c>
      <c r="AG164" s="1">
        <f>MAX(配置与结果!$B$32,1+INDEX(配置与结果!$F$15:$F$18,F164)+0+Q164*方案参数!$W$7+Y164*(方案参数!$AN$7+MIN(方案参数!$AO$7,P164*0.03))+AB164*方案参数!$BZ$7*0.025-配置与结果!$B$28)</f>
        <v>1.0150000000000001</v>
      </c>
      <c r="AH164" s="1">
        <f>MAX(0,1+INDEX(配置与结果!$G$15:$G$18,F164)+W164*方案参数!$AG$7)</f>
        <v>1.3</v>
      </c>
      <c r="AI164" s="1">
        <f>IF(OR(INDEX(配置与结果!$K$15:$K$18,F164)=1,G164="RHI_BERRY"),1+配置与结果!$B$33+P164*方案参数!$AH$7,1)</f>
        <v>1</v>
      </c>
      <c r="AJ164" s="1">
        <f>MIN(1,MAX(0,J164+方案参数!$AB$7-配置与结果!$B$27))</f>
        <v>0.55499999999999994</v>
      </c>
      <c r="AK164" s="1">
        <f>MAX(1,K164+IF(F164=2,0.15+方案参数!$CH$7,0)+BN164*方案参数!$X$7+R164*方案参数!$AA$7+0-配置与结果!$B$26+Z164*(方案参数!$AP$7+MIN(方案参数!$AQ$7,P164*0.03)))</f>
        <v>1.6300000000000001</v>
      </c>
      <c r="AL164" s="7">
        <f>ROUNDDOWN(MAX(AD164*配置与结果!$B$31,AD164-AE164)*AF164*AG164*AH164*AI164,0)</f>
        <v>12128</v>
      </c>
      <c r="AM164" s="7">
        <f>ROUNDDOWN(MAX(AD164*配置与结果!$B$31,AD164-AE164)*AF164*AG164*AH164*AI164*AK164,0)</f>
        <v>19770</v>
      </c>
      <c r="AN164" s="7">
        <f t="shared" si="201"/>
        <v>16369.31</v>
      </c>
      <c r="AO164" s="7">
        <f>0</f>
        <v>0</v>
      </c>
      <c r="AP164" s="7">
        <f>MAX(0,1+INDEX(配置与结果!$J$15:$J$18,F164)+IF(T164&gt;0,方案参数!$BY$7,0)-配置与结果!$B$30)</f>
        <v>1</v>
      </c>
      <c r="AQ164" s="7">
        <f t="shared" si="202"/>
        <v>0</v>
      </c>
      <c r="AR164" s="7">
        <f t="shared" si="203"/>
        <v>0</v>
      </c>
      <c r="AS164" s="7">
        <f t="shared" si="204"/>
        <v>0</v>
      </c>
      <c r="AT164" s="7">
        <f>0</f>
        <v>0</v>
      </c>
      <c r="AU164" s="7">
        <f t="shared" si="205"/>
        <v>16369.31</v>
      </c>
      <c r="AV164" s="1">
        <f t="shared" si="206"/>
        <v>2</v>
      </c>
      <c r="AW164" s="1">
        <f t="shared" si="239"/>
        <v>10</v>
      </c>
      <c r="AX164" s="1">
        <f t="shared" si="207"/>
        <v>1</v>
      </c>
      <c r="AY164" s="1">
        <f t="shared" si="233"/>
        <v>6</v>
      </c>
      <c r="AZ164" s="1">
        <f t="shared" si="208"/>
        <v>5</v>
      </c>
      <c r="BA164" s="1">
        <f>MIN(6,Q164+1)</f>
        <v>5</v>
      </c>
      <c r="BB164" s="1">
        <f t="shared" si="226"/>
        <v>5</v>
      </c>
      <c r="BC164" s="1">
        <f t="shared" si="240"/>
        <v>2</v>
      </c>
      <c r="BD164" s="1">
        <f t="shared" si="234"/>
        <v>0</v>
      </c>
      <c r="BE164" s="1">
        <f t="shared" si="227"/>
        <v>0</v>
      </c>
      <c r="BF164" s="1">
        <f>MIN(4,V164+0)</f>
        <v>2</v>
      </c>
      <c r="BG164" s="1">
        <f t="shared" ref="BG164:BG186" si="244">MAX(W164,0)</f>
        <v>1</v>
      </c>
      <c r="BH164" s="1">
        <f t="shared" si="228"/>
        <v>1</v>
      </c>
      <c r="BI164" s="1">
        <f t="shared" ref="BI164:BI186" si="245">MAX(Y164,0)</f>
        <v>1</v>
      </c>
      <c r="BJ164" s="1">
        <f>MAX(Z164,1)</f>
        <v>1</v>
      </c>
      <c r="BK164" s="1">
        <f>MAX(AA164,1)</f>
        <v>1</v>
      </c>
      <c r="BL164" s="1">
        <f t="shared" si="200"/>
        <v>0</v>
      </c>
      <c r="BM164" s="1">
        <f t="shared" si="198"/>
        <v>0</v>
      </c>
      <c r="BN164" s="1">
        <f t="shared" si="229"/>
        <v>1</v>
      </c>
      <c r="BO164" s="1">
        <f t="shared" si="230"/>
        <v>1</v>
      </c>
    </row>
    <row r="165" spans="1:67" ht="30.95" customHeight="1">
      <c r="A165" s="1">
        <f>4</f>
        <v>4</v>
      </c>
      <c r="B165" s="1">
        <f>固定流程!A21</f>
        <v>16</v>
      </c>
      <c r="C165" s="1">
        <f>7</f>
        <v>7</v>
      </c>
      <c r="D165" s="1">
        <f>1</f>
        <v>1</v>
      </c>
      <c r="E165" s="1">
        <f>固定流程!C21</f>
        <v>3</v>
      </c>
      <c r="F165" s="1">
        <f>固定流程!G21</f>
        <v>2</v>
      </c>
      <c r="G165" s="1" t="str">
        <f>固定流程!H21</f>
        <v>37_ULT</v>
      </c>
      <c r="H165" s="1">
        <f>固定流程!F21</f>
        <v>1</v>
      </c>
      <c r="I165" s="1">
        <f>INDEX(配置与结果!$B$15:$B$18,F165)</f>
        <v>2306</v>
      </c>
      <c r="J165" s="1">
        <f>INDEX(配置与结果!$D$15:$D$18,F165)</f>
        <v>0.46</v>
      </c>
      <c r="K165" s="1">
        <f>INDEX(配置与结果!$E$15:$E$18,F165)</f>
        <v>1.9279999999999999</v>
      </c>
      <c r="L165" s="1">
        <f t="shared" si="241"/>
        <v>2</v>
      </c>
      <c r="M165" s="1">
        <f t="shared" si="242"/>
        <v>10</v>
      </c>
      <c r="N165" s="1">
        <f t="shared" si="243"/>
        <v>1</v>
      </c>
      <c r="O165" s="1">
        <f t="shared" si="235"/>
        <v>6</v>
      </c>
      <c r="P165" s="1">
        <f>MIN(方案参数!$AI$7,AZ164+0+0)</f>
        <v>5</v>
      </c>
      <c r="Q165" s="1">
        <f t="shared" si="213"/>
        <v>5</v>
      </c>
      <c r="R165" s="1">
        <f t="shared" si="214"/>
        <v>5</v>
      </c>
      <c r="S165" s="1">
        <f t="shared" si="215"/>
        <v>2</v>
      </c>
      <c r="T165" s="1">
        <f>BD164+方案参数!$BX$7</f>
        <v>2</v>
      </c>
      <c r="U165" s="1">
        <f t="shared" si="217"/>
        <v>0</v>
      </c>
      <c r="V165" s="1">
        <f t="shared" si="218"/>
        <v>2</v>
      </c>
      <c r="W165" s="1">
        <f t="shared" si="219"/>
        <v>1</v>
      </c>
      <c r="X165" s="1">
        <f t="shared" si="220"/>
        <v>1</v>
      </c>
      <c r="Y165" s="1">
        <f t="shared" si="221"/>
        <v>1</v>
      </c>
      <c r="Z165" s="1">
        <f t="shared" si="222"/>
        <v>1</v>
      </c>
      <c r="AA165" s="1">
        <f t="shared" ref="AA165:AA185" si="246">MAX(BK164,0)</f>
        <v>1</v>
      </c>
      <c r="AB165" s="1">
        <f t="shared" si="224"/>
        <v>0</v>
      </c>
      <c r="AC165" s="1">
        <f>MAX(BM164,1)</f>
        <v>1</v>
      </c>
      <c r="AD165" s="1">
        <f>ROUNDDOWN(I165*(1+IF(F165=3,0.05+方案参数!$Y$7+AA165*0.12,IF(F165=4,方案参数!$BZ$7*方案参数!$AS$7,0)))+IF(AND(X165=1,F165&lt;&gt;3),方案参数!$CC$7,0)+AC165*方案参数!$CB$7,0)</f>
        <v>3044</v>
      </c>
      <c r="AE165" s="1">
        <f>IF(OR(F165=1,F165=4),配置与结果!$B$24,配置与结果!$B$25)*MAX(0,1-INDEX(配置与结果!$I$15:$I$18,F165))</f>
        <v>1000</v>
      </c>
      <c r="AF165" s="1">
        <f>0</f>
        <v>0</v>
      </c>
      <c r="AG165" s="1">
        <f>MAX(配置与结果!$B$32,1+INDEX(配置与结果!$F$15:$F$18,F165)+0+Q165*方案参数!$W$7+Y165*(方案参数!$AN$7+MIN(方案参数!$AO$7,P165*0.03))+AB165*方案参数!$BZ$7*0.025-配置与结果!$B$28)</f>
        <v>1.0049999999999999</v>
      </c>
      <c r="AH165" s="1">
        <f>MAX(0,1+INDEX(配置与结果!$G$15:$G$18,F165)+W165*方案参数!$AG$7)</f>
        <v>1.3</v>
      </c>
      <c r="AI165" s="1">
        <f>IF(OR(INDEX(配置与结果!$K$15:$K$18,F165)=1,G165="RHI_BERRY"),1+配置与结果!$B$33+P165*方案参数!$AH$7,1)</f>
        <v>1</v>
      </c>
      <c r="AJ165" s="1">
        <f>MIN(1,MAX(0,J165+方案参数!$AB$7-配置与结果!$B$27))</f>
        <v>0.76</v>
      </c>
      <c r="AK165" s="1">
        <f>MAX(1,K165+IF(F165=2,0.15+方案参数!$CH$7,0)+BN165*方案参数!$X$7+R165*方案参数!$AA$7+0-配置与结果!$B$26+Z165*(方案参数!$AP$7+MIN(方案参数!$AQ$7,P165*0.03)))</f>
        <v>2.278</v>
      </c>
      <c r="AL165" s="7">
        <f>ROUNDDOWN(MAX(AD165*配置与结果!$B$31,AD165-AE165)*AF165*AG165*AH165*AI165,0)</f>
        <v>0</v>
      </c>
      <c r="AM165" s="7">
        <f>ROUNDDOWN(MAX(AD165*配置与结果!$B$31,AD165-AE165)*AF165*AG165*AH165*AI165*AK165,0)</f>
        <v>0</v>
      </c>
      <c r="AN165" s="7">
        <f t="shared" si="201"/>
        <v>0</v>
      </c>
      <c r="AO165" s="7">
        <f>0</f>
        <v>0</v>
      </c>
      <c r="AP165" s="7">
        <f>MAX(0,1+INDEX(配置与结果!$J$15:$J$18,F165)+IF(T165&gt;0,方案参数!$BY$7,0)-配置与结果!$B$30)</f>
        <v>2</v>
      </c>
      <c r="AQ165" s="7">
        <f t="shared" si="202"/>
        <v>0</v>
      </c>
      <c r="AR165" s="7">
        <f t="shared" si="203"/>
        <v>0</v>
      </c>
      <c r="AS165" s="7">
        <f t="shared" si="204"/>
        <v>0</v>
      </c>
      <c r="AT165" s="7">
        <f>0</f>
        <v>0</v>
      </c>
      <c r="AU165" s="7">
        <f t="shared" si="205"/>
        <v>0</v>
      </c>
      <c r="AV165" s="1">
        <f t="shared" si="206"/>
        <v>2</v>
      </c>
      <c r="AW165" s="1">
        <f t="shared" si="239"/>
        <v>10</v>
      </c>
      <c r="AX165" s="1">
        <f t="shared" si="207"/>
        <v>1</v>
      </c>
      <c r="AY165" s="1">
        <f t="shared" si="233"/>
        <v>6</v>
      </c>
      <c r="AZ165" s="1">
        <f t="shared" si="208"/>
        <v>5</v>
      </c>
      <c r="BA165" s="1">
        <f t="shared" ref="BA165:BA185" si="247">MIN(6,Q165+0)</f>
        <v>5</v>
      </c>
      <c r="BB165" s="1">
        <f>MIN(30,R165+5)</f>
        <v>10</v>
      </c>
      <c r="BC165" s="1">
        <f t="shared" si="240"/>
        <v>2</v>
      </c>
      <c r="BD165" s="1">
        <f t="shared" si="234"/>
        <v>2</v>
      </c>
      <c r="BE165" s="1">
        <f t="shared" si="227"/>
        <v>0</v>
      </c>
      <c r="BF165" s="1">
        <f>MIN(4,V165+0)</f>
        <v>2</v>
      </c>
      <c r="BG165" s="1">
        <f t="shared" si="244"/>
        <v>1</v>
      </c>
      <c r="BH165" s="1">
        <f t="shared" si="228"/>
        <v>1</v>
      </c>
      <c r="BI165" s="1">
        <f t="shared" si="245"/>
        <v>1</v>
      </c>
      <c r="BJ165" s="1">
        <f t="shared" ref="BJ165:BJ192" si="248">MAX(Z165,0)</f>
        <v>1</v>
      </c>
      <c r="BK165" s="1">
        <f t="shared" ref="BK165:BK192" si="249">MAX(AA165,0)</f>
        <v>1</v>
      </c>
      <c r="BL165" s="1">
        <f t="shared" si="200"/>
        <v>0</v>
      </c>
      <c r="BM165" s="1">
        <f>MAX(AC165,1)</f>
        <v>1</v>
      </c>
      <c r="BN165" s="1">
        <f t="shared" si="229"/>
        <v>1</v>
      </c>
      <c r="BO165" s="1">
        <f t="shared" si="230"/>
        <v>1</v>
      </c>
    </row>
    <row r="166" spans="1:67" ht="30.95" customHeight="1">
      <c r="A166" s="1">
        <f>4</f>
        <v>4</v>
      </c>
      <c r="B166" s="1">
        <f>固定流程!A22</f>
        <v>17</v>
      </c>
      <c r="C166" s="1">
        <f>7</f>
        <v>7</v>
      </c>
      <c r="D166" s="1">
        <f>1</f>
        <v>1</v>
      </c>
      <c r="E166" s="1">
        <f>固定流程!C22</f>
        <v>3</v>
      </c>
      <c r="F166" s="1">
        <f>固定流程!G22</f>
        <v>2</v>
      </c>
      <c r="G166" s="1" t="str">
        <f>固定流程!H22</f>
        <v>37_FOLLOW</v>
      </c>
      <c r="H166" s="1">
        <f>固定流程!F22</f>
        <v>1</v>
      </c>
      <c r="I166" s="1">
        <f>INDEX(配置与结果!$B$15:$B$18,F166)</f>
        <v>2306</v>
      </c>
      <c r="J166" s="1">
        <f>INDEX(配置与结果!$D$15:$D$18,F166)</f>
        <v>0.46</v>
      </c>
      <c r="K166" s="1">
        <f>INDEX(配置与结果!$E$15:$E$18,F166)</f>
        <v>1.9279999999999999</v>
      </c>
      <c r="L166" s="1">
        <f t="shared" si="241"/>
        <v>2</v>
      </c>
      <c r="M166" s="1">
        <f t="shared" si="242"/>
        <v>10</v>
      </c>
      <c r="N166" s="1">
        <f t="shared" si="243"/>
        <v>1</v>
      </c>
      <c r="O166" s="1">
        <f t="shared" si="235"/>
        <v>6</v>
      </c>
      <c r="P166" s="1">
        <f>MIN(方案参数!$AI$7,AZ165+0+0)</f>
        <v>5</v>
      </c>
      <c r="Q166" s="1">
        <f t="shared" si="213"/>
        <v>5</v>
      </c>
      <c r="R166" s="1">
        <f t="shared" si="214"/>
        <v>10</v>
      </c>
      <c r="S166" s="1">
        <f t="shared" si="215"/>
        <v>2</v>
      </c>
      <c r="T166" s="1">
        <f t="shared" ref="T166:T185" si="250">BD165+0</f>
        <v>2</v>
      </c>
      <c r="U166" s="1">
        <f t="shared" si="217"/>
        <v>0</v>
      </c>
      <c r="V166" s="1">
        <f t="shared" si="218"/>
        <v>2</v>
      </c>
      <c r="W166" s="1">
        <f t="shared" si="219"/>
        <v>1</v>
      </c>
      <c r="X166" s="1">
        <f t="shared" si="220"/>
        <v>1</v>
      </c>
      <c r="Y166" s="1">
        <f t="shared" si="221"/>
        <v>1</v>
      </c>
      <c r="Z166" s="1">
        <f t="shared" si="222"/>
        <v>1</v>
      </c>
      <c r="AA166" s="1">
        <f t="shared" si="246"/>
        <v>1</v>
      </c>
      <c r="AB166" s="1">
        <f t="shared" si="224"/>
        <v>0</v>
      </c>
      <c r="AC166" s="1">
        <f t="shared" ref="AC166:AC185" si="251">MAX(BM165,0)</f>
        <v>1</v>
      </c>
      <c r="AD166" s="1">
        <f>ROUNDDOWN(I166*(1+IF(F166=3,0.05+方案参数!$Y$7+AA166*0.12,IF(F166=4,方案参数!$BZ$7*方案参数!$AS$7,0)))+IF(AND(X166=1,F166&lt;&gt;3),方案参数!$CC$7,0)+AC166*方案参数!$CB$7,0)</f>
        <v>3044</v>
      </c>
      <c r="AE166" s="1">
        <f>IF(OR(F166=1,F166=4),配置与结果!$B$24,配置与结果!$B$25)*MAX(0,1-INDEX(配置与结果!$I$15:$I$18,F166))</f>
        <v>1000</v>
      </c>
      <c r="AF166" s="1">
        <f>方案参数!$BV$7</f>
        <v>3</v>
      </c>
      <c r="AG166" s="1">
        <f>MAX(配置与结果!$B$32,1+INDEX(配置与结果!$F$15:$F$18,F166)+0+Q166*方案参数!$W$7+Y166*(方案参数!$AN$7+MIN(方案参数!$AO$7,P166*0.03))+AB166*方案参数!$BZ$7*0.025-配置与结果!$B$28)</f>
        <v>1.0049999999999999</v>
      </c>
      <c r="AH166" s="1">
        <f>MAX(0,1+INDEX(配置与结果!$G$15:$G$18,F166)+W166*方案参数!$AG$7)</f>
        <v>1.3</v>
      </c>
      <c r="AI166" s="1">
        <f>IF(OR(INDEX(配置与结果!$K$15:$K$18,F166)=1,G166="RHI_BERRY"),1+配置与结果!$B$33+P166*方案参数!$AH$7,1)</f>
        <v>1</v>
      </c>
      <c r="AJ166" s="1">
        <f>MIN(1,MAX(0,J166+方案参数!$AB$7-配置与结果!$B$27))</f>
        <v>0.76</v>
      </c>
      <c r="AK166" s="1">
        <f>MAX(1,K166+IF(F166=2,0.15+方案参数!$CH$7,0)+BN166*方案参数!$X$7+R166*方案参数!$AA$7+0-配置与结果!$B$26+Z166*(方案参数!$AP$7+MIN(方案参数!$AQ$7,P166*0.03)))</f>
        <v>2.298</v>
      </c>
      <c r="AL166" s="7">
        <f>ROUNDDOWN(MAX(AD166*配置与结果!$B$31,AD166-AE166)*AF166*AG166*AH166*AI166,0)</f>
        <v>8011</v>
      </c>
      <c r="AM166" s="7">
        <f>ROUNDDOWN(MAX(AD166*配置与结果!$B$31,AD166-AE166)*AF166*AG166*AH166*AI166*AK166,0)</f>
        <v>18410</v>
      </c>
      <c r="AN166" s="7">
        <f t="shared" si="201"/>
        <v>15914.24</v>
      </c>
      <c r="AO166" s="7">
        <f>方案参数!$BW$7</f>
        <v>1</v>
      </c>
      <c r="AP166" s="7">
        <f>MAX(0,1+INDEX(配置与结果!$J$15:$J$18,F166)+IF(T166&gt;0,方案参数!$BY$7,0)-配置与结果!$B$30)</f>
        <v>2</v>
      </c>
      <c r="AQ166" s="7">
        <f t="shared" si="202"/>
        <v>6088</v>
      </c>
      <c r="AR166" s="7">
        <f t="shared" si="203"/>
        <v>13990</v>
      </c>
      <c r="AS166" s="7">
        <f t="shared" si="204"/>
        <v>12093.52</v>
      </c>
      <c r="AT166" s="7">
        <f>0</f>
        <v>0</v>
      </c>
      <c r="AU166" s="7">
        <f t="shared" si="205"/>
        <v>28007.760000000002</v>
      </c>
      <c r="AV166" s="1">
        <f t="shared" si="206"/>
        <v>2</v>
      </c>
      <c r="AW166" s="1">
        <f t="shared" si="239"/>
        <v>10</v>
      </c>
      <c r="AX166" s="1">
        <f t="shared" si="207"/>
        <v>1</v>
      </c>
      <c r="AY166" s="1">
        <f t="shared" si="233"/>
        <v>6</v>
      </c>
      <c r="AZ166" s="1">
        <f t="shared" si="208"/>
        <v>5</v>
      </c>
      <c r="BA166" s="1">
        <f t="shared" si="247"/>
        <v>5</v>
      </c>
      <c r="BB166" s="1">
        <f>MIN(30,R166+0)</f>
        <v>10</v>
      </c>
      <c r="BC166" s="1">
        <f t="shared" si="240"/>
        <v>2</v>
      </c>
      <c r="BD166" s="1">
        <f t="shared" si="234"/>
        <v>1</v>
      </c>
      <c r="BE166" s="1">
        <f t="shared" si="227"/>
        <v>0</v>
      </c>
      <c r="BF166" s="1">
        <f>MIN(4,V166+1)</f>
        <v>3</v>
      </c>
      <c r="BG166" s="1">
        <f t="shared" si="244"/>
        <v>1</v>
      </c>
      <c r="BH166" s="1">
        <f t="shared" si="228"/>
        <v>1</v>
      </c>
      <c r="BI166" s="1">
        <f t="shared" si="245"/>
        <v>1</v>
      </c>
      <c r="BJ166" s="1">
        <f t="shared" si="248"/>
        <v>1</v>
      </c>
      <c r="BK166" s="1">
        <f t="shared" si="249"/>
        <v>1</v>
      </c>
      <c r="BL166" s="1">
        <f t="shared" si="200"/>
        <v>0</v>
      </c>
      <c r="BM166" s="1">
        <f t="shared" ref="BM166:BM200" si="252">MAX(AC166,0)</f>
        <v>1</v>
      </c>
      <c r="BN166" s="1">
        <f t="shared" si="229"/>
        <v>1</v>
      </c>
      <c r="BO166" s="1">
        <f t="shared" si="230"/>
        <v>1</v>
      </c>
    </row>
    <row r="167" spans="1:67" ht="30.95" customHeight="1">
      <c r="A167" s="1">
        <f>4</f>
        <v>4</v>
      </c>
      <c r="B167" s="1">
        <f>固定流程!A23</f>
        <v>18</v>
      </c>
      <c r="C167" s="1">
        <f>7</f>
        <v>7</v>
      </c>
      <c r="D167" s="1">
        <f>1</f>
        <v>1</v>
      </c>
      <c r="E167" s="1">
        <f>固定流程!C23</f>
        <v>3</v>
      </c>
      <c r="F167" s="1">
        <f>固定流程!G23</f>
        <v>4</v>
      </c>
      <c r="G167" s="1" t="str">
        <f>固定流程!H23</f>
        <v>J_HARD</v>
      </c>
      <c r="H167" s="1">
        <f>固定流程!F23</f>
        <v>1</v>
      </c>
      <c r="I167" s="1">
        <f>INDEX(配置与结果!$B$15:$B$18,F167)</f>
        <v>1906</v>
      </c>
      <c r="J167" s="1">
        <f>INDEX(配置与结果!$D$15:$D$18,F167)</f>
        <v>0.36699999999999999</v>
      </c>
      <c r="K167" s="1">
        <f>INDEX(配置与结果!$E$15:$E$18,F167)</f>
        <v>1.7170000000000001</v>
      </c>
      <c r="L167" s="1">
        <f t="shared" si="241"/>
        <v>2</v>
      </c>
      <c r="M167" s="1">
        <f t="shared" si="242"/>
        <v>10</v>
      </c>
      <c r="N167" s="1">
        <f t="shared" si="243"/>
        <v>1</v>
      </c>
      <c r="O167" s="1">
        <f t="shared" si="235"/>
        <v>6</v>
      </c>
      <c r="P167" s="1">
        <f>MIN(方案参数!$AI$7,AZ166+0+0)</f>
        <v>5</v>
      </c>
      <c r="Q167" s="1">
        <f t="shared" si="213"/>
        <v>5</v>
      </c>
      <c r="R167" s="1">
        <f t="shared" si="214"/>
        <v>10</v>
      </c>
      <c r="S167" s="1">
        <f t="shared" si="215"/>
        <v>2</v>
      </c>
      <c r="T167" s="1">
        <f t="shared" si="250"/>
        <v>1</v>
      </c>
      <c r="U167" s="1">
        <f t="shared" si="217"/>
        <v>0</v>
      </c>
      <c r="V167" s="1">
        <f t="shared" si="218"/>
        <v>3</v>
      </c>
      <c r="W167" s="1">
        <f t="shared" si="219"/>
        <v>1</v>
      </c>
      <c r="X167" s="1">
        <f t="shared" si="220"/>
        <v>1</v>
      </c>
      <c r="Y167" s="1">
        <f t="shared" si="221"/>
        <v>1</v>
      </c>
      <c r="Z167" s="1">
        <f t="shared" si="222"/>
        <v>1</v>
      </c>
      <c r="AA167" s="1">
        <f t="shared" si="246"/>
        <v>1</v>
      </c>
      <c r="AB167" s="1">
        <f t="shared" si="224"/>
        <v>0</v>
      </c>
      <c r="AC167" s="1">
        <f t="shared" si="251"/>
        <v>1</v>
      </c>
      <c r="AD167" s="1">
        <f>ROUNDDOWN(I167*(1+IF(F167=3,0.05+方案参数!$Y$7+AA167*0.12,IF(F167=4,方案参数!$BZ$7*方案参数!$AS$7,0)))+IF(AND(X167=1,F167&lt;&gt;3),方案参数!$CC$7,0)+AC167*方案参数!$CB$7,0)</f>
        <v>3311</v>
      </c>
      <c r="AE167" s="1">
        <f>IF(OR(F167=1,F167=4),配置与结果!$B$24,配置与结果!$B$25)*MAX(0,1-INDEX(配置与结果!$I$15:$I$18,F167))</f>
        <v>1200</v>
      </c>
      <c r="AF167" s="1">
        <f>3.6*IF(H167=1,1,IF(H167=2,1.5,2.5))</f>
        <v>3.6</v>
      </c>
      <c r="AG167" s="1">
        <f>MAX(配置与结果!$B$32,1+INDEX(配置与结果!$F$15:$F$18,F167)+0.08+Q167*方案参数!$W$7+Y167*(方案参数!$AN$7+MIN(方案参数!$AO$7,P167*0.03))+AB167*方案参数!$BZ$7*0.025+0.1+IF(方案参数!$BZ$7&gt;=30,方案参数!$BZ$7*0.01,0)-配置与结果!$B$28)</f>
        <v>1.5550000000000002</v>
      </c>
      <c r="AH167" s="1">
        <f>MAX(0,1+INDEX(配置与结果!$G$15:$G$18,F167)+W167*方案参数!$AG$7)</f>
        <v>1.3</v>
      </c>
      <c r="AI167" s="1">
        <f>IF(OR(INDEX(配置与结果!$K$15:$K$18,F167)=1,G167="RHI_BERRY"),1+配置与结果!$B$33+P167*方案参数!$AH$7,1)</f>
        <v>1</v>
      </c>
      <c r="AJ167" s="1">
        <f>MIN(1,MAX(0,J167+方案参数!$AB$7-配置与结果!$B$27))</f>
        <v>0.66700000000000004</v>
      </c>
      <c r="AK167" s="1">
        <f>MAX(1,K167+IF(F167=2,0.15+方案参数!$CH$7,0)+BN167*方案参数!$X$7+R167*方案参数!$AA$7+0-配置与结果!$B$26+Z167*(方案参数!$AP$7+MIN(方案参数!$AQ$7,P167*0.03)))</f>
        <v>1.8169999999999999</v>
      </c>
      <c r="AL167" s="7">
        <f>ROUNDDOWN(MAX(AD167*配置与结果!$B$31,AD167-AE167)*AF167*AG167*AH167*AI167,0)</f>
        <v>15362</v>
      </c>
      <c r="AM167" s="7">
        <f>ROUNDDOWN(MAX(AD167*配置与结果!$B$31,AD167-AE167)*AF167*AG167*AH167*AI167*AK167,0)</f>
        <v>27913</v>
      </c>
      <c r="AN167" s="7">
        <f t="shared" si="201"/>
        <v>23733.517</v>
      </c>
      <c r="AO167" s="7">
        <f>0</f>
        <v>0</v>
      </c>
      <c r="AP167" s="7">
        <f>MAX(0,1+INDEX(配置与结果!$J$15:$J$18,F167)+IF(T167&gt;0,方案参数!$BY$7,0)-配置与结果!$B$30)</f>
        <v>2</v>
      </c>
      <c r="AQ167" s="7">
        <f t="shared" si="202"/>
        <v>0</v>
      </c>
      <c r="AR167" s="7">
        <f t="shared" si="203"/>
        <v>0</v>
      </c>
      <c r="AS167" s="7">
        <f t="shared" si="204"/>
        <v>0</v>
      </c>
      <c r="AT167" s="7">
        <f>0</f>
        <v>0</v>
      </c>
      <c r="AU167" s="7">
        <f t="shared" si="205"/>
        <v>23733.517</v>
      </c>
      <c r="AV167" s="1">
        <f t="shared" si="206"/>
        <v>2</v>
      </c>
      <c r="AW167" s="1">
        <f t="shared" si="239"/>
        <v>10</v>
      </c>
      <c r="AX167" s="1">
        <f t="shared" si="207"/>
        <v>1</v>
      </c>
      <c r="AY167" s="1">
        <f t="shared" si="233"/>
        <v>6</v>
      </c>
      <c r="AZ167" s="1">
        <f t="shared" si="208"/>
        <v>5</v>
      </c>
      <c r="BA167" s="1">
        <f t="shared" si="247"/>
        <v>5</v>
      </c>
      <c r="BB167" s="1">
        <f>MIN(30,R167+0)</f>
        <v>10</v>
      </c>
      <c r="BC167" s="1">
        <f>MIN(3,S167+1)</f>
        <v>3</v>
      </c>
      <c r="BD167" s="1">
        <f t="shared" si="234"/>
        <v>1</v>
      </c>
      <c r="BE167" s="1">
        <f t="shared" si="227"/>
        <v>0</v>
      </c>
      <c r="BF167" s="1">
        <f>MIN(4,V167+0)</f>
        <v>3</v>
      </c>
      <c r="BG167" s="1">
        <f t="shared" si="244"/>
        <v>1</v>
      </c>
      <c r="BH167" s="1">
        <f t="shared" si="228"/>
        <v>1</v>
      </c>
      <c r="BI167" s="1">
        <f t="shared" si="245"/>
        <v>1</v>
      </c>
      <c r="BJ167" s="1">
        <f t="shared" si="248"/>
        <v>1</v>
      </c>
      <c r="BK167" s="1">
        <f t="shared" si="249"/>
        <v>1</v>
      </c>
      <c r="BL167" s="1">
        <f t="shared" si="200"/>
        <v>0</v>
      </c>
      <c r="BM167" s="1">
        <f t="shared" si="252"/>
        <v>1</v>
      </c>
      <c r="BN167" s="1">
        <f t="shared" si="229"/>
        <v>1</v>
      </c>
      <c r="BO167" s="1">
        <f t="shared" si="230"/>
        <v>1</v>
      </c>
    </row>
    <row r="168" spans="1:67" ht="30.95" customHeight="1">
      <c r="A168" s="1">
        <f>4</f>
        <v>4</v>
      </c>
      <c r="B168" s="1">
        <f>固定流程!A24</f>
        <v>19</v>
      </c>
      <c r="C168" s="1">
        <f>7</f>
        <v>7</v>
      </c>
      <c r="D168" s="1">
        <f>1</f>
        <v>1</v>
      </c>
      <c r="E168" s="1">
        <f>固定流程!C24</f>
        <v>3</v>
      </c>
      <c r="F168" s="1">
        <f>固定流程!G24</f>
        <v>4</v>
      </c>
      <c r="G168" s="1" t="str">
        <f>固定流程!H24</f>
        <v>J_ULT</v>
      </c>
      <c r="H168" s="1">
        <f>固定流程!F24</f>
        <v>1</v>
      </c>
      <c r="I168" s="1">
        <f>INDEX(配置与结果!$B$15:$B$18,F168)</f>
        <v>1906</v>
      </c>
      <c r="J168" s="1">
        <f>INDEX(配置与结果!$D$15:$D$18,F168)</f>
        <v>0.36699999999999999</v>
      </c>
      <c r="K168" s="1">
        <f>INDEX(配置与结果!$E$15:$E$18,F168)</f>
        <v>1.7170000000000001</v>
      </c>
      <c r="L168" s="1">
        <f t="shared" si="241"/>
        <v>2</v>
      </c>
      <c r="M168" s="1">
        <f t="shared" si="242"/>
        <v>10</v>
      </c>
      <c r="N168" s="1">
        <f t="shared" si="243"/>
        <v>1</v>
      </c>
      <c r="O168" s="1">
        <f t="shared" si="235"/>
        <v>6</v>
      </c>
      <c r="P168" s="1">
        <f>MIN(方案参数!$AI$7,AZ167+0+0)</f>
        <v>5</v>
      </c>
      <c r="Q168" s="1">
        <f t="shared" si="213"/>
        <v>5</v>
      </c>
      <c r="R168" s="1">
        <f t="shared" si="214"/>
        <v>10</v>
      </c>
      <c r="S168" s="1">
        <f t="shared" si="215"/>
        <v>3</v>
      </c>
      <c r="T168" s="1">
        <f t="shared" si="250"/>
        <v>1</v>
      </c>
      <c r="U168" s="1">
        <f t="shared" si="217"/>
        <v>0</v>
      </c>
      <c r="V168" s="1">
        <f t="shared" si="218"/>
        <v>3</v>
      </c>
      <c r="W168" s="1">
        <f t="shared" si="219"/>
        <v>1</v>
      </c>
      <c r="X168" s="1">
        <f t="shared" si="220"/>
        <v>1</v>
      </c>
      <c r="Y168" s="1">
        <f t="shared" si="221"/>
        <v>1</v>
      </c>
      <c r="Z168" s="1">
        <f t="shared" si="222"/>
        <v>1</v>
      </c>
      <c r="AA168" s="1">
        <f t="shared" si="246"/>
        <v>1</v>
      </c>
      <c r="AB168" s="1">
        <f t="shared" si="224"/>
        <v>0</v>
      </c>
      <c r="AC168" s="1">
        <f t="shared" si="251"/>
        <v>1</v>
      </c>
      <c r="AD168" s="1">
        <f>ROUNDDOWN(I168*(1+IF(F168=3,0.05+方案参数!$Y$7+AA168*0.12,IF(F168=4,方案参数!$BZ$7*方案参数!$AS$7,0)))+IF(AND(X168=1,F168&lt;&gt;3),方案参数!$CC$7,0)+AC168*方案参数!$CB$7,0)</f>
        <v>3311</v>
      </c>
      <c r="AE168" s="1">
        <f>IF(OR(F168=1,F168=4),配置与结果!$B$24,配置与结果!$B$25)*MAX(0,1-INDEX(配置与结果!$I$15:$I$18,F168))</f>
        <v>1200</v>
      </c>
      <c r="AF168" s="1">
        <f>方案参数!$AT$7+MAX(0,配置与结果!$H$26+方案参数!$BZ$7-30)*方案参数!$AU$7*配置与结果!$H$27</f>
        <v>42</v>
      </c>
      <c r="AG168" s="1">
        <f>MAX(配置与结果!$B$32,1+INDEX(配置与结果!$F$15:$F$18,F168)+0.08+Q168*方案参数!$W$7+Y168*(方案参数!$AN$7+MIN(方案参数!$AO$7,P168*0.03))+AB168*方案参数!$BZ$7*0.025-配置与结果!$B$28)</f>
        <v>1.105</v>
      </c>
      <c r="AH168" s="1">
        <f>MAX(0,1+INDEX(配置与结果!$H$15:$H$18,F168)+W168*方案参数!$AG$7+S168*方案参数!$Z$7)</f>
        <v>1.42</v>
      </c>
      <c r="AI168" s="1">
        <f>IF(OR(INDEX(配置与结果!$K$15:$K$18,F168)=1,G168="RHI_BERRY"),1+配置与结果!$B$33+P168*方案参数!$AH$7,1)</f>
        <v>1</v>
      </c>
      <c r="AJ168" s="1">
        <f>MIN(1,MAX(0,J168+方案参数!$AB$7-配置与结果!$B$27))</f>
        <v>0.66700000000000004</v>
      </c>
      <c r="AK168" s="1">
        <f>MAX(1,K168+IF(F168=2,0.15+方案参数!$CH$7,0)+BN168*方案参数!$X$7+R168*方案参数!$AA$7+0-配置与结果!$B$26+Z168*(方案参数!$AP$7+MIN(方案参数!$AQ$7,P168*0.03)))</f>
        <v>1.8169999999999999</v>
      </c>
      <c r="AL168" s="7">
        <f>ROUNDDOWN(MAX(AD168*配置与结果!$B$31,AD168-AE168)*AF168*AG168*AH168*AI168,0)</f>
        <v>139119</v>
      </c>
      <c r="AM168" s="7">
        <f>ROUNDDOWN(MAX(AD168*配置与结果!$B$31,AD168-AE168)*AF168*AG168*AH168*AI168*AK168,0)</f>
        <v>252780</v>
      </c>
      <c r="AN168" s="7">
        <f t="shared" si="201"/>
        <v>214930.88699999999</v>
      </c>
      <c r="AO168" s="7">
        <f>0</f>
        <v>0</v>
      </c>
      <c r="AP168" s="7">
        <f>MAX(0,1+INDEX(配置与结果!$J$15:$J$18,F168)+IF(T168&gt;0,方案参数!$BY$7,0)-配置与结果!$B$30)</f>
        <v>2</v>
      </c>
      <c r="AQ168" s="7">
        <f t="shared" si="202"/>
        <v>0</v>
      </c>
      <c r="AR168" s="7">
        <f t="shared" si="203"/>
        <v>0</v>
      </c>
      <c r="AS168" s="7">
        <f t="shared" si="204"/>
        <v>0</v>
      </c>
      <c r="AT168" s="7">
        <f>0</f>
        <v>0</v>
      </c>
      <c r="AU168" s="7">
        <f t="shared" si="205"/>
        <v>214930.88699999999</v>
      </c>
      <c r="AV168" s="1">
        <f t="shared" si="206"/>
        <v>2</v>
      </c>
      <c r="AW168" s="1">
        <f t="shared" si="239"/>
        <v>10</v>
      </c>
      <c r="AX168" s="1">
        <f t="shared" si="207"/>
        <v>1</v>
      </c>
      <c r="AY168" s="1">
        <f t="shared" si="233"/>
        <v>6</v>
      </c>
      <c r="AZ168" s="1">
        <f t="shared" si="208"/>
        <v>5</v>
      </c>
      <c r="BA168" s="1">
        <f t="shared" si="247"/>
        <v>5</v>
      </c>
      <c r="BB168" s="1">
        <f>MIN(30,R168+5)</f>
        <v>15</v>
      </c>
      <c r="BC168" s="1">
        <f t="shared" ref="BC168:BC191" si="253">MIN(3,S168+0)</f>
        <v>3</v>
      </c>
      <c r="BD168" s="1">
        <f t="shared" si="234"/>
        <v>1</v>
      </c>
      <c r="BE168" s="1">
        <f t="shared" si="227"/>
        <v>0</v>
      </c>
      <c r="BF168" s="1">
        <f>MIN(4,V168+0)</f>
        <v>3</v>
      </c>
      <c r="BG168" s="1">
        <f t="shared" si="244"/>
        <v>1</v>
      </c>
      <c r="BH168" s="1">
        <f t="shared" si="228"/>
        <v>1</v>
      </c>
      <c r="BI168" s="1">
        <f t="shared" si="245"/>
        <v>1</v>
      </c>
      <c r="BJ168" s="1">
        <f t="shared" si="248"/>
        <v>1</v>
      </c>
      <c r="BK168" s="1">
        <f t="shared" si="249"/>
        <v>1</v>
      </c>
      <c r="BL168" s="1">
        <f>MAX(AB168,1)</f>
        <v>1</v>
      </c>
      <c r="BM168" s="1">
        <f t="shared" si="252"/>
        <v>1</v>
      </c>
      <c r="BN168" s="1">
        <f t="shared" si="229"/>
        <v>1</v>
      </c>
      <c r="BO168" s="1">
        <f t="shared" si="230"/>
        <v>1</v>
      </c>
    </row>
    <row r="169" spans="1:67" ht="30.95" customHeight="1">
      <c r="A169" s="1">
        <f>4</f>
        <v>4</v>
      </c>
      <c r="B169" s="1">
        <f>固定流程!A25</f>
        <v>20</v>
      </c>
      <c r="C169" s="1">
        <f>7</f>
        <v>7</v>
      </c>
      <c r="D169" s="1">
        <f>1</f>
        <v>1</v>
      </c>
      <c r="E169" s="1">
        <f>固定流程!C25</f>
        <v>3</v>
      </c>
      <c r="F169" s="1">
        <f>固定流程!G25</f>
        <v>1</v>
      </c>
      <c r="G169" s="1" t="str">
        <f>固定流程!H25</f>
        <v>LILYA_ULT</v>
      </c>
      <c r="H169" s="1">
        <f>固定流程!F25</f>
        <v>1</v>
      </c>
      <c r="I169" s="1">
        <f>INDEX(配置与结果!$B$15:$B$18,F169)</f>
        <v>2296</v>
      </c>
      <c r="J169" s="1">
        <f>INDEX(配置与结果!$D$15:$D$18,F169)</f>
        <v>0.7</v>
      </c>
      <c r="K169" s="1">
        <f>INDEX(配置与结果!$E$15:$E$18,F169)</f>
        <v>2.0249999999999999</v>
      </c>
      <c r="L169" s="1">
        <f t="shared" si="241"/>
        <v>2</v>
      </c>
      <c r="M169" s="1">
        <f t="shared" si="242"/>
        <v>10</v>
      </c>
      <c r="N169" s="1">
        <f t="shared" si="243"/>
        <v>1</v>
      </c>
      <c r="O169" s="1">
        <f t="shared" si="235"/>
        <v>6</v>
      </c>
      <c r="P169" s="1">
        <f>MIN(方案参数!$AI$7,AZ168+0+0)</f>
        <v>5</v>
      </c>
      <c r="Q169" s="1">
        <f t="shared" si="213"/>
        <v>5</v>
      </c>
      <c r="R169" s="1">
        <f t="shared" si="214"/>
        <v>15</v>
      </c>
      <c r="S169" s="1">
        <f t="shared" si="215"/>
        <v>3</v>
      </c>
      <c r="T169" s="1">
        <f t="shared" si="250"/>
        <v>1</v>
      </c>
      <c r="U169" s="1">
        <f t="shared" si="217"/>
        <v>0</v>
      </c>
      <c r="V169" s="1">
        <f t="shared" si="218"/>
        <v>3</v>
      </c>
      <c r="W169" s="1">
        <f t="shared" si="219"/>
        <v>1</v>
      </c>
      <c r="X169" s="1">
        <f t="shared" si="220"/>
        <v>1</v>
      </c>
      <c r="Y169" s="1">
        <f t="shared" si="221"/>
        <v>1</v>
      </c>
      <c r="Z169" s="1">
        <f t="shared" si="222"/>
        <v>1</v>
      </c>
      <c r="AA169" s="1">
        <f t="shared" si="246"/>
        <v>1</v>
      </c>
      <c r="AB169" s="1">
        <f t="shared" si="224"/>
        <v>1</v>
      </c>
      <c r="AC169" s="1">
        <f t="shared" si="251"/>
        <v>1</v>
      </c>
      <c r="AD169" s="1">
        <f>ROUNDDOWN(I169*(1+IF(F169=3,0.05+方案参数!$Y$7+AA169*0.12,IF(F169=4,方案参数!$BZ$7*方案参数!$AS$7,0)))+IF(AND(X169=1,F169&lt;&gt;3),方案参数!$CC$7,0)+AC169*方案参数!$CB$7,0)</f>
        <v>3034</v>
      </c>
      <c r="AE169" s="1">
        <f>IF(OR(F169=1,F169=4),配置与结果!$B$24,配置与结果!$B$25)*MAX(0,1-INDEX(配置与结果!$I$15:$I$18,F169)+IF(O169&gt;=6,方案参数!$BK$7,0))</f>
        <v>1440</v>
      </c>
      <c r="AF169" s="1">
        <f>方案参数!$BG$7+IF(O169&gt;=6,方案参数!$BH$7,0)</f>
        <v>36</v>
      </c>
      <c r="AG169" s="1">
        <f>MAX(配置与结果!$B$32,1+INDEX(配置与结果!$F$15:$F$18,F169)+0.08+方案参数!$CD$7+Q169*方案参数!$W$7+Y169*(方案参数!$AN$7+MIN(方案参数!$AO$7,P169*0.03))+AB169*方案参数!$BZ$7*0.025-配置与结果!$B$28)</f>
        <v>2.2150000000000003</v>
      </c>
      <c r="AH169" s="1">
        <f>MAX(0,1+INDEX(配置与结果!$H$15:$H$18,F169)+W169*方案参数!$AG$7+O169*方案参数!$BF$7+IF(O169&gt;=6,方案参数!$BI$7,0))</f>
        <v>2.4500000000000002</v>
      </c>
      <c r="AI169" s="1">
        <f>IF(OR(INDEX(配置与结果!$K$15:$K$18,F169)=1,G169="RHI_BERRY"),1+配置与结果!$B$33+P169*方案参数!$AH$7,1)</f>
        <v>1</v>
      </c>
      <c r="AJ169" s="1">
        <f>MIN(1,MAX(0,J169+方案参数!$AB$7-配置与结果!$B$27))</f>
        <v>1</v>
      </c>
      <c r="AK169" s="1">
        <f>MAX(1,K169+IF(F169=2,0.15+方案参数!$CH$7,0)+BN169*方案参数!$X$7+R169*方案参数!$AA$7+IF(O169&gt;=6,方案参数!$BJ$7,0)-配置与结果!$B$26+Z169*(方案参数!$AP$7+MIN(方案参数!$AQ$7,P169*0.03)))</f>
        <v>3.145</v>
      </c>
      <c r="AL169" s="7">
        <f>ROUNDDOWN(MAX(AD169*配置与结果!$B$31,AD169-AE169)*AF169*AG169*AH169*AI169,0)</f>
        <v>311408</v>
      </c>
      <c r="AM169" s="7">
        <f>ROUNDDOWN(MAX(AD169*配置与结果!$B$31,AD169-AE169)*AF169*AG169*AH169*AI169*AK169,0)</f>
        <v>979380</v>
      </c>
      <c r="AN169" s="7">
        <f t="shared" si="201"/>
        <v>979380</v>
      </c>
      <c r="AO169" s="7">
        <f>0</f>
        <v>0</v>
      </c>
      <c r="AP169" s="7">
        <f>MAX(0,1+INDEX(配置与结果!$J$15:$J$18,F169)+IF(T169&gt;0,方案参数!$BY$7,0)-配置与结果!$B$30)</f>
        <v>2</v>
      </c>
      <c r="AQ169" s="7">
        <f t="shared" si="202"/>
        <v>0</v>
      </c>
      <c r="AR169" s="7">
        <f t="shared" si="203"/>
        <v>0</v>
      </c>
      <c r="AS169" s="7">
        <f t="shared" si="204"/>
        <v>0</v>
      </c>
      <c r="AT169" s="7">
        <f>0</f>
        <v>0</v>
      </c>
      <c r="AU169" s="7">
        <f t="shared" si="205"/>
        <v>979380</v>
      </c>
      <c r="AV169" s="1">
        <f t="shared" si="206"/>
        <v>2</v>
      </c>
      <c r="AW169" s="1">
        <f t="shared" si="239"/>
        <v>10</v>
      </c>
      <c r="AX169" s="1">
        <f t="shared" si="207"/>
        <v>1</v>
      </c>
      <c r="AY169" s="1">
        <f>MIN(20,MAX(0,O169+0+0-IF(O169&gt;=6,6,0)))</f>
        <v>0</v>
      </c>
      <c r="AZ169" s="1">
        <f t="shared" si="208"/>
        <v>5</v>
      </c>
      <c r="BA169" s="1">
        <f t="shared" si="247"/>
        <v>5</v>
      </c>
      <c r="BB169" s="1">
        <f>MIN(30,R169+5)</f>
        <v>20</v>
      </c>
      <c r="BC169" s="1">
        <f t="shared" si="253"/>
        <v>3</v>
      </c>
      <c r="BD169" s="1">
        <f t="shared" si="234"/>
        <v>1</v>
      </c>
      <c r="BE169" s="1">
        <f t="shared" si="227"/>
        <v>0</v>
      </c>
      <c r="BF169" s="1">
        <f>MIN(4,V169+0)</f>
        <v>3</v>
      </c>
      <c r="BG169" s="1">
        <f t="shared" si="244"/>
        <v>1</v>
      </c>
      <c r="BH169" s="1">
        <f t="shared" si="228"/>
        <v>1</v>
      </c>
      <c r="BI169" s="1">
        <f t="shared" si="245"/>
        <v>1</v>
      </c>
      <c r="BJ169" s="1">
        <f t="shared" si="248"/>
        <v>1</v>
      </c>
      <c r="BK169" s="1">
        <f t="shared" si="249"/>
        <v>1</v>
      </c>
      <c r="BL169" s="1">
        <f t="shared" ref="BL169:BL203" si="254">MAX(AB169,0)</f>
        <v>1</v>
      </c>
      <c r="BM169" s="1">
        <f t="shared" si="252"/>
        <v>1</v>
      </c>
      <c r="BN169" s="1">
        <f t="shared" si="229"/>
        <v>1</v>
      </c>
      <c r="BO169" s="1">
        <f t="shared" si="230"/>
        <v>1</v>
      </c>
    </row>
    <row r="170" spans="1:67" ht="30.95" customHeight="1">
      <c r="A170" s="1">
        <f>4</f>
        <v>4</v>
      </c>
      <c r="B170" s="1">
        <f>固定流程!A26</f>
        <v>21</v>
      </c>
      <c r="C170" s="1">
        <f>7</f>
        <v>7</v>
      </c>
      <c r="D170" s="1">
        <f>1</f>
        <v>1</v>
      </c>
      <c r="E170" s="1">
        <f>固定流程!C26</f>
        <v>3</v>
      </c>
      <c r="F170" s="1">
        <f>固定流程!G26</f>
        <v>1</v>
      </c>
      <c r="G170" s="1" t="str">
        <f>固定流程!H26</f>
        <v>LILYA_DIVE</v>
      </c>
      <c r="H170" s="1">
        <f>固定流程!F26</f>
        <v>3</v>
      </c>
      <c r="I170" s="1">
        <f>INDEX(配置与结果!$B$15:$B$18,F170)</f>
        <v>2296</v>
      </c>
      <c r="J170" s="1">
        <f>INDEX(配置与结果!$D$15:$D$18,F170)</f>
        <v>0.7</v>
      </c>
      <c r="K170" s="1">
        <f>INDEX(配置与结果!$E$15:$E$18,F170)</f>
        <v>2.0249999999999999</v>
      </c>
      <c r="L170" s="1">
        <f t="shared" si="241"/>
        <v>2</v>
      </c>
      <c r="M170" s="1">
        <f t="shared" si="242"/>
        <v>10</v>
      </c>
      <c r="N170" s="1">
        <f t="shared" si="243"/>
        <v>1</v>
      </c>
      <c r="O170" s="1">
        <f t="shared" si="235"/>
        <v>0</v>
      </c>
      <c r="P170" s="1">
        <f>MIN(方案参数!$AI$7,AZ169+0+0)</f>
        <v>5</v>
      </c>
      <c r="Q170" s="1">
        <f t="shared" si="213"/>
        <v>5</v>
      </c>
      <c r="R170" s="1">
        <f t="shared" si="214"/>
        <v>20</v>
      </c>
      <c r="S170" s="1">
        <f t="shared" si="215"/>
        <v>3</v>
      </c>
      <c r="T170" s="1">
        <f t="shared" si="250"/>
        <v>1</v>
      </c>
      <c r="U170" s="1">
        <f t="shared" si="217"/>
        <v>0</v>
      </c>
      <c r="V170" s="1">
        <f t="shared" si="218"/>
        <v>3</v>
      </c>
      <c r="W170" s="1">
        <f t="shared" si="219"/>
        <v>1</v>
      </c>
      <c r="X170" s="1">
        <f t="shared" si="220"/>
        <v>1</v>
      </c>
      <c r="Y170" s="1">
        <f t="shared" si="221"/>
        <v>1</v>
      </c>
      <c r="Z170" s="1">
        <f t="shared" si="222"/>
        <v>1</v>
      </c>
      <c r="AA170" s="1">
        <f t="shared" si="246"/>
        <v>1</v>
      </c>
      <c r="AB170" s="1">
        <f t="shared" si="224"/>
        <v>1</v>
      </c>
      <c r="AC170" s="1">
        <f t="shared" si="251"/>
        <v>1</v>
      </c>
      <c r="AD170" s="1">
        <f>ROUNDDOWN(I170*(1+IF(F170=3,0.05+方案参数!$Y$7+AA170*0.12,IF(F170=4,方案参数!$BZ$7*方案参数!$AS$7,0)))+IF(AND(X170=1,F170&lt;&gt;3),方案参数!$CC$7,0)+AC170*方案参数!$CB$7,0)</f>
        <v>3034</v>
      </c>
      <c r="AE170" s="1">
        <f>IF(OR(F170=1,F170=4),配置与结果!$B$24,配置与结果!$B$25)*MAX(0,1-INDEX(配置与结果!$I$15:$I$18,F170))</f>
        <v>1200</v>
      </c>
      <c r="AF170" s="1">
        <f>(IF(L170=1,方案参数!$AW$7,IF(L170=2,方案参数!$AX$7,0))+方案参数!$AV$7)*H170</f>
        <v>45</v>
      </c>
      <c r="AG170" s="1">
        <f>MAX(配置与结果!$B$32,1+INDEX(配置与结果!$F$15:$F$18,F170)+0.08+方案参数!$CD$7+Q170*方案参数!$W$7+Y170*(方案参数!$AN$7+MIN(方案参数!$AO$7,P170*0.03))+AB170*方案参数!$BZ$7*0.025+IF(L170=1,方案参数!$AY$7+(H170-1)*0.1,IF(L170=2,方案参数!$AZ$7+(H170-1)*0.2,0))-配置与结果!$B$28)</f>
        <v>3.2150000000000003</v>
      </c>
      <c r="AH170" s="1">
        <f>MAX(0,1+INDEX(配置与结果!$G$15:$G$18,F170)+W170*方案参数!$AG$7+IF(L170=1,方案参数!$BA$7,IF(L170=2,方案参数!$BB$7,0))+M170*方案参数!$BC$7)</f>
        <v>3.1</v>
      </c>
      <c r="AI170" s="1">
        <f>IF(OR(INDEX(配置与结果!$K$15:$K$18,F170)=1,G170="RHI_BERRY"),1+配置与结果!$B$33+P170*方案参数!$AH$7,1)</f>
        <v>1</v>
      </c>
      <c r="AJ170" s="1">
        <f>MIN(1,MAX(0,J170+方案参数!$AB$7-配置与结果!$B$27))</f>
        <v>1</v>
      </c>
      <c r="AK170" s="1">
        <f>MAX(1,K170+IF(F170=2,0.15+方案参数!$CH$7,0)+BN170*方案参数!$X$7+R170*方案参数!$AA$7+0-配置与结果!$B$26+Z170*(方案参数!$AP$7+MIN(方案参数!$AQ$7,P170*0.03)))</f>
        <v>2.165</v>
      </c>
      <c r="AL170" s="7">
        <f>ROUNDDOWN(MAX(AD170*配置与结果!$B$31,AD170-AE170)*AF170*AG170*AH170*AI170,0)</f>
        <v>822535</v>
      </c>
      <c r="AM170" s="7">
        <f>ROUNDDOWN(MAX(AD170*配置与结果!$B$31,AD170-AE170)*AF170*AG170*AH170*AI170*AK170,0)</f>
        <v>1780788</v>
      </c>
      <c r="AN170" s="7">
        <f t="shared" si="201"/>
        <v>1780788</v>
      </c>
      <c r="AO170" s="7">
        <f>0</f>
        <v>0</v>
      </c>
      <c r="AP170" s="7">
        <f>MAX(0,1+INDEX(配置与结果!$J$15:$J$18,F170)+IF(T170&gt;0,方案参数!$BY$7,0)-配置与结果!$B$30)</f>
        <v>2</v>
      </c>
      <c r="AQ170" s="7">
        <f t="shared" si="202"/>
        <v>0</v>
      </c>
      <c r="AR170" s="7">
        <f t="shared" si="203"/>
        <v>0</v>
      </c>
      <c r="AS170" s="7">
        <f t="shared" si="204"/>
        <v>0</v>
      </c>
      <c r="AT170" s="7">
        <f>0</f>
        <v>0</v>
      </c>
      <c r="AU170" s="7">
        <f t="shared" si="205"/>
        <v>1780788</v>
      </c>
      <c r="AV170" s="1">
        <f t="shared" si="206"/>
        <v>2</v>
      </c>
      <c r="AW170" s="1">
        <f>MIN(10,M170+0+IF(L170=1,方案参数!$BE$7,0))</f>
        <v>10</v>
      </c>
      <c r="AX170" s="1">
        <f t="shared" si="207"/>
        <v>1</v>
      </c>
      <c r="AY170" s="1">
        <f>MIN(20,MAX(0,O170+0+0-0))</f>
        <v>0</v>
      </c>
      <c r="AZ170" s="1">
        <f t="shared" si="208"/>
        <v>5</v>
      </c>
      <c r="BA170" s="1">
        <f t="shared" si="247"/>
        <v>5</v>
      </c>
      <c r="BB170" s="1">
        <f t="shared" ref="BB170:BB185" si="255">MIN(30,R170+0)</f>
        <v>20</v>
      </c>
      <c r="BC170" s="1">
        <f t="shared" si="253"/>
        <v>3</v>
      </c>
      <c r="BD170" s="1">
        <f t="shared" si="234"/>
        <v>1</v>
      </c>
      <c r="BE170" s="1">
        <f t="shared" si="227"/>
        <v>0</v>
      </c>
      <c r="BF170" s="1">
        <f>MIN(4,V170+0)</f>
        <v>3</v>
      </c>
      <c r="BG170" s="1">
        <f t="shared" si="244"/>
        <v>1</v>
      </c>
      <c r="BH170" s="1">
        <f t="shared" si="228"/>
        <v>1</v>
      </c>
      <c r="BI170" s="1">
        <f t="shared" si="245"/>
        <v>1</v>
      </c>
      <c r="BJ170" s="1">
        <f t="shared" si="248"/>
        <v>1</v>
      </c>
      <c r="BK170" s="1">
        <f t="shared" si="249"/>
        <v>1</v>
      </c>
      <c r="BL170" s="1">
        <f t="shared" si="254"/>
        <v>1</v>
      </c>
      <c r="BM170" s="1">
        <f t="shared" si="252"/>
        <v>1</v>
      </c>
      <c r="BN170" s="1">
        <f t="shared" si="229"/>
        <v>1</v>
      </c>
      <c r="BO170" s="1">
        <f t="shared" si="230"/>
        <v>1</v>
      </c>
    </row>
    <row r="171" spans="1:67" ht="30.95" customHeight="1">
      <c r="A171" s="1">
        <f>4</f>
        <v>4</v>
      </c>
      <c r="B171" s="1">
        <f>固定流程!A27</f>
        <v>22</v>
      </c>
      <c r="C171" s="1">
        <f>7</f>
        <v>7</v>
      </c>
      <c r="D171" s="1">
        <f>1</f>
        <v>1</v>
      </c>
      <c r="E171" s="1">
        <f>固定流程!C27</f>
        <v>3</v>
      </c>
      <c r="F171" s="1">
        <f>固定流程!G27</f>
        <v>3</v>
      </c>
      <c r="G171" s="1" t="str">
        <f>固定流程!H27</f>
        <v>RHI_BERRY</v>
      </c>
      <c r="H171" s="1">
        <f>固定流程!F27</f>
        <v>1</v>
      </c>
      <c r="I171" s="1">
        <f>INDEX(配置与结果!$B$15:$B$18,F171)</f>
        <v>2597</v>
      </c>
      <c r="J171" s="1">
        <f>INDEX(配置与结果!$D$15:$D$18,F171)</f>
        <v>0.255</v>
      </c>
      <c r="K171" s="1">
        <f>INDEX(配置与结果!$E$15:$E$18,F171)</f>
        <v>1.55</v>
      </c>
      <c r="L171" s="1">
        <f t="shared" si="241"/>
        <v>2</v>
      </c>
      <c r="M171" s="1">
        <f t="shared" si="242"/>
        <v>10</v>
      </c>
      <c r="N171" s="1">
        <f t="shared" si="243"/>
        <v>1</v>
      </c>
      <c r="O171" s="1">
        <f t="shared" si="235"/>
        <v>0</v>
      </c>
      <c r="P171" s="1">
        <f>MIN(方案参数!$AI$7,AZ170+0+0)</f>
        <v>5</v>
      </c>
      <c r="Q171" s="1">
        <f t="shared" si="213"/>
        <v>5</v>
      </c>
      <c r="R171" s="1">
        <f t="shared" si="214"/>
        <v>20</v>
      </c>
      <c r="S171" s="1">
        <f t="shared" si="215"/>
        <v>3</v>
      </c>
      <c r="T171" s="1">
        <f t="shared" si="250"/>
        <v>1</v>
      </c>
      <c r="U171" s="1">
        <f t="shared" si="217"/>
        <v>0</v>
      </c>
      <c r="V171" s="1">
        <f t="shared" si="218"/>
        <v>3</v>
      </c>
      <c r="W171" s="1">
        <f t="shared" si="219"/>
        <v>1</v>
      </c>
      <c r="X171" s="1">
        <f t="shared" si="220"/>
        <v>1</v>
      </c>
      <c r="Y171" s="1">
        <f t="shared" si="221"/>
        <v>1</v>
      </c>
      <c r="Z171" s="1">
        <f t="shared" si="222"/>
        <v>1</v>
      </c>
      <c r="AA171" s="1">
        <f t="shared" si="246"/>
        <v>1</v>
      </c>
      <c r="AB171" s="1">
        <f t="shared" si="224"/>
        <v>1</v>
      </c>
      <c r="AC171" s="1">
        <f t="shared" si="251"/>
        <v>1</v>
      </c>
      <c r="AD171" s="1">
        <f>ROUNDDOWN(I171*(1+IF(F171=3,0.05+方案参数!$Y$7+AA171*0.12,IF(F171=4,方案参数!$BZ$7*方案参数!$AS$7,0)))+IF(AND(X171=1,F171&lt;&gt;3),方案参数!$CC$7,0)+AC171*方案参数!$CB$7,0)</f>
        <v>3798</v>
      </c>
      <c r="AE171" s="1">
        <f>IF(OR(F171=1,F171=4),配置与结果!$B$24,配置与结果!$B$25)*MAX(0,1-INDEX(配置与结果!$I$15:$I$18,F171))</f>
        <v>1000</v>
      </c>
      <c r="AF171" s="1">
        <f>方案参数!$CF$7+P171*方案参数!$CG$7</f>
        <v>22.5</v>
      </c>
      <c r="AG171" s="1">
        <f>MAX(配置与结果!$B$32,1+INDEX(配置与结果!$F$15:$F$18,F171)+0+Q171*方案参数!$W$7+Y171*(方案参数!$AN$7+MIN(方案参数!$AO$7,P171*0.03))+AB171*方案参数!$BZ$7*0.025-配置与结果!$B$28)</f>
        <v>1.9100000000000001</v>
      </c>
      <c r="AH171" s="1">
        <f>MAX(0,1+INDEX(配置与结果!$G$15:$G$18,F171)+W171*方案参数!$AG$7)</f>
        <v>1.3</v>
      </c>
      <c r="AI171" s="1">
        <f>IF(OR(INDEX(配置与结果!$K$15:$K$18,F171)=1,G171="RHI_BERRY"),1+配置与结果!$B$33+P171*方案参数!$AH$7,1)</f>
        <v>1.5</v>
      </c>
      <c r="AJ171" s="1">
        <f>MIN(1,MAX(0,J171+方案参数!$AB$7-配置与结果!$B$27))</f>
        <v>0.55499999999999994</v>
      </c>
      <c r="AK171" s="1">
        <f>MAX(1,K171+IF(F171=2,0.15+方案参数!$CH$7,0)+BN171*方案参数!$X$7+R171*方案参数!$AA$7+0-配置与结果!$B$26+Z171*(方案参数!$AP$7+MIN(方案参数!$AQ$7,P171*0.03)))</f>
        <v>1.6900000000000002</v>
      </c>
      <c r="AL171" s="7">
        <f>ROUNDDOWN(MAX(AD171*配置与结果!$B$31,AD171-AE171)*AF171*AG171*AH171*AI171,0)</f>
        <v>234475</v>
      </c>
      <c r="AM171" s="7">
        <f>ROUNDDOWN(MAX(AD171*配置与结果!$B$31,AD171-AE171)*AF171*AG171*AH171*AI171*AK171,0)</f>
        <v>396264</v>
      </c>
      <c r="AN171" s="7">
        <f t="shared" si="201"/>
        <v>324267.89500000002</v>
      </c>
      <c r="AO171" s="7">
        <f>0</f>
        <v>0</v>
      </c>
      <c r="AP171" s="7">
        <f>MAX(0,1+INDEX(配置与结果!$J$15:$J$18,F171)+IF(T171&gt;0,方案参数!$BY$7,0)-配置与结果!$B$30)</f>
        <v>2</v>
      </c>
      <c r="AQ171" s="7">
        <f t="shared" si="202"/>
        <v>0</v>
      </c>
      <c r="AR171" s="7">
        <f t="shared" si="203"/>
        <v>0</v>
      </c>
      <c r="AS171" s="7">
        <f t="shared" si="204"/>
        <v>0</v>
      </c>
      <c r="AT171" s="7">
        <f>0</f>
        <v>0</v>
      </c>
      <c r="AU171" s="7">
        <f t="shared" si="205"/>
        <v>324267.89500000002</v>
      </c>
      <c r="AV171" s="1">
        <f t="shared" si="206"/>
        <v>2</v>
      </c>
      <c r="AW171" s="1">
        <f t="shared" ref="AW171:AW187" si="256">MIN(10,M171+0+0)</f>
        <v>10</v>
      </c>
      <c r="AX171" s="1">
        <f t="shared" si="207"/>
        <v>1</v>
      </c>
      <c r="AY171" s="1">
        <f>MIN(20,MAX(0,O171+0+0-0))</f>
        <v>0</v>
      </c>
      <c r="AZ171" s="1">
        <f t="shared" si="208"/>
        <v>5</v>
      </c>
      <c r="BA171" s="1">
        <f t="shared" si="247"/>
        <v>5</v>
      </c>
      <c r="BB171" s="1">
        <f t="shared" si="255"/>
        <v>20</v>
      </c>
      <c r="BC171" s="1">
        <f t="shared" si="253"/>
        <v>3</v>
      </c>
      <c r="BD171" s="1">
        <f t="shared" si="234"/>
        <v>1</v>
      </c>
      <c r="BE171" s="1">
        <f t="shared" si="227"/>
        <v>0</v>
      </c>
      <c r="BF171" s="1">
        <f>MIN(4,V171+0)</f>
        <v>3</v>
      </c>
      <c r="BG171" s="1">
        <f t="shared" si="244"/>
        <v>1</v>
      </c>
      <c r="BH171" s="1">
        <f t="shared" si="228"/>
        <v>1</v>
      </c>
      <c r="BI171" s="1">
        <f t="shared" si="245"/>
        <v>1</v>
      </c>
      <c r="BJ171" s="1">
        <f t="shared" si="248"/>
        <v>1</v>
      </c>
      <c r="BK171" s="1">
        <f t="shared" si="249"/>
        <v>1</v>
      </c>
      <c r="BL171" s="1">
        <f t="shared" si="254"/>
        <v>1</v>
      </c>
      <c r="BM171" s="1">
        <f t="shared" si="252"/>
        <v>1</v>
      </c>
      <c r="BN171" s="1">
        <f t="shared" si="229"/>
        <v>1</v>
      </c>
      <c r="BO171" s="1">
        <f t="shared" si="230"/>
        <v>1</v>
      </c>
    </row>
    <row r="172" spans="1:67" ht="30.95" customHeight="1">
      <c r="A172" s="1">
        <f>4</f>
        <v>4</v>
      </c>
      <c r="B172" s="1">
        <f>固定流程!A28</f>
        <v>23</v>
      </c>
      <c r="C172" s="1">
        <f>7</f>
        <v>7</v>
      </c>
      <c r="D172" s="1">
        <f>1</f>
        <v>1</v>
      </c>
      <c r="E172" s="1">
        <f>固定流程!C28</f>
        <v>3</v>
      </c>
      <c r="F172" s="1">
        <f>固定流程!G28</f>
        <v>2</v>
      </c>
      <c r="G172" s="1" t="str">
        <f>固定流程!H28</f>
        <v>37_FOLLOW</v>
      </c>
      <c r="H172" s="1">
        <f>固定流程!F28</f>
        <v>1</v>
      </c>
      <c r="I172" s="1">
        <f>INDEX(配置与结果!$B$15:$B$18,F172)</f>
        <v>2306</v>
      </c>
      <c r="J172" s="1">
        <f>INDEX(配置与结果!$D$15:$D$18,F172)</f>
        <v>0.46</v>
      </c>
      <c r="K172" s="1">
        <f>INDEX(配置与结果!$E$15:$E$18,F172)</f>
        <v>1.9279999999999999</v>
      </c>
      <c r="L172" s="1">
        <f t="shared" si="241"/>
        <v>2</v>
      </c>
      <c r="M172" s="1">
        <f t="shared" si="242"/>
        <v>10</v>
      </c>
      <c r="N172" s="1">
        <f t="shared" si="243"/>
        <v>1</v>
      </c>
      <c r="O172" s="1">
        <f t="shared" si="235"/>
        <v>0</v>
      </c>
      <c r="P172" s="1">
        <f>MIN(方案参数!$AI$7,AZ171+0+0)</f>
        <v>5</v>
      </c>
      <c r="Q172" s="1">
        <f t="shared" si="213"/>
        <v>5</v>
      </c>
      <c r="R172" s="1">
        <f t="shared" si="214"/>
        <v>20</v>
      </c>
      <c r="S172" s="1">
        <f t="shared" si="215"/>
        <v>3</v>
      </c>
      <c r="T172" s="1">
        <f t="shared" si="250"/>
        <v>1</v>
      </c>
      <c r="U172" s="1">
        <f t="shared" si="217"/>
        <v>0</v>
      </c>
      <c r="V172" s="1">
        <f t="shared" si="218"/>
        <v>3</v>
      </c>
      <c r="W172" s="1">
        <f t="shared" si="219"/>
        <v>1</v>
      </c>
      <c r="X172" s="1">
        <f t="shared" si="220"/>
        <v>1</v>
      </c>
      <c r="Y172" s="1">
        <f t="shared" si="221"/>
        <v>1</v>
      </c>
      <c r="Z172" s="1">
        <f t="shared" si="222"/>
        <v>1</v>
      </c>
      <c r="AA172" s="1">
        <f t="shared" si="246"/>
        <v>1</v>
      </c>
      <c r="AB172" s="1">
        <f t="shared" si="224"/>
        <v>1</v>
      </c>
      <c r="AC172" s="1">
        <f t="shared" si="251"/>
        <v>1</v>
      </c>
      <c r="AD172" s="1">
        <f>ROUNDDOWN(I172*(1+IF(F172=3,0.05+方案参数!$Y$7+AA172*0.12,IF(F172=4,方案参数!$BZ$7*方案参数!$AS$7,0)))+IF(AND(X172=1,F172&lt;&gt;3),方案参数!$CC$7,0)+AC172*方案参数!$CB$7,0)</f>
        <v>3044</v>
      </c>
      <c r="AE172" s="1">
        <f>IF(OR(F172=1,F172=4),配置与结果!$B$24,配置与结果!$B$25)*MAX(0,1-INDEX(配置与结果!$I$15:$I$18,F172))</f>
        <v>1000</v>
      </c>
      <c r="AF172" s="1">
        <f>方案参数!$BV$7</f>
        <v>3</v>
      </c>
      <c r="AG172" s="1">
        <f>MAX(配置与结果!$B$32,1+INDEX(配置与结果!$F$15:$F$18,F172)+0+Q172*方案参数!$W$7+Y172*(方案参数!$AN$7+MIN(方案参数!$AO$7,P172*0.03))+AB172*方案参数!$BZ$7*0.025-配置与结果!$B$28)</f>
        <v>1.8800000000000003</v>
      </c>
      <c r="AH172" s="1">
        <f>MAX(0,1+INDEX(配置与结果!$G$15:$G$18,F172)+W172*方案参数!$AG$7)</f>
        <v>1.3</v>
      </c>
      <c r="AI172" s="1">
        <f>IF(OR(INDEX(配置与结果!$K$15:$K$18,F172)=1,G172="RHI_BERRY"),1+配置与结果!$B$33+P172*方案参数!$AH$7,1)</f>
        <v>1</v>
      </c>
      <c r="AJ172" s="1">
        <f>MIN(1,MAX(0,J172+方案参数!$AB$7-配置与结果!$B$27))</f>
        <v>0.76</v>
      </c>
      <c r="AK172" s="1">
        <f>MAX(1,K172+IF(F172=2,0.15+方案参数!$CH$7,0)+BN172*方案参数!$X$7+R172*方案参数!$AA$7+0-配置与结果!$B$26+Z172*(方案参数!$AP$7+MIN(方案参数!$AQ$7,P172*0.03)))</f>
        <v>2.3380000000000001</v>
      </c>
      <c r="AL172" s="7">
        <f>ROUNDDOWN(MAX(AD172*配置与结果!$B$31,AD172-AE172)*AF172*AG172*AH172*AI172,0)</f>
        <v>14986</v>
      </c>
      <c r="AM172" s="7">
        <f>ROUNDDOWN(MAX(AD172*配置与结果!$B$31,AD172-AE172)*AF172*AG172*AH172*AI172*AK172,0)</f>
        <v>35038</v>
      </c>
      <c r="AN172" s="7">
        <f t="shared" si="201"/>
        <v>30225.52</v>
      </c>
      <c r="AO172" s="7">
        <f>方案参数!$BW$7</f>
        <v>1</v>
      </c>
      <c r="AP172" s="7">
        <f>MAX(0,1+INDEX(配置与结果!$J$15:$J$18,F172)+IF(T172&gt;0,方案参数!$BY$7,0)-配置与结果!$B$30)</f>
        <v>2</v>
      </c>
      <c r="AQ172" s="7">
        <f t="shared" si="202"/>
        <v>6088</v>
      </c>
      <c r="AR172" s="7">
        <f t="shared" si="203"/>
        <v>14233</v>
      </c>
      <c r="AS172" s="7">
        <f t="shared" si="204"/>
        <v>12278.2</v>
      </c>
      <c r="AT172" s="7">
        <f>0</f>
        <v>0</v>
      </c>
      <c r="AU172" s="7">
        <f t="shared" si="205"/>
        <v>42503.72</v>
      </c>
      <c r="AV172" s="1">
        <f t="shared" si="206"/>
        <v>2</v>
      </c>
      <c r="AW172" s="1">
        <f t="shared" si="256"/>
        <v>10</v>
      </c>
      <c r="AX172" s="1">
        <f t="shared" si="207"/>
        <v>1</v>
      </c>
      <c r="AY172" s="1">
        <f>MIN(20,MAX(0,O172+0+0-0))</f>
        <v>0</v>
      </c>
      <c r="AZ172" s="1">
        <f t="shared" si="208"/>
        <v>5</v>
      </c>
      <c r="BA172" s="1">
        <f t="shared" si="247"/>
        <v>5</v>
      </c>
      <c r="BB172" s="1">
        <f t="shared" si="255"/>
        <v>20</v>
      </c>
      <c r="BC172" s="1">
        <f t="shared" si="253"/>
        <v>3</v>
      </c>
      <c r="BD172" s="1">
        <f t="shared" si="234"/>
        <v>0</v>
      </c>
      <c r="BE172" s="1">
        <f t="shared" si="227"/>
        <v>0</v>
      </c>
      <c r="BF172" s="1">
        <f>MIN(4,V172+1)</f>
        <v>4</v>
      </c>
      <c r="BG172" s="1">
        <f t="shared" si="244"/>
        <v>1</v>
      </c>
      <c r="BH172" s="1">
        <f t="shared" si="228"/>
        <v>1</v>
      </c>
      <c r="BI172" s="1">
        <f t="shared" si="245"/>
        <v>1</v>
      </c>
      <c r="BJ172" s="1">
        <f t="shared" si="248"/>
        <v>1</v>
      </c>
      <c r="BK172" s="1">
        <f t="shared" si="249"/>
        <v>1</v>
      </c>
      <c r="BL172" s="1">
        <f t="shared" si="254"/>
        <v>1</v>
      </c>
      <c r="BM172" s="1">
        <f t="shared" si="252"/>
        <v>1</v>
      </c>
      <c r="BN172" s="1">
        <f t="shared" si="229"/>
        <v>1</v>
      </c>
      <c r="BO172" s="1">
        <f t="shared" si="230"/>
        <v>1</v>
      </c>
    </row>
    <row r="173" spans="1:67" ht="30.95" customHeight="1">
      <c r="A173" s="1">
        <f>4</f>
        <v>4</v>
      </c>
      <c r="B173" s="1">
        <f>固定流程!A29</f>
        <v>24</v>
      </c>
      <c r="C173" s="1">
        <f>7</f>
        <v>7</v>
      </c>
      <c r="D173" s="1">
        <f>2</f>
        <v>2</v>
      </c>
      <c r="E173" s="1">
        <f>固定流程!C29</f>
        <v>3</v>
      </c>
      <c r="F173" s="1">
        <f>固定流程!G29</f>
        <v>1</v>
      </c>
      <c r="G173" s="1" t="str">
        <f>固定流程!H29</f>
        <v>LILYA_WEAK</v>
      </c>
      <c r="H173" s="1">
        <f>固定流程!F29</f>
        <v>1</v>
      </c>
      <c r="I173" s="1">
        <f>INDEX(配置与结果!$B$15:$B$18,F173)</f>
        <v>2296</v>
      </c>
      <c r="J173" s="1">
        <f>INDEX(配置与结果!$D$15:$D$18,F173)</f>
        <v>0.7</v>
      </c>
      <c r="K173" s="1">
        <f>INDEX(配置与结果!$E$15:$E$18,F173)</f>
        <v>2.0249999999999999</v>
      </c>
      <c r="L173" s="1">
        <f t="shared" si="241"/>
        <v>2</v>
      </c>
      <c r="M173" s="1">
        <f t="shared" si="242"/>
        <v>10</v>
      </c>
      <c r="N173" s="1">
        <f t="shared" si="243"/>
        <v>1</v>
      </c>
      <c r="O173" s="1">
        <f t="shared" si="235"/>
        <v>0</v>
      </c>
      <c r="P173" s="1">
        <f>MIN(方案参数!$AI$7,AZ172+0+0)</f>
        <v>5</v>
      </c>
      <c r="Q173" s="1">
        <f t="shared" si="213"/>
        <v>5</v>
      </c>
      <c r="R173" s="1">
        <f t="shared" si="214"/>
        <v>20</v>
      </c>
      <c r="S173" s="1">
        <f t="shared" si="215"/>
        <v>3</v>
      </c>
      <c r="T173" s="1">
        <f t="shared" si="250"/>
        <v>0</v>
      </c>
      <c r="U173" s="1">
        <f t="shared" si="217"/>
        <v>0</v>
      </c>
      <c r="V173" s="1">
        <f t="shared" si="218"/>
        <v>4</v>
      </c>
      <c r="W173" s="1">
        <f t="shared" si="219"/>
        <v>1</v>
      </c>
      <c r="X173" s="1">
        <f t="shared" si="220"/>
        <v>1</v>
      </c>
      <c r="Y173" s="1">
        <f t="shared" si="221"/>
        <v>1</v>
      </c>
      <c r="Z173" s="1">
        <f t="shared" si="222"/>
        <v>1</v>
      </c>
      <c r="AA173" s="1">
        <f t="shared" si="246"/>
        <v>1</v>
      </c>
      <c r="AB173" s="1">
        <f t="shared" si="224"/>
        <v>1</v>
      </c>
      <c r="AC173" s="1">
        <f t="shared" si="251"/>
        <v>1</v>
      </c>
      <c r="AD173" s="1">
        <f>ROUNDDOWN(I173*(1+IF(F173=3,0.05+方案参数!$Y$7+AA173*0.12,IF(F173=4,方案参数!$BZ$7*方案参数!$AS$7,0)))+IF(AND(X173=1,F173&lt;&gt;3),方案参数!$CC$7,0)+AC173*方案参数!$CB$7,0)</f>
        <v>3034</v>
      </c>
      <c r="AE173" s="1">
        <f>IF(OR(F173=1,F173=4),配置与结果!$B$24,配置与结果!$B$25)*MAX(0,1-INDEX(配置与结果!$I$15:$I$18,F173))</f>
        <v>1200</v>
      </c>
      <c r="AF173" s="1">
        <f>方案参数!$BL$7</f>
        <v>15</v>
      </c>
      <c r="AG173" s="1">
        <f>MAX(配置与结果!$B$32,1+INDEX(配置与结果!$F$15:$F$18,F173)+0.08+方案参数!$CD$7+Q173*方案参数!$W$7+Y173*(方案参数!$AN$7+MIN(方案参数!$AO$7,P173*0.03))+AB173*方案参数!$BZ$7*0.025-配置与结果!$B$28+方案参数!$AE$7)</f>
        <v>2.6150000000000002</v>
      </c>
      <c r="AH173" s="1">
        <f>MAX(0,1+V173*方案参数!$U$7+0*方案参数!$V$7+方案参数!$AE$7-配置与结果!$B$29)</f>
        <v>1.56</v>
      </c>
      <c r="AI173" s="1">
        <f>IF(OR(INDEX(配置与结果!$K$15:$K$18,F173)=1,G173="RHI_BERRY"),1+配置与结果!$B$33+P173*方案参数!$AH$7,1)</f>
        <v>1</v>
      </c>
      <c r="AJ173" s="1">
        <f>MIN(1,MAX(0,J173+方案参数!$AB$7-配置与结果!$B$27))</f>
        <v>1</v>
      </c>
      <c r="AK173" s="1">
        <f>MAX(1,K173+IF(F173=2,0.15+方案参数!$CH$7,0)+BN173*方案参数!$X$7+R173*方案参数!$AA$7+方案参数!$BP$7-配置与结果!$B$26+Z173*(方案参数!$AP$7+MIN(方案参数!$AQ$7,P173*0.03)))</f>
        <v>2.7650000000000001</v>
      </c>
      <c r="AL173" s="7">
        <f>ROUNDDOWN(MAX(AD173*配置与结果!$B$31,AD173-AE173)*AF173*AG173*AH173*AI173,0)</f>
        <v>112224</v>
      </c>
      <c r="AM173" s="7">
        <f>ROUNDDOWN(MAX(AD173*配置与结果!$B$31,AD173-AE173)*AF173*AG173*AH173*AI173*AK173,0)</f>
        <v>310300</v>
      </c>
      <c r="AN173" s="7">
        <f t="shared" si="201"/>
        <v>310300</v>
      </c>
      <c r="AO173" s="7">
        <f>0</f>
        <v>0</v>
      </c>
      <c r="AP173" s="7">
        <f>MAX(0,1+INDEX(配置与结果!$J$15:$J$18,F173)+IF(T173&gt;0,方案参数!$BY$7,0)-配置与结果!$B$30)</f>
        <v>1</v>
      </c>
      <c r="AQ173" s="7">
        <f t="shared" si="202"/>
        <v>0</v>
      </c>
      <c r="AR173" s="7">
        <f t="shared" si="203"/>
        <v>0</v>
      </c>
      <c r="AS173" s="7">
        <f t="shared" si="204"/>
        <v>0</v>
      </c>
      <c r="AT173" s="7">
        <f>IF(U173&gt;0,ROUNDDOWN(AL173*方案参数!$AF$7,0)*(1-AJ173)+ROUNDDOWN(AM173*方案参数!$AF$7,0)*AJ173,0)</f>
        <v>0</v>
      </c>
      <c r="AU173" s="7">
        <f t="shared" si="205"/>
        <v>310300</v>
      </c>
      <c r="AV173" s="1">
        <f t="shared" si="206"/>
        <v>2</v>
      </c>
      <c r="AW173" s="1">
        <f t="shared" si="256"/>
        <v>10</v>
      </c>
      <c r="AX173" s="1">
        <f t="shared" si="207"/>
        <v>1</v>
      </c>
      <c r="AY173" s="1">
        <f>MIN(20,MAX(0,O173+0+1-0))</f>
        <v>1</v>
      </c>
      <c r="AZ173" s="1">
        <f t="shared" si="208"/>
        <v>5</v>
      </c>
      <c r="BA173" s="1">
        <f t="shared" si="247"/>
        <v>5</v>
      </c>
      <c r="BB173" s="1">
        <f t="shared" si="255"/>
        <v>20</v>
      </c>
      <c r="BC173" s="1">
        <f t="shared" si="253"/>
        <v>3</v>
      </c>
      <c r="BD173" s="1">
        <f t="shared" si="234"/>
        <v>0</v>
      </c>
      <c r="BE173" s="1">
        <f>MAX(0,U173-IF(AF173&gt;0,1,0))+0</f>
        <v>0</v>
      </c>
      <c r="BF173" s="1">
        <f t="shared" ref="BF173:BF190" si="257">MIN(4,V173+0)</f>
        <v>4</v>
      </c>
      <c r="BG173" s="1">
        <f t="shared" si="244"/>
        <v>1</v>
      </c>
      <c r="BH173" s="1">
        <f t="shared" si="228"/>
        <v>1</v>
      </c>
      <c r="BI173" s="1">
        <f t="shared" si="245"/>
        <v>1</v>
      </c>
      <c r="BJ173" s="1">
        <f t="shared" si="248"/>
        <v>1</v>
      </c>
      <c r="BK173" s="1">
        <f t="shared" si="249"/>
        <v>1</v>
      </c>
      <c r="BL173" s="1">
        <f t="shared" si="254"/>
        <v>1</v>
      </c>
      <c r="BM173" s="1">
        <f t="shared" si="252"/>
        <v>1</v>
      </c>
      <c r="BN173" s="1">
        <f t="shared" si="229"/>
        <v>1</v>
      </c>
      <c r="BO173" s="1">
        <f t="shared" si="230"/>
        <v>1</v>
      </c>
    </row>
    <row r="174" spans="1:67" ht="30.95" customHeight="1">
      <c r="A174" s="1">
        <f>4</f>
        <v>4</v>
      </c>
      <c r="B174" s="1">
        <f>固定流程!A30</f>
        <v>25</v>
      </c>
      <c r="C174" s="1">
        <f>7</f>
        <v>7</v>
      </c>
      <c r="D174" s="1">
        <f>2</f>
        <v>2</v>
      </c>
      <c r="E174" s="1">
        <f>固定流程!C30</f>
        <v>3</v>
      </c>
      <c r="F174" s="1">
        <f>固定流程!G30</f>
        <v>1</v>
      </c>
      <c r="G174" s="1" t="str">
        <f>固定流程!H30</f>
        <v>LILYA_WEAK</v>
      </c>
      <c r="H174" s="1">
        <f>固定流程!F30</f>
        <v>1</v>
      </c>
      <c r="I174" s="1">
        <f>INDEX(配置与结果!$B$15:$B$18,F174)</f>
        <v>2296</v>
      </c>
      <c r="J174" s="1">
        <f>INDEX(配置与结果!$D$15:$D$18,F174)</f>
        <v>0.7</v>
      </c>
      <c r="K174" s="1">
        <f>INDEX(配置与结果!$E$15:$E$18,F174)</f>
        <v>2.0249999999999999</v>
      </c>
      <c r="L174" s="1">
        <f t="shared" si="241"/>
        <v>2</v>
      </c>
      <c r="M174" s="1">
        <f t="shared" si="242"/>
        <v>10</v>
      </c>
      <c r="N174" s="1">
        <f t="shared" si="243"/>
        <v>1</v>
      </c>
      <c r="O174" s="1">
        <f t="shared" si="235"/>
        <v>1</v>
      </c>
      <c r="P174" s="1">
        <f>MIN(方案参数!$AI$7,AZ173+0+0)</f>
        <v>5</v>
      </c>
      <c r="Q174" s="1">
        <f t="shared" si="213"/>
        <v>5</v>
      </c>
      <c r="R174" s="1">
        <f t="shared" si="214"/>
        <v>20</v>
      </c>
      <c r="S174" s="1">
        <f t="shared" si="215"/>
        <v>3</v>
      </c>
      <c r="T174" s="1">
        <f t="shared" si="250"/>
        <v>0</v>
      </c>
      <c r="U174" s="1">
        <f t="shared" si="217"/>
        <v>0</v>
      </c>
      <c r="V174" s="1">
        <f t="shared" si="218"/>
        <v>4</v>
      </c>
      <c r="W174" s="1">
        <f t="shared" si="219"/>
        <v>1</v>
      </c>
      <c r="X174" s="1">
        <f t="shared" si="220"/>
        <v>1</v>
      </c>
      <c r="Y174" s="1">
        <f t="shared" si="221"/>
        <v>1</v>
      </c>
      <c r="Z174" s="1">
        <f t="shared" si="222"/>
        <v>1</v>
      </c>
      <c r="AA174" s="1">
        <f t="shared" si="246"/>
        <v>1</v>
      </c>
      <c r="AB174" s="1">
        <f t="shared" si="224"/>
        <v>1</v>
      </c>
      <c r="AC174" s="1">
        <f t="shared" si="251"/>
        <v>1</v>
      </c>
      <c r="AD174" s="1">
        <f>ROUNDDOWN(I174*(1+IF(F174=3,0.05+方案参数!$Y$7+AA174*0.12,IF(F174=4,方案参数!$BZ$7*方案参数!$AS$7,0)))+IF(AND(X174=1,F174&lt;&gt;3),方案参数!$CC$7,0)+AC174*方案参数!$CB$7,0)</f>
        <v>3034</v>
      </c>
      <c r="AE174" s="1">
        <f>IF(OR(F174=1,F174=4),配置与结果!$B$24,配置与结果!$B$25)*MAX(0,1-INDEX(配置与结果!$I$15:$I$18,F174))</f>
        <v>1200</v>
      </c>
      <c r="AF174" s="1">
        <f>方案参数!$BL$7</f>
        <v>15</v>
      </c>
      <c r="AG174" s="1">
        <f>MAX(配置与结果!$B$32,1+INDEX(配置与结果!$F$15:$F$18,F174)+0.08+方案参数!$CD$7+Q174*方案参数!$W$7+Y174*(方案参数!$AN$7+MIN(方案参数!$AO$7,P174*0.03))+AB174*方案参数!$BZ$7*0.025-配置与结果!$B$28+方案参数!$AE$7)</f>
        <v>2.6150000000000002</v>
      </c>
      <c r="AH174" s="1">
        <f>MAX(0,1+V174*方案参数!$U$7+1*方案参数!$V$7+方案参数!$AE$7-配置与结果!$B$29)</f>
        <v>1.62</v>
      </c>
      <c r="AI174" s="1">
        <f>IF(OR(INDEX(配置与结果!$K$15:$K$18,F174)=1,G174="RHI_BERRY"),1+配置与结果!$B$33+P174*方案参数!$AH$7,1)</f>
        <v>1</v>
      </c>
      <c r="AJ174" s="1">
        <f>MIN(1,MAX(0,J174+方案参数!$AB$7-配置与结果!$B$27))</f>
        <v>1</v>
      </c>
      <c r="AK174" s="1">
        <f>MAX(1,K174+IF(F174=2,0.15+方案参数!$CH$7,0)+BN174*方案参数!$X$7+R174*方案参数!$AA$7+方案参数!$BP$7-配置与结果!$B$26+Z174*(方案参数!$AP$7+MIN(方案参数!$AQ$7,P174*0.03)))</f>
        <v>2.7650000000000001</v>
      </c>
      <c r="AL174" s="7">
        <f>ROUNDDOWN(MAX(AD174*配置与结果!$B$31,AD174-AE174)*AF174*AG174*AH174*AI174,0)</f>
        <v>116540</v>
      </c>
      <c r="AM174" s="7">
        <f>ROUNDDOWN(MAX(AD174*配置与结果!$B$31,AD174-AE174)*AF174*AG174*AH174*AI174*AK174,0)</f>
        <v>322234</v>
      </c>
      <c r="AN174" s="7">
        <f t="shared" si="201"/>
        <v>322234</v>
      </c>
      <c r="AO174" s="7">
        <f>0</f>
        <v>0</v>
      </c>
      <c r="AP174" s="7">
        <f>MAX(0,1+INDEX(配置与结果!$J$15:$J$18,F174)+IF(T174&gt;0,方案参数!$BY$7,0)-配置与结果!$B$30)</f>
        <v>1</v>
      </c>
      <c r="AQ174" s="7">
        <f t="shared" si="202"/>
        <v>0</v>
      </c>
      <c r="AR174" s="7">
        <f t="shared" si="203"/>
        <v>0</v>
      </c>
      <c r="AS174" s="7">
        <f t="shared" si="204"/>
        <v>0</v>
      </c>
      <c r="AT174" s="7">
        <f>IF(U174&gt;0,ROUNDDOWN(AL174*方案参数!$AF$7,0)*(1-AJ174)+ROUNDDOWN(AM174*方案参数!$AF$7,0)*AJ174,0)</f>
        <v>0</v>
      </c>
      <c r="AU174" s="7">
        <f t="shared" si="205"/>
        <v>322234</v>
      </c>
      <c r="AV174" s="1">
        <f t="shared" si="206"/>
        <v>2</v>
      </c>
      <c r="AW174" s="1">
        <f t="shared" si="256"/>
        <v>10</v>
      </c>
      <c r="AX174" s="1">
        <f t="shared" si="207"/>
        <v>1</v>
      </c>
      <c r="AY174" s="1">
        <f>MIN(20,MAX(0,O174+0+1-0))</f>
        <v>2</v>
      </c>
      <c r="AZ174" s="1">
        <f t="shared" si="208"/>
        <v>5</v>
      </c>
      <c r="BA174" s="1">
        <f t="shared" si="247"/>
        <v>5</v>
      </c>
      <c r="BB174" s="1">
        <f t="shared" si="255"/>
        <v>20</v>
      </c>
      <c r="BC174" s="1">
        <f t="shared" si="253"/>
        <v>3</v>
      </c>
      <c r="BD174" s="1">
        <f t="shared" si="234"/>
        <v>0</v>
      </c>
      <c r="BE174" s="1">
        <f>MAX(0,U174-IF(AF174&gt;0,1,0))+0</f>
        <v>0</v>
      </c>
      <c r="BF174" s="1">
        <f t="shared" si="257"/>
        <v>4</v>
      </c>
      <c r="BG174" s="1">
        <f t="shared" si="244"/>
        <v>1</v>
      </c>
      <c r="BH174" s="1">
        <f t="shared" si="228"/>
        <v>1</v>
      </c>
      <c r="BI174" s="1">
        <f t="shared" si="245"/>
        <v>1</v>
      </c>
      <c r="BJ174" s="1">
        <f t="shared" si="248"/>
        <v>1</v>
      </c>
      <c r="BK174" s="1">
        <f t="shared" si="249"/>
        <v>1</v>
      </c>
      <c r="BL174" s="1">
        <f t="shared" si="254"/>
        <v>1</v>
      </c>
      <c r="BM174" s="1">
        <f t="shared" si="252"/>
        <v>1</v>
      </c>
      <c r="BN174" s="1">
        <f t="shared" si="229"/>
        <v>1</v>
      </c>
      <c r="BO174" s="1">
        <f t="shared" si="230"/>
        <v>1</v>
      </c>
    </row>
    <row r="175" spans="1:67" ht="30.95" customHeight="1">
      <c r="A175" s="1">
        <f>4</f>
        <v>4</v>
      </c>
      <c r="B175" s="1">
        <f>固定流程!A31</f>
        <v>26</v>
      </c>
      <c r="C175" s="1">
        <f>7</f>
        <v>7</v>
      </c>
      <c r="D175" s="1">
        <f>2</f>
        <v>2</v>
      </c>
      <c r="E175" s="1">
        <f>固定流程!C31</f>
        <v>3</v>
      </c>
      <c r="F175" s="1">
        <f>固定流程!G31</f>
        <v>2</v>
      </c>
      <c r="G175" s="1" t="str">
        <f>固定流程!H31</f>
        <v>37_WEAK</v>
      </c>
      <c r="H175" s="1">
        <f>固定流程!F31</f>
        <v>1</v>
      </c>
      <c r="I175" s="1">
        <f>INDEX(配置与结果!$B$15:$B$18,F175)</f>
        <v>2306</v>
      </c>
      <c r="J175" s="1">
        <f>INDEX(配置与结果!$D$15:$D$18,F175)</f>
        <v>0.46</v>
      </c>
      <c r="K175" s="1">
        <f>INDEX(配置与结果!$E$15:$E$18,F175)</f>
        <v>1.9279999999999999</v>
      </c>
      <c r="L175" s="1">
        <f t="shared" si="241"/>
        <v>2</v>
      </c>
      <c r="M175" s="1">
        <f t="shared" si="242"/>
        <v>10</v>
      </c>
      <c r="N175" s="1">
        <f t="shared" si="243"/>
        <v>1</v>
      </c>
      <c r="O175" s="1">
        <f t="shared" si="235"/>
        <v>2</v>
      </c>
      <c r="P175" s="1">
        <f>MIN(方案参数!$AI$7,AZ174+0+0)</f>
        <v>5</v>
      </c>
      <c r="Q175" s="1">
        <f t="shared" si="213"/>
        <v>5</v>
      </c>
      <c r="R175" s="1">
        <f t="shared" si="214"/>
        <v>20</v>
      </c>
      <c r="S175" s="1">
        <f t="shared" si="215"/>
        <v>3</v>
      </c>
      <c r="T175" s="1">
        <f t="shared" si="250"/>
        <v>0</v>
      </c>
      <c r="U175" s="1">
        <f t="shared" si="217"/>
        <v>0</v>
      </c>
      <c r="V175" s="1">
        <f t="shared" si="218"/>
        <v>4</v>
      </c>
      <c r="W175" s="1">
        <f t="shared" si="219"/>
        <v>1</v>
      </c>
      <c r="X175" s="1">
        <f t="shared" si="220"/>
        <v>1</v>
      </c>
      <c r="Y175" s="1">
        <f t="shared" si="221"/>
        <v>1</v>
      </c>
      <c r="Z175" s="1">
        <f t="shared" si="222"/>
        <v>1</v>
      </c>
      <c r="AA175" s="1">
        <f t="shared" si="246"/>
        <v>1</v>
      </c>
      <c r="AB175" s="1">
        <f t="shared" si="224"/>
        <v>1</v>
      </c>
      <c r="AC175" s="1">
        <f t="shared" si="251"/>
        <v>1</v>
      </c>
      <c r="AD175" s="1">
        <f>ROUNDDOWN(I175*(1+IF(F175=3,0.05+方案参数!$Y$7+AA175*0.12,IF(F175=4,方案参数!$BZ$7*方案参数!$AS$7,0)))+IF(AND(X175=1,F175&lt;&gt;3),方案参数!$CC$7,0)+AC175*方案参数!$CB$7,0)</f>
        <v>3044</v>
      </c>
      <c r="AE175" s="1">
        <f>IF(OR(F175=1,F175=4),配置与结果!$B$24,配置与结果!$B$25)*MAX(0,1-INDEX(配置与结果!$I$15:$I$18,F175))</f>
        <v>1000</v>
      </c>
      <c r="AF175" s="1">
        <f>方案参数!$CE$7</f>
        <v>8</v>
      </c>
      <c r="AG175" s="1">
        <f>MAX(配置与结果!$B$32,1+INDEX(配置与结果!$F$15:$F$18,F175)+0+Q175*方案参数!$W$7+Y175*(方案参数!$AN$7+MIN(方案参数!$AO$7,P175*0.03))+AB175*方案参数!$BZ$7*0.025-配置与结果!$B$28+方案参数!$AE$7)</f>
        <v>2.2800000000000002</v>
      </c>
      <c r="AH175" s="1">
        <f>MAX(0,1+V175*方案参数!$U$7+方案参数!$AE$7-配置与结果!$B$29)</f>
        <v>1.56</v>
      </c>
      <c r="AI175" s="1">
        <f>IF(OR(INDEX(配置与结果!$K$15:$K$18,F175)=1,G175="RHI_BERRY"),1+配置与结果!$B$33+P175*方案参数!$AH$7,1)</f>
        <v>1</v>
      </c>
      <c r="AJ175" s="1">
        <f>MIN(1,MAX(0,J175+方案参数!$AB$7-配置与结果!$B$27))</f>
        <v>0.76</v>
      </c>
      <c r="AK175" s="1">
        <f>MAX(1,K175+IF(F175=2,0.15+方案参数!$CH$7,0)+BN175*方案参数!$X$7+R175*方案参数!$AA$7+0-配置与结果!$B$26+Z175*(方案参数!$AP$7+MIN(方案参数!$AQ$7,P175*0.03)))</f>
        <v>2.3380000000000001</v>
      </c>
      <c r="AL175" s="7">
        <f>ROUNDDOWN(MAX(AD175*配置与结果!$B$31,AD175-AE175)*AF175*AG175*AH175*AI175,0)</f>
        <v>58160</v>
      </c>
      <c r="AM175" s="7">
        <f>ROUNDDOWN(MAX(AD175*配置与结果!$B$31,AD175-AE175)*AF175*AG175*AH175*AI175*AK175,0)</f>
        <v>135979</v>
      </c>
      <c r="AN175" s="7">
        <f t="shared" si="201"/>
        <v>117302.44</v>
      </c>
      <c r="AO175" s="7">
        <f>0</f>
        <v>0</v>
      </c>
      <c r="AP175" s="7">
        <f>MAX(0,1+INDEX(配置与结果!$J$15:$J$18,F175)+IF(T175&gt;0,方案参数!$BY$7,0)-配置与结果!$B$30)</f>
        <v>1</v>
      </c>
      <c r="AQ175" s="7">
        <f t="shared" si="202"/>
        <v>0</v>
      </c>
      <c r="AR175" s="7">
        <f t="shared" si="203"/>
        <v>0</v>
      </c>
      <c r="AS175" s="7">
        <f t="shared" si="204"/>
        <v>0</v>
      </c>
      <c r="AT175" s="7">
        <f>IF(U175&gt;0,ROUNDDOWN(AL175*方案参数!$AF$7,0)*(1-AJ175)+ROUNDDOWN(AM175*方案参数!$AF$7,0)*AJ175,0)</f>
        <v>0</v>
      </c>
      <c r="AU175" s="7">
        <f t="shared" si="205"/>
        <v>117302.44</v>
      </c>
      <c r="AV175" s="1">
        <f t="shared" si="206"/>
        <v>2</v>
      </c>
      <c r="AW175" s="1">
        <f t="shared" si="256"/>
        <v>10</v>
      </c>
      <c r="AX175" s="1">
        <f t="shared" si="207"/>
        <v>1</v>
      </c>
      <c r="AY175" s="1">
        <f>MIN(20,MAX(0,O175+0+0-0))</f>
        <v>2</v>
      </c>
      <c r="AZ175" s="1">
        <f t="shared" si="208"/>
        <v>5</v>
      </c>
      <c r="BA175" s="1">
        <f t="shared" si="247"/>
        <v>5</v>
      </c>
      <c r="BB175" s="1">
        <f t="shared" si="255"/>
        <v>20</v>
      </c>
      <c r="BC175" s="1">
        <f t="shared" si="253"/>
        <v>3</v>
      </c>
      <c r="BD175" s="1">
        <f t="shared" si="234"/>
        <v>0</v>
      </c>
      <c r="BE175" s="1">
        <f>MAX(0,U175-IF(AF175&gt;0,1,0))+1</f>
        <v>1</v>
      </c>
      <c r="BF175" s="1">
        <f t="shared" si="257"/>
        <v>4</v>
      </c>
      <c r="BG175" s="1">
        <f t="shared" si="244"/>
        <v>1</v>
      </c>
      <c r="BH175" s="1">
        <f t="shared" si="228"/>
        <v>1</v>
      </c>
      <c r="BI175" s="1">
        <f t="shared" si="245"/>
        <v>1</v>
      </c>
      <c r="BJ175" s="1">
        <f t="shared" si="248"/>
        <v>1</v>
      </c>
      <c r="BK175" s="1">
        <f t="shared" si="249"/>
        <v>1</v>
      </c>
      <c r="BL175" s="1">
        <f t="shared" si="254"/>
        <v>1</v>
      </c>
      <c r="BM175" s="1">
        <f t="shared" si="252"/>
        <v>1</v>
      </c>
      <c r="BN175" s="1">
        <f t="shared" si="229"/>
        <v>1</v>
      </c>
      <c r="BO175" s="1">
        <f t="shared" si="230"/>
        <v>1</v>
      </c>
    </row>
    <row r="176" spans="1:67" ht="30.95" customHeight="1">
      <c r="A176" s="1">
        <f>4</f>
        <v>4</v>
      </c>
      <c r="B176" s="1">
        <f>固定流程!A32</f>
        <v>27</v>
      </c>
      <c r="C176" s="1">
        <f>7</f>
        <v>7</v>
      </c>
      <c r="D176" s="1">
        <f>2</f>
        <v>2</v>
      </c>
      <c r="E176" s="1">
        <f>固定流程!C32</f>
        <v>3</v>
      </c>
      <c r="F176" s="1">
        <f>固定流程!G32</f>
        <v>1</v>
      </c>
      <c r="G176" s="1" t="str">
        <f>固定流程!H32</f>
        <v>LILYA_THIRD</v>
      </c>
      <c r="H176" s="1">
        <f>固定流程!F32</f>
        <v>1</v>
      </c>
      <c r="I176" s="1">
        <f>INDEX(配置与结果!$B$15:$B$18,F176)</f>
        <v>2296</v>
      </c>
      <c r="J176" s="1">
        <f>INDEX(配置与结果!$D$15:$D$18,F176)</f>
        <v>0.7</v>
      </c>
      <c r="K176" s="1">
        <f>INDEX(配置与结果!$E$15:$E$18,F176)</f>
        <v>2.0249999999999999</v>
      </c>
      <c r="L176" s="1">
        <f t="shared" si="241"/>
        <v>2</v>
      </c>
      <c r="M176" s="1">
        <f t="shared" si="242"/>
        <v>10</v>
      </c>
      <c r="N176" s="1">
        <f t="shared" si="243"/>
        <v>1</v>
      </c>
      <c r="O176" s="1">
        <f t="shared" si="235"/>
        <v>2</v>
      </c>
      <c r="P176" s="1">
        <f>MIN(方案参数!$AI$7,AZ175+0+0)</f>
        <v>5</v>
      </c>
      <c r="Q176" s="1">
        <f t="shared" si="213"/>
        <v>5</v>
      </c>
      <c r="R176" s="1">
        <f t="shared" si="214"/>
        <v>20</v>
      </c>
      <c r="S176" s="1">
        <f t="shared" si="215"/>
        <v>3</v>
      </c>
      <c r="T176" s="1">
        <f t="shared" si="250"/>
        <v>0</v>
      </c>
      <c r="U176" s="1">
        <f t="shared" si="217"/>
        <v>1</v>
      </c>
      <c r="V176" s="1">
        <f t="shared" si="218"/>
        <v>4</v>
      </c>
      <c r="W176" s="1">
        <f t="shared" si="219"/>
        <v>1</v>
      </c>
      <c r="X176" s="1">
        <f t="shared" si="220"/>
        <v>1</v>
      </c>
      <c r="Y176" s="1">
        <f t="shared" si="221"/>
        <v>1</v>
      </c>
      <c r="Z176" s="1">
        <f t="shared" si="222"/>
        <v>1</v>
      </c>
      <c r="AA176" s="1">
        <f t="shared" si="246"/>
        <v>1</v>
      </c>
      <c r="AB176" s="1">
        <f t="shared" si="224"/>
        <v>1</v>
      </c>
      <c r="AC176" s="1">
        <f t="shared" si="251"/>
        <v>1</v>
      </c>
      <c r="AD176" s="1">
        <f>ROUNDDOWN(I176*(1+IF(F176=3,0.05+方案参数!$Y$7+AA176*0.12,IF(F176=4,方案参数!$BZ$7*方案参数!$AS$7,0)))+IF(AND(X176=1,F176&lt;&gt;3),方案参数!$CC$7,0)+AC176*方案参数!$CB$7,0)</f>
        <v>3034</v>
      </c>
      <c r="AE176" s="1">
        <f>IF(OR(F176=1,F176=4),配置与结果!$B$24,配置与结果!$B$25)*MAX(0,1-INDEX(配置与结果!$I$15:$I$18,F176))</f>
        <v>1200</v>
      </c>
      <c r="AF176" s="1">
        <f>方案参数!$BM$7</f>
        <v>32</v>
      </c>
      <c r="AG176" s="1">
        <f>MAX(配置与结果!$B$32,1+INDEX(配置与结果!$F$15:$F$18,F176)+0.08+方案参数!$CD$7+Q176*方案参数!$W$7+Y176*(方案参数!$AN$7+MIN(方案参数!$AO$7,P176*0.03))+AB176*方案参数!$BZ$7*0.025-配置与结果!$B$28+方案参数!$AE$7)</f>
        <v>2.6150000000000002</v>
      </c>
      <c r="AH176" s="1">
        <f>MAX(0,1+V176*方案参数!$U$7+3*方案参数!$V$7+方案参数!$AE$7-配置与结果!$B$29)</f>
        <v>1.7399999999999998</v>
      </c>
      <c r="AI176" s="1">
        <f>IF(OR(INDEX(配置与结果!$K$15:$K$18,F176)=1,G176="RHI_BERRY"),1+配置与结果!$B$33+P176*方案参数!$AH$7,1)</f>
        <v>1</v>
      </c>
      <c r="AJ176" s="1">
        <f>MIN(1,MAX(0,J176+方案参数!$AB$7-配置与结果!$B$27))</f>
        <v>1</v>
      </c>
      <c r="AK176" s="1">
        <f>MAX(1,K176+IF(F176=2,0.15+方案参数!$CH$7,0)+BN176*方案参数!$X$7+R176*方案参数!$AA$7+方案参数!$BQ$7-配置与结果!$B$26+Z176*(方案参数!$AP$7+MIN(方案参数!$AQ$7,P176*0.03)))</f>
        <v>2.9650000000000003</v>
      </c>
      <c r="AL176" s="7">
        <f>ROUNDDOWN(MAX(AD176*配置与结果!$B$31,AD176-AE176)*AF176*AG176*AH176*AI176,0)</f>
        <v>267036</v>
      </c>
      <c r="AM176" s="7">
        <f>ROUNDDOWN(MAX(AD176*配置与结果!$B$31,AD176-AE176)*AF176*AG176*AH176*AI176*AK176,0)</f>
        <v>791762</v>
      </c>
      <c r="AN176" s="7">
        <f t="shared" si="201"/>
        <v>791762</v>
      </c>
      <c r="AO176" s="7">
        <f>0</f>
        <v>0</v>
      </c>
      <c r="AP176" s="7">
        <f>MAX(0,1+INDEX(配置与结果!$J$15:$J$18,F176)+IF(T176&gt;0,方案参数!$BY$7,0)-配置与结果!$B$30)</f>
        <v>1</v>
      </c>
      <c r="AQ176" s="7">
        <f t="shared" si="202"/>
        <v>0</v>
      </c>
      <c r="AR176" s="7">
        <f t="shared" si="203"/>
        <v>0</v>
      </c>
      <c r="AS176" s="7">
        <f t="shared" si="204"/>
        <v>0</v>
      </c>
      <c r="AT176" s="7">
        <f>IF(U176&gt;0,ROUNDDOWN(AL176*方案参数!$AF$7,0)*(1-AJ176)+ROUNDDOWN(AM176*方案参数!$AF$7,0)*AJ176,0)</f>
        <v>316704</v>
      </c>
      <c r="AU176" s="7">
        <f t="shared" si="205"/>
        <v>1108466</v>
      </c>
      <c r="AV176" s="1">
        <f t="shared" si="206"/>
        <v>2</v>
      </c>
      <c r="AW176" s="1">
        <f t="shared" si="256"/>
        <v>10</v>
      </c>
      <c r="AX176" s="1">
        <f t="shared" si="207"/>
        <v>1</v>
      </c>
      <c r="AY176" s="1">
        <f>MIN(20,MAX(0,O176+0+1-0))</f>
        <v>3</v>
      </c>
      <c r="AZ176" s="1">
        <f t="shared" si="208"/>
        <v>5</v>
      </c>
      <c r="BA176" s="1">
        <f t="shared" si="247"/>
        <v>5</v>
      </c>
      <c r="BB176" s="1">
        <f t="shared" si="255"/>
        <v>20</v>
      </c>
      <c r="BC176" s="1">
        <f t="shared" si="253"/>
        <v>3</v>
      </c>
      <c r="BD176" s="1">
        <f t="shared" si="234"/>
        <v>0</v>
      </c>
      <c r="BE176" s="1">
        <f>MAX(0,U176-IF(AF176&gt;0,1,0))+0</f>
        <v>0</v>
      </c>
      <c r="BF176" s="1">
        <f t="shared" si="257"/>
        <v>4</v>
      </c>
      <c r="BG176" s="1">
        <f t="shared" si="244"/>
        <v>1</v>
      </c>
      <c r="BH176" s="1">
        <f t="shared" si="228"/>
        <v>1</v>
      </c>
      <c r="BI176" s="1">
        <f t="shared" si="245"/>
        <v>1</v>
      </c>
      <c r="BJ176" s="1">
        <f t="shared" si="248"/>
        <v>1</v>
      </c>
      <c r="BK176" s="1">
        <f t="shared" si="249"/>
        <v>1</v>
      </c>
      <c r="BL176" s="1">
        <f t="shared" si="254"/>
        <v>1</v>
      </c>
      <c r="BM176" s="1">
        <f t="shared" si="252"/>
        <v>1</v>
      </c>
      <c r="BN176" s="1">
        <f t="shared" si="229"/>
        <v>1</v>
      </c>
      <c r="BO176" s="1">
        <f t="shared" si="230"/>
        <v>1</v>
      </c>
    </row>
    <row r="177" spans="1:67" ht="30.95" customHeight="1">
      <c r="A177" s="1">
        <f>4</f>
        <v>4</v>
      </c>
      <c r="B177" s="1">
        <f>固定流程!A33</f>
        <v>28</v>
      </c>
      <c r="C177" s="1">
        <f>7</f>
        <v>7</v>
      </c>
      <c r="D177" s="1">
        <f>2</f>
        <v>2</v>
      </c>
      <c r="E177" s="1">
        <f>固定流程!C33</f>
        <v>3</v>
      </c>
      <c r="F177" s="1">
        <f>固定流程!G33</f>
        <v>1</v>
      </c>
      <c r="G177" s="1" t="str">
        <f>固定流程!H33</f>
        <v>LILYA_WEAK</v>
      </c>
      <c r="H177" s="1">
        <f>固定流程!F33</f>
        <v>1</v>
      </c>
      <c r="I177" s="1">
        <f>INDEX(配置与结果!$B$15:$B$18,F177)</f>
        <v>2296</v>
      </c>
      <c r="J177" s="1">
        <f>INDEX(配置与结果!$D$15:$D$18,F177)</f>
        <v>0.7</v>
      </c>
      <c r="K177" s="1">
        <f>INDEX(配置与结果!$E$15:$E$18,F177)</f>
        <v>2.0249999999999999</v>
      </c>
      <c r="L177" s="1">
        <f t="shared" si="241"/>
        <v>2</v>
      </c>
      <c r="M177" s="1">
        <f t="shared" si="242"/>
        <v>10</v>
      </c>
      <c r="N177" s="1">
        <f t="shared" si="243"/>
        <v>1</v>
      </c>
      <c r="O177" s="1">
        <f t="shared" si="235"/>
        <v>3</v>
      </c>
      <c r="P177" s="1">
        <f>MIN(方案参数!$AI$7,AZ176+0+0)</f>
        <v>5</v>
      </c>
      <c r="Q177" s="1">
        <f t="shared" si="213"/>
        <v>5</v>
      </c>
      <c r="R177" s="1">
        <f t="shared" si="214"/>
        <v>20</v>
      </c>
      <c r="S177" s="1">
        <f t="shared" si="215"/>
        <v>3</v>
      </c>
      <c r="T177" s="1">
        <f t="shared" si="250"/>
        <v>0</v>
      </c>
      <c r="U177" s="1">
        <f t="shared" si="217"/>
        <v>0</v>
      </c>
      <c r="V177" s="1">
        <f t="shared" si="218"/>
        <v>4</v>
      </c>
      <c r="W177" s="1">
        <f t="shared" si="219"/>
        <v>1</v>
      </c>
      <c r="X177" s="1">
        <f t="shared" si="220"/>
        <v>1</v>
      </c>
      <c r="Y177" s="1">
        <f t="shared" si="221"/>
        <v>1</v>
      </c>
      <c r="Z177" s="1">
        <f t="shared" si="222"/>
        <v>1</v>
      </c>
      <c r="AA177" s="1">
        <f t="shared" si="246"/>
        <v>1</v>
      </c>
      <c r="AB177" s="1">
        <f t="shared" si="224"/>
        <v>1</v>
      </c>
      <c r="AC177" s="1">
        <f t="shared" si="251"/>
        <v>1</v>
      </c>
      <c r="AD177" s="1">
        <f>ROUNDDOWN(I177*(1+IF(F177=3,0.05+方案参数!$Y$7+AA177*0.12,IF(F177=4,方案参数!$BZ$7*方案参数!$AS$7,0)))+IF(AND(X177=1,F177&lt;&gt;3),方案参数!$CC$7,0)+AC177*方案参数!$CB$7,0)</f>
        <v>3034</v>
      </c>
      <c r="AE177" s="1">
        <f>IF(OR(F177=1,F177=4),配置与结果!$B$24,配置与结果!$B$25)*MAX(0,1-INDEX(配置与结果!$I$15:$I$18,F177))</f>
        <v>1200</v>
      </c>
      <c r="AF177" s="1">
        <f>方案参数!$BL$7</f>
        <v>15</v>
      </c>
      <c r="AG177" s="1">
        <f>MAX(配置与结果!$B$32,1+INDEX(配置与结果!$F$15:$F$18,F177)+0.08+方案参数!$CD$7+Q177*方案参数!$W$7+Y177*(方案参数!$AN$7+MIN(方案参数!$AO$7,P177*0.03))+AB177*方案参数!$BZ$7*0.025-配置与结果!$B$28+方案参数!$AE$7)</f>
        <v>2.6150000000000002</v>
      </c>
      <c r="AH177" s="1">
        <f>MAX(0,1+V177*方案参数!$U$7+4*方案参数!$V$7+方案参数!$AE$7-配置与结果!$B$29)</f>
        <v>1.7999999999999998</v>
      </c>
      <c r="AI177" s="1">
        <f>IF(OR(INDEX(配置与结果!$K$15:$K$18,F177)=1,G177="RHI_BERRY"),1+配置与结果!$B$33+P177*方案参数!$AH$7,1)</f>
        <v>1</v>
      </c>
      <c r="AJ177" s="1">
        <f>MIN(1,MAX(0,J177+方案参数!$AB$7-配置与结果!$B$27))</f>
        <v>1</v>
      </c>
      <c r="AK177" s="1">
        <f>MAX(1,K177+IF(F177=2,0.15+方案参数!$CH$7,0)+BN177*方案参数!$X$7+R177*方案参数!$AA$7+方案参数!$BP$7-配置与结果!$B$26+Z177*(方案参数!$AP$7+MIN(方案参数!$AQ$7,P177*0.03)))</f>
        <v>2.7650000000000001</v>
      </c>
      <c r="AL177" s="7">
        <f>ROUNDDOWN(MAX(AD177*配置与结果!$B$31,AD177-AE177)*AF177*AG177*AH177*AI177,0)</f>
        <v>129489</v>
      </c>
      <c r="AM177" s="7">
        <f>ROUNDDOWN(MAX(AD177*配置与结果!$B$31,AD177-AE177)*AF177*AG177*AH177*AI177*AK177,0)</f>
        <v>358038</v>
      </c>
      <c r="AN177" s="7">
        <f t="shared" si="201"/>
        <v>358038</v>
      </c>
      <c r="AO177" s="7">
        <f>0</f>
        <v>0</v>
      </c>
      <c r="AP177" s="7">
        <f>MAX(0,1+INDEX(配置与结果!$J$15:$J$18,F177)+IF(T177&gt;0,方案参数!$BY$7,0)-配置与结果!$B$30)</f>
        <v>1</v>
      </c>
      <c r="AQ177" s="7">
        <f t="shared" si="202"/>
        <v>0</v>
      </c>
      <c r="AR177" s="7">
        <f t="shared" si="203"/>
        <v>0</v>
      </c>
      <c r="AS177" s="7">
        <f t="shared" si="204"/>
        <v>0</v>
      </c>
      <c r="AT177" s="7">
        <f>IF(U177&gt;0,ROUNDDOWN(AL177*方案参数!$AF$7,0)*(1-AJ177)+ROUNDDOWN(AM177*方案参数!$AF$7,0)*AJ177,0)</f>
        <v>0</v>
      </c>
      <c r="AU177" s="7">
        <f t="shared" si="205"/>
        <v>358038</v>
      </c>
      <c r="AV177" s="1">
        <f t="shared" si="206"/>
        <v>2</v>
      </c>
      <c r="AW177" s="1">
        <f t="shared" si="256"/>
        <v>10</v>
      </c>
      <c r="AX177" s="1">
        <f t="shared" si="207"/>
        <v>1</v>
      </c>
      <c r="AY177" s="1">
        <f>MIN(20,MAX(0,O177+0+1-0))</f>
        <v>4</v>
      </c>
      <c r="AZ177" s="1">
        <f t="shared" si="208"/>
        <v>5</v>
      </c>
      <c r="BA177" s="1">
        <f t="shared" si="247"/>
        <v>5</v>
      </c>
      <c r="BB177" s="1">
        <f t="shared" si="255"/>
        <v>20</v>
      </c>
      <c r="BC177" s="1">
        <f t="shared" si="253"/>
        <v>3</v>
      </c>
      <c r="BD177" s="1">
        <f t="shared" si="234"/>
        <v>0</v>
      </c>
      <c r="BE177" s="1">
        <f>MAX(0,U177-IF(AF177&gt;0,1,0))+0</f>
        <v>0</v>
      </c>
      <c r="BF177" s="1">
        <f t="shared" si="257"/>
        <v>4</v>
      </c>
      <c r="BG177" s="1">
        <f t="shared" si="244"/>
        <v>1</v>
      </c>
      <c r="BH177" s="1">
        <f t="shared" si="228"/>
        <v>1</v>
      </c>
      <c r="BI177" s="1">
        <f t="shared" si="245"/>
        <v>1</v>
      </c>
      <c r="BJ177" s="1">
        <f t="shared" si="248"/>
        <v>1</v>
      </c>
      <c r="BK177" s="1">
        <f t="shared" si="249"/>
        <v>1</v>
      </c>
      <c r="BL177" s="1">
        <f t="shared" si="254"/>
        <v>1</v>
      </c>
      <c r="BM177" s="1">
        <f t="shared" si="252"/>
        <v>1</v>
      </c>
      <c r="BN177" s="1">
        <f t="shared" si="229"/>
        <v>1</v>
      </c>
      <c r="BO177" s="1">
        <f t="shared" si="230"/>
        <v>1</v>
      </c>
    </row>
    <row r="178" spans="1:67" ht="30.95" customHeight="1">
      <c r="A178" s="1">
        <f>4</f>
        <v>4</v>
      </c>
      <c r="B178" s="1">
        <f>固定流程!A34</f>
        <v>29</v>
      </c>
      <c r="C178" s="1">
        <f>7</f>
        <v>7</v>
      </c>
      <c r="D178" s="1">
        <f>2</f>
        <v>2</v>
      </c>
      <c r="E178" s="1">
        <f>固定流程!C34</f>
        <v>3</v>
      </c>
      <c r="F178" s="1">
        <f>固定流程!G34</f>
        <v>1</v>
      </c>
      <c r="G178" s="1" t="str">
        <f>固定流程!H34</f>
        <v>LILYA_WEAK</v>
      </c>
      <c r="H178" s="1">
        <f>固定流程!F34</f>
        <v>1</v>
      </c>
      <c r="I178" s="1">
        <f>INDEX(配置与结果!$B$15:$B$18,F178)</f>
        <v>2296</v>
      </c>
      <c r="J178" s="1">
        <f>INDEX(配置与结果!$D$15:$D$18,F178)</f>
        <v>0.7</v>
      </c>
      <c r="K178" s="1">
        <f>INDEX(配置与结果!$E$15:$E$18,F178)</f>
        <v>2.0249999999999999</v>
      </c>
      <c r="L178" s="1">
        <f t="shared" si="241"/>
        <v>2</v>
      </c>
      <c r="M178" s="1">
        <f t="shared" si="242"/>
        <v>10</v>
      </c>
      <c r="N178" s="1">
        <f t="shared" si="243"/>
        <v>1</v>
      </c>
      <c r="O178" s="1">
        <f t="shared" si="235"/>
        <v>4</v>
      </c>
      <c r="P178" s="1">
        <f>MIN(方案参数!$AI$7,AZ177+0+0)</f>
        <v>5</v>
      </c>
      <c r="Q178" s="1">
        <f t="shared" si="213"/>
        <v>5</v>
      </c>
      <c r="R178" s="1">
        <f t="shared" si="214"/>
        <v>20</v>
      </c>
      <c r="S178" s="1">
        <f t="shared" si="215"/>
        <v>3</v>
      </c>
      <c r="T178" s="1">
        <f t="shared" si="250"/>
        <v>0</v>
      </c>
      <c r="U178" s="1">
        <f t="shared" si="217"/>
        <v>0</v>
      </c>
      <c r="V178" s="1">
        <f t="shared" si="218"/>
        <v>4</v>
      </c>
      <c r="W178" s="1">
        <f t="shared" si="219"/>
        <v>1</v>
      </c>
      <c r="X178" s="1">
        <f t="shared" si="220"/>
        <v>1</v>
      </c>
      <c r="Y178" s="1">
        <f t="shared" si="221"/>
        <v>1</v>
      </c>
      <c r="Z178" s="1">
        <f t="shared" si="222"/>
        <v>1</v>
      </c>
      <c r="AA178" s="1">
        <f t="shared" si="246"/>
        <v>1</v>
      </c>
      <c r="AB178" s="1">
        <f t="shared" si="224"/>
        <v>1</v>
      </c>
      <c r="AC178" s="1">
        <f t="shared" si="251"/>
        <v>1</v>
      </c>
      <c r="AD178" s="1">
        <f>ROUNDDOWN(I178*(1+IF(F178=3,0.05+方案参数!$Y$7+AA178*0.12,IF(F178=4,方案参数!$BZ$7*方案参数!$AS$7,0)))+IF(AND(X178=1,F178&lt;&gt;3),方案参数!$CC$7,0)+AC178*方案参数!$CB$7,0)</f>
        <v>3034</v>
      </c>
      <c r="AE178" s="1">
        <f>IF(OR(F178=1,F178=4),配置与结果!$B$24,配置与结果!$B$25)*MAX(0,1-INDEX(配置与结果!$I$15:$I$18,F178))</f>
        <v>1200</v>
      </c>
      <c r="AF178" s="1">
        <f>方案参数!$BL$7</f>
        <v>15</v>
      </c>
      <c r="AG178" s="1">
        <f>MAX(配置与结果!$B$32,1+INDEX(配置与结果!$F$15:$F$18,F178)+0.08+方案参数!$CD$7+Q178*方案参数!$W$7+Y178*(方案参数!$AN$7+MIN(方案参数!$AO$7,P178*0.03))+AB178*方案参数!$BZ$7*0.025-配置与结果!$B$28+方案参数!$AE$7)</f>
        <v>2.6150000000000002</v>
      </c>
      <c r="AH178" s="1">
        <f>MAX(0,1+V178*方案参数!$U$7+5*方案参数!$V$7+方案参数!$AE$7-配置与结果!$B$29)</f>
        <v>1.8599999999999999</v>
      </c>
      <c r="AI178" s="1">
        <f>IF(OR(INDEX(配置与结果!$K$15:$K$18,F178)=1,G178="RHI_BERRY"),1+配置与结果!$B$33+P178*方案参数!$AH$7,1)</f>
        <v>1</v>
      </c>
      <c r="AJ178" s="1">
        <f>MIN(1,MAX(0,J178+方案参数!$AB$7-配置与结果!$B$27))</f>
        <v>1</v>
      </c>
      <c r="AK178" s="1">
        <f>MAX(1,K178+IF(F178=2,0.15+方案参数!$CH$7,0)+BN178*方案参数!$X$7+R178*方案参数!$AA$7+方案参数!$BP$7-配置与结果!$B$26+Z178*(方案参数!$AP$7+MIN(方案参数!$AQ$7,P178*0.03)))</f>
        <v>2.7650000000000001</v>
      </c>
      <c r="AL178" s="7">
        <f>ROUNDDOWN(MAX(AD178*配置与结果!$B$31,AD178-AE178)*AF178*AG178*AH178*AI178,0)</f>
        <v>133805</v>
      </c>
      <c r="AM178" s="7">
        <f>ROUNDDOWN(MAX(AD178*配置与结果!$B$31,AD178-AE178)*AF178*AG178*AH178*AI178*AK178,0)</f>
        <v>369973</v>
      </c>
      <c r="AN178" s="7">
        <f t="shared" si="201"/>
        <v>369973</v>
      </c>
      <c r="AO178" s="7">
        <f>0</f>
        <v>0</v>
      </c>
      <c r="AP178" s="7">
        <f>MAX(0,1+INDEX(配置与结果!$J$15:$J$18,F178)+IF(T178&gt;0,方案参数!$BY$7,0)-配置与结果!$B$30)</f>
        <v>1</v>
      </c>
      <c r="AQ178" s="7">
        <f t="shared" si="202"/>
        <v>0</v>
      </c>
      <c r="AR178" s="7">
        <f t="shared" si="203"/>
        <v>0</v>
      </c>
      <c r="AS178" s="7">
        <f t="shared" si="204"/>
        <v>0</v>
      </c>
      <c r="AT178" s="7">
        <f>IF(U178&gt;0,ROUNDDOWN(AL178*方案参数!$AF$7,0)*(1-AJ178)+ROUNDDOWN(AM178*方案参数!$AF$7,0)*AJ178,0)</f>
        <v>0</v>
      </c>
      <c r="AU178" s="7">
        <f t="shared" si="205"/>
        <v>369973</v>
      </c>
      <c r="AV178" s="1">
        <f t="shared" si="206"/>
        <v>2</v>
      </c>
      <c r="AW178" s="1">
        <f t="shared" si="256"/>
        <v>10</v>
      </c>
      <c r="AX178" s="1">
        <f t="shared" si="207"/>
        <v>1</v>
      </c>
      <c r="AY178" s="1">
        <f>MIN(20,MAX(0,O178+0+1-0))</f>
        <v>5</v>
      </c>
      <c r="AZ178" s="1">
        <f t="shared" si="208"/>
        <v>5</v>
      </c>
      <c r="BA178" s="1">
        <f t="shared" si="247"/>
        <v>5</v>
      </c>
      <c r="BB178" s="1">
        <f t="shared" si="255"/>
        <v>20</v>
      </c>
      <c r="BC178" s="1">
        <f t="shared" si="253"/>
        <v>3</v>
      </c>
      <c r="BD178" s="1">
        <f t="shared" si="234"/>
        <v>0</v>
      </c>
      <c r="BE178" s="1">
        <f>MAX(0,U178-IF(AF178&gt;0,1,0))+0</f>
        <v>0</v>
      </c>
      <c r="BF178" s="1">
        <f t="shared" si="257"/>
        <v>4</v>
      </c>
      <c r="BG178" s="1">
        <f t="shared" si="244"/>
        <v>1</v>
      </c>
      <c r="BH178" s="1">
        <f t="shared" si="228"/>
        <v>1</v>
      </c>
      <c r="BI178" s="1">
        <f t="shared" si="245"/>
        <v>1</v>
      </c>
      <c r="BJ178" s="1">
        <f t="shared" si="248"/>
        <v>1</v>
      </c>
      <c r="BK178" s="1">
        <f t="shared" si="249"/>
        <v>1</v>
      </c>
      <c r="BL178" s="1">
        <f t="shared" si="254"/>
        <v>1</v>
      </c>
      <c r="BM178" s="1">
        <f t="shared" si="252"/>
        <v>1</v>
      </c>
      <c r="BN178" s="1">
        <f t="shared" si="229"/>
        <v>1</v>
      </c>
      <c r="BO178" s="1">
        <f t="shared" si="230"/>
        <v>1</v>
      </c>
    </row>
    <row r="179" spans="1:67" ht="30.95" customHeight="1">
      <c r="A179" s="1">
        <f>4</f>
        <v>4</v>
      </c>
      <c r="B179" s="1">
        <f>固定流程!A35</f>
        <v>30</v>
      </c>
      <c r="C179" s="1">
        <f>7</f>
        <v>7</v>
      </c>
      <c r="D179" s="1">
        <f>2</f>
        <v>2</v>
      </c>
      <c r="E179" s="1">
        <f>固定流程!C35</f>
        <v>3</v>
      </c>
      <c r="F179" s="1">
        <f>固定流程!G35</f>
        <v>2</v>
      </c>
      <c r="G179" s="1" t="str">
        <f>固定流程!H35</f>
        <v>37_WEAK</v>
      </c>
      <c r="H179" s="1">
        <f>固定流程!F35</f>
        <v>1</v>
      </c>
      <c r="I179" s="1">
        <f>INDEX(配置与结果!$B$15:$B$18,F179)</f>
        <v>2306</v>
      </c>
      <c r="J179" s="1">
        <f>INDEX(配置与结果!$D$15:$D$18,F179)</f>
        <v>0.46</v>
      </c>
      <c r="K179" s="1">
        <f>INDEX(配置与结果!$E$15:$E$18,F179)</f>
        <v>1.9279999999999999</v>
      </c>
      <c r="L179" s="1">
        <f t="shared" si="241"/>
        <v>2</v>
      </c>
      <c r="M179" s="1">
        <f t="shared" si="242"/>
        <v>10</v>
      </c>
      <c r="N179" s="1">
        <f t="shared" si="243"/>
        <v>1</v>
      </c>
      <c r="O179" s="1">
        <f t="shared" si="235"/>
        <v>5</v>
      </c>
      <c r="P179" s="1">
        <f>MIN(方案参数!$AI$7,AZ178+0+0)</f>
        <v>5</v>
      </c>
      <c r="Q179" s="1">
        <f t="shared" si="213"/>
        <v>5</v>
      </c>
      <c r="R179" s="1">
        <f t="shared" si="214"/>
        <v>20</v>
      </c>
      <c r="S179" s="1">
        <f t="shared" si="215"/>
        <v>3</v>
      </c>
      <c r="T179" s="1">
        <f t="shared" si="250"/>
        <v>0</v>
      </c>
      <c r="U179" s="1">
        <f t="shared" si="217"/>
        <v>0</v>
      </c>
      <c r="V179" s="1">
        <f t="shared" si="218"/>
        <v>4</v>
      </c>
      <c r="W179" s="1">
        <f t="shared" si="219"/>
        <v>1</v>
      </c>
      <c r="X179" s="1">
        <f t="shared" si="220"/>
        <v>1</v>
      </c>
      <c r="Y179" s="1">
        <f t="shared" si="221"/>
        <v>1</v>
      </c>
      <c r="Z179" s="1">
        <f t="shared" si="222"/>
        <v>1</v>
      </c>
      <c r="AA179" s="1">
        <f t="shared" si="246"/>
        <v>1</v>
      </c>
      <c r="AB179" s="1">
        <f t="shared" si="224"/>
        <v>1</v>
      </c>
      <c r="AC179" s="1">
        <f t="shared" si="251"/>
        <v>1</v>
      </c>
      <c r="AD179" s="1">
        <f>ROUNDDOWN(I179*(1+IF(F179=3,0.05+方案参数!$Y$7+AA179*0.12,IF(F179=4,方案参数!$BZ$7*方案参数!$AS$7,0)))+IF(AND(X179=1,F179&lt;&gt;3),方案参数!$CC$7,0)+AC179*方案参数!$CB$7,0)</f>
        <v>3044</v>
      </c>
      <c r="AE179" s="1">
        <f>IF(OR(F179=1,F179=4),配置与结果!$B$24,配置与结果!$B$25)*MAX(0,1-INDEX(配置与结果!$I$15:$I$18,F179))</f>
        <v>1000</v>
      </c>
      <c r="AF179" s="1">
        <f>方案参数!$CE$7</f>
        <v>8</v>
      </c>
      <c r="AG179" s="1">
        <f>MAX(配置与结果!$B$32,1+INDEX(配置与结果!$F$15:$F$18,F179)+0+Q179*方案参数!$W$7+Y179*(方案参数!$AN$7+MIN(方案参数!$AO$7,P179*0.03))+AB179*方案参数!$BZ$7*0.025-配置与结果!$B$28+方案参数!$AE$7)</f>
        <v>2.2800000000000002</v>
      </c>
      <c r="AH179" s="1">
        <f>MAX(0,1+V179*方案参数!$U$7+方案参数!$AE$7-配置与结果!$B$29)</f>
        <v>1.56</v>
      </c>
      <c r="AI179" s="1">
        <f>IF(OR(INDEX(配置与结果!$K$15:$K$18,F179)=1,G179="RHI_BERRY"),1+配置与结果!$B$33+P179*方案参数!$AH$7,1)</f>
        <v>1</v>
      </c>
      <c r="AJ179" s="1">
        <f>MIN(1,MAX(0,J179+方案参数!$AB$7-配置与结果!$B$27))</f>
        <v>0.76</v>
      </c>
      <c r="AK179" s="1">
        <f>MAX(1,K179+IF(F179=2,0.15+方案参数!$CH$7,0)+BN179*方案参数!$X$7+R179*方案参数!$AA$7+0-配置与结果!$B$26+Z179*(方案参数!$AP$7+MIN(方案参数!$AQ$7,P179*0.03)))</f>
        <v>2.3380000000000001</v>
      </c>
      <c r="AL179" s="7">
        <f>ROUNDDOWN(MAX(AD179*配置与结果!$B$31,AD179-AE179)*AF179*AG179*AH179*AI179,0)</f>
        <v>58160</v>
      </c>
      <c r="AM179" s="7">
        <f>ROUNDDOWN(MAX(AD179*配置与结果!$B$31,AD179-AE179)*AF179*AG179*AH179*AI179*AK179,0)</f>
        <v>135979</v>
      </c>
      <c r="AN179" s="7">
        <f t="shared" si="201"/>
        <v>117302.44</v>
      </c>
      <c r="AO179" s="7">
        <f>0</f>
        <v>0</v>
      </c>
      <c r="AP179" s="7">
        <f>MAX(0,1+INDEX(配置与结果!$J$15:$J$18,F179)+IF(T179&gt;0,方案参数!$BY$7,0)-配置与结果!$B$30)</f>
        <v>1</v>
      </c>
      <c r="AQ179" s="7">
        <f t="shared" si="202"/>
        <v>0</v>
      </c>
      <c r="AR179" s="7">
        <f t="shared" si="203"/>
        <v>0</v>
      </c>
      <c r="AS179" s="7">
        <f t="shared" si="204"/>
        <v>0</v>
      </c>
      <c r="AT179" s="7">
        <f>IF(U179&gt;0,ROUNDDOWN(AL179*方案参数!$AF$7,0)*(1-AJ179)+ROUNDDOWN(AM179*方案参数!$AF$7,0)*AJ179,0)</f>
        <v>0</v>
      </c>
      <c r="AU179" s="7">
        <f t="shared" si="205"/>
        <v>117302.44</v>
      </c>
      <c r="AV179" s="1">
        <f t="shared" si="206"/>
        <v>2</v>
      </c>
      <c r="AW179" s="1">
        <f t="shared" si="256"/>
        <v>10</v>
      </c>
      <c r="AX179" s="1">
        <f t="shared" si="207"/>
        <v>1</v>
      </c>
      <c r="AY179" s="1">
        <f>MIN(20,MAX(0,O179+0+0-0))</f>
        <v>5</v>
      </c>
      <c r="AZ179" s="1">
        <f t="shared" si="208"/>
        <v>5</v>
      </c>
      <c r="BA179" s="1">
        <f t="shared" si="247"/>
        <v>5</v>
      </c>
      <c r="BB179" s="1">
        <f t="shared" si="255"/>
        <v>20</v>
      </c>
      <c r="BC179" s="1">
        <f t="shared" si="253"/>
        <v>3</v>
      </c>
      <c r="BD179" s="1">
        <f t="shared" si="234"/>
        <v>0</v>
      </c>
      <c r="BE179" s="1">
        <f>MAX(0,U179-IF(AF179&gt;0,1,0))+1</f>
        <v>1</v>
      </c>
      <c r="BF179" s="1">
        <f t="shared" si="257"/>
        <v>4</v>
      </c>
      <c r="BG179" s="1">
        <f t="shared" si="244"/>
        <v>1</v>
      </c>
      <c r="BH179" s="1">
        <f t="shared" si="228"/>
        <v>1</v>
      </c>
      <c r="BI179" s="1">
        <f t="shared" si="245"/>
        <v>1</v>
      </c>
      <c r="BJ179" s="1">
        <f t="shared" si="248"/>
        <v>1</v>
      </c>
      <c r="BK179" s="1">
        <f t="shared" si="249"/>
        <v>1</v>
      </c>
      <c r="BL179" s="1">
        <f t="shared" si="254"/>
        <v>1</v>
      </c>
      <c r="BM179" s="1">
        <f t="shared" si="252"/>
        <v>1</v>
      </c>
      <c r="BN179" s="1">
        <f t="shared" si="229"/>
        <v>1</v>
      </c>
      <c r="BO179" s="1">
        <f t="shared" si="230"/>
        <v>1</v>
      </c>
    </row>
    <row r="180" spans="1:67" ht="30.95" customHeight="1">
      <c r="A180" s="1">
        <f>4</f>
        <v>4</v>
      </c>
      <c r="B180" s="1">
        <f>固定流程!A36</f>
        <v>31</v>
      </c>
      <c r="C180" s="1">
        <f>7</f>
        <v>7</v>
      </c>
      <c r="D180" s="1">
        <f>2</f>
        <v>2</v>
      </c>
      <c r="E180" s="1">
        <f>固定流程!C36</f>
        <v>3</v>
      </c>
      <c r="F180" s="1">
        <f>固定流程!G36</f>
        <v>1</v>
      </c>
      <c r="G180" s="1" t="str">
        <f>固定流程!H36</f>
        <v>LILYA_THIRD</v>
      </c>
      <c r="H180" s="1">
        <f>固定流程!F36</f>
        <v>1</v>
      </c>
      <c r="I180" s="1">
        <f>INDEX(配置与结果!$B$15:$B$18,F180)</f>
        <v>2296</v>
      </c>
      <c r="J180" s="1">
        <f>INDEX(配置与结果!$D$15:$D$18,F180)</f>
        <v>0.7</v>
      </c>
      <c r="K180" s="1">
        <f>INDEX(配置与结果!$E$15:$E$18,F180)</f>
        <v>2.0249999999999999</v>
      </c>
      <c r="L180" s="1">
        <f t="shared" si="241"/>
        <v>2</v>
      </c>
      <c r="M180" s="1">
        <f t="shared" si="242"/>
        <v>10</v>
      </c>
      <c r="N180" s="1">
        <f t="shared" si="243"/>
        <v>1</v>
      </c>
      <c r="O180" s="1">
        <f t="shared" si="235"/>
        <v>5</v>
      </c>
      <c r="P180" s="1">
        <f>MIN(方案参数!$AI$7,AZ179+0+0)</f>
        <v>5</v>
      </c>
      <c r="Q180" s="1">
        <f t="shared" si="213"/>
        <v>5</v>
      </c>
      <c r="R180" s="1">
        <f t="shared" si="214"/>
        <v>20</v>
      </c>
      <c r="S180" s="1">
        <f t="shared" si="215"/>
        <v>3</v>
      </c>
      <c r="T180" s="1">
        <f t="shared" si="250"/>
        <v>0</v>
      </c>
      <c r="U180" s="1">
        <f t="shared" si="217"/>
        <v>1</v>
      </c>
      <c r="V180" s="1">
        <f t="shared" si="218"/>
        <v>4</v>
      </c>
      <c r="W180" s="1">
        <f t="shared" si="219"/>
        <v>1</v>
      </c>
      <c r="X180" s="1">
        <f t="shared" si="220"/>
        <v>1</v>
      </c>
      <c r="Y180" s="1">
        <f t="shared" si="221"/>
        <v>1</v>
      </c>
      <c r="Z180" s="1">
        <f t="shared" si="222"/>
        <v>1</v>
      </c>
      <c r="AA180" s="1">
        <f t="shared" si="246"/>
        <v>1</v>
      </c>
      <c r="AB180" s="1">
        <f t="shared" si="224"/>
        <v>1</v>
      </c>
      <c r="AC180" s="1">
        <f t="shared" si="251"/>
        <v>1</v>
      </c>
      <c r="AD180" s="1">
        <f>ROUNDDOWN(I180*(1+IF(F180=3,0.05+方案参数!$Y$7+AA180*0.12,IF(F180=4,方案参数!$BZ$7*方案参数!$AS$7,0)))+IF(AND(X180=1,F180&lt;&gt;3),方案参数!$CC$7,0)+AC180*方案参数!$CB$7,0)</f>
        <v>3034</v>
      </c>
      <c r="AE180" s="1">
        <f>IF(OR(F180=1,F180=4),配置与结果!$B$24,配置与结果!$B$25)*MAX(0,1-INDEX(配置与结果!$I$15:$I$18,F180))</f>
        <v>1200</v>
      </c>
      <c r="AF180" s="1">
        <f>方案参数!$BM$7</f>
        <v>32</v>
      </c>
      <c r="AG180" s="1">
        <f>MAX(配置与结果!$B$32,1+INDEX(配置与结果!$F$15:$F$18,F180)+0.08+方案参数!$CD$7+Q180*方案参数!$W$7+Y180*(方案参数!$AN$7+MIN(方案参数!$AO$7,P180*0.03))+AB180*方案参数!$BZ$7*0.025-配置与结果!$B$28+方案参数!$AE$7)</f>
        <v>2.6150000000000002</v>
      </c>
      <c r="AH180" s="1">
        <f>MAX(0,1+V180*方案参数!$U$7+7*方案参数!$V$7+方案参数!$AE$7-配置与结果!$B$29)</f>
        <v>1.98</v>
      </c>
      <c r="AI180" s="1">
        <f>IF(OR(INDEX(配置与结果!$K$15:$K$18,F180)=1,G180="RHI_BERRY"),1+配置与结果!$B$33+P180*方案参数!$AH$7,1)</f>
        <v>1</v>
      </c>
      <c r="AJ180" s="1">
        <f>MIN(1,MAX(0,J180+方案参数!$AB$7-配置与结果!$B$27))</f>
        <v>1</v>
      </c>
      <c r="AK180" s="1">
        <f>MAX(1,K180+IF(F180=2,0.15+方案参数!$CH$7,0)+BN180*方案参数!$X$7+R180*方案参数!$AA$7+方案参数!$BQ$7-配置与结果!$B$26+Z180*(方案参数!$AP$7+MIN(方案参数!$AQ$7,P180*0.03)))</f>
        <v>2.9650000000000003</v>
      </c>
      <c r="AL180" s="7">
        <f>ROUNDDOWN(MAX(AD180*配置与结果!$B$31,AD180-AE180)*AF180*AG180*AH180*AI180,0)</f>
        <v>303868</v>
      </c>
      <c r="AM180" s="7">
        <f>ROUNDDOWN(MAX(AD180*配置与结果!$B$31,AD180-AE180)*AF180*AG180*AH180*AI180*AK180,0)</f>
        <v>900971</v>
      </c>
      <c r="AN180" s="7">
        <f t="shared" si="201"/>
        <v>900971</v>
      </c>
      <c r="AO180" s="7">
        <f>0</f>
        <v>0</v>
      </c>
      <c r="AP180" s="7">
        <f>MAX(0,1+INDEX(配置与结果!$J$15:$J$18,F180)+IF(T180&gt;0,方案参数!$BY$7,0)-配置与结果!$B$30)</f>
        <v>1</v>
      </c>
      <c r="AQ180" s="7">
        <f t="shared" si="202"/>
        <v>0</v>
      </c>
      <c r="AR180" s="7">
        <f t="shared" si="203"/>
        <v>0</v>
      </c>
      <c r="AS180" s="7">
        <f t="shared" si="204"/>
        <v>0</v>
      </c>
      <c r="AT180" s="7">
        <f>IF(U180&gt;0,ROUNDDOWN(AL180*方案参数!$AF$7,0)*(1-AJ180)+ROUNDDOWN(AM180*方案参数!$AF$7,0)*AJ180,0)</f>
        <v>360388</v>
      </c>
      <c r="AU180" s="7">
        <f t="shared" si="205"/>
        <v>1261359</v>
      </c>
      <c r="AV180" s="1">
        <f t="shared" si="206"/>
        <v>2</v>
      </c>
      <c r="AW180" s="1">
        <f t="shared" si="256"/>
        <v>10</v>
      </c>
      <c r="AX180" s="1">
        <f t="shared" si="207"/>
        <v>1</v>
      </c>
      <c r="AY180" s="1">
        <f>MIN(20,MAX(0,O180+0+1-0))</f>
        <v>6</v>
      </c>
      <c r="AZ180" s="1">
        <f t="shared" si="208"/>
        <v>5</v>
      </c>
      <c r="BA180" s="1">
        <f t="shared" si="247"/>
        <v>5</v>
      </c>
      <c r="BB180" s="1">
        <f t="shared" si="255"/>
        <v>20</v>
      </c>
      <c r="BC180" s="1">
        <f t="shared" si="253"/>
        <v>3</v>
      </c>
      <c r="BD180" s="1">
        <f t="shared" si="234"/>
        <v>0</v>
      </c>
      <c r="BE180" s="1">
        <f>MAX(0,U180-IF(AF180&gt;0,1,0))+0</f>
        <v>0</v>
      </c>
      <c r="BF180" s="1">
        <f t="shared" si="257"/>
        <v>4</v>
      </c>
      <c r="BG180" s="1">
        <f t="shared" si="244"/>
        <v>1</v>
      </c>
      <c r="BH180" s="1">
        <f t="shared" si="228"/>
        <v>1</v>
      </c>
      <c r="BI180" s="1">
        <f t="shared" si="245"/>
        <v>1</v>
      </c>
      <c r="BJ180" s="1">
        <f t="shared" si="248"/>
        <v>1</v>
      </c>
      <c r="BK180" s="1">
        <f t="shared" si="249"/>
        <v>1</v>
      </c>
      <c r="BL180" s="1">
        <f t="shared" si="254"/>
        <v>1</v>
      </c>
      <c r="BM180" s="1">
        <f t="shared" si="252"/>
        <v>1</v>
      </c>
      <c r="BN180" s="1">
        <f t="shared" si="229"/>
        <v>1</v>
      </c>
      <c r="BO180" s="1">
        <f t="shared" si="230"/>
        <v>1</v>
      </c>
    </row>
    <row r="181" spans="1:67" ht="30.95" customHeight="1">
      <c r="A181" s="1">
        <f>4</f>
        <v>4</v>
      </c>
      <c r="B181" s="1">
        <f>固定流程!A37</f>
        <v>32</v>
      </c>
      <c r="C181" s="1">
        <f>7</f>
        <v>7</v>
      </c>
      <c r="D181" s="1">
        <f>2</f>
        <v>2</v>
      </c>
      <c r="E181" s="1">
        <f>固定流程!C37</f>
        <v>3</v>
      </c>
      <c r="F181" s="1">
        <f>固定流程!G37</f>
        <v>1</v>
      </c>
      <c r="G181" s="1" t="str">
        <f>固定流程!H37</f>
        <v>LILYA_WEAK</v>
      </c>
      <c r="H181" s="1">
        <f>固定流程!F37</f>
        <v>1</v>
      </c>
      <c r="I181" s="1">
        <f>INDEX(配置与结果!$B$15:$B$18,F181)</f>
        <v>2296</v>
      </c>
      <c r="J181" s="1">
        <f>INDEX(配置与结果!$D$15:$D$18,F181)</f>
        <v>0.7</v>
      </c>
      <c r="K181" s="1">
        <f>INDEX(配置与结果!$E$15:$E$18,F181)</f>
        <v>2.0249999999999999</v>
      </c>
      <c r="L181" s="1">
        <f t="shared" si="241"/>
        <v>2</v>
      </c>
      <c r="M181" s="1">
        <f t="shared" si="242"/>
        <v>10</v>
      </c>
      <c r="N181" s="1">
        <f t="shared" si="243"/>
        <v>1</v>
      </c>
      <c r="O181" s="1">
        <f t="shared" si="235"/>
        <v>6</v>
      </c>
      <c r="P181" s="1">
        <f>MIN(方案参数!$AI$7,AZ180+0+0)</f>
        <v>5</v>
      </c>
      <c r="Q181" s="1">
        <f t="shared" si="213"/>
        <v>5</v>
      </c>
      <c r="R181" s="1">
        <f t="shared" si="214"/>
        <v>20</v>
      </c>
      <c r="S181" s="1">
        <f t="shared" si="215"/>
        <v>3</v>
      </c>
      <c r="T181" s="1">
        <f t="shared" si="250"/>
        <v>0</v>
      </c>
      <c r="U181" s="1">
        <f t="shared" si="217"/>
        <v>0</v>
      </c>
      <c r="V181" s="1">
        <f t="shared" si="218"/>
        <v>4</v>
      </c>
      <c r="W181" s="1">
        <f t="shared" si="219"/>
        <v>1</v>
      </c>
      <c r="X181" s="1">
        <f t="shared" si="220"/>
        <v>1</v>
      </c>
      <c r="Y181" s="1">
        <f t="shared" si="221"/>
        <v>1</v>
      </c>
      <c r="Z181" s="1">
        <f t="shared" si="222"/>
        <v>1</v>
      </c>
      <c r="AA181" s="1">
        <f t="shared" si="246"/>
        <v>1</v>
      </c>
      <c r="AB181" s="1">
        <f t="shared" si="224"/>
        <v>1</v>
      </c>
      <c r="AC181" s="1">
        <f t="shared" si="251"/>
        <v>1</v>
      </c>
      <c r="AD181" s="1">
        <f>ROUNDDOWN(I181*(1+IF(F181=3,0.05+方案参数!$Y$7+AA181*0.12,IF(F181=4,方案参数!$BZ$7*方案参数!$AS$7,0)))+IF(AND(X181=1,F181&lt;&gt;3),方案参数!$CC$7,0)+AC181*方案参数!$CB$7,0)</f>
        <v>3034</v>
      </c>
      <c r="AE181" s="1">
        <f>IF(OR(F181=1,F181=4),配置与结果!$B$24,配置与结果!$B$25)*MAX(0,1-INDEX(配置与结果!$I$15:$I$18,F181))</f>
        <v>1200</v>
      </c>
      <c r="AF181" s="1">
        <f>方案参数!$BL$7</f>
        <v>15</v>
      </c>
      <c r="AG181" s="1">
        <f>MAX(配置与结果!$B$32,1+INDEX(配置与结果!$F$15:$F$18,F181)+0.08+方案参数!$CD$7+Q181*方案参数!$W$7+Y181*(方案参数!$AN$7+MIN(方案参数!$AO$7,P181*0.03))+AB181*方案参数!$BZ$7*0.025-配置与结果!$B$28+方案参数!$AE$7)</f>
        <v>2.6150000000000002</v>
      </c>
      <c r="AH181" s="1">
        <f>MAX(0,1+V181*方案参数!$U$7+8*方案参数!$V$7+方案参数!$AE$7-配置与结果!$B$29)</f>
        <v>2.04</v>
      </c>
      <c r="AI181" s="1">
        <f>IF(OR(INDEX(配置与结果!$K$15:$K$18,F181)=1,G181="RHI_BERRY"),1+配置与结果!$B$33+P181*方案参数!$AH$7,1)</f>
        <v>1</v>
      </c>
      <c r="AJ181" s="1">
        <f>MIN(1,MAX(0,J181+方案参数!$AB$7-配置与结果!$B$27))</f>
        <v>1</v>
      </c>
      <c r="AK181" s="1">
        <f>MAX(1,K181+IF(F181=2,0.15+方案参数!$CH$7,0)+BN181*方案参数!$X$7+R181*方案参数!$AA$7+方案参数!$BP$7-配置与结果!$B$26+Z181*(方案参数!$AP$7+MIN(方案参数!$AQ$7,P181*0.03)))</f>
        <v>2.7650000000000001</v>
      </c>
      <c r="AL181" s="7">
        <f>ROUNDDOWN(MAX(AD181*配置与结果!$B$31,AD181-AE181)*AF181*AG181*AH181*AI181,0)</f>
        <v>146754</v>
      </c>
      <c r="AM181" s="7">
        <f>ROUNDDOWN(MAX(AD181*配置与结果!$B$31,AD181-AE181)*AF181*AG181*AH181*AI181*AK181,0)</f>
        <v>405777</v>
      </c>
      <c r="AN181" s="7">
        <f t="shared" si="201"/>
        <v>405777</v>
      </c>
      <c r="AO181" s="7">
        <f>0</f>
        <v>0</v>
      </c>
      <c r="AP181" s="7">
        <f>MAX(0,1+INDEX(配置与结果!$J$15:$J$18,F181)+IF(T181&gt;0,方案参数!$BY$7,0)-配置与结果!$B$30)</f>
        <v>1</v>
      </c>
      <c r="AQ181" s="7">
        <f t="shared" si="202"/>
        <v>0</v>
      </c>
      <c r="AR181" s="7">
        <f t="shared" si="203"/>
        <v>0</v>
      </c>
      <c r="AS181" s="7">
        <f t="shared" si="204"/>
        <v>0</v>
      </c>
      <c r="AT181" s="7">
        <f>IF(U181&gt;0,ROUNDDOWN(AL181*方案参数!$AF$7,0)*(1-AJ181)+ROUNDDOWN(AM181*方案参数!$AF$7,0)*AJ181,0)</f>
        <v>0</v>
      </c>
      <c r="AU181" s="7">
        <f t="shared" si="205"/>
        <v>405777</v>
      </c>
      <c r="AV181" s="1">
        <f t="shared" si="206"/>
        <v>2</v>
      </c>
      <c r="AW181" s="1">
        <f t="shared" si="256"/>
        <v>10</v>
      </c>
      <c r="AX181" s="1">
        <f t="shared" si="207"/>
        <v>1</v>
      </c>
      <c r="AY181" s="1">
        <f>MIN(20,MAX(0,O181+0+1-0))</f>
        <v>7</v>
      </c>
      <c r="AZ181" s="1">
        <f t="shared" si="208"/>
        <v>5</v>
      </c>
      <c r="BA181" s="1">
        <f t="shared" si="247"/>
        <v>5</v>
      </c>
      <c r="BB181" s="1">
        <f t="shared" si="255"/>
        <v>20</v>
      </c>
      <c r="BC181" s="1">
        <f t="shared" si="253"/>
        <v>3</v>
      </c>
      <c r="BD181" s="1">
        <f t="shared" si="234"/>
        <v>0</v>
      </c>
      <c r="BE181" s="1">
        <f>MAX(0,U181-IF(AF181&gt;0,1,0))+0</f>
        <v>0</v>
      </c>
      <c r="BF181" s="1">
        <f t="shared" si="257"/>
        <v>4</v>
      </c>
      <c r="BG181" s="1">
        <f t="shared" si="244"/>
        <v>1</v>
      </c>
      <c r="BH181" s="1">
        <f t="shared" si="228"/>
        <v>1</v>
      </c>
      <c r="BI181" s="1">
        <f t="shared" si="245"/>
        <v>1</v>
      </c>
      <c r="BJ181" s="1">
        <f t="shared" si="248"/>
        <v>1</v>
      </c>
      <c r="BK181" s="1">
        <f t="shared" si="249"/>
        <v>1</v>
      </c>
      <c r="BL181" s="1">
        <f t="shared" si="254"/>
        <v>1</v>
      </c>
      <c r="BM181" s="1">
        <f t="shared" si="252"/>
        <v>1</v>
      </c>
      <c r="BN181" s="1">
        <f t="shared" si="229"/>
        <v>1</v>
      </c>
      <c r="BO181" s="1">
        <f t="shared" si="230"/>
        <v>1</v>
      </c>
    </row>
    <row r="182" spans="1:67" ht="30.95" customHeight="1">
      <c r="A182" s="1">
        <f>4</f>
        <v>4</v>
      </c>
      <c r="B182" s="1">
        <f>固定流程!A38</f>
        <v>33</v>
      </c>
      <c r="C182" s="1">
        <f>7</f>
        <v>7</v>
      </c>
      <c r="D182" s="1">
        <f>2</f>
        <v>2</v>
      </c>
      <c r="E182" s="1">
        <f>固定流程!C38</f>
        <v>3</v>
      </c>
      <c r="F182" s="1">
        <f>固定流程!G38</f>
        <v>1</v>
      </c>
      <c r="G182" s="1" t="str">
        <f>固定流程!H38</f>
        <v>LILYA_WEAK</v>
      </c>
      <c r="H182" s="1">
        <f>固定流程!F38</f>
        <v>1</v>
      </c>
      <c r="I182" s="1">
        <f>INDEX(配置与结果!$B$15:$B$18,F182)</f>
        <v>2296</v>
      </c>
      <c r="J182" s="1">
        <f>INDEX(配置与结果!$D$15:$D$18,F182)</f>
        <v>0.7</v>
      </c>
      <c r="K182" s="1">
        <f>INDEX(配置与结果!$E$15:$E$18,F182)</f>
        <v>2.0249999999999999</v>
      </c>
      <c r="L182" s="1">
        <f t="shared" si="241"/>
        <v>2</v>
      </c>
      <c r="M182" s="1">
        <f t="shared" si="242"/>
        <v>10</v>
      </c>
      <c r="N182" s="1">
        <f t="shared" si="243"/>
        <v>1</v>
      </c>
      <c r="O182" s="1">
        <f t="shared" si="235"/>
        <v>7</v>
      </c>
      <c r="P182" s="1">
        <f>MIN(方案参数!$AI$7,AZ181+0+0)</f>
        <v>5</v>
      </c>
      <c r="Q182" s="1">
        <f t="shared" si="213"/>
        <v>5</v>
      </c>
      <c r="R182" s="1">
        <f t="shared" si="214"/>
        <v>20</v>
      </c>
      <c r="S182" s="1">
        <f t="shared" si="215"/>
        <v>3</v>
      </c>
      <c r="T182" s="1">
        <f t="shared" si="250"/>
        <v>0</v>
      </c>
      <c r="U182" s="1">
        <f t="shared" si="217"/>
        <v>0</v>
      </c>
      <c r="V182" s="1">
        <f t="shared" si="218"/>
        <v>4</v>
      </c>
      <c r="W182" s="1">
        <f t="shared" si="219"/>
        <v>1</v>
      </c>
      <c r="X182" s="1">
        <f t="shared" si="220"/>
        <v>1</v>
      </c>
      <c r="Y182" s="1">
        <f t="shared" si="221"/>
        <v>1</v>
      </c>
      <c r="Z182" s="1">
        <f t="shared" si="222"/>
        <v>1</v>
      </c>
      <c r="AA182" s="1">
        <f t="shared" si="246"/>
        <v>1</v>
      </c>
      <c r="AB182" s="1">
        <f t="shared" si="224"/>
        <v>1</v>
      </c>
      <c r="AC182" s="1">
        <f t="shared" si="251"/>
        <v>1</v>
      </c>
      <c r="AD182" s="1">
        <f>ROUNDDOWN(I182*(1+IF(F182=3,0.05+方案参数!$Y$7+AA182*0.12,IF(F182=4,方案参数!$BZ$7*方案参数!$AS$7,0)))+IF(AND(X182=1,F182&lt;&gt;3),方案参数!$CC$7,0)+AC182*方案参数!$CB$7,0)</f>
        <v>3034</v>
      </c>
      <c r="AE182" s="1">
        <f>IF(OR(F182=1,F182=4),配置与结果!$B$24,配置与结果!$B$25)*MAX(0,1-INDEX(配置与结果!$I$15:$I$18,F182))</f>
        <v>1200</v>
      </c>
      <c r="AF182" s="1">
        <f>方案参数!$BL$7</f>
        <v>15</v>
      </c>
      <c r="AG182" s="1">
        <f>MAX(配置与结果!$B$32,1+INDEX(配置与结果!$F$15:$F$18,F182)+0.08+方案参数!$CD$7+Q182*方案参数!$W$7+Y182*(方案参数!$AN$7+MIN(方案参数!$AO$7,P182*0.03))+AB182*方案参数!$BZ$7*0.025-配置与结果!$B$28+方案参数!$AE$7)</f>
        <v>2.6150000000000002</v>
      </c>
      <c r="AH182" s="1">
        <f>MAX(0,1+V182*方案参数!$U$7+9*方案参数!$V$7+方案参数!$AE$7-配置与结果!$B$29)</f>
        <v>2.1</v>
      </c>
      <c r="AI182" s="1">
        <f>IF(OR(INDEX(配置与结果!$K$15:$K$18,F182)=1,G182="RHI_BERRY"),1+配置与结果!$B$33+P182*方案参数!$AH$7,1)</f>
        <v>1</v>
      </c>
      <c r="AJ182" s="1">
        <f>MIN(1,MAX(0,J182+方案参数!$AB$7-配置与结果!$B$27))</f>
        <v>1</v>
      </c>
      <c r="AK182" s="1">
        <f>MAX(1,K182+IF(F182=2,0.15+方案参数!$CH$7,0)+BN182*方案参数!$X$7+R182*方案参数!$AA$7+方案参数!$BP$7-配置与结果!$B$26+Z182*(方案参数!$AP$7+MIN(方案参数!$AQ$7,P182*0.03)))</f>
        <v>2.7650000000000001</v>
      </c>
      <c r="AL182" s="7">
        <f>ROUNDDOWN(MAX(AD182*配置与结果!$B$31,AD182-AE182)*AF182*AG182*AH182*AI182,0)</f>
        <v>151071</v>
      </c>
      <c r="AM182" s="7">
        <f>ROUNDDOWN(MAX(AD182*配置与结果!$B$31,AD182-AE182)*AF182*AG182*AH182*AI182*AK182,0)</f>
        <v>417711</v>
      </c>
      <c r="AN182" s="7">
        <f t="shared" si="201"/>
        <v>417711</v>
      </c>
      <c r="AO182" s="7">
        <f>0</f>
        <v>0</v>
      </c>
      <c r="AP182" s="7">
        <f>MAX(0,1+INDEX(配置与结果!$J$15:$J$18,F182)+IF(T182&gt;0,方案参数!$BY$7,0)-配置与结果!$B$30)</f>
        <v>1</v>
      </c>
      <c r="AQ182" s="7">
        <f t="shared" si="202"/>
        <v>0</v>
      </c>
      <c r="AR182" s="7">
        <f t="shared" si="203"/>
        <v>0</v>
      </c>
      <c r="AS182" s="7">
        <f t="shared" si="204"/>
        <v>0</v>
      </c>
      <c r="AT182" s="7">
        <f>IF(U182&gt;0,ROUNDDOWN(AL182*方案参数!$AF$7,0)*(1-AJ182)+ROUNDDOWN(AM182*方案参数!$AF$7,0)*AJ182,0)</f>
        <v>0</v>
      </c>
      <c r="AU182" s="7">
        <f t="shared" si="205"/>
        <v>417711</v>
      </c>
      <c r="AV182" s="1">
        <f t="shared" si="206"/>
        <v>2</v>
      </c>
      <c r="AW182" s="1">
        <f t="shared" si="256"/>
        <v>10</v>
      </c>
      <c r="AX182" s="1">
        <f t="shared" si="207"/>
        <v>1</v>
      </c>
      <c r="AY182" s="1">
        <f>MIN(20,MAX(0,O182+0+1-0))</f>
        <v>8</v>
      </c>
      <c r="AZ182" s="1">
        <f t="shared" si="208"/>
        <v>5</v>
      </c>
      <c r="BA182" s="1">
        <f t="shared" si="247"/>
        <v>5</v>
      </c>
      <c r="BB182" s="1">
        <f t="shared" si="255"/>
        <v>20</v>
      </c>
      <c r="BC182" s="1">
        <f t="shared" si="253"/>
        <v>3</v>
      </c>
      <c r="BD182" s="1">
        <f t="shared" si="234"/>
        <v>0</v>
      </c>
      <c r="BE182" s="1">
        <f>MAX(0,U182-IF(AF182&gt;0,1,0))+0</f>
        <v>0</v>
      </c>
      <c r="BF182" s="1">
        <f t="shared" si="257"/>
        <v>4</v>
      </c>
      <c r="BG182" s="1">
        <f t="shared" si="244"/>
        <v>1</v>
      </c>
      <c r="BH182" s="1">
        <f t="shared" si="228"/>
        <v>1</v>
      </c>
      <c r="BI182" s="1">
        <f t="shared" si="245"/>
        <v>1</v>
      </c>
      <c r="BJ182" s="1">
        <f t="shared" si="248"/>
        <v>1</v>
      </c>
      <c r="BK182" s="1">
        <f t="shared" si="249"/>
        <v>1</v>
      </c>
      <c r="BL182" s="1">
        <f t="shared" si="254"/>
        <v>1</v>
      </c>
      <c r="BM182" s="1">
        <f t="shared" si="252"/>
        <v>1</v>
      </c>
      <c r="BN182" s="1">
        <f t="shared" si="229"/>
        <v>1</v>
      </c>
      <c r="BO182" s="1">
        <f t="shared" si="230"/>
        <v>1</v>
      </c>
    </row>
    <row r="183" spans="1:67" ht="30.95" customHeight="1">
      <c r="A183" s="1">
        <f>4</f>
        <v>4</v>
      </c>
      <c r="B183" s="1">
        <f>固定流程!A39</f>
        <v>34</v>
      </c>
      <c r="C183" s="1">
        <f>7</f>
        <v>7</v>
      </c>
      <c r="D183" s="1">
        <f>2</f>
        <v>2</v>
      </c>
      <c r="E183" s="1">
        <f>固定流程!C39</f>
        <v>3</v>
      </c>
      <c r="F183" s="1">
        <f>固定流程!G39</f>
        <v>2</v>
      </c>
      <c r="G183" s="1" t="str">
        <f>固定流程!H39</f>
        <v>37_WEAK</v>
      </c>
      <c r="H183" s="1">
        <f>固定流程!F39</f>
        <v>1</v>
      </c>
      <c r="I183" s="1">
        <f>INDEX(配置与结果!$B$15:$B$18,F183)</f>
        <v>2306</v>
      </c>
      <c r="J183" s="1">
        <f>INDEX(配置与结果!$D$15:$D$18,F183)</f>
        <v>0.46</v>
      </c>
      <c r="K183" s="1">
        <f>INDEX(配置与结果!$E$15:$E$18,F183)</f>
        <v>1.9279999999999999</v>
      </c>
      <c r="L183" s="1">
        <f t="shared" si="241"/>
        <v>2</v>
      </c>
      <c r="M183" s="1">
        <f t="shared" si="242"/>
        <v>10</v>
      </c>
      <c r="N183" s="1">
        <f t="shared" si="243"/>
        <v>1</v>
      </c>
      <c r="O183" s="1">
        <f t="shared" si="235"/>
        <v>8</v>
      </c>
      <c r="P183" s="1">
        <f>MIN(方案参数!$AI$7,AZ182+0+0)</f>
        <v>5</v>
      </c>
      <c r="Q183" s="1">
        <f t="shared" si="213"/>
        <v>5</v>
      </c>
      <c r="R183" s="1">
        <f t="shared" si="214"/>
        <v>20</v>
      </c>
      <c r="S183" s="1">
        <f t="shared" si="215"/>
        <v>3</v>
      </c>
      <c r="T183" s="1">
        <f t="shared" si="250"/>
        <v>0</v>
      </c>
      <c r="U183" s="1">
        <f t="shared" si="217"/>
        <v>0</v>
      </c>
      <c r="V183" s="1">
        <f t="shared" si="218"/>
        <v>4</v>
      </c>
      <c r="W183" s="1">
        <f t="shared" si="219"/>
        <v>1</v>
      </c>
      <c r="X183" s="1">
        <f t="shared" si="220"/>
        <v>1</v>
      </c>
      <c r="Y183" s="1">
        <f t="shared" si="221"/>
        <v>1</v>
      </c>
      <c r="Z183" s="1">
        <f t="shared" si="222"/>
        <v>1</v>
      </c>
      <c r="AA183" s="1">
        <f t="shared" si="246"/>
        <v>1</v>
      </c>
      <c r="AB183" s="1">
        <f t="shared" si="224"/>
        <v>1</v>
      </c>
      <c r="AC183" s="1">
        <f t="shared" si="251"/>
        <v>1</v>
      </c>
      <c r="AD183" s="1">
        <f>ROUNDDOWN(I183*(1+IF(F183=3,0.05+方案参数!$Y$7+AA183*0.12,IF(F183=4,方案参数!$BZ$7*方案参数!$AS$7,0)))+IF(AND(X183=1,F183&lt;&gt;3),方案参数!$CC$7,0)+AC183*方案参数!$CB$7,0)</f>
        <v>3044</v>
      </c>
      <c r="AE183" s="1">
        <f>IF(OR(F183=1,F183=4),配置与结果!$B$24,配置与结果!$B$25)*MAX(0,1-INDEX(配置与结果!$I$15:$I$18,F183))</f>
        <v>1000</v>
      </c>
      <c r="AF183" s="1">
        <f>方案参数!$CE$7</f>
        <v>8</v>
      </c>
      <c r="AG183" s="1">
        <f>MAX(配置与结果!$B$32,1+INDEX(配置与结果!$F$15:$F$18,F183)+0+Q183*方案参数!$W$7+Y183*(方案参数!$AN$7+MIN(方案参数!$AO$7,P183*0.03))+AB183*方案参数!$BZ$7*0.025-配置与结果!$B$28+方案参数!$AE$7)</f>
        <v>2.2800000000000002</v>
      </c>
      <c r="AH183" s="1">
        <f>MAX(0,1+V183*方案参数!$U$7+方案参数!$AE$7-配置与结果!$B$29)</f>
        <v>1.56</v>
      </c>
      <c r="AI183" s="1">
        <f>IF(OR(INDEX(配置与结果!$K$15:$K$18,F183)=1,G183="RHI_BERRY"),1+配置与结果!$B$33+P183*方案参数!$AH$7,1)</f>
        <v>1</v>
      </c>
      <c r="AJ183" s="1">
        <f>MIN(1,MAX(0,J183+方案参数!$AB$7-配置与结果!$B$27))</f>
        <v>0.76</v>
      </c>
      <c r="AK183" s="1">
        <f>MAX(1,K183+IF(F183=2,0.15+方案参数!$CH$7,0)+BN183*方案参数!$X$7+R183*方案参数!$AA$7+0-配置与结果!$B$26+Z183*(方案参数!$AP$7+MIN(方案参数!$AQ$7,P183*0.03)))</f>
        <v>2.3380000000000001</v>
      </c>
      <c r="AL183" s="7">
        <f>ROUNDDOWN(MAX(AD183*配置与结果!$B$31,AD183-AE183)*AF183*AG183*AH183*AI183,0)</f>
        <v>58160</v>
      </c>
      <c r="AM183" s="7">
        <f>ROUNDDOWN(MAX(AD183*配置与结果!$B$31,AD183-AE183)*AF183*AG183*AH183*AI183*AK183,0)</f>
        <v>135979</v>
      </c>
      <c r="AN183" s="7">
        <f t="shared" si="201"/>
        <v>117302.44</v>
      </c>
      <c r="AO183" s="7">
        <f>0</f>
        <v>0</v>
      </c>
      <c r="AP183" s="7">
        <f>MAX(0,1+INDEX(配置与结果!$J$15:$J$18,F183)+IF(T183&gt;0,方案参数!$BY$7,0)-配置与结果!$B$30)</f>
        <v>1</v>
      </c>
      <c r="AQ183" s="7">
        <f t="shared" si="202"/>
        <v>0</v>
      </c>
      <c r="AR183" s="7">
        <f t="shared" si="203"/>
        <v>0</v>
      </c>
      <c r="AS183" s="7">
        <f t="shared" si="204"/>
        <v>0</v>
      </c>
      <c r="AT183" s="7">
        <f>IF(U183&gt;0,ROUNDDOWN(AL183*方案参数!$AF$7,0)*(1-AJ183)+ROUNDDOWN(AM183*方案参数!$AF$7,0)*AJ183,0)</f>
        <v>0</v>
      </c>
      <c r="AU183" s="7">
        <f t="shared" si="205"/>
        <v>117302.44</v>
      </c>
      <c r="AV183" s="1">
        <f t="shared" si="206"/>
        <v>2</v>
      </c>
      <c r="AW183" s="1">
        <f t="shared" si="256"/>
        <v>10</v>
      </c>
      <c r="AX183" s="1">
        <f t="shared" si="207"/>
        <v>1</v>
      </c>
      <c r="AY183" s="1">
        <f>MIN(20,MAX(0,O183+0+0-0))</f>
        <v>8</v>
      </c>
      <c r="AZ183" s="1">
        <f t="shared" si="208"/>
        <v>5</v>
      </c>
      <c r="BA183" s="1">
        <f t="shared" si="247"/>
        <v>5</v>
      </c>
      <c r="BB183" s="1">
        <f t="shared" si="255"/>
        <v>20</v>
      </c>
      <c r="BC183" s="1">
        <f t="shared" si="253"/>
        <v>3</v>
      </c>
      <c r="BD183" s="1">
        <f t="shared" si="234"/>
        <v>0</v>
      </c>
      <c r="BE183" s="1">
        <f>MAX(0,U183-IF(AF183&gt;0,1,0))+1</f>
        <v>1</v>
      </c>
      <c r="BF183" s="1">
        <f t="shared" si="257"/>
        <v>4</v>
      </c>
      <c r="BG183" s="1">
        <f t="shared" si="244"/>
        <v>1</v>
      </c>
      <c r="BH183" s="1">
        <f t="shared" si="228"/>
        <v>1</v>
      </c>
      <c r="BI183" s="1">
        <f t="shared" si="245"/>
        <v>1</v>
      </c>
      <c r="BJ183" s="1">
        <f t="shared" si="248"/>
        <v>1</v>
      </c>
      <c r="BK183" s="1">
        <f t="shared" si="249"/>
        <v>1</v>
      </c>
      <c r="BL183" s="1">
        <f t="shared" si="254"/>
        <v>1</v>
      </c>
      <c r="BM183" s="1">
        <f t="shared" si="252"/>
        <v>1</v>
      </c>
      <c r="BN183" s="1">
        <f t="shared" si="229"/>
        <v>1</v>
      </c>
      <c r="BO183" s="1">
        <f t="shared" si="230"/>
        <v>1</v>
      </c>
    </row>
    <row r="184" spans="1:67" ht="30.95" customHeight="1">
      <c r="A184" s="1">
        <f>4</f>
        <v>4</v>
      </c>
      <c r="B184" s="1">
        <f>固定流程!A40</f>
        <v>35</v>
      </c>
      <c r="C184" s="1">
        <f>7</f>
        <v>7</v>
      </c>
      <c r="D184" s="1">
        <f>2</f>
        <v>2</v>
      </c>
      <c r="E184" s="1">
        <f>固定流程!C40</f>
        <v>3</v>
      </c>
      <c r="F184" s="1">
        <f>固定流程!G40</f>
        <v>2</v>
      </c>
      <c r="G184" s="1" t="str">
        <f>固定流程!H40</f>
        <v>37_WEAK</v>
      </c>
      <c r="H184" s="1">
        <f>固定流程!F40</f>
        <v>1</v>
      </c>
      <c r="I184" s="1">
        <f>INDEX(配置与结果!$B$15:$B$18,F184)</f>
        <v>2306</v>
      </c>
      <c r="J184" s="1">
        <f>INDEX(配置与结果!$D$15:$D$18,F184)</f>
        <v>0.46</v>
      </c>
      <c r="K184" s="1">
        <f>INDEX(配置与结果!$E$15:$E$18,F184)</f>
        <v>1.9279999999999999</v>
      </c>
      <c r="L184" s="1">
        <f t="shared" si="241"/>
        <v>2</v>
      </c>
      <c r="M184" s="1">
        <f t="shared" si="242"/>
        <v>10</v>
      </c>
      <c r="N184" s="1">
        <f t="shared" si="243"/>
        <v>1</v>
      </c>
      <c r="O184" s="1">
        <f t="shared" si="235"/>
        <v>8</v>
      </c>
      <c r="P184" s="1">
        <f>MIN(方案参数!$AI$7,AZ183+0+0)</f>
        <v>5</v>
      </c>
      <c r="Q184" s="1">
        <f t="shared" si="213"/>
        <v>5</v>
      </c>
      <c r="R184" s="1">
        <f t="shared" si="214"/>
        <v>20</v>
      </c>
      <c r="S184" s="1">
        <f t="shared" si="215"/>
        <v>3</v>
      </c>
      <c r="T184" s="1">
        <f t="shared" si="250"/>
        <v>0</v>
      </c>
      <c r="U184" s="1">
        <f t="shared" si="217"/>
        <v>1</v>
      </c>
      <c r="V184" s="1">
        <f t="shared" si="218"/>
        <v>4</v>
      </c>
      <c r="W184" s="1">
        <f t="shared" si="219"/>
        <v>1</v>
      </c>
      <c r="X184" s="1">
        <f t="shared" si="220"/>
        <v>1</v>
      </c>
      <c r="Y184" s="1">
        <f t="shared" si="221"/>
        <v>1</v>
      </c>
      <c r="Z184" s="1">
        <f t="shared" si="222"/>
        <v>1</v>
      </c>
      <c r="AA184" s="1">
        <f t="shared" si="246"/>
        <v>1</v>
      </c>
      <c r="AB184" s="1">
        <f t="shared" si="224"/>
        <v>1</v>
      </c>
      <c r="AC184" s="1">
        <f t="shared" si="251"/>
        <v>1</v>
      </c>
      <c r="AD184" s="1">
        <f>ROUNDDOWN(I184*(1+IF(F184=3,0.05+方案参数!$Y$7+AA184*0.12,IF(F184=4,方案参数!$BZ$7*方案参数!$AS$7,0)))+IF(AND(X184=1,F184&lt;&gt;3),方案参数!$CC$7,0)+AC184*方案参数!$CB$7,0)</f>
        <v>3044</v>
      </c>
      <c r="AE184" s="1">
        <f>IF(OR(F184=1,F184=4),配置与结果!$B$24,配置与结果!$B$25)*MAX(0,1-INDEX(配置与结果!$I$15:$I$18,F184))</f>
        <v>1000</v>
      </c>
      <c r="AF184" s="1">
        <f>方案参数!$CE$7</f>
        <v>8</v>
      </c>
      <c r="AG184" s="1">
        <f>MAX(配置与结果!$B$32,1+INDEX(配置与结果!$F$15:$F$18,F184)+0+Q184*方案参数!$W$7+Y184*(方案参数!$AN$7+MIN(方案参数!$AO$7,P184*0.03))+AB184*方案参数!$BZ$7*0.025-配置与结果!$B$28+方案参数!$AE$7)</f>
        <v>2.2800000000000002</v>
      </c>
      <c r="AH184" s="1">
        <f>MAX(0,1+V184*方案参数!$U$7+方案参数!$AE$7-配置与结果!$B$29)</f>
        <v>1.56</v>
      </c>
      <c r="AI184" s="1">
        <f>IF(OR(INDEX(配置与结果!$K$15:$K$18,F184)=1,G184="RHI_BERRY"),1+配置与结果!$B$33+P184*方案参数!$AH$7,1)</f>
        <v>1</v>
      </c>
      <c r="AJ184" s="1">
        <f>MIN(1,MAX(0,J184+方案参数!$AB$7-配置与结果!$B$27))</f>
        <v>0.76</v>
      </c>
      <c r="AK184" s="1">
        <f>MAX(1,K184+IF(F184=2,0.15+方案参数!$CH$7,0)+BN184*方案参数!$X$7+R184*方案参数!$AA$7+0-配置与结果!$B$26+Z184*(方案参数!$AP$7+MIN(方案参数!$AQ$7,P184*0.03)))</f>
        <v>2.3380000000000001</v>
      </c>
      <c r="AL184" s="7">
        <f>ROUNDDOWN(MAX(AD184*配置与结果!$B$31,AD184-AE184)*AF184*AG184*AH184*AI184,0)</f>
        <v>58160</v>
      </c>
      <c r="AM184" s="7">
        <f>ROUNDDOWN(MAX(AD184*配置与结果!$B$31,AD184-AE184)*AF184*AG184*AH184*AI184*AK184,0)</f>
        <v>135979</v>
      </c>
      <c r="AN184" s="7">
        <f t="shared" si="201"/>
        <v>117302.44</v>
      </c>
      <c r="AO184" s="7">
        <f>0</f>
        <v>0</v>
      </c>
      <c r="AP184" s="7">
        <f>MAX(0,1+INDEX(配置与结果!$J$15:$J$18,F184)+IF(T184&gt;0,方案参数!$BY$7,0)-配置与结果!$B$30)</f>
        <v>1</v>
      </c>
      <c r="AQ184" s="7">
        <f t="shared" si="202"/>
        <v>0</v>
      </c>
      <c r="AR184" s="7">
        <f t="shared" si="203"/>
        <v>0</v>
      </c>
      <c r="AS184" s="7">
        <f t="shared" si="204"/>
        <v>0</v>
      </c>
      <c r="AT184" s="7">
        <f>IF(U184&gt;0,ROUNDDOWN(AL184*方案参数!$AF$7,0)*(1-AJ184)+ROUNDDOWN(AM184*方案参数!$AF$7,0)*AJ184,0)</f>
        <v>46920.520000000004</v>
      </c>
      <c r="AU184" s="7">
        <f t="shared" si="205"/>
        <v>164222.96000000002</v>
      </c>
      <c r="AV184" s="1">
        <f t="shared" si="206"/>
        <v>2</v>
      </c>
      <c r="AW184" s="1">
        <f t="shared" si="256"/>
        <v>10</v>
      </c>
      <c r="AX184" s="1">
        <f t="shared" si="207"/>
        <v>1</v>
      </c>
      <c r="AY184" s="1">
        <f>MIN(20,MAX(0,O184+0+0-0))</f>
        <v>8</v>
      </c>
      <c r="AZ184" s="1">
        <f t="shared" si="208"/>
        <v>5</v>
      </c>
      <c r="BA184" s="1">
        <f t="shared" si="247"/>
        <v>5</v>
      </c>
      <c r="BB184" s="1">
        <f t="shared" si="255"/>
        <v>20</v>
      </c>
      <c r="BC184" s="1">
        <f t="shared" si="253"/>
        <v>3</v>
      </c>
      <c r="BD184" s="1">
        <f t="shared" si="234"/>
        <v>0</v>
      </c>
      <c r="BE184" s="1">
        <f>MAX(0,U184-IF(AF184&gt;0,1,0))+1</f>
        <v>1</v>
      </c>
      <c r="BF184" s="1">
        <f t="shared" si="257"/>
        <v>4</v>
      </c>
      <c r="BG184" s="1">
        <f t="shared" si="244"/>
        <v>1</v>
      </c>
      <c r="BH184" s="1">
        <f t="shared" si="228"/>
        <v>1</v>
      </c>
      <c r="BI184" s="1">
        <f t="shared" si="245"/>
        <v>1</v>
      </c>
      <c r="BJ184" s="1">
        <f t="shared" si="248"/>
        <v>1</v>
      </c>
      <c r="BK184" s="1">
        <f t="shared" si="249"/>
        <v>1</v>
      </c>
      <c r="BL184" s="1">
        <f t="shared" si="254"/>
        <v>1</v>
      </c>
      <c r="BM184" s="1">
        <f t="shared" si="252"/>
        <v>1</v>
      </c>
      <c r="BN184" s="1">
        <f t="shared" si="229"/>
        <v>1</v>
      </c>
      <c r="BO184" s="1">
        <f t="shared" si="230"/>
        <v>1</v>
      </c>
    </row>
    <row r="185" spans="1:67" ht="30.95" customHeight="1">
      <c r="A185" s="1">
        <f>4</f>
        <v>4</v>
      </c>
      <c r="B185" s="1">
        <f>固定流程!A41</f>
        <v>36</v>
      </c>
      <c r="C185" s="1">
        <f>7</f>
        <v>7</v>
      </c>
      <c r="D185" s="1">
        <f>2</f>
        <v>2</v>
      </c>
      <c r="E185" s="1">
        <f>固定流程!C41</f>
        <v>3</v>
      </c>
      <c r="F185" s="1">
        <f>固定流程!G41</f>
        <v>1</v>
      </c>
      <c r="G185" s="1" t="str">
        <f>固定流程!H41</f>
        <v>LILYA_FINISH</v>
      </c>
      <c r="H185" s="1">
        <f>固定流程!F41</f>
        <v>1</v>
      </c>
      <c r="I185" s="1">
        <f>INDEX(配置与结果!$B$15:$B$18,F185)</f>
        <v>2296</v>
      </c>
      <c r="J185" s="1">
        <f>INDEX(配置与结果!$D$15:$D$18,F185)</f>
        <v>0.7</v>
      </c>
      <c r="K185" s="1">
        <f>INDEX(配置与结果!$E$15:$E$18,F185)</f>
        <v>2.0249999999999999</v>
      </c>
      <c r="L185" s="1">
        <f t="shared" si="241"/>
        <v>2</v>
      </c>
      <c r="M185" s="1">
        <f t="shared" si="242"/>
        <v>10</v>
      </c>
      <c r="N185" s="1">
        <f t="shared" si="243"/>
        <v>1</v>
      </c>
      <c r="O185" s="1">
        <f t="shared" si="235"/>
        <v>8</v>
      </c>
      <c r="P185" s="1">
        <f>MIN(方案参数!$AI$7,AZ184+0+0)</f>
        <v>5</v>
      </c>
      <c r="Q185" s="1">
        <f t="shared" si="213"/>
        <v>5</v>
      </c>
      <c r="R185" s="1">
        <f t="shared" si="214"/>
        <v>20</v>
      </c>
      <c r="S185" s="1">
        <f t="shared" si="215"/>
        <v>3</v>
      </c>
      <c r="T185" s="1">
        <f t="shared" si="250"/>
        <v>0</v>
      </c>
      <c r="U185" s="1">
        <f t="shared" si="217"/>
        <v>1</v>
      </c>
      <c r="V185" s="1">
        <f t="shared" si="218"/>
        <v>4</v>
      </c>
      <c r="W185" s="1">
        <f t="shared" si="219"/>
        <v>1</v>
      </c>
      <c r="X185" s="1">
        <f t="shared" si="220"/>
        <v>1</v>
      </c>
      <c r="Y185" s="1">
        <f t="shared" si="221"/>
        <v>1</v>
      </c>
      <c r="Z185" s="1">
        <f t="shared" si="222"/>
        <v>1</v>
      </c>
      <c r="AA185" s="1">
        <f t="shared" si="246"/>
        <v>1</v>
      </c>
      <c r="AB185" s="1">
        <f t="shared" si="224"/>
        <v>1</v>
      </c>
      <c r="AC185" s="1">
        <f t="shared" si="251"/>
        <v>1</v>
      </c>
      <c r="AD185" s="1">
        <f>ROUNDDOWN(I185*(1+IF(F185=3,0.05+方案参数!$Y$7+AA185*0.12,IF(F185=4,方案参数!$BZ$7*方案参数!$AS$7,0)))+IF(AND(X185=1,F185&lt;&gt;3),方案参数!$CC$7,0)+AC185*方案参数!$CB$7,0)</f>
        <v>3034</v>
      </c>
      <c r="AE185" s="1">
        <f>IF(OR(F185=1,F185=4),配置与结果!$B$24,配置与结果!$B$25)*MAX(0,1-INDEX(配置与结果!$I$15:$I$18,F185))</f>
        <v>1200</v>
      </c>
      <c r="AF185" s="1">
        <f>方案参数!$BN$7+12*方案参数!$BO$7</f>
        <v>80</v>
      </c>
      <c r="AG185" s="1">
        <f>MAX(配置与结果!$B$32,1+INDEX(配置与结果!$F$15:$F$18,F185)+0.08+方案参数!$CD$7+Q185*方案参数!$W$7+Y185*(方案参数!$AN$7+MIN(方案参数!$AO$7,P185*0.03))+AB185*方案参数!$BZ$7*0.025-配置与结果!$B$28+方案参数!$AE$7)</f>
        <v>2.6150000000000002</v>
      </c>
      <c r="AH185" s="1">
        <f>MAX(0,1+V185*方案参数!$U$7+12*方案参数!$V$7+方案参数!$AE$7-配置与结果!$B$29)</f>
        <v>2.2799999999999998</v>
      </c>
      <c r="AI185" s="1">
        <f>IF(OR(INDEX(配置与结果!$K$15:$K$18,F185)=1,G185="RHI_BERRY"),1+配置与结果!$B$33+P185*方案参数!$AH$7,1)</f>
        <v>1</v>
      </c>
      <c r="AJ185" s="1">
        <f>MIN(1,MAX(0,J185+方案参数!$AB$7-配置与结果!$B$27))</f>
        <v>1</v>
      </c>
      <c r="AK185" s="1">
        <f>MAX(1,K185+IF(F185=2,0.15+方案参数!$CH$7,0)+BN185*方案参数!$X$7+R185*方案参数!$AA$7+方案参数!$BR$7-配置与结果!$B$26+Z185*(方案参数!$AP$7+MIN(方案参数!$AQ$7,P185*0.03)))</f>
        <v>3.165</v>
      </c>
      <c r="AL185" s="7">
        <f>ROUNDDOWN(MAX(AD185*配置与结果!$B$31,AD185-AE185)*AF185*AG185*AH185*AI185,0)</f>
        <v>874773</v>
      </c>
      <c r="AM185" s="7">
        <f>ROUNDDOWN(MAX(AD185*配置与结果!$B$31,AD185-AE185)*AF185*AG185*AH185*AI185*AK185,0)</f>
        <v>2768659</v>
      </c>
      <c r="AN185" s="7">
        <f t="shared" si="201"/>
        <v>2768659</v>
      </c>
      <c r="AO185" s="7">
        <f>0</f>
        <v>0</v>
      </c>
      <c r="AP185" s="7">
        <f>MAX(0,1+INDEX(配置与结果!$J$15:$J$18,F185)+IF(T185&gt;0,方案参数!$BY$7,0)-配置与结果!$B$30)</f>
        <v>1</v>
      </c>
      <c r="AQ185" s="7">
        <f t="shared" si="202"/>
        <v>0</v>
      </c>
      <c r="AR185" s="7">
        <f t="shared" si="203"/>
        <v>0</v>
      </c>
      <c r="AS185" s="7">
        <f t="shared" si="204"/>
        <v>0</v>
      </c>
      <c r="AT185" s="7">
        <f>IF(U185&gt;0,ROUNDDOWN(AL185*方案参数!$AF$7,0)*(1-AJ185)+ROUNDDOWN(AM185*方案参数!$AF$7,0)*AJ185,0)</f>
        <v>1107463</v>
      </c>
      <c r="AU185" s="7">
        <f t="shared" si="205"/>
        <v>3876122</v>
      </c>
      <c r="AV185" s="1">
        <f t="shared" si="206"/>
        <v>2</v>
      </c>
      <c r="AW185" s="1">
        <f t="shared" si="256"/>
        <v>10</v>
      </c>
      <c r="AX185" s="1">
        <f t="shared" si="207"/>
        <v>1</v>
      </c>
      <c r="AY185" s="1">
        <f>MIN(20,MAX(0,O185+0+1-0))</f>
        <v>9</v>
      </c>
      <c r="AZ185" s="1">
        <f t="shared" si="208"/>
        <v>5</v>
      </c>
      <c r="BA185" s="1">
        <f t="shared" si="247"/>
        <v>5</v>
      </c>
      <c r="BB185" s="1">
        <f t="shared" si="255"/>
        <v>20</v>
      </c>
      <c r="BC185" s="1">
        <f t="shared" si="253"/>
        <v>3</v>
      </c>
      <c r="BD185" s="1">
        <f t="shared" si="234"/>
        <v>0</v>
      </c>
      <c r="BE185" s="1">
        <f>MAX(0,U185-IF(AF185&gt;0,1,0))+0</f>
        <v>0</v>
      </c>
      <c r="BF185" s="1">
        <f t="shared" si="257"/>
        <v>4</v>
      </c>
      <c r="BG185" s="1">
        <f t="shared" si="244"/>
        <v>1</v>
      </c>
      <c r="BH185" s="1">
        <f t="shared" si="228"/>
        <v>1</v>
      </c>
      <c r="BI185" s="1">
        <f t="shared" si="245"/>
        <v>1</v>
      </c>
      <c r="BJ185" s="1">
        <f t="shared" si="248"/>
        <v>1</v>
      </c>
      <c r="BK185" s="1">
        <f t="shared" si="249"/>
        <v>1</v>
      </c>
      <c r="BL185" s="1">
        <f t="shared" si="254"/>
        <v>1</v>
      </c>
      <c r="BM185" s="1">
        <f t="shared" si="252"/>
        <v>1</v>
      </c>
      <c r="BN185" s="1">
        <f t="shared" si="229"/>
        <v>1</v>
      </c>
      <c r="BO185" s="1">
        <f t="shared" si="230"/>
        <v>1</v>
      </c>
    </row>
    <row r="186" spans="1:67" ht="30.95" customHeight="1">
      <c r="A186" s="1">
        <f>5</f>
        <v>5</v>
      </c>
      <c r="B186" s="1">
        <f>固定流程!A6</f>
        <v>1</v>
      </c>
      <c r="C186" s="1">
        <f>8</f>
        <v>8</v>
      </c>
      <c r="D186" s="1">
        <f>1</f>
        <v>1</v>
      </c>
      <c r="E186" s="1">
        <f>固定流程!C6</f>
        <v>1</v>
      </c>
      <c r="F186" s="1">
        <f>固定流程!G6</f>
        <v>3</v>
      </c>
      <c r="G186" s="1" t="str">
        <f>固定流程!H6</f>
        <v>RHI_ULT</v>
      </c>
      <c r="H186" s="1">
        <f>固定流程!F6</f>
        <v>1</v>
      </c>
      <c r="I186" s="1">
        <f>INDEX(配置与结果!$B$15:$B$18,F186)</f>
        <v>2597</v>
      </c>
      <c r="J186" s="1">
        <f>INDEX(配置与结果!$D$15:$D$18,F186)</f>
        <v>0.255</v>
      </c>
      <c r="K186" s="1">
        <f>INDEX(配置与结果!$E$15:$E$18,F186)</f>
        <v>1.55</v>
      </c>
      <c r="L186" s="1">
        <f>0</f>
        <v>0</v>
      </c>
      <c r="M186" s="1">
        <f>0</f>
        <v>0</v>
      </c>
      <c r="N186" s="1">
        <f>0</f>
        <v>0</v>
      </c>
      <c r="O186" s="1">
        <f>0</f>
        <v>0</v>
      </c>
      <c r="P186" s="1">
        <f>MIN(方案参数!$AI$8,0+方案参数!$AJ$8+0)</f>
        <v>1</v>
      </c>
      <c r="Q186" s="1">
        <f>0</f>
        <v>0</v>
      </c>
      <c r="R186" s="1">
        <f>0</f>
        <v>0</v>
      </c>
      <c r="S186" s="1">
        <f>0</f>
        <v>0</v>
      </c>
      <c r="T186" s="1">
        <f>0+0</f>
        <v>0</v>
      </c>
      <c r="U186" s="1">
        <f>0</f>
        <v>0</v>
      </c>
      <c r="V186" s="1">
        <f>0</f>
        <v>0</v>
      </c>
      <c r="W186" s="1">
        <f>0</f>
        <v>0</v>
      </c>
      <c r="X186" s="1">
        <f>0</f>
        <v>0</v>
      </c>
      <c r="Y186" s="1">
        <f>0</f>
        <v>0</v>
      </c>
      <c r="Z186" s="1">
        <f>0</f>
        <v>0</v>
      </c>
      <c r="AA186" s="1">
        <f>MAX(0,0)</f>
        <v>0</v>
      </c>
      <c r="AB186" s="1">
        <f>0</f>
        <v>0</v>
      </c>
      <c r="AC186" s="1">
        <f>MAX(0,0)</f>
        <v>0</v>
      </c>
      <c r="AD186" s="1">
        <f>ROUNDDOWN(I186*(1+IF(F186=3,0.05+方案参数!$Y$8+AA186*0.12,IF(F186=4,方案参数!$BZ$8*方案参数!$AS$8,0)))+IF(AND(X186=1,F186&lt;&gt;3),方案参数!$CC$8,0)+AC186*方案参数!$CB$8,0)</f>
        <v>2986</v>
      </c>
      <c r="AE186" s="1">
        <f>IF(OR(F186=1,F186=4),配置与结果!$B$24,配置与结果!$B$25)*MAX(0,1-INDEX(配置与结果!$I$15:$I$18,F186))</f>
        <v>1000</v>
      </c>
      <c r="AF186" s="1">
        <f>0</f>
        <v>0</v>
      </c>
      <c r="AG186" s="1">
        <f>MAX(配置与结果!$B$32,1+INDEX(配置与结果!$F$15:$F$18,F186)+0+Q186*方案参数!$W$8+Y186*(方案参数!$AN$8+MIN(方案参数!$AO$8,P186*0.03))+AB186*方案参数!$BZ$8*0.025-配置与结果!$B$28)</f>
        <v>0.6349999999999999</v>
      </c>
      <c r="AH186" s="1">
        <f>MAX(0,1+INDEX(配置与结果!$G$15:$G$18,F186)+W186*方案参数!$AG$8)</f>
        <v>1</v>
      </c>
      <c r="AI186" s="1">
        <f>IF(OR(INDEX(配置与结果!$K$15:$K$18,F186)=1,G186="RHI_BERRY"),1+配置与结果!$B$33+P186*方案参数!$AH$8,1)</f>
        <v>1</v>
      </c>
      <c r="AJ186" s="1">
        <f>MIN(1,MAX(0,J186+方案参数!$AB$8-配置与结果!$B$27))</f>
        <v>0.55499999999999994</v>
      </c>
      <c r="AK186" s="1">
        <f>MAX(1,K186+IF(F186=2,0.15+方案参数!$CH$8,0)+BN186*方案参数!$X$8+R186*方案参数!$AA$8+0-配置与结果!$B$26+Z186*(方案参数!$AP$8+MIN(方案参数!$AQ$8,P186*0.03)))</f>
        <v>1.1499999999999999</v>
      </c>
      <c r="AL186" s="7">
        <f>ROUNDDOWN(MAX(AD186*配置与结果!$B$31,AD186-AE186)*AF186*AG186*AH186*AI186,0)</f>
        <v>0</v>
      </c>
      <c r="AM186" s="7">
        <f>ROUNDDOWN(MAX(AD186*配置与结果!$B$31,AD186-AE186)*AF186*AG186*AH186*AI186*AK186,0)</f>
        <v>0</v>
      </c>
      <c r="AN186" s="7">
        <f t="shared" si="201"/>
        <v>0</v>
      </c>
      <c r="AO186" s="7">
        <f>0</f>
        <v>0</v>
      </c>
      <c r="AP186" s="7">
        <f>MAX(0,1+INDEX(配置与结果!$J$15:$J$18,F186)+IF(T186&gt;0,方案参数!$BY$8,0)-配置与结果!$B$30)</f>
        <v>1</v>
      </c>
      <c r="AQ186" s="7">
        <f t="shared" si="202"/>
        <v>0</v>
      </c>
      <c r="AR186" s="7">
        <f t="shared" si="203"/>
        <v>0</v>
      </c>
      <c r="AS186" s="7">
        <f t="shared" si="204"/>
        <v>0</v>
      </c>
      <c r="AT186" s="7">
        <f>0</f>
        <v>0</v>
      </c>
      <c r="AU186" s="7">
        <f t="shared" si="205"/>
        <v>0</v>
      </c>
      <c r="AV186" s="1">
        <f t="shared" si="206"/>
        <v>0</v>
      </c>
      <c r="AW186" s="1">
        <f t="shared" si="256"/>
        <v>0</v>
      </c>
      <c r="AX186" s="1">
        <f t="shared" si="207"/>
        <v>0</v>
      </c>
      <c r="AY186" s="1">
        <f>MIN(20,MAX(0,O186+0+0-0))</f>
        <v>0</v>
      </c>
      <c r="AZ186" s="1">
        <f t="shared" si="208"/>
        <v>1</v>
      </c>
      <c r="BA186" s="1">
        <f>MIN(6,Q186+1)</f>
        <v>1</v>
      </c>
      <c r="BB186" s="1">
        <f>MIN(30,R186+5)</f>
        <v>5</v>
      </c>
      <c r="BC186" s="1">
        <f t="shared" si="253"/>
        <v>0</v>
      </c>
      <c r="BD186" s="1">
        <f t="shared" si="234"/>
        <v>0</v>
      </c>
      <c r="BE186" s="1">
        <f>0</f>
        <v>0</v>
      </c>
      <c r="BF186" s="1">
        <f t="shared" si="257"/>
        <v>0</v>
      </c>
      <c r="BG186" s="1">
        <f t="shared" si="244"/>
        <v>0</v>
      </c>
      <c r="BH186" s="1">
        <f>MAX(X186,1)</f>
        <v>1</v>
      </c>
      <c r="BI186" s="1">
        <f t="shared" si="245"/>
        <v>0</v>
      </c>
      <c r="BJ186" s="1">
        <f t="shared" si="248"/>
        <v>0</v>
      </c>
      <c r="BK186" s="1">
        <f t="shared" si="249"/>
        <v>0</v>
      </c>
      <c r="BL186" s="1">
        <f t="shared" si="254"/>
        <v>0</v>
      </c>
      <c r="BM186" s="1">
        <f t="shared" si="252"/>
        <v>0</v>
      </c>
      <c r="BN186" s="1">
        <f>0</f>
        <v>0</v>
      </c>
      <c r="BO186" s="1">
        <f>MAX(BN186,1)</f>
        <v>1</v>
      </c>
    </row>
    <row r="187" spans="1:67" ht="30.95" customHeight="1">
      <c r="A187" s="1">
        <f>5</f>
        <v>5</v>
      </c>
      <c r="B187" s="1">
        <f>固定流程!A7</f>
        <v>2</v>
      </c>
      <c r="C187" s="1">
        <f>8</f>
        <v>8</v>
      </c>
      <c r="D187" s="1">
        <f>1</f>
        <v>1</v>
      </c>
      <c r="E187" s="1">
        <f>固定流程!C7</f>
        <v>1</v>
      </c>
      <c r="F187" s="1">
        <f>固定流程!G7</f>
        <v>3</v>
      </c>
      <c r="G187" s="1" t="str">
        <f>固定流程!H7</f>
        <v>RHI_BUFF</v>
      </c>
      <c r="H187" s="1">
        <f>固定流程!F7</f>
        <v>1</v>
      </c>
      <c r="I187" s="1">
        <f>INDEX(配置与结果!$B$15:$B$18,F187)</f>
        <v>2597</v>
      </c>
      <c r="J187" s="1">
        <f>INDEX(配置与结果!$D$15:$D$18,F187)</f>
        <v>0.255</v>
      </c>
      <c r="K187" s="1">
        <f>INDEX(配置与结果!$E$15:$E$18,F187)</f>
        <v>1.55</v>
      </c>
      <c r="L187" s="1">
        <f t="shared" ref="L187:O192" si="258">AV186</f>
        <v>0</v>
      </c>
      <c r="M187" s="1">
        <f t="shared" si="258"/>
        <v>0</v>
      </c>
      <c r="N187" s="1">
        <f t="shared" si="258"/>
        <v>0</v>
      </c>
      <c r="O187" s="1">
        <f t="shared" si="258"/>
        <v>0</v>
      </c>
      <c r="P187" s="1">
        <f>MIN(方案参数!$AI$8,AZ186+0+方案参数!$AK$8)</f>
        <v>3</v>
      </c>
      <c r="Q187" s="1">
        <f t="shared" ref="Q187:Q221" si="259">BA186</f>
        <v>1</v>
      </c>
      <c r="R187" s="1">
        <f t="shared" ref="R187:R221" si="260">BB186</f>
        <v>5</v>
      </c>
      <c r="S187" s="1">
        <f t="shared" ref="S187:S221" si="261">BC186</f>
        <v>0</v>
      </c>
      <c r="T187" s="1">
        <f t="shared" ref="T187:T200" si="262">BD186+0</f>
        <v>0</v>
      </c>
      <c r="U187" s="1">
        <f t="shared" ref="U187:U221" si="263">BE186</f>
        <v>0</v>
      </c>
      <c r="V187" s="1">
        <f t="shared" ref="V187:V221" si="264">BF186</f>
        <v>0</v>
      </c>
      <c r="W187" s="1">
        <f t="shared" ref="W187:W221" si="265">BG186</f>
        <v>0</v>
      </c>
      <c r="X187" s="1">
        <f t="shared" ref="X187:X221" si="266">BH186</f>
        <v>1</v>
      </c>
      <c r="Y187" s="1">
        <f t="shared" ref="Y187:Y221" si="267">BI186</f>
        <v>0</v>
      </c>
      <c r="Z187" s="1">
        <f t="shared" ref="Z187:Z221" si="268">BJ186</f>
        <v>0</v>
      </c>
      <c r="AA187" s="1">
        <f t="shared" ref="AA187:AA192" si="269">MAX(BK186,0)</f>
        <v>0</v>
      </c>
      <c r="AB187" s="1">
        <f t="shared" ref="AB187:AB221" si="270">BL186</f>
        <v>0</v>
      </c>
      <c r="AC187" s="1">
        <f t="shared" ref="AC187:AC200" si="271">MAX(BM186,0)</f>
        <v>0</v>
      </c>
      <c r="AD187" s="1">
        <f>ROUNDDOWN(I187*(1+IF(F187=3,0.05+方案参数!$Y$8+AA187*0.12,IF(F187=4,方案参数!$BZ$8*方案参数!$AS$8,0)))+IF(AND(X187=1,F187&lt;&gt;3),方案参数!$CC$8,0)+AC187*方案参数!$CB$8,0)</f>
        <v>2986</v>
      </c>
      <c r="AE187" s="1">
        <f>IF(OR(F187=1,F187=4),配置与结果!$B$24,配置与结果!$B$25)*MAX(0,1-INDEX(配置与结果!$I$15:$I$18,F187))</f>
        <v>1000</v>
      </c>
      <c r="AF187" s="1">
        <f>0</f>
        <v>0</v>
      </c>
      <c r="AG187" s="1">
        <f>MAX(配置与结果!$B$32,1+INDEX(配置与结果!$F$15:$F$18,F187)+0+Q187*方案参数!$W$8+Y187*(方案参数!$AN$8+MIN(方案参数!$AO$8,P187*0.03))+AB187*方案参数!$BZ$8*0.025-配置与结果!$B$28)</f>
        <v>0.65499999999999992</v>
      </c>
      <c r="AH187" s="1">
        <f>MAX(0,1+INDEX(配置与结果!$G$15:$G$18,F187)+W187*方案参数!$AG$8)</f>
        <v>1</v>
      </c>
      <c r="AI187" s="1">
        <f>IF(OR(INDEX(配置与结果!$K$15:$K$18,F187)=1,G187="RHI_BERRY"),1+配置与结果!$B$33+P187*方案参数!$AH$8,1)</f>
        <v>1</v>
      </c>
      <c r="AJ187" s="1">
        <f>MIN(1,MAX(0,J187+方案参数!$AB$8-配置与结果!$B$27))</f>
        <v>0.55499999999999994</v>
      </c>
      <c r="AK187" s="1">
        <f>MAX(1,K187+IF(F187=2,0.15+方案参数!$CH$8,0)+BN187*方案参数!$X$8+R187*方案参数!$AA$8+0-配置与结果!$B$26+Z187*(方案参数!$AP$8+MIN(方案参数!$AQ$8,P187*0.03)))</f>
        <v>1.33</v>
      </c>
      <c r="AL187" s="7">
        <f>ROUNDDOWN(MAX(AD187*配置与结果!$B$31,AD187-AE187)*AF187*AG187*AH187*AI187,0)</f>
        <v>0</v>
      </c>
      <c r="AM187" s="7">
        <f>ROUNDDOWN(MAX(AD187*配置与结果!$B$31,AD187-AE187)*AF187*AG187*AH187*AI187*AK187,0)</f>
        <v>0</v>
      </c>
      <c r="AN187" s="7">
        <f t="shared" si="201"/>
        <v>0</v>
      </c>
      <c r="AO187" s="7">
        <f>0</f>
        <v>0</v>
      </c>
      <c r="AP187" s="7">
        <f>MAX(0,1+INDEX(配置与结果!$J$15:$J$18,F187)+IF(T187&gt;0,方案参数!$BY$8,0)-配置与结果!$B$30)</f>
        <v>1</v>
      </c>
      <c r="AQ187" s="7">
        <f t="shared" si="202"/>
        <v>0</v>
      </c>
      <c r="AR187" s="7">
        <f t="shared" si="203"/>
        <v>0</v>
      </c>
      <c r="AS187" s="7">
        <f t="shared" si="204"/>
        <v>0</v>
      </c>
      <c r="AT187" s="7">
        <f>0</f>
        <v>0</v>
      </c>
      <c r="AU187" s="7">
        <f t="shared" si="205"/>
        <v>0</v>
      </c>
      <c r="AV187" s="1">
        <f t="shared" si="206"/>
        <v>0</v>
      </c>
      <c r="AW187" s="1">
        <f t="shared" si="256"/>
        <v>0</v>
      </c>
      <c r="AX187" s="1">
        <f t="shared" si="207"/>
        <v>0</v>
      </c>
      <c r="AY187" s="1">
        <f>MIN(20,MAX(0,O187+0+0-0))</f>
        <v>0</v>
      </c>
      <c r="AZ187" s="1">
        <f t="shared" si="208"/>
        <v>3</v>
      </c>
      <c r="BA187" s="1">
        <f>MIN(6,Q187+1)</f>
        <v>2</v>
      </c>
      <c r="BB187" s="1">
        <f t="shared" ref="BB187:BB200" si="272">MIN(30,R187+0)</f>
        <v>5</v>
      </c>
      <c r="BC187" s="1">
        <f t="shared" si="253"/>
        <v>0</v>
      </c>
      <c r="BD187" s="1">
        <f t="shared" si="234"/>
        <v>0</v>
      </c>
      <c r="BE187" s="1">
        <f t="shared" ref="BE187:BE208" si="273">BE186</f>
        <v>0</v>
      </c>
      <c r="BF187" s="1">
        <f t="shared" si="257"/>
        <v>0</v>
      </c>
      <c r="BG187" s="1">
        <f>MAX(W187,1)</f>
        <v>1</v>
      </c>
      <c r="BH187" s="1">
        <f t="shared" ref="BH187:BH221" si="274">MAX(X187,0)</f>
        <v>1</v>
      </c>
      <c r="BI187" s="1">
        <f>MAX(Y187,1)</f>
        <v>1</v>
      </c>
      <c r="BJ187" s="1">
        <f t="shared" si="248"/>
        <v>0</v>
      </c>
      <c r="BK187" s="1">
        <f t="shared" si="249"/>
        <v>0</v>
      </c>
      <c r="BL187" s="1">
        <f t="shared" si="254"/>
        <v>0</v>
      </c>
      <c r="BM187" s="1">
        <f t="shared" si="252"/>
        <v>0</v>
      </c>
      <c r="BN187" s="1">
        <f t="shared" ref="BN187:BN221" si="275">BO186</f>
        <v>1</v>
      </c>
      <c r="BO187" s="1">
        <f t="shared" ref="BO187:BO221" si="276">MAX(BN187,0)</f>
        <v>1</v>
      </c>
    </row>
    <row r="188" spans="1:67" ht="30.95" customHeight="1">
      <c r="A188" s="1">
        <f>5</f>
        <v>5</v>
      </c>
      <c r="B188" s="1">
        <f>固定流程!A8</f>
        <v>3</v>
      </c>
      <c r="C188" s="1">
        <f>8</f>
        <v>8</v>
      </c>
      <c r="D188" s="1">
        <f>1</f>
        <v>1</v>
      </c>
      <c r="E188" s="1">
        <f>固定流程!C8</f>
        <v>1</v>
      </c>
      <c r="F188" s="1">
        <f>固定流程!G8</f>
        <v>1</v>
      </c>
      <c r="G188" s="1" t="str">
        <f>固定流程!H8</f>
        <v>LILYA_COBRA</v>
      </c>
      <c r="H188" s="1">
        <f>固定流程!F8</f>
        <v>1</v>
      </c>
      <c r="I188" s="1">
        <f>INDEX(配置与结果!$B$15:$B$18,F188)</f>
        <v>2296</v>
      </c>
      <c r="J188" s="1">
        <f>INDEX(配置与结果!$D$15:$D$18,F188)</f>
        <v>0.7</v>
      </c>
      <c r="K188" s="1">
        <f>INDEX(配置与结果!$E$15:$E$18,F188)</f>
        <v>2.0249999999999999</v>
      </c>
      <c r="L188" s="1">
        <f t="shared" si="258"/>
        <v>0</v>
      </c>
      <c r="M188" s="1">
        <f t="shared" si="258"/>
        <v>0</v>
      </c>
      <c r="N188" s="1">
        <f t="shared" si="258"/>
        <v>0</v>
      </c>
      <c r="O188" s="1">
        <f t="shared" si="258"/>
        <v>0</v>
      </c>
      <c r="P188" s="1">
        <f>MIN(方案参数!$AI$8,AZ187+0+0)</f>
        <v>3</v>
      </c>
      <c r="Q188" s="1">
        <f t="shared" si="259"/>
        <v>2</v>
      </c>
      <c r="R188" s="1">
        <f t="shared" si="260"/>
        <v>5</v>
      </c>
      <c r="S188" s="1">
        <f t="shared" si="261"/>
        <v>0</v>
      </c>
      <c r="T188" s="1">
        <f t="shared" si="262"/>
        <v>0</v>
      </c>
      <c r="U188" s="1">
        <f t="shared" si="263"/>
        <v>0</v>
      </c>
      <c r="V188" s="1">
        <f t="shared" si="264"/>
        <v>0</v>
      </c>
      <c r="W188" s="1">
        <f t="shared" si="265"/>
        <v>1</v>
      </c>
      <c r="X188" s="1">
        <f t="shared" si="266"/>
        <v>1</v>
      </c>
      <c r="Y188" s="1">
        <f t="shared" si="267"/>
        <v>1</v>
      </c>
      <c r="Z188" s="1">
        <f t="shared" si="268"/>
        <v>0</v>
      </c>
      <c r="AA188" s="1">
        <f t="shared" si="269"/>
        <v>0</v>
      </c>
      <c r="AB188" s="1">
        <f t="shared" si="270"/>
        <v>0</v>
      </c>
      <c r="AC188" s="1">
        <f t="shared" si="271"/>
        <v>0</v>
      </c>
      <c r="AD188" s="1">
        <f>ROUNDDOWN(I188*(1+IF(F188=3,0.05+方案参数!$Y$8+AA188*0.12,IF(F188=4,方案参数!$BZ$8*方案参数!$AS$8,0)))+IF(AND(X188=1,F188&lt;&gt;3),方案参数!$CC$8,0)+AC188*方案参数!$CB$8,0)</f>
        <v>2534</v>
      </c>
      <c r="AE188" s="1">
        <f>IF(OR(F188=1,F188=4),配置与结果!$B$24,配置与结果!$B$25)*MAX(0,1-INDEX(配置与结果!$I$15:$I$18,F188))</f>
        <v>1200</v>
      </c>
      <c r="AF188" s="1">
        <f>0</f>
        <v>0</v>
      </c>
      <c r="AG188" s="1">
        <f>MAX(配置与结果!$B$32,1+INDEX(配置与结果!$F$15:$F$18,F188)+0.08+方案参数!$CD$8+Q188*方案参数!$W$8+Y188*(方案参数!$AN$8+MIN(方案参数!$AO$8,P188*0.03))+AB188*方案参数!$BZ$8*0.025-配置与结果!$B$28)</f>
        <v>1.2200000000000002</v>
      </c>
      <c r="AH188" s="1">
        <f>MAX(0,1+INDEX(配置与结果!$G$15:$G$18,F188)+W188*方案参数!$AG$8)</f>
        <v>1.3</v>
      </c>
      <c r="AI188" s="1">
        <f>IF(OR(INDEX(配置与结果!$K$15:$K$18,F188)=1,G188="RHI_BERRY"),1+配置与结果!$B$33+P188*方案参数!$AH$8,1)</f>
        <v>1</v>
      </c>
      <c r="AJ188" s="1">
        <f>MIN(1,MAX(0,J188+方案参数!$AB$8-配置与结果!$B$27))</f>
        <v>1</v>
      </c>
      <c r="AK188" s="1">
        <f>MAX(1,K188+IF(F188=2,0.15+方案参数!$CH$8,0)+BN188*方案参数!$X$8+R188*方案参数!$AA$8+0-配置与结果!$B$26+Z188*(方案参数!$AP$8+MIN(方案参数!$AQ$8,P188*0.03)))</f>
        <v>1.8050000000000002</v>
      </c>
      <c r="AL188" s="7">
        <f>ROUNDDOWN(MAX(AD188*配置与结果!$B$31,AD188-AE188)*AF188*AG188*AH188*AI188,0)</f>
        <v>0</v>
      </c>
      <c r="AM188" s="7">
        <f>ROUNDDOWN(MAX(AD188*配置与结果!$B$31,AD188-AE188)*AF188*AG188*AH188*AI188*AK188,0)</f>
        <v>0</v>
      </c>
      <c r="AN188" s="7">
        <f t="shared" si="201"/>
        <v>0</v>
      </c>
      <c r="AO188" s="7">
        <f>0</f>
        <v>0</v>
      </c>
      <c r="AP188" s="7">
        <f>MAX(0,1+INDEX(配置与结果!$J$15:$J$18,F188)+IF(T188&gt;0,方案参数!$BY$8,0)-配置与结果!$B$30)</f>
        <v>1</v>
      </c>
      <c r="AQ188" s="7">
        <f t="shared" si="202"/>
        <v>0</v>
      </c>
      <c r="AR188" s="7">
        <f t="shared" si="203"/>
        <v>0</v>
      </c>
      <c r="AS188" s="7">
        <f t="shared" si="204"/>
        <v>0</v>
      </c>
      <c r="AT188" s="7">
        <f>0</f>
        <v>0</v>
      </c>
      <c r="AU188" s="7">
        <f t="shared" si="205"/>
        <v>0</v>
      </c>
      <c r="AV188" s="1">
        <f t="shared" si="206"/>
        <v>1</v>
      </c>
      <c r="AW188" s="1">
        <f>MIN(10,M188+方案参数!$BD$8+0)</f>
        <v>5</v>
      </c>
      <c r="AX188" s="1">
        <f t="shared" si="207"/>
        <v>0</v>
      </c>
      <c r="AY188" s="1">
        <f>MIN(20,MAX(0,O188+6+0-0))</f>
        <v>6</v>
      </c>
      <c r="AZ188" s="1">
        <f t="shared" si="208"/>
        <v>3</v>
      </c>
      <c r="BA188" s="1">
        <f>MIN(6,Q188+0)</f>
        <v>2</v>
      </c>
      <c r="BB188" s="1">
        <f t="shared" si="272"/>
        <v>5</v>
      </c>
      <c r="BC188" s="1">
        <f t="shared" si="253"/>
        <v>0</v>
      </c>
      <c r="BD188" s="1">
        <f t="shared" si="234"/>
        <v>0</v>
      </c>
      <c r="BE188" s="1">
        <f t="shared" si="273"/>
        <v>0</v>
      </c>
      <c r="BF188" s="1">
        <f t="shared" si="257"/>
        <v>0</v>
      </c>
      <c r="BG188" s="1">
        <f t="shared" ref="BG188:BG198" si="277">MAX(W188,0)</f>
        <v>1</v>
      </c>
      <c r="BH188" s="1">
        <f t="shared" si="274"/>
        <v>1</v>
      </c>
      <c r="BI188" s="1">
        <f t="shared" ref="BI188:BI198" si="278">MAX(Y188,0)</f>
        <v>1</v>
      </c>
      <c r="BJ188" s="1">
        <f t="shared" si="248"/>
        <v>0</v>
      </c>
      <c r="BK188" s="1">
        <f t="shared" si="249"/>
        <v>0</v>
      </c>
      <c r="BL188" s="1">
        <f t="shared" si="254"/>
        <v>0</v>
      </c>
      <c r="BM188" s="1">
        <f t="shared" si="252"/>
        <v>0</v>
      </c>
      <c r="BN188" s="1">
        <f t="shared" si="275"/>
        <v>1</v>
      </c>
      <c r="BO188" s="1">
        <f t="shared" si="276"/>
        <v>1</v>
      </c>
    </row>
    <row r="189" spans="1:67" ht="30.95" customHeight="1">
      <c r="A189" s="1">
        <f>5</f>
        <v>5</v>
      </c>
      <c r="B189" s="1">
        <f>固定流程!A9</f>
        <v>4</v>
      </c>
      <c r="C189" s="1">
        <f>8</f>
        <v>8</v>
      </c>
      <c r="D189" s="1">
        <f>1</f>
        <v>1</v>
      </c>
      <c r="E189" s="1">
        <f>固定流程!C9</f>
        <v>1</v>
      </c>
      <c r="F189" s="1">
        <f>固定流程!G9</f>
        <v>1</v>
      </c>
      <c r="G189" s="1" t="str">
        <f>固定流程!H9</f>
        <v>LILYA_DIVE</v>
      </c>
      <c r="H189" s="1">
        <f>固定流程!F9</f>
        <v>1</v>
      </c>
      <c r="I189" s="1">
        <f>INDEX(配置与结果!$B$15:$B$18,F189)</f>
        <v>2296</v>
      </c>
      <c r="J189" s="1">
        <f>INDEX(配置与结果!$D$15:$D$18,F189)</f>
        <v>0.7</v>
      </c>
      <c r="K189" s="1">
        <f>INDEX(配置与结果!$E$15:$E$18,F189)</f>
        <v>2.0249999999999999</v>
      </c>
      <c r="L189" s="1">
        <f t="shared" si="258"/>
        <v>1</v>
      </c>
      <c r="M189" s="1">
        <f t="shared" si="258"/>
        <v>5</v>
      </c>
      <c r="N189" s="1">
        <f t="shared" si="258"/>
        <v>0</v>
      </c>
      <c r="O189" s="1">
        <f t="shared" si="258"/>
        <v>6</v>
      </c>
      <c r="P189" s="1">
        <f>MIN(方案参数!$AI$8,AZ188+0+0)</f>
        <v>3</v>
      </c>
      <c r="Q189" s="1">
        <f t="shared" si="259"/>
        <v>2</v>
      </c>
      <c r="R189" s="1">
        <f t="shared" si="260"/>
        <v>5</v>
      </c>
      <c r="S189" s="1">
        <f t="shared" si="261"/>
        <v>0</v>
      </c>
      <c r="T189" s="1">
        <f t="shared" si="262"/>
        <v>0</v>
      </c>
      <c r="U189" s="1">
        <f t="shared" si="263"/>
        <v>0</v>
      </c>
      <c r="V189" s="1">
        <f t="shared" si="264"/>
        <v>0</v>
      </c>
      <c r="W189" s="1">
        <f t="shared" si="265"/>
        <v>1</v>
      </c>
      <c r="X189" s="1">
        <f t="shared" si="266"/>
        <v>1</v>
      </c>
      <c r="Y189" s="1">
        <f t="shared" si="267"/>
        <v>1</v>
      </c>
      <c r="Z189" s="1">
        <f t="shared" si="268"/>
        <v>0</v>
      </c>
      <c r="AA189" s="1">
        <f t="shared" si="269"/>
        <v>0</v>
      </c>
      <c r="AB189" s="1">
        <f t="shared" si="270"/>
        <v>0</v>
      </c>
      <c r="AC189" s="1">
        <f t="shared" si="271"/>
        <v>0</v>
      </c>
      <c r="AD189" s="1">
        <f>ROUNDDOWN(I189*(1+IF(F189=3,0.05+方案参数!$Y$8+AA189*0.12,IF(F189=4,方案参数!$BZ$8*方案参数!$AS$8,0)))+IF(AND(X189=1,F189&lt;&gt;3),方案参数!$CC$8,0)+AC189*方案参数!$CB$8,0)</f>
        <v>2534</v>
      </c>
      <c r="AE189" s="1">
        <f>IF(OR(F189=1,F189=4),配置与结果!$B$24,配置与结果!$B$25)*MAX(0,1-INDEX(配置与结果!$I$15:$I$18,F189))</f>
        <v>1200</v>
      </c>
      <c r="AF189" s="1">
        <f>(IF(L189=1,方案参数!$AW$8,IF(L189=2,方案参数!$AX$8,0))+方案参数!$AV$8)*H189</f>
        <v>9</v>
      </c>
      <c r="AG189" s="1">
        <f>MAX(配置与结果!$B$32,1+INDEX(配置与结果!$F$15:$F$18,F189)+0.08+方案参数!$CD$8+Q189*方案参数!$W$8+Y189*(方案参数!$AN$8+MIN(方案参数!$AO$8,P189*0.03))+AB189*方案参数!$BZ$8*0.025+IF(L189=1,方案参数!$AY$8+(H189-1)*0.1,IF(L189=2,方案参数!$AZ$8+(H189-1)*0.2,0))-配置与结果!$B$28)</f>
        <v>1.52</v>
      </c>
      <c r="AH189" s="1">
        <f>MAX(0,1+INDEX(配置与结果!$G$15:$G$18,F189)+W189*方案参数!$AG$8+IF(L189=1,方案参数!$BA$8,IF(L189=2,方案参数!$BB$8,0))+M189*方案参数!$BC$8)</f>
        <v>2.1999999999999997</v>
      </c>
      <c r="AI189" s="1">
        <f>IF(OR(INDEX(配置与结果!$K$15:$K$18,F189)=1,G189="RHI_BERRY"),1+配置与结果!$B$33+P189*方案参数!$AH$8,1)</f>
        <v>1</v>
      </c>
      <c r="AJ189" s="1">
        <f>MIN(1,MAX(0,J189+方案参数!$AB$8-配置与结果!$B$27))</f>
        <v>1</v>
      </c>
      <c r="AK189" s="1">
        <f>MAX(1,K189+IF(F189=2,0.15+方案参数!$CH$8,0)+BN189*方案参数!$X$8+R189*方案参数!$AA$8+0-配置与结果!$B$26+Z189*(方案参数!$AP$8+MIN(方案参数!$AQ$8,P189*0.03)))</f>
        <v>1.8050000000000002</v>
      </c>
      <c r="AL189" s="7">
        <f>ROUNDDOWN(MAX(AD189*配置与结果!$B$31,AD189-AE189)*AF189*AG189*AH189*AI189,0)</f>
        <v>40148</v>
      </c>
      <c r="AM189" s="7">
        <f>ROUNDDOWN(MAX(AD189*配置与结果!$B$31,AD189-AE189)*AF189*AG189*AH189*AI189*AK189,0)</f>
        <v>72467</v>
      </c>
      <c r="AN189" s="7">
        <f t="shared" si="201"/>
        <v>72467</v>
      </c>
      <c r="AO189" s="7">
        <f>0</f>
        <v>0</v>
      </c>
      <c r="AP189" s="7">
        <f>MAX(0,1+INDEX(配置与结果!$J$15:$J$18,F189)+IF(T189&gt;0,方案参数!$BY$8,0)-配置与结果!$B$30)</f>
        <v>1</v>
      </c>
      <c r="AQ189" s="7">
        <f t="shared" si="202"/>
        <v>0</v>
      </c>
      <c r="AR189" s="7">
        <f t="shared" si="203"/>
        <v>0</v>
      </c>
      <c r="AS189" s="7">
        <f t="shared" si="204"/>
        <v>0</v>
      </c>
      <c r="AT189" s="7">
        <f>0</f>
        <v>0</v>
      </c>
      <c r="AU189" s="7">
        <f t="shared" si="205"/>
        <v>72467</v>
      </c>
      <c r="AV189" s="1">
        <f t="shared" si="206"/>
        <v>1</v>
      </c>
      <c r="AW189" s="1">
        <f>MIN(10,M189+0+IF(L189=1,方案参数!$BE$8,0))</f>
        <v>7</v>
      </c>
      <c r="AX189" s="1">
        <f t="shared" si="207"/>
        <v>0</v>
      </c>
      <c r="AY189" s="1">
        <f t="shared" ref="AY189:AY204" si="279">MIN(20,MAX(0,O189+0+0-0))</f>
        <v>6</v>
      </c>
      <c r="AZ189" s="1">
        <f t="shared" si="208"/>
        <v>3</v>
      </c>
      <c r="BA189" s="1">
        <f>MIN(6,Q189+0)</f>
        <v>2</v>
      </c>
      <c r="BB189" s="1">
        <f t="shared" si="272"/>
        <v>5</v>
      </c>
      <c r="BC189" s="1">
        <f t="shared" si="253"/>
        <v>0</v>
      </c>
      <c r="BD189" s="1">
        <f t="shared" si="234"/>
        <v>0</v>
      </c>
      <c r="BE189" s="1">
        <f t="shared" si="273"/>
        <v>0</v>
      </c>
      <c r="BF189" s="1">
        <f t="shared" si="257"/>
        <v>0</v>
      </c>
      <c r="BG189" s="1">
        <f t="shared" si="277"/>
        <v>1</v>
      </c>
      <c r="BH189" s="1">
        <f t="shared" si="274"/>
        <v>1</v>
      </c>
      <c r="BI189" s="1">
        <f t="shared" si="278"/>
        <v>1</v>
      </c>
      <c r="BJ189" s="1">
        <f t="shared" si="248"/>
        <v>0</v>
      </c>
      <c r="BK189" s="1">
        <f t="shared" si="249"/>
        <v>0</v>
      </c>
      <c r="BL189" s="1">
        <f t="shared" si="254"/>
        <v>0</v>
      </c>
      <c r="BM189" s="1">
        <f t="shared" si="252"/>
        <v>0</v>
      </c>
      <c r="BN189" s="1">
        <f t="shared" si="275"/>
        <v>1</v>
      </c>
      <c r="BO189" s="1">
        <f t="shared" si="276"/>
        <v>1</v>
      </c>
    </row>
    <row r="190" spans="1:67" ht="30.95" customHeight="1">
      <c r="A190" s="1">
        <f>5</f>
        <v>5</v>
      </c>
      <c r="B190" s="1">
        <f>固定流程!A10</f>
        <v>5</v>
      </c>
      <c r="C190" s="1">
        <f>8</f>
        <v>8</v>
      </c>
      <c r="D190" s="1">
        <f>1</f>
        <v>1</v>
      </c>
      <c r="E190" s="1">
        <f>固定流程!C10</f>
        <v>1</v>
      </c>
      <c r="F190" s="1">
        <f>固定流程!G10</f>
        <v>2</v>
      </c>
      <c r="G190" s="1" t="str">
        <f>固定流程!H10</f>
        <v>37_TRIANGLE</v>
      </c>
      <c r="H190" s="1">
        <f>固定流程!F10</f>
        <v>1</v>
      </c>
      <c r="I190" s="1">
        <f>INDEX(配置与结果!$B$15:$B$18,F190)</f>
        <v>2306</v>
      </c>
      <c r="J190" s="1">
        <f>INDEX(配置与结果!$D$15:$D$18,F190)</f>
        <v>0.46</v>
      </c>
      <c r="K190" s="1">
        <f>INDEX(配置与结果!$E$15:$E$18,F190)</f>
        <v>1.9279999999999999</v>
      </c>
      <c r="L190" s="1">
        <f t="shared" si="258"/>
        <v>1</v>
      </c>
      <c r="M190" s="1">
        <f t="shared" si="258"/>
        <v>7</v>
      </c>
      <c r="N190" s="1">
        <f t="shared" si="258"/>
        <v>0</v>
      </c>
      <c r="O190" s="1">
        <f t="shared" si="258"/>
        <v>6</v>
      </c>
      <c r="P190" s="1">
        <f>MIN(方案参数!$AI$8,AZ189+0+0)</f>
        <v>3</v>
      </c>
      <c r="Q190" s="1">
        <f t="shared" si="259"/>
        <v>2</v>
      </c>
      <c r="R190" s="1">
        <f t="shared" si="260"/>
        <v>5</v>
      </c>
      <c r="S190" s="1">
        <f t="shared" si="261"/>
        <v>0</v>
      </c>
      <c r="T190" s="1">
        <f t="shared" si="262"/>
        <v>0</v>
      </c>
      <c r="U190" s="1">
        <f t="shared" si="263"/>
        <v>0</v>
      </c>
      <c r="V190" s="1">
        <f t="shared" si="264"/>
        <v>0</v>
      </c>
      <c r="W190" s="1">
        <f t="shared" si="265"/>
        <v>1</v>
      </c>
      <c r="X190" s="1">
        <f t="shared" si="266"/>
        <v>1</v>
      </c>
      <c r="Y190" s="1">
        <f t="shared" si="267"/>
        <v>1</v>
      </c>
      <c r="Z190" s="1">
        <f t="shared" si="268"/>
        <v>0</v>
      </c>
      <c r="AA190" s="1">
        <f t="shared" si="269"/>
        <v>0</v>
      </c>
      <c r="AB190" s="1">
        <f t="shared" si="270"/>
        <v>0</v>
      </c>
      <c r="AC190" s="1">
        <f t="shared" si="271"/>
        <v>0</v>
      </c>
      <c r="AD190" s="1">
        <f>ROUNDDOWN(I190*(1+IF(F190=3,0.05+方案参数!$Y$8+AA190*0.12,IF(F190=4,方案参数!$BZ$8*方案参数!$AS$8,0)))+IF(AND(X190=1,F190&lt;&gt;3),方案参数!$CC$8,0)+AC190*方案参数!$CB$8,0)</f>
        <v>2544</v>
      </c>
      <c r="AE190" s="1">
        <f>IF(OR(F190=1,F190=4),配置与结果!$B$24,配置与结果!$B$25)*MAX(0,1-INDEX(配置与结果!$I$15:$I$18,F190))</f>
        <v>1000</v>
      </c>
      <c r="AF190" s="1">
        <f>方案参数!$BS$8*IF(H190=1,1,IF(H190=2,1.5,2.5))</f>
        <v>2.8</v>
      </c>
      <c r="AG190" s="1">
        <f>MAX(配置与结果!$B$32,1+INDEX(配置与结果!$F$15:$F$18,F190)+0+Q190*方案参数!$W$8+Y190*(方案参数!$AN$8+MIN(方案参数!$AO$8,P190*0.03))+AB190*方案参数!$BZ$8*0.025-配置与结果!$B$28)</f>
        <v>0.8849999999999999</v>
      </c>
      <c r="AH190" s="1">
        <f>MAX(0,1+INDEX(配置与结果!$G$15:$G$18,F190)+W190*方案参数!$AG$8)</f>
        <v>1.3</v>
      </c>
      <c r="AI190" s="1">
        <f>IF(OR(INDEX(配置与结果!$K$15:$K$18,F190)=1,G190="RHI_BERRY"),1+配置与结果!$B$33+P190*方案参数!$AH$8,1)</f>
        <v>1</v>
      </c>
      <c r="AJ190" s="1">
        <f>MIN(1,MAX(0,J190+方案参数!$AB$8-配置与结果!$B$27))</f>
        <v>0.76</v>
      </c>
      <c r="AK190" s="1">
        <f>MAX(1,K190+IF(F190=2,0.15+方案参数!$CH$8,0)+BN190*方案参数!$X$8+R190*方案参数!$AA$8+0-配置与结果!$B$26+Z190*(方案参数!$AP$8+MIN(方案参数!$AQ$8,P190*0.03)))</f>
        <v>1.9780000000000002</v>
      </c>
      <c r="AL190" s="7">
        <f>ROUNDDOWN(MAX(AD190*配置与结果!$B$31,AD190-AE190)*AF190*AG190*AH190*AI190,0)</f>
        <v>4973</v>
      </c>
      <c r="AM190" s="7">
        <f>ROUNDDOWN(MAX(AD190*配置与结果!$B$31,AD190-AE190)*AF190*AG190*AH190*AI190*AK190,0)</f>
        <v>9838</v>
      </c>
      <c r="AN190" s="7">
        <f t="shared" si="201"/>
        <v>8670.4</v>
      </c>
      <c r="AO190" s="7">
        <f>方案参数!$BU$8*IF(H190=1,1,IF(H190=2,1.5,2.5))</f>
        <v>0.8</v>
      </c>
      <c r="AP190" s="7">
        <f>MAX(0,1+INDEX(配置与结果!$J$15:$J$18,F190)+IF(T190&gt;0,方案参数!$BY$8,0)-配置与结果!$B$30)</f>
        <v>1</v>
      </c>
      <c r="AQ190" s="7">
        <f t="shared" si="202"/>
        <v>2035</v>
      </c>
      <c r="AR190" s="7">
        <f t="shared" si="203"/>
        <v>4025</v>
      </c>
      <c r="AS190" s="7">
        <f t="shared" si="204"/>
        <v>3547.4</v>
      </c>
      <c r="AT190" s="7">
        <f>0</f>
        <v>0</v>
      </c>
      <c r="AU190" s="7">
        <f t="shared" si="205"/>
        <v>12217.8</v>
      </c>
      <c r="AV190" s="1">
        <f t="shared" si="206"/>
        <v>1</v>
      </c>
      <c r="AW190" s="1">
        <f>MIN(10,M190+0+0)</f>
        <v>7</v>
      </c>
      <c r="AX190" s="1">
        <f t="shared" si="207"/>
        <v>0</v>
      </c>
      <c r="AY190" s="1">
        <f t="shared" si="279"/>
        <v>6</v>
      </c>
      <c r="AZ190" s="1">
        <f t="shared" si="208"/>
        <v>3</v>
      </c>
      <c r="BA190" s="1">
        <f>MIN(6,Q190+0)</f>
        <v>2</v>
      </c>
      <c r="BB190" s="1">
        <f t="shared" si="272"/>
        <v>5</v>
      </c>
      <c r="BC190" s="1">
        <f t="shared" si="253"/>
        <v>0</v>
      </c>
      <c r="BD190" s="1">
        <f>MAX(0,T190-IF(AO190&gt;0,1,0))+1</f>
        <v>1</v>
      </c>
      <c r="BE190" s="1">
        <f t="shared" si="273"/>
        <v>0</v>
      </c>
      <c r="BF190" s="1">
        <f t="shared" si="257"/>
        <v>0</v>
      </c>
      <c r="BG190" s="1">
        <f t="shared" si="277"/>
        <v>1</v>
      </c>
      <c r="BH190" s="1">
        <f t="shared" si="274"/>
        <v>1</v>
      </c>
      <c r="BI190" s="1">
        <f t="shared" si="278"/>
        <v>1</v>
      </c>
      <c r="BJ190" s="1">
        <f t="shared" si="248"/>
        <v>0</v>
      </c>
      <c r="BK190" s="1">
        <f t="shared" si="249"/>
        <v>0</v>
      </c>
      <c r="BL190" s="1">
        <f t="shared" si="254"/>
        <v>0</v>
      </c>
      <c r="BM190" s="1">
        <f t="shared" si="252"/>
        <v>0</v>
      </c>
      <c r="BN190" s="1">
        <f t="shared" si="275"/>
        <v>1</v>
      </c>
      <c r="BO190" s="1">
        <f t="shared" si="276"/>
        <v>1</v>
      </c>
    </row>
    <row r="191" spans="1:67" ht="30.95" customHeight="1">
      <c r="A191" s="1">
        <f>5</f>
        <v>5</v>
      </c>
      <c r="B191" s="1">
        <f>固定流程!A11</f>
        <v>6</v>
      </c>
      <c r="C191" s="1">
        <f>8</f>
        <v>8</v>
      </c>
      <c r="D191" s="1">
        <f>1</f>
        <v>1</v>
      </c>
      <c r="E191" s="1">
        <f>固定流程!C11</f>
        <v>1</v>
      </c>
      <c r="F191" s="1">
        <f>固定流程!G11</f>
        <v>2</v>
      </c>
      <c r="G191" s="1" t="str">
        <f>固定流程!H11</f>
        <v>37_FOLLOW</v>
      </c>
      <c r="H191" s="1">
        <f>固定流程!F11</f>
        <v>1</v>
      </c>
      <c r="I191" s="1">
        <f>INDEX(配置与结果!$B$15:$B$18,F191)</f>
        <v>2306</v>
      </c>
      <c r="J191" s="1">
        <f>INDEX(配置与结果!$D$15:$D$18,F191)</f>
        <v>0.46</v>
      </c>
      <c r="K191" s="1">
        <f>INDEX(配置与结果!$E$15:$E$18,F191)</f>
        <v>1.9279999999999999</v>
      </c>
      <c r="L191" s="1">
        <f t="shared" si="258"/>
        <v>1</v>
      </c>
      <c r="M191" s="1">
        <f t="shared" si="258"/>
        <v>7</v>
      </c>
      <c r="N191" s="1">
        <f t="shared" si="258"/>
        <v>0</v>
      </c>
      <c r="O191" s="1">
        <f t="shared" si="258"/>
        <v>6</v>
      </c>
      <c r="P191" s="1">
        <f>MIN(方案参数!$AI$8,AZ190+0+0)</f>
        <v>3</v>
      </c>
      <c r="Q191" s="1">
        <f t="shared" si="259"/>
        <v>2</v>
      </c>
      <c r="R191" s="1">
        <f t="shared" si="260"/>
        <v>5</v>
      </c>
      <c r="S191" s="1">
        <f t="shared" si="261"/>
        <v>0</v>
      </c>
      <c r="T191" s="1">
        <f t="shared" si="262"/>
        <v>1</v>
      </c>
      <c r="U191" s="1">
        <f t="shared" si="263"/>
        <v>0</v>
      </c>
      <c r="V191" s="1">
        <f t="shared" si="264"/>
        <v>0</v>
      </c>
      <c r="W191" s="1">
        <f t="shared" si="265"/>
        <v>1</v>
      </c>
      <c r="X191" s="1">
        <f t="shared" si="266"/>
        <v>1</v>
      </c>
      <c r="Y191" s="1">
        <f t="shared" si="267"/>
        <v>1</v>
      </c>
      <c r="Z191" s="1">
        <f t="shared" si="268"/>
        <v>0</v>
      </c>
      <c r="AA191" s="1">
        <f t="shared" si="269"/>
        <v>0</v>
      </c>
      <c r="AB191" s="1">
        <f t="shared" si="270"/>
        <v>0</v>
      </c>
      <c r="AC191" s="1">
        <f t="shared" si="271"/>
        <v>0</v>
      </c>
      <c r="AD191" s="1">
        <f>ROUNDDOWN(I191*(1+IF(F191=3,0.05+方案参数!$Y$8+AA191*0.12,IF(F191=4,方案参数!$BZ$8*方案参数!$AS$8,0)))+IF(AND(X191=1,F191&lt;&gt;3),方案参数!$CC$8,0)+AC191*方案参数!$CB$8,0)</f>
        <v>2544</v>
      </c>
      <c r="AE191" s="1">
        <f>IF(OR(F191=1,F191=4),配置与结果!$B$24,配置与结果!$B$25)*MAX(0,1-INDEX(配置与结果!$I$15:$I$18,F191))</f>
        <v>1000</v>
      </c>
      <c r="AF191" s="1">
        <f>方案参数!$BV$8</f>
        <v>3</v>
      </c>
      <c r="AG191" s="1">
        <f>MAX(配置与结果!$B$32,1+INDEX(配置与结果!$F$15:$F$18,F191)+0+Q191*方案参数!$W$8+Y191*(方案参数!$AN$8+MIN(方案参数!$AO$8,P191*0.03))+AB191*方案参数!$BZ$8*0.025-配置与结果!$B$28)</f>
        <v>0.8849999999999999</v>
      </c>
      <c r="AH191" s="1">
        <f>MAX(0,1+INDEX(配置与结果!$G$15:$G$18,F191)+W191*方案参数!$AG$8)</f>
        <v>1.3</v>
      </c>
      <c r="AI191" s="1">
        <f>IF(OR(INDEX(配置与结果!$K$15:$K$18,F191)=1,G191="RHI_BERRY"),1+配置与结果!$B$33+P191*方案参数!$AH$8,1)</f>
        <v>1</v>
      </c>
      <c r="AJ191" s="1">
        <f>MIN(1,MAX(0,J191+方案参数!$AB$8-配置与结果!$B$27))</f>
        <v>0.76</v>
      </c>
      <c r="AK191" s="1">
        <f>MAX(1,K191+IF(F191=2,0.15+方案参数!$CH$8,0)+BN191*方案参数!$X$8+R191*方案参数!$AA$8+0-配置与结果!$B$26+Z191*(方案参数!$AP$8+MIN(方案参数!$AQ$8,P191*0.03)))</f>
        <v>1.9780000000000002</v>
      </c>
      <c r="AL191" s="7">
        <f>ROUNDDOWN(MAX(AD191*配置与结果!$B$31,AD191-AE191)*AF191*AG191*AH191*AI191,0)</f>
        <v>5329</v>
      </c>
      <c r="AM191" s="7">
        <f>ROUNDDOWN(MAX(AD191*配置与结果!$B$31,AD191-AE191)*AF191*AG191*AH191*AI191*AK191,0)</f>
        <v>10540</v>
      </c>
      <c r="AN191" s="7">
        <f t="shared" si="201"/>
        <v>9289.36</v>
      </c>
      <c r="AO191" s="7">
        <f>方案参数!$BW$8</f>
        <v>1</v>
      </c>
      <c r="AP191" s="7">
        <f>MAX(0,1+INDEX(配置与结果!$J$15:$J$18,F191)+IF(T191&gt;0,方案参数!$BY$8,0)-配置与结果!$B$30)</f>
        <v>2</v>
      </c>
      <c r="AQ191" s="7">
        <f t="shared" si="202"/>
        <v>5088</v>
      </c>
      <c r="AR191" s="7">
        <f t="shared" si="203"/>
        <v>10064</v>
      </c>
      <c r="AS191" s="7">
        <f t="shared" si="204"/>
        <v>8869.76</v>
      </c>
      <c r="AT191" s="7">
        <f>0</f>
        <v>0</v>
      </c>
      <c r="AU191" s="7">
        <f t="shared" si="205"/>
        <v>18159.120000000003</v>
      </c>
      <c r="AV191" s="1">
        <f t="shared" si="206"/>
        <v>1</v>
      </c>
      <c r="AW191" s="1">
        <f>MIN(10,M191+0+0)</f>
        <v>7</v>
      </c>
      <c r="AX191" s="1">
        <f t="shared" si="207"/>
        <v>0</v>
      </c>
      <c r="AY191" s="1">
        <f t="shared" si="279"/>
        <v>6</v>
      </c>
      <c r="AZ191" s="1">
        <f t="shared" si="208"/>
        <v>3</v>
      </c>
      <c r="BA191" s="1">
        <f>MIN(6,Q191+0)</f>
        <v>2</v>
      </c>
      <c r="BB191" s="1">
        <f t="shared" si="272"/>
        <v>5</v>
      </c>
      <c r="BC191" s="1">
        <f t="shared" si="253"/>
        <v>0</v>
      </c>
      <c r="BD191" s="1">
        <f t="shared" ref="BD191:BD225" si="280">MAX(0,T191-IF(AO191&gt;0,1,0))+0</f>
        <v>0</v>
      </c>
      <c r="BE191" s="1">
        <f t="shared" si="273"/>
        <v>0</v>
      </c>
      <c r="BF191" s="1">
        <f>MIN(4,V191+1)</f>
        <v>1</v>
      </c>
      <c r="BG191" s="1">
        <f t="shared" si="277"/>
        <v>1</v>
      </c>
      <c r="BH191" s="1">
        <f t="shared" si="274"/>
        <v>1</v>
      </c>
      <c r="BI191" s="1">
        <f t="shared" si="278"/>
        <v>1</v>
      </c>
      <c r="BJ191" s="1">
        <f t="shared" si="248"/>
        <v>0</v>
      </c>
      <c r="BK191" s="1">
        <f t="shared" si="249"/>
        <v>0</v>
      </c>
      <c r="BL191" s="1">
        <f t="shared" si="254"/>
        <v>0</v>
      </c>
      <c r="BM191" s="1">
        <f t="shared" si="252"/>
        <v>0</v>
      </c>
      <c r="BN191" s="1">
        <f t="shared" si="275"/>
        <v>1</v>
      </c>
      <c r="BO191" s="1">
        <f t="shared" si="276"/>
        <v>1</v>
      </c>
    </row>
    <row r="192" spans="1:67" ht="30.95" customHeight="1">
      <c r="A192" s="1">
        <f>5</f>
        <v>5</v>
      </c>
      <c r="B192" s="1">
        <f>固定流程!A12</f>
        <v>7</v>
      </c>
      <c r="C192" s="1">
        <f>8</f>
        <v>8</v>
      </c>
      <c r="D192" s="1">
        <f>1</f>
        <v>1</v>
      </c>
      <c r="E192" s="1">
        <f>固定流程!C12</f>
        <v>1</v>
      </c>
      <c r="F192" s="1">
        <f>固定流程!G12</f>
        <v>4</v>
      </c>
      <c r="G192" s="1" t="str">
        <f>固定流程!H12</f>
        <v>J_HARD</v>
      </c>
      <c r="H192" s="1">
        <f>固定流程!F12</f>
        <v>1</v>
      </c>
      <c r="I192" s="1">
        <f>INDEX(配置与结果!$B$15:$B$18,F192)</f>
        <v>1906</v>
      </c>
      <c r="J192" s="1">
        <f>INDEX(配置与结果!$D$15:$D$18,F192)</f>
        <v>0.36699999999999999</v>
      </c>
      <c r="K192" s="1">
        <f>INDEX(配置与结果!$E$15:$E$18,F192)</f>
        <v>1.7170000000000001</v>
      </c>
      <c r="L192" s="1">
        <f t="shared" si="258"/>
        <v>1</v>
      </c>
      <c r="M192" s="1">
        <f t="shared" si="258"/>
        <v>7</v>
      </c>
      <c r="N192" s="1">
        <f t="shared" si="258"/>
        <v>0</v>
      </c>
      <c r="O192" s="1">
        <f t="shared" si="258"/>
        <v>6</v>
      </c>
      <c r="P192" s="1">
        <f>MIN(方案参数!$AI$8,AZ191+0+0)</f>
        <v>3</v>
      </c>
      <c r="Q192" s="1">
        <f t="shared" si="259"/>
        <v>2</v>
      </c>
      <c r="R192" s="1">
        <f t="shared" si="260"/>
        <v>5</v>
      </c>
      <c r="S192" s="1">
        <f t="shared" si="261"/>
        <v>0</v>
      </c>
      <c r="T192" s="1">
        <f t="shared" si="262"/>
        <v>0</v>
      </c>
      <c r="U192" s="1">
        <f t="shared" si="263"/>
        <v>0</v>
      </c>
      <c r="V192" s="1">
        <f t="shared" si="264"/>
        <v>1</v>
      </c>
      <c r="W192" s="1">
        <f t="shared" si="265"/>
        <v>1</v>
      </c>
      <c r="X192" s="1">
        <f t="shared" si="266"/>
        <v>1</v>
      </c>
      <c r="Y192" s="1">
        <f t="shared" si="267"/>
        <v>1</v>
      </c>
      <c r="Z192" s="1">
        <f t="shared" si="268"/>
        <v>0</v>
      </c>
      <c r="AA192" s="1">
        <f t="shared" si="269"/>
        <v>0</v>
      </c>
      <c r="AB192" s="1">
        <f t="shared" si="270"/>
        <v>0</v>
      </c>
      <c r="AC192" s="1">
        <f t="shared" si="271"/>
        <v>0</v>
      </c>
      <c r="AD192" s="1">
        <f>ROUNDDOWN(I192*(1+IF(F192=3,0.05+方案参数!$Y$8+AA192*0.12,IF(F192=4,方案参数!$BZ$8*方案参数!$AS$8,0)))+IF(AND(X192=1,F192&lt;&gt;3),方案参数!$CC$8,0)+AC192*方案参数!$CB$8,0)</f>
        <v>2811</v>
      </c>
      <c r="AE192" s="1">
        <f>IF(OR(F192=1,F192=4),配置与结果!$B$24,配置与结果!$B$25)*MAX(0,1-INDEX(配置与结果!$I$15:$I$18,F192))</f>
        <v>1200</v>
      </c>
      <c r="AF192" s="1">
        <f>3.6*IF(H192=1,1,IF(H192=2,1.5,2.5))</f>
        <v>3.6</v>
      </c>
      <c r="AG192" s="1">
        <f>MAX(配置与结果!$B$32,1+INDEX(配置与结果!$F$15:$F$18,F192)+0.08+Q192*方案参数!$W$8+Y192*(方案参数!$AN$8+MIN(方案参数!$AO$8,P192*0.03))+AB192*方案参数!$BZ$8*0.025+0.1+IF(方案参数!$BZ$8&gt;=30,方案参数!$BZ$8*0.01,0)-配置与结果!$B$28)</f>
        <v>1.4350000000000001</v>
      </c>
      <c r="AH192" s="1">
        <f>MAX(0,1+INDEX(配置与结果!$G$15:$G$18,F192)+W192*方案参数!$AG$8)</f>
        <v>1.3</v>
      </c>
      <c r="AI192" s="1">
        <f>IF(OR(INDEX(配置与结果!$K$15:$K$18,F192)=1,G192="RHI_BERRY"),1+配置与结果!$B$33+P192*方案参数!$AH$8,1)</f>
        <v>1</v>
      </c>
      <c r="AJ192" s="1">
        <f>MIN(1,MAX(0,J192+方案参数!$AB$8-配置与结果!$B$27))</f>
        <v>0.66700000000000004</v>
      </c>
      <c r="AK192" s="1">
        <f>MAX(1,K192+IF(F192=2,0.15+方案参数!$CH$8,0)+BN192*方案参数!$X$8+R192*方案参数!$AA$8+0-配置与结果!$B$26+Z192*(方案参数!$AP$8+MIN(方案参数!$AQ$8,P192*0.03)))</f>
        <v>1.4969999999999999</v>
      </c>
      <c r="AL192" s="7">
        <f>ROUNDDOWN(MAX(AD192*配置与结果!$B$31,AD192-AE192)*AF192*AG192*AH192*AI192,0)</f>
        <v>10819</v>
      </c>
      <c r="AM192" s="7">
        <f>ROUNDDOWN(MAX(AD192*配置与结果!$B$31,AD192-AE192)*AF192*AG192*AH192*AI192*AK192,0)</f>
        <v>16196</v>
      </c>
      <c r="AN192" s="7">
        <f t="shared" si="201"/>
        <v>14405.458999999999</v>
      </c>
      <c r="AO192" s="7">
        <f>0</f>
        <v>0</v>
      </c>
      <c r="AP192" s="7">
        <f>MAX(0,1+INDEX(配置与结果!$J$15:$J$18,F192)+IF(T192&gt;0,方案参数!$BY$8,0)-配置与结果!$B$30)</f>
        <v>1</v>
      </c>
      <c r="AQ192" s="7">
        <f t="shared" si="202"/>
        <v>0</v>
      </c>
      <c r="AR192" s="7">
        <f t="shared" si="203"/>
        <v>0</v>
      </c>
      <c r="AS192" s="7">
        <f t="shared" si="204"/>
        <v>0</v>
      </c>
      <c r="AT192" s="7">
        <f>0</f>
        <v>0</v>
      </c>
      <c r="AU192" s="7">
        <f t="shared" si="205"/>
        <v>14405.458999999999</v>
      </c>
      <c r="AV192" s="1">
        <f t="shared" si="206"/>
        <v>1</v>
      </c>
      <c r="AW192" s="1">
        <f>MIN(10,M192+0+0)</f>
        <v>7</v>
      </c>
      <c r="AX192" s="1">
        <f t="shared" si="207"/>
        <v>0</v>
      </c>
      <c r="AY192" s="1">
        <f t="shared" si="279"/>
        <v>6</v>
      </c>
      <c r="AZ192" s="1">
        <f t="shared" si="208"/>
        <v>3</v>
      </c>
      <c r="BA192" s="1">
        <f>MIN(6,Q192+0)</f>
        <v>2</v>
      </c>
      <c r="BB192" s="1">
        <f t="shared" si="272"/>
        <v>5</v>
      </c>
      <c r="BC192" s="1">
        <f>MIN(3,S192+1)</f>
        <v>1</v>
      </c>
      <c r="BD192" s="1">
        <f t="shared" si="280"/>
        <v>0</v>
      </c>
      <c r="BE192" s="1">
        <f t="shared" si="273"/>
        <v>0</v>
      </c>
      <c r="BF192" s="1">
        <f>MIN(4,V192+0)</f>
        <v>1</v>
      </c>
      <c r="BG192" s="1">
        <f t="shared" si="277"/>
        <v>1</v>
      </c>
      <c r="BH192" s="1">
        <f t="shared" si="274"/>
        <v>1</v>
      </c>
      <c r="BI192" s="1">
        <f t="shared" si="278"/>
        <v>1</v>
      </c>
      <c r="BJ192" s="1">
        <f t="shared" si="248"/>
        <v>0</v>
      </c>
      <c r="BK192" s="1">
        <f t="shared" si="249"/>
        <v>0</v>
      </c>
      <c r="BL192" s="1">
        <f t="shared" si="254"/>
        <v>0</v>
      </c>
      <c r="BM192" s="1">
        <f t="shared" si="252"/>
        <v>0</v>
      </c>
      <c r="BN192" s="1">
        <f t="shared" si="275"/>
        <v>1</v>
      </c>
      <c r="BO192" s="1">
        <f t="shared" si="276"/>
        <v>1</v>
      </c>
    </row>
    <row r="193" spans="1:67" ht="30.95" customHeight="1">
      <c r="A193" s="1">
        <f>5</f>
        <v>5</v>
      </c>
      <c r="B193" s="1">
        <f>固定流程!A13</f>
        <v>8</v>
      </c>
      <c r="C193" s="1">
        <f>8</f>
        <v>8</v>
      </c>
      <c r="D193" s="1">
        <f>1</f>
        <v>1</v>
      </c>
      <c r="E193" s="1">
        <f>固定流程!C13</f>
        <v>2</v>
      </c>
      <c r="F193" s="1">
        <f>固定流程!G13</f>
        <v>3</v>
      </c>
      <c r="G193" s="1" t="str">
        <f>固定流程!H13</f>
        <v>RHI_ATTACK</v>
      </c>
      <c r="H193" s="1">
        <f>固定流程!F13</f>
        <v>1</v>
      </c>
      <c r="I193" s="1">
        <f>INDEX(配置与结果!$B$15:$B$18,F193)</f>
        <v>2597</v>
      </c>
      <c r="J193" s="1">
        <f>INDEX(配置与结果!$D$15:$D$18,F193)</f>
        <v>0.255</v>
      </c>
      <c r="K193" s="1">
        <f>INDEX(配置与结果!$E$15:$E$18,F193)</f>
        <v>1.55</v>
      </c>
      <c r="L193" s="1">
        <f>IF(AV192=1,IF(M193&gt;=10,2,1),IF(AV192=2,IF(AX192&lt;=1,0,2),0))</f>
        <v>2</v>
      </c>
      <c r="M193" s="1">
        <f>IF(AND(AV192=2,AX192&lt;=1),0,MIN(10,AW192+IF(AV192=1,3,0)))</f>
        <v>10</v>
      </c>
      <c r="N193" s="1">
        <f>IF(AND(AV192=1,M193&gt;=10),2,IF(AV192=2,MAX(0,AX192-1),0))</f>
        <v>2</v>
      </c>
      <c r="O193" s="1">
        <f t="shared" ref="O193:O221" si="281">AY192</f>
        <v>6</v>
      </c>
      <c r="P193" s="1">
        <f>MIN(方案参数!$AI$8,AZ192+方案参数!$AJ$8+方案参数!$AK$8)</f>
        <v>5</v>
      </c>
      <c r="Q193" s="1">
        <f t="shared" si="259"/>
        <v>2</v>
      </c>
      <c r="R193" s="1">
        <f t="shared" si="260"/>
        <v>5</v>
      </c>
      <c r="S193" s="1">
        <f t="shared" si="261"/>
        <v>1</v>
      </c>
      <c r="T193" s="1">
        <f t="shared" si="262"/>
        <v>0</v>
      </c>
      <c r="U193" s="1">
        <f t="shared" si="263"/>
        <v>0</v>
      </c>
      <c r="V193" s="1">
        <f t="shared" si="264"/>
        <v>1</v>
      </c>
      <c r="W193" s="1">
        <f t="shared" si="265"/>
        <v>1</v>
      </c>
      <c r="X193" s="1">
        <f t="shared" si="266"/>
        <v>1</v>
      </c>
      <c r="Y193" s="1">
        <f t="shared" si="267"/>
        <v>1</v>
      </c>
      <c r="Z193" s="1">
        <f t="shared" si="268"/>
        <v>0</v>
      </c>
      <c r="AA193" s="1">
        <f>MAX(BK192,1)</f>
        <v>1</v>
      </c>
      <c r="AB193" s="1">
        <f t="shared" si="270"/>
        <v>0</v>
      </c>
      <c r="AC193" s="1">
        <f t="shared" si="271"/>
        <v>0</v>
      </c>
      <c r="AD193" s="1">
        <f>ROUNDDOWN(I193*(1+IF(F193=3,0.05+方案参数!$Y$8+AA193*0.12,IF(F193=4,方案参数!$BZ$8*方案参数!$AS$8,0)))+IF(AND(X193=1,F193&lt;&gt;3),方案参数!$CC$8,0)+AC193*方案参数!$CB$8,0)</f>
        <v>3298</v>
      </c>
      <c r="AE193" s="1">
        <f>IF(OR(F193=1,F193=4),配置与结果!$B$24,配置与结果!$B$25)*MAX(0,1-INDEX(配置与结果!$I$15:$I$18,F193))</f>
        <v>1000</v>
      </c>
      <c r="AF193" s="1">
        <f>4</f>
        <v>4</v>
      </c>
      <c r="AG193" s="1">
        <f>MAX(配置与结果!$B$32,1+INDEX(配置与结果!$F$15:$F$18,F193)+0+Q193*方案参数!$W$8+Y193*(方案参数!$AN$8+MIN(方案参数!$AO$8,P193*0.03))+AB193*方案参数!$BZ$8*0.025-配置与结果!$B$28)</f>
        <v>0.97499999999999998</v>
      </c>
      <c r="AH193" s="1">
        <f>MAX(0,1+INDEX(配置与结果!$G$15:$G$18,F193)+W193*方案参数!$AG$8)</f>
        <v>1.3</v>
      </c>
      <c r="AI193" s="1">
        <f>IF(OR(INDEX(配置与结果!$K$15:$K$18,F193)=1,G193="RHI_BERRY"),1+配置与结果!$B$33+P193*方案参数!$AH$8,1)</f>
        <v>1</v>
      </c>
      <c r="AJ193" s="1">
        <f>MIN(1,MAX(0,J193+方案参数!$AB$8-配置与结果!$B$27))</f>
        <v>0.55499999999999994</v>
      </c>
      <c r="AK193" s="1">
        <f>MAX(1,K193+IF(F193=2,0.15+方案参数!$CH$8,0)+BN193*方案参数!$X$8+R193*方案参数!$AA$8+0-配置与结果!$B$26+Z193*(方案参数!$AP$8+MIN(方案参数!$AQ$8,P193*0.03)))</f>
        <v>1.33</v>
      </c>
      <c r="AL193" s="7">
        <f>ROUNDDOWN(MAX(AD193*配置与结果!$B$31,AD193-AE193)*AF193*AG193*AH193*AI193,0)</f>
        <v>11650</v>
      </c>
      <c r="AM193" s="7">
        <f>ROUNDDOWN(MAX(AD193*配置与结果!$B$31,AD193-AE193)*AF193*AG193*AH193*AI193*AK193,0)</f>
        <v>15495</v>
      </c>
      <c r="AN193" s="7">
        <f t="shared" si="201"/>
        <v>13783.974999999999</v>
      </c>
      <c r="AO193" s="7">
        <f>0</f>
        <v>0</v>
      </c>
      <c r="AP193" s="7">
        <f>MAX(0,1+INDEX(配置与结果!$J$15:$J$18,F193)+IF(T193&gt;0,方案参数!$BY$8,0)-配置与结果!$B$30)</f>
        <v>1</v>
      </c>
      <c r="AQ193" s="7">
        <f t="shared" si="202"/>
        <v>0</v>
      </c>
      <c r="AR193" s="7">
        <f t="shared" si="203"/>
        <v>0</v>
      </c>
      <c r="AS193" s="7">
        <f t="shared" si="204"/>
        <v>0</v>
      </c>
      <c r="AT193" s="7">
        <f>0</f>
        <v>0</v>
      </c>
      <c r="AU193" s="7">
        <f t="shared" si="205"/>
        <v>13783.974999999999</v>
      </c>
      <c r="AV193" s="1">
        <f t="shared" si="206"/>
        <v>2</v>
      </c>
      <c r="AW193" s="1">
        <f>MIN(10,M193+0+0)</f>
        <v>10</v>
      </c>
      <c r="AX193" s="1">
        <f t="shared" si="207"/>
        <v>2</v>
      </c>
      <c r="AY193" s="1">
        <f t="shared" si="279"/>
        <v>6</v>
      </c>
      <c r="AZ193" s="1">
        <f t="shared" si="208"/>
        <v>5</v>
      </c>
      <c r="BA193" s="1">
        <f>MIN(6,Q193+1)</f>
        <v>3</v>
      </c>
      <c r="BB193" s="1">
        <f t="shared" si="272"/>
        <v>5</v>
      </c>
      <c r="BC193" s="1">
        <f>MIN(3,S193+0)</f>
        <v>1</v>
      </c>
      <c r="BD193" s="1">
        <f t="shared" si="280"/>
        <v>0</v>
      </c>
      <c r="BE193" s="1">
        <f t="shared" si="273"/>
        <v>0</v>
      </c>
      <c r="BF193" s="1">
        <f>MIN(4,V193+0)</f>
        <v>1</v>
      </c>
      <c r="BG193" s="1">
        <f t="shared" si="277"/>
        <v>1</v>
      </c>
      <c r="BH193" s="1">
        <f t="shared" si="274"/>
        <v>1</v>
      </c>
      <c r="BI193" s="1">
        <f t="shared" si="278"/>
        <v>1</v>
      </c>
      <c r="BJ193" s="1">
        <f>MAX(Z193,1)</f>
        <v>1</v>
      </c>
      <c r="BK193" s="1">
        <f>MAX(AA193,1)</f>
        <v>1</v>
      </c>
      <c r="BL193" s="1">
        <f t="shared" si="254"/>
        <v>0</v>
      </c>
      <c r="BM193" s="1">
        <f t="shared" si="252"/>
        <v>0</v>
      </c>
      <c r="BN193" s="1">
        <f t="shared" si="275"/>
        <v>1</v>
      </c>
      <c r="BO193" s="1">
        <f t="shared" si="276"/>
        <v>1</v>
      </c>
    </row>
    <row r="194" spans="1:67" ht="30.95" customHeight="1">
      <c r="A194" s="1">
        <f>5</f>
        <v>5</v>
      </c>
      <c r="B194" s="1">
        <f>固定流程!A14</f>
        <v>9</v>
      </c>
      <c r="C194" s="1">
        <f>8</f>
        <v>8</v>
      </c>
      <c r="D194" s="1">
        <f>1</f>
        <v>1</v>
      </c>
      <c r="E194" s="1">
        <f>固定流程!C14</f>
        <v>2</v>
      </c>
      <c r="F194" s="1">
        <f>固定流程!G14</f>
        <v>1</v>
      </c>
      <c r="G194" s="1" t="str">
        <f>固定流程!H14</f>
        <v>LILYA_DIVE</v>
      </c>
      <c r="H194" s="1">
        <f>固定流程!F14</f>
        <v>3</v>
      </c>
      <c r="I194" s="1">
        <f>INDEX(配置与结果!$B$15:$B$18,F194)</f>
        <v>2296</v>
      </c>
      <c r="J194" s="1">
        <f>INDEX(配置与结果!$D$15:$D$18,F194)</f>
        <v>0.7</v>
      </c>
      <c r="K194" s="1">
        <f>INDEX(配置与结果!$E$15:$E$18,F194)</f>
        <v>2.0249999999999999</v>
      </c>
      <c r="L194" s="1">
        <f t="shared" ref="L194:N198" si="282">AV193</f>
        <v>2</v>
      </c>
      <c r="M194" s="1">
        <f t="shared" si="282"/>
        <v>10</v>
      </c>
      <c r="N194" s="1">
        <f t="shared" si="282"/>
        <v>2</v>
      </c>
      <c r="O194" s="1">
        <f t="shared" si="281"/>
        <v>6</v>
      </c>
      <c r="P194" s="1">
        <f>MIN(方案参数!$AI$8,AZ193+0+0)</f>
        <v>5</v>
      </c>
      <c r="Q194" s="1">
        <f t="shared" si="259"/>
        <v>3</v>
      </c>
      <c r="R194" s="1">
        <f t="shared" si="260"/>
        <v>5</v>
      </c>
      <c r="S194" s="1">
        <f t="shared" si="261"/>
        <v>1</v>
      </c>
      <c r="T194" s="1">
        <f t="shared" si="262"/>
        <v>0</v>
      </c>
      <c r="U194" s="1">
        <f t="shared" si="263"/>
        <v>0</v>
      </c>
      <c r="V194" s="1">
        <f t="shared" si="264"/>
        <v>1</v>
      </c>
      <c r="W194" s="1">
        <f t="shared" si="265"/>
        <v>1</v>
      </c>
      <c r="X194" s="1">
        <f t="shared" si="266"/>
        <v>1</v>
      </c>
      <c r="Y194" s="1">
        <f t="shared" si="267"/>
        <v>1</v>
      </c>
      <c r="Z194" s="1">
        <f t="shared" si="268"/>
        <v>1</v>
      </c>
      <c r="AA194" s="1">
        <f t="shared" ref="AA194:AA199" si="283">MAX(BK193,0)</f>
        <v>1</v>
      </c>
      <c r="AB194" s="1">
        <f t="shared" si="270"/>
        <v>0</v>
      </c>
      <c r="AC194" s="1">
        <f t="shared" si="271"/>
        <v>0</v>
      </c>
      <c r="AD194" s="1">
        <f>ROUNDDOWN(I194*(1+IF(F194=3,0.05+方案参数!$Y$8+AA194*0.12,IF(F194=4,方案参数!$BZ$8*方案参数!$AS$8,0)))+IF(AND(X194=1,F194&lt;&gt;3),方案参数!$CC$8,0)+AC194*方案参数!$CB$8,0)</f>
        <v>2534</v>
      </c>
      <c r="AE194" s="1">
        <f>IF(OR(F194=1,F194=4),配置与结果!$B$24,配置与结果!$B$25)*MAX(0,1-INDEX(配置与结果!$I$15:$I$18,F194))</f>
        <v>1200</v>
      </c>
      <c r="AF194" s="1">
        <f>(IF(L194=1,方案参数!$AW$8,IF(L194=2,方案参数!$AX$8,0))+方案参数!$AV$8)*H194</f>
        <v>45</v>
      </c>
      <c r="AG194" s="1">
        <f>MAX(配置与结果!$B$32,1+INDEX(配置与结果!$F$15:$F$18,F194)+0.08+方案参数!$CD$8+Q194*方案参数!$W$8+Y194*(方案参数!$AN$8+MIN(方案参数!$AO$8,P194*0.03))+AB194*方案参数!$BZ$8*0.025+IF(L194=1,方案参数!$AY$8+(H194-1)*0.1,IF(L194=2,方案参数!$AZ$8+(H194-1)*0.2,0))-配置与结果!$B$28)</f>
        <v>2.3000000000000003</v>
      </c>
      <c r="AH194" s="1">
        <f>MAX(0,1+INDEX(配置与结果!$G$15:$G$18,F194)+W194*方案参数!$AG$8+IF(L194=1,方案参数!$BA$8,IF(L194=2,方案参数!$BB$8,0))+M194*方案参数!$BC$8)</f>
        <v>3.1</v>
      </c>
      <c r="AI194" s="1">
        <f>IF(OR(INDEX(配置与结果!$K$15:$K$18,F194)=1,G194="RHI_BERRY"),1+配置与结果!$B$33+P194*方案参数!$AH$8,1)</f>
        <v>1</v>
      </c>
      <c r="AJ194" s="1">
        <f>MIN(1,MAX(0,J194+方案参数!$AB$8-配置与结果!$B$27))</f>
        <v>1</v>
      </c>
      <c r="AK194" s="1">
        <f>MAX(1,K194+IF(F194=2,0.15+方案参数!$CH$8,0)+BN194*方案参数!$X$8+R194*方案参数!$AA$8+0-配置与结果!$B$26+Z194*(方案参数!$AP$8+MIN(方案参数!$AQ$8,P194*0.03)))</f>
        <v>2.105</v>
      </c>
      <c r="AL194" s="7">
        <f>ROUNDDOWN(MAX(AD194*配置与结果!$B$31,AD194-AE194)*AF194*AG194*AH194*AI194,0)</f>
        <v>428013</v>
      </c>
      <c r="AM194" s="7">
        <f>ROUNDDOWN(MAX(AD194*配置与结果!$B$31,AD194-AE194)*AF194*AG194*AH194*AI194*AK194,0)</f>
        <v>900969</v>
      </c>
      <c r="AN194" s="7">
        <f t="shared" si="201"/>
        <v>900969</v>
      </c>
      <c r="AO194" s="7">
        <f>0</f>
        <v>0</v>
      </c>
      <c r="AP194" s="7">
        <f>MAX(0,1+INDEX(配置与结果!$J$15:$J$18,F194)+IF(T194&gt;0,方案参数!$BY$8,0)-配置与结果!$B$30)</f>
        <v>1</v>
      </c>
      <c r="AQ194" s="7">
        <f t="shared" si="202"/>
        <v>0</v>
      </c>
      <c r="AR194" s="7">
        <f t="shared" si="203"/>
        <v>0</v>
      </c>
      <c r="AS194" s="7">
        <f t="shared" si="204"/>
        <v>0</v>
      </c>
      <c r="AT194" s="7">
        <f>0</f>
        <v>0</v>
      </c>
      <c r="AU194" s="7">
        <f t="shared" si="205"/>
        <v>900969</v>
      </c>
      <c r="AV194" s="1">
        <f t="shared" si="206"/>
        <v>2</v>
      </c>
      <c r="AW194" s="1">
        <f>MIN(10,M194+0+IF(L194=1,方案参数!$BE$8,0))</f>
        <v>10</v>
      </c>
      <c r="AX194" s="1">
        <f t="shared" si="207"/>
        <v>2</v>
      </c>
      <c r="AY194" s="1">
        <f t="shared" si="279"/>
        <v>6</v>
      </c>
      <c r="AZ194" s="1">
        <f t="shared" si="208"/>
        <v>5</v>
      </c>
      <c r="BA194" s="1">
        <f>MIN(6,Q194+0)</f>
        <v>3</v>
      </c>
      <c r="BB194" s="1">
        <f t="shared" si="272"/>
        <v>5</v>
      </c>
      <c r="BC194" s="1">
        <f>MIN(3,S194+0)</f>
        <v>1</v>
      </c>
      <c r="BD194" s="1">
        <f t="shared" si="280"/>
        <v>0</v>
      </c>
      <c r="BE194" s="1">
        <f t="shared" si="273"/>
        <v>0</v>
      </c>
      <c r="BF194" s="1">
        <f>MIN(4,V194+0)</f>
        <v>1</v>
      </c>
      <c r="BG194" s="1">
        <f t="shared" si="277"/>
        <v>1</v>
      </c>
      <c r="BH194" s="1">
        <f t="shared" si="274"/>
        <v>1</v>
      </c>
      <c r="BI194" s="1">
        <f t="shared" si="278"/>
        <v>1</v>
      </c>
      <c r="BJ194" s="1">
        <f t="shared" ref="BJ194:BK199" si="284">MAX(Z194,0)</f>
        <v>1</v>
      </c>
      <c r="BK194" s="1">
        <f t="shared" si="284"/>
        <v>1</v>
      </c>
      <c r="BL194" s="1">
        <f t="shared" si="254"/>
        <v>0</v>
      </c>
      <c r="BM194" s="1">
        <f t="shared" si="252"/>
        <v>0</v>
      </c>
      <c r="BN194" s="1">
        <f t="shared" si="275"/>
        <v>1</v>
      </c>
      <c r="BO194" s="1">
        <f t="shared" si="276"/>
        <v>1</v>
      </c>
    </row>
    <row r="195" spans="1:67" ht="30.95" customHeight="1">
      <c r="A195" s="1">
        <f>5</f>
        <v>5</v>
      </c>
      <c r="B195" s="1">
        <f>固定流程!A15</f>
        <v>10</v>
      </c>
      <c r="C195" s="1">
        <f>8</f>
        <v>8</v>
      </c>
      <c r="D195" s="1">
        <f>1</f>
        <v>1</v>
      </c>
      <c r="E195" s="1">
        <f>固定流程!C15</f>
        <v>2</v>
      </c>
      <c r="F195" s="1">
        <f>固定流程!G15</f>
        <v>4</v>
      </c>
      <c r="G195" s="1" t="str">
        <f>固定流程!H15</f>
        <v>J_HARD</v>
      </c>
      <c r="H195" s="1">
        <f>固定流程!F15</f>
        <v>1</v>
      </c>
      <c r="I195" s="1">
        <f>INDEX(配置与结果!$B$15:$B$18,F195)</f>
        <v>1906</v>
      </c>
      <c r="J195" s="1">
        <f>INDEX(配置与结果!$D$15:$D$18,F195)</f>
        <v>0.36699999999999999</v>
      </c>
      <c r="K195" s="1">
        <f>INDEX(配置与结果!$E$15:$E$18,F195)</f>
        <v>1.7170000000000001</v>
      </c>
      <c r="L195" s="1">
        <f t="shared" si="282"/>
        <v>2</v>
      </c>
      <c r="M195" s="1">
        <f t="shared" si="282"/>
        <v>10</v>
      </c>
      <c r="N195" s="1">
        <f t="shared" si="282"/>
        <v>2</v>
      </c>
      <c r="O195" s="1">
        <f t="shared" si="281"/>
        <v>6</v>
      </c>
      <c r="P195" s="1">
        <f>MIN(方案参数!$AI$8,AZ194+0+0)</f>
        <v>5</v>
      </c>
      <c r="Q195" s="1">
        <f t="shared" si="259"/>
        <v>3</v>
      </c>
      <c r="R195" s="1">
        <f t="shared" si="260"/>
        <v>5</v>
      </c>
      <c r="S195" s="1">
        <f t="shared" si="261"/>
        <v>1</v>
      </c>
      <c r="T195" s="1">
        <f t="shared" si="262"/>
        <v>0</v>
      </c>
      <c r="U195" s="1">
        <f t="shared" si="263"/>
        <v>0</v>
      </c>
      <c r="V195" s="1">
        <f t="shared" si="264"/>
        <v>1</v>
      </c>
      <c r="W195" s="1">
        <f t="shared" si="265"/>
        <v>1</v>
      </c>
      <c r="X195" s="1">
        <f t="shared" si="266"/>
        <v>1</v>
      </c>
      <c r="Y195" s="1">
        <f t="shared" si="267"/>
        <v>1</v>
      </c>
      <c r="Z195" s="1">
        <f t="shared" si="268"/>
        <v>1</v>
      </c>
      <c r="AA195" s="1">
        <f t="shared" si="283"/>
        <v>1</v>
      </c>
      <c r="AB195" s="1">
        <f t="shared" si="270"/>
        <v>0</v>
      </c>
      <c r="AC195" s="1">
        <f t="shared" si="271"/>
        <v>0</v>
      </c>
      <c r="AD195" s="1">
        <f>ROUNDDOWN(I195*(1+IF(F195=3,0.05+方案参数!$Y$8+AA195*0.12,IF(F195=4,方案参数!$BZ$8*方案参数!$AS$8,0)))+IF(AND(X195=1,F195&lt;&gt;3),方案参数!$CC$8,0)+AC195*方案参数!$CB$8,0)</f>
        <v>2811</v>
      </c>
      <c r="AE195" s="1">
        <f>IF(OR(F195=1,F195=4),配置与结果!$B$24,配置与结果!$B$25)*MAX(0,1-INDEX(配置与结果!$I$15:$I$18,F195))</f>
        <v>1200</v>
      </c>
      <c r="AF195" s="1">
        <f>3.6*IF(H195=1,1,IF(H195=2,1.5,2.5))</f>
        <v>3.6</v>
      </c>
      <c r="AG195" s="1">
        <f>MAX(配置与结果!$B$32,1+INDEX(配置与结果!$F$15:$F$18,F195)+0.08+Q195*方案参数!$W$8+Y195*(方案参数!$AN$8+MIN(方案参数!$AO$8,P195*0.03))+AB195*方案参数!$BZ$8*0.025+0.1+IF(方案参数!$BZ$8&gt;=30,方案参数!$BZ$8*0.01,0)-配置与结果!$B$28)</f>
        <v>1.5150000000000001</v>
      </c>
      <c r="AH195" s="1">
        <f>MAX(0,1+INDEX(配置与结果!$G$15:$G$18,F195)+W195*方案参数!$AG$8)</f>
        <v>1.3</v>
      </c>
      <c r="AI195" s="1">
        <f>IF(OR(INDEX(配置与结果!$K$15:$K$18,F195)=1,G195="RHI_BERRY"),1+配置与结果!$B$33+P195*方案参数!$AH$8,1)</f>
        <v>1</v>
      </c>
      <c r="AJ195" s="1">
        <f>MIN(1,MAX(0,J195+方案参数!$AB$8-配置与结果!$B$27))</f>
        <v>0.66700000000000004</v>
      </c>
      <c r="AK195" s="1">
        <f>MAX(1,K195+IF(F195=2,0.15+方案参数!$CH$8,0)+BN195*方案参数!$X$8+R195*方案参数!$AA$8+0-配置与结果!$B$26+Z195*(方案参数!$AP$8+MIN(方案参数!$AQ$8,P195*0.03)))</f>
        <v>1.7969999999999999</v>
      </c>
      <c r="AL195" s="7">
        <f>ROUNDDOWN(MAX(AD195*配置与结果!$B$31,AD195-AE195)*AF195*AG195*AH195*AI195,0)</f>
        <v>11422</v>
      </c>
      <c r="AM195" s="7">
        <f>ROUNDDOWN(MAX(AD195*配置与结果!$B$31,AD195-AE195)*AF195*AG195*AH195*AI195*AK195,0)</f>
        <v>20525</v>
      </c>
      <c r="AN195" s="7">
        <f t="shared" si="201"/>
        <v>17493.701000000001</v>
      </c>
      <c r="AO195" s="7">
        <f>0</f>
        <v>0</v>
      </c>
      <c r="AP195" s="7">
        <f>MAX(0,1+INDEX(配置与结果!$J$15:$J$18,F195)+IF(T195&gt;0,方案参数!$BY$8,0)-配置与结果!$B$30)</f>
        <v>1</v>
      </c>
      <c r="AQ195" s="7">
        <f t="shared" si="202"/>
        <v>0</v>
      </c>
      <c r="AR195" s="7">
        <f t="shared" si="203"/>
        <v>0</v>
      </c>
      <c r="AS195" s="7">
        <f t="shared" si="204"/>
        <v>0</v>
      </c>
      <c r="AT195" s="7">
        <f>0</f>
        <v>0</v>
      </c>
      <c r="AU195" s="7">
        <f t="shared" si="205"/>
        <v>17493.701000000001</v>
      </c>
      <c r="AV195" s="1">
        <f t="shared" si="206"/>
        <v>2</v>
      </c>
      <c r="AW195" s="1">
        <f t="shared" ref="AW195:AW205" si="285">MIN(10,M195+0+0)</f>
        <v>10</v>
      </c>
      <c r="AX195" s="1">
        <f t="shared" si="207"/>
        <v>2</v>
      </c>
      <c r="AY195" s="1">
        <f t="shared" si="279"/>
        <v>6</v>
      </c>
      <c r="AZ195" s="1">
        <f t="shared" si="208"/>
        <v>5</v>
      </c>
      <c r="BA195" s="1">
        <f>MIN(6,Q195+0)</f>
        <v>3</v>
      </c>
      <c r="BB195" s="1">
        <f t="shared" si="272"/>
        <v>5</v>
      </c>
      <c r="BC195" s="1">
        <f>MIN(3,S195+1)</f>
        <v>2</v>
      </c>
      <c r="BD195" s="1">
        <f t="shared" si="280"/>
        <v>0</v>
      </c>
      <c r="BE195" s="1">
        <f t="shared" si="273"/>
        <v>0</v>
      </c>
      <c r="BF195" s="1">
        <f>MIN(4,V195+0)</f>
        <v>1</v>
      </c>
      <c r="BG195" s="1">
        <f t="shared" si="277"/>
        <v>1</v>
      </c>
      <c r="BH195" s="1">
        <f t="shared" si="274"/>
        <v>1</v>
      </c>
      <c r="BI195" s="1">
        <f t="shared" si="278"/>
        <v>1</v>
      </c>
      <c r="BJ195" s="1">
        <f t="shared" si="284"/>
        <v>1</v>
      </c>
      <c r="BK195" s="1">
        <f t="shared" si="284"/>
        <v>1</v>
      </c>
      <c r="BL195" s="1">
        <f t="shared" si="254"/>
        <v>0</v>
      </c>
      <c r="BM195" s="1">
        <f t="shared" si="252"/>
        <v>0</v>
      </c>
      <c r="BN195" s="1">
        <f t="shared" si="275"/>
        <v>1</v>
      </c>
      <c r="BO195" s="1">
        <f t="shared" si="276"/>
        <v>1</v>
      </c>
    </row>
    <row r="196" spans="1:67" ht="30.95" customHeight="1">
      <c r="A196" s="1">
        <f>5</f>
        <v>5</v>
      </c>
      <c r="B196" s="1">
        <f>固定流程!A16</f>
        <v>11</v>
      </c>
      <c r="C196" s="1">
        <f>8</f>
        <v>8</v>
      </c>
      <c r="D196" s="1">
        <f>1</f>
        <v>1</v>
      </c>
      <c r="E196" s="1">
        <f>固定流程!C16</f>
        <v>2</v>
      </c>
      <c r="F196" s="1">
        <f>固定流程!G16</f>
        <v>2</v>
      </c>
      <c r="G196" s="1" t="str">
        <f>固定流程!H16</f>
        <v>37_CURVE</v>
      </c>
      <c r="H196" s="1">
        <f>固定流程!F16</f>
        <v>1</v>
      </c>
      <c r="I196" s="1">
        <f>INDEX(配置与结果!$B$15:$B$18,F196)</f>
        <v>2306</v>
      </c>
      <c r="J196" s="1">
        <f>INDEX(配置与结果!$D$15:$D$18,F196)</f>
        <v>0.46</v>
      </c>
      <c r="K196" s="1">
        <f>INDEX(配置与结果!$E$15:$E$18,F196)</f>
        <v>1.9279999999999999</v>
      </c>
      <c r="L196" s="1">
        <f t="shared" si="282"/>
        <v>2</v>
      </c>
      <c r="M196" s="1">
        <f t="shared" si="282"/>
        <v>10</v>
      </c>
      <c r="N196" s="1">
        <f t="shared" si="282"/>
        <v>2</v>
      </c>
      <c r="O196" s="1">
        <f t="shared" si="281"/>
        <v>6</v>
      </c>
      <c r="P196" s="1">
        <f>MIN(方案参数!$AI$8,AZ195+0+0)</f>
        <v>5</v>
      </c>
      <c r="Q196" s="1">
        <f t="shared" si="259"/>
        <v>3</v>
      </c>
      <c r="R196" s="1">
        <f t="shared" si="260"/>
        <v>5</v>
      </c>
      <c r="S196" s="1">
        <f t="shared" si="261"/>
        <v>2</v>
      </c>
      <c r="T196" s="1">
        <f t="shared" si="262"/>
        <v>0</v>
      </c>
      <c r="U196" s="1">
        <f t="shared" si="263"/>
        <v>0</v>
      </c>
      <c r="V196" s="1">
        <f t="shared" si="264"/>
        <v>1</v>
      </c>
      <c r="W196" s="1">
        <f t="shared" si="265"/>
        <v>1</v>
      </c>
      <c r="X196" s="1">
        <f t="shared" si="266"/>
        <v>1</v>
      </c>
      <c r="Y196" s="1">
        <f t="shared" si="267"/>
        <v>1</v>
      </c>
      <c r="Z196" s="1">
        <f t="shared" si="268"/>
        <v>1</v>
      </c>
      <c r="AA196" s="1">
        <f t="shared" si="283"/>
        <v>1</v>
      </c>
      <c r="AB196" s="1">
        <f t="shared" si="270"/>
        <v>0</v>
      </c>
      <c r="AC196" s="1">
        <f t="shared" si="271"/>
        <v>0</v>
      </c>
      <c r="AD196" s="1">
        <f>ROUNDDOWN(I196*(1+IF(F196=3,0.05+方案参数!$Y$8+AA196*0.12,IF(F196=4,方案参数!$BZ$8*方案参数!$AS$8,0)))+IF(AND(X196=1,F196&lt;&gt;3),方案参数!$CC$8,0)+AC196*方案参数!$CB$8,0)</f>
        <v>2544</v>
      </c>
      <c r="AE196" s="1">
        <f>IF(OR(F196=1,F196=4),配置与结果!$B$24,配置与结果!$B$25)*MAX(0,1-INDEX(配置与结果!$I$15:$I$18,F196))</f>
        <v>1000</v>
      </c>
      <c r="AF196" s="1">
        <f>方案参数!$BT$8*IF(H196=1,1,IF(H196=2,1.5,2.5))</f>
        <v>1.4</v>
      </c>
      <c r="AG196" s="1">
        <f>MAX(配置与结果!$B$32,1+INDEX(配置与结果!$F$15:$F$18,F196)+0+Q196*方案参数!$W$8+Y196*(方案参数!$AN$8+MIN(方案参数!$AO$8,P196*0.03))+AB196*方案参数!$BZ$8*0.025-配置与结果!$B$28)</f>
        <v>0.96499999999999997</v>
      </c>
      <c r="AH196" s="1">
        <f>MAX(0,1+INDEX(配置与结果!$G$15:$G$18,F196)+W196*方案参数!$AG$8)</f>
        <v>1.3</v>
      </c>
      <c r="AI196" s="1">
        <f>IF(OR(INDEX(配置与结果!$K$15:$K$18,F196)=1,G196="RHI_BERRY"),1+配置与结果!$B$33+P196*方案参数!$AH$8,1)</f>
        <v>1</v>
      </c>
      <c r="AJ196" s="1">
        <f>MIN(1,MAX(0,J196+方案参数!$AB$8-配置与结果!$B$27))</f>
        <v>0.76</v>
      </c>
      <c r="AK196" s="1">
        <f>MAX(1,K196+IF(F196=2,0.15+方案参数!$CH$8,0)+BN196*方案参数!$X$8+R196*方案参数!$AA$8+0-配置与结果!$B$26+Z196*(方案参数!$AP$8+MIN(方案参数!$AQ$8,P196*0.03)))</f>
        <v>2.278</v>
      </c>
      <c r="AL196" s="7">
        <f>ROUNDDOWN(MAX(AD196*配置与结果!$B$31,AD196-AE196)*AF196*AG196*AH196*AI196,0)</f>
        <v>2711</v>
      </c>
      <c r="AM196" s="7">
        <f>ROUNDDOWN(MAX(AD196*配置与结果!$B$31,AD196-AE196)*AF196*AG196*AH196*AI196*AK196,0)</f>
        <v>6177</v>
      </c>
      <c r="AN196" s="7">
        <f t="shared" si="201"/>
        <v>5345.1600000000008</v>
      </c>
      <c r="AO196" s="7">
        <f>方案参数!$BU$8*IF(H196=1,1,IF(H196=2,1.5,2.5))</f>
        <v>0.8</v>
      </c>
      <c r="AP196" s="7">
        <f>MAX(0,1+INDEX(配置与结果!$J$15:$J$18,F196)+IF(T196&gt;0,方案参数!$BY$8,0)-配置与结果!$B$30)</f>
        <v>1</v>
      </c>
      <c r="AQ196" s="7">
        <f t="shared" si="202"/>
        <v>2035</v>
      </c>
      <c r="AR196" s="7">
        <f t="shared" si="203"/>
        <v>4635</v>
      </c>
      <c r="AS196" s="7">
        <f t="shared" si="204"/>
        <v>4011</v>
      </c>
      <c r="AT196" s="7">
        <f>0</f>
        <v>0</v>
      </c>
      <c r="AU196" s="7">
        <f t="shared" si="205"/>
        <v>9356.16</v>
      </c>
      <c r="AV196" s="1">
        <f t="shared" si="206"/>
        <v>2</v>
      </c>
      <c r="AW196" s="1">
        <f t="shared" si="285"/>
        <v>10</v>
      </c>
      <c r="AX196" s="1">
        <f t="shared" si="207"/>
        <v>2</v>
      </c>
      <c r="AY196" s="1">
        <f t="shared" si="279"/>
        <v>6</v>
      </c>
      <c r="AZ196" s="1">
        <f t="shared" si="208"/>
        <v>5</v>
      </c>
      <c r="BA196" s="1">
        <f>MIN(6,Q196+0)</f>
        <v>3</v>
      </c>
      <c r="BB196" s="1">
        <f t="shared" si="272"/>
        <v>5</v>
      </c>
      <c r="BC196" s="1">
        <f t="shared" ref="BC196:BC202" si="286">MIN(3,S196+0)</f>
        <v>2</v>
      </c>
      <c r="BD196" s="1">
        <f t="shared" si="280"/>
        <v>0</v>
      </c>
      <c r="BE196" s="1">
        <f t="shared" si="273"/>
        <v>0</v>
      </c>
      <c r="BF196" s="1">
        <f>MIN(4,V196+0)</f>
        <v>1</v>
      </c>
      <c r="BG196" s="1">
        <f t="shared" si="277"/>
        <v>1</v>
      </c>
      <c r="BH196" s="1">
        <f t="shared" si="274"/>
        <v>1</v>
      </c>
      <c r="BI196" s="1">
        <f t="shared" si="278"/>
        <v>1</v>
      </c>
      <c r="BJ196" s="1">
        <f t="shared" si="284"/>
        <v>1</v>
      </c>
      <c r="BK196" s="1">
        <f t="shared" si="284"/>
        <v>1</v>
      </c>
      <c r="BL196" s="1">
        <f t="shared" si="254"/>
        <v>0</v>
      </c>
      <c r="BM196" s="1">
        <f t="shared" si="252"/>
        <v>0</v>
      </c>
      <c r="BN196" s="1">
        <f t="shared" si="275"/>
        <v>1</v>
      </c>
      <c r="BO196" s="1">
        <f t="shared" si="276"/>
        <v>1</v>
      </c>
    </row>
    <row r="197" spans="1:67" ht="30.95" customHeight="1">
      <c r="A197" s="1">
        <f>5</f>
        <v>5</v>
      </c>
      <c r="B197" s="1">
        <f>固定流程!A17</f>
        <v>12</v>
      </c>
      <c r="C197" s="1">
        <f>8</f>
        <v>8</v>
      </c>
      <c r="D197" s="1">
        <f>1</f>
        <v>1</v>
      </c>
      <c r="E197" s="1">
        <f>固定流程!C17</f>
        <v>2</v>
      </c>
      <c r="F197" s="1">
        <f>固定流程!G17</f>
        <v>2</v>
      </c>
      <c r="G197" s="1" t="str">
        <f>固定流程!H17</f>
        <v>37_FOLLOW</v>
      </c>
      <c r="H197" s="1">
        <f>固定流程!F17</f>
        <v>1</v>
      </c>
      <c r="I197" s="1">
        <f>INDEX(配置与结果!$B$15:$B$18,F197)</f>
        <v>2306</v>
      </c>
      <c r="J197" s="1">
        <f>INDEX(配置与结果!$D$15:$D$18,F197)</f>
        <v>0.46</v>
      </c>
      <c r="K197" s="1">
        <f>INDEX(配置与结果!$E$15:$E$18,F197)</f>
        <v>1.9279999999999999</v>
      </c>
      <c r="L197" s="1">
        <f t="shared" si="282"/>
        <v>2</v>
      </c>
      <c r="M197" s="1">
        <f t="shared" si="282"/>
        <v>10</v>
      </c>
      <c r="N197" s="1">
        <f t="shared" si="282"/>
        <v>2</v>
      </c>
      <c r="O197" s="1">
        <f t="shared" si="281"/>
        <v>6</v>
      </c>
      <c r="P197" s="1">
        <f>MIN(方案参数!$AI$8,AZ196+0+0)</f>
        <v>5</v>
      </c>
      <c r="Q197" s="1">
        <f t="shared" si="259"/>
        <v>3</v>
      </c>
      <c r="R197" s="1">
        <f t="shared" si="260"/>
        <v>5</v>
      </c>
      <c r="S197" s="1">
        <f t="shared" si="261"/>
        <v>2</v>
      </c>
      <c r="T197" s="1">
        <f t="shared" si="262"/>
        <v>0</v>
      </c>
      <c r="U197" s="1">
        <f t="shared" si="263"/>
        <v>0</v>
      </c>
      <c r="V197" s="1">
        <f t="shared" si="264"/>
        <v>1</v>
      </c>
      <c r="W197" s="1">
        <f t="shared" si="265"/>
        <v>1</v>
      </c>
      <c r="X197" s="1">
        <f t="shared" si="266"/>
        <v>1</v>
      </c>
      <c r="Y197" s="1">
        <f t="shared" si="267"/>
        <v>1</v>
      </c>
      <c r="Z197" s="1">
        <f t="shared" si="268"/>
        <v>1</v>
      </c>
      <c r="AA197" s="1">
        <f t="shared" si="283"/>
        <v>1</v>
      </c>
      <c r="AB197" s="1">
        <f t="shared" si="270"/>
        <v>0</v>
      </c>
      <c r="AC197" s="1">
        <f t="shared" si="271"/>
        <v>0</v>
      </c>
      <c r="AD197" s="1">
        <f>ROUNDDOWN(I197*(1+IF(F197=3,0.05+方案参数!$Y$8+AA197*0.12,IF(F197=4,方案参数!$BZ$8*方案参数!$AS$8,0)))+IF(AND(X197=1,F197&lt;&gt;3),方案参数!$CC$8,0)+AC197*方案参数!$CB$8,0)</f>
        <v>2544</v>
      </c>
      <c r="AE197" s="1">
        <f>IF(OR(F197=1,F197=4),配置与结果!$B$24,配置与结果!$B$25)*MAX(0,1-INDEX(配置与结果!$I$15:$I$18,F197))</f>
        <v>1000</v>
      </c>
      <c r="AF197" s="1">
        <f>方案参数!$BV$8</f>
        <v>3</v>
      </c>
      <c r="AG197" s="1">
        <f>MAX(配置与结果!$B$32,1+INDEX(配置与结果!$F$15:$F$18,F197)+0+Q197*方案参数!$W$8+Y197*(方案参数!$AN$8+MIN(方案参数!$AO$8,P197*0.03))+AB197*方案参数!$BZ$8*0.025-配置与结果!$B$28)</f>
        <v>0.96499999999999997</v>
      </c>
      <c r="AH197" s="1">
        <f>MAX(0,1+INDEX(配置与结果!$G$15:$G$18,F197)+W197*方案参数!$AG$8)</f>
        <v>1.3</v>
      </c>
      <c r="AI197" s="1">
        <f>IF(OR(INDEX(配置与结果!$K$15:$K$18,F197)=1,G197="RHI_BERRY"),1+配置与结果!$B$33+P197*方案参数!$AH$8,1)</f>
        <v>1</v>
      </c>
      <c r="AJ197" s="1">
        <f>MIN(1,MAX(0,J197+方案参数!$AB$8-配置与结果!$B$27))</f>
        <v>0.76</v>
      </c>
      <c r="AK197" s="1">
        <f>MAX(1,K197+IF(F197=2,0.15+方案参数!$CH$8,0)+BN197*方案参数!$X$8+R197*方案参数!$AA$8+0-配置与结果!$B$26+Z197*(方案参数!$AP$8+MIN(方案参数!$AQ$8,P197*0.03)))</f>
        <v>2.278</v>
      </c>
      <c r="AL197" s="7">
        <f>ROUNDDOWN(MAX(AD197*配置与结果!$B$31,AD197-AE197)*AF197*AG197*AH197*AI197,0)</f>
        <v>5810</v>
      </c>
      <c r="AM197" s="7">
        <f>ROUNDDOWN(MAX(AD197*配置与结果!$B$31,AD197-AE197)*AF197*AG197*AH197*AI197*AK197,0)</f>
        <v>13237</v>
      </c>
      <c r="AN197" s="7">
        <f t="shared" si="201"/>
        <v>11454.52</v>
      </c>
      <c r="AO197" s="7">
        <f>方案参数!$BW$8</f>
        <v>1</v>
      </c>
      <c r="AP197" s="7">
        <f>MAX(0,1+INDEX(配置与结果!$J$15:$J$18,F197)+IF(T197&gt;0,方案参数!$BY$8,0)-配置与结果!$B$30)</f>
        <v>1</v>
      </c>
      <c r="AQ197" s="7">
        <f t="shared" si="202"/>
        <v>2544</v>
      </c>
      <c r="AR197" s="7">
        <f t="shared" si="203"/>
        <v>5795</v>
      </c>
      <c r="AS197" s="7">
        <f t="shared" si="204"/>
        <v>5014.76</v>
      </c>
      <c r="AT197" s="7">
        <f>0</f>
        <v>0</v>
      </c>
      <c r="AU197" s="7">
        <f t="shared" si="205"/>
        <v>16469.28</v>
      </c>
      <c r="AV197" s="1">
        <f t="shared" si="206"/>
        <v>2</v>
      </c>
      <c r="AW197" s="1">
        <f t="shared" si="285"/>
        <v>10</v>
      </c>
      <c r="AX197" s="1">
        <f t="shared" si="207"/>
        <v>2</v>
      </c>
      <c r="AY197" s="1">
        <f t="shared" si="279"/>
        <v>6</v>
      </c>
      <c r="AZ197" s="1">
        <f t="shared" si="208"/>
        <v>5</v>
      </c>
      <c r="BA197" s="1">
        <f>MIN(6,Q197+0)</f>
        <v>3</v>
      </c>
      <c r="BB197" s="1">
        <f t="shared" si="272"/>
        <v>5</v>
      </c>
      <c r="BC197" s="1">
        <f t="shared" si="286"/>
        <v>2</v>
      </c>
      <c r="BD197" s="1">
        <f t="shared" si="280"/>
        <v>0</v>
      </c>
      <c r="BE197" s="1">
        <f t="shared" si="273"/>
        <v>0</v>
      </c>
      <c r="BF197" s="1">
        <f>MIN(4,V197+1)</f>
        <v>2</v>
      </c>
      <c r="BG197" s="1">
        <f t="shared" si="277"/>
        <v>1</v>
      </c>
      <c r="BH197" s="1">
        <f t="shared" si="274"/>
        <v>1</v>
      </c>
      <c r="BI197" s="1">
        <f t="shared" si="278"/>
        <v>1</v>
      </c>
      <c r="BJ197" s="1">
        <f t="shared" si="284"/>
        <v>1</v>
      </c>
      <c r="BK197" s="1">
        <f t="shared" si="284"/>
        <v>1</v>
      </c>
      <c r="BL197" s="1">
        <f t="shared" si="254"/>
        <v>0</v>
      </c>
      <c r="BM197" s="1">
        <f t="shared" si="252"/>
        <v>0</v>
      </c>
      <c r="BN197" s="1">
        <f t="shared" si="275"/>
        <v>1</v>
      </c>
      <c r="BO197" s="1">
        <f t="shared" si="276"/>
        <v>1</v>
      </c>
    </row>
    <row r="198" spans="1:67" ht="30.95" customHeight="1">
      <c r="A198" s="1">
        <f>5</f>
        <v>5</v>
      </c>
      <c r="B198" s="1">
        <f>固定流程!A18</f>
        <v>13</v>
      </c>
      <c r="C198" s="1">
        <f>8</f>
        <v>8</v>
      </c>
      <c r="D198" s="1">
        <f>1</f>
        <v>1</v>
      </c>
      <c r="E198" s="1">
        <f>固定流程!C18</f>
        <v>2</v>
      </c>
      <c r="F198" s="1">
        <f>固定流程!G18</f>
        <v>3</v>
      </c>
      <c r="G198" s="1" t="str">
        <f>固定流程!H18</f>
        <v>RHI_BERRY</v>
      </c>
      <c r="H198" s="1">
        <f>固定流程!F18</f>
        <v>1</v>
      </c>
      <c r="I198" s="1">
        <f>INDEX(配置与结果!$B$15:$B$18,F198)</f>
        <v>2597</v>
      </c>
      <c r="J198" s="1">
        <f>INDEX(配置与结果!$D$15:$D$18,F198)</f>
        <v>0.255</v>
      </c>
      <c r="K198" s="1">
        <f>INDEX(配置与结果!$E$15:$E$18,F198)</f>
        <v>1.55</v>
      </c>
      <c r="L198" s="1">
        <f t="shared" si="282"/>
        <v>2</v>
      </c>
      <c r="M198" s="1">
        <f t="shared" si="282"/>
        <v>10</v>
      </c>
      <c r="N198" s="1">
        <f t="shared" si="282"/>
        <v>2</v>
      </c>
      <c r="O198" s="1">
        <f t="shared" si="281"/>
        <v>6</v>
      </c>
      <c r="P198" s="1">
        <f>MIN(方案参数!$AI$8,AZ197+0+0)</f>
        <v>5</v>
      </c>
      <c r="Q198" s="1">
        <f t="shared" si="259"/>
        <v>3</v>
      </c>
      <c r="R198" s="1">
        <f t="shared" si="260"/>
        <v>5</v>
      </c>
      <c r="S198" s="1">
        <f t="shared" si="261"/>
        <v>2</v>
      </c>
      <c r="T198" s="1">
        <f t="shared" si="262"/>
        <v>0</v>
      </c>
      <c r="U198" s="1">
        <f t="shared" si="263"/>
        <v>0</v>
      </c>
      <c r="V198" s="1">
        <f t="shared" si="264"/>
        <v>2</v>
      </c>
      <c r="W198" s="1">
        <f t="shared" si="265"/>
        <v>1</v>
      </c>
      <c r="X198" s="1">
        <f t="shared" si="266"/>
        <v>1</v>
      </c>
      <c r="Y198" s="1">
        <f t="shared" si="267"/>
        <v>1</v>
      </c>
      <c r="Z198" s="1">
        <f t="shared" si="268"/>
        <v>1</v>
      </c>
      <c r="AA198" s="1">
        <f t="shared" si="283"/>
        <v>1</v>
      </c>
      <c r="AB198" s="1">
        <f t="shared" si="270"/>
        <v>0</v>
      </c>
      <c r="AC198" s="1">
        <f t="shared" si="271"/>
        <v>0</v>
      </c>
      <c r="AD198" s="1">
        <f>ROUNDDOWN(I198*(1+IF(F198=3,0.05+方案参数!$Y$8+AA198*0.12,IF(F198=4,方案参数!$BZ$8*方案参数!$AS$8,0)))+IF(AND(X198=1,F198&lt;&gt;3),方案参数!$CC$8,0)+AC198*方案参数!$CB$8,0)</f>
        <v>3298</v>
      </c>
      <c r="AE198" s="1">
        <f>IF(OR(F198=1,F198=4),配置与结果!$B$24,配置与结果!$B$25)*MAX(0,1-INDEX(配置与结果!$I$15:$I$18,F198))</f>
        <v>1000</v>
      </c>
      <c r="AF198" s="1">
        <f>方案参数!$CF$8+P198*方案参数!$CG$8</f>
        <v>22.5</v>
      </c>
      <c r="AG198" s="1">
        <f>MAX(配置与结果!$B$32,1+INDEX(配置与结果!$F$15:$F$18,F198)+0+Q198*方案参数!$W$8+Y198*(方案参数!$AN$8+MIN(方案参数!$AO$8,P198*0.03))+AB198*方案参数!$BZ$8*0.025-配置与结果!$B$28)</f>
        <v>0.995</v>
      </c>
      <c r="AH198" s="1">
        <f>MAX(0,1+INDEX(配置与结果!$G$15:$G$18,F198)+W198*方案参数!$AG$8)</f>
        <v>1.3</v>
      </c>
      <c r="AI198" s="1">
        <f>IF(OR(INDEX(配置与结果!$K$15:$K$18,F198)=1,G198="RHI_BERRY"),1+配置与结果!$B$33+P198*方案参数!$AH$8,1)</f>
        <v>1.5</v>
      </c>
      <c r="AJ198" s="1">
        <f>MIN(1,MAX(0,J198+方案参数!$AB$8-配置与结果!$B$27))</f>
        <v>0.55499999999999994</v>
      </c>
      <c r="AK198" s="1">
        <f>MAX(1,K198+IF(F198=2,0.15+方案参数!$CH$8,0)+BN198*方案参数!$X$8+R198*方案参数!$AA$8+0-配置与结果!$B$26+Z198*(方案参数!$AP$8+MIN(方案参数!$AQ$8,P198*0.03)))</f>
        <v>1.6300000000000001</v>
      </c>
      <c r="AL198" s="7">
        <f>ROUNDDOWN(MAX(AD198*配置与结果!$B$31,AD198-AE198)*AF198*AG198*AH198*AI198,0)</f>
        <v>100320</v>
      </c>
      <c r="AM198" s="7">
        <f>ROUNDDOWN(MAX(AD198*配置与结果!$B$31,AD198-AE198)*AF198*AG198*AH198*AI198*AK198,0)</f>
        <v>163522</v>
      </c>
      <c r="AN198" s="7">
        <f t="shared" ref="AN198:AN261" si="287">AL198*(1-AJ198)+AM198*AJ198</f>
        <v>135397.10999999999</v>
      </c>
      <c r="AO198" s="7">
        <f>0</f>
        <v>0</v>
      </c>
      <c r="AP198" s="7">
        <f>MAX(0,1+INDEX(配置与结果!$J$15:$J$18,F198)+IF(T198&gt;0,方案参数!$BY$8,0)-配置与结果!$B$30)</f>
        <v>1</v>
      </c>
      <c r="AQ198" s="7">
        <f t="shared" ref="AQ198:AQ261" si="288">ROUNDDOWN(ROUNDDOWN(AD198*AO198,0)*AP198,0)</f>
        <v>0</v>
      </c>
      <c r="AR198" s="7">
        <f t="shared" ref="AR198:AR261" si="289">ROUNDDOWN(ROUNDDOWN(AD198*AO198,0)*AP198*AK198,0)</f>
        <v>0</v>
      </c>
      <c r="AS198" s="7">
        <f t="shared" ref="AS198:AS261" si="290">AQ198*(1-AJ198)+AR198*AJ198</f>
        <v>0</v>
      </c>
      <c r="AT198" s="7">
        <f>0</f>
        <v>0</v>
      </c>
      <c r="AU198" s="7">
        <f t="shared" ref="AU198:AU261" si="291">AN198+AS198+AT198</f>
        <v>135397.10999999999</v>
      </c>
      <c r="AV198" s="1">
        <f t="shared" ref="AV198:AV261" si="292">IF(G198="LILYA_COBRA",IF(L198=0,1,L198),L198)</f>
        <v>2</v>
      </c>
      <c r="AW198" s="1">
        <f t="shared" si="285"/>
        <v>10</v>
      </c>
      <c r="AX198" s="1">
        <f t="shared" ref="AX198:AX261" si="293">N198</f>
        <v>2</v>
      </c>
      <c r="AY198" s="1">
        <f t="shared" si="279"/>
        <v>6</v>
      </c>
      <c r="AZ198" s="1">
        <f t="shared" ref="AZ198:AZ261" si="294">P198</f>
        <v>5</v>
      </c>
      <c r="BA198" s="1">
        <f>MIN(6,Q198+0)</f>
        <v>3</v>
      </c>
      <c r="BB198" s="1">
        <f t="shared" si="272"/>
        <v>5</v>
      </c>
      <c r="BC198" s="1">
        <f t="shared" si="286"/>
        <v>2</v>
      </c>
      <c r="BD198" s="1">
        <f t="shared" si="280"/>
        <v>0</v>
      </c>
      <c r="BE198" s="1">
        <f t="shared" si="273"/>
        <v>0</v>
      </c>
      <c r="BF198" s="1">
        <f>MIN(4,V198+0)</f>
        <v>2</v>
      </c>
      <c r="BG198" s="1">
        <f t="shared" si="277"/>
        <v>1</v>
      </c>
      <c r="BH198" s="1">
        <f t="shared" si="274"/>
        <v>1</v>
      </c>
      <c r="BI198" s="1">
        <f t="shared" si="278"/>
        <v>1</v>
      </c>
      <c r="BJ198" s="1">
        <f t="shared" si="284"/>
        <v>1</v>
      </c>
      <c r="BK198" s="1">
        <f t="shared" si="284"/>
        <v>1</v>
      </c>
      <c r="BL198" s="1">
        <f t="shared" si="254"/>
        <v>0</v>
      </c>
      <c r="BM198" s="1">
        <f t="shared" si="252"/>
        <v>0</v>
      </c>
      <c r="BN198" s="1">
        <f t="shared" si="275"/>
        <v>1</v>
      </c>
      <c r="BO198" s="1">
        <f t="shared" si="276"/>
        <v>1</v>
      </c>
    </row>
    <row r="199" spans="1:67" ht="30.95" customHeight="1">
      <c r="A199" s="1">
        <f>5</f>
        <v>5</v>
      </c>
      <c r="B199" s="1">
        <f>固定流程!A19</f>
        <v>14</v>
      </c>
      <c r="C199" s="1">
        <f>8</f>
        <v>8</v>
      </c>
      <c r="D199" s="1">
        <f>1</f>
        <v>1</v>
      </c>
      <c r="E199" s="1">
        <f>固定流程!C19</f>
        <v>3</v>
      </c>
      <c r="F199" s="1">
        <f>固定流程!G19</f>
        <v>3</v>
      </c>
      <c r="G199" s="1" t="str">
        <f>固定流程!H19</f>
        <v>RHI_BUFF</v>
      </c>
      <c r="H199" s="1">
        <f>固定流程!F19</f>
        <v>1</v>
      </c>
      <c r="I199" s="1">
        <f>INDEX(配置与结果!$B$15:$B$18,F199)</f>
        <v>2597</v>
      </c>
      <c r="J199" s="1">
        <f>INDEX(配置与结果!$D$15:$D$18,F199)</f>
        <v>0.255</v>
      </c>
      <c r="K199" s="1">
        <f>INDEX(配置与结果!$E$15:$E$18,F199)</f>
        <v>1.55</v>
      </c>
      <c r="L199" s="1">
        <f>IF(AV198=1,IF(M199&gt;=10,2,1),IF(AV198=2,IF(AX198&lt;=1,0,2),0))</f>
        <v>2</v>
      </c>
      <c r="M199" s="1">
        <f>IF(AND(AV198=2,AX198&lt;=1),0,MIN(10,AW198+IF(AV198=1,3,0)))</f>
        <v>10</v>
      </c>
      <c r="N199" s="1">
        <f>IF(AND(AV198=1,M199&gt;=10),2,IF(AV198=2,MAX(0,AX198-1),0))</f>
        <v>1</v>
      </c>
      <c r="O199" s="1">
        <f t="shared" si="281"/>
        <v>6</v>
      </c>
      <c r="P199" s="1">
        <f>MIN(方案参数!$AI$8,AZ198+方案参数!$AJ$8+方案参数!$AK$8)</f>
        <v>5</v>
      </c>
      <c r="Q199" s="1">
        <f t="shared" si="259"/>
        <v>3</v>
      </c>
      <c r="R199" s="1">
        <f t="shared" si="260"/>
        <v>5</v>
      </c>
      <c r="S199" s="1">
        <f t="shared" si="261"/>
        <v>2</v>
      </c>
      <c r="T199" s="1">
        <f t="shared" si="262"/>
        <v>0</v>
      </c>
      <c r="U199" s="1">
        <f t="shared" si="263"/>
        <v>0</v>
      </c>
      <c r="V199" s="1">
        <f t="shared" si="264"/>
        <v>2</v>
      </c>
      <c r="W199" s="1">
        <f t="shared" si="265"/>
        <v>1</v>
      </c>
      <c r="X199" s="1">
        <f t="shared" si="266"/>
        <v>1</v>
      </c>
      <c r="Y199" s="1">
        <f t="shared" si="267"/>
        <v>1</v>
      </c>
      <c r="Z199" s="1">
        <f t="shared" si="268"/>
        <v>1</v>
      </c>
      <c r="AA199" s="1">
        <f t="shared" si="283"/>
        <v>1</v>
      </c>
      <c r="AB199" s="1">
        <f t="shared" si="270"/>
        <v>0</v>
      </c>
      <c r="AC199" s="1">
        <f t="shared" si="271"/>
        <v>0</v>
      </c>
      <c r="AD199" s="1">
        <f>ROUNDDOWN(I199*(1+IF(F199=3,0.05+方案参数!$Y$8+AA199*0.12,IF(F199=4,方案参数!$BZ$8*方案参数!$AS$8,0)))+IF(AND(X199=1,F199&lt;&gt;3),方案参数!$CC$8,0)+AC199*方案参数!$CB$8,0)</f>
        <v>3298</v>
      </c>
      <c r="AE199" s="1">
        <f>IF(OR(F199=1,F199=4),配置与结果!$B$24,配置与结果!$B$25)*MAX(0,1-INDEX(配置与结果!$I$15:$I$18,F199))</f>
        <v>1000</v>
      </c>
      <c r="AF199" s="1">
        <f>0</f>
        <v>0</v>
      </c>
      <c r="AG199" s="1">
        <f>MAX(配置与结果!$B$32,1+INDEX(配置与结果!$F$15:$F$18,F199)+0+Q199*方案参数!$W$8+Y199*(方案参数!$AN$8+MIN(方案参数!$AO$8,P199*0.03))+AB199*方案参数!$BZ$8*0.025-配置与结果!$B$28)</f>
        <v>0.995</v>
      </c>
      <c r="AH199" s="1">
        <f>MAX(0,1+INDEX(配置与结果!$G$15:$G$18,F199)+W199*方案参数!$AG$8)</f>
        <v>1.3</v>
      </c>
      <c r="AI199" s="1">
        <f>IF(OR(INDEX(配置与结果!$K$15:$K$18,F199)=1,G199="RHI_BERRY"),1+配置与结果!$B$33+P199*方案参数!$AH$8,1)</f>
        <v>1</v>
      </c>
      <c r="AJ199" s="1">
        <f>MIN(1,MAX(0,J199+方案参数!$AB$8-配置与结果!$B$27))</f>
        <v>0.55499999999999994</v>
      </c>
      <c r="AK199" s="1">
        <f>MAX(1,K199+IF(F199=2,0.15+方案参数!$CH$8,0)+BN199*方案参数!$X$8+R199*方案参数!$AA$8+0-配置与结果!$B$26+Z199*(方案参数!$AP$8+MIN(方案参数!$AQ$8,P199*0.03)))</f>
        <v>1.6300000000000001</v>
      </c>
      <c r="AL199" s="7">
        <f>ROUNDDOWN(MAX(AD199*配置与结果!$B$31,AD199-AE199)*AF199*AG199*AH199*AI199,0)</f>
        <v>0</v>
      </c>
      <c r="AM199" s="7">
        <f>ROUNDDOWN(MAX(AD199*配置与结果!$B$31,AD199-AE199)*AF199*AG199*AH199*AI199*AK199,0)</f>
        <v>0</v>
      </c>
      <c r="AN199" s="7">
        <f t="shared" si="287"/>
        <v>0</v>
      </c>
      <c r="AO199" s="7">
        <f>0</f>
        <v>0</v>
      </c>
      <c r="AP199" s="7">
        <f>MAX(0,1+INDEX(配置与结果!$J$15:$J$18,F199)+IF(T199&gt;0,方案参数!$BY$8,0)-配置与结果!$B$30)</f>
        <v>1</v>
      </c>
      <c r="AQ199" s="7">
        <f t="shared" si="288"/>
        <v>0</v>
      </c>
      <c r="AR199" s="7">
        <f t="shared" si="289"/>
        <v>0</v>
      </c>
      <c r="AS199" s="7">
        <f t="shared" si="290"/>
        <v>0</v>
      </c>
      <c r="AT199" s="7">
        <f>0</f>
        <v>0</v>
      </c>
      <c r="AU199" s="7">
        <f t="shared" si="291"/>
        <v>0</v>
      </c>
      <c r="AV199" s="1">
        <f t="shared" si="292"/>
        <v>2</v>
      </c>
      <c r="AW199" s="1">
        <f t="shared" si="285"/>
        <v>10</v>
      </c>
      <c r="AX199" s="1">
        <f t="shared" si="293"/>
        <v>1</v>
      </c>
      <c r="AY199" s="1">
        <f t="shared" si="279"/>
        <v>6</v>
      </c>
      <c r="AZ199" s="1">
        <f t="shared" si="294"/>
        <v>5</v>
      </c>
      <c r="BA199" s="1">
        <f>MIN(6,Q199+1)</f>
        <v>4</v>
      </c>
      <c r="BB199" s="1">
        <f t="shared" si="272"/>
        <v>5</v>
      </c>
      <c r="BC199" s="1">
        <f t="shared" si="286"/>
        <v>2</v>
      </c>
      <c r="BD199" s="1">
        <f t="shared" si="280"/>
        <v>0</v>
      </c>
      <c r="BE199" s="1">
        <f t="shared" si="273"/>
        <v>0</v>
      </c>
      <c r="BF199" s="1">
        <f>MIN(4,V199+0)</f>
        <v>2</v>
      </c>
      <c r="BG199" s="1">
        <f>MAX(W199,1)</f>
        <v>1</v>
      </c>
      <c r="BH199" s="1">
        <f t="shared" si="274"/>
        <v>1</v>
      </c>
      <c r="BI199" s="1">
        <f>MAX(Y199,1)</f>
        <v>1</v>
      </c>
      <c r="BJ199" s="1">
        <f t="shared" si="284"/>
        <v>1</v>
      </c>
      <c r="BK199" s="1">
        <f t="shared" si="284"/>
        <v>1</v>
      </c>
      <c r="BL199" s="1">
        <f t="shared" si="254"/>
        <v>0</v>
      </c>
      <c r="BM199" s="1">
        <f t="shared" si="252"/>
        <v>0</v>
      </c>
      <c r="BN199" s="1">
        <f t="shared" si="275"/>
        <v>1</v>
      </c>
      <c r="BO199" s="1">
        <f t="shared" si="276"/>
        <v>1</v>
      </c>
    </row>
    <row r="200" spans="1:67" ht="30.95" customHeight="1">
      <c r="A200" s="1">
        <f>5</f>
        <v>5</v>
      </c>
      <c r="B200" s="1">
        <f>固定流程!A20</f>
        <v>15</v>
      </c>
      <c r="C200" s="1">
        <f>8</f>
        <v>8</v>
      </c>
      <c r="D200" s="1">
        <f>1</f>
        <v>1</v>
      </c>
      <c r="E200" s="1">
        <f>固定流程!C20</f>
        <v>3</v>
      </c>
      <c r="F200" s="1">
        <f>固定流程!G20</f>
        <v>3</v>
      </c>
      <c r="G200" s="1" t="str">
        <f>固定流程!H20</f>
        <v>RHI_ATTACK</v>
      </c>
      <c r="H200" s="1">
        <f>固定流程!F20</f>
        <v>1</v>
      </c>
      <c r="I200" s="1">
        <f>INDEX(配置与结果!$B$15:$B$18,F200)</f>
        <v>2597</v>
      </c>
      <c r="J200" s="1">
        <f>INDEX(配置与结果!$D$15:$D$18,F200)</f>
        <v>0.255</v>
      </c>
      <c r="K200" s="1">
        <f>INDEX(配置与结果!$E$15:$E$18,F200)</f>
        <v>1.55</v>
      </c>
      <c r="L200" s="1">
        <f t="shared" ref="L200:L221" si="295">AV199</f>
        <v>2</v>
      </c>
      <c r="M200" s="1">
        <f t="shared" ref="M200:M221" si="296">AW199</f>
        <v>10</v>
      </c>
      <c r="N200" s="1">
        <f t="shared" ref="N200:N221" si="297">AX199</f>
        <v>1</v>
      </c>
      <c r="O200" s="1">
        <f t="shared" si="281"/>
        <v>6</v>
      </c>
      <c r="P200" s="1">
        <f>MIN(方案参数!$AI$8,AZ199+0+方案参数!$AK$8)</f>
        <v>5</v>
      </c>
      <c r="Q200" s="1">
        <f t="shared" si="259"/>
        <v>4</v>
      </c>
      <c r="R200" s="1">
        <f t="shared" si="260"/>
        <v>5</v>
      </c>
      <c r="S200" s="1">
        <f t="shared" si="261"/>
        <v>2</v>
      </c>
      <c r="T200" s="1">
        <f t="shared" si="262"/>
        <v>0</v>
      </c>
      <c r="U200" s="1">
        <f t="shared" si="263"/>
        <v>0</v>
      </c>
      <c r="V200" s="1">
        <f t="shared" si="264"/>
        <v>2</v>
      </c>
      <c r="W200" s="1">
        <f t="shared" si="265"/>
        <v>1</v>
      </c>
      <c r="X200" s="1">
        <f t="shared" si="266"/>
        <v>1</v>
      </c>
      <c r="Y200" s="1">
        <f t="shared" si="267"/>
        <v>1</v>
      </c>
      <c r="Z200" s="1">
        <f t="shared" si="268"/>
        <v>1</v>
      </c>
      <c r="AA200" s="1">
        <f>MAX(BK199,1)</f>
        <v>1</v>
      </c>
      <c r="AB200" s="1">
        <f t="shared" si="270"/>
        <v>0</v>
      </c>
      <c r="AC200" s="1">
        <f t="shared" si="271"/>
        <v>0</v>
      </c>
      <c r="AD200" s="1">
        <f>ROUNDDOWN(I200*(1+IF(F200=3,0.05+方案参数!$Y$8+AA200*0.12,IF(F200=4,方案参数!$BZ$8*方案参数!$AS$8,0)))+IF(AND(X200=1,F200&lt;&gt;3),方案参数!$CC$8,0)+AC200*方案参数!$CB$8,0)</f>
        <v>3298</v>
      </c>
      <c r="AE200" s="1">
        <f>IF(OR(F200=1,F200=4),配置与结果!$B$24,配置与结果!$B$25)*MAX(0,1-INDEX(配置与结果!$I$15:$I$18,F200))</f>
        <v>1000</v>
      </c>
      <c r="AF200" s="1">
        <f>4</f>
        <v>4</v>
      </c>
      <c r="AG200" s="1">
        <f>MAX(配置与结果!$B$32,1+INDEX(配置与结果!$F$15:$F$18,F200)+0+Q200*方案参数!$W$8+Y200*(方案参数!$AN$8+MIN(方案参数!$AO$8,P200*0.03))+AB200*方案参数!$BZ$8*0.025-配置与结果!$B$28)</f>
        <v>1.0150000000000001</v>
      </c>
      <c r="AH200" s="1">
        <f>MAX(0,1+INDEX(配置与结果!$G$15:$G$18,F200)+W200*方案参数!$AG$8)</f>
        <v>1.3</v>
      </c>
      <c r="AI200" s="1">
        <f>IF(OR(INDEX(配置与结果!$K$15:$K$18,F200)=1,G200="RHI_BERRY"),1+配置与结果!$B$33+P200*方案参数!$AH$8,1)</f>
        <v>1</v>
      </c>
      <c r="AJ200" s="1">
        <f>MIN(1,MAX(0,J200+方案参数!$AB$8-配置与结果!$B$27))</f>
        <v>0.55499999999999994</v>
      </c>
      <c r="AK200" s="1">
        <f>MAX(1,K200+IF(F200=2,0.15+方案参数!$CH$8,0)+BN200*方案参数!$X$8+R200*方案参数!$AA$8+0-配置与结果!$B$26+Z200*(方案参数!$AP$8+MIN(方案参数!$AQ$8,P200*0.03)))</f>
        <v>1.6300000000000001</v>
      </c>
      <c r="AL200" s="7">
        <f>ROUNDDOWN(MAX(AD200*配置与结果!$B$31,AD200-AE200)*AF200*AG200*AH200*AI200,0)</f>
        <v>12128</v>
      </c>
      <c r="AM200" s="7">
        <f>ROUNDDOWN(MAX(AD200*配置与结果!$B$31,AD200-AE200)*AF200*AG200*AH200*AI200*AK200,0)</f>
        <v>19770</v>
      </c>
      <c r="AN200" s="7">
        <f t="shared" si="287"/>
        <v>16369.31</v>
      </c>
      <c r="AO200" s="7">
        <f>0</f>
        <v>0</v>
      </c>
      <c r="AP200" s="7">
        <f>MAX(0,1+INDEX(配置与结果!$J$15:$J$18,F200)+IF(T200&gt;0,方案参数!$BY$8,0)-配置与结果!$B$30)</f>
        <v>1</v>
      </c>
      <c r="AQ200" s="7">
        <f t="shared" si="288"/>
        <v>0</v>
      </c>
      <c r="AR200" s="7">
        <f t="shared" si="289"/>
        <v>0</v>
      </c>
      <c r="AS200" s="7">
        <f t="shared" si="290"/>
        <v>0</v>
      </c>
      <c r="AT200" s="7">
        <f>0</f>
        <v>0</v>
      </c>
      <c r="AU200" s="7">
        <f t="shared" si="291"/>
        <v>16369.31</v>
      </c>
      <c r="AV200" s="1">
        <f t="shared" si="292"/>
        <v>2</v>
      </c>
      <c r="AW200" s="1">
        <f t="shared" si="285"/>
        <v>10</v>
      </c>
      <c r="AX200" s="1">
        <f t="shared" si="293"/>
        <v>1</v>
      </c>
      <c r="AY200" s="1">
        <f t="shared" si="279"/>
        <v>6</v>
      </c>
      <c r="AZ200" s="1">
        <f t="shared" si="294"/>
        <v>5</v>
      </c>
      <c r="BA200" s="1">
        <f>MIN(6,Q200+1)</f>
        <v>5</v>
      </c>
      <c r="BB200" s="1">
        <f t="shared" si="272"/>
        <v>5</v>
      </c>
      <c r="BC200" s="1">
        <f t="shared" si="286"/>
        <v>2</v>
      </c>
      <c r="BD200" s="1">
        <f t="shared" si="280"/>
        <v>0</v>
      </c>
      <c r="BE200" s="1">
        <f t="shared" si="273"/>
        <v>0</v>
      </c>
      <c r="BF200" s="1">
        <f>MIN(4,V200+0)</f>
        <v>2</v>
      </c>
      <c r="BG200" s="1">
        <f t="shared" ref="BG200:BG222" si="298">MAX(W200,0)</f>
        <v>1</v>
      </c>
      <c r="BH200" s="1">
        <f t="shared" si="274"/>
        <v>1</v>
      </c>
      <c r="BI200" s="1">
        <f t="shared" ref="BI200:BI222" si="299">MAX(Y200,0)</f>
        <v>1</v>
      </c>
      <c r="BJ200" s="1">
        <f>MAX(Z200,1)</f>
        <v>1</v>
      </c>
      <c r="BK200" s="1">
        <f>MAX(AA200,1)</f>
        <v>1</v>
      </c>
      <c r="BL200" s="1">
        <f t="shared" si="254"/>
        <v>0</v>
      </c>
      <c r="BM200" s="1">
        <f t="shared" si="252"/>
        <v>0</v>
      </c>
      <c r="BN200" s="1">
        <f t="shared" si="275"/>
        <v>1</v>
      </c>
      <c r="BO200" s="1">
        <f t="shared" si="276"/>
        <v>1</v>
      </c>
    </row>
    <row r="201" spans="1:67" ht="30.95" customHeight="1">
      <c r="A201" s="1">
        <f>5</f>
        <v>5</v>
      </c>
      <c r="B201" s="1">
        <f>固定流程!A21</f>
        <v>16</v>
      </c>
      <c r="C201" s="1">
        <f>8</f>
        <v>8</v>
      </c>
      <c r="D201" s="1">
        <f>1</f>
        <v>1</v>
      </c>
      <c r="E201" s="1">
        <f>固定流程!C21</f>
        <v>3</v>
      </c>
      <c r="F201" s="1">
        <f>固定流程!G21</f>
        <v>2</v>
      </c>
      <c r="G201" s="1" t="str">
        <f>固定流程!H21</f>
        <v>37_ULT</v>
      </c>
      <c r="H201" s="1">
        <f>固定流程!F21</f>
        <v>1</v>
      </c>
      <c r="I201" s="1">
        <f>INDEX(配置与结果!$B$15:$B$18,F201)</f>
        <v>2306</v>
      </c>
      <c r="J201" s="1">
        <f>INDEX(配置与结果!$D$15:$D$18,F201)</f>
        <v>0.46</v>
      </c>
      <c r="K201" s="1">
        <f>INDEX(配置与结果!$E$15:$E$18,F201)</f>
        <v>1.9279999999999999</v>
      </c>
      <c r="L201" s="1">
        <f t="shared" si="295"/>
        <v>2</v>
      </c>
      <c r="M201" s="1">
        <f t="shared" si="296"/>
        <v>10</v>
      </c>
      <c r="N201" s="1">
        <f t="shared" si="297"/>
        <v>1</v>
      </c>
      <c r="O201" s="1">
        <f t="shared" si="281"/>
        <v>6</v>
      </c>
      <c r="P201" s="1">
        <f>MIN(方案参数!$AI$8,AZ200+0+0)</f>
        <v>5</v>
      </c>
      <c r="Q201" s="1">
        <f t="shared" si="259"/>
        <v>5</v>
      </c>
      <c r="R201" s="1">
        <f t="shared" si="260"/>
        <v>5</v>
      </c>
      <c r="S201" s="1">
        <f t="shared" si="261"/>
        <v>2</v>
      </c>
      <c r="T201" s="1">
        <f>BD200+方案参数!$BX$8</f>
        <v>2</v>
      </c>
      <c r="U201" s="1">
        <f t="shared" si="263"/>
        <v>0</v>
      </c>
      <c r="V201" s="1">
        <f t="shared" si="264"/>
        <v>2</v>
      </c>
      <c r="W201" s="1">
        <f t="shared" si="265"/>
        <v>1</v>
      </c>
      <c r="X201" s="1">
        <f t="shared" si="266"/>
        <v>1</v>
      </c>
      <c r="Y201" s="1">
        <f t="shared" si="267"/>
        <v>1</v>
      </c>
      <c r="Z201" s="1">
        <f t="shared" si="268"/>
        <v>1</v>
      </c>
      <c r="AA201" s="1">
        <f t="shared" ref="AA201:AA221" si="300">MAX(BK200,0)</f>
        <v>1</v>
      </c>
      <c r="AB201" s="1">
        <f t="shared" si="270"/>
        <v>0</v>
      </c>
      <c r="AC201" s="1">
        <f>MAX(BM200,1)</f>
        <v>1</v>
      </c>
      <c r="AD201" s="1">
        <f>ROUNDDOWN(I201*(1+IF(F201=3,0.05+方案参数!$Y$8+AA201*0.12,IF(F201=4,方案参数!$BZ$8*方案参数!$AS$8,0)))+IF(AND(X201=1,F201&lt;&gt;3),方案参数!$CC$8,0)+AC201*方案参数!$CB$8,0)</f>
        <v>3044</v>
      </c>
      <c r="AE201" s="1">
        <f>IF(OR(F201=1,F201=4),配置与结果!$B$24,配置与结果!$B$25)*MAX(0,1-INDEX(配置与结果!$I$15:$I$18,F201))</f>
        <v>1000</v>
      </c>
      <c r="AF201" s="1">
        <f>0</f>
        <v>0</v>
      </c>
      <c r="AG201" s="1">
        <f>MAX(配置与结果!$B$32,1+INDEX(配置与结果!$F$15:$F$18,F201)+0+Q201*方案参数!$W$8+Y201*(方案参数!$AN$8+MIN(方案参数!$AO$8,P201*0.03))+AB201*方案参数!$BZ$8*0.025-配置与结果!$B$28)</f>
        <v>1.0049999999999999</v>
      </c>
      <c r="AH201" s="1">
        <f>MAX(0,1+INDEX(配置与结果!$G$15:$G$18,F201)+W201*方案参数!$AG$8)</f>
        <v>1.3</v>
      </c>
      <c r="AI201" s="1">
        <f>IF(OR(INDEX(配置与结果!$K$15:$K$18,F201)=1,G201="RHI_BERRY"),1+配置与结果!$B$33+P201*方案参数!$AH$8,1)</f>
        <v>1</v>
      </c>
      <c r="AJ201" s="1">
        <f>MIN(1,MAX(0,J201+方案参数!$AB$8-配置与结果!$B$27))</f>
        <v>0.76</v>
      </c>
      <c r="AK201" s="1">
        <f>MAX(1,K201+IF(F201=2,0.15+方案参数!$CH$8,0)+BN201*方案参数!$X$8+R201*方案参数!$AA$8+0-配置与结果!$B$26+Z201*(方案参数!$AP$8+MIN(方案参数!$AQ$8,P201*0.03)))</f>
        <v>2.278</v>
      </c>
      <c r="AL201" s="7">
        <f>ROUNDDOWN(MAX(AD201*配置与结果!$B$31,AD201-AE201)*AF201*AG201*AH201*AI201,0)</f>
        <v>0</v>
      </c>
      <c r="AM201" s="7">
        <f>ROUNDDOWN(MAX(AD201*配置与结果!$B$31,AD201-AE201)*AF201*AG201*AH201*AI201*AK201,0)</f>
        <v>0</v>
      </c>
      <c r="AN201" s="7">
        <f t="shared" si="287"/>
        <v>0</v>
      </c>
      <c r="AO201" s="7">
        <f>0</f>
        <v>0</v>
      </c>
      <c r="AP201" s="7">
        <f>MAX(0,1+INDEX(配置与结果!$J$15:$J$18,F201)+IF(T201&gt;0,方案参数!$BY$8,0)-配置与结果!$B$30)</f>
        <v>2</v>
      </c>
      <c r="AQ201" s="7">
        <f t="shared" si="288"/>
        <v>0</v>
      </c>
      <c r="AR201" s="7">
        <f t="shared" si="289"/>
        <v>0</v>
      </c>
      <c r="AS201" s="7">
        <f t="shared" si="290"/>
        <v>0</v>
      </c>
      <c r="AT201" s="7">
        <f>0</f>
        <v>0</v>
      </c>
      <c r="AU201" s="7">
        <f t="shared" si="291"/>
        <v>0</v>
      </c>
      <c r="AV201" s="1">
        <f t="shared" si="292"/>
        <v>2</v>
      </c>
      <c r="AW201" s="1">
        <f t="shared" si="285"/>
        <v>10</v>
      </c>
      <c r="AX201" s="1">
        <f t="shared" si="293"/>
        <v>1</v>
      </c>
      <c r="AY201" s="1">
        <f t="shared" si="279"/>
        <v>6</v>
      </c>
      <c r="AZ201" s="1">
        <f t="shared" si="294"/>
        <v>5</v>
      </c>
      <c r="BA201" s="1">
        <f t="shared" ref="BA201:BA221" si="301">MIN(6,Q201+0)</f>
        <v>5</v>
      </c>
      <c r="BB201" s="1">
        <f>MIN(30,R201+5)</f>
        <v>10</v>
      </c>
      <c r="BC201" s="1">
        <f t="shared" si="286"/>
        <v>2</v>
      </c>
      <c r="BD201" s="1">
        <f t="shared" si="280"/>
        <v>2</v>
      </c>
      <c r="BE201" s="1">
        <f t="shared" si="273"/>
        <v>0</v>
      </c>
      <c r="BF201" s="1">
        <f>MIN(4,V201+0)</f>
        <v>2</v>
      </c>
      <c r="BG201" s="1">
        <f t="shared" si="298"/>
        <v>1</v>
      </c>
      <c r="BH201" s="1">
        <f t="shared" si="274"/>
        <v>1</v>
      </c>
      <c r="BI201" s="1">
        <f t="shared" si="299"/>
        <v>1</v>
      </c>
      <c r="BJ201" s="1">
        <f t="shared" ref="BJ201:BJ228" si="302">MAX(Z201,0)</f>
        <v>1</v>
      </c>
      <c r="BK201" s="1">
        <f t="shared" ref="BK201:BK228" si="303">MAX(AA201,0)</f>
        <v>1</v>
      </c>
      <c r="BL201" s="1">
        <f t="shared" si="254"/>
        <v>0</v>
      </c>
      <c r="BM201" s="1">
        <f>MAX(AC201,1)</f>
        <v>1</v>
      </c>
      <c r="BN201" s="1">
        <f t="shared" si="275"/>
        <v>1</v>
      </c>
      <c r="BO201" s="1">
        <f t="shared" si="276"/>
        <v>1</v>
      </c>
    </row>
    <row r="202" spans="1:67" ht="30.95" customHeight="1">
      <c r="A202" s="1">
        <f>5</f>
        <v>5</v>
      </c>
      <c r="B202" s="1">
        <f>固定流程!A22</f>
        <v>17</v>
      </c>
      <c r="C202" s="1">
        <f>8</f>
        <v>8</v>
      </c>
      <c r="D202" s="1">
        <f>1</f>
        <v>1</v>
      </c>
      <c r="E202" s="1">
        <f>固定流程!C22</f>
        <v>3</v>
      </c>
      <c r="F202" s="1">
        <f>固定流程!G22</f>
        <v>2</v>
      </c>
      <c r="G202" s="1" t="str">
        <f>固定流程!H22</f>
        <v>37_FOLLOW</v>
      </c>
      <c r="H202" s="1">
        <f>固定流程!F22</f>
        <v>1</v>
      </c>
      <c r="I202" s="1">
        <f>INDEX(配置与结果!$B$15:$B$18,F202)</f>
        <v>2306</v>
      </c>
      <c r="J202" s="1">
        <f>INDEX(配置与结果!$D$15:$D$18,F202)</f>
        <v>0.46</v>
      </c>
      <c r="K202" s="1">
        <f>INDEX(配置与结果!$E$15:$E$18,F202)</f>
        <v>1.9279999999999999</v>
      </c>
      <c r="L202" s="1">
        <f t="shared" si="295"/>
        <v>2</v>
      </c>
      <c r="M202" s="1">
        <f t="shared" si="296"/>
        <v>10</v>
      </c>
      <c r="N202" s="1">
        <f t="shared" si="297"/>
        <v>1</v>
      </c>
      <c r="O202" s="1">
        <f t="shared" si="281"/>
        <v>6</v>
      </c>
      <c r="P202" s="1">
        <f>MIN(方案参数!$AI$8,AZ201+0+0)</f>
        <v>5</v>
      </c>
      <c r="Q202" s="1">
        <f t="shared" si="259"/>
        <v>5</v>
      </c>
      <c r="R202" s="1">
        <f t="shared" si="260"/>
        <v>10</v>
      </c>
      <c r="S202" s="1">
        <f t="shared" si="261"/>
        <v>2</v>
      </c>
      <c r="T202" s="1">
        <f t="shared" ref="T202:T221" si="304">BD201+0</f>
        <v>2</v>
      </c>
      <c r="U202" s="1">
        <f t="shared" si="263"/>
        <v>0</v>
      </c>
      <c r="V202" s="1">
        <f t="shared" si="264"/>
        <v>2</v>
      </c>
      <c r="W202" s="1">
        <f t="shared" si="265"/>
        <v>1</v>
      </c>
      <c r="X202" s="1">
        <f t="shared" si="266"/>
        <v>1</v>
      </c>
      <c r="Y202" s="1">
        <f t="shared" si="267"/>
        <v>1</v>
      </c>
      <c r="Z202" s="1">
        <f t="shared" si="268"/>
        <v>1</v>
      </c>
      <c r="AA202" s="1">
        <f t="shared" si="300"/>
        <v>1</v>
      </c>
      <c r="AB202" s="1">
        <f t="shared" si="270"/>
        <v>0</v>
      </c>
      <c r="AC202" s="1">
        <f t="shared" ref="AC202:AC221" si="305">MAX(BM201,0)</f>
        <v>1</v>
      </c>
      <c r="AD202" s="1">
        <f>ROUNDDOWN(I202*(1+IF(F202=3,0.05+方案参数!$Y$8+AA202*0.12,IF(F202=4,方案参数!$BZ$8*方案参数!$AS$8,0)))+IF(AND(X202=1,F202&lt;&gt;3),方案参数!$CC$8,0)+AC202*方案参数!$CB$8,0)</f>
        <v>3044</v>
      </c>
      <c r="AE202" s="1">
        <f>IF(OR(F202=1,F202=4),配置与结果!$B$24,配置与结果!$B$25)*MAX(0,1-INDEX(配置与结果!$I$15:$I$18,F202))</f>
        <v>1000</v>
      </c>
      <c r="AF202" s="1">
        <f>方案参数!$BV$8</f>
        <v>3</v>
      </c>
      <c r="AG202" s="1">
        <f>MAX(配置与结果!$B$32,1+INDEX(配置与结果!$F$15:$F$18,F202)+0+Q202*方案参数!$W$8+Y202*(方案参数!$AN$8+MIN(方案参数!$AO$8,P202*0.03))+AB202*方案参数!$BZ$8*0.025-配置与结果!$B$28)</f>
        <v>1.0049999999999999</v>
      </c>
      <c r="AH202" s="1">
        <f>MAX(0,1+INDEX(配置与结果!$G$15:$G$18,F202)+W202*方案参数!$AG$8)</f>
        <v>1.3</v>
      </c>
      <c r="AI202" s="1">
        <f>IF(OR(INDEX(配置与结果!$K$15:$K$18,F202)=1,G202="RHI_BERRY"),1+配置与结果!$B$33+P202*方案参数!$AH$8,1)</f>
        <v>1</v>
      </c>
      <c r="AJ202" s="1">
        <f>MIN(1,MAX(0,J202+方案参数!$AB$8-配置与结果!$B$27))</f>
        <v>0.76</v>
      </c>
      <c r="AK202" s="1">
        <f>MAX(1,K202+IF(F202=2,0.15+方案参数!$CH$8,0)+BN202*方案参数!$X$8+R202*方案参数!$AA$8+0-配置与结果!$B$26+Z202*(方案参数!$AP$8+MIN(方案参数!$AQ$8,P202*0.03)))</f>
        <v>2.298</v>
      </c>
      <c r="AL202" s="7">
        <f>ROUNDDOWN(MAX(AD202*配置与结果!$B$31,AD202-AE202)*AF202*AG202*AH202*AI202,0)</f>
        <v>8011</v>
      </c>
      <c r="AM202" s="7">
        <f>ROUNDDOWN(MAX(AD202*配置与结果!$B$31,AD202-AE202)*AF202*AG202*AH202*AI202*AK202,0)</f>
        <v>18410</v>
      </c>
      <c r="AN202" s="7">
        <f t="shared" si="287"/>
        <v>15914.24</v>
      </c>
      <c r="AO202" s="7">
        <f>方案参数!$BW$8</f>
        <v>1</v>
      </c>
      <c r="AP202" s="7">
        <f>MAX(0,1+INDEX(配置与结果!$J$15:$J$18,F202)+IF(T202&gt;0,方案参数!$BY$8,0)-配置与结果!$B$30)</f>
        <v>2</v>
      </c>
      <c r="AQ202" s="7">
        <f t="shared" si="288"/>
        <v>6088</v>
      </c>
      <c r="AR202" s="7">
        <f t="shared" si="289"/>
        <v>13990</v>
      </c>
      <c r="AS202" s="7">
        <f t="shared" si="290"/>
        <v>12093.52</v>
      </c>
      <c r="AT202" s="7">
        <f>0</f>
        <v>0</v>
      </c>
      <c r="AU202" s="7">
        <f t="shared" si="291"/>
        <v>28007.760000000002</v>
      </c>
      <c r="AV202" s="1">
        <f t="shared" si="292"/>
        <v>2</v>
      </c>
      <c r="AW202" s="1">
        <f t="shared" si="285"/>
        <v>10</v>
      </c>
      <c r="AX202" s="1">
        <f t="shared" si="293"/>
        <v>1</v>
      </c>
      <c r="AY202" s="1">
        <f t="shared" si="279"/>
        <v>6</v>
      </c>
      <c r="AZ202" s="1">
        <f t="shared" si="294"/>
        <v>5</v>
      </c>
      <c r="BA202" s="1">
        <f t="shared" si="301"/>
        <v>5</v>
      </c>
      <c r="BB202" s="1">
        <f>MIN(30,R202+0)</f>
        <v>10</v>
      </c>
      <c r="BC202" s="1">
        <f t="shared" si="286"/>
        <v>2</v>
      </c>
      <c r="BD202" s="1">
        <f t="shared" si="280"/>
        <v>1</v>
      </c>
      <c r="BE202" s="1">
        <f t="shared" si="273"/>
        <v>0</v>
      </c>
      <c r="BF202" s="1">
        <f>MIN(4,V202+1)</f>
        <v>3</v>
      </c>
      <c r="BG202" s="1">
        <f t="shared" si="298"/>
        <v>1</v>
      </c>
      <c r="BH202" s="1">
        <f t="shared" si="274"/>
        <v>1</v>
      </c>
      <c r="BI202" s="1">
        <f t="shared" si="299"/>
        <v>1</v>
      </c>
      <c r="BJ202" s="1">
        <f t="shared" si="302"/>
        <v>1</v>
      </c>
      <c r="BK202" s="1">
        <f t="shared" si="303"/>
        <v>1</v>
      </c>
      <c r="BL202" s="1">
        <f t="shared" si="254"/>
        <v>0</v>
      </c>
      <c r="BM202" s="1">
        <f t="shared" ref="BM202:BM236" si="306">MAX(AC202,0)</f>
        <v>1</v>
      </c>
      <c r="BN202" s="1">
        <f t="shared" si="275"/>
        <v>1</v>
      </c>
      <c r="BO202" s="1">
        <f t="shared" si="276"/>
        <v>1</v>
      </c>
    </row>
    <row r="203" spans="1:67" ht="30.95" customHeight="1">
      <c r="A203" s="1">
        <f>5</f>
        <v>5</v>
      </c>
      <c r="B203" s="1">
        <f>固定流程!A23</f>
        <v>18</v>
      </c>
      <c r="C203" s="1">
        <f>8</f>
        <v>8</v>
      </c>
      <c r="D203" s="1">
        <f>1</f>
        <v>1</v>
      </c>
      <c r="E203" s="1">
        <f>固定流程!C23</f>
        <v>3</v>
      </c>
      <c r="F203" s="1">
        <f>固定流程!G23</f>
        <v>4</v>
      </c>
      <c r="G203" s="1" t="str">
        <f>固定流程!H23</f>
        <v>J_HARD</v>
      </c>
      <c r="H203" s="1">
        <f>固定流程!F23</f>
        <v>1</v>
      </c>
      <c r="I203" s="1">
        <f>INDEX(配置与结果!$B$15:$B$18,F203)</f>
        <v>1906</v>
      </c>
      <c r="J203" s="1">
        <f>INDEX(配置与结果!$D$15:$D$18,F203)</f>
        <v>0.36699999999999999</v>
      </c>
      <c r="K203" s="1">
        <f>INDEX(配置与结果!$E$15:$E$18,F203)</f>
        <v>1.7170000000000001</v>
      </c>
      <c r="L203" s="1">
        <f t="shared" si="295"/>
        <v>2</v>
      </c>
      <c r="M203" s="1">
        <f t="shared" si="296"/>
        <v>10</v>
      </c>
      <c r="N203" s="1">
        <f t="shared" si="297"/>
        <v>1</v>
      </c>
      <c r="O203" s="1">
        <f t="shared" si="281"/>
        <v>6</v>
      </c>
      <c r="P203" s="1">
        <f>MIN(方案参数!$AI$8,AZ202+0+0)</f>
        <v>5</v>
      </c>
      <c r="Q203" s="1">
        <f t="shared" si="259"/>
        <v>5</v>
      </c>
      <c r="R203" s="1">
        <f t="shared" si="260"/>
        <v>10</v>
      </c>
      <c r="S203" s="1">
        <f t="shared" si="261"/>
        <v>2</v>
      </c>
      <c r="T203" s="1">
        <f t="shared" si="304"/>
        <v>1</v>
      </c>
      <c r="U203" s="1">
        <f t="shared" si="263"/>
        <v>0</v>
      </c>
      <c r="V203" s="1">
        <f t="shared" si="264"/>
        <v>3</v>
      </c>
      <c r="W203" s="1">
        <f t="shared" si="265"/>
        <v>1</v>
      </c>
      <c r="X203" s="1">
        <f t="shared" si="266"/>
        <v>1</v>
      </c>
      <c r="Y203" s="1">
        <f t="shared" si="267"/>
        <v>1</v>
      </c>
      <c r="Z203" s="1">
        <f t="shared" si="268"/>
        <v>1</v>
      </c>
      <c r="AA203" s="1">
        <f t="shared" si="300"/>
        <v>1</v>
      </c>
      <c r="AB203" s="1">
        <f t="shared" si="270"/>
        <v>0</v>
      </c>
      <c r="AC203" s="1">
        <f t="shared" si="305"/>
        <v>1</v>
      </c>
      <c r="AD203" s="1">
        <f>ROUNDDOWN(I203*(1+IF(F203=3,0.05+方案参数!$Y$8+AA203*0.12,IF(F203=4,方案参数!$BZ$8*方案参数!$AS$8,0)))+IF(AND(X203=1,F203&lt;&gt;3),方案参数!$CC$8,0)+AC203*方案参数!$CB$8,0)</f>
        <v>3311</v>
      </c>
      <c r="AE203" s="1">
        <f>IF(OR(F203=1,F203=4),配置与结果!$B$24,配置与结果!$B$25)*MAX(0,1-INDEX(配置与结果!$I$15:$I$18,F203))</f>
        <v>1200</v>
      </c>
      <c r="AF203" s="1">
        <f>3.6*IF(H203=1,1,IF(H203=2,1.5,2.5))</f>
        <v>3.6</v>
      </c>
      <c r="AG203" s="1">
        <f>MAX(配置与结果!$B$32,1+INDEX(配置与结果!$F$15:$F$18,F203)+0.08+Q203*方案参数!$W$8+Y203*(方案参数!$AN$8+MIN(方案参数!$AO$8,P203*0.03))+AB203*方案参数!$BZ$8*0.025+0.1+IF(方案参数!$BZ$8&gt;=30,方案参数!$BZ$8*0.01,0)-配置与结果!$B$28)</f>
        <v>1.5550000000000002</v>
      </c>
      <c r="AH203" s="1">
        <f>MAX(0,1+INDEX(配置与结果!$G$15:$G$18,F203)+W203*方案参数!$AG$8)</f>
        <v>1.3</v>
      </c>
      <c r="AI203" s="1">
        <f>IF(OR(INDEX(配置与结果!$K$15:$K$18,F203)=1,G203="RHI_BERRY"),1+配置与结果!$B$33+P203*方案参数!$AH$8,1)</f>
        <v>1</v>
      </c>
      <c r="AJ203" s="1">
        <f>MIN(1,MAX(0,J203+方案参数!$AB$8-配置与结果!$B$27))</f>
        <v>0.66700000000000004</v>
      </c>
      <c r="AK203" s="1">
        <f>MAX(1,K203+IF(F203=2,0.15+方案参数!$CH$8,0)+BN203*方案参数!$X$8+R203*方案参数!$AA$8+0-配置与结果!$B$26+Z203*(方案参数!$AP$8+MIN(方案参数!$AQ$8,P203*0.03)))</f>
        <v>1.8169999999999999</v>
      </c>
      <c r="AL203" s="7">
        <f>ROUNDDOWN(MAX(AD203*配置与结果!$B$31,AD203-AE203)*AF203*AG203*AH203*AI203,0)</f>
        <v>15362</v>
      </c>
      <c r="AM203" s="7">
        <f>ROUNDDOWN(MAX(AD203*配置与结果!$B$31,AD203-AE203)*AF203*AG203*AH203*AI203*AK203,0)</f>
        <v>27913</v>
      </c>
      <c r="AN203" s="7">
        <f t="shared" si="287"/>
        <v>23733.517</v>
      </c>
      <c r="AO203" s="7">
        <f>0</f>
        <v>0</v>
      </c>
      <c r="AP203" s="7">
        <f>MAX(0,1+INDEX(配置与结果!$J$15:$J$18,F203)+IF(T203&gt;0,方案参数!$BY$8,0)-配置与结果!$B$30)</f>
        <v>2</v>
      </c>
      <c r="AQ203" s="7">
        <f t="shared" si="288"/>
        <v>0</v>
      </c>
      <c r="AR203" s="7">
        <f t="shared" si="289"/>
        <v>0</v>
      </c>
      <c r="AS203" s="7">
        <f t="shared" si="290"/>
        <v>0</v>
      </c>
      <c r="AT203" s="7">
        <f>0</f>
        <v>0</v>
      </c>
      <c r="AU203" s="7">
        <f t="shared" si="291"/>
        <v>23733.517</v>
      </c>
      <c r="AV203" s="1">
        <f t="shared" si="292"/>
        <v>2</v>
      </c>
      <c r="AW203" s="1">
        <f t="shared" si="285"/>
        <v>10</v>
      </c>
      <c r="AX203" s="1">
        <f t="shared" si="293"/>
        <v>1</v>
      </c>
      <c r="AY203" s="1">
        <f t="shared" si="279"/>
        <v>6</v>
      </c>
      <c r="AZ203" s="1">
        <f t="shared" si="294"/>
        <v>5</v>
      </c>
      <c r="BA203" s="1">
        <f t="shared" si="301"/>
        <v>5</v>
      </c>
      <c r="BB203" s="1">
        <f>MIN(30,R203+0)</f>
        <v>10</v>
      </c>
      <c r="BC203" s="1">
        <f>MIN(3,S203+1)</f>
        <v>3</v>
      </c>
      <c r="BD203" s="1">
        <f t="shared" si="280"/>
        <v>1</v>
      </c>
      <c r="BE203" s="1">
        <f t="shared" si="273"/>
        <v>0</v>
      </c>
      <c r="BF203" s="1">
        <f>MIN(4,V203+0)</f>
        <v>3</v>
      </c>
      <c r="BG203" s="1">
        <f t="shared" si="298"/>
        <v>1</v>
      </c>
      <c r="BH203" s="1">
        <f t="shared" si="274"/>
        <v>1</v>
      </c>
      <c r="BI203" s="1">
        <f t="shared" si="299"/>
        <v>1</v>
      </c>
      <c r="BJ203" s="1">
        <f t="shared" si="302"/>
        <v>1</v>
      </c>
      <c r="BK203" s="1">
        <f t="shared" si="303"/>
        <v>1</v>
      </c>
      <c r="BL203" s="1">
        <f t="shared" si="254"/>
        <v>0</v>
      </c>
      <c r="BM203" s="1">
        <f t="shared" si="306"/>
        <v>1</v>
      </c>
      <c r="BN203" s="1">
        <f t="shared" si="275"/>
        <v>1</v>
      </c>
      <c r="BO203" s="1">
        <f t="shared" si="276"/>
        <v>1</v>
      </c>
    </row>
    <row r="204" spans="1:67" ht="30.95" customHeight="1">
      <c r="A204" s="1">
        <f>5</f>
        <v>5</v>
      </c>
      <c r="B204" s="1">
        <f>固定流程!A24</f>
        <v>19</v>
      </c>
      <c r="C204" s="1">
        <f>8</f>
        <v>8</v>
      </c>
      <c r="D204" s="1">
        <f>1</f>
        <v>1</v>
      </c>
      <c r="E204" s="1">
        <f>固定流程!C24</f>
        <v>3</v>
      </c>
      <c r="F204" s="1">
        <f>固定流程!G24</f>
        <v>4</v>
      </c>
      <c r="G204" s="1" t="str">
        <f>固定流程!H24</f>
        <v>J_ULT</v>
      </c>
      <c r="H204" s="1">
        <f>固定流程!F24</f>
        <v>1</v>
      </c>
      <c r="I204" s="1">
        <f>INDEX(配置与结果!$B$15:$B$18,F204)</f>
        <v>1906</v>
      </c>
      <c r="J204" s="1">
        <f>INDEX(配置与结果!$D$15:$D$18,F204)</f>
        <v>0.36699999999999999</v>
      </c>
      <c r="K204" s="1">
        <f>INDEX(配置与结果!$E$15:$E$18,F204)</f>
        <v>1.7170000000000001</v>
      </c>
      <c r="L204" s="1">
        <f t="shared" si="295"/>
        <v>2</v>
      </c>
      <c r="M204" s="1">
        <f t="shared" si="296"/>
        <v>10</v>
      </c>
      <c r="N204" s="1">
        <f t="shared" si="297"/>
        <v>1</v>
      </c>
      <c r="O204" s="1">
        <f t="shared" si="281"/>
        <v>6</v>
      </c>
      <c r="P204" s="1">
        <f>MIN(方案参数!$AI$8,AZ203+0+0)</f>
        <v>5</v>
      </c>
      <c r="Q204" s="1">
        <f t="shared" si="259"/>
        <v>5</v>
      </c>
      <c r="R204" s="1">
        <f t="shared" si="260"/>
        <v>10</v>
      </c>
      <c r="S204" s="1">
        <f t="shared" si="261"/>
        <v>3</v>
      </c>
      <c r="T204" s="1">
        <f t="shared" si="304"/>
        <v>1</v>
      </c>
      <c r="U204" s="1">
        <f t="shared" si="263"/>
        <v>0</v>
      </c>
      <c r="V204" s="1">
        <f t="shared" si="264"/>
        <v>3</v>
      </c>
      <c r="W204" s="1">
        <f t="shared" si="265"/>
        <v>1</v>
      </c>
      <c r="X204" s="1">
        <f t="shared" si="266"/>
        <v>1</v>
      </c>
      <c r="Y204" s="1">
        <f t="shared" si="267"/>
        <v>1</v>
      </c>
      <c r="Z204" s="1">
        <f t="shared" si="268"/>
        <v>1</v>
      </c>
      <c r="AA204" s="1">
        <f t="shared" si="300"/>
        <v>1</v>
      </c>
      <c r="AB204" s="1">
        <f t="shared" si="270"/>
        <v>0</v>
      </c>
      <c r="AC204" s="1">
        <f t="shared" si="305"/>
        <v>1</v>
      </c>
      <c r="AD204" s="1">
        <f>ROUNDDOWN(I204*(1+IF(F204=3,0.05+方案参数!$Y$8+AA204*0.12,IF(F204=4,方案参数!$BZ$8*方案参数!$AS$8,0)))+IF(AND(X204=1,F204&lt;&gt;3),方案参数!$CC$8,0)+AC204*方案参数!$CB$8,0)</f>
        <v>3311</v>
      </c>
      <c r="AE204" s="1">
        <f>IF(OR(F204=1,F204=4),配置与结果!$B$24,配置与结果!$B$25)*MAX(0,1-INDEX(配置与结果!$I$15:$I$18,F204))</f>
        <v>1200</v>
      </c>
      <c r="AF204" s="1">
        <f>方案参数!$AT$8+MAX(0,配置与结果!$H$26+方案参数!$BZ$8-30)*方案参数!$AU$8*配置与结果!$H$27</f>
        <v>42</v>
      </c>
      <c r="AG204" s="1">
        <f>MAX(配置与结果!$B$32,1+INDEX(配置与结果!$F$15:$F$18,F204)+0.08+Q204*方案参数!$W$8+Y204*(方案参数!$AN$8+MIN(方案参数!$AO$8,P204*0.03))+AB204*方案参数!$BZ$8*0.025-配置与结果!$B$28)</f>
        <v>1.105</v>
      </c>
      <c r="AH204" s="1">
        <f>MAX(0,1+INDEX(配置与结果!$H$15:$H$18,F204)+W204*方案参数!$AG$8+S204*方案参数!$Z$8)</f>
        <v>1.42</v>
      </c>
      <c r="AI204" s="1">
        <f>IF(OR(INDEX(配置与结果!$K$15:$K$18,F204)=1,G204="RHI_BERRY"),1+配置与结果!$B$33+P204*方案参数!$AH$8,1)</f>
        <v>1</v>
      </c>
      <c r="AJ204" s="1">
        <f>MIN(1,MAX(0,J204+方案参数!$AB$8-配置与结果!$B$27))</f>
        <v>0.66700000000000004</v>
      </c>
      <c r="AK204" s="1">
        <f>MAX(1,K204+IF(F204=2,0.15+方案参数!$CH$8,0)+BN204*方案参数!$X$8+R204*方案参数!$AA$8+0-配置与结果!$B$26+Z204*(方案参数!$AP$8+MIN(方案参数!$AQ$8,P204*0.03)))</f>
        <v>1.8169999999999999</v>
      </c>
      <c r="AL204" s="7">
        <f>ROUNDDOWN(MAX(AD204*配置与结果!$B$31,AD204-AE204)*AF204*AG204*AH204*AI204,0)</f>
        <v>139119</v>
      </c>
      <c r="AM204" s="7">
        <f>ROUNDDOWN(MAX(AD204*配置与结果!$B$31,AD204-AE204)*AF204*AG204*AH204*AI204*AK204,0)</f>
        <v>252780</v>
      </c>
      <c r="AN204" s="7">
        <f t="shared" si="287"/>
        <v>214930.88699999999</v>
      </c>
      <c r="AO204" s="7">
        <f>0</f>
        <v>0</v>
      </c>
      <c r="AP204" s="7">
        <f>MAX(0,1+INDEX(配置与结果!$J$15:$J$18,F204)+IF(T204&gt;0,方案参数!$BY$8,0)-配置与结果!$B$30)</f>
        <v>2</v>
      </c>
      <c r="AQ204" s="7">
        <f t="shared" si="288"/>
        <v>0</v>
      </c>
      <c r="AR204" s="7">
        <f t="shared" si="289"/>
        <v>0</v>
      </c>
      <c r="AS204" s="7">
        <f t="shared" si="290"/>
        <v>0</v>
      </c>
      <c r="AT204" s="7">
        <f>0</f>
        <v>0</v>
      </c>
      <c r="AU204" s="7">
        <f t="shared" si="291"/>
        <v>214930.88699999999</v>
      </c>
      <c r="AV204" s="1">
        <f t="shared" si="292"/>
        <v>2</v>
      </c>
      <c r="AW204" s="1">
        <f t="shared" si="285"/>
        <v>10</v>
      </c>
      <c r="AX204" s="1">
        <f t="shared" si="293"/>
        <v>1</v>
      </c>
      <c r="AY204" s="1">
        <f t="shared" si="279"/>
        <v>6</v>
      </c>
      <c r="AZ204" s="1">
        <f t="shared" si="294"/>
        <v>5</v>
      </c>
      <c r="BA204" s="1">
        <f t="shared" si="301"/>
        <v>5</v>
      </c>
      <c r="BB204" s="1">
        <f>MIN(30,R204+5)</f>
        <v>15</v>
      </c>
      <c r="BC204" s="1">
        <f t="shared" ref="BC204:BC227" si="307">MIN(3,S204+0)</f>
        <v>3</v>
      </c>
      <c r="BD204" s="1">
        <f t="shared" si="280"/>
        <v>1</v>
      </c>
      <c r="BE204" s="1">
        <f t="shared" si="273"/>
        <v>0</v>
      </c>
      <c r="BF204" s="1">
        <f>MIN(4,V204+0)</f>
        <v>3</v>
      </c>
      <c r="BG204" s="1">
        <f t="shared" si="298"/>
        <v>1</v>
      </c>
      <c r="BH204" s="1">
        <f t="shared" si="274"/>
        <v>1</v>
      </c>
      <c r="BI204" s="1">
        <f t="shared" si="299"/>
        <v>1</v>
      </c>
      <c r="BJ204" s="1">
        <f t="shared" si="302"/>
        <v>1</v>
      </c>
      <c r="BK204" s="1">
        <f t="shared" si="303"/>
        <v>1</v>
      </c>
      <c r="BL204" s="1">
        <f>MAX(AB204,1)</f>
        <v>1</v>
      </c>
      <c r="BM204" s="1">
        <f t="shared" si="306"/>
        <v>1</v>
      </c>
      <c r="BN204" s="1">
        <f t="shared" si="275"/>
        <v>1</v>
      </c>
      <c r="BO204" s="1">
        <f t="shared" si="276"/>
        <v>1</v>
      </c>
    </row>
    <row r="205" spans="1:67" ht="30.95" customHeight="1">
      <c r="A205" s="1">
        <f>5</f>
        <v>5</v>
      </c>
      <c r="B205" s="1">
        <f>固定流程!A25</f>
        <v>20</v>
      </c>
      <c r="C205" s="1">
        <f>8</f>
        <v>8</v>
      </c>
      <c r="D205" s="1">
        <f>1</f>
        <v>1</v>
      </c>
      <c r="E205" s="1">
        <f>固定流程!C25</f>
        <v>3</v>
      </c>
      <c r="F205" s="1">
        <f>固定流程!G25</f>
        <v>1</v>
      </c>
      <c r="G205" s="1" t="str">
        <f>固定流程!H25</f>
        <v>LILYA_ULT</v>
      </c>
      <c r="H205" s="1">
        <f>固定流程!F25</f>
        <v>1</v>
      </c>
      <c r="I205" s="1">
        <f>INDEX(配置与结果!$B$15:$B$18,F205)</f>
        <v>2296</v>
      </c>
      <c r="J205" s="1">
        <f>INDEX(配置与结果!$D$15:$D$18,F205)</f>
        <v>0.7</v>
      </c>
      <c r="K205" s="1">
        <f>INDEX(配置与结果!$E$15:$E$18,F205)</f>
        <v>2.0249999999999999</v>
      </c>
      <c r="L205" s="1">
        <f t="shared" si="295"/>
        <v>2</v>
      </c>
      <c r="M205" s="1">
        <f t="shared" si="296"/>
        <v>10</v>
      </c>
      <c r="N205" s="1">
        <f t="shared" si="297"/>
        <v>1</v>
      </c>
      <c r="O205" s="1">
        <f t="shared" si="281"/>
        <v>6</v>
      </c>
      <c r="P205" s="1">
        <f>MIN(方案参数!$AI$8,AZ204+0+0)</f>
        <v>5</v>
      </c>
      <c r="Q205" s="1">
        <f t="shared" si="259"/>
        <v>5</v>
      </c>
      <c r="R205" s="1">
        <f t="shared" si="260"/>
        <v>15</v>
      </c>
      <c r="S205" s="1">
        <f t="shared" si="261"/>
        <v>3</v>
      </c>
      <c r="T205" s="1">
        <f t="shared" si="304"/>
        <v>1</v>
      </c>
      <c r="U205" s="1">
        <f t="shared" si="263"/>
        <v>0</v>
      </c>
      <c r="V205" s="1">
        <f t="shared" si="264"/>
        <v>3</v>
      </c>
      <c r="W205" s="1">
        <f t="shared" si="265"/>
        <v>1</v>
      </c>
      <c r="X205" s="1">
        <f t="shared" si="266"/>
        <v>1</v>
      </c>
      <c r="Y205" s="1">
        <f t="shared" si="267"/>
        <v>1</v>
      </c>
      <c r="Z205" s="1">
        <f t="shared" si="268"/>
        <v>1</v>
      </c>
      <c r="AA205" s="1">
        <f t="shared" si="300"/>
        <v>1</v>
      </c>
      <c r="AB205" s="1">
        <f t="shared" si="270"/>
        <v>1</v>
      </c>
      <c r="AC205" s="1">
        <f t="shared" si="305"/>
        <v>1</v>
      </c>
      <c r="AD205" s="1">
        <f>ROUNDDOWN(I205*(1+IF(F205=3,0.05+方案参数!$Y$8+AA205*0.12,IF(F205=4,方案参数!$BZ$8*方案参数!$AS$8,0)))+IF(AND(X205=1,F205&lt;&gt;3),方案参数!$CC$8,0)+AC205*方案参数!$CB$8,0)</f>
        <v>3034</v>
      </c>
      <c r="AE205" s="1">
        <f>IF(OR(F205=1,F205=4),配置与结果!$B$24,配置与结果!$B$25)*MAX(0,1-INDEX(配置与结果!$I$15:$I$18,F205)+IF(O205&gt;=6,方案参数!$BK$8,0))</f>
        <v>1800</v>
      </c>
      <c r="AF205" s="1">
        <f>方案参数!$BG$8+IF(O205&gt;=6,方案参数!$BH$8,0)</f>
        <v>72</v>
      </c>
      <c r="AG205" s="1">
        <f>MAX(配置与结果!$B$32,1+INDEX(配置与结果!$F$15:$F$18,F205)+0.08+方案参数!$CD$8+Q205*方案参数!$W$8+Y205*(方案参数!$AN$8+MIN(方案参数!$AO$8,P205*0.03))+AB205*方案参数!$BZ$8*0.025-配置与结果!$B$28)</f>
        <v>2.2150000000000003</v>
      </c>
      <c r="AH205" s="1">
        <f>MAX(0,1+INDEX(配置与结果!$H$15:$H$18,F205)+W205*方案参数!$AG$8+O205*方案参数!$BF$8+IF(O205&gt;=6,方案参数!$BI$8,0))</f>
        <v>3.25</v>
      </c>
      <c r="AI205" s="1">
        <f>IF(OR(INDEX(配置与结果!$K$15:$K$18,F205)=1,G205="RHI_BERRY"),1+配置与结果!$B$33+P205*方案参数!$AH$8,1)</f>
        <v>1</v>
      </c>
      <c r="AJ205" s="1">
        <f>MIN(1,MAX(0,J205+方案参数!$AB$8-配置与结果!$B$27))</f>
        <v>1</v>
      </c>
      <c r="AK205" s="1">
        <f>MAX(1,K205+IF(F205=2,0.15+方案参数!$CH$8,0)+BN205*方案参数!$X$8+R205*方案参数!$AA$8+IF(O205&gt;=6,方案参数!$BJ$8,0)-配置与结果!$B$26+Z205*(方案参数!$AP$8+MIN(方案参数!$AQ$8,P205*0.03)))</f>
        <v>3.9449999999999998</v>
      </c>
      <c r="AL205" s="7">
        <f>ROUNDDOWN(MAX(AD205*配置与结果!$B$31,AD205-AE205)*AF205*AG205*AH205*AI205,0)</f>
        <v>639594</v>
      </c>
      <c r="AM205" s="7">
        <f>ROUNDDOWN(MAX(AD205*配置与结果!$B$31,AD205-AE205)*AF205*AG205*AH205*AI205*AK205,0)</f>
        <v>2523200</v>
      </c>
      <c r="AN205" s="7">
        <f t="shared" si="287"/>
        <v>2523200</v>
      </c>
      <c r="AO205" s="7">
        <f>0</f>
        <v>0</v>
      </c>
      <c r="AP205" s="7">
        <f>MAX(0,1+INDEX(配置与结果!$J$15:$J$18,F205)+IF(T205&gt;0,方案参数!$BY$8,0)-配置与结果!$B$30)</f>
        <v>2</v>
      </c>
      <c r="AQ205" s="7">
        <f t="shared" si="288"/>
        <v>0</v>
      </c>
      <c r="AR205" s="7">
        <f t="shared" si="289"/>
        <v>0</v>
      </c>
      <c r="AS205" s="7">
        <f t="shared" si="290"/>
        <v>0</v>
      </c>
      <c r="AT205" s="7">
        <f>0</f>
        <v>0</v>
      </c>
      <c r="AU205" s="7">
        <f t="shared" si="291"/>
        <v>2523200</v>
      </c>
      <c r="AV205" s="1">
        <f t="shared" si="292"/>
        <v>2</v>
      </c>
      <c r="AW205" s="1">
        <f t="shared" si="285"/>
        <v>10</v>
      </c>
      <c r="AX205" s="1">
        <f t="shared" si="293"/>
        <v>1</v>
      </c>
      <c r="AY205" s="1">
        <f>MIN(20,MAX(0,O205+0+0-IF(O205&gt;=6,6,0)))</f>
        <v>0</v>
      </c>
      <c r="AZ205" s="1">
        <f t="shared" si="294"/>
        <v>5</v>
      </c>
      <c r="BA205" s="1">
        <f t="shared" si="301"/>
        <v>5</v>
      </c>
      <c r="BB205" s="1">
        <f>MIN(30,R205+5)</f>
        <v>20</v>
      </c>
      <c r="BC205" s="1">
        <f t="shared" si="307"/>
        <v>3</v>
      </c>
      <c r="BD205" s="1">
        <f t="shared" si="280"/>
        <v>1</v>
      </c>
      <c r="BE205" s="1">
        <f t="shared" si="273"/>
        <v>0</v>
      </c>
      <c r="BF205" s="1">
        <f>MIN(4,V205+0)</f>
        <v>3</v>
      </c>
      <c r="BG205" s="1">
        <f t="shared" si="298"/>
        <v>1</v>
      </c>
      <c r="BH205" s="1">
        <f t="shared" si="274"/>
        <v>1</v>
      </c>
      <c r="BI205" s="1">
        <f t="shared" si="299"/>
        <v>1</v>
      </c>
      <c r="BJ205" s="1">
        <f t="shared" si="302"/>
        <v>1</v>
      </c>
      <c r="BK205" s="1">
        <f t="shared" si="303"/>
        <v>1</v>
      </c>
      <c r="BL205" s="1">
        <f t="shared" ref="BL205:BL239" si="308">MAX(AB205,0)</f>
        <v>1</v>
      </c>
      <c r="BM205" s="1">
        <f t="shared" si="306"/>
        <v>1</v>
      </c>
      <c r="BN205" s="1">
        <f t="shared" si="275"/>
        <v>1</v>
      </c>
      <c r="BO205" s="1">
        <f t="shared" si="276"/>
        <v>1</v>
      </c>
    </row>
    <row r="206" spans="1:67" ht="30.95" customHeight="1">
      <c r="A206" s="1">
        <f>5</f>
        <v>5</v>
      </c>
      <c r="B206" s="1">
        <f>固定流程!A26</f>
        <v>21</v>
      </c>
      <c r="C206" s="1">
        <f>8</f>
        <v>8</v>
      </c>
      <c r="D206" s="1">
        <f>1</f>
        <v>1</v>
      </c>
      <c r="E206" s="1">
        <f>固定流程!C26</f>
        <v>3</v>
      </c>
      <c r="F206" s="1">
        <f>固定流程!G26</f>
        <v>1</v>
      </c>
      <c r="G206" s="1" t="str">
        <f>固定流程!H26</f>
        <v>LILYA_DIVE</v>
      </c>
      <c r="H206" s="1">
        <f>固定流程!F26</f>
        <v>3</v>
      </c>
      <c r="I206" s="1">
        <f>INDEX(配置与结果!$B$15:$B$18,F206)</f>
        <v>2296</v>
      </c>
      <c r="J206" s="1">
        <f>INDEX(配置与结果!$D$15:$D$18,F206)</f>
        <v>0.7</v>
      </c>
      <c r="K206" s="1">
        <f>INDEX(配置与结果!$E$15:$E$18,F206)</f>
        <v>2.0249999999999999</v>
      </c>
      <c r="L206" s="1">
        <f t="shared" si="295"/>
        <v>2</v>
      </c>
      <c r="M206" s="1">
        <f t="shared" si="296"/>
        <v>10</v>
      </c>
      <c r="N206" s="1">
        <f t="shared" si="297"/>
        <v>1</v>
      </c>
      <c r="O206" s="1">
        <f t="shared" si="281"/>
        <v>0</v>
      </c>
      <c r="P206" s="1">
        <f>MIN(方案参数!$AI$8,AZ205+0+0)</f>
        <v>5</v>
      </c>
      <c r="Q206" s="1">
        <f t="shared" si="259"/>
        <v>5</v>
      </c>
      <c r="R206" s="1">
        <f t="shared" si="260"/>
        <v>20</v>
      </c>
      <c r="S206" s="1">
        <f t="shared" si="261"/>
        <v>3</v>
      </c>
      <c r="T206" s="1">
        <f t="shared" si="304"/>
        <v>1</v>
      </c>
      <c r="U206" s="1">
        <f t="shared" si="263"/>
        <v>0</v>
      </c>
      <c r="V206" s="1">
        <f t="shared" si="264"/>
        <v>3</v>
      </c>
      <c r="W206" s="1">
        <f t="shared" si="265"/>
        <v>1</v>
      </c>
      <c r="X206" s="1">
        <f t="shared" si="266"/>
        <v>1</v>
      </c>
      <c r="Y206" s="1">
        <f t="shared" si="267"/>
        <v>1</v>
      </c>
      <c r="Z206" s="1">
        <f t="shared" si="268"/>
        <v>1</v>
      </c>
      <c r="AA206" s="1">
        <f t="shared" si="300"/>
        <v>1</v>
      </c>
      <c r="AB206" s="1">
        <f t="shared" si="270"/>
        <v>1</v>
      </c>
      <c r="AC206" s="1">
        <f t="shared" si="305"/>
        <v>1</v>
      </c>
      <c r="AD206" s="1">
        <f>ROUNDDOWN(I206*(1+IF(F206=3,0.05+方案参数!$Y$8+AA206*0.12,IF(F206=4,方案参数!$BZ$8*方案参数!$AS$8,0)))+IF(AND(X206=1,F206&lt;&gt;3),方案参数!$CC$8,0)+AC206*方案参数!$CB$8,0)</f>
        <v>3034</v>
      </c>
      <c r="AE206" s="1">
        <f>IF(OR(F206=1,F206=4),配置与结果!$B$24,配置与结果!$B$25)*MAX(0,1-INDEX(配置与结果!$I$15:$I$18,F206))</f>
        <v>1200</v>
      </c>
      <c r="AF206" s="1">
        <f>(IF(L206=1,方案参数!$AW$8,IF(L206=2,方案参数!$AX$8,0))+方案参数!$AV$8)*H206</f>
        <v>45</v>
      </c>
      <c r="AG206" s="1">
        <f>MAX(配置与结果!$B$32,1+INDEX(配置与结果!$F$15:$F$18,F206)+0.08+方案参数!$CD$8+Q206*方案参数!$W$8+Y206*(方案参数!$AN$8+MIN(方案参数!$AO$8,P206*0.03))+AB206*方案参数!$BZ$8*0.025+IF(L206=1,方案参数!$AY$8+(H206-1)*0.1,IF(L206=2,方案参数!$AZ$8+(H206-1)*0.2,0))-配置与结果!$B$28)</f>
        <v>3.2150000000000003</v>
      </c>
      <c r="AH206" s="1">
        <f>MAX(0,1+INDEX(配置与结果!$G$15:$G$18,F206)+W206*方案参数!$AG$8+IF(L206=1,方案参数!$BA$8,IF(L206=2,方案参数!$BB$8,0))+M206*方案参数!$BC$8)</f>
        <v>3.1</v>
      </c>
      <c r="AI206" s="1">
        <f>IF(OR(INDEX(配置与结果!$K$15:$K$18,F206)=1,G206="RHI_BERRY"),1+配置与结果!$B$33+P206*方案参数!$AH$8,1)</f>
        <v>1</v>
      </c>
      <c r="AJ206" s="1">
        <f>MIN(1,MAX(0,J206+方案参数!$AB$8-配置与结果!$B$27))</f>
        <v>1</v>
      </c>
      <c r="AK206" s="1">
        <f>MAX(1,K206+IF(F206=2,0.15+方案参数!$CH$8,0)+BN206*方案参数!$X$8+R206*方案参数!$AA$8+0-配置与结果!$B$26+Z206*(方案参数!$AP$8+MIN(方案参数!$AQ$8,P206*0.03)))</f>
        <v>2.165</v>
      </c>
      <c r="AL206" s="7">
        <f>ROUNDDOWN(MAX(AD206*配置与结果!$B$31,AD206-AE206)*AF206*AG206*AH206*AI206,0)</f>
        <v>822535</v>
      </c>
      <c r="AM206" s="7">
        <f>ROUNDDOWN(MAX(AD206*配置与结果!$B$31,AD206-AE206)*AF206*AG206*AH206*AI206*AK206,0)</f>
        <v>1780788</v>
      </c>
      <c r="AN206" s="7">
        <f t="shared" si="287"/>
        <v>1780788</v>
      </c>
      <c r="AO206" s="7">
        <f>0</f>
        <v>0</v>
      </c>
      <c r="AP206" s="7">
        <f>MAX(0,1+INDEX(配置与结果!$J$15:$J$18,F206)+IF(T206&gt;0,方案参数!$BY$8,0)-配置与结果!$B$30)</f>
        <v>2</v>
      </c>
      <c r="AQ206" s="7">
        <f t="shared" si="288"/>
        <v>0</v>
      </c>
      <c r="AR206" s="7">
        <f t="shared" si="289"/>
        <v>0</v>
      </c>
      <c r="AS206" s="7">
        <f t="shared" si="290"/>
        <v>0</v>
      </c>
      <c r="AT206" s="7">
        <f>0</f>
        <v>0</v>
      </c>
      <c r="AU206" s="7">
        <f t="shared" si="291"/>
        <v>1780788</v>
      </c>
      <c r="AV206" s="1">
        <f t="shared" si="292"/>
        <v>2</v>
      </c>
      <c r="AW206" s="1">
        <f>MIN(10,M206+0+IF(L206=1,方案参数!$BE$8,0))</f>
        <v>10</v>
      </c>
      <c r="AX206" s="1">
        <f t="shared" si="293"/>
        <v>1</v>
      </c>
      <c r="AY206" s="1">
        <f>MIN(20,MAX(0,O206+0+0-0))</f>
        <v>0</v>
      </c>
      <c r="AZ206" s="1">
        <f t="shared" si="294"/>
        <v>5</v>
      </c>
      <c r="BA206" s="1">
        <f t="shared" si="301"/>
        <v>5</v>
      </c>
      <c r="BB206" s="1">
        <f t="shared" ref="BB206:BB221" si="309">MIN(30,R206+0)</f>
        <v>20</v>
      </c>
      <c r="BC206" s="1">
        <f t="shared" si="307"/>
        <v>3</v>
      </c>
      <c r="BD206" s="1">
        <f t="shared" si="280"/>
        <v>1</v>
      </c>
      <c r="BE206" s="1">
        <f t="shared" si="273"/>
        <v>0</v>
      </c>
      <c r="BF206" s="1">
        <f>MIN(4,V206+0)</f>
        <v>3</v>
      </c>
      <c r="BG206" s="1">
        <f t="shared" si="298"/>
        <v>1</v>
      </c>
      <c r="BH206" s="1">
        <f t="shared" si="274"/>
        <v>1</v>
      </c>
      <c r="BI206" s="1">
        <f t="shared" si="299"/>
        <v>1</v>
      </c>
      <c r="BJ206" s="1">
        <f t="shared" si="302"/>
        <v>1</v>
      </c>
      <c r="BK206" s="1">
        <f t="shared" si="303"/>
        <v>1</v>
      </c>
      <c r="BL206" s="1">
        <f t="shared" si="308"/>
        <v>1</v>
      </c>
      <c r="BM206" s="1">
        <f t="shared" si="306"/>
        <v>1</v>
      </c>
      <c r="BN206" s="1">
        <f t="shared" si="275"/>
        <v>1</v>
      </c>
      <c r="BO206" s="1">
        <f t="shared" si="276"/>
        <v>1</v>
      </c>
    </row>
    <row r="207" spans="1:67" ht="30.95" customHeight="1">
      <c r="A207" s="1">
        <f>5</f>
        <v>5</v>
      </c>
      <c r="B207" s="1">
        <f>固定流程!A27</f>
        <v>22</v>
      </c>
      <c r="C207" s="1">
        <f>8</f>
        <v>8</v>
      </c>
      <c r="D207" s="1">
        <f>1</f>
        <v>1</v>
      </c>
      <c r="E207" s="1">
        <f>固定流程!C27</f>
        <v>3</v>
      </c>
      <c r="F207" s="1">
        <f>固定流程!G27</f>
        <v>3</v>
      </c>
      <c r="G207" s="1" t="str">
        <f>固定流程!H27</f>
        <v>RHI_BERRY</v>
      </c>
      <c r="H207" s="1">
        <f>固定流程!F27</f>
        <v>1</v>
      </c>
      <c r="I207" s="1">
        <f>INDEX(配置与结果!$B$15:$B$18,F207)</f>
        <v>2597</v>
      </c>
      <c r="J207" s="1">
        <f>INDEX(配置与结果!$D$15:$D$18,F207)</f>
        <v>0.255</v>
      </c>
      <c r="K207" s="1">
        <f>INDEX(配置与结果!$E$15:$E$18,F207)</f>
        <v>1.55</v>
      </c>
      <c r="L207" s="1">
        <f t="shared" si="295"/>
        <v>2</v>
      </c>
      <c r="M207" s="1">
        <f t="shared" si="296"/>
        <v>10</v>
      </c>
      <c r="N207" s="1">
        <f t="shared" si="297"/>
        <v>1</v>
      </c>
      <c r="O207" s="1">
        <f t="shared" si="281"/>
        <v>0</v>
      </c>
      <c r="P207" s="1">
        <f>MIN(方案参数!$AI$8,AZ206+0+0)</f>
        <v>5</v>
      </c>
      <c r="Q207" s="1">
        <f t="shared" si="259"/>
        <v>5</v>
      </c>
      <c r="R207" s="1">
        <f t="shared" si="260"/>
        <v>20</v>
      </c>
      <c r="S207" s="1">
        <f t="shared" si="261"/>
        <v>3</v>
      </c>
      <c r="T207" s="1">
        <f t="shared" si="304"/>
        <v>1</v>
      </c>
      <c r="U207" s="1">
        <f t="shared" si="263"/>
        <v>0</v>
      </c>
      <c r="V207" s="1">
        <f t="shared" si="264"/>
        <v>3</v>
      </c>
      <c r="W207" s="1">
        <f t="shared" si="265"/>
        <v>1</v>
      </c>
      <c r="X207" s="1">
        <f t="shared" si="266"/>
        <v>1</v>
      </c>
      <c r="Y207" s="1">
        <f t="shared" si="267"/>
        <v>1</v>
      </c>
      <c r="Z207" s="1">
        <f t="shared" si="268"/>
        <v>1</v>
      </c>
      <c r="AA207" s="1">
        <f t="shared" si="300"/>
        <v>1</v>
      </c>
      <c r="AB207" s="1">
        <f t="shared" si="270"/>
        <v>1</v>
      </c>
      <c r="AC207" s="1">
        <f t="shared" si="305"/>
        <v>1</v>
      </c>
      <c r="AD207" s="1">
        <f>ROUNDDOWN(I207*(1+IF(F207=3,0.05+方案参数!$Y$8+AA207*0.12,IF(F207=4,方案参数!$BZ$8*方案参数!$AS$8,0)))+IF(AND(X207=1,F207&lt;&gt;3),方案参数!$CC$8,0)+AC207*方案参数!$CB$8,0)</f>
        <v>3798</v>
      </c>
      <c r="AE207" s="1">
        <f>IF(OR(F207=1,F207=4),配置与结果!$B$24,配置与结果!$B$25)*MAX(0,1-INDEX(配置与结果!$I$15:$I$18,F207))</f>
        <v>1000</v>
      </c>
      <c r="AF207" s="1">
        <f>方案参数!$CF$8+P207*方案参数!$CG$8</f>
        <v>22.5</v>
      </c>
      <c r="AG207" s="1">
        <f>MAX(配置与结果!$B$32,1+INDEX(配置与结果!$F$15:$F$18,F207)+0+Q207*方案参数!$W$8+Y207*(方案参数!$AN$8+MIN(方案参数!$AO$8,P207*0.03))+AB207*方案参数!$BZ$8*0.025-配置与结果!$B$28)</f>
        <v>1.9100000000000001</v>
      </c>
      <c r="AH207" s="1">
        <f>MAX(0,1+INDEX(配置与结果!$G$15:$G$18,F207)+W207*方案参数!$AG$8)</f>
        <v>1.3</v>
      </c>
      <c r="AI207" s="1">
        <f>IF(OR(INDEX(配置与结果!$K$15:$K$18,F207)=1,G207="RHI_BERRY"),1+配置与结果!$B$33+P207*方案参数!$AH$8,1)</f>
        <v>1.5</v>
      </c>
      <c r="AJ207" s="1">
        <f>MIN(1,MAX(0,J207+方案参数!$AB$8-配置与结果!$B$27))</f>
        <v>0.55499999999999994</v>
      </c>
      <c r="AK207" s="1">
        <f>MAX(1,K207+IF(F207=2,0.15+方案参数!$CH$8,0)+BN207*方案参数!$X$8+R207*方案参数!$AA$8+0-配置与结果!$B$26+Z207*(方案参数!$AP$8+MIN(方案参数!$AQ$8,P207*0.03)))</f>
        <v>1.6900000000000002</v>
      </c>
      <c r="AL207" s="7">
        <f>ROUNDDOWN(MAX(AD207*配置与结果!$B$31,AD207-AE207)*AF207*AG207*AH207*AI207,0)</f>
        <v>234475</v>
      </c>
      <c r="AM207" s="7">
        <f>ROUNDDOWN(MAX(AD207*配置与结果!$B$31,AD207-AE207)*AF207*AG207*AH207*AI207*AK207,0)</f>
        <v>396264</v>
      </c>
      <c r="AN207" s="7">
        <f t="shared" si="287"/>
        <v>324267.89500000002</v>
      </c>
      <c r="AO207" s="7">
        <f>0</f>
        <v>0</v>
      </c>
      <c r="AP207" s="7">
        <f>MAX(0,1+INDEX(配置与结果!$J$15:$J$18,F207)+IF(T207&gt;0,方案参数!$BY$8,0)-配置与结果!$B$30)</f>
        <v>2</v>
      </c>
      <c r="AQ207" s="7">
        <f t="shared" si="288"/>
        <v>0</v>
      </c>
      <c r="AR207" s="7">
        <f t="shared" si="289"/>
        <v>0</v>
      </c>
      <c r="AS207" s="7">
        <f t="shared" si="290"/>
        <v>0</v>
      </c>
      <c r="AT207" s="7">
        <f>0</f>
        <v>0</v>
      </c>
      <c r="AU207" s="7">
        <f t="shared" si="291"/>
        <v>324267.89500000002</v>
      </c>
      <c r="AV207" s="1">
        <f t="shared" si="292"/>
        <v>2</v>
      </c>
      <c r="AW207" s="1">
        <f t="shared" ref="AW207:AW223" si="310">MIN(10,M207+0+0)</f>
        <v>10</v>
      </c>
      <c r="AX207" s="1">
        <f t="shared" si="293"/>
        <v>1</v>
      </c>
      <c r="AY207" s="1">
        <f>MIN(20,MAX(0,O207+0+0-0))</f>
        <v>0</v>
      </c>
      <c r="AZ207" s="1">
        <f t="shared" si="294"/>
        <v>5</v>
      </c>
      <c r="BA207" s="1">
        <f t="shared" si="301"/>
        <v>5</v>
      </c>
      <c r="BB207" s="1">
        <f t="shared" si="309"/>
        <v>20</v>
      </c>
      <c r="BC207" s="1">
        <f t="shared" si="307"/>
        <v>3</v>
      </c>
      <c r="BD207" s="1">
        <f t="shared" si="280"/>
        <v>1</v>
      </c>
      <c r="BE207" s="1">
        <f t="shared" si="273"/>
        <v>0</v>
      </c>
      <c r="BF207" s="1">
        <f>MIN(4,V207+0)</f>
        <v>3</v>
      </c>
      <c r="BG207" s="1">
        <f t="shared" si="298"/>
        <v>1</v>
      </c>
      <c r="BH207" s="1">
        <f t="shared" si="274"/>
        <v>1</v>
      </c>
      <c r="BI207" s="1">
        <f t="shared" si="299"/>
        <v>1</v>
      </c>
      <c r="BJ207" s="1">
        <f t="shared" si="302"/>
        <v>1</v>
      </c>
      <c r="BK207" s="1">
        <f t="shared" si="303"/>
        <v>1</v>
      </c>
      <c r="BL207" s="1">
        <f t="shared" si="308"/>
        <v>1</v>
      </c>
      <c r="BM207" s="1">
        <f t="shared" si="306"/>
        <v>1</v>
      </c>
      <c r="BN207" s="1">
        <f t="shared" si="275"/>
        <v>1</v>
      </c>
      <c r="BO207" s="1">
        <f t="shared" si="276"/>
        <v>1</v>
      </c>
    </row>
    <row r="208" spans="1:67" ht="30.95" customHeight="1">
      <c r="A208" s="1">
        <f>5</f>
        <v>5</v>
      </c>
      <c r="B208" s="1">
        <f>固定流程!A28</f>
        <v>23</v>
      </c>
      <c r="C208" s="1">
        <f>8</f>
        <v>8</v>
      </c>
      <c r="D208" s="1">
        <f>1</f>
        <v>1</v>
      </c>
      <c r="E208" s="1">
        <f>固定流程!C28</f>
        <v>3</v>
      </c>
      <c r="F208" s="1">
        <f>固定流程!G28</f>
        <v>2</v>
      </c>
      <c r="G208" s="1" t="str">
        <f>固定流程!H28</f>
        <v>37_FOLLOW</v>
      </c>
      <c r="H208" s="1">
        <f>固定流程!F28</f>
        <v>1</v>
      </c>
      <c r="I208" s="1">
        <f>INDEX(配置与结果!$B$15:$B$18,F208)</f>
        <v>2306</v>
      </c>
      <c r="J208" s="1">
        <f>INDEX(配置与结果!$D$15:$D$18,F208)</f>
        <v>0.46</v>
      </c>
      <c r="K208" s="1">
        <f>INDEX(配置与结果!$E$15:$E$18,F208)</f>
        <v>1.9279999999999999</v>
      </c>
      <c r="L208" s="1">
        <f t="shared" si="295"/>
        <v>2</v>
      </c>
      <c r="M208" s="1">
        <f t="shared" si="296"/>
        <v>10</v>
      </c>
      <c r="N208" s="1">
        <f t="shared" si="297"/>
        <v>1</v>
      </c>
      <c r="O208" s="1">
        <f t="shared" si="281"/>
        <v>0</v>
      </c>
      <c r="P208" s="1">
        <f>MIN(方案参数!$AI$8,AZ207+0+0)</f>
        <v>5</v>
      </c>
      <c r="Q208" s="1">
        <f t="shared" si="259"/>
        <v>5</v>
      </c>
      <c r="R208" s="1">
        <f t="shared" si="260"/>
        <v>20</v>
      </c>
      <c r="S208" s="1">
        <f t="shared" si="261"/>
        <v>3</v>
      </c>
      <c r="T208" s="1">
        <f t="shared" si="304"/>
        <v>1</v>
      </c>
      <c r="U208" s="1">
        <f t="shared" si="263"/>
        <v>0</v>
      </c>
      <c r="V208" s="1">
        <f t="shared" si="264"/>
        <v>3</v>
      </c>
      <c r="W208" s="1">
        <f t="shared" si="265"/>
        <v>1</v>
      </c>
      <c r="X208" s="1">
        <f t="shared" si="266"/>
        <v>1</v>
      </c>
      <c r="Y208" s="1">
        <f t="shared" si="267"/>
        <v>1</v>
      </c>
      <c r="Z208" s="1">
        <f t="shared" si="268"/>
        <v>1</v>
      </c>
      <c r="AA208" s="1">
        <f t="shared" si="300"/>
        <v>1</v>
      </c>
      <c r="AB208" s="1">
        <f t="shared" si="270"/>
        <v>1</v>
      </c>
      <c r="AC208" s="1">
        <f t="shared" si="305"/>
        <v>1</v>
      </c>
      <c r="AD208" s="1">
        <f>ROUNDDOWN(I208*(1+IF(F208=3,0.05+方案参数!$Y$8+AA208*0.12,IF(F208=4,方案参数!$BZ$8*方案参数!$AS$8,0)))+IF(AND(X208=1,F208&lt;&gt;3),方案参数!$CC$8,0)+AC208*方案参数!$CB$8,0)</f>
        <v>3044</v>
      </c>
      <c r="AE208" s="1">
        <f>IF(OR(F208=1,F208=4),配置与结果!$B$24,配置与结果!$B$25)*MAX(0,1-INDEX(配置与结果!$I$15:$I$18,F208))</f>
        <v>1000</v>
      </c>
      <c r="AF208" s="1">
        <f>方案参数!$BV$8</f>
        <v>3</v>
      </c>
      <c r="AG208" s="1">
        <f>MAX(配置与结果!$B$32,1+INDEX(配置与结果!$F$15:$F$18,F208)+0+Q208*方案参数!$W$8+Y208*(方案参数!$AN$8+MIN(方案参数!$AO$8,P208*0.03))+AB208*方案参数!$BZ$8*0.025-配置与结果!$B$28)</f>
        <v>1.8800000000000003</v>
      </c>
      <c r="AH208" s="1">
        <f>MAX(0,1+INDEX(配置与结果!$G$15:$G$18,F208)+W208*方案参数!$AG$8)</f>
        <v>1.3</v>
      </c>
      <c r="AI208" s="1">
        <f>IF(OR(INDEX(配置与结果!$K$15:$K$18,F208)=1,G208="RHI_BERRY"),1+配置与结果!$B$33+P208*方案参数!$AH$8,1)</f>
        <v>1</v>
      </c>
      <c r="AJ208" s="1">
        <f>MIN(1,MAX(0,J208+方案参数!$AB$8-配置与结果!$B$27))</f>
        <v>0.76</v>
      </c>
      <c r="AK208" s="1">
        <f>MAX(1,K208+IF(F208=2,0.15+方案参数!$CH$8,0)+BN208*方案参数!$X$8+R208*方案参数!$AA$8+0-配置与结果!$B$26+Z208*(方案参数!$AP$8+MIN(方案参数!$AQ$8,P208*0.03)))</f>
        <v>2.3380000000000001</v>
      </c>
      <c r="AL208" s="7">
        <f>ROUNDDOWN(MAX(AD208*配置与结果!$B$31,AD208-AE208)*AF208*AG208*AH208*AI208,0)</f>
        <v>14986</v>
      </c>
      <c r="AM208" s="7">
        <f>ROUNDDOWN(MAX(AD208*配置与结果!$B$31,AD208-AE208)*AF208*AG208*AH208*AI208*AK208,0)</f>
        <v>35038</v>
      </c>
      <c r="AN208" s="7">
        <f t="shared" si="287"/>
        <v>30225.52</v>
      </c>
      <c r="AO208" s="7">
        <f>方案参数!$BW$8</f>
        <v>1</v>
      </c>
      <c r="AP208" s="7">
        <f>MAX(0,1+INDEX(配置与结果!$J$15:$J$18,F208)+IF(T208&gt;0,方案参数!$BY$8,0)-配置与结果!$B$30)</f>
        <v>2</v>
      </c>
      <c r="AQ208" s="7">
        <f t="shared" si="288"/>
        <v>6088</v>
      </c>
      <c r="AR208" s="7">
        <f t="shared" si="289"/>
        <v>14233</v>
      </c>
      <c r="AS208" s="7">
        <f t="shared" si="290"/>
        <v>12278.2</v>
      </c>
      <c r="AT208" s="7">
        <f>0</f>
        <v>0</v>
      </c>
      <c r="AU208" s="7">
        <f t="shared" si="291"/>
        <v>42503.72</v>
      </c>
      <c r="AV208" s="1">
        <f t="shared" si="292"/>
        <v>2</v>
      </c>
      <c r="AW208" s="1">
        <f t="shared" si="310"/>
        <v>10</v>
      </c>
      <c r="AX208" s="1">
        <f t="shared" si="293"/>
        <v>1</v>
      </c>
      <c r="AY208" s="1">
        <f>MIN(20,MAX(0,O208+0+0-0))</f>
        <v>0</v>
      </c>
      <c r="AZ208" s="1">
        <f t="shared" si="294"/>
        <v>5</v>
      </c>
      <c r="BA208" s="1">
        <f t="shared" si="301"/>
        <v>5</v>
      </c>
      <c r="BB208" s="1">
        <f t="shared" si="309"/>
        <v>20</v>
      </c>
      <c r="BC208" s="1">
        <f t="shared" si="307"/>
        <v>3</v>
      </c>
      <c r="BD208" s="1">
        <f t="shared" si="280"/>
        <v>0</v>
      </c>
      <c r="BE208" s="1">
        <f t="shared" si="273"/>
        <v>0</v>
      </c>
      <c r="BF208" s="1">
        <f>MIN(4,V208+1)</f>
        <v>4</v>
      </c>
      <c r="BG208" s="1">
        <f t="shared" si="298"/>
        <v>1</v>
      </c>
      <c r="BH208" s="1">
        <f t="shared" si="274"/>
        <v>1</v>
      </c>
      <c r="BI208" s="1">
        <f t="shared" si="299"/>
        <v>1</v>
      </c>
      <c r="BJ208" s="1">
        <f t="shared" si="302"/>
        <v>1</v>
      </c>
      <c r="BK208" s="1">
        <f t="shared" si="303"/>
        <v>1</v>
      </c>
      <c r="BL208" s="1">
        <f t="shared" si="308"/>
        <v>1</v>
      </c>
      <c r="BM208" s="1">
        <f t="shared" si="306"/>
        <v>1</v>
      </c>
      <c r="BN208" s="1">
        <f t="shared" si="275"/>
        <v>1</v>
      </c>
      <c r="BO208" s="1">
        <f t="shared" si="276"/>
        <v>1</v>
      </c>
    </row>
    <row r="209" spans="1:67" ht="30.95" customHeight="1">
      <c r="A209" s="1">
        <f>5</f>
        <v>5</v>
      </c>
      <c r="B209" s="1">
        <f>固定流程!A29</f>
        <v>24</v>
      </c>
      <c r="C209" s="1">
        <f>8</f>
        <v>8</v>
      </c>
      <c r="D209" s="1">
        <f>2</f>
        <v>2</v>
      </c>
      <c r="E209" s="1">
        <f>固定流程!C29</f>
        <v>3</v>
      </c>
      <c r="F209" s="1">
        <f>固定流程!G29</f>
        <v>1</v>
      </c>
      <c r="G209" s="1" t="str">
        <f>固定流程!H29</f>
        <v>LILYA_WEAK</v>
      </c>
      <c r="H209" s="1">
        <f>固定流程!F29</f>
        <v>1</v>
      </c>
      <c r="I209" s="1">
        <f>INDEX(配置与结果!$B$15:$B$18,F209)</f>
        <v>2296</v>
      </c>
      <c r="J209" s="1">
        <f>INDEX(配置与结果!$D$15:$D$18,F209)</f>
        <v>0.7</v>
      </c>
      <c r="K209" s="1">
        <f>INDEX(配置与结果!$E$15:$E$18,F209)</f>
        <v>2.0249999999999999</v>
      </c>
      <c r="L209" s="1">
        <f t="shared" si="295"/>
        <v>2</v>
      </c>
      <c r="M209" s="1">
        <f t="shared" si="296"/>
        <v>10</v>
      </c>
      <c r="N209" s="1">
        <f t="shared" si="297"/>
        <v>1</v>
      </c>
      <c r="O209" s="1">
        <f t="shared" si="281"/>
        <v>0</v>
      </c>
      <c r="P209" s="1">
        <f>MIN(方案参数!$AI$8,AZ208+0+0)</f>
        <v>5</v>
      </c>
      <c r="Q209" s="1">
        <f t="shared" si="259"/>
        <v>5</v>
      </c>
      <c r="R209" s="1">
        <f t="shared" si="260"/>
        <v>20</v>
      </c>
      <c r="S209" s="1">
        <f t="shared" si="261"/>
        <v>3</v>
      </c>
      <c r="T209" s="1">
        <f t="shared" si="304"/>
        <v>0</v>
      </c>
      <c r="U209" s="1">
        <f t="shared" si="263"/>
        <v>0</v>
      </c>
      <c r="V209" s="1">
        <f t="shared" si="264"/>
        <v>4</v>
      </c>
      <c r="W209" s="1">
        <f t="shared" si="265"/>
        <v>1</v>
      </c>
      <c r="X209" s="1">
        <f t="shared" si="266"/>
        <v>1</v>
      </c>
      <c r="Y209" s="1">
        <f t="shared" si="267"/>
        <v>1</v>
      </c>
      <c r="Z209" s="1">
        <f t="shared" si="268"/>
        <v>1</v>
      </c>
      <c r="AA209" s="1">
        <f t="shared" si="300"/>
        <v>1</v>
      </c>
      <c r="AB209" s="1">
        <f t="shared" si="270"/>
        <v>1</v>
      </c>
      <c r="AC209" s="1">
        <f t="shared" si="305"/>
        <v>1</v>
      </c>
      <c r="AD209" s="1">
        <f>ROUNDDOWN(I209*(1+IF(F209=3,0.05+方案参数!$Y$8+AA209*0.12,IF(F209=4,方案参数!$BZ$8*方案参数!$AS$8,0)))+IF(AND(X209=1,F209&lt;&gt;3),方案参数!$CC$8,0)+AC209*方案参数!$CB$8,0)</f>
        <v>3034</v>
      </c>
      <c r="AE209" s="1">
        <f>IF(OR(F209=1,F209=4),配置与结果!$B$24,配置与结果!$B$25)*MAX(0,1-INDEX(配置与结果!$I$15:$I$18,F209))</f>
        <v>1200</v>
      </c>
      <c r="AF209" s="1">
        <f>方案参数!$BL$8</f>
        <v>15</v>
      </c>
      <c r="AG209" s="1">
        <f>MAX(配置与结果!$B$32,1+INDEX(配置与结果!$F$15:$F$18,F209)+0.08+方案参数!$CD$8+Q209*方案参数!$W$8+Y209*(方案参数!$AN$8+MIN(方案参数!$AO$8,P209*0.03))+AB209*方案参数!$BZ$8*0.025-配置与结果!$B$28+方案参数!$AE$8)</f>
        <v>2.6150000000000002</v>
      </c>
      <c r="AH209" s="1">
        <f>MAX(0,1+V209*方案参数!$U$8+0*方案参数!$V$8+方案参数!$AE$8-配置与结果!$B$29)</f>
        <v>1.56</v>
      </c>
      <c r="AI209" s="1">
        <f>IF(OR(INDEX(配置与结果!$K$15:$K$18,F209)=1,G209="RHI_BERRY"),1+配置与结果!$B$33+P209*方案参数!$AH$8,1)</f>
        <v>1</v>
      </c>
      <c r="AJ209" s="1">
        <f>MIN(1,MAX(0,J209+方案参数!$AB$8-配置与结果!$B$27))</f>
        <v>1</v>
      </c>
      <c r="AK209" s="1">
        <f>MAX(1,K209+IF(F209=2,0.15+方案参数!$CH$8,0)+BN209*方案参数!$X$8+R209*方案参数!$AA$8+方案参数!$BP$8-配置与结果!$B$26+Z209*(方案参数!$AP$8+MIN(方案参数!$AQ$8,P209*0.03)))</f>
        <v>2.7650000000000001</v>
      </c>
      <c r="AL209" s="7">
        <f>ROUNDDOWN(MAX(AD209*配置与结果!$B$31,AD209-AE209)*AF209*AG209*AH209*AI209,0)</f>
        <v>112224</v>
      </c>
      <c r="AM209" s="7">
        <f>ROUNDDOWN(MAX(AD209*配置与结果!$B$31,AD209-AE209)*AF209*AG209*AH209*AI209*AK209,0)</f>
        <v>310300</v>
      </c>
      <c r="AN209" s="7">
        <f t="shared" si="287"/>
        <v>310300</v>
      </c>
      <c r="AO209" s="7">
        <f>0</f>
        <v>0</v>
      </c>
      <c r="AP209" s="7">
        <f>MAX(0,1+INDEX(配置与结果!$J$15:$J$18,F209)+IF(T209&gt;0,方案参数!$BY$8,0)-配置与结果!$B$30)</f>
        <v>1</v>
      </c>
      <c r="AQ209" s="7">
        <f t="shared" si="288"/>
        <v>0</v>
      </c>
      <c r="AR209" s="7">
        <f t="shared" si="289"/>
        <v>0</v>
      </c>
      <c r="AS209" s="7">
        <f t="shared" si="290"/>
        <v>0</v>
      </c>
      <c r="AT209" s="7">
        <f>IF(U209&gt;0,ROUNDDOWN(AL209*方案参数!$AF$8,0)*(1-AJ209)+ROUNDDOWN(AM209*方案参数!$AF$8,0)*AJ209,0)</f>
        <v>0</v>
      </c>
      <c r="AU209" s="7">
        <f t="shared" si="291"/>
        <v>310300</v>
      </c>
      <c r="AV209" s="1">
        <f t="shared" si="292"/>
        <v>2</v>
      </c>
      <c r="AW209" s="1">
        <f t="shared" si="310"/>
        <v>10</v>
      </c>
      <c r="AX209" s="1">
        <f t="shared" si="293"/>
        <v>1</v>
      </c>
      <c r="AY209" s="1">
        <f>MIN(20,MAX(0,O209+0+1-0))</f>
        <v>1</v>
      </c>
      <c r="AZ209" s="1">
        <f t="shared" si="294"/>
        <v>5</v>
      </c>
      <c r="BA209" s="1">
        <f t="shared" si="301"/>
        <v>5</v>
      </c>
      <c r="BB209" s="1">
        <f t="shared" si="309"/>
        <v>20</v>
      </c>
      <c r="BC209" s="1">
        <f t="shared" si="307"/>
        <v>3</v>
      </c>
      <c r="BD209" s="1">
        <f t="shared" si="280"/>
        <v>0</v>
      </c>
      <c r="BE209" s="1">
        <f>MAX(0,U209-IF(AF209&gt;0,1,0))+0</f>
        <v>0</v>
      </c>
      <c r="BF209" s="1">
        <f t="shared" ref="BF209:BF226" si="311">MIN(4,V209+0)</f>
        <v>4</v>
      </c>
      <c r="BG209" s="1">
        <f t="shared" si="298"/>
        <v>1</v>
      </c>
      <c r="BH209" s="1">
        <f t="shared" si="274"/>
        <v>1</v>
      </c>
      <c r="BI209" s="1">
        <f t="shared" si="299"/>
        <v>1</v>
      </c>
      <c r="BJ209" s="1">
        <f t="shared" si="302"/>
        <v>1</v>
      </c>
      <c r="BK209" s="1">
        <f t="shared" si="303"/>
        <v>1</v>
      </c>
      <c r="BL209" s="1">
        <f t="shared" si="308"/>
        <v>1</v>
      </c>
      <c r="BM209" s="1">
        <f t="shared" si="306"/>
        <v>1</v>
      </c>
      <c r="BN209" s="1">
        <f t="shared" si="275"/>
        <v>1</v>
      </c>
      <c r="BO209" s="1">
        <f t="shared" si="276"/>
        <v>1</v>
      </c>
    </row>
    <row r="210" spans="1:67" ht="30.95" customHeight="1">
      <c r="A210" s="1">
        <f>5</f>
        <v>5</v>
      </c>
      <c r="B210" s="1">
        <f>固定流程!A30</f>
        <v>25</v>
      </c>
      <c r="C210" s="1">
        <f>8</f>
        <v>8</v>
      </c>
      <c r="D210" s="1">
        <f>2</f>
        <v>2</v>
      </c>
      <c r="E210" s="1">
        <f>固定流程!C30</f>
        <v>3</v>
      </c>
      <c r="F210" s="1">
        <f>固定流程!G30</f>
        <v>1</v>
      </c>
      <c r="G210" s="1" t="str">
        <f>固定流程!H30</f>
        <v>LILYA_WEAK</v>
      </c>
      <c r="H210" s="1">
        <f>固定流程!F30</f>
        <v>1</v>
      </c>
      <c r="I210" s="1">
        <f>INDEX(配置与结果!$B$15:$B$18,F210)</f>
        <v>2296</v>
      </c>
      <c r="J210" s="1">
        <f>INDEX(配置与结果!$D$15:$D$18,F210)</f>
        <v>0.7</v>
      </c>
      <c r="K210" s="1">
        <f>INDEX(配置与结果!$E$15:$E$18,F210)</f>
        <v>2.0249999999999999</v>
      </c>
      <c r="L210" s="1">
        <f t="shared" si="295"/>
        <v>2</v>
      </c>
      <c r="M210" s="1">
        <f t="shared" si="296"/>
        <v>10</v>
      </c>
      <c r="N210" s="1">
        <f t="shared" si="297"/>
        <v>1</v>
      </c>
      <c r="O210" s="1">
        <f t="shared" si="281"/>
        <v>1</v>
      </c>
      <c r="P210" s="1">
        <f>MIN(方案参数!$AI$8,AZ209+0+0)</f>
        <v>5</v>
      </c>
      <c r="Q210" s="1">
        <f t="shared" si="259"/>
        <v>5</v>
      </c>
      <c r="R210" s="1">
        <f t="shared" si="260"/>
        <v>20</v>
      </c>
      <c r="S210" s="1">
        <f t="shared" si="261"/>
        <v>3</v>
      </c>
      <c r="T210" s="1">
        <f t="shared" si="304"/>
        <v>0</v>
      </c>
      <c r="U210" s="1">
        <f t="shared" si="263"/>
        <v>0</v>
      </c>
      <c r="V210" s="1">
        <f t="shared" si="264"/>
        <v>4</v>
      </c>
      <c r="W210" s="1">
        <f t="shared" si="265"/>
        <v>1</v>
      </c>
      <c r="X210" s="1">
        <f t="shared" si="266"/>
        <v>1</v>
      </c>
      <c r="Y210" s="1">
        <f t="shared" si="267"/>
        <v>1</v>
      </c>
      <c r="Z210" s="1">
        <f t="shared" si="268"/>
        <v>1</v>
      </c>
      <c r="AA210" s="1">
        <f t="shared" si="300"/>
        <v>1</v>
      </c>
      <c r="AB210" s="1">
        <f t="shared" si="270"/>
        <v>1</v>
      </c>
      <c r="AC210" s="1">
        <f t="shared" si="305"/>
        <v>1</v>
      </c>
      <c r="AD210" s="1">
        <f>ROUNDDOWN(I210*(1+IF(F210=3,0.05+方案参数!$Y$8+AA210*0.12,IF(F210=4,方案参数!$BZ$8*方案参数!$AS$8,0)))+IF(AND(X210=1,F210&lt;&gt;3),方案参数!$CC$8,0)+AC210*方案参数!$CB$8,0)</f>
        <v>3034</v>
      </c>
      <c r="AE210" s="1">
        <f>IF(OR(F210=1,F210=4),配置与结果!$B$24,配置与结果!$B$25)*MAX(0,1-INDEX(配置与结果!$I$15:$I$18,F210))</f>
        <v>1200</v>
      </c>
      <c r="AF210" s="1">
        <f>方案参数!$BL$8</f>
        <v>15</v>
      </c>
      <c r="AG210" s="1">
        <f>MAX(配置与结果!$B$32,1+INDEX(配置与结果!$F$15:$F$18,F210)+0.08+方案参数!$CD$8+Q210*方案参数!$W$8+Y210*(方案参数!$AN$8+MIN(方案参数!$AO$8,P210*0.03))+AB210*方案参数!$BZ$8*0.025-配置与结果!$B$28+方案参数!$AE$8)</f>
        <v>2.6150000000000002</v>
      </c>
      <c r="AH210" s="1">
        <f>MAX(0,1+V210*方案参数!$U$8+1*方案参数!$V$8+方案参数!$AE$8-配置与结果!$B$29)</f>
        <v>1.62</v>
      </c>
      <c r="AI210" s="1">
        <f>IF(OR(INDEX(配置与结果!$K$15:$K$18,F210)=1,G210="RHI_BERRY"),1+配置与结果!$B$33+P210*方案参数!$AH$8,1)</f>
        <v>1</v>
      </c>
      <c r="AJ210" s="1">
        <f>MIN(1,MAX(0,J210+方案参数!$AB$8-配置与结果!$B$27))</f>
        <v>1</v>
      </c>
      <c r="AK210" s="1">
        <f>MAX(1,K210+IF(F210=2,0.15+方案参数!$CH$8,0)+BN210*方案参数!$X$8+R210*方案参数!$AA$8+方案参数!$BP$8-配置与结果!$B$26+Z210*(方案参数!$AP$8+MIN(方案参数!$AQ$8,P210*0.03)))</f>
        <v>2.7650000000000001</v>
      </c>
      <c r="AL210" s="7">
        <f>ROUNDDOWN(MAX(AD210*配置与结果!$B$31,AD210-AE210)*AF210*AG210*AH210*AI210,0)</f>
        <v>116540</v>
      </c>
      <c r="AM210" s="7">
        <f>ROUNDDOWN(MAX(AD210*配置与结果!$B$31,AD210-AE210)*AF210*AG210*AH210*AI210*AK210,0)</f>
        <v>322234</v>
      </c>
      <c r="AN210" s="7">
        <f t="shared" si="287"/>
        <v>322234</v>
      </c>
      <c r="AO210" s="7">
        <f>0</f>
        <v>0</v>
      </c>
      <c r="AP210" s="7">
        <f>MAX(0,1+INDEX(配置与结果!$J$15:$J$18,F210)+IF(T210&gt;0,方案参数!$BY$8,0)-配置与结果!$B$30)</f>
        <v>1</v>
      </c>
      <c r="AQ210" s="7">
        <f t="shared" si="288"/>
        <v>0</v>
      </c>
      <c r="AR210" s="7">
        <f t="shared" si="289"/>
        <v>0</v>
      </c>
      <c r="AS210" s="7">
        <f t="shared" si="290"/>
        <v>0</v>
      </c>
      <c r="AT210" s="7">
        <f>IF(U210&gt;0,ROUNDDOWN(AL210*方案参数!$AF$8,0)*(1-AJ210)+ROUNDDOWN(AM210*方案参数!$AF$8,0)*AJ210,0)</f>
        <v>0</v>
      </c>
      <c r="AU210" s="7">
        <f t="shared" si="291"/>
        <v>322234</v>
      </c>
      <c r="AV210" s="1">
        <f t="shared" si="292"/>
        <v>2</v>
      </c>
      <c r="AW210" s="1">
        <f t="shared" si="310"/>
        <v>10</v>
      </c>
      <c r="AX210" s="1">
        <f t="shared" si="293"/>
        <v>1</v>
      </c>
      <c r="AY210" s="1">
        <f>MIN(20,MAX(0,O210+0+1-0))</f>
        <v>2</v>
      </c>
      <c r="AZ210" s="1">
        <f t="shared" si="294"/>
        <v>5</v>
      </c>
      <c r="BA210" s="1">
        <f t="shared" si="301"/>
        <v>5</v>
      </c>
      <c r="BB210" s="1">
        <f t="shared" si="309"/>
        <v>20</v>
      </c>
      <c r="BC210" s="1">
        <f t="shared" si="307"/>
        <v>3</v>
      </c>
      <c r="BD210" s="1">
        <f t="shared" si="280"/>
        <v>0</v>
      </c>
      <c r="BE210" s="1">
        <f>MAX(0,U210-IF(AF210&gt;0,1,0))+0</f>
        <v>0</v>
      </c>
      <c r="BF210" s="1">
        <f t="shared" si="311"/>
        <v>4</v>
      </c>
      <c r="BG210" s="1">
        <f t="shared" si="298"/>
        <v>1</v>
      </c>
      <c r="BH210" s="1">
        <f t="shared" si="274"/>
        <v>1</v>
      </c>
      <c r="BI210" s="1">
        <f t="shared" si="299"/>
        <v>1</v>
      </c>
      <c r="BJ210" s="1">
        <f t="shared" si="302"/>
        <v>1</v>
      </c>
      <c r="BK210" s="1">
        <f t="shared" si="303"/>
        <v>1</v>
      </c>
      <c r="BL210" s="1">
        <f t="shared" si="308"/>
        <v>1</v>
      </c>
      <c r="BM210" s="1">
        <f t="shared" si="306"/>
        <v>1</v>
      </c>
      <c r="BN210" s="1">
        <f t="shared" si="275"/>
        <v>1</v>
      </c>
      <c r="BO210" s="1">
        <f t="shared" si="276"/>
        <v>1</v>
      </c>
    </row>
    <row r="211" spans="1:67" ht="30.95" customHeight="1">
      <c r="A211" s="1">
        <f>5</f>
        <v>5</v>
      </c>
      <c r="B211" s="1">
        <f>固定流程!A31</f>
        <v>26</v>
      </c>
      <c r="C211" s="1">
        <f>8</f>
        <v>8</v>
      </c>
      <c r="D211" s="1">
        <f>2</f>
        <v>2</v>
      </c>
      <c r="E211" s="1">
        <f>固定流程!C31</f>
        <v>3</v>
      </c>
      <c r="F211" s="1">
        <f>固定流程!G31</f>
        <v>2</v>
      </c>
      <c r="G211" s="1" t="str">
        <f>固定流程!H31</f>
        <v>37_WEAK</v>
      </c>
      <c r="H211" s="1">
        <f>固定流程!F31</f>
        <v>1</v>
      </c>
      <c r="I211" s="1">
        <f>INDEX(配置与结果!$B$15:$B$18,F211)</f>
        <v>2306</v>
      </c>
      <c r="J211" s="1">
        <f>INDEX(配置与结果!$D$15:$D$18,F211)</f>
        <v>0.46</v>
      </c>
      <c r="K211" s="1">
        <f>INDEX(配置与结果!$E$15:$E$18,F211)</f>
        <v>1.9279999999999999</v>
      </c>
      <c r="L211" s="1">
        <f t="shared" si="295"/>
        <v>2</v>
      </c>
      <c r="M211" s="1">
        <f t="shared" si="296"/>
        <v>10</v>
      </c>
      <c r="N211" s="1">
        <f t="shared" si="297"/>
        <v>1</v>
      </c>
      <c r="O211" s="1">
        <f t="shared" si="281"/>
        <v>2</v>
      </c>
      <c r="P211" s="1">
        <f>MIN(方案参数!$AI$8,AZ210+0+0)</f>
        <v>5</v>
      </c>
      <c r="Q211" s="1">
        <f t="shared" si="259"/>
        <v>5</v>
      </c>
      <c r="R211" s="1">
        <f t="shared" si="260"/>
        <v>20</v>
      </c>
      <c r="S211" s="1">
        <f t="shared" si="261"/>
        <v>3</v>
      </c>
      <c r="T211" s="1">
        <f t="shared" si="304"/>
        <v>0</v>
      </c>
      <c r="U211" s="1">
        <f t="shared" si="263"/>
        <v>0</v>
      </c>
      <c r="V211" s="1">
        <f t="shared" si="264"/>
        <v>4</v>
      </c>
      <c r="W211" s="1">
        <f t="shared" si="265"/>
        <v>1</v>
      </c>
      <c r="X211" s="1">
        <f t="shared" si="266"/>
        <v>1</v>
      </c>
      <c r="Y211" s="1">
        <f t="shared" si="267"/>
        <v>1</v>
      </c>
      <c r="Z211" s="1">
        <f t="shared" si="268"/>
        <v>1</v>
      </c>
      <c r="AA211" s="1">
        <f t="shared" si="300"/>
        <v>1</v>
      </c>
      <c r="AB211" s="1">
        <f t="shared" si="270"/>
        <v>1</v>
      </c>
      <c r="AC211" s="1">
        <f t="shared" si="305"/>
        <v>1</v>
      </c>
      <c r="AD211" s="1">
        <f>ROUNDDOWN(I211*(1+IF(F211=3,0.05+方案参数!$Y$8+AA211*0.12,IF(F211=4,方案参数!$BZ$8*方案参数!$AS$8,0)))+IF(AND(X211=1,F211&lt;&gt;3),方案参数!$CC$8,0)+AC211*方案参数!$CB$8,0)</f>
        <v>3044</v>
      </c>
      <c r="AE211" s="1">
        <f>IF(OR(F211=1,F211=4),配置与结果!$B$24,配置与结果!$B$25)*MAX(0,1-INDEX(配置与结果!$I$15:$I$18,F211))</f>
        <v>1000</v>
      </c>
      <c r="AF211" s="1">
        <f>方案参数!$CE$8</f>
        <v>8</v>
      </c>
      <c r="AG211" s="1">
        <f>MAX(配置与结果!$B$32,1+INDEX(配置与结果!$F$15:$F$18,F211)+0+Q211*方案参数!$W$8+Y211*(方案参数!$AN$8+MIN(方案参数!$AO$8,P211*0.03))+AB211*方案参数!$BZ$8*0.025-配置与结果!$B$28+方案参数!$AE$8)</f>
        <v>2.2800000000000002</v>
      </c>
      <c r="AH211" s="1">
        <f>MAX(0,1+V211*方案参数!$U$8+方案参数!$AE$8-配置与结果!$B$29)</f>
        <v>1.56</v>
      </c>
      <c r="AI211" s="1">
        <f>IF(OR(INDEX(配置与结果!$K$15:$K$18,F211)=1,G211="RHI_BERRY"),1+配置与结果!$B$33+P211*方案参数!$AH$8,1)</f>
        <v>1</v>
      </c>
      <c r="AJ211" s="1">
        <f>MIN(1,MAX(0,J211+方案参数!$AB$8-配置与结果!$B$27))</f>
        <v>0.76</v>
      </c>
      <c r="AK211" s="1">
        <f>MAX(1,K211+IF(F211=2,0.15+方案参数!$CH$8,0)+BN211*方案参数!$X$8+R211*方案参数!$AA$8+0-配置与结果!$B$26+Z211*(方案参数!$AP$8+MIN(方案参数!$AQ$8,P211*0.03)))</f>
        <v>2.3380000000000001</v>
      </c>
      <c r="AL211" s="7">
        <f>ROUNDDOWN(MAX(AD211*配置与结果!$B$31,AD211-AE211)*AF211*AG211*AH211*AI211,0)</f>
        <v>58160</v>
      </c>
      <c r="AM211" s="7">
        <f>ROUNDDOWN(MAX(AD211*配置与结果!$B$31,AD211-AE211)*AF211*AG211*AH211*AI211*AK211,0)</f>
        <v>135979</v>
      </c>
      <c r="AN211" s="7">
        <f t="shared" si="287"/>
        <v>117302.44</v>
      </c>
      <c r="AO211" s="7">
        <f>0</f>
        <v>0</v>
      </c>
      <c r="AP211" s="7">
        <f>MAX(0,1+INDEX(配置与结果!$J$15:$J$18,F211)+IF(T211&gt;0,方案参数!$BY$8,0)-配置与结果!$B$30)</f>
        <v>1</v>
      </c>
      <c r="AQ211" s="7">
        <f t="shared" si="288"/>
        <v>0</v>
      </c>
      <c r="AR211" s="7">
        <f t="shared" si="289"/>
        <v>0</v>
      </c>
      <c r="AS211" s="7">
        <f t="shared" si="290"/>
        <v>0</v>
      </c>
      <c r="AT211" s="7">
        <f>IF(U211&gt;0,ROUNDDOWN(AL211*方案参数!$AF$8,0)*(1-AJ211)+ROUNDDOWN(AM211*方案参数!$AF$8,0)*AJ211,0)</f>
        <v>0</v>
      </c>
      <c r="AU211" s="7">
        <f t="shared" si="291"/>
        <v>117302.44</v>
      </c>
      <c r="AV211" s="1">
        <f t="shared" si="292"/>
        <v>2</v>
      </c>
      <c r="AW211" s="1">
        <f t="shared" si="310"/>
        <v>10</v>
      </c>
      <c r="AX211" s="1">
        <f t="shared" si="293"/>
        <v>1</v>
      </c>
      <c r="AY211" s="1">
        <f>MIN(20,MAX(0,O211+0+0-0))</f>
        <v>2</v>
      </c>
      <c r="AZ211" s="1">
        <f t="shared" si="294"/>
        <v>5</v>
      </c>
      <c r="BA211" s="1">
        <f t="shared" si="301"/>
        <v>5</v>
      </c>
      <c r="BB211" s="1">
        <f t="shared" si="309"/>
        <v>20</v>
      </c>
      <c r="BC211" s="1">
        <f t="shared" si="307"/>
        <v>3</v>
      </c>
      <c r="BD211" s="1">
        <f t="shared" si="280"/>
        <v>0</v>
      </c>
      <c r="BE211" s="1">
        <f>MAX(0,U211-IF(AF211&gt;0,1,0))+1</f>
        <v>1</v>
      </c>
      <c r="BF211" s="1">
        <f t="shared" si="311"/>
        <v>4</v>
      </c>
      <c r="BG211" s="1">
        <f t="shared" si="298"/>
        <v>1</v>
      </c>
      <c r="BH211" s="1">
        <f t="shared" si="274"/>
        <v>1</v>
      </c>
      <c r="BI211" s="1">
        <f t="shared" si="299"/>
        <v>1</v>
      </c>
      <c r="BJ211" s="1">
        <f t="shared" si="302"/>
        <v>1</v>
      </c>
      <c r="BK211" s="1">
        <f t="shared" si="303"/>
        <v>1</v>
      </c>
      <c r="BL211" s="1">
        <f t="shared" si="308"/>
        <v>1</v>
      </c>
      <c r="BM211" s="1">
        <f t="shared" si="306"/>
        <v>1</v>
      </c>
      <c r="BN211" s="1">
        <f t="shared" si="275"/>
        <v>1</v>
      </c>
      <c r="BO211" s="1">
        <f t="shared" si="276"/>
        <v>1</v>
      </c>
    </row>
    <row r="212" spans="1:67" ht="30.95" customHeight="1">
      <c r="A212" s="1">
        <f>5</f>
        <v>5</v>
      </c>
      <c r="B212" s="1">
        <f>固定流程!A32</f>
        <v>27</v>
      </c>
      <c r="C212" s="1">
        <f>8</f>
        <v>8</v>
      </c>
      <c r="D212" s="1">
        <f>2</f>
        <v>2</v>
      </c>
      <c r="E212" s="1">
        <f>固定流程!C32</f>
        <v>3</v>
      </c>
      <c r="F212" s="1">
        <f>固定流程!G32</f>
        <v>1</v>
      </c>
      <c r="G212" s="1" t="str">
        <f>固定流程!H32</f>
        <v>LILYA_THIRD</v>
      </c>
      <c r="H212" s="1">
        <f>固定流程!F32</f>
        <v>1</v>
      </c>
      <c r="I212" s="1">
        <f>INDEX(配置与结果!$B$15:$B$18,F212)</f>
        <v>2296</v>
      </c>
      <c r="J212" s="1">
        <f>INDEX(配置与结果!$D$15:$D$18,F212)</f>
        <v>0.7</v>
      </c>
      <c r="K212" s="1">
        <f>INDEX(配置与结果!$E$15:$E$18,F212)</f>
        <v>2.0249999999999999</v>
      </c>
      <c r="L212" s="1">
        <f t="shared" si="295"/>
        <v>2</v>
      </c>
      <c r="M212" s="1">
        <f t="shared" si="296"/>
        <v>10</v>
      </c>
      <c r="N212" s="1">
        <f t="shared" si="297"/>
        <v>1</v>
      </c>
      <c r="O212" s="1">
        <f t="shared" si="281"/>
        <v>2</v>
      </c>
      <c r="P212" s="1">
        <f>MIN(方案参数!$AI$8,AZ211+0+0)</f>
        <v>5</v>
      </c>
      <c r="Q212" s="1">
        <f t="shared" si="259"/>
        <v>5</v>
      </c>
      <c r="R212" s="1">
        <f t="shared" si="260"/>
        <v>20</v>
      </c>
      <c r="S212" s="1">
        <f t="shared" si="261"/>
        <v>3</v>
      </c>
      <c r="T212" s="1">
        <f t="shared" si="304"/>
        <v>0</v>
      </c>
      <c r="U212" s="1">
        <f t="shared" si="263"/>
        <v>1</v>
      </c>
      <c r="V212" s="1">
        <f t="shared" si="264"/>
        <v>4</v>
      </c>
      <c r="W212" s="1">
        <f t="shared" si="265"/>
        <v>1</v>
      </c>
      <c r="X212" s="1">
        <f t="shared" si="266"/>
        <v>1</v>
      </c>
      <c r="Y212" s="1">
        <f t="shared" si="267"/>
        <v>1</v>
      </c>
      <c r="Z212" s="1">
        <f t="shared" si="268"/>
        <v>1</v>
      </c>
      <c r="AA212" s="1">
        <f t="shared" si="300"/>
        <v>1</v>
      </c>
      <c r="AB212" s="1">
        <f t="shared" si="270"/>
        <v>1</v>
      </c>
      <c r="AC212" s="1">
        <f t="shared" si="305"/>
        <v>1</v>
      </c>
      <c r="AD212" s="1">
        <f>ROUNDDOWN(I212*(1+IF(F212=3,0.05+方案参数!$Y$8+AA212*0.12,IF(F212=4,方案参数!$BZ$8*方案参数!$AS$8,0)))+IF(AND(X212=1,F212&lt;&gt;3),方案参数!$CC$8,0)+AC212*方案参数!$CB$8,0)</f>
        <v>3034</v>
      </c>
      <c r="AE212" s="1">
        <f>IF(OR(F212=1,F212=4),配置与结果!$B$24,配置与结果!$B$25)*MAX(0,1-INDEX(配置与结果!$I$15:$I$18,F212))</f>
        <v>1200</v>
      </c>
      <c r="AF212" s="1">
        <f>方案参数!$BM$8</f>
        <v>32</v>
      </c>
      <c r="AG212" s="1">
        <f>MAX(配置与结果!$B$32,1+INDEX(配置与结果!$F$15:$F$18,F212)+0.08+方案参数!$CD$8+Q212*方案参数!$W$8+Y212*(方案参数!$AN$8+MIN(方案参数!$AO$8,P212*0.03))+AB212*方案参数!$BZ$8*0.025-配置与结果!$B$28+方案参数!$AE$8)</f>
        <v>2.6150000000000002</v>
      </c>
      <c r="AH212" s="1">
        <f>MAX(0,1+V212*方案参数!$U$8+3*方案参数!$V$8+方案参数!$AE$8-配置与结果!$B$29)</f>
        <v>1.7399999999999998</v>
      </c>
      <c r="AI212" s="1">
        <f>IF(OR(INDEX(配置与结果!$K$15:$K$18,F212)=1,G212="RHI_BERRY"),1+配置与结果!$B$33+P212*方案参数!$AH$8,1)</f>
        <v>1</v>
      </c>
      <c r="AJ212" s="1">
        <f>MIN(1,MAX(0,J212+方案参数!$AB$8-配置与结果!$B$27))</f>
        <v>1</v>
      </c>
      <c r="AK212" s="1">
        <f>MAX(1,K212+IF(F212=2,0.15+方案参数!$CH$8,0)+BN212*方案参数!$X$8+R212*方案参数!$AA$8+方案参数!$BQ$8-配置与结果!$B$26+Z212*(方案参数!$AP$8+MIN(方案参数!$AQ$8,P212*0.03)))</f>
        <v>2.9650000000000003</v>
      </c>
      <c r="AL212" s="7">
        <f>ROUNDDOWN(MAX(AD212*配置与结果!$B$31,AD212-AE212)*AF212*AG212*AH212*AI212,0)</f>
        <v>267036</v>
      </c>
      <c r="AM212" s="7">
        <f>ROUNDDOWN(MAX(AD212*配置与结果!$B$31,AD212-AE212)*AF212*AG212*AH212*AI212*AK212,0)</f>
        <v>791762</v>
      </c>
      <c r="AN212" s="7">
        <f t="shared" si="287"/>
        <v>791762</v>
      </c>
      <c r="AO212" s="7">
        <f>0</f>
        <v>0</v>
      </c>
      <c r="AP212" s="7">
        <f>MAX(0,1+INDEX(配置与结果!$J$15:$J$18,F212)+IF(T212&gt;0,方案参数!$BY$8,0)-配置与结果!$B$30)</f>
        <v>1</v>
      </c>
      <c r="AQ212" s="7">
        <f t="shared" si="288"/>
        <v>0</v>
      </c>
      <c r="AR212" s="7">
        <f t="shared" si="289"/>
        <v>0</v>
      </c>
      <c r="AS212" s="7">
        <f t="shared" si="290"/>
        <v>0</v>
      </c>
      <c r="AT212" s="7">
        <f>IF(U212&gt;0,ROUNDDOWN(AL212*方案参数!$AF$8,0)*(1-AJ212)+ROUNDDOWN(AM212*方案参数!$AF$8,0)*AJ212,0)</f>
        <v>316704</v>
      </c>
      <c r="AU212" s="7">
        <f t="shared" si="291"/>
        <v>1108466</v>
      </c>
      <c r="AV212" s="1">
        <f t="shared" si="292"/>
        <v>2</v>
      </c>
      <c r="AW212" s="1">
        <f t="shared" si="310"/>
        <v>10</v>
      </c>
      <c r="AX212" s="1">
        <f t="shared" si="293"/>
        <v>1</v>
      </c>
      <c r="AY212" s="1">
        <f>MIN(20,MAX(0,O212+0+1-0))</f>
        <v>3</v>
      </c>
      <c r="AZ212" s="1">
        <f t="shared" si="294"/>
        <v>5</v>
      </c>
      <c r="BA212" s="1">
        <f t="shared" si="301"/>
        <v>5</v>
      </c>
      <c r="BB212" s="1">
        <f t="shared" si="309"/>
        <v>20</v>
      </c>
      <c r="BC212" s="1">
        <f t="shared" si="307"/>
        <v>3</v>
      </c>
      <c r="BD212" s="1">
        <f t="shared" si="280"/>
        <v>0</v>
      </c>
      <c r="BE212" s="1">
        <f>MAX(0,U212-IF(AF212&gt;0,1,0))+0</f>
        <v>0</v>
      </c>
      <c r="BF212" s="1">
        <f t="shared" si="311"/>
        <v>4</v>
      </c>
      <c r="BG212" s="1">
        <f t="shared" si="298"/>
        <v>1</v>
      </c>
      <c r="BH212" s="1">
        <f t="shared" si="274"/>
        <v>1</v>
      </c>
      <c r="BI212" s="1">
        <f t="shared" si="299"/>
        <v>1</v>
      </c>
      <c r="BJ212" s="1">
        <f t="shared" si="302"/>
        <v>1</v>
      </c>
      <c r="BK212" s="1">
        <f t="shared" si="303"/>
        <v>1</v>
      </c>
      <c r="BL212" s="1">
        <f t="shared" si="308"/>
        <v>1</v>
      </c>
      <c r="BM212" s="1">
        <f t="shared" si="306"/>
        <v>1</v>
      </c>
      <c r="BN212" s="1">
        <f t="shared" si="275"/>
        <v>1</v>
      </c>
      <c r="BO212" s="1">
        <f t="shared" si="276"/>
        <v>1</v>
      </c>
    </row>
    <row r="213" spans="1:67" ht="30.95" customHeight="1">
      <c r="A213" s="1">
        <f>5</f>
        <v>5</v>
      </c>
      <c r="B213" s="1">
        <f>固定流程!A33</f>
        <v>28</v>
      </c>
      <c r="C213" s="1">
        <f>8</f>
        <v>8</v>
      </c>
      <c r="D213" s="1">
        <f>2</f>
        <v>2</v>
      </c>
      <c r="E213" s="1">
        <f>固定流程!C33</f>
        <v>3</v>
      </c>
      <c r="F213" s="1">
        <f>固定流程!G33</f>
        <v>1</v>
      </c>
      <c r="G213" s="1" t="str">
        <f>固定流程!H33</f>
        <v>LILYA_WEAK</v>
      </c>
      <c r="H213" s="1">
        <f>固定流程!F33</f>
        <v>1</v>
      </c>
      <c r="I213" s="1">
        <f>INDEX(配置与结果!$B$15:$B$18,F213)</f>
        <v>2296</v>
      </c>
      <c r="J213" s="1">
        <f>INDEX(配置与结果!$D$15:$D$18,F213)</f>
        <v>0.7</v>
      </c>
      <c r="K213" s="1">
        <f>INDEX(配置与结果!$E$15:$E$18,F213)</f>
        <v>2.0249999999999999</v>
      </c>
      <c r="L213" s="1">
        <f t="shared" si="295"/>
        <v>2</v>
      </c>
      <c r="M213" s="1">
        <f t="shared" si="296"/>
        <v>10</v>
      </c>
      <c r="N213" s="1">
        <f t="shared" si="297"/>
        <v>1</v>
      </c>
      <c r="O213" s="1">
        <f t="shared" si="281"/>
        <v>3</v>
      </c>
      <c r="P213" s="1">
        <f>MIN(方案参数!$AI$8,AZ212+0+0)</f>
        <v>5</v>
      </c>
      <c r="Q213" s="1">
        <f t="shared" si="259"/>
        <v>5</v>
      </c>
      <c r="R213" s="1">
        <f t="shared" si="260"/>
        <v>20</v>
      </c>
      <c r="S213" s="1">
        <f t="shared" si="261"/>
        <v>3</v>
      </c>
      <c r="T213" s="1">
        <f t="shared" si="304"/>
        <v>0</v>
      </c>
      <c r="U213" s="1">
        <f t="shared" si="263"/>
        <v>0</v>
      </c>
      <c r="V213" s="1">
        <f t="shared" si="264"/>
        <v>4</v>
      </c>
      <c r="W213" s="1">
        <f t="shared" si="265"/>
        <v>1</v>
      </c>
      <c r="X213" s="1">
        <f t="shared" si="266"/>
        <v>1</v>
      </c>
      <c r="Y213" s="1">
        <f t="shared" si="267"/>
        <v>1</v>
      </c>
      <c r="Z213" s="1">
        <f t="shared" si="268"/>
        <v>1</v>
      </c>
      <c r="AA213" s="1">
        <f t="shared" si="300"/>
        <v>1</v>
      </c>
      <c r="AB213" s="1">
        <f t="shared" si="270"/>
        <v>1</v>
      </c>
      <c r="AC213" s="1">
        <f t="shared" si="305"/>
        <v>1</v>
      </c>
      <c r="AD213" s="1">
        <f>ROUNDDOWN(I213*(1+IF(F213=3,0.05+方案参数!$Y$8+AA213*0.12,IF(F213=4,方案参数!$BZ$8*方案参数!$AS$8,0)))+IF(AND(X213=1,F213&lt;&gt;3),方案参数!$CC$8,0)+AC213*方案参数!$CB$8,0)</f>
        <v>3034</v>
      </c>
      <c r="AE213" s="1">
        <f>IF(OR(F213=1,F213=4),配置与结果!$B$24,配置与结果!$B$25)*MAX(0,1-INDEX(配置与结果!$I$15:$I$18,F213))</f>
        <v>1200</v>
      </c>
      <c r="AF213" s="1">
        <f>方案参数!$BL$8</f>
        <v>15</v>
      </c>
      <c r="AG213" s="1">
        <f>MAX(配置与结果!$B$32,1+INDEX(配置与结果!$F$15:$F$18,F213)+0.08+方案参数!$CD$8+Q213*方案参数!$W$8+Y213*(方案参数!$AN$8+MIN(方案参数!$AO$8,P213*0.03))+AB213*方案参数!$BZ$8*0.025-配置与结果!$B$28+方案参数!$AE$8)</f>
        <v>2.6150000000000002</v>
      </c>
      <c r="AH213" s="1">
        <f>MAX(0,1+V213*方案参数!$U$8+4*方案参数!$V$8+方案参数!$AE$8-配置与结果!$B$29)</f>
        <v>1.7999999999999998</v>
      </c>
      <c r="AI213" s="1">
        <f>IF(OR(INDEX(配置与结果!$K$15:$K$18,F213)=1,G213="RHI_BERRY"),1+配置与结果!$B$33+P213*方案参数!$AH$8,1)</f>
        <v>1</v>
      </c>
      <c r="AJ213" s="1">
        <f>MIN(1,MAX(0,J213+方案参数!$AB$8-配置与结果!$B$27))</f>
        <v>1</v>
      </c>
      <c r="AK213" s="1">
        <f>MAX(1,K213+IF(F213=2,0.15+方案参数!$CH$8,0)+BN213*方案参数!$X$8+R213*方案参数!$AA$8+方案参数!$BP$8-配置与结果!$B$26+Z213*(方案参数!$AP$8+MIN(方案参数!$AQ$8,P213*0.03)))</f>
        <v>2.7650000000000001</v>
      </c>
      <c r="AL213" s="7">
        <f>ROUNDDOWN(MAX(AD213*配置与结果!$B$31,AD213-AE213)*AF213*AG213*AH213*AI213,0)</f>
        <v>129489</v>
      </c>
      <c r="AM213" s="7">
        <f>ROUNDDOWN(MAX(AD213*配置与结果!$B$31,AD213-AE213)*AF213*AG213*AH213*AI213*AK213,0)</f>
        <v>358038</v>
      </c>
      <c r="AN213" s="7">
        <f t="shared" si="287"/>
        <v>358038</v>
      </c>
      <c r="AO213" s="7">
        <f>0</f>
        <v>0</v>
      </c>
      <c r="AP213" s="7">
        <f>MAX(0,1+INDEX(配置与结果!$J$15:$J$18,F213)+IF(T213&gt;0,方案参数!$BY$8,0)-配置与结果!$B$30)</f>
        <v>1</v>
      </c>
      <c r="AQ213" s="7">
        <f t="shared" si="288"/>
        <v>0</v>
      </c>
      <c r="AR213" s="7">
        <f t="shared" si="289"/>
        <v>0</v>
      </c>
      <c r="AS213" s="7">
        <f t="shared" si="290"/>
        <v>0</v>
      </c>
      <c r="AT213" s="7">
        <f>IF(U213&gt;0,ROUNDDOWN(AL213*方案参数!$AF$8,0)*(1-AJ213)+ROUNDDOWN(AM213*方案参数!$AF$8,0)*AJ213,0)</f>
        <v>0</v>
      </c>
      <c r="AU213" s="7">
        <f t="shared" si="291"/>
        <v>358038</v>
      </c>
      <c r="AV213" s="1">
        <f t="shared" si="292"/>
        <v>2</v>
      </c>
      <c r="AW213" s="1">
        <f t="shared" si="310"/>
        <v>10</v>
      </c>
      <c r="AX213" s="1">
        <f t="shared" si="293"/>
        <v>1</v>
      </c>
      <c r="AY213" s="1">
        <f>MIN(20,MAX(0,O213+0+1-0))</f>
        <v>4</v>
      </c>
      <c r="AZ213" s="1">
        <f t="shared" si="294"/>
        <v>5</v>
      </c>
      <c r="BA213" s="1">
        <f t="shared" si="301"/>
        <v>5</v>
      </c>
      <c r="BB213" s="1">
        <f t="shared" si="309"/>
        <v>20</v>
      </c>
      <c r="BC213" s="1">
        <f t="shared" si="307"/>
        <v>3</v>
      </c>
      <c r="BD213" s="1">
        <f t="shared" si="280"/>
        <v>0</v>
      </c>
      <c r="BE213" s="1">
        <f>MAX(0,U213-IF(AF213&gt;0,1,0))+0</f>
        <v>0</v>
      </c>
      <c r="BF213" s="1">
        <f t="shared" si="311"/>
        <v>4</v>
      </c>
      <c r="BG213" s="1">
        <f t="shared" si="298"/>
        <v>1</v>
      </c>
      <c r="BH213" s="1">
        <f t="shared" si="274"/>
        <v>1</v>
      </c>
      <c r="BI213" s="1">
        <f t="shared" si="299"/>
        <v>1</v>
      </c>
      <c r="BJ213" s="1">
        <f t="shared" si="302"/>
        <v>1</v>
      </c>
      <c r="BK213" s="1">
        <f t="shared" si="303"/>
        <v>1</v>
      </c>
      <c r="BL213" s="1">
        <f t="shared" si="308"/>
        <v>1</v>
      </c>
      <c r="BM213" s="1">
        <f t="shared" si="306"/>
        <v>1</v>
      </c>
      <c r="BN213" s="1">
        <f t="shared" si="275"/>
        <v>1</v>
      </c>
      <c r="BO213" s="1">
        <f t="shared" si="276"/>
        <v>1</v>
      </c>
    </row>
    <row r="214" spans="1:67" ht="30.95" customHeight="1">
      <c r="A214" s="1">
        <f>5</f>
        <v>5</v>
      </c>
      <c r="B214" s="1">
        <f>固定流程!A34</f>
        <v>29</v>
      </c>
      <c r="C214" s="1">
        <f>8</f>
        <v>8</v>
      </c>
      <c r="D214" s="1">
        <f>2</f>
        <v>2</v>
      </c>
      <c r="E214" s="1">
        <f>固定流程!C34</f>
        <v>3</v>
      </c>
      <c r="F214" s="1">
        <f>固定流程!G34</f>
        <v>1</v>
      </c>
      <c r="G214" s="1" t="str">
        <f>固定流程!H34</f>
        <v>LILYA_WEAK</v>
      </c>
      <c r="H214" s="1">
        <f>固定流程!F34</f>
        <v>1</v>
      </c>
      <c r="I214" s="1">
        <f>INDEX(配置与结果!$B$15:$B$18,F214)</f>
        <v>2296</v>
      </c>
      <c r="J214" s="1">
        <f>INDEX(配置与结果!$D$15:$D$18,F214)</f>
        <v>0.7</v>
      </c>
      <c r="K214" s="1">
        <f>INDEX(配置与结果!$E$15:$E$18,F214)</f>
        <v>2.0249999999999999</v>
      </c>
      <c r="L214" s="1">
        <f t="shared" si="295"/>
        <v>2</v>
      </c>
      <c r="M214" s="1">
        <f t="shared" si="296"/>
        <v>10</v>
      </c>
      <c r="N214" s="1">
        <f t="shared" si="297"/>
        <v>1</v>
      </c>
      <c r="O214" s="1">
        <f t="shared" si="281"/>
        <v>4</v>
      </c>
      <c r="P214" s="1">
        <f>MIN(方案参数!$AI$8,AZ213+0+0)</f>
        <v>5</v>
      </c>
      <c r="Q214" s="1">
        <f t="shared" si="259"/>
        <v>5</v>
      </c>
      <c r="R214" s="1">
        <f t="shared" si="260"/>
        <v>20</v>
      </c>
      <c r="S214" s="1">
        <f t="shared" si="261"/>
        <v>3</v>
      </c>
      <c r="T214" s="1">
        <f t="shared" si="304"/>
        <v>0</v>
      </c>
      <c r="U214" s="1">
        <f t="shared" si="263"/>
        <v>0</v>
      </c>
      <c r="V214" s="1">
        <f t="shared" si="264"/>
        <v>4</v>
      </c>
      <c r="W214" s="1">
        <f t="shared" si="265"/>
        <v>1</v>
      </c>
      <c r="X214" s="1">
        <f t="shared" si="266"/>
        <v>1</v>
      </c>
      <c r="Y214" s="1">
        <f t="shared" si="267"/>
        <v>1</v>
      </c>
      <c r="Z214" s="1">
        <f t="shared" si="268"/>
        <v>1</v>
      </c>
      <c r="AA214" s="1">
        <f t="shared" si="300"/>
        <v>1</v>
      </c>
      <c r="AB214" s="1">
        <f t="shared" si="270"/>
        <v>1</v>
      </c>
      <c r="AC214" s="1">
        <f t="shared" si="305"/>
        <v>1</v>
      </c>
      <c r="AD214" s="1">
        <f>ROUNDDOWN(I214*(1+IF(F214=3,0.05+方案参数!$Y$8+AA214*0.12,IF(F214=4,方案参数!$BZ$8*方案参数!$AS$8,0)))+IF(AND(X214=1,F214&lt;&gt;3),方案参数!$CC$8,0)+AC214*方案参数!$CB$8,0)</f>
        <v>3034</v>
      </c>
      <c r="AE214" s="1">
        <f>IF(OR(F214=1,F214=4),配置与结果!$B$24,配置与结果!$B$25)*MAX(0,1-INDEX(配置与结果!$I$15:$I$18,F214))</f>
        <v>1200</v>
      </c>
      <c r="AF214" s="1">
        <f>方案参数!$BL$8</f>
        <v>15</v>
      </c>
      <c r="AG214" s="1">
        <f>MAX(配置与结果!$B$32,1+INDEX(配置与结果!$F$15:$F$18,F214)+0.08+方案参数!$CD$8+Q214*方案参数!$W$8+Y214*(方案参数!$AN$8+MIN(方案参数!$AO$8,P214*0.03))+AB214*方案参数!$BZ$8*0.025-配置与结果!$B$28+方案参数!$AE$8)</f>
        <v>2.6150000000000002</v>
      </c>
      <c r="AH214" s="1">
        <f>MAX(0,1+V214*方案参数!$U$8+5*方案参数!$V$8+方案参数!$AE$8-配置与结果!$B$29)</f>
        <v>1.8599999999999999</v>
      </c>
      <c r="AI214" s="1">
        <f>IF(OR(INDEX(配置与结果!$K$15:$K$18,F214)=1,G214="RHI_BERRY"),1+配置与结果!$B$33+P214*方案参数!$AH$8,1)</f>
        <v>1</v>
      </c>
      <c r="AJ214" s="1">
        <f>MIN(1,MAX(0,J214+方案参数!$AB$8-配置与结果!$B$27))</f>
        <v>1</v>
      </c>
      <c r="AK214" s="1">
        <f>MAX(1,K214+IF(F214=2,0.15+方案参数!$CH$8,0)+BN214*方案参数!$X$8+R214*方案参数!$AA$8+方案参数!$BP$8-配置与结果!$B$26+Z214*(方案参数!$AP$8+MIN(方案参数!$AQ$8,P214*0.03)))</f>
        <v>2.7650000000000001</v>
      </c>
      <c r="AL214" s="7">
        <f>ROUNDDOWN(MAX(AD214*配置与结果!$B$31,AD214-AE214)*AF214*AG214*AH214*AI214,0)</f>
        <v>133805</v>
      </c>
      <c r="AM214" s="7">
        <f>ROUNDDOWN(MAX(AD214*配置与结果!$B$31,AD214-AE214)*AF214*AG214*AH214*AI214*AK214,0)</f>
        <v>369973</v>
      </c>
      <c r="AN214" s="7">
        <f t="shared" si="287"/>
        <v>369973</v>
      </c>
      <c r="AO214" s="7">
        <f>0</f>
        <v>0</v>
      </c>
      <c r="AP214" s="7">
        <f>MAX(0,1+INDEX(配置与结果!$J$15:$J$18,F214)+IF(T214&gt;0,方案参数!$BY$8,0)-配置与结果!$B$30)</f>
        <v>1</v>
      </c>
      <c r="AQ214" s="7">
        <f t="shared" si="288"/>
        <v>0</v>
      </c>
      <c r="AR214" s="7">
        <f t="shared" si="289"/>
        <v>0</v>
      </c>
      <c r="AS214" s="7">
        <f t="shared" si="290"/>
        <v>0</v>
      </c>
      <c r="AT214" s="7">
        <f>IF(U214&gt;0,ROUNDDOWN(AL214*方案参数!$AF$8,0)*(1-AJ214)+ROUNDDOWN(AM214*方案参数!$AF$8,0)*AJ214,0)</f>
        <v>0</v>
      </c>
      <c r="AU214" s="7">
        <f t="shared" si="291"/>
        <v>369973</v>
      </c>
      <c r="AV214" s="1">
        <f t="shared" si="292"/>
        <v>2</v>
      </c>
      <c r="AW214" s="1">
        <f t="shared" si="310"/>
        <v>10</v>
      </c>
      <c r="AX214" s="1">
        <f t="shared" si="293"/>
        <v>1</v>
      </c>
      <c r="AY214" s="1">
        <f>MIN(20,MAX(0,O214+0+1-0))</f>
        <v>5</v>
      </c>
      <c r="AZ214" s="1">
        <f t="shared" si="294"/>
        <v>5</v>
      </c>
      <c r="BA214" s="1">
        <f t="shared" si="301"/>
        <v>5</v>
      </c>
      <c r="BB214" s="1">
        <f t="shared" si="309"/>
        <v>20</v>
      </c>
      <c r="BC214" s="1">
        <f t="shared" si="307"/>
        <v>3</v>
      </c>
      <c r="BD214" s="1">
        <f t="shared" si="280"/>
        <v>0</v>
      </c>
      <c r="BE214" s="1">
        <f>MAX(0,U214-IF(AF214&gt;0,1,0))+0</f>
        <v>0</v>
      </c>
      <c r="BF214" s="1">
        <f t="shared" si="311"/>
        <v>4</v>
      </c>
      <c r="BG214" s="1">
        <f t="shared" si="298"/>
        <v>1</v>
      </c>
      <c r="BH214" s="1">
        <f t="shared" si="274"/>
        <v>1</v>
      </c>
      <c r="BI214" s="1">
        <f t="shared" si="299"/>
        <v>1</v>
      </c>
      <c r="BJ214" s="1">
        <f t="shared" si="302"/>
        <v>1</v>
      </c>
      <c r="BK214" s="1">
        <f t="shared" si="303"/>
        <v>1</v>
      </c>
      <c r="BL214" s="1">
        <f t="shared" si="308"/>
        <v>1</v>
      </c>
      <c r="BM214" s="1">
        <f t="shared" si="306"/>
        <v>1</v>
      </c>
      <c r="BN214" s="1">
        <f t="shared" si="275"/>
        <v>1</v>
      </c>
      <c r="BO214" s="1">
        <f t="shared" si="276"/>
        <v>1</v>
      </c>
    </row>
    <row r="215" spans="1:67" ht="30.95" customHeight="1">
      <c r="A215" s="1">
        <f>5</f>
        <v>5</v>
      </c>
      <c r="B215" s="1">
        <f>固定流程!A35</f>
        <v>30</v>
      </c>
      <c r="C215" s="1">
        <f>8</f>
        <v>8</v>
      </c>
      <c r="D215" s="1">
        <f>2</f>
        <v>2</v>
      </c>
      <c r="E215" s="1">
        <f>固定流程!C35</f>
        <v>3</v>
      </c>
      <c r="F215" s="1">
        <f>固定流程!G35</f>
        <v>2</v>
      </c>
      <c r="G215" s="1" t="str">
        <f>固定流程!H35</f>
        <v>37_WEAK</v>
      </c>
      <c r="H215" s="1">
        <f>固定流程!F35</f>
        <v>1</v>
      </c>
      <c r="I215" s="1">
        <f>INDEX(配置与结果!$B$15:$B$18,F215)</f>
        <v>2306</v>
      </c>
      <c r="J215" s="1">
        <f>INDEX(配置与结果!$D$15:$D$18,F215)</f>
        <v>0.46</v>
      </c>
      <c r="K215" s="1">
        <f>INDEX(配置与结果!$E$15:$E$18,F215)</f>
        <v>1.9279999999999999</v>
      </c>
      <c r="L215" s="1">
        <f t="shared" si="295"/>
        <v>2</v>
      </c>
      <c r="M215" s="1">
        <f t="shared" si="296"/>
        <v>10</v>
      </c>
      <c r="N215" s="1">
        <f t="shared" si="297"/>
        <v>1</v>
      </c>
      <c r="O215" s="1">
        <f t="shared" si="281"/>
        <v>5</v>
      </c>
      <c r="P215" s="1">
        <f>MIN(方案参数!$AI$8,AZ214+0+0)</f>
        <v>5</v>
      </c>
      <c r="Q215" s="1">
        <f t="shared" si="259"/>
        <v>5</v>
      </c>
      <c r="R215" s="1">
        <f t="shared" si="260"/>
        <v>20</v>
      </c>
      <c r="S215" s="1">
        <f t="shared" si="261"/>
        <v>3</v>
      </c>
      <c r="T215" s="1">
        <f t="shared" si="304"/>
        <v>0</v>
      </c>
      <c r="U215" s="1">
        <f t="shared" si="263"/>
        <v>0</v>
      </c>
      <c r="V215" s="1">
        <f t="shared" si="264"/>
        <v>4</v>
      </c>
      <c r="W215" s="1">
        <f t="shared" si="265"/>
        <v>1</v>
      </c>
      <c r="X215" s="1">
        <f t="shared" si="266"/>
        <v>1</v>
      </c>
      <c r="Y215" s="1">
        <f t="shared" si="267"/>
        <v>1</v>
      </c>
      <c r="Z215" s="1">
        <f t="shared" si="268"/>
        <v>1</v>
      </c>
      <c r="AA215" s="1">
        <f t="shared" si="300"/>
        <v>1</v>
      </c>
      <c r="AB215" s="1">
        <f t="shared" si="270"/>
        <v>1</v>
      </c>
      <c r="AC215" s="1">
        <f t="shared" si="305"/>
        <v>1</v>
      </c>
      <c r="AD215" s="1">
        <f>ROUNDDOWN(I215*(1+IF(F215=3,0.05+方案参数!$Y$8+AA215*0.12,IF(F215=4,方案参数!$BZ$8*方案参数!$AS$8,0)))+IF(AND(X215=1,F215&lt;&gt;3),方案参数!$CC$8,0)+AC215*方案参数!$CB$8,0)</f>
        <v>3044</v>
      </c>
      <c r="AE215" s="1">
        <f>IF(OR(F215=1,F215=4),配置与结果!$B$24,配置与结果!$B$25)*MAX(0,1-INDEX(配置与结果!$I$15:$I$18,F215))</f>
        <v>1000</v>
      </c>
      <c r="AF215" s="1">
        <f>方案参数!$CE$8</f>
        <v>8</v>
      </c>
      <c r="AG215" s="1">
        <f>MAX(配置与结果!$B$32,1+INDEX(配置与结果!$F$15:$F$18,F215)+0+Q215*方案参数!$W$8+Y215*(方案参数!$AN$8+MIN(方案参数!$AO$8,P215*0.03))+AB215*方案参数!$BZ$8*0.025-配置与结果!$B$28+方案参数!$AE$8)</f>
        <v>2.2800000000000002</v>
      </c>
      <c r="AH215" s="1">
        <f>MAX(0,1+V215*方案参数!$U$8+方案参数!$AE$8-配置与结果!$B$29)</f>
        <v>1.56</v>
      </c>
      <c r="AI215" s="1">
        <f>IF(OR(INDEX(配置与结果!$K$15:$K$18,F215)=1,G215="RHI_BERRY"),1+配置与结果!$B$33+P215*方案参数!$AH$8,1)</f>
        <v>1</v>
      </c>
      <c r="AJ215" s="1">
        <f>MIN(1,MAX(0,J215+方案参数!$AB$8-配置与结果!$B$27))</f>
        <v>0.76</v>
      </c>
      <c r="AK215" s="1">
        <f>MAX(1,K215+IF(F215=2,0.15+方案参数!$CH$8,0)+BN215*方案参数!$X$8+R215*方案参数!$AA$8+0-配置与结果!$B$26+Z215*(方案参数!$AP$8+MIN(方案参数!$AQ$8,P215*0.03)))</f>
        <v>2.3380000000000001</v>
      </c>
      <c r="AL215" s="7">
        <f>ROUNDDOWN(MAX(AD215*配置与结果!$B$31,AD215-AE215)*AF215*AG215*AH215*AI215,0)</f>
        <v>58160</v>
      </c>
      <c r="AM215" s="7">
        <f>ROUNDDOWN(MAX(AD215*配置与结果!$B$31,AD215-AE215)*AF215*AG215*AH215*AI215*AK215,0)</f>
        <v>135979</v>
      </c>
      <c r="AN215" s="7">
        <f t="shared" si="287"/>
        <v>117302.44</v>
      </c>
      <c r="AO215" s="7">
        <f>0</f>
        <v>0</v>
      </c>
      <c r="AP215" s="7">
        <f>MAX(0,1+INDEX(配置与结果!$J$15:$J$18,F215)+IF(T215&gt;0,方案参数!$BY$8,0)-配置与结果!$B$30)</f>
        <v>1</v>
      </c>
      <c r="AQ215" s="7">
        <f t="shared" si="288"/>
        <v>0</v>
      </c>
      <c r="AR215" s="7">
        <f t="shared" si="289"/>
        <v>0</v>
      </c>
      <c r="AS215" s="7">
        <f t="shared" si="290"/>
        <v>0</v>
      </c>
      <c r="AT215" s="7">
        <f>IF(U215&gt;0,ROUNDDOWN(AL215*方案参数!$AF$8,0)*(1-AJ215)+ROUNDDOWN(AM215*方案参数!$AF$8,0)*AJ215,0)</f>
        <v>0</v>
      </c>
      <c r="AU215" s="7">
        <f t="shared" si="291"/>
        <v>117302.44</v>
      </c>
      <c r="AV215" s="1">
        <f t="shared" si="292"/>
        <v>2</v>
      </c>
      <c r="AW215" s="1">
        <f t="shared" si="310"/>
        <v>10</v>
      </c>
      <c r="AX215" s="1">
        <f t="shared" si="293"/>
        <v>1</v>
      </c>
      <c r="AY215" s="1">
        <f>MIN(20,MAX(0,O215+0+0-0))</f>
        <v>5</v>
      </c>
      <c r="AZ215" s="1">
        <f t="shared" si="294"/>
        <v>5</v>
      </c>
      <c r="BA215" s="1">
        <f t="shared" si="301"/>
        <v>5</v>
      </c>
      <c r="BB215" s="1">
        <f t="shared" si="309"/>
        <v>20</v>
      </c>
      <c r="BC215" s="1">
        <f t="shared" si="307"/>
        <v>3</v>
      </c>
      <c r="BD215" s="1">
        <f t="shared" si="280"/>
        <v>0</v>
      </c>
      <c r="BE215" s="1">
        <f>MAX(0,U215-IF(AF215&gt;0,1,0))+1</f>
        <v>1</v>
      </c>
      <c r="BF215" s="1">
        <f t="shared" si="311"/>
        <v>4</v>
      </c>
      <c r="BG215" s="1">
        <f t="shared" si="298"/>
        <v>1</v>
      </c>
      <c r="BH215" s="1">
        <f t="shared" si="274"/>
        <v>1</v>
      </c>
      <c r="BI215" s="1">
        <f t="shared" si="299"/>
        <v>1</v>
      </c>
      <c r="BJ215" s="1">
        <f t="shared" si="302"/>
        <v>1</v>
      </c>
      <c r="BK215" s="1">
        <f t="shared" si="303"/>
        <v>1</v>
      </c>
      <c r="BL215" s="1">
        <f t="shared" si="308"/>
        <v>1</v>
      </c>
      <c r="BM215" s="1">
        <f t="shared" si="306"/>
        <v>1</v>
      </c>
      <c r="BN215" s="1">
        <f t="shared" si="275"/>
        <v>1</v>
      </c>
      <c r="BO215" s="1">
        <f t="shared" si="276"/>
        <v>1</v>
      </c>
    </row>
    <row r="216" spans="1:67" ht="30.95" customHeight="1">
      <c r="A216" s="1">
        <f>5</f>
        <v>5</v>
      </c>
      <c r="B216" s="1">
        <f>固定流程!A36</f>
        <v>31</v>
      </c>
      <c r="C216" s="1">
        <f>8</f>
        <v>8</v>
      </c>
      <c r="D216" s="1">
        <f>2</f>
        <v>2</v>
      </c>
      <c r="E216" s="1">
        <f>固定流程!C36</f>
        <v>3</v>
      </c>
      <c r="F216" s="1">
        <f>固定流程!G36</f>
        <v>1</v>
      </c>
      <c r="G216" s="1" t="str">
        <f>固定流程!H36</f>
        <v>LILYA_THIRD</v>
      </c>
      <c r="H216" s="1">
        <f>固定流程!F36</f>
        <v>1</v>
      </c>
      <c r="I216" s="1">
        <f>INDEX(配置与结果!$B$15:$B$18,F216)</f>
        <v>2296</v>
      </c>
      <c r="J216" s="1">
        <f>INDEX(配置与结果!$D$15:$D$18,F216)</f>
        <v>0.7</v>
      </c>
      <c r="K216" s="1">
        <f>INDEX(配置与结果!$E$15:$E$18,F216)</f>
        <v>2.0249999999999999</v>
      </c>
      <c r="L216" s="1">
        <f t="shared" si="295"/>
        <v>2</v>
      </c>
      <c r="M216" s="1">
        <f t="shared" si="296"/>
        <v>10</v>
      </c>
      <c r="N216" s="1">
        <f t="shared" si="297"/>
        <v>1</v>
      </c>
      <c r="O216" s="1">
        <f t="shared" si="281"/>
        <v>5</v>
      </c>
      <c r="P216" s="1">
        <f>MIN(方案参数!$AI$8,AZ215+0+0)</f>
        <v>5</v>
      </c>
      <c r="Q216" s="1">
        <f t="shared" si="259"/>
        <v>5</v>
      </c>
      <c r="R216" s="1">
        <f t="shared" si="260"/>
        <v>20</v>
      </c>
      <c r="S216" s="1">
        <f t="shared" si="261"/>
        <v>3</v>
      </c>
      <c r="T216" s="1">
        <f t="shared" si="304"/>
        <v>0</v>
      </c>
      <c r="U216" s="1">
        <f t="shared" si="263"/>
        <v>1</v>
      </c>
      <c r="V216" s="1">
        <f t="shared" si="264"/>
        <v>4</v>
      </c>
      <c r="W216" s="1">
        <f t="shared" si="265"/>
        <v>1</v>
      </c>
      <c r="X216" s="1">
        <f t="shared" si="266"/>
        <v>1</v>
      </c>
      <c r="Y216" s="1">
        <f t="shared" si="267"/>
        <v>1</v>
      </c>
      <c r="Z216" s="1">
        <f t="shared" si="268"/>
        <v>1</v>
      </c>
      <c r="AA216" s="1">
        <f t="shared" si="300"/>
        <v>1</v>
      </c>
      <c r="AB216" s="1">
        <f t="shared" si="270"/>
        <v>1</v>
      </c>
      <c r="AC216" s="1">
        <f t="shared" si="305"/>
        <v>1</v>
      </c>
      <c r="AD216" s="1">
        <f>ROUNDDOWN(I216*(1+IF(F216=3,0.05+方案参数!$Y$8+AA216*0.12,IF(F216=4,方案参数!$BZ$8*方案参数!$AS$8,0)))+IF(AND(X216=1,F216&lt;&gt;3),方案参数!$CC$8,0)+AC216*方案参数!$CB$8,0)</f>
        <v>3034</v>
      </c>
      <c r="AE216" s="1">
        <f>IF(OR(F216=1,F216=4),配置与结果!$B$24,配置与结果!$B$25)*MAX(0,1-INDEX(配置与结果!$I$15:$I$18,F216))</f>
        <v>1200</v>
      </c>
      <c r="AF216" s="1">
        <f>方案参数!$BM$8</f>
        <v>32</v>
      </c>
      <c r="AG216" s="1">
        <f>MAX(配置与结果!$B$32,1+INDEX(配置与结果!$F$15:$F$18,F216)+0.08+方案参数!$CD$8+Q216*方案参数!$W$8+Y216*(方案参数!$AN$8+MIN(方案参数!$AO$8,P216*0.03))+AB216*方案参数!$BZ$8*0.025-配置与结果!$B$28+方案参数!$AE$8)</f>
        <v>2.6150000000000002</v>
      </c>
      <c r="AH216" s="1">
        <f>MAX(0,1+V216*方案参数!$U$8+7*方案参数!$V$8+方案参数!$AE$8-配置与结果!$B$29)</f>
        <v>1.98</v>
      </c>
      <c r="AI216" s="1">
        <f>IF(OR(INDEX(配置与结果!$K$15:$K$18,F216)=1,G216="RHI_BERRY"),1+配置与结果!$B$33+P216*方案参数!$AH$8,1)</f>
        <v>1</v>
      </c>
      <c r="AJ216" s="1">
        <f>MIN(1,MAX(0,J216+方案参数!$AB$8-配置与结果!$B$27))</f>
        <v>1</v>
      </c>
      <c r="AK216" s="1">
        <f>MAX(1,K216+IF(F216=2,0.15+方案参数!$CH$8,0)+BN216*方案参数!$X$8+R216*方案参数!$AA$8+方案参数!$BQ$8-配置与结果!$B$26+Z216*(方案参数!$AP$8+MIN(方案参数!$AQ$8,P216*0.03)))</f>
        <v>2.9650000000000003</v>
      </c>
      <c r="AL216" s="7">
        <f>ROUNDDOWN(MAX(AD216*配置与结果!$B$31,AD216-AE216)*AF216*AG216*AH216*AI216,0)</f>
        <v>303868</v>
      </c>
      <c r="AM216" s="7">
        <f>ROUNDDOWN(MAX(AD216*配置与结果!$B$31,AD216-AE216)*AF216*AG216*AH216*AI216*AK216,0)</f>
        <v>900971</v>
      </c>
      <c r="AN216" s="7">
        <f t="shared" si="287"/>
        <v>900971</v>
      </c>
      <c r="AO216" s="7">
        <f>0</f>
        <v>0</v>
      </c>
      <c r="AP216" s="7">
        <f>MAX(0,1+INDEX(配置与结果!$J$15:$J$18,F216)+IF(T216&gt;0,方案参数!$BY$8,0)-配置与结果!$B$30)</f>
        <v>1</v>
      </c>
      <c r="AQ216" s="7">
        <f t="shared" si="288"/>
        <v>0</v>
      </c>
      <c r="AR216" s="7">
        <f t="shared" si="289"/>
        <v>0</v>
      </c>
      <c r="AS216" s="7">
        <f t="shared" si="290"/>
        <v>0</v>
      </c>
      <c r="AT216" s="7">
        <f>IF(U216&gt;0,ROUNDDOWN(AL216*方案参数!$AF$8,0)*(1-AJ216)+ROUNDDOWN(AM216*方案参数!$AF$8,0)*AJ216,0)</f>
        <v>360388</v>
      </c>
      <c r="AU216" s="7">
        <f t="shared" si="291"/>
        <v>1261359</v>
      </c>
      <c r="AV216" s="1">
        <f t="shared" si="292"/>
        <v>2</v>
      </c>
      <c r="AW216" s="1">
        <f t="shared" si="310"/>
        <v>10</v>
      </c>
      <c r="AX216" s="1">
        <f t="shared" si="293"/>
        <v>1</v>
      </c>
      <c r="AY216" s="1">
        <f>MIN(20,MAX(0,O216+0+1-0))</f>
        <v>6</v>
      </c>
      <c r="AZ216" s="1">
        <f t="shared" si="294"/>
        <v>5</v>
      </c>
      <c r="BA216" s="1">
        <f t="shared" si="301"/>
        <v>5</v>
      </c>
      <c r="BB216" s="1">
        <f t="shared" si="309"/>
        <v>20</v>
      </c>
      <c r="BC216" s="1">
        <f t="shared" si="307"/>
        <v>3</v>
      </c>
      <c r="BD216" s="1">
        <f t="shared" si="280"/>
        <v>0</v>
      </c>
      <c r="BE216" s="1">
        <f>MAX(0,U216-IF(AF216&gt;0,1,0))+0</f>
        <v>0</v>
      </c>
      <c r="BF216" s="1">
        <f t="shared" si="311"/>
        <v>4</v>
      </c>
      <c r="BG216" s="1">
        <f t="shared" si="298"/>
        <v>1</v>
      </c>
      <c r="BH216" s="1">
        <f t="shared" si="274"/>
        <v>1</v>
      </c>
      <c r="BI216" s="1">
        <f t="shared" si="299"/>
        <v>1</v>
      </c>
      <c r="BJ216" s="1">
        <f t="shared" si="302"/>
        <v>1</v>
      </c>
      <c r="BK216" s="1">
        <f t="shared" si="303"/>
        <v>1</v>
      </c>
      <c r="BL216" s="1">
        <f t="shared" si="308"/>
        <v>1</v>
      </c>
      <c r="BM216" s="1">
        <f t="shared" si="306"/>
        <v>1</v>
      </c>
      <c r="BN216" s="1">
        <f t="shared" si="275"/>
        <v>1</v>
      </c>
      <c r="BO216" s="1">
        <f t="shared" si="276"/>
        <v>1</v>
      </c>
    </row>
    <row r="217" spans="1:67" ht="30.95" customHeight="1">
      <c r="A217" s="1">
        <f>5</f>
        <v>5</v>
      </c>
      <c r="B217" s="1">
        <f>固定流程!A37</f>
        <v>32</v>
      </c>
      <c r="C217" s="1">
        <f>8</f>
        <v>8</v>
      </c>
      <c r="D217" s="1">
        <f>2</f>
        <v>2</v>
      </c>
      <c r="E217" s="1">
        <f>固定流程!C37</f>
        <v>3</v>
      </c>
      <c r="F217" s="1">
        <f>固定流程!G37</f>
        <v>1</v>
      </c>
      <c r="G217" s="1" t="str">
        <f>固定流程!H37</f>
        <v>LILYA_WEAK</v>
      </c>
      <c r="H217" s="1">
        <f>固定流程!F37</f>
        <v>1</v>
      </c>
      <c r="I217" s="1">
        <f>INDEX(配置与结果!$B$15:$B$18,F217)</f>
        <v>2296</v>
      </c>
      <c r="J217" s="1">
        <f>INDEX(配置与结果!$D$15:$D$18,F217)</f>
        <v>0.7</v>
      </c>
      <c r="K217" s="1">
        <f>INDEX(配置与结果!$E$15:$E$18,F217)</f>
        <v>2.0249999999999999</v>
      </c>
      <c r="L217" s="1">
        <f t="shared" si="295"/>
        <v>2</v>
      </c>
      <c r="M217" s="1">
        <f t="shared" si="296"/>
        <v>10</v>
      </c>
      <c r="N217" s="1">
        <f t="shared" si="297"/>
        <v>1</v>
      </c>
      <c r="O217" s="1">
        <f t="shared" si="281"/>
        <v>6</v>
      </c>
      <c r="P217" s="1">
        <f>MIN(方案参数!$AI$8,AZ216+0+0)</f>
        <v>5</v>
      </c>
      <c r="Q217" s="1">
        <f t="shared" si="259"/>
        <v>5</v>
      </c>
      <c r="R217" s="1">
        <f t="shared" si="260"/>
        <v>20</v>
      </c>
      <c r="S217" s="1">
        <f t="shared" si="261"/>
        <v>3</v>
      </c>
      <c r="T217" s="1">
        <f t="shared" si="304"/>
        <v>0</v>
      </c>
      <c r="U217" s="1">
        <f t="shared" si="263"/>
        <v>0</v>
      </c>
      <c r="V217" s="1">
        <f t="shared" si="264"/>
        <v>4</v>
      </c>
      <c r="W217" s="1">
        <f t="shared" si="265"/>
        <v>1</v>
      </c>
      <c r="X217" s="1">
        <f t="shared" si="266"/>
        <v>1</v>
      </c>
      <c r="Y217" s="1">
        <f t="shared" si="267"/>
        <v>1</v>
      </c>
      <c r="Z217" s="1">
        <f t="shared" si="268"/>
        <v>1</v>
      </c>
      <c r="AA217" s="1">
        <f t="shared" si="300"/>
        <v>1</v>
      </c>
      <c r="AB217" s="1">
        <f t="shared" si="270"/>
        <v>1</v>
      </c>
      <c r="AC217" s="1">
        <f t="shared" si="305"/>
        <v>1</v>
      </c>
      <c r="AD217" s="1">
        <f>ROUNDDOWN(I217*(1+IF(F217=3,0.05+方案参数!$Y$8+AA217*0.12,IF(F217=4,方案参数!$BZ$8*方案参数!$AS$8,0)))+IF(AND(X217=1,F217&lt;&gt;3),方案参数!$CC$8,0)+AC217*方案参数!$CB$8,0)</f>
        <v>3034</v>
      </c>
      <c r="AE217" s="1">
        <f>IF(OR(F217=1,F217=4),配置与结果!$B$24,配置与结果!$B$25)*MAX(0,1-INDEX(配置与结果!$I$15:$I$18,F217))</f>
        <v>1200</v>
      </c>
      <c r="AF217" s="1">
        <f>方案参数!$BL$8</f>
        <v>15</v>
      </c>
      <c r="AG217" s="1">
        <f>MAX(配置与结果!$B$32,1+INDEX(配置与结果!$F$15:$F$18,F217)+0.08+方案参数!$CD$8+Q217*方案参数!$W$8+Y217*(方案参数!$AN$8+MIN(方案参数!$AO$8,P217*0.03))+AB217*方案参数!$BZ$8*0.025-配置与结果!$B$28+方案参数!$AE$8)</f>
        <v>2.6150000000000002</v>
      </c>
      <c r="AH217" s="1">
        <f>MAX(0,1+V217*方案参数!$U$8+8*方案参数!$V$8+方案参数!$AE$8-配置与结果!$B$29)</f>
        <v>2.04</v>
      </c>
      <c r="AI217" s="1">
        <f>IF(OR(INDEX(配置与结果!$K$15:$K$18,F217)=1,G217="RHI_BERRY"),1+配置与结果!$B$33+P217*方案参数!$AH$8,1)</f>
        <v>1</v>
      </c>
      <c r="AJ217" s="1">
        <f>MIN(1,MAX(0,J217+方案参数!$AB$8-配置与结果!$B$27))</f>
        <v>1</v>
      </c>
      <c r="AK217" s="1">
        <f>MAX(1,K217+IF(F217=2,0.15+方案参数!$CH$8,0)+BN217*方案参数!$X$8+R217*方案参数!$AA$8+方案参数!$BP$8-配置与结果!$B$26+Z217*(方案参数!$AP$8+MIN(方案参数!$AQ$8,P217*0.03)))</f>
        <v>2.7650000000000001</v>
      </c>
      <c r="AL217" s="7">
        <f>ROUNDDOWN(MAX(AD217*配置与结果!$B$31,AD217-AE217)*AF217*AG217*AH217*AI217,0)</f>
        <v>146754</v>
      </c>
      <c r="AM217" s="7">
        <f>ROUNDDOWN(MAX(AD217*配置与结果!$B$31,AD217-AE217)*AF217*AG217*AH217*AI217*AK217,0)</f>
        <v>405777</v>
      </c>
      <c r="AN217" s="7">
        <f t="shared" si="287"/>
        <v>405777</v>
      </c>
      <c r="AO217" s="7">
        <f>0</f>
        <v>0</v>
      </c>
      <c r="AP217" s="7">
        <f>MAX(0,1+INDEX(配置与结果!$J$15:$J$18,F217)+IF(T217&gt;0,方案参数!$BY$8,0)-配置与结果!$B$30)</f>
        <v>1</v>
      </c>
      <c r="AQ217" s="7">
        <f t="shared" si="288"/>
        <v>0</v>
      </c>
      <c r="AR217" s="7">
        <f t="shared" si="289"/>
        <v>0</v>
      </c>
      <c r="AS217" s="7">
        <f t="shared" si="290"/>
        <v>0</v>
      </c>
      <c r="AT217" s="7">
        <f>IF(U217&gt;0,ROUNDDOWN(AL217*方案参数!$AF$8,0)*(1-AJ217)+ROUNDDOWN(AM217*方案参数!$AF$8,0)*AJ217,0)</f>
        <v>0</v>
      </c>
      <c r="AU217" s="7">
        <f t="shared" si="291"/>
        <v>405777</v>
      </c>
      <c r="AV217" s="1">
        <f t="shared" si="292"/>
        <v>2</v>
      </c>
      <c r="AW217" s="1">
        <f t="shared" si="310"/>
        <v>10</v>
      </c>
      <c r="AX217" s="1">
        <f t="shared" si="293"/>
        <v>1</v>
      </c>
      <c r="AY217" s="1">
        <f>MIN(20,MAX(0,O217+0+1-0))</f>
        <v>7</v>
      </c>
      <c r="AZ217" s="1">
        <f t="shared" si="294"/>
        <v>5</v>
      </c>
      <c r="BA217" s="1">
        <f t="shared" si="301"/>
        <v>5</v>
      </c>
      <c r="BB217" s="1">
        <f t="shared" si="309"/>
        <v>20</v>
      </c>
      <c r="BC217" s="1">
        <f t="shared" si="307"/>
        <v>3</v>
      </c>
      <c r="BD217" s="1">
        <f t="shared" si="280"/>
        <v>0</v>
      </c>
      <c r="BE217" s="1">
        <f>MAX(0,U217-IF(AF217&gt;0,1,0))+0</f>
        <v>0</v>
      </c>
      <c r="BF217" s="1">
        <f t="shared" si="311"/>
        <v>4</v>
      </c>
      <c r="BG217" s="1">
        <f t="shared" si="298"/>
        <v>1</v>
      </c>
      <c r="BH217" s="1">
        <f t="shared" si="274"/>
        <v>1</v>
      </c>
      <c r="BI217" s="1">
        <f t="shared" si="299"/>
        <v>1</v>
      </c>
      <c r="BJ217" s="1">
        <f t="shared" si="302"/>
        <v>1</v>
      </c>
      <c r="BK217" s="1">
        <f t="shared" si="303"/>
        <v>1</v>
      </c>
      <c r="BL217" s="1">
        <f t="shared" si="308"/>
        <v>1</v>
      </c>
      <c r="BM217" s="1">
        <f t="shared" si="306"/>
        <v>1</v>
      </c>
      <c r="BN217" s="1">
        <f t="shared" si="275"/>
        <v>1</v>
      </c>
      <c r="BO217" s="1">
        <f t="shared" si="276"/>
        <v>1</v>
      </c>
    </row>
    <row r="218" spans="1:67" ht="30.95" customHeight="1">
      <c r="A218" s="1">
        <f>5</f>
        <v>5</v>
      </c>
      <c r="B218" s="1">
        <f>固定流程!A38</f>
        <v>33</v>
      </c>
      <c r="C218" s="1">
        <f>8</f>
        <v>8</v>
      </c>
      <c r="D218" s="1">
        <f>2</f>
        <v>2</v>
      </c>
      <c r="E218" s="1">
        <f>固定流程!C38</f>
        <v>3</v>
      </c>
      <c r="F218" s="1">
        <f>固定流程!G38</f>
        <v>1</v>
      </c>
      <c r="G218" s="1" t="str">
        <f>固定流程!H38</f>
        <v>LILYA_WEAK</v>
      </c>
      <c r="H218" s="1">
        <f>固定流程!F38</f>
        <v>1</v>
      </c>
      <c r="I218" s="1">
        <f>INDEX(配置与结果!$B$15:$B$18,F218)</f>
        <v>2296</v>
      </c>
      <c r="J218" s="1">
        <f>INDEX(配置与结果!$D$15:$D$18,F218)</f>
        <v>0.7</v>
      </c>
      <c r="K218" s="1">
        <f>INDEX(配置与结果!$E$15:$E$18,F218)</f>
        <v>2.0249999999999999</v>
      </c>
      <c r="L218" s="1">
        <f t="shared" si="295"/>
        <v>2</v>
      </c>
      <c r="M218" s="1">
        <f t="shared" si="296"/>
        <v>10</v>
      </c>
      <c r="N218" s="1">
        <f t="shared" si="297"/>
        <v>1</v>
      </c>
      <c r="O218" s="1">
        <f t="shared" si="281"/>
        <v>7</v>
      </c>
      <c r="P218" s="1">
        <f>MIN(方案参数!$AI$8,AZ217+0+0)</f>
        <v>5</v>
      </c>
      <c r="Q218" s="1">
        <f t="shared" si="259"/>
        <v>5</v>
      </c>
      <c r="R218" s="1">
        <f t="shared" si="260"/>
        <v>20</v>
      </c>
      <c r="S218" s="1">
        <f t="shared" si="261"/>
        <v>3</v>
      </c>
      <c r="T218" s="1">
        <f t="shared" si="304"/>
        <v>0</v>
      </c>
      <c r="U218" s="1">
        <f t="shared" si="263"/>
        <v>0</v>
      </c>
      <c r="V218" s="1">
        <f t="shared" si="264"/>
        <v>4</v>
      </c>
      <c r="W218" s="1">
        <f t="shared" si="265"/>
        <v>1</v>
      </c>
      <c r="X218" s="1">
        <f t="shared" si="266"/>
        <v>1</v>
      </c>
      <c r="Y218" s="1">
        <f t="shared" si="267"/>
        <v>1</v>
      </c>
      <c r="Z218" s="1">
        <f t="shared" si="268"/>
        <v>1</v>
      </c>
      <c r="AA218" s="1">
        <f t="shared" si="300"/>
        <v>1</v>
      </c>
      <c r="AB218" s="1">
        <f t="shared" si="270"/>
        <v>1</v>
      </c>
      <c r="AC218" s="1">
        <f t="shared" si="305"/>
        <v>1</v>
      </c>
      <c r="AD218" s="1">
        <f>ROUNDDOWN(I218*(1+IF(F218=3,0.05+方案参数!$Y$8+AA218*0.12,IF(F218=4,方案参数!$BZ$8*方案参数!$AS$8,0)))+IF(AND(X218=1,F218&lt;&gt;3),方案参数!$CC$8,0)+AC218*方案参数!$CB$8,0)</f>
        <v>3034</v>
      </c>
      <c r="AE218" s="1">
        <f>IF(OR(F218=1,F218=4),配置与结果!$B$24,配置与结果!$B$25)*MAX(0,1-INDEX(配置与结果!$I$15:$I$18,F218))</f>
        <v>1200</v>
      </c>
      <c r="AF218" s="1">
        <f>方案参数!$BL$8</f>
        <v>15</v>
      </c>
      <c r="AG218" s="1">
        <f>MAX(配置与结果!$B$32,1+INDEX(配置与结果!$F$15:$F$18,F218)+0.08+方案参数!$CD$8+Q218*方案参数!$W$8+Y218*(方案参数!$AN$8+MIN(方案参数!$AO$8,P218*0.03))+AB218*方案参数!$BZ$8*0.025-配置与结果!$B$28+方案参数!$AE$8)</f>
        <v>2.6150000000000002</v>
      </c>
      <c r="AH218" s="1">
        <f>MAX(0,1+V218*方案参数!$U$8+9*方案参数!$V$8+方案参数!$AE$8-配置与结果!$B$29)</f>
        <v>2.1</v>
      </c>
      <c r="AI218" s="1">
        <f>IF(OR(INDEX(配置与结果!$K$15:$K$18,F218)=1,G218="RHI_BERRY"),1+配置与结果!$B$33+P218*方案参数!$AH$8,1)</f>
        <v>1</v>
      </c>
      <c r="AJ218" s="1">
        <f>MIN(1,MAX(0,J218+方案参数!$AB$8-配置与结果!$B$27))</f>
        <v>1</v>
      </c>
      <c r="AK218" s="1">
        <f>MAX(1,K218+IF(F218=2,0.15+方案参数!$CH$8,0)+BN218*方案参数!$X$8+R218*方案参数!$AA$8+方案参数!$BP$8-配置与结果!$B$26+Z218*(方案参数!$AP$8+MIN(方案参数!$AQ$8,P218*0.03)))</f>
        <v>2.7650000000000001</v>
      </c>
      <c r="AL218" s="7">
        <f>ROUNDDOWN(MAX(AD218*配置与结果!$B$31,AD218-AE218)*AF218*AG218*AH218*AI218,0)</f>
        <v>151071</v>
      </c>
      <c r="AM218" s="7">
        <f>ROUNDDOWN(MAX(AD218*配置与结果!$B$31,AD218-AE218)*AF218*AG218*AH218*AI218*AK218,0)</f>
        <v>417711</v>
      </c>
      <c r="AN218" s="7">
        <f t="shared" si="287"/>
        <v>417711</v>
      </c>
      <c r="AO218" s="7">
        <f>0</f>
        <v>0</v>
      </c>
      <c r="AP218" s="7">
        <f>MAX(0,1+INDEX(配置与结果!$J$15:$J$18,F218)+IF(T218&gt;0,方案参数!$BY$8,0)-配置与结果!$B$30)</f>
        <v>1</v>
      </c>
      <c r="AQ218" s="7">
        <f t="shared" si="288"/>
        <v>0</v>
      </c>
      <c r="AR218" s="7">
        <f t="shared" si="289"/>
        <v>0</v>
      </c>
      <c r="AS218" s="7">
        <f t="shared" si="290"/>
        <v>0</v>
      </c>
      <c r="AT218" s="7">
        <f>IF(U218&gt;0,ROUNDDOWN(AL218*方案参数!$AF$8,0)*(1-AJ218)+ROUNDDOWN(AM218*方案参数!$AF$8,0)*AJ218,0)</f>
        <v>0</v>
      </c>
      <c r="AU218" s="7">
        <f t="shared" si="291"/>
        <v>417711</v>
      </c>
      <c r="AV218" s="1">
        <f t="shared" si="292"/>
        <v>2</v>
      </c>
      <c r="AW218" s="1">
        <f t="shared" si="310"/>
        <v>10</v>
      </c>
      <c r="AX218" s="1">
        <f t="shared" si="293"/>
        <v>1</v>
      </c>
      <c r="AY218" s="1">
        <f>MIN(20,MAX(0,O218+0+1-0))</f>
        <v>8</v>
      </c>
      <c r="AZ218" s="1">
        <f t="shared" si="294"/>
        <v>5</v>
      </c>
      <c r="BA218" s="1">
        <f t="shared" si="301"/>
        <v>5</v>
      </c>
      <c r="BB218" s="1">
        <f t="shared" si="309"/>
        <v>20</v>
      </c>
      <c r="BC218" s="1">
        <f t="shared" si="307"/>
        <v>3</v>
      </c>
      <c r="BD218" s="1">
        <f t="shared" si="280"/>
        <v>0</v>
      </c>
      <c r="BE218" s="1">
        <f>MAX(0,U218-IF(AF218&gt;0,1,0))+0</f>
        <v>0</v>
      </c>
      <c r="BF218" s="1">
        <f t="shared" si="311"/>
        <v>4</v>
      </c>
      <c r="BG218" s="1">
        <f t="shared" si="298"/>
        <v>1</v>
      </c>
      <c r="BH218" s="1">
        <f t="shared" si="274"/>
        <v>1</v>
      </c>
      <c r="BI218" s="1">
        <f t="shared" si="299"/>
        <v>1</v>
      </c>
      <c r="BJ218" s="1">
        <f t="shared" si="302"/>
        <v>1</v>
      </c>
      <c r="BK218" s="1">
        <f t="shared" si="303"/>
        <v>1</v>
      </c>
      <c r="BL218" s="1">
        <f t="shared" si="308"/>
        <v>1</v>
      </c>
      <c r="BM218" s="1">
        <f t="shared" si="306"/>
        <v>1</v>
      </c>
      <c r="BN218" s="1">
        <f t="shared" si="275"/>
        <v>1</v>
      </c>
      <c r="BO218" s="1">
        <f t="shared" si="276"/>
        <v>1</v>
      </c>
    </row>
    <row r="219" spans="1:67" ht="30.95" customHeight="1">
      <c r="A219" s="1">
        <f>5</f>
        <v>5</v>
      </c>
      <c r="B219" s="1">
        <f>固定流程!A39</f>
        <v>34</v>
      </c>
      <c r="C219" s="1">
        <f>8</f>
        <v>8</v>
      </c>
      <c r="D219" s="1">
        <f>2</f>
        <v>2</v>
      </c>
      <c r="E219" s="1">
        <f>固定流程!C39</f>
        <v>3</v>
      </c>
      <c r="F219" s="1">
        <f>固定流程!G39</f>
        <v>2</v>
      </c>
      <c r="G219" s="1" t="str">
        <f>固定流程!H39</f>
        <v>37_WEAK</v>
      </c>
      <c r="H219" s="1">
        <f>固定流程!F39</f>
        <v>1</v>
      </c>
      <c r="I219" s="1">
        <f>INDEX(配置与结果!$B$15:$B$18,F219)</f>
        <v>2306</v>
      </c>
      <c r="J219" s="1">
        <f>INDEX(配置与结果!$D$15:$D$18,F219)</f>
        <v>0.46</v>
      </c>
      <c r="K219" s="1">
        <f>INDEX(配置与结果!$E$15:$E$18,F219)</f>
        <v>1.9279999999999999</v>
      </c>
      <c r="L219" s="1">
        <f t="shared" si="295"/>
        <v>2</v>
      </c>
      <c r="M219" s="1">
        <f t="shared" si="296"/>
        <v>10</v>
      </c>
      <c r="N219" s="1">
        <f t="shared" si="297"/>
        <v>1</v>
      </c>
      <c r="O219" s="1">
        <f t="shared" si="281"/>
        <v>8</v>
      </c>
      <c r="P219" s="1">
        <f>MIN(方案参数!$AI$8,AZ218+0+0)</f>
        <v>5</v>
      </c>
      <c r="Q219" s="1">
        <f t="shared" si="259"/>
        <v>5</v>
      </c>
      <c r="R219" s="1">
        <f t="shared" si="260"/>
        <v>20</v>
      </c>
      <c r="S219" s="1">
        <f t="shared" si="261"/>
        <v>3</v>
      </c>
      <c r="T219" s="1">
        <f t="shared" si="304"/>
        <v>0</v>
      </c>
      <c r="U219" s="1">
        <f t="shared" si="263"/>
        <v>0</v>
      </c>
      <c r="V219" s="1">
        <f t="shared" si="264"/>
        <v>4</v>
      </c>
      <c r="W219" s="1">
        <f t="shared" si="265"/>
        <v>1</v>
      </c>
      <c r="X219" s="1">
        <f t="shared" si="266"/>
        <v>1</v>
      </c>
      <c r="Y219" s="1">
        <f t="shared" si="267"/>
        <v>1</v>
      </c>
      <c r="Z219" s="1">
        <f t="shared" si="268"/>
        <v>1</v>
      </c>
      <c r="AA219" s="1">
        <f t="shared" si="300"/>
        <v>1</v>
      </c>
      <c r="AB219" s="1">
        <f t="shared" si="270"/>
        <v>1</v>
      </c>
      <c r="AC219" s="1">
        <f t="shared" si="305"/>
        <v>1</v>
      </c>
      <c r="AD219" s="1">
        <f>ROUNDDOWN(I219*(1+IF(F219=3,0.05+方案参数!$Y$8+AA219*0.12,IF(F219=4,方案参数!$BZ$8*方案参数!$AS$8,0)))+IF(AND(X219=1,F219&lt;&gt;3),方案参数!$CC$8,0)+AC219*方案参数!$CB$8,0)</f>
        <v>3044</v>
      </c>
      <c r="AE219" s="1">
        <f>IF(OR(F219=1,F219=4),配置与结果!$B$24,配置与结果!$B$25)*MAX(0,1-INDEX(配置与结果!$I$15:$I$18,F219))</f>
        <v>1000</v>
      </c>
      <c r="AF219" s="1">
        <f>方案参数!$CE$8</f>
        <v>8</v>
      </c>
      <c r="AG219" s="1">
        <f>MAX(配置与结果!$B$32,1+INDEX(配置与结果!$F$15:$F$18,F219)+0+Q219*方案参数!$W$8+Y219*(方案参数!$AN$8+MIN(方案参数!$AO$8,P219*0.03))+AB219*方案参数!$BZ$8*0.025-配置与结果!$B$28+方案参数!$AE$8)</f>
        <v>2.2800000000000002</v>
      </c>
      <c r="AH219" s="1">
        <f>MAX(0,1+V219*方案参数!$U$8+方案参数!$AE$8-配置与结果!$B$29)</f>
        <v>1.56</v>
      </c>
      <c r="AI219" s="1">
        <f>IF(OR(INDEX(配置与结果!$K$15:$K$18,F219)=1,G219="RHI_BERRY"),1+配置与结果!$B$33+P219*方案参数!$AH$8,1)</f>
        <v>1</v>
      </c>
      <c r="AJ219" s="1">
        <f>MIN(1,MAX(0,J219+方案参数!$AB$8-配置与结果!$B$27))</f>
        <v>0.76</v>
      </c>
      <c r="AK219" s="1">
        <f>MAX(1,K219+IF(F219=2,0.15+方案参数!$CH$8,0)+BN219*方案参数!$X$8+R219*方案参数!$AA$8+0-配置与结果!$B$26+Z219*(方案参数!$AP$8+MIN(方案参数!$AQ$8,P219*0.03)))</f>
        <v>2.3380000000000001</v>
      </c>
      <c r="AL219" s="7">
        <f>ROUNDDOWN(MAX(AD219*配置与结果!$B$31,AD219-AE219)*AF219*AG219*AH219*AI219,0)</f>
        <v>58160</v>
      </c>
      <c r="AM219" s="7">
        <f>ROUNDDOWN(MAX(AD219*配置与结果!$B$31,AD219-AE219)*AF219*AG219*AH219*AI219*AK219,0)</f>
        <v>135979</v>
      </c>
      <c r="AN219" s="7">
        <f t="shared" si="287"/>
        <v>117302.44</v>
      </c>
      <c r="AO219" s="7">
        <f>0</f>
        <v>0</v>
      </c>
      <c r="AP219" s="7">
        <f>MAX(0,1+INDEX(配置与结果!$J$15:$J$18,F219)+IF(T219&gt;0,方案参数!$BY$8,0)-配置与结果!$B$30)</f>
        <v>1</v>
      </c>
      <c r="AQ219" s="7">
        <f t="shared" si="288"/>
        <v>0</v>
      </c>
      <c r="AR219" s="7">
        <f t="shared" si="289"/>
        <v>0</v>
      </c>
      <c r="AS219" s="7">
        <f t="shared" si="290"/>
        <v>0</v>
      </c>
      <c r="AT219" s="7">
        <f>IF(U219&gt;0,ROUNDDOWN(AL219*方案参数!$AF$8,0)*(1-AJ219)+ROUNDDOWN(AM219*方案参数!$AF$8,0)*AJ219,0)</f>
        <v>0</v>
      </c>
      <c r="AU219" s="7">
        <f t="shared" si="291"/>
        <v>117302.44</v>
      </c>
      <c r="AV219" s="1">
        <f t="shared" si="292"/>
        <v>2</v>
      </c>
      <c r="AW219" s="1">
        <f t="shared" si="310"/>
        <v>10</v>
      </c>
      <c r="AX219" s="1">
        <f t="shared" si="293"/>
        <v>1</v>
      </c>
      <c r="AY219" s="1">
        <f>MIN(20,MAX(0,O219+0+0-0))</f>
        <v>8</v>
      </c>
      <c r="AZ219" s="1">
        <f t="shared" si="294"/>
        <v>5</v>
      </c>
      <c r="BA219" s="1">
        <f t="shared" si="301"/>
        <v>5</v>
      </c>
      <c r="BB219" s="1">
        <f t="shared" si="309"/>
        <v>20</v>
      </c>
      <c r="BC219" s="1">
        <f t="shared" si="307"/>
        <v>3</v>
      </c>
      <c r="BD219" s="1">
        <f t="shared" si="280"/>
        <v>0</v>
      </c>
      <c r="BE219" s="1">
        <f>MAX(0,U219-IF(AF219&gt;0,1,0))+1</f>
        <v>1</v>
      </c>
      <c r="BF219" s="1">
        <f t="shared" si="311"/>
        <v>4</v>
      </c>
      <c r="BG219" s="1">
        <f t="shared" si="298"/>
        <v>1</v>
      </c>
      <c r="BH219" s="1">
        <f t="shared" si="274"/>
        <v>1</v>
      </c>
      <c r="BI219" s="1">
        <f t="shared" si="299"/>
        <v>1</v>
      </c>
      <c r="BJ219" s="1">
        <f t="shared" si="302"/>
        <v>1</v>
      </c>
      <c r="BK219" s="1">
        <f t="shared" si="303"/>
        <v>1</v>
      </c>
      <c r="BL219" s="1">
        <f t="shared" si="308"/>
        <v>1</v>
      </c>
      <c r="BM219" s="1">
        <f t="shared" si="306"/>
        <v>1</v>
      </c>
      <c r="BN219" s="1">
        <f t="shared" si="275"/>
        <v>1</v>
      </c>
      <c r="BO219" s="1">
        <f t="shared" si="276"/>
        <v>1</v>
      </c>
    </row>
    <row r="220" spans="1:67" ht="30.95" customHeight="1">
      <c r="A220" s="1">
        <f>5</f>
        <v>5</v>
      </c>
      <c r="B220" s="1">
        <f>固定流程!A40</f>
        <v>35</v>
      </c>
      <c r="C220" s="1">
        <f>8</f>
        <v>8</v>
      </c>
      <c r="D220" s="1">
        <f>2</f>
        <v>2</v>
      </c>
      <c r="E220" s="1">
        <f>固定流程!C40</f>
        <v>3</v>
      </c>
      <c r="F220" s="1">
        <f>固定流程!G40</f>
        <v>2</v>
      </c>
      <c r="G220" s="1" t="str">
        <f>固定流程!H40</f>
        <v>37_WEAK</v>
      </c>
      <c r="H220" s="1">
        <f>固定流程!F40</f>
        <v>1</v>
      </c>
      <c r="I220" s="1">
        <f>INDEX(配置与结果!$B$15:$B$18,F220)</f>
        <v>2306</v>
      </c>
      <c r="J220" s="1">
        <f>INDEX(配置与结果!$D$15:$D$18,F220)</f>
        <v>0.46</v>
      </c>
      <c r="K220" s="1">
        <f>INDEX(配置与结果!$E$15:$E$18,F220)</f>
        <v>1.9279999999999999</v>
      </c>
      <c r="L220" s="1">
        <f t="shared" si="295"/>
        <v>2</v>
      </c>
      <c r="M220" s="1">
        <f t="shared" si="296"/>
        <v>10</v>
      </c>
      <c r="N220" s="1">
        <f t="shared" si="297"/>
        <v>1</v>
      </c>
      <c r="O220" s="1">
        <f t="shared" si="281"/>
        <v>8</v>
      </c>
      <c r="P220" s="1">
        <f>MIN(方案参数!$AI$8,AZ219+0+0)</f>
        <v>5</v>
      </c>
      <c r="Q220" s="1">
        <f t="shared" si="259"/>
        <v>5</v>
      </c>
      <c r="R220" s="1">
        <f t="shared" si="260"/>
        <v>20</v>
      </c>
      <c r="S220" s="1">
        <f t="shared" si="261"/>
        <v>3</v>
      </c>
      <c r="T220" s="1">
        <f t="shared" si="304"/>
        <v>0</v>
      </c>
      <c r="U220" s="1">
        <f t="shared" si="263"/>
        <v>1</v>
      </c>
      <c r="V220" s="1">
        <f t="shared" si="264"/>
        <v>4</v>
      </c>
      <c r="W220" s="1">
        <f t="shared" si="265"/>
        <v>1</v>
      </c>
      <c r="X220" s="1">
        <f t="shared" si="266"/>
        <v>1</v>
      </c>
      <c r="Y220" s="1">
        <f t="shared" si="267"/>
        <v>1</v>
      </c>
      <c r="Z220" s="1">
        <f t="shared" si="268"/>
        <v>1</v>
      </c>
      <c r="AA220" s="1">
        <f t="shared" si="300"/>
        <v>1</v>
      </c>
      <c r="AB220" s="1">
        <f t="shared" si="270"/>
        <v>1</v>
      </c>
      <c r="AC220" s="1">
        <f t="shared" si="305"/>
        <v>1</v>
      </c>
      <c r="AD220" s="1">
        <f>ROUNDDOWN(I220*(1+IF(F220=3,0.05+方案参数!$Y$8+AA220*0.12,IF(F220=4,方案参数!$BZ$8*方案参数!$AS$8,0)))+IF(AND(X220=1,F220&lt;&gt;3),方案参数!$CC$8,0)+AC220*方案参数!$CB$8,0)</f>
        <v>3044</v>
      </c>
      <c r="AE220" s="1">
        <f>IF(OR(F220=1,F220=4),配置与结果!$B$24,配置与结果!$B$25)*MAX(0,1-INDEX(配置与结果!$I$15:$I$18,F220))</f>
        <v>1000</v>
      </c>
      <c r="AF220" s="1">
        <f>方案参数!$CE$8</f>
        <v>8</v>
      </c>
      <c r="AG220" s="1">
        <f>MAX(配置与结果!$B$32,1+INDEX(配置与结果!$F$15:$F$18,F220)+0+Q220*方案参数!$W$8+Y220*(方案参数!$AN$8+MIN(方案参数!$AO$8,P220*0.03))+AB220*方案参数!$BZ$8*0.025-配置与结果!$B$28+方案参数!$AE$8)</f>
        <v>2.2800000000000002</v>
      </c>
      <c r="AH220" s="1">
        <f>MAX(0,1+V220*方案参数!$U$8+方案参数!$AE$8-配置与结果!$B$29)</f>
        <v>1.56</v>
      </c>
      <c r="AI220" s="1">
        <f>IF(OR(INDEX(配置与结果!$K$15:$K$18,F220)=1,G220="RHI_BERRY"),1+配置与结果!$B$33+P220*方案参数!$AH$8,1)</f>
        <v>1</v>
      </c>
      <c r="AJ220" s="1">
        <f>MIN(1,MAX(0,J220+方案参数!$AB$8-配置与结果!$B$27))</f>
        <v>0.76</v>
      </c>
      <c r="AK220" s="1">
        <f>MAX(1,K220+IF(F220=2,0.15+方案参数!$CH$8,0)+BN220*方案参数!$X$8+R220*方案参数!$AA$8+0-配置与结果!$B$26+Z220*(方案参数!$AP$8+MIN(方案参数!$AQ$8,P220*0.03)))</f>
        <v>2.3380000000000001</v>
      </c>
      <c r="AL220" s="7">
        <f>ROUNDDOWN(MAX(AD220*配置与结果!$B$31,AD220-AE220)*AF220*AG220*AH220*AI220,0)</f>
        <v>58160</v>
      </c>
      <c r="AM220" s="7">
        <f>ROUNDDOWN(MAX(AD220*配置与结果!$B$31,AD220-AE220)*AF220*AG220*AH220*AI220*AK220,0)</f>
        <v>135979</v>
      </c>
      <c r="AN220" s="7">
        <f t="shared" si="287"/>
        <v>117302.44</v>
      </c>
      <c r="AO220" s="7">
        <f>0</f>
        <v>0</v>
      </c>
      <c r="AP220" s="7">
        <f>MAX(0,1+INDEX(配置与结果!$J$15:$J$18,F220)+IF(T220&gt;0,方案参数!$BY$8,0)-配置与结果!$B$30)</f>
        <v>1</v>
      </c>
      <c r="AQ220" s="7">
        <f t="shared" si="288"/>
        <v>0</v>
      </c>
      <c r="AR220" s="7">
        <f t="shared" si="289"/>
        <v>0</v>
      </c>
      <c r="AS220" s="7">
        <f t="shared" si="290"/>
        <v>0</v>
      </c>
      <c r="AT220" s="7">
        <f>IF(U220&gt;0,ROUNDDOWN(AL220*方案参数!$AF$8,0)*(1-AJ220)+ROUNDDOWN(AM220*方案参数!$AF$8,0)*AJ220,0)</f>
        <v>46920.520000000004</v>
      </c>
      <c r="AU220" s="7">
        <f t="shared" si="291"/>
        <v>164222.96000000002</v>
      </c>
      <c r="AV220" s="1">
        <f t="shared" si="292"/>
        <v>2</v>
      </c>
      <c r="AW220" s="1">
        <f t="shared" si="310"/>
        <v>10</v>
      </c>
      <c r="AX220" s="1">
        <f t="shared" si="293"/>
        <v>1</v>
      </c>
      <c r="AY220" s="1">
        <f>MIN(20,MAX(0,O220+0+0-0))</f>
        <v>8</v>
      </c>
      <c r="AZ220" s="1">
        <f t="shared" si="294"/>
        <v>5</v>
      </c>
      <c r="BA220" s="1">
        <f t="shared" si="301"/>
        <v>5</v>
      </c>
      <c r="BB220" s="1">
        <f t="shared" si="309"/>
        <v>20</v>
      </c>
      <c r="BC220" s="1">
        <f t="shared" si="307"/>
        <v>3</v>
      </c>
      <c r="BD220" s="1">
        <f t="shared" si="280"/>
        <v>0</v>
      </c>
      <c r="BE220" s="1">
        <f>MAX(0,U220-IF(AF220&gt;0,1,0))+1</f>
        <v>1</v>
      </c>
      <c r="BF220" s="1">
        <f t="shared" si="311"/>
        <v>4</v>
      </c>
      <c r="BG220" s="1">
        <f t="shared" si="298"/>
        <v>1</v>
      </c>
      <c r="BH220" s="1">
        <f t="shared" si="274"/>
        <v>1</v>
      </c>
      <c r="BI220" s="1">
        <f t="shared" si="299"/>
        <v>1</v>
      </c>
      <c r="BJ220" s="1">
        <f t="shared" si="302"/>
        <v>1</v>
      </c>
      <c r="BK220" s="1">
        <f t="shared" si="303"/>
        <v>1</v>
      </c>
      <c r="BL220" s="1">
        <f t="shared" si="308"/>
        <v>1</v>
      </c>
      <c r="BM220" s="1">
        <f t="shared" si="306"/>
        <v>1</v>
      </c>
      <c r="BN220" s="1">
        <f t="shared" si="275"/>
        <v>1</v>
      </c>
      <c r="BO220" s="1">
        <f t="shared" si="276"/>
        <v>1</v>
      </c>
    </row>
    <row r="221" spans="1:67" ht="30.95" customHeight="1">
      <c r="A221" s="1">
        <f>5</f>
        <v>5</v>
      </c>
      <c r="B221" s="1">
        <f>固定流程!A41</f>
        <v>36</v>
      </c>
      <c r="C221" s="1">
        <f>8</f>
        <v>8</v>
      </c>
      <c r="D221" s="1">
        <f>2</f>
        <v>2</v>
      </c>
      <c r="E221" s="1">
        <f>固定流程!C41</f>
        <v>3</v>
      </c>
      <c r="F221" s="1">
        <f>固定流程!G41</f>
        <v>1</v>
      </c>
      <c r="G221" s="1" t="str">
        <f>固定流程!H41</f>
        <v>LILYA_FINISH</v>
      </c>
      <c r="H221" s="1">
        <f>固定流程!F41</f>
        <v>1</v>
      </c>
      <c r="I221" s="1">
        <f>INDEX(配置与结果!$B$15:$B$18,F221)</f>
        <v>2296</v>
      </c>
      <c r="J221" s="1">
        <f>INDEX(配置与结果!$D$15:$D$18,F221)</f>
        <v>0.7</v>
      </c>
      <c r="K221" s="1">
        <f>INDEX(配置与结果!$E$15:$E$18,F221)</f>
        <v>2.0249999999999999</v>
      </c>
      <c r="L221" s="1">
        <f t="shared" si="295"/>
        <v>2</v>
      </c>
      <c r="M221" s="1">
        <f t="shared" si="296"/>
        <v>10</v>
      </c>
      <c r="N221" s="1">
        <f t="shared" si="297"/>
        <v>1</v>
      </c>
      <c r="O221" s="1">
        <f t="shared" si="281"/>
        <v>8</v>
      </c>
      <c r="P221" s="1">
        <f>MIN(方案参数!$AI$8,AZ220+0+0)</f>
        <v>5</v>
      </c>
      <c r="Q221" s="1">
        <f t="shared" si="259"/>
        <v>5</v>
      </c>
      <c r="R221" s="1">
        <f t="shared" si="260"/>
        <v>20</v>
      </c>
      <c r="S221" s="1">
        <f t="shared" si="261"/>
        <v>3</v>
      </c>
      <c r="T221" s="1">
        <f t="shared" si="304"/>
        <v>0</v>
      </c>
      <c r="U221" s="1">
        <f t="shared" si="263"/>
        <v>1</v>
      </c>
      <c r="V221" s="1">
        <f t="shared" si="264"/>
        <v>4</v>
      </c>
      <c r="W221" s="1">
        <f t="shared" si="265"/>
        <v>1</v>
      </c>
      <c r="X221" s="1">
        <f t="shared" si="266"/>
        <v>1</v>
      </c>
      <c r="Y221" s="1">
        <f t="shared" si="267"/>
        <v>1</v>
      </c>
      <c r="Z221" s="1">
        <f t="shared" si="268"/>
        <v>1</v>
      </c>
      <c r="AA221" s="1">
        <f t="shared" si="300"/>
        <v>1</v>
      </c>
      <c r="AB221" s="1">
        <f t="shared" si="270"/>
        <v>1</v>
      </c>
      <c r="AC221" s="1">
        <f t="shared" si="305"/>
        <v>1</v>
      </c>
      <c r="AD221" s="1">
        <f>ROUNDDOWN(I221*(1+IF(F221=3,0.05+方案参数!$Y$8+AA221*0.12,IF(F221=4,方案参数!$BZ$8*方案参数!$AS$8,0)))+IF(AND(X221=1,F221&lt;&gt;3),方案参数!$CC$8,0)+AC221*方案参数!$CB$8,0)</f>
        <v>3034</v>
      </c>
      <c r="AE221" s="1">
        <f>IF(OR(F221=1,F221=4),配置与结果!$B$24,配置与结果!$B$25)*MAX(0,1-INDEX(配置与结果!$I$15:$I$18,F221))</f>
        <v>1200</v>
      </c>
      <c r="AF221" s="1">
        <f>方案参数!$BN$8+12*方案参数!$BO$8</f>
        <v>80</v>
      </c>
      <c r="AG221" s="1">
        <f>MAX(配置与结果!$B$32,1+INDEX(配置与结果!$F$15:$F$18,F221)+0.08+方案参数!$CD$8+Q221*方案参数!$W$8+Y221*(方案参数!$AN$8+MIN(方案参数!$AO$8,P221*0.03))+AB221*方案参数!$BZ$8*0.025-配置与结果!$B$28+方案参数!$AE$8)</f>
        <v>2.6150000000000002</v>
      </c>
      <c r="AH221" s="1">
        <f>MAX(0,1+V221*方案参数!$U$8+12*方案参数!$V$8+方案参数!$AE$8-配置与结果!$B$29)</f>
        <v>2.2799999999999998</v>
      </c>
      <c r="AI221" s="1">
        <f>IF(OR(INDEX(配置与结果!$K$15:$K$18,F221)=1,G221="RHI_BERRY"),1+配置与结果!$B$33+P221*方案参数!$AH$8,1)</f>
        <v>1</v>
      </c>
      <c r="AJ221" s="1">
        <f>MIN(1,MAX(0,J221+方案参数!$AB$8-配置与结果!$B$27))</f>
        <v>1</v>
      </c>
      <c r="AK221" s="1">
        <f>MAX(1,K221+IF(F221=2,0.15+方案参数!$CH$8,0)+BN221*方案参数!$X$8+R221*方案参数!$AA$8+方案参数!$BR$8-配置与结果!$B$26+Z221*(方案参数!$AP$8+MIN(方案参数!$AQ$8,P221*0.03)))</f>
        <v>3.165</v>
      </c>
      <c r="AL221" s="7">
        <f>ROUNDDOWN(MAX(AD221*配置与结果!$B$31,AD221-AE221)*AF221*AG221*AH221*AI221,0)</f>
        <v>874773</v>
      </c>
      <c r="AM221" s="7">
        <f>ROUNDDOWN(MAX(AD221*配置与结果!$B$31,AD221-AE221)*AF221*AG221*AH221*AI221*AK221,0)</f>
        <v>2768659</v>
      </c>
      <c r="AN221" s="7">
        <f t="shared" si="287"/>
        <v>2768659</v>
      </c>
      <c r="AO221" s="7">
        <f>0</f>
        <v>0</v>
      </c>
      <c r="AP221" s="7">
        <f>MAX(0,1+INDEX(配置与结果!$J$15:$J$18,F221)+IF(T221&gt;0,方案参数!$BY$8,0)-配置与结果!$B$30)</f>
        <v>1</v>
      </c>
      <c r="AQ221" s="7">
        <f t="shared" si="288"/>
        <v>0</v>
      </c>
      <c r="AR221" s="7">
        <f t="shared" si="289"/>
        <v>0</v>
      </c>
      <c r="AS221" s="7">
        <f t="shared" si="290"/>
        <v>0</v>
      </c>
      <c r="AT221" s="7">
        <f>IF(U221&gt;0,ROUNDDOWN(AL221*方案参数!$AF$8,0)*(1-AJ221)+ROUNDDOWN(AM221*方案参数!$AF$8,0)*AJ221,0)</f>
        <v>1107463</v>
      </c>
      <c r="AU221" s="7">
        <f t="shared" si="291"/>
        <v>3876122</v>
      </c>
      <c r="AV221" s="1">
        <f t="shared" si="292"/>
        <v>2</v>
      </c>
      <c r="AW221" s="1">
        <f t="shared" si="310"/>
        <v>10</v>
      </c>
      <c r="AX221" s="1">
        <f t="shared" si="293"/>
        <v>1</v>
      </c>
      <c r="AY221" s="1">
        <f>MIN(20,MAX(0,O221+0+1-0))</f>
        <v>9</v>
      </c>
      <c r="AZ221" s="1">
        <f t="shared" si="294"/>
        <v>5</v>
      </c>
      <c r="BA221" s="1">
        <f t="shared" si="301"/>
        <v>5</v>
      </c>
      <c r="BB221" s="1">
        <f t="shared" si="309"/>
        <v>20</v>
      </c>
      <c r="BC221" s="1">
        <f t="shared" si="307"/>
        <v>3</v>
      </c>
      <c r="BD221" s="1">
        <f t="shared" si="280"/>
        <v>0</v>
      </c>
      <c r="BE221" s="1">
        <f>MAX(0,U221-IF(AF221&gt;0,1,0))+0</f>
        <v>0</v>
      </c>
      <c r="BF221" s="1">
        <f t="shared" si="311"/>
        <v>4</v>
      </c>
      <c r="BG221" s="1">
        <f t="shared" si="298"/>
        <v>1</v>
      </c>
      <c r="BH221" s="1">
        <f t="shared" si="274"/>
        <v>1</v>
      </c>
      <c r="BI221" s="1">
        <f t="shared" si="299"/>
        <v>1</v>
      </c>
      <c r="BJ221" s="1">
        <f t="shared" si="302"/>
        <v>1</v>
      </c>
      <c r="BK221" s="1">
        <f t="shared" si="303"/>
        <v>1</v>
      </c>
      <c r="BL221" s="1">
        <f t="shared" si="308"/>
        <v>1</v>
      </c>
      <c r="BM221" s="1">
        <f t="shared" si="306"/>
        <v>1</v>
      </c>
      <c r="BN221" s="1">
        <f t="shared" si="275"/>
        <v>1</v>
      </c>
      <c r="BO221" s="1">
        <f t="shared" si="276"/>
        <v>1</v>
      </c>
    </row>
    <row r="222" spans="1:67" ht="30.95" customHeight="1">
      <c r="A222" s="1">
        <f>6</f>
        <v>6</v>
      </c>
      <c r="B222" s="1">
        <f>固定流程!A6</f>
        <v>1</v>
      </c>
      <c r="C222" s="1">
        <f>9</f>
        <v>9</v>
      </c>
      <c r="D222" s="1">
        <f>1</f>
        <v>1</v>
      </c>
      <c r="E222" s="1">
        <f>固定流程!C6</f>
        <v>1</v>
      </c>
      <c r="F222" s="1">
        <f>固定流程!G6</f>
        <v>3</v>
      </c>
      <c r="G222" s="1" t="str">
        <f>固定流程!H6</f>
        <v>RHI_ULT</v>
      </c>
      <c r="H222" s="1">
        <f>固定流程!F6</f>
        <v>1</v>
      </c>
      <c r="I222" s="1">
        <f>INDEX(配置与结果!$B$15:$B$18,F222)</f>
        <v>2597</v>
      </c>
      <c r="J222" s="1">
        <f>INDEX(配置与结果!$D$15:$D$18,F222)</f>
        <v>0.255</v>
      </c>
      <c r="K222" s="1">
        <f>INDEX(配置与结果!$E$15:$E$18,F222)</f>
        <v>1.55</v>
      </c>
      <c r="L222" s="1">
        <f>0</f>
        <v>0</v>
      </c>
      <c r="M222" s="1">
        <f>0</f>
        <v>0</v>
      </c>
      <c r="N222" s="1">
        <f>0</f>
        <v>0</v>
      </c>
      <c r="O222" s="1">
        <f>0</f>
        <v>0</v>
      </c>
      <c r="P222" s="1">
        <f>MIN(方案参数!$AI$9,0+方案参数!$AJ$9+0)</f>
        <v>1</v>
      </c>
      <c r="Q222" s="1">
        <f>0</f>
        <v>0</v>
      </c>
      <c r="R222" s="1">
        <f>0</f>
        <v>0</v>
      </c>
      <c r="S222" s="1">
        <f>0</f>
        <v>0</v>
      </c>
      <c r="T222" s="1">
        <f>0+0</f>
        <v>0</v>
      </c>
      <c r="U222" s="1">
        <f>0</f>
        <v>0</v>
      </c>
      <c r="V222" s="1">
        <f>0</f>
        <v>0</v>
      </c>
      <c r="W222" s="1">
        <f>0</f>
        <v>0</v>
      </c>
      <c r="X222" s="1">
        <f>0</f>
        <v>0</v>
      </c>
      <c r="Y222" s="1">
        <f>0</f>
        <v>0</v>
      </c>
      <c r="Z222" s="1">
        <f>0</f>
        <v>0</v>
      </c>
      <c r="AA222" s="1">
        <f>MAX(0,0)</f>
        <v>0</v>
      </c>
      <c r="AB222" s="1">
        <f>0</f>
        <v>0</v>
      </c>
      <c r="AC222" s="1">
        <f>MAX(0,0)</f>
        <v>0</v>
      </c>
      <c r="AD222" s="1">
        <f>ROUNDDOWN(I222*(1+IF(F222=3,0.05+方案参数!$Y$9+AA222*0.12,IF(F222=4,方案参数!$BZ$9*方案参数!$AS$9,0)))+IF(AND(X222=1,F222&lt;&gt;3),方案参数!$CC$9,0)+AC222*方案参数!$CB$9,0)</f>
        <v>2986</v>
      </c>
      <c r="AE222" s="1">
        <f>IF(OR(F222=1,F222=4),配置与结果!$B$24,配置与结果!$B$25)*MAX(0,1-INDEX(配置与结果!$I$15:$I$18,F222))</f>
        <v>1000</v>
      </c>
      <c r="AF222" s="1">
        <f>0</f>
        <v>0</v>
      </c>
      <c r="AG222" s="1">
        <f>MAX(配置与结果!$B$32,1+INDEX(配置与结果!$F$15:$F$18,F222)+0+Q222*方案参数!$W$9+Y222*(方案参数!$AN$9+MIN(方案参数!$AO$9,P222*0.03))+AB222*方案参数!$BZ$9*0.025-配置与结果!$B$28)</f>
        <v>0.6349999999999999</v>
      </c>
      <c r="AH222" s="1">
        <f>MAX(0,1+INDEX(配置与结果!$G$15:$G$18,F222)+W222*方案参数!$AG$9)</f>
        <v>1</v>
      </c>
      <c r="AI222" s="1">
        <f>IF(OR(INDEX(配置与结果!$K$15:$K$18,F222)=1,G222="RHI_BERRY"),1+配置与结果!$B$33+P222*方案参数!$AH$9,1)</f>
        <v>1</v>
      </c>
      <c r="AJ222" s="1">
        <f>MIN(1,MAX(0,J222+方案参数!$AB$9-配置与结果!$B$27))</f>
        <v>0.55499999999999994</v>
      </c>
      <c r="AK222" s="1">
        <f>MAX(1,K222+IF(F222=2,0.15+方案参数!$CH$9,0)+BN222*方案参数!$X$9+R222*方案参数!$AA$9+0-配置与结果!$B$26+Z222*(方案参数!$AP$9+MIN(方案参数!$AQ$9,P222*0.03)))</f>
        <v>1.1499999999999999</v>
      </c>
      <c r="AL222" s="7">
        <f>ROUNDDOWN(MAX(AD222*配置与结果!$B$31,AD222-AE222)*AF222*AG222*AH222*AI222,0)</f>
        <v>0</v>
      </c>
      <c r="AM222" s="7">
        <f>ROUNDDOWN(MAX(AD222*配置与结果!$B$31,AD222-AE222)*AF222*AG222*AH222*AI222*AK222,0)</f>
        <v>0</v>
      </c>
      <c r="AN222" s="7">
        <f t="shared" si="287"/>
        <v>0</v>
      </c>
      <c r="AO222" s="7">
        <f>0</f>
        <v>0</v>
      </c>
      <c r="AP222" s="7">
        <f>MAX(0,1+INDEX(配置与结果!$J$15:$J$18,F222)+IF(T222&gt;0,方案参数!$BY$9,0)-配置与结果!$B$30)</f>
        <v>1</v>
      </c>
      <c r="AQ222" s="7">
        <f t="shared" si="288"/>
        <v>0</v>
      </c>
      <c r="AR222" s="7">
        <f t="shared" si="289"/>
        <v>0</v>
      </c>
      <c r="AS222" s="7">
        <f t="shared" si="290"/>
        <v>0</v>
      </c>
      <c r="AT222" s="7">
        <f>0</f>
        <v>0</v>
      </c>
      <c r="AU222" s="7">
        <f t="shared" si="291"/>
        <v>0</v>
      </c>
      <c r="AV222" s="1">
        <f t="shared" si="292"/>
        <v>0</v>
      </c>
      <c r="AW222" s="1">
        <f t="shared" si="310"/>
        <v>0</v>
      </c>
      <c r="AX222" s="1">
        <f t="shared" si="293"/>
        <v>0</v>
      </c>
      <c r="AY222" s="1">
        <f>MIN(20,MAX(0,O222+0+0-0))</f>
        <v>0</v>
      </c>
      <c r="AZ222" s="1">
        <f t="shared" si="294"/>
        <v>1</v>
      </c>
      <c r="BA222" s="1">
        <f>MIN(6,Q222+1)</f>
        <v>1</v>
      </c>
      <c r="BB222" s="1">
        <f>MIN(30,R222+5)</f>
        <v>5</v>
      </c>
      <c r="BC222" s="1">
        <f t="shared" si="307"/>
        <v>0</v>
      </c>
      <c r="BD222" s="1">
        <f t="shared" si="280"/>
        <v>0</v>
      </c>
      <c r="BE222" s="1">
        <f>0</f>
        <v>0</v>
      </c>
      <c r="BF222" s="1">
        <f t="shared" si="311"/>
        <v>0</v>
      </c>
      <c r="BG222" s="1">
        <f t="shared" si="298"/>
        <v>0</v>
      </c>
      <c r="BH222" s="1">
        <f>MAX(X222,1)</f>
        <v>1</v>
      </c>
      <c r="BI222" s="1">
        <f t="shared" si="299"/>
        <v>0</v>
      </c>
      <c r="BJ222" s="1">
        <f t="shared" si="302"/>
        <v>0</v>
      </c>
      <c r="BK222" s="1">
        <f t="shared" si="303"/>
        <v>0</v>
      </c>
      <c r="BL222" s="1">
        <f t="shared" si="308"/>
        <v>0</v>
      </c>
      <c r="BM222" s="1">
        <f t="shared" si="306"/>
        <v>0</v>
      </c>
      <c r="BN222" s="1">
        <f>0</f>
        <v>0</v>
      </c>
      <c r="BO222" s="1">
        <f>MAX(BN222,1)</f>
        <v>1</v>
      </c>
    </row>
    <row r="223" spans="1:67" ht="30.95" customHeight="1">
      <c r="A223" s="1">
        <f>6</f>
        <v>6</v>
      </c>
      <c r="B223" s="1">
        <f>固定流程!A7</f>
        <v>2</v>
      </c>
      <c r="C223" s="1">
        <f>9</f>
        <v>9</v>
      </c>
      <c r="D223" s="1">
        <f>1</f>
        <v>1</v>
      </c>
      <c r="E223" s="1">
        <f>固定流程!C7</f>
        <v>1</v>
      </c>
      <c r="F223" s="1">
        <f>固定流程!G7</f>
        <v>3</v>
      </c>
      <c r="G223" s="1" t="str">
        <f>固定流程!H7</f>
        <v>RHI_BUFF</v>
      </c>
      <c r="H223" s="1">
        <f>固定流程!F7</f>
        <v>1</v>
      </c>
      <c r="I223" s="1">
        <f>INDEX(配置与结果!$B$15:$B$18,F223)</f>
        <v>2597</v>
      </c>
      <c r="J223" s="1">
        <f>INDEX(配置与结果!$D$15:$D$18,F223)</f>
        <v>0.255</v>
      </c>
      <c r="K223" s="1">
        <f>INDEX(配置与结果!$E$15:$E$18,F223)</f>
        <v>1.55</v>
      </c>
      <c r="L223" s="1">
        <f t="shared" ref="L223:O228" si="312">AV222</f>
        <v>0</v>
      </c>
      <c r="M223" s="1">
        <f t="shared" si="312"/>
        <v>0</v>
      </c>
      <c r="N223" s="1">
        <f t="shared" si="312"/>
        <v>0</v>
      </c>
      <c r="O223" s="1">
        <f t="shared" si="312"/>
        <v>0</v>
      </c>
      <c r="P223" s="1">
        <f>MIN(方案参数!$AI$9,AZ222+0+方案参数!$AK$9)</f>
        <v>3</v>
      </c>
      <c r="Q223" s="1">
        <f t="shared" ref="Q223:Q257" si="313">BA222</f>
        <v>1</v>
      </c>
      <c r="R223" s="1">
        <f t="shared" ref="R223:R257" si="314">BB222</f>
        <v>5</v>
      </c>
      <c r="S223" s="1">
        <f t="shared" ref="S223:S257" si="315">BC222</f>
        <v>0</v>
      </c>
      <c r="T223" s="1">
        <f t="shared" ref="T223:T236" si="316">BD222+0</f>
        <v>0</v>
      </c>
      <c r="U223" s="1">
        <f t="shared" ref="U223:U257" si="317">BE222</f>
        <v>0</v>
      </c>
      <c r="V223" s="1">
        <f t="shared" ref="V223:V257" si="318">BF222</f>
        <v>0</v>
      </c>
      <c r="W223" s="1">
        <f t="shared" ref="W223:W257" si="319">BG222</f>
        <v>0</v>
      </c>
      <c r="X223" s="1">
        <f t="shared" ref="X223:X257" si="320">BH222</f>
        <v>1</v>
      </c>
      <c r="Y223" s="1">
        <f t="shared" ref="Y223:Y257" si="321">BI222</f>
        <v>0</v>
      </c>
      <c r="Z223" s="1">
        <f t="shared" ref="Z223:Z257" si="322">BJ222</f>
        <v>0</v>
      </c>
      <c r="AA223" s="1">
        <f t="shared" ref="AA223:AA228" si="323">MAX(BK222,0)</f>
        <v>0</v>
      </c>
      <c r="AB223" s="1">
        <f t="shared" ref="AB223:AB257" si="324">BL222</f>
        <v>0</v>
      </c>
      <c r="AC223" s="1">
        <f t="shared" ref="AC223:AC236" si="325">MAX(BM222,0)</f>
        <v>0</v>
      </c>
      <c r="AD223" s="1">
        <f>ROUNDDOWN(I223*(1+IF(F223=3,0.05+方案参数!$Y$9+AA223*0.12,IF(F223=4,方案参数!$BZ$9*方案参数!$AS$9,0)))+IF(AND(X223=1,F223&lt;&gt;3),方案参数!$CC$9,0)+AC223*方案参数!$CB$9,0)</f>
        <v>2986</v>
      </c>
      <c r="AE223" s="1">
        <f>IF(OR(F223=1,F223=4),配置与结果!$B$24,配置与结果!$B$25)*MAX(0,1-INDEX(配置与结果!$I$15:$I$18,F223))</f>
        <v>1000</v>
      </c>
      <c r="AF223" s="1">
        <f>0</f>
        <v>0</v>
      </c>
      <c r="AG223" s="1">
        <f>MAX(配置与结果!$B$32,1+INDEX(配置与结果!$F$15:$F$18,F223)+0+Q223*方案参数!$W$9+Y223*(方案参数!$AN$9+MIN(方案参数!$AO$9,P223*0.03))+AB223*方案参数!$BZ$9*0.025-配置与结果!$B$28)</f>
        <v>0.65499999999999992</v>
      </c>
      <c r="AH223" s="1">
        <f>MAX(0,1+INDEX(配置与结果!$G$15:$G$18,F223)+W223*方案参数!$AG$9)</f>
        <v>1</v>
      </c>
      <c r="AI223" s="1">
        <f>IF(OR(INDEX(配置与结果!$K$15:$K$18,F223)=1,G223="RHI_BERRY"),1+配置与结果!$B$33+P223*方案参数!$AH$9,1)</f>
        <v>1</v>
      </c>
      <c r="AJ223" s="1">
        <f>MIN(1,MAX(0,J223+方案参数!$AB$9-配置与结果!$B$27))</f>
        <v>0.55499999999999994</v>
      </c>
      <c r="AK223" s="1">
        <f>MAX(1,K223+IF(F223=2,0.15+方案参数!$CH$9,0)+BN223*方案参数!$X$9+R223*方案参数!$AA$9+0-配置与结果!$B$26+Z223*(方案参数!$AP$9+MIN(方案参数!$AQ$9,P223*0.03)))</f>
        <v>1.33</v>
      </c>
      <c r="AL223" s="7">
        <f>ROUNDDOWN(MAX(AD223*配置与结果!$B$31,AD223-AE223)*AF223*AG223*AH223*AI223,0)</f>
        <v>0</v>
      </c>
      <c r="AM223" s="7">
        <f>ROUNDDOWN(MAX(AD223*配置与结果!$B$31,AD223-AE223)*AF223*AG223*AH223*AI223*AK223,0)</f>
        <v>0</v>
      </c>
      <c r="AN223" s="7">
        <f t="shared" si="287"/>
        <v>0</v>
      </c>
      <c r="AO223" s="7">
        <f>0</f>
        <v>0</v>
      </c>
      <c r="AP223" s="7">
        <f>MAX(0,1+INDEX(配置与结果!$J$15:$J$18,F223)+IF(T223&gt;0,方案参数!$BY$9,0)-配置与结果!$B$30)</f>
        <v>1</v>
      </c>
      <c r="AQ223" s="7">
        <f t="shared" si="288"/>
        <v>0</v>
      </c>
      <c r="AR223" s="7">
        <f t="shared" si="289"/>
        <v>0</v>
      </c>
      <c r="AS223" s="7">
        <f t="shared" si="290"/>
        <v>0</v>
      </c>
      <c r="AT223" s="7">
        <f>0</f>
        <v>0</v>
      </c>
      <c r="AU223" s="7">
        <f t="shared" si="291"/>
        <v>0</v>
      </c>
      <c r="AV223" s="1">
        <f t="shared" si="292"/>
        <v>0</v>
      </c>
      <c r="AW223" s="1">
        <f t="shared" si="310"/>
        <v>0</v>
      </c>
      <c r="AX223" s="1">
        <f t="shared" si="293"/>
        <v>0</v>
      </c>
      <c r="AY223" s="1">
        <f>MIN(20,MAX(0,O223+0+0-0))</f>
        <v>0</v>
      </c>
      <c r="AZ223" s="1">
        <f t="shared" si="294"/>
        <v>3</v>
      </c>
      <c r="BA223" s="1">
        <f>MIN(6,Q223+1)</f>
        <v>2</v>
      </c>
      <c r="BB223" s="1">
        <f t="shared" ref="BB223:BB236" si="326">MIN(30,R223+0)</f>
        <v>5</v>
      </c>
      <c r="BC223" s="1">
        <f t="shared" si="307"/>
        <v>0</v>
      </c>
      <c r="BD223" s="1">
        <f t="shared" si="280"/>
        <v>0</v>
      </c>
      <c r="BE223" s="1">
        <f t="shared" ref="BE223:BE244" si="327">BE222</f>
        <v>0</v>
      </c>
      <c r="BF223" s="1">
        <f t="shared" si="311"/>
        <v>0</v>
      </c>
      <c r="BG223" s="1">
        <f>MAX(W223,1)</f>
        <v>1</v>
      </c>
      <c r="BH223" s="1">
        <f t="shared" ref="BH223:BH257" si="328">MAX(X223,0)</f>
        <v>1</v>
      </c>
      <c r="BI223" s="1">
        <f>MAX(Y223,1)</f>
        <v>1</v>
      </c>
      <c r="BJ223" s="1">
        <f t="shared" si="302"/>
        <v>0</v>
      </c>
      <c r="BK223" s="1">
        <f t="shared" si="303"/>
        <v>0</v>
      </c>
      <c r="BL223" s="1">
        <f t="shared" si="308"/>
        <v>0</v>
      </c>
      <c r="BM223" s="1">
        <f t="shared" si="306"/>
        <v>0</v>
      </c>
      <c r="BN223" s="1">
        <f t="shared" ref="BN223:BN257" si="329">BO222</f>
        <v>1</v>
      </c>
      <c r="BO223" s="1">
        <f t="shared" ref="BO223:BO257" si="330">MAX(BN223,0)</f>
        <v>1</v>
      </c>
    </row>
    <row r="224" spans="1:67" ht="30.95" customHeight="1">
      <c r="A224" s="1">
        <f>6</f>
        <v>6</v>
      </c>
      <c r="B224" s="1">
        <f>固定流程!A8</f>
        <v>3</v>
      </c>
      <c r="C224" s="1">
        <f>9</f>
        <v>9</v>
      </c>
      <c r="D224" s="1">
        <f>1</f>
        <v>1</v>
      </c>
      <c r="E224" s="1">
        <f>固定流程!C8</f>
        <v>1</v>
      </c>
      <c r="F224" s="1">
        <f>固定流程!G8</f>
        <v>1</v>
      </c>
      <c r="G224" s="1" t="str">
        <f>固定流程!H8</f>
        <v>LILYA_COBRA</v>
      </c>
      <c r="H224" s="1">
        <f>固定流程!F8</f>
        <v>1</v>
      </c>
      <c r="I224" s="1">
        <f>INDEX(配置与结果!$B$15:$B$18,F224)</f>
        <v>2296</v>
      </c>
      <c r="J224" s="1">
        <f>INDEX(配置与结果!$D$15:$D$18,F224)</f>
        <v>0.7</v>
      </c>
      <c r="K224" s="1">
        <f>INDEX(配置与结果!$E$15:$E$18,F224)</f>
        <v>2.0249999999999999</v>
      </c>
      <c r="L224" s="1">
        <f t="shared" si="312"/>
        <v>0</v>
      </c>
      <c r="M224" s="1">
        <f t="shared" si="312"/>
        <v>0</v>
      </c>
      <c r="N224" s="1">
        <f t="shared" si="312"/>
        <v>0</v>
      </c>
      <c r="O224" s="1">
        <f t="shared" si="312"/>
        <v>0</v>
      </c>
      <c r="P224" s="1">
        <f>MIN(方案参数!$AI$9,AZ223+0+0)</f>
        <v>3</v>
      </c>
      <c r="Q224" s="1">
        <f t="shared" si="313"/>
        <v>2</v>
      </c>
      <c r="R224" s="1">
        <f t="shared" si="314"/>
        <v>5</v>
      </c>
      <c r="S224" s="1">
        <f t="shared" si="315"/>
        <v>0</v>
      </c>
      <c r="T224" s="1">
        <f t="shared" si="316"/>
        <v>0</v>
      </c>
      <c r="U224" s="1">
        <f t="shared" si="317"/>
        <v>0</v>
      </c>
      <c r="V224" s="1">
        <f t="shared" si="318"/>
        <v>0</v>
      </c>
      <c r="W224" s="1">
        <f t="shared" si="319"/>
        <v>1</v>
      </c>
      <c r="X224" s="1">
        <f t="shared" si="320"/>
        <v>1</v>
      </c>
      <c r="Y224" s="1">
        <f t="shared" si="321"/>
        <v>1</v>
      </c>
      <c r="Z224" s="1">
        <f t="shared" si="322"/>
        <v>0</v>
      </c>
      <c r="AA224" s="1">
        <f t="shared" si="323"/>
        <v>0</v>
      </c>
      <c r="AB224" s="1">
        <f t="shared" si="324"/>
        <v>0</v>
      </c>
      <c r="AC224" s="1">
        <f t="shared" si="325"/>
        <v>0</v>
      </c>
      <c r="AD224" s="1">
        <f>ROUNDDOWN(I224*(1+IF(F224=3,0.05+方案参数!$Y$9+AA224*0.12,IF(F224=4,方案参数!$BZ$9*方案参数!$AS$9,0)))+IF(AND(X224=1,F224&lt;&gt;3),方案参数!$CC$9,0)+AC224*方案参数!$CB$9,0)</f>
        <v>2534</v>
      </c>
      <c r="AE224" s="1">
        <f>IF(OR(F224=1,F224=4),配置与结果!$B$24,配置与结果!$B$25)*MAX(0,1-INDEX(配置与结果!$I$15:$I$18,F224))</f>
        <v>1200</v>
      </c>
      <c r="AF224" s="1">
        <f>0</f>
        <v>0</v>
      </c>
      <c r="AG224" s="1">
        <f>MAX(配置与结果!$B$32,1+INDEX(配置与结果!$F$15:$F$18,F224)+0.08+方案参数!$CD$9+Q224*方案参数!$W$9+Y224*(方案参数!$AN$9+MIN(方案参数!$AO$9,P224*0.03))+AB224*方案参数!$BZ$9*0.025-配置与结果!$B$28)</f>
        <v>1.2200000000000002</v>
      </c>
      <c r="AH224" s="1">
        <f>MAX(0,1+INDEX(配置与结果!$G$15:$G$18,F224)+W224*方案参数!$AG$9)</f>
        <v>1.3</v>
      </c>
      <c r="AI224" s="1">
        <f>IF(OR(INDEX(配置与结果!$K$15:$K$18,F224)=1,G224="RHI_BERRY"),1+配置与结果!$B$33+P224*方案参数!$AH$9,1)</f>
        <v>1</v>
      </c>
      <c r="AJ224" s="1">
        <f>MIN(1,MAX(0,J224+方案参数!$AB$9-配置与结果!$B$27))</f>
        <v>1</v>
      </c>
      <c r="AK224" s="1">
        <f>MAX(1,K224+IF(F224=2,0.15+方案参数!$CH$9,0)+BN224*方案参数!$X$9+R224*方案参数!$AA$9+0-配置与结果!$B$26+Z224*(方案参数!$AP$9+MIN(方案参数!$AQ$9,P224*0.03)))</f>
        <v>1.8050000000000002</v>
      </c>
      <c r="AL224" s="7">
        <f>ROUNDDOWN(MAX(AD224*配置与结果!$B$31,AD224-AE224)*AF224*AG224*AH224*AI224,0)</f>
        <v>0</v>
      </c>
      <c r="AM224" s="7">
        <f>ROUNDDOWN(MAX(AD224*配置与结果!$B$31,AD224-AE224)*AF224*AG224*AH224*AI224*AK224,0)</f>
        <v>0</v>
      </c>
      <c r="AN224" s="7">
        <f t="shared" si="287"/>
        <v>0</v>
      </c>
      <c r="AO224" s="7">
        <f>0</f>
        <v>0</v>
      </c>
      <c r="AP224" s="7">
        <f>MAX(0,1+INDEX(配置与结果!$J$15:$J$18,F224)+IF(T224&gt;0,方案参数!$BY$9,0)-配置与结果!$B$30)</f>
        <v>1</v>
      </c>
      <c r="AQ224" s="7">
        <f t="shared" si="288"/>
        <v>0</v>
      </c>
      <c r="AR224" s="7">
        <f t="shared" si="289"/>
        <v>0</v>
      </c>
      <c r="AS224" s="7">
        <f t="shared" si="290"/>
        <v>0</v>
      </c>
      <c r="AT224" s="7">
        <f>0</f>
        <v>0</v>
      </c>
      <c r="AU224" s="7">
        <f t="shared" si="291"/>
        <v>0</v>
      </c>
      <c r="AV224" s="1">
        <f t="shared" si="292"/>
        <v>1</v>
      </c>
      <c r="AW224" s="1">
        <f>MIN(10,M224+方案参数!$BD$9+0)</f>
        <v>5</v>
      </c>
      <c r="AX224" s="1">
        <f t="shared" si="293"/>
        <v>0</v>
      </c>
      <c r="AY224" s="1">
        <f>MIN(20,MAX(0,O224+6+0-0))</f>
        <v>6</v>
      </c>
      <c r="AZ224" s="1">
        <f t="shared" si="294"/>
        <v>3</v>
      </c>
      <c r="BA224" s="1">
        <f>MIN(6,Q224+0)</f>
        <v>2</v>
      </c>
      <c r="BB224" s="1">
        <f t="shared" si="326"/>
        <v>5</v>
      </c>
      <c r="BC224" s="1">
        <f t="shared" si="307"/>
        <v>0</v>
      </c>
      <c r="BD224" s="1">
        <f t="shared" si="280"/>
        <v>0</v>
      </c>
      <c r="BE224" s="1">
        <f t="shared" si="327"/>
        <v>0</v>
      </c>
      <c r="BF224" s="1">
        <f t="shared" si="311"/>
        <v>0</v>
      </c>
      <c r="BG224" s="1">
        <f t="shared" ref="BG224:BG234" si="331">MAX(W224,0)</f>
        <v>1</v>
      </c>
      <c r="BH224" s="1">
        <f t="shared" si="328"/>
        <v>1</v>
      </c>
      <c r="BI224" s="1">
        <f t="shared" ref="BI224:BI234" si="332">MAX(Y224,0)</f>
        <v>1</v>
      </c>
      <c r="BJ224" s="1">
        <f t="shared" si="302"/>
        <v>0</v>
      </c>
      <c r="BK224" s="1">
        <f t="shared" si="303"/>
        <v>0</v>
      </c>
      <c r="BL224" s="1">
        <f t="shared" si="308"/>
        <v>0</v>
      </c>
      <c r="BM224" s="1">
        <f t="shared" si="306"/>
        <v>0</v>
      </c>
      <c r="BN224" s="1">
        <f t="shared" si="329"/>
        <v>1</v>
      </c>
      <c r="BO224" s="1">
        <f t="shared" si="330"/>
        <v>1</v>
      </c>
    </row>
    <row r="225" spans="1:67" ht="30.95" customHeight="1">
      <c r="A225" s="1">
        <f>6</f>
        <v>6</v>
      </c>
      <c r="B225" s="1">
        <f>固定流程!A9</f>
        <v>4</v>
      </c>
      <c r="C225" s="1">
        <f>9</f>
        <v>9</v>
      </c>
      <c r="D225" s="1">
        <f>1</f>
        <v>1</v>
      </c>
      <c r="E225" s="1">
        <f>固定流程!C9</f>
        <v>1</v>
      </c>
      <c r="F225" s="1">
        <f>固定流程!G9</f>
        <v>1</v>
      </c>
      <c r="G225" s="1" t="str">
        <f>固定流程!H9</f>
        <v>LILYA_DIVE</v>
      </c>
      <c r="H225" s="1">
        <f>固定流程!F9</f>
        <v>1</v>
      </c>
      <c r="I225" s="1">
        <f>INDEX(配置与结果!$B$15:$B$18,F225)</f>
        <v>2296</v>
      </c>
      <c r="J225" s="1">
        <f>INDEX(配置与结果!$D$15:$D$18,F225)</f>
        <v>0.7</v>
      </c>
      <c r="K225" s="1">
        <f>INDEX(配置与结果!$E$15:$E$18,F225)</f>
        <v>2.0249999999999999</v>
      </c>
      <c r="L225" s="1">
        <f t="shared" si="312"/>
        <v>1</v>
      </c>
      <c r="M225" s="1">
        <f t="shared" si="312"/>
        <v>5</v>
      </c>
      <c r="N225" s="1">
        <f t="shared" si="312"/>
        <v>0</v>
      </c>
      <c r="O225" s="1">
        <f t="shared" si="312"/>
        <v>6</v>
      </c>
      <c r="P225" s="1">
        <f>MIN(方案参数!$AI$9,AZ224+0+0)</f>
        <v>3</v>
      </c>
      <c r="Q225" s="1">
        <f t="shared" si="313"/>
        <v>2</v>
      </c>
      <c r="R225" s="1">
        <f t="shared" si="314"/>
        <v>5</v>
      </c>
      <c r="S225" s="1">
        <f t="shared" si="315"/>
        <v>0</v>
      </c>
      <c r="T225" s="1">
        <f t="shared" si="316"/>
        <v>0</v>
      </c>
      <c r="U225" s="1">
        <f t="shared" si="317"/>
        <v>0</v>
      </c>
      <c r="V225" s="1">
        <f t="shared" si="318"/>
        <v>0</v>
      </c>
      <c r="W225" s="1">
        <f t="shared" si="319"/>
        <v>1</v>
      </c>
      <c r="X225" s="1">
        <f t="shared" si="320"/>
        <v>1</v>
      </c>
      <c r="Y225" s="1">
        <f t="shared" si="321"/>
        <v>1</v>
      </c>
      <c r="Z225" s="1">
        <f t="shared" si="322"/>
        <v>0</v>
      </c>
      <c r="AA225" s="1">
        <f t="shared" si="323"/>
        <v>0</v>
      </c>
      <c r="AB225" s="1">
        <f t="shared" si="324"/>
        <v>0</v>
      </c>
      <c r="AC225" s="1">
        <f t="shared" si="325"/>
        <v>0</v>
      </c>
      <c r="AD225" s="1">
        <f>ROUNDDOWN(I225*(1+IF(F225=3,0.05+方案参数!$Y$9+AA225*0.12,IF(F225=4,方案参数!$BZ$9*方案参数!$AS$9,0)))+IF(AND(X225=1,F225&lt;&gt;3),方案参数!$CC$9,0)+AC225*方案参数!$CB$9,0)</f>
        <v>2534</v>
      </c>
      <c r="AE225" s="1">
        <f>IF(OR(F225=1,F225=4),配置与结果!$B$24,配置与结果!$B$25)*MAX(0,1-INDEX(配置与结果!$I$15:$I$18,F225))</f>
        <v>1200</v>
      </c>
      <c r="AF225" s="1">
        <f>(IF(L225=1,方案参数!$AW$9,IF(L225=2,方案参数!$AX$9,0))+方案参数!$AV$9)*H225</f>
        <v>9</v>
      </c>
      <c r="AG225" s="1">
        <f>MAX(配置与结果!$B$32,1+INDEX(配置与结果!$F$15:$F$18,F225)+0.08+方案参数!$CD$9+Q225*方案参数!$W$9+Y225*(方案参数!$AN$9+MIN(方案参数!$AO$9,P225*0.03))+AB225*方案参数!$BZ$9*0.025+IF(L225=1,方案参数!$AY$9+(H225-1)*0.1,IF(L225=2,方案参数!$AZ$9+(H225-1)*0.2,0))-配置与结果!$B$28)</f>
        <v>1.52</v>
      </c>
      <c r="AH225" s="1">
        <f>MAX(0,1+INDEX(配置与结果!$G$15:$G$18,F225)+W225*方案参数!$AG$9+IF(L225=1,方案参数!$BA$9,IF(L225=2,方案参数!$BB$9,0))+M225*方案参数!$BC$9)</f>
        <v>2.8</v>
      </c>
      <c r="AI225" s="1">
        <f>IF(OR(INDEX(配置与结果!$K$15:$K$18,F225)=1,G225="RHI_BERRY"),1+配置与结果!$B$33+P225*方案参数!$AH$9,1)</f>
        <v>1</v>
      </c>
      <c r="AJ225" s="1">
        <f>MIN(1,MAX(0,J225+方案参数!$AB$9-配置与结果!$B$27))</f>
        <v>1</v>
      </c>
      <c r="AK225" s="1">
        <f>MAX(1,K225+IF(F225=2,0.15+方案参数!$CH$9,0)+BN225*方案参数!$X$9+R225*方案参数!$AA$9+0-配置与结果!$B$26+Z225*(方案参数!$AP$9+MIN(方案参数!$AQ$9,P225*0.03)))</f>
        <v>1.8050000000000002</v>
      </c>
      <c r="AL225" s="7">
        <f>ROUNDDOWN(MAX(AD225*配置与结果!$B$31,AD225-AE225)*AF225*AG225*AH225*AI225,0)</f>
        <v>51097</v>
      </c>
      <c r="AM225" s="7">
        <f>ROUNDDOWN(MAX(AD225*配置与结果!$B$31,AD225-AE225)*AF225*AG225*AH225*AI225*AK225,0)</f>
        <v>92231</v>
      </c>
      <c r="AN225" s="7">
        <f t="shared" si="287"/>
        <v>92231</v>
      </c>
      <c r="AO225" s="7">
        <f>0</f>
        <v>0</v>
      </c>
      <c r="AP225" s="7">
        <f>MAX(0,1+INDEX(配置与结果!$J$15:$J$18,F225)+IF(T225&gt;0,方案参数!$BY$9,0)-配置与结果!$B$30)</f>
        <v>1</v>
      </c>
      <c r="AQ225" s="7">
        <f t="shared" si="288"/>
        <v>0</v>
      </c>
      <c r="AR225" s="7">
        <f t="shared" si="289"/>
        <v>0</v>
      </c>
      <c r="AS225" s="7">
        <f t="shared" si="290"/>
        <v>0</v>
      </c>
      <c r="AT225" s="7">
        <f>0</f>
        <v>0</v>
      </c>
      <c r="AU225" s="7">
        <f t="shared" si="291"/>
        <v>92231</v>
      </c>
      <c r="AV225" s="1">
        <f t="shared" si="292"/>
        <v>1</v>
      </c>
      <c r="AW225" s="1">
        <f>MIN(10,M225+0+IF(L225=1,方案参数!$BE$9,0))</f>
        <v>7</v>
      </c>
      <c r="AX225" s="1">
        <f t="shared" si="293"/>
        <v>0</v>
      </c>
      <c r="AY225" s="1">
        <f t="shared" ref="AY225:AY240" si="333">MIN(20,MAX(0,O225+0+0-0))</f>
        <v>6</v>
      </c>
      <c r="AZ225" s="1">
        <f t="shared" si="294"/>
        <v>3</v>
      </c>
      <c r="BA225" s="1">
        <f>MIN(6,Q225+0)</f>
        <v>2</v>
      </c>
      <c r="BB225" s="1">
        <f t="shared" si="326"/>
        <v>5</v>
      </c>
      <c r="BC225" s="1">
        <f t="shared" si="307"/>
        <v>0</v>
      </c>
      <c r="BD225" s="1">
        <f t="shared" si="280"/>
        <v>0</v>
      </c>
      <c r="BE225" s="1">
        <f t="shared" si="327"/>
        <v>0</v>
      </c>
      <c r="BF225" s="1">
        <f t="shared" si="311"/>
        <v>0</v>
      </c>
      <c r="BG225" s="1">
        <f t="shared" si="331"/>
        <v>1</v>
      </c>
      <c r="BH225" s="1">
        <f t="shared" si="328"/>
        <v>1</v>
      </c>
      <c r="BI225" s="1">
        <f t="shared" si="332"/>
        <v>1</v>
      </c>
      <c r="BJ225" s="1">
        <f t="shared" si="302"/>
        <v>0</v>
      </c>
      <c r="BK225" s="1">
        <f t="shared" si="303"/>
        <v>0</v>
      </c>
      <c r="BL225" s="1">
        <f t="shared" si="308"/>
        <v>0</v>
      </c>
      <c r="BM225" s="1">
        <f t="shared" si="306"/>
        <v>0</v>
      </c>
      <c r="BN225" s="1">
        <f t="shared" si="329"/>
        <v>1</v>
      </c>
      <c r="BO225" s="1">
        <f t="shared" si="330"/>
        <v>1</v>
      </c>
    </row>
    <row r="226" spans="1:67" ht="30.95" customHeight="1">
      <c r="A226" s="1">
        <f>6</f>
        <v>6</v>
      </c>
      <c r="B226" s="1">
        <f>固定流程!A10</f>
        <v>5</v>
      </c>
      <c r="C226" s="1">
        <f>9</f>
        <v>9</v>
      </c>
      <c r="D226" s="1">
        <f>1</f>
        <v>1</v>
      </c>
      <c r="E226" s="1">
        <f>固定流程!C10</f>
        <v>1</v>
      </c>
      <c r="F226" s="1">
        <f>固定流程!G10</f>
        <v>2</v>
      </c>
      <c r="G226" s="1" t="str">
        <f>固定流程!H10</f>
        <v>37_TRIANGLE</v>
      </c>
      <c r="H226" s="1">
        <f>固定流程!F10</f>
        <v>1</v>
      </c>
      <c r="I226" s="1">
        <f>INDEX(配置与结果!$B$15:$B$18,F226)</f>
        <v>2306</v>
      </c>
      <c r="J226" s="1">
        <f>INDEX(配置与结果!$D$15:$D$18,F226)</f>
        <v>0.46</v>
      </c>
      <c r="K226" s="1">
        <f>INDEX(配置与结果!$E$15:$E$18,F226)</f>
        <v>1.9279999999999999</v>
      </c>
      <c r="L226" s="1">
        <f t="shared" si="312"/>
        <v>1</v>
      </c>
      <c r="M226" s="1">
        <f t="shared" si="312"/>
        <v>7</v>
      </c>
      <c r="N226" s="1">
        <f t="shared" si="312"/>
        <v>0</v>
      </c>
      <c r="O226" s="1">
        <f t="shared" si="312"/>
        <v>6</v>
      </c>
      <c r="P226" s="1">
        <f>MIN(方案参数!$AI$9,AZ225+0+0)</f>
        <v>3</v>
      </c>
      <c r="Q226" s="1">
        <f t="shared" si="313"/>
        <v>2</v>
      </c>
      <c r="R226" s="1">
        <f t="shared" si="314"/>
        <v>5</v>
      </c>
      <c r="S226" s="1">
        <f t="shared" si="315"/>
        <v>0</v>
      </c>
      <c r="T226" s="1">
        <f t="shared" si="316"/>
        <v>0</v>
      </c>
      <c r="U226" s="1">
        <f t="shared" si="317"/>
        <v>0</v>
      </c>
      <c r="V226" s="1">
        <f t="shared" si="318"/>
        <v>0</v>
      </c>
      <c r="W226" s="1">
        <f t="shared" si="319"/>
        <v>1</v>
      </c>
      <c r="X226" s="1">
        <f t="shared" si="320"/>
        <v>1</v>
      </c>
      <c r="Y226" s="1">
        <f t="shared" si="321"/>
        <v>1</v>
      </c>
      <c r="Z226" s="1">
        <f t="shared" si="322"/>
        <v>0</v>
      </c>
      <c r="AA226" s="1">
        <f t="shared" si="323"/>
        <v>0</v>
      </c>
      <c r="AB226" s="1">
        <f t="shared" si="324"/>
        <v>0</v>
      </c>
      <c r="AC226" s="1">
        <f t="shared" si="325"/>
        <v>0</v>
      </c>
      <c r="AD226" s="1">
        <f>ROUNDDOWN(I226*(1+IF(F226=3,0.05+方案参数!$Y$9+AA226*0.12,IF(F226=4,方案参数!$BZ$9*方案参数!$AS$9,0)))+IF(AND(X226=1,F226&lt;&gt;3),方案参数!$CC$9,0)+AC226*方案参数!$CB$9,0)</f>
        <v>2544</v>
      </c>
      <c r="AE226" s="1">
        <f>IF(OR(F226=1,F226=4),配置与结果!$B$24,配置与结果!$B$25)*MAX(0,1-INDEX(配置与结果!$I$15:$I$18,F226))</f>
        <v>1000</v>
      </c>
      <c r="AF226" s="1">
        <f>方案参数!$BS$9*IF(H226=1,1,IF(H226=2,1.5,2.5))</f>
        <v>2.8</v>
      </c>
      <c r="AG226" s="1">
        <f>MAX(配置与结果!$B$32,1+INDEX(配置与结果!$F$15:$F$18,F226)+0+Q226*方案参数!$W$9+Y226*(方案参数!$AN$9+MIN(方案参数!$AO$9,P226*0.03))+AB226*方案参数!$BZ$9*0.025-配置与结果!$B$28)</f>
        <v>0.8849999999999999</v>
      </c>
      <c r="AH226" s="1">
        <f>MAX(0,1+INDEX(配置与结果!$G$15:$G$18,F226)+W226*方案参数!$AG$9)</f>
        <v>1.3</v>
      </c>
      <c r="AI226" s="1">
        <f>IF(OR(INDEX(配置与结果!$K$15:$K$18,F226)=1,G226="RHI_BERRY"),1+配置与结果!$B$33+P226*方案参数!$AH$9,1)</f>
        <v>1</v>
      </c>
      <c r="AJ226" s="1">
        <f>MIN(1,MAX(0,J226+方案参数!$AB$9-配置与结果!$B$27))</f>
        <v>0.76</v>
      </c>
      <c r="AK226" s="1">
        <f>MAX(1,K226+IF(F226=2,0.15+方案参数!$CH$9,0)+BN226*方案参数!$X$9+R226*方案参数!$AA$9+0-配置与结果!$B$26+Z226*(方案参数!$AP$9+MIN(方案参数!$AQ$9,P226*0.03)))</f>
        <v>1.9780000000000002</v>
      </c>
      <c r="AL226" s="7">
        <f>ROUNDDOWN(MAX(AD226*配置与结果!$B$31,AD226-AE226)*AF226*AG226*AH226*AI226,0)</f>
        <v>4973</v>
      </c>
      <c r="AM226" s="7">
        <f>ROUNDDOWN(MAX(AD226*配置与结果!$B$31,AD226-AE226)*AF226*AG226*AH226*AI226*AK226,0)</f>
        <v>9838</v>
      </c>
      <c r="AN226" s="7">
        <f t="shared" si="287"/>
        <v>8670.4</v>
      </c>
      <c r="AO226" s="7">
        <f>方案参数!$BU$9*IF(H226=1,1,IF(H226=2,1.5,2.5))</f>
        <v>0.8</v>
      </c>
      <c r="AP226" s="7">
        <f>MAX(0,1+INDEX(配置与结果!$J$15:$J$18,F226)+IF(T226&gt;0,方案参数!$BY$9,0)-配置与结果!$B$30)</f>
        <v>1</v>
      </c>
      <c r="AQ226" s="7">
        <f t="shared" si="288"/>
        <v>2035</v>
      </c>
      <c r="AR226" s="7">
        <f t="shared" si="289"/>
        <v>4025</v>
      </c>
      <c r="AS226" s="7">
        <f t="shared" si="290"/>
        <v>3547.4</v>
      </c>
      <c r="AT226" s="7">
        <f>0</f>
        <v>0</v>
      </c>
      <c r="AU226" s="7">
        <f t="shared" si="291"/>
        <v>12217.8</v>
      </c>
      <c r="AV226" s="1">
        <f t="shared" si="292"/>
        <v>1</v>
      </c>
      <c r="AW226" s="1">
        <f>MIN(10,M226+0+0)</f>
        <v>7</v>
      </c>
      <c r="AX226" s="1">
        <f t="shared" si="293"/>
        <v>0</v>
      </c>
      <c r="AY226" s="1">
        <f t="shared" si="333"/>
        <v>6</v>
      </c>
      <c r="AZ226" s="1">
        <f t="shared" si="294"/>
        <v>3</v>
      </c>
      <c r="BA226" s="1">
        <f>MIN(6,Q226+0)</f>
        <v>2</v>
      </c>
      <c r="BB226" s="1">
        <f t="shared" si="326"/>
        <v>5</v>
      </c>
      <c r="BC226" s="1">
        <f t="shared" si="307"/>
        <v>0</v>
      </c>
      <c r="BD226" s="1">
        <f>MAX(0,T226-IF(AO226&gt;0,1,0))+1</f>
        <v>1</v>
      </c>
      <c r="BE226" s="1">
        <f t="shared" si="327"/>
        <v>0</v>
      </c>
      <c r="BF226" s="1">
        <f t="shared" si="311"/>
        <v>0</v>
      </c>
      <c r="BG226" s="1">
        <f t="shared" si="331"/>
        <v>1</v>
      </c>
      <c r="BH226" s="1">
        <f t="shared" si="328"/>
        <v>1</v>
      </c>
      <c r="BI226" s="1">
        <f t="shared" si="332"/>
        <v>1</v>
      </c>
      <c r="BJ226" s="1">
        <f t="shared" si="302"/>
        <v>0</v>
      </c>
      <c r="BK226" s="1">
        <f t="shared" si="303"/>
        <v>0</v>
      </c>
      <c r="BL226" s="1">
        <f t="shared" si="308"/>
        <v>0</v>
      </c>
      <c r="BM226" s="1">
        <f t="shared" si="306"/>
        <v>0</v>
      </c>
      <c r="BN226" s="1">
        <f t="shared" si="329"/>
        <v>1</v>
      </c>
      <c r="BO226" s="1">
        <f t="shared" si="330"/>
        <v>1</v>
      </c>
    </row>
    <row r="227" spans="1:67" ht="30.95" customHeight="1">
      <c r="A227" s="1">
        <f>6</f>
        <v>6</v>
      </c>
      <c r="B227" s="1">
        <f>固定流程!A11</f>
        <v>6</v>
      </c>
      <c r="C227" s="1">
        <f>9</f>
        <v>9</v>
      </c>
      <c r="D227" s="1">
        <f>1</f>
        <v>1</v>
      </c>
      <c r="E227" s="1">
        <f>固定流程!C11</f>
        <v>1</v>
      </c>
      <c r="F227" s="1">
        <f>固定流程!G11</f>
        <v>2</v>
      </c>
      <c r="G227" s="1" t="str">
        <f>固定流程!H11</f>
        <v>37_FOLLOW</v>
      </c>
      <c r="H227" s="1">
        <f>固定流程!F11</f>
        <v>1</v>
      </c>
      <c r="I227" s="1">
        <f>INDEX(配置与结果!$B$15:$B$18,F227)</f>
        <v>2306</v>
      </c>
      <c r="J227" s="1">
        <f>INDEX(配置与结果!$D$15:$D$18,F227)</f>
        <v>0.46</v>
      </c>
      <c r="K227" s="1">
        <f>INDEX(配置与结果!$E$15:$E$18,F227)</f>
        <v>1.9279999999999999</v>
      </c>
      <c r="L227" s="1">
        <f t="shared" si="312"/>
        <v>1</v>
      </c>
      <c r="M227" s="1">
        <f t="shared" si="312"/>
        <v>7</v>
      </c>
      <c r="N227" s="1">
        <f t="shared" si="312"/>
        <v>0</v>
      </c>
      <c r="O227" s="1">
        <f t="shared" si="312"/>
        <v>6</v>
      </c>
      <c r="P227" s="1">
        <f>MIN(方案参数!$AI$9,AZ226+0+0)</f>
        <v>3</v>
      </c>
      <c r="Q227" s="1">
        <f t="shared" si="313"/>
        <v>2</v>
      </c>
      <c r="R227" s="1">
        <f t="shared" si="314"/>
        <v>5</v>
      </c>
      <c r="S227" s="1">
        <f t="shared" si="315"/>
        <v>0</v>
      </c>
      <c r="T227" s="1">
        <f t="shared" si="316"/>
        <v>1</v>
      </c>
      <c r="U227" s="1">
        <f t="shared" si="317"/>
        <v>0</v>
      </c>
      <c r="V227" s="1">
        <f t="shared" si="318"/>
        <v>0</v>
      </c>
      <c r="W227" s="1">
        <f t="shared" si="319"/>
        <v>1</v>
      </c>
      <c r="X227" s="1">
        <f t="shared" si="320"/>
        <v>1</v>
      </c>
      <c r="Y227" s="1">
        <f t="shared" si="321"/>
        <v>1</v>
      </c>
      <c r="Z227" s="1">
        <f t="shared" si="322"/>
        <v>0</v>
      </c>
      <c r="AA227" s="1">
        <f t="shared" si="323"/>
        <v>0</v>
      </c>
      <c r="AB227" s="1">
        <f t="shared" si="324"/>
        <v>0</v>
      </c>
      <c r="AC227" s="1">
        <f t="shared" si="325"/>
        <v>0</v>
      </c>
      <c r="AD227" s="1">
        <f>ROUNDDOWN(I227*(1+IF(F227=3,0.05+方案参数!$Y$9+AA227*0.12,IF(F227=4,方案参数!$BZ$9*方案参数!$AS$9,0)))+IF(AND(X227=1,F227&lt;&gt;3),方案参数!$CC$9,0)+AC227*方案参数!$CB$9,0)</f>
        <v>2544</v>
      </c>
      <c r="AE227" s="1">
        <f>IF(OR(F227=1,F227=4),配置与结果!$B$24,配置与结果!$B$25)*MAX(0,1-INDEX(配置与结果!$I$15:$I$18,F227))</f>
        <v>1000</v>
      </c>
      <c r="AF227" s="1">
        <f>方案参数!$BV$9</f>
        <v>3</v>
      </c>
      <c r="AG227" s="1">
        <f>MAX(配置与结果!$B$32,1+INDEX(配置与结果!$F$15:$F$18,F227)+0+Q227*方案参数!$W$9+Y227*(方案参数!$AN$9+MIN(方案参数!$AO$9,P227*0.03))+AB227*方案参数!$BZ$9*0.025-配置与结果!$B$28)</f>
        <v>0.8849999999999999</v>
      </c>
      <c r="AH227" s="1">
        <f>MAX(0,1+INDEX(配置与结果!$G$15:$G$18,F227)+W227*方案参数!$AG$9)</f>
        <v>1.3</v>
      </c>
      <c r="AI227" s="1">
        <f>IF(OR(INDEX(配置与结果!$K$15:$K$18,F227)=1,G227="RHI_BERRY"),1+配置与结果!$B$33+P227*方案参数!$AH$9,1)</f>
        <v>1</v>
      </c>
      <c r="AJ227" s="1">
        <f>MIN(1,MAX(0,J227+方案参数!$AB$9-配置与结果!$B$27))</f>
        <v>0.76</v>
      </c>
      <c r="AK227" s="1">
        <f>MAX(1,K227+IF(F227=2,0.15+方案参数!$CH$9,0)+BN227*方案参数!$X$9+R227*方案参数!$AA$9+0-配置与结果!$B$26+Z227*(方案参数!$AP$9+MIN(方案参数!$AQ$9,P227*0.03)))</f>
        <v>1.9780000000000002</v>
      </c>
      <c r="AL227" s="7">
        <f>ROUNDDOWN(MAX(AD227*配置与结果!$B$31,AD227-AE227)*AF227*AG227*AH227*AI227,0)</f>
        <v>5329</v>
      </c>
      <c r="AM227" s="7">
        <f>ROUNDDOWN(MAX(AD227*配置与结果!$B$31,AD227-AE227)*AF227*AG227*AH227*AI227*AK227,0)</f>
        <v>10540</v>
      </c>
      <c r="AN227" s="7">
        <f t="shared" si="287"/>
        <v>9289.36</v>
      </c>
      <c r="AO227" s="7">
        <f>方案参数!$BW$9</f>
        <v>1</v>
      </c>
      <c r="AP227" s="7">
        <f>MAX(0,1+INDEX(配置与结果!$J$15:$J$18,F227)+IF(T227&gt;0,方案参数!$BY$9,0)-配置与结果!$B$30)</f>
        <v>2</v>
      </c>
      <c r="AQ227" s="7">
        <f t="shared" si="288"/>
        <v>5088</v>
      </c>
      <c r="AR227" s="7">
        <f t="shared" si="289"/>
        <v>10064</v>
      </c>
      <c r="AS227" s="7">
        <f t="shared" si="290"/>
        <v>8869.76</v>
      </c>
      <c r="AT227" s="7">
        <f>0</f>
        <v>0</v>
      </c>
      <c r="AU227" s="7">
        <f t="shared" si="291"/>
        <v>18159.120000000003</v>
      </c>
      <c r="AV227" s="1">
        <f t="shared" si="292"/>
        <v>1</v>
      </c>
      <c r="AW227" s="1">
        <f>MIN(10,M227+0+0)</f>
        <v>7</v>
      </c>
      <c r="AX227" s="1">
        <f t="shared" si="293"/>
        <v>0</v>
      </c>
      <c r="AY227" s="1">
        <f t="shared" si="333"/>
        <v>6</v>
      </c>
      <c r="AZ227" s="1">
        <f t="shared" si="294"/>
        <v>3</v>
      </c>
      <c r="BA227" s="1">
        <f>MIN(6,Q227+0)</f>
        <v>2</v>
      </c>
      <c r="BB227" s="1">
        <f t="shared" si="326"/>
        <v>5</v>
      </c>
      <c r="BC227" s="1">
        <f t="shared" si="307"/>
        <v>0</v>
      </c>
      <c r="BD227" s="1">
        <f t="shared" ref="BD227:BD261" si="334">MAX(0,T227-IF(AO227&gt;0,1,0))+0</f>
        <v>0</v>
      </c>
      <c r="BE227" s="1">
        <f t="shared" si="327"/>
        <v>0</v>
      </c>
      <c r="BF227" s="1">
        <f>MIN(4,V227+1)</f>
        <v>1</v>
      </c>
      <c r="BG227" s="1">
        <f t="shared" si="331"/>
        <v>1</v>
      </c>
      <c r="BH227" s="1">
        <f t="shared" si="328"/>
        <v>1</v>
      </c>
      <c r="BI227" s="1">
        <f t="shared" si="332"/>
        <v>1</v>
      </c>
      <c r="BJ227" s="1">
        <f t="shared" si="302"/>
        <v>0</v>
      </c>
      <c r="BK227" s="1">
        <f t="shared" si="303"/>
        <v>0</v>
      </c>
      <c r="BL227" s="1">
        <f t="shared" si="308"/>
        <v>0</v>
      </c>
      <c r="BM227" s="1">
        <f t="shared" si="306"/>
        <v>0</v>
      </c>
      <c r="BN227" s="1">
        <f t="shared" si="329"/>
        <v>1</v>
      </c>
      <c r="BO227" s="1">
        <f t="shared" si="330"/>
        <v>1</v>
      </c>
    </row>
    <row r="228" spans="1:67" ht="30.95" customHeight="1">
      <c r="A228" s="1">
        <f>6</f>
        <v>6</v>
      </c>
      <c r="B228" s="1">
        <f>固定流程!A12</f>
        <v>7</v>
      </c>
      <c r="C228" s="1">
        <f>9</f>
        <v>9</v>
      </c>
      <c r="D228" s="1">
        <f>1</f>
        <v>1</v>
      </c>
      <c r="E228" s="1">
        <f>固定流程!C12</f>
        <v>1</v>
      </c>
      <c r="F228" s="1">
        <f>固定流程!G12</f>
        <v>4</v>
      </c>
      <c r="G228" s="1" t="str">
        <f>固定流程!H12</f>
        <v>J_HARD</v>
      </c>
      <c r="H228" s="1">
        <f>固定流程!F12</f>
        <v>1</v>
      </c>
      <c r="I228" s="1">
        <f>INDEX(配置与结果!$B$15:$B$18,F228)</f>
        <v>1906</v>
      </c>
      <c r="J228" s="1">
        <f>INDEX(配置与结果!$D$15:$D$18,F228)</f>
        <v>0.36699999999999999</v>
      </c>
      <c r="K228" s="1">
        <f>INDEX(配置与结果!$E$15:$E$18,F228)</f>
        <v>1.7170000000000001</v>
      </c>
      <c r="L228" s="1">
        <f t="shared" si="312"/>
        <v>1</v>
      </c>
      <c r="M228" s="1">
        <f t="shared" si="312"/>
        <v>7</v>
      </c>
      <c r="N228" s="1">
        <f t="shared" si="312"/>
        <v>0</v>
      </c>
      <c r="O228" s="1">
        <f t="shared" si="312"/>
        <v>6</v>
      </c>
      <c r="P228" s="1">
        <f>MIN(方案参数!$AI$9,AZ227+0+0)</f>
        <v>3</v>
      </c>
      <c r="Q228" s="1">
        <f t="shared" si="313"/>
        <v>2</v>
      </c>
      <c r="R228" s="1">
        <f t="shared" si="314"/>
        <v>5</v>
      </c>
      <c r="S228" s="1">
        <f t="shared" si="315"/>
        <v>0</v>
      </c>
      <c r="T228" s="1">
        <f t="shared" si="316"/>
        <v>0</v>
      </c>
      <c r="U228" s="1">
        <f t="shared" si="317"/>
        <v>0</v>
      </c>
      <c r="V228" s="1">
        <f t="shared" si="318"/>
        <v>1</v>
      </c>
      <c r="W228" s="1">
        <f t="shared" si="319"/>
        <v>1</v>
      </c>
      <c r="X228" s="1">
        <f t="shared" si="320"/>
        <v>1</v>
      </c>
      <c r="Y228" s="1">
        <f t="shared" si="321"/>
        <v>1</v>
      </c>
      <c r="Z228" s="1">
        <f t="shared" si="322"/>
        <v>0</v>
      </c>
      <c r="AA228" s="1">
        <f t="shared" si="323"/>
        <v>0</v>
      </c>
      <c r="AB228" s="1">
        <f t="shared" si="324"/>
        <v>0</v>
      </c>
      <c r="AC228" s="1">
        <f t="shared" si="325"/>
        <v>0</v>
      </c>
      <c r="AD228" s="1">
        <f>ROUNDDOWN(I228*(1+IF(F228=3,0.05+方案参数!$Y$9+AA228*0.12,IF(F228=4,方案参数!$BZ$9*方案参数!$AS$9,0)))+IF(AND(X228=1,F228&lt;&gt;3),方案参数!$CC$9,0)+AC228*方案参数!$CB$9,0)</f>
        <v>2811</v>
      </c>
      <c r="AE228" s="1">
        <f>IF(OR(F228=1,F228=4),配置与结果!$B$24,配置与结果!$B$25)*MAX(0,1-INDEX(配置与结果!$I$15:$I$18,F228))</f>
        <v>1200</v>
      </c>
      <c r="AF228" s="1">
        <f>3.6*IF(H228=1,1,IF(H228=2,1.5,2.5))</f>
        <v>3.6</v>
      </c>
      <c r="AG228" s="1">
        <f>MAX(配置与结果!$B$32,1+INDEX(配置与结果!$F$15:$F$18,F228)+0.08+Q228*方案参数!$W$9+Y228*(方案参数!$AN$9+MIN(方案参数!$AO$9,P228*0.03))+AB228*方案参数!$BZ$9*0.025+0.1+IF(方案参数!$BZ$9&gt;=30,方案参数!$BZ$9*0.01,0)-配置与结果!$B$28)</f>
        <v>1.4350000000000001</v>
      </c>
      <c r="AH228" s="1">
        <f>MAX(0,1+INDEX(配置与结果!$G$15:$G$18,F228)+W228*方案参数!$AG$9)</f>
        <v>1.3</v>
      </c>
      <c r="AI228" s="1">
        <f>IF(OR(INDEX(配置与结果!$K$15:$K$18,F228)=1,G228="RHI_BERRY"),1+配置与结果!$B$33+P228*方案参数!$AH$9,1)</f>
        <v>1</v>
      </c>
      <c r="AJ228" s="1">
        <f>MIN(1,MAX(0,J228+方案参数!$AB$9-配置与结果!$B$27))</f>
        <v>0.66700000000000004</v>
      </c>
      <c r="AK228" s="1">
        <f>MAX(1,K228+IF(F228=2,0.15+方案参数!$CH$9,0)+BN228*方案参数!$X$9+R228*方案参数!$AA$9+0-配置与结果!$B$26+Z228*(方案参数!$AP$9+MIN(方案参数!$AQ$9,P228*0.03)))</f>
        <v>1.4969999999999999</v>
      </c>
      <c r="AL228" s="7">
        <f>ROUNDDOWN(MAX(AD228*配置与结果!$B$31,AD228-AE228)*AF228*AG228*AH228*AI228,0)</f>
        <v>10819</v>
      </c>
      <c r="AM228" s="7">
        <f>ROUNDDOWN(MAX(AD228*配置与结果!$B$31,AD228-AE228)*AF228*AG228*AH228*AI228*AK228,0)</f>
        <v>16196</v>
      </c>
      <c r="AN228" s="7">
        <f t="shared" si="287"/>
        <v>14405.458999999999</v>
      </c>
      <c r="AO228" s="7">
        <f>0</f>
        <v>0</v>
      </c>
      <c r="AP228" s="7">
        <f>MAX(0,1+INDEX(配置与结果!$J$15:$J$18,F228)+IF(T228&gt;0,方案参数!$BY$9,0)-配置与结果!$B$30)</f>
        <v>1</v>
      </c>
      <c r="AQ228" s="7">
        <f t="shared" si="288"/>
        <v>0</v>
      </c>
      <c r="AR228" s="7">
        <f t="shared" si="289"/>
        <v>0</v>
      </c>
      <c r="AS228" s="7">
        <f t="shared" si="290"/>
        <v>0</v>
      </c>
      <c r="AT228" s="7">
        <f>0</f>
        <v>0</v>
      </c>
      <c r="AU228" s="7">
        <f t="shared" si="291"/>
        <v>14405.458999999999</v>
      </c>
      <c r="AV228" s="1">
        <f t="shared" si="292"/>
        <v>1</v>
      </c>
      <c r="AW228" s="1">
        <f>MIN(10,M228+0+0)</f>
        <v>7</v>
      </c>
      <c r="AX228" s="1">
        <f t="shared" si="293"/>
        <v>0</v>
      </c>
      <c r="AY228" s="1">
        <f t="shared" si="333"/>
        <v>6</v>
      </c>
      <c r="AZ228" s="1">
        <f t="shared" si="294"/>
        <v>3</v>
      </c>
      <c r="BA228" s="1">
        <f>MIN(6,Q228+0)</f>
        <v>2</v>
      </c>
      <c r="BB228" s="1">
        <f t="shared" si="326"/>
        <v>5</v>
      </c>
      <c r="BC228" s="1">
        <f>MIN(3,S228+1)</f>
        <v>1</v>
      </c>
      <c r="BD228" s="1">
        <f t="shared" si="334"/>
        <v>0</v>
      </c>
      <c r="BE228" s="1">
        <f t="shared" si="327"/>
        <v>0</v>
      </c>
      <c r="BF228" s="1">
        <f>MIN(4,V228+0)</f>
        <v>1</v>
      </c>
      <c r="BG228" s="1">
        <f t="shared" si="331"/>
        <v>1</v>
      </c>
      <c r="BH228" s="1">
        <f t="shared" si="328"/>
        <v>1</v>
      </c>
      <c r="BI228" s="1">
        <f t="shared" si="332"/>
        <v>1</v>
      </c>
      <c r="BJ228" s="1">
        <f t="shared" si="302"/>
        <v>0</v>
      </c>
      <c r="BK228" s="1">
        <f t="shared" si="303"/>
        <v>0</v>
      </c>
      <c r="BL228" s="1">
        <f t="shared" si="308"/>
        <v>0</v>
      </c>
      <c r="BM228" s="1">
        <f t="shared" si="306"/>
        <v>0</v>
      </c>
      <c r="BN228" s="1">
        <f t="shared" si="329"/>
        <v>1</v>
      </c>
      <c r="BO228" s="1">
        <f t="shared" si="330"/>
        <v>1</v>
      </c>
    </row>
    <row r="229" spans="1:67" ht="30.95" customHeight="1">
      <c r="A229" s="1">
        <f>6</f>
        <v>6</v>
      </c>
      <c r="B229" s="1">
        <f>固定流程!A13</f>
        <v>8</v>
      </c>
      <c r="C229" s="1">
        <f>9</f>
        <v>9</v>
      </c>
      <c r="D229" s="1">
        <f>1</f>
        <v>1</v>
      </c>
      <c r="E229" s="1">
        <f>固定流程!C13</f>
        <v>2</v>
      </c>
      <c r="F229" s="1">
        <f>固定流程!G13</f>
        <v>3</v>
      </c>
      <c r="G229" s="1" t="str">
        <f>固定流程!H13</f>
        <v>RHI_ATTACK</v>
      </c>
      <c r="H229" s="1">
        <f>固定流程!F13</f>
        <v>1</v>
      </c>
      <c r="I229" s="1">
        <f>INDEX(配置与结果!$B$15:$B$18,F229)</f>
        <v>2597</v>
      </c>
      <c r="J229" s="1">
        <f>INDEX(配置与结果!$D$15:$D$18,F229)</f>
        <v>0.255</v>
      </c>
      <c r="K229" s="1">
        <f>INDEX(配置与结果!$E$15:$E$18,F229)</f>
        <v>1.55</v>
      </c>
      <c r="L229" s="1">
        <f>IF(AV228=1,IF(M229&gt;=10,2,1),IF(AV228=2,IF(AX228&lt;=1,0,2),0))</f>
        <v>2</v>
      </c>
      <c r="M229" s="1">
        <f>IF(AND(AV228=2,AX228&lt;=1),0,MIN(10,AW228+IF(AV228=1,3,0)))</f>
        <v>10</v>
      </c>
      <c r="N229" s="1">
        <f>IF(AND(AV228=1,M229&gt;=10),2,IF(AV228=2,MAX(0,AX228-1),0))</f>
        <v>2</v>
      </c>
      <c r="O229" s="1">
        <f t="shared" ref="O229:O257" si="335">AY228</f>
        <v>6</v>
      </c>
      <c r="P229" s="1">
        <f>MIN(方案参数!$AI$9,AZ228+方案参数!$AJ$9+方案参数!$AK$9)</f>
        <v>5</v>
      </c>
      <c r="Q229" s="1">
        <f t="shared" si="313"/>
        <v>2</v>
      </c>
      <c r="R229" s="1">
        <f t="shared" si="314"/>
        <v>5</v>
      </c>
      <c r="S229" s="1">
        <f t="shared" si="315"/>
        <v>1</v>
      </c>
      <c r="T229" s="1">
        <f t="shared" si="316"/>
        <v>0</v>
      </c>
      <c r="U229" s="1">
        <f t="shared" si="317"/>
        <v>0</v>
      </c>
      <c r="V229" s="1">
        <f t="shared" si="318"/>
        <v>1</v>
      </c>
      <c r="W229" s="1">
        <f t="shared" si="319"/>
        <v>1</v>
      </c>
      <c r="X229" s="1">
        <f t="shared" si="320"/>
        <v>1</v>
      </c>
      <c r="Y229" s="1">
        <f t="shared" si="321"/>
        <v>1</v>
      </c>
      <c r="Z229" s="1">
        <f t="shared" si="322"/>
        <v>0</v>
      </c>
      <c r="AA229" s="1">
        <f>MAX(BK228,1)</f>
        <v>1</v>
      </c>
      <c r="AB229" s="1">
        <f t="shared" si="324"/>
        <v>0</v>
      </c>
      <c r="AC229" s="1">
        <f t="shared" si="325"/>
        <v>0</v>
      </c>
      <c r="AD229" s="1">
        <f>ROUNDDOWN(I229*(1+IF(F229=3,0.05+方案参数!$Y$9+AA229*0.12,IF(F229=4,方案参数!$BZ$9*方案参数!$AS$9,0)))+IF(AND(X229=1,F229&lt;&gt;3),方案参数!$CC$9,0)+AC229*方案参数!$CB$9,0)</f>
        <v>3298</v>
      </c>
      <c r="AE229" s="1">
        <f>IF(OR(F229=1,F229=4),配置与结果!$B$24,配置与结果!$B$25)*MAX(0,1-INDEX(配置与结果!$I$15:$I$18,F229))</f>
        <v>1000</v>
      </c>
      <c r="AF229" s="1">
        <f>4</f>
        <v>4</v>
      </c>
      <c r="AG229" s="1">
        <f>MAX(配置与结果!$B$32,1+INDEX(配置与结果!$F$15:$F$18,F229)+0+Q229*方案参数!$W$9+Y229*(方案参数!$AN$9+MIN(方案参数!$AO$9,P229*0.03))+AB229*方案参数!$BZ$9*0.025-配置与结果!$B$28)</f>
        <v>0.97499999999999998</v>
      </c>
      <c r="AH229" s="1">
        <f>MAX(0,1+INDEX(配置与结果!$G$15:$G$18,F229)+W229*方案参数!$AG$9)</f>
        <v>1.3</v>
      </c>
      <c r="AI229" s="1">
        <f>IF(OR(INDEX(配置与结果!$K$15:$K$18,F229)=1,G229="RHI_BERRY"),1+配置与结果!$B$33+P229*方案参数!$AH$9,1)</f>
        <v>1</v>
      </c>
      <c r="AJ229" s="1">
        <f>MIN(1,MAX(0,J229+方案参数!$AB$9-配置与结果!$B$27))</f>
        <v>0.55499999999999994</v>
      </c>
      <c r="AK229" s="1">
        <f>MAX(1,K229+IF(F229=2,0.15+方案参数!$CH$9,0)+BN229*方案参数!$X$9+R229*方案参数!$AA$9+0-配置与结果!$B$26+Z229*(方案参数!$AP$9+MIN(方案参数!$AQ$9,P229*0.03)))</f>
        <v>1.33</v>
      </c>
      <c r="AL229" s="7">
        <f>ROUNDDOWN(MAX(AD229*配置与结果!$B$31,AD229-AE229)*AF229*AG229*AH229*AI229,0)</f>
        <v>11650</v>
      </c>
      <c r="AM229" s="7">
        <f>ROUNDDOWN(MAX(AD229*配置与结果!$B$31,AD229-AE229)*AF229*AG229*AH229*AI229*AK229,0)</f>
        <v>15495</v>
      </c>
      <c r="AN229" s="7">
        <f t="shared" si="287"/>
        <v>13783.974999999999</v>
      </c>
      <c r="AO229" s="7">
        <f>0</f>
        <v>0</v>
      </c>
      <c r="AP229" s="7">
        <f>MAX(0,1+INDEX(配置与结果!$J$15:$J$18,F229)+IF(T229&gt;0,方案参数!$BY$9,0)-配置与结果!$B$30)</f>
        <v>1</v>
      </c>
      <c r="AQ229" s="7">
        <f t="shared" si="288"/>
        <v>0</v>
      </c>
      <c r="AR229" s="7">
        <f t="shared" si="289"/>
        <v>0</v>
      </c>
      <c r="AS229" s="7">
        <f t="shared" si="290"/>
        <v>0</v>
      </c>
      <c r="AT229" s="7">
        <f>0</f>
        <v>0</v>
      </c>
      <c r="AU229" s="7">
        <f t="shared" si="291"/>
        <v>13783.974999999999</v>
      </c>
      <c r="AV229" s="1">
        <f t="shared" si="292"/>
        <v>2</v>
      </c>
      <c r="AW229" s="1">
        <f>MIN(10,M229+0+0)</f>
        <v>10</v>
      </c>
      <c r="AX229" s="1">
        <f t="shared" si="293"/>
        <v>2</v>
      </c>
      <c r="AY229" s="1">
        <f t="shared" si="333"/>
        <v>6</v>
      </c>
      <c r="AZ229" s="1">
        <f t="shared" si="294"/>
        <v>5</v>
      </c>
      <c r="BA229" s="1">
        <f>MIN(6,Q229+1)</f>
        <v>3</v>
      </c>
      <c r="BB229" s="1">
        <f t="shared" si="326"/>
        <v>5</v>
      </c>
      <c r="BC229" s="1">
        <f>MIN(3,S229+0)</f>
        <v>1</v>
      </c>
      <c r="BD229" s="1">
        <f t="shared" si="334"/>
        <v>0</v>
      </c>
      <c r="BE229" s="1">
        <f t="shared" si="327"/>
        <v>0</v>
      </c>
      <c r="BF229" s="1">
        <f>MIN(4,V229+0)</f>
        <v>1</v>
      </c>
      <c r="BG229" s="1">
        <f t="shared" si="331"/>
        <v>1</v>
      </c>
      <c r="BH229" s="1">
        <f t="shared" si="328"/>
        <v>1</v>
      </c>
      <c r="BI229" s="1">
        <f t="shared" si="332"/>
        <v>1</v>
      </c>
      <c r="BJ229" s="1">
        <f>MAX(Z229,1)</f>
        <v>1</v>
      </c>
      <c r="BK229" s="1">
        <f>MAX(AA229,1)</f>
        <v>1</v>
      </c>
      <c r="BL229" s="1">
        <f t="shared" si="308"/>
        <v>0</v>
      </c>
      <c r="BM229" s="1">
        <f t="shared" si="306"/>
        <v>0</v>
      </c>
      <c r="BN229" s="1">
        <f t="shared" si="329"/>
        <v>1</v>
      </c>
      <c r="BO229" s="1">
        <f t="shared" si="330"/>
        <v>1</v>
      </c>
    </row>
    <row r="230" spans="1:67" ht="30.95" customHeight="1">
      <c r="A230" s="1">
        <f>6</f>
        <v>6</v>
      </c>
      <c r="B230" s="1">
        <f>固定流程!A14</f>
        <v>9</v>
      </c>
      <c r="C230" s="1">
        <f>9</f>
        <v>9</v>
      </c>
      <c r="D230" s="1">
        <f>1</f>
        <v>1</v>
      </c>
      <c r="E230" s="1">
        <f>固定流程!C14</f>
        <v>2</v>
      </c>
      <c r="F230" s="1">
        <f>固定流程!G14</f>
        <v>1</v>
      </c>
      <c r="G230" s="1" t="str">
        <f>固定流程!H14</f>
        <v>LILYA_DIVE</v>
      </c>
      <c r="H230" s="1">
        <f>固定流程!F14</f>
        <v>3</v>
      </c>
      <c r="I230" s="1">
        <f>INDEX(配置与结果!$B$15:$B$18,F230)</f>
        <v>2296</v>
      </c>
      <c r="J230" s="1">
        <f>INDEX(配置与结果!$D$15:$D$18,F230)</f>
        <v>0.7</v>
      </c>
      <c r="K230" s="1">
        <f>INDEX(配置与结果!$E$15:$E$18,F230)</f>
        <v>2.0249999999999999</v>
      </c>
      <c r="L230" s="1">
        <f t="shared" ref="L230:N234" si="336">AV229</f>
        <v>2</v>
      </c>
      <c r="M230" s="1">
        <f t="shared" si="336"/>
        <v>10</v>
      </c>
      <c r="N230" s="1">
        <f t="shared" si="336"/>
        <v>2</v>
      </c>
      <c r="O230" s="1">
        <f t="shared" si="335"/>
        <v>6</v>
      </c>
      <c r="P230" s="1">
        <f>MIN(方案参数!$AI$9,AZ229+0+0)</f>
        <v>5</v>
      </c>
      <c r="Q230" s="1">
        <f t="shared" si="313"/>
        <v>3</v>
      </c>
      <c r="R230" s="1">
        <f t="shared" si="314"/>
        <v>5</v>
      </c>
      <c r="S230" s="1">
        <f t="shared" si="315"/>
        <v>1</v>
      </c>
      <c r="T230" s="1">
        <f t="shared" si="316"/>
        <v>0</v>
      </c>
      <c r="U230" s="1">
        <f t="shared" si="317"/>
        <v>0</v>
      </c>
      <c r="V230" s="1">
        <f t="shared" si="318"/>
        <v>1</v>
      </c>
      <c r="W230" s="1">
        <f t="shared" si="319"/>
        <v>1</v>
      </c>
      <c r="X230" s="1">
        <f t="shared" si="320"/>
        <v>1</v>
      </c>
      <c r="Y230" s="1">
        <f t="shared" si="321"/>
        <v>1</v>
      </c>
      <c r="Z230" s="1">
        <f t="shared" si="322"/>
        <v>1</v>
      </c>
      <c r="AA230" s="1">
        <f t="shared" ref="AA230:AA235" si="337">MAX(BK229,0)</f>
        <v>1</v>
      </c>
      <c r="AB230" s="1">
        <f t="shared" si="324"/>
        <v>0</v>
      </c>
      <c r="AC230" s="1">
        <f t="shared" si="325"/>
        <v>0</v>
      </c>
      <c r="AD230" s="1">
        <f>ROUNDDOWN(I230*(1+IF(F230=3,0.05+方案参数!$Y$9+AA230*0.12,IF(F230=4,方案参数!$BZ$9*方案参数!$AS$9,0)))+IF(AND(X230=1,F230&lt;&gt;3),方案参数!$CC$9,0)+AC230*方案参数!$CB$9,0)</f>
        <v>2534</v>
      </c>
      <c r="AE230" s="1">
        <f>IF(OR(F230=1,F230=4),配置与结果!$B$24,配置与结果!$B$25)*MAX(0,1-INDEX(配置与结果!$I$15:$I$18,F230))</f>
        <v>1200</v>
      </c>
      <c r="AF230" s="1">
        <f>(IF(L230=1,方案参数!$AW$9,IF(L230=2,方案参数!$AX$9,0))+方案参数!$AV$9)*H230</f>
        <v>45</v>
      </c>
      <c r="AG230" s="1">
        <f>MAX(配置与结果!$B$32,1+INDEX(配置与结果!$F$15:$F$18,F230)+0.08+方案参数!$CD$9+Q230*方案参数!$W$9+Y230*(方案参数!$AN$9+MIN(方案参数!$AO$9,P230*0.03))+AB230*方案参数!$BZ$9*0.025+IF(L230=1,方案参数!$AY$9+(H230-1)*0.1,IF(L230=2,方案参数!$AZ$9+(H230-1)*0.2,0))-配置与结果!$B$28)</f>
        <v>2.3000000000000003</v>
      </c>
      <c r="AH230" s="1">
        <f>MAX(0,1+INDEX(配置与结果!$G$15:$G$18,F230)+W230*方案参数!$AG$9+IF(L230=1,方案参数!$BA$9,IF(L230=2,方案参数!$BB$9,0))+M230*方案参数!$BC$9)</f>
        <v>4.3</v>
      </c>
      <c r="AI230" s="1">
        <f>IF(OR(INDEX(配置与结果!$K$15:$K$18,F230)=1,G230="RHI_BERRY"),1+配置与结果!$B$33+P230*方案参数!$AH$9,1)</f>
        <v>1</v>
      </c>
      <c r="AJ230" s="1">
        <f>MIN(1,MAX(0,J230+方案参数!$AB$9-配置与结果!$B$27))</f>
        <v>1</v>
      </c>
      <c r="AK230" s="1">
        <f>MAX(1,K230+IF(F230=2,0.15+方案参数!$CH$9,0)+BN230*方案参数!$X$9+R230*方案参数!$AA$9+0-配置与结果!$B$26+Z230*(方案参数!$AP$9+MIN(方案参数!$AQ$9,P230*0.03)))</f>
        <v>2.105</v>
      </c>
      <c r="AL230" s="7">
        <f>ROUNDDOWN(MAX(AD230*配置与结果!$B$31,AD230-AE230)*AF230*AG230*AH230*AI230,0)</f>
        <v>593696</v>
      </c>
      <c r="AM230" s="7">
        <f>ROUNDDOWN(MAX(AD230*配置与结果!$B$31,AD230-AE230)*AF230*AG230*AH230*AI230*AK230,0)</f>
        <v>1249731</v>
      </c>
      <c r="AN230" s="7">
        <f t="shared" si="287"/>
        <v>1249731</v>
      </c>
      <c r="AO230" s="7">
        <f>0</f>
        <v>0</v>
      </c>
      <c r="AP230" s="7">
        <f>MAX(0,1+INDEX(配置与结果!$J$15:$J$18,F230)+IF(T230&gt;0,方案参数!$BY$9,0)-配置与结果!$B$30)</f>
        <v>1</v>
      </c>
      <c r="AQ230" s="7">
        <f t="shared" si="288"/>
        <v>0</v>
      </c>
      <c r="AR230" s="7">
        <f t="shared" si="289"/>
        <v>0</v>
      </c>
      <c r="AS230" s="7">
        <f t="shared" si="290"/>
        <v>0</v>
      </c>
      <c r="AT230" s="7">
        <f>0</f>
        <v>0</v>
      </c>
      <c r="AU230" s="7">
        <f t="shared" si="291"/>
        <v>1249731</v>
      </c>
      <c r="AV230" s="1">
        <f t="shared" si="292"/>
        <v>2</v>
      </c>
      <c r="AW230" s="1">
        <f>MIN(10,M230+0+IF(L230=1,方案参数!$BE$9,0))</f>
        <v>10</v>
      </c>
      <c r="AX230" s="1">
        <f t="shared" si="293"/>
        <v>2</v>
      </c>
      <c r="AY230" s="1">
        <f t="shared" si="333"/>
        <v>6</v>
      </c>
      <c r="AZ230" s="1">
        <f t="shared" si="294"/>
        <v>5</v>
      </c>
      <c r="BA230" s="1">
        <f>MIN(6,Q230+0)</f>
        <v>3</v>
      </c>
      <c r="BB230" s="1">
        <f t="shared" si="326"/>
        <v>5</v>
      </c>
      <c r="BC230" s="1">
        <f>MIN(3,S230+0)</f>
        <v>1</v>
      </c>
      <c r="BD230" s="1">
        <f t="shared" si="334"/>
        <v>0</v>
      </c>
      <c r="BE230" s="1">
        <f t="shared" si="327"/>
        <v>0</v>
      </c>
      <c r="BF230" s="1">
        <f>MIN(4,V230+0)</f>
        <v>1</v>
      </c>
      <c r="BG230" s="1">
        <f t="shared" si="331"/>
        <v>1</v>
      </c>
      <c r="BH230" s="1">
        <f t="shared" si="328"/>
        <v>1</v>
      </c>
      <c r="BI230" s="1">
        <f t="shared" si="332"/>
        <v>1</v>
      </c>
      <c r="BJ230" s="1">
        <f t="shared" ref="BJ230:BK235" si="338">MAX(Z230,0)</f>
        <v>1</v>
      </c>
      <c r="BK230" s="1">
        <f t="shared" si="338"/>
        <v>1</v>
      </c>
      <c r="BL230" s="1">
        <f t="shared" si="308"/>
        <v>0</v>
      </c>
      <c r="BM230" s="1">
        <f t="shared" si="306"/>
        <v>0</v>
      </c>
      <c r="BN230" s="1">
        <f t="shared" si="329"/>
        <v>1</v>
      </c>
      <c r="BO230" s="1">
        <f t="shared" si="330"/>
        <v>1</v>
      </c>
    </row>
    <row r="231" spans="1:67" ht="30.95" customHeight="1">
      <c r="A231" s="1">
        <f>6</f>
        <v>6</v>
      </c>
      <c r="B231" s="1">
        <f>固定流程!A15</f>
        <v>10</v>
      </c>
      <c r="C231" s="1">
        <f>9</f>
        <v>9</v>
      </c>
      <c r="D231" s="1">
        <f>1</f>
        <v>1</v>
      </c>
      <c r="E231" s="1">
        <f>固定流程!C15</f>
        <v>2</v>
      </c>
      <c r="F231" s="1">
        <f>固定流程!G15</f>
        <v>4</v>
      </c>
      <c r="G231" s="1" t="str">
        <f>固定流程!H15</f>
        <v>J_HARD</v>
      </c>
      <c r="H231" s="1">
        <f>固定流程!F15</f>
        <v>1</v>
      </c>
      <c r="I231" s="1">
        <f>INDEX(配置与结果!$B$15:$B$18,F231)</f>
        <v>1906</v>
      </c>
      <c r="J231" s="1">
        <f>INDEX(配置与结果!$D$15:$D$18,F231)</f>
        <v>0.36699999999999999</v>
      </c>
      <c r="K231" s="1">
        <f>INDEX(配置与结果!$E$15:$E$18,F231)</f>
        <v>1.7170000000000001</v>
      </c>
      <c r="L231" s="1">
        <f t="shared" si="336"/>
        <v>2</v>
      </c>
      <c r="M231" s="1">
        <f t="shared" si="336"/>
        <v>10</v>
      </c>
      <c r="N231" s="1">
        <f t="shared" si="336"/>
        <v>2</v>
      </c>
      <c r="O231" s="1">
        <f t="shared" si="335"/>
        <v>6</v>
      </c>
      <c r="P231" s="1">
        <f>MIN(方案参数!$AI$9,AZ230+0+0)</f>
        <v>5</v>
      </c>
      <c r="Q231" s="1">
        <f t="shared" si="313"/>
        <v>3</v>
      </c>
      <c r="R231" s="1">
        <f t="shared" si="314"/>
        <v>5</v>
      </c>
      <c r="S231" s="1">
        <f t="shared" si="315"/>
        <v>1</v>
      </c>
      <c r="T231" s="1">
        <f t="shared" si="316"/>
        <v>0</v>
      </c>
      <c r="U231" s="1">
        <f t="shared" si="317"/>
        <v>0</v>
      </c>
      <c r="V231" s="1">
        <f t="shared" si="318"/>
        <v>1</v>
      </c>
      <c r="W231" s="1">
        <f t="shared" si="319"/>
        <v>1</v>
      </c>
      <c r="X231" s="1">
        <f t="shared" si="320"/>
        <v>1</v>
      </c>
      <c r="Y231" s="1">
        <f t="shared" si="321"/>
        <v>1</v>
      </c>
      <c r="Z231" s="1">
        <f t="shared" si="322"/>
        <v>1</v>
      </c>
      <c r="AA231" s="1">
        <f t="shared" si="337"/>
        <v>1</v>
      </c>
      <c r="AB231" s="1">
        <f t="shared" si="324"/>
        <v>0</v>
      </c>
      <c r="AC231" s="1">
        <f t="shared" si="325"/>
        <v>0</v>
      </c>
      <c r="AD231" s="1">
        <f>ROUNDDOWN(I231*(1+IF(F231=3,0.05+方案参数!$Y$9+AA231*0.12,IF(F231=4,方案参数!$BZ$9*方案参数!$AS$9,0)))+IF(AND(X231=1,F231&lt;&gt;3),方案参数!$CC$9,0)+AC231*方案参数!$CB$9,0)</f>
        <v>2811</v>
      </c>
      <c r="AE231" s="1">
        <f>IF(OR(F231=1,F231=4),配置与结果!$B$24,配置与结果!$B$25)*MAX(0,1-INDEX(配置与结果!$I$15:$I$18,F231))</f>
        <v>1200</v>
      </c>
      <c r="AF231" s="1">
        <f>3.6*IF(H231=1,1,IF(H231=2,1.5,2.5))</f>
        <v>3.6</v>
      </c>
      <c r="AG231" s="1">
        <f>MAX(配置与结果!$B$32,1+INDEX(配置与结果!$F$15:$F$18,F231)+0.08+Q231*方案参数!$W$9+Y231*(方案参数!$AN$9+MIN(方案参数!$AO$9,P231*0.03))+AB231*方案参数!$BZ$9*0.025+0.1+IF(方案参数!$BZ$9&gt;=30,方案参数!$BZ$9*0.01,0)-配置与结果!$B$28)</f>
        <v>1.5150000000000001</v>
      </c>
      <c r="AH231" s="1">
        <f>MAX(0,1+INDEX(配置与结果!$G$15:$G$18,F231)+W231*方案参数!$AG$9)</f>
        <v>1.3</v>
      </c>
      <c r="AI231" s="1">
        <f>IF(OR(INDEX(配置与结果!$K$15:$K$18,F231)=1,G231="RHI_BERRY"),1+配置与结果!$B$33+P231*方案参数!$AH$9,1)</f>
        <v>1</v>
      </c>
      <c r="AJ231" s="1">
        <f>MIN(1,MAX(0,J231+方案参数!$AB$9-配置与结果!$B$27))</f>
        <v>0.66700000000000004</v>
      </c>
      <c r="AK231" s="1">
        <f>MAX(1,K231+IF(F231=2,0.15+方案参数!$CH$9,0)+BN231*方案参数!$X$9+R231*方案参数!$AA$9+0-配置与结果!$B$26+Z231*(方案参数!$AP$9+MIN(方案参数!$AQ$9,P231*0.03)))</f>
        <v>1.7969999999999999</v>
      </c>
      <c r="AL231" s="7">
        <f>ROUNDDOWN(MAX(AD231*配置与结果!$B$31,AD231-AE231)*AF231*AG231*AH231*AI231,0)</f>
        <v>11422</v>
      </c>
      <c r="AM231" s="7">
        <f>ROUNDDOWN(MAX(AD231*配置与结果!$B$31,AD231-AE231)*AF231*AG231*AH231*AI231*AK231,0)</f>
        <v>20525</v>
      </c>
      <c r="AN231" s="7">
        <f t="shared" si="287"/>
        <v>17493.701000000001</v>
      </c>
      <c r="AO231" s="7">
        <f>0</f>
        <v>0</v>
      </c>
      <c r="AP231" s="7">
        <f>MAX(0,1+INDEX(配置与结果!$J$15:$J$18,F231)+IF(T231&gt;0,方案参数!$BY$9,0)-配置与结果!$B$30)</f>
        <v>1</v>
      </c>
      <c r="AQ231" s="7">
        <f t="shared" si="288"/>
        <v>0</v>
      </c>
      <c r="AR231" s="7">
        <f t="shared" si="289"/>
        <v>0</v>
      </c>
      <c r="AS231" s="7">
        <f t="shared" si="290"/>
        <v>0</v>
      </c>
      <c r="AT231" s="7">
        <f>0</f>
        <v>0</v>
      </c>
      <c r="AU231" s="7">
        <f t="shared" si="291"/>
        <v>17493.701000000001</v>
      </c>
      <c r="AV231" s="1">
        <f t="shared" si="292"/>
        <v>2</v>
      </c>
      <c r="AW231" s="1">
        <f t="shared" ref="AW231:AW241" si="339">MIN(10,M231+0+0)</f>
        <v>10</v>
      </c>
      <c r="AX231" s="1">
        <f t="shared" si="293"/>
        <v>2</v>
      </c>
      <c r="AY231" s="1">
        <f t="shared" si="333"/>
        <v>6</v>
      </c>
      <c r="AZ231" s="1">
        <f t="shared" si="294"/>
        <v>5</v>
      </c>
      <c r="BA231" s="1">
        <f>MIN(6,Q231+0)</f>
        <v>3</v>
      </c>
      <c r="BB231" s="1">
        <f t="shared" si="326"/>
        <v>5</v>
      </c>
      <c r="BC231" s="1">
        <f>MIN(3,S231+1)</f>
        <v>2</v>
      </c>
      <c r="BD231" s="1">
        <f t="shared" si="334"/>
        <v>0</v>
      </c>
      <c r="BE231" s="1">
        <f t="shared" si="327"/>
        <v>0</v>
      </c>
      <c r="BF231" s="1">
        <f>MIN(4,V231+0)</f>
        <v>1</v>
      </c>
      <c r="BG231" s="1">
        <f t="shared" si="331"/>
        <v>1</v>
      </c>
      <c r="BH231" s="1">
        <f t="shared" si="328"/>
        <v>1</v>
      </c>
      <c r="BI231" s="1">
        <f t="shared" si="332"/>
        <v>1</v>
      </c>
      <c r="BJ231" s="1">
        <f t="shared" si="338"/>
        <v>1</v>
      </c>
      <c r="BK231" s="1">
        <f t="shared" si="338"/>
        <v>1</v>
      </c>
      <c r="BL231" s="1">
        <f t="shared" si="308"/>
        <v>0</v>
      </c>
      <c r="BM231" s="1">
        <f t="shared" si="306"/>
        <v>0</v>
      </c>
      <c r="BN231" s="1">
        <f t="shared" si="329"/>
        <v>1</v>
      </c>
      <c r="BO231" s="1">
        <f t="shared" si="330"/>
        <v>1</v>
      </c>
    </row>
    <row r="232" spans="1:67" ht="30.95" customHeight="1">
      <c r="A232" s="1">
        <f>6</f>
        <v>6</v>
      </c>
      <c r="B232" s="1">
        <f>固定流程!A16</f>
        <v>11</v>
      </c>
      <c r="C232" s="1">
        <f>9</f>
        <v>9</v>
      </c>
      <c r="D232" s="1">
        <f>1</f>
        <v>1</v>
      </c>
      <c r="E232" s="1">
        <f>固定流程!C16</f>
        <v>2</v>
      </c>
      <c r="F232" s="1">
        <f>固定流程!G16</f>
        <v>2</v>
      </c>
      <c r="G232" s="1" t="str">
        <f>固定流程!H16</f>
        <v>37_CURVE</v>
      </c>
      <c r="H232" s="1">
        <f>固定流程!F16</f>
        <v>1</v>
      </c>
      <c r="I232" s="1">
        <f>INDEX(配置与结果!$B$15:$B$18,F232)</f>
        <v>2306</v>
      </c>
      <c r="J232" s="1">
        <f>INDEX(配置与结果!$D$15:$D$18,F232)</f>
        <v>0.46</v>
      </c>
      <c r="K232" s="1">
        <f>INDEX(配置与结果!$E$15:$E$18,F232)</f>
        <v>1.9279999999999999</v>
      </c>
      <c r="L232" s="1">
        <f t="shared" si="336"/>
        <v>2</v>
      </c>
      <c r="M232" s="1">
        <f t="shared" si="336"/>
        <v>10</v>
      </c>
      <c r="N232" s="1">
        <f t="shared" si="336"/>
        <v>2</v>
      </c>
      <c r="O232" s="1">
        <f t="shared" si="335"/>
        <v>6</v>
      </c>
      <c r="P232" s="1">
        <f>MIN(方案参数!$AI$9,AZ231+0+0)</f>
        <v>5</v>
      </c>
      <c r="Q232" s="1">
        <f t="shared" si="313"/>
        <v>3</v>
      </c>
      <c r="R232" s="1">
        <f t="shared" si="314"/>
        <v>5</v>
      </c>
      <c r="S232" s="1">
        <f t="shared" si="315"/>
        <v>2</v>
      </c>
      <c r="T232" s="1">
        <f t="shared" si="316"/>
        <v>0</v>
      </c>
      <c r="U232" s="1">
        <f t="shared" si="317"/>
        <v>0</v>
      </c>
      <c r="V232" s="1">
        <f t="shared" si="318"/>
        <v>1</v>
      </c>
      <c r="W232" s="1">
        <f t="shared" si="319"/>
        <v>1</v>
      </c>
      <c r="X232" s="1">
        <f t="shared" si="320"/>
        <v>1</v>
      </c>
      <c r="Y232" s="1">
        <f t="shared" si="321"/>
        <v>1</v>
      </c>
      <c r="Z232" s="1">
        <f t="shared" si="322"/>
        <v>1</v>
      </c>
      <c r="AA232" s="1">
        <f t="shared" si="337"/>
        <v>1</v>
      </c>
      <c r="AB232" s="1">
        <f t="shared" si="324"/>
        <v>0</v>
      </c>
      <c r="AC232" s="1">
        <f t="shared" si="325"/>
        <v>0</v>
      </c>
      <c r="AD232" s="1">
        <f>ROUNDDOWN(I232*(1+IF(F232=3,0.05+方案参数!$Y$9+AA232*0.12,IF(F232=4,方案参数!$BZ$9*方案参数!$AS$9,0)))+IF(AND(X232=1,F232&lt;&gt;3),方案参数!$CC$9,0)+AC232*方案参数!$CB$9,0)</f>
        <v>2544</v>
      </c>
      <c r="AE232" s="1">
        <f>IF(OR(F232=1,F232=4),配置与结果!$B$24,配置与结果!$B$25)*MAX(0,1-INDEX(配置与结果!$I$15:$I$18,F232))</f>
        <v>1000</v>
      </c>
      <c r="AF232" s="1">
        <f>方案参数!$BT$9*IF(H232=1,1,IF(H232=2,1.5,2.5))</f>
        <v>1.4</v>
      </c>
      <c r="AG232" s="1">
        <f>MAX(配置与结果!$B$32,1+INDEX(配置与结果!$F$15:$F$18,F232)+0+Q232*方案参数!$W$9+Y232*(方案参数!$AN$9+MIN(方案参数!$AO$9,P232*0.03))+AB232*方案参数!$BZ$9*0.025-配置与结果!$B$28)</f>
        <v>0.96499999999999997</v>
      </c>
      <c r="AH232" s="1">
        <f>MAX(0,1+INDEX(配置与结果!$G$15:$G$18,F232)+W232*方案参数!$AG$9)</f>
        <v>1.3</v>
      </c>
      <c r="AI232" s="1">
        <f>IF(OR(INDEX(配置与结果!$K$15:$K$18,F232)=1,G232="RHI_BERRY"),1+配置与结果!$B$33+P232*方案参数!$AH$9,1)</f>
        <v>1</v>
      </c>
      <c r="AJ232" s="1">
        <f>MIN(1,MAX(0,J232+方案参数!$AB$9-配置与结果!$B$27))</f>
        <v>0.76</v>
      </c>
      <c r="AK232" s="1">
        <f>MAX(1,K232+IF(F232=2,0.15+方案参数!$CH$9,0)+BN232*方案参数!$X$9+R232*方案参数!$AA$9+0-配置与结果!$B$26+Z232*(方案参数!$AP$9+MIN(方案参数!$AQ$9,P232*0.03)))</f>
        <v>2.278</v>
      </c>
      <c r="AL232" s="7">
        <f>ROUNDDOWN(MAX(AD232*配置与结果!$B$31,AD232-AE232)*AF232*AG232*AH232*AI232,0)</f>
        <v>2711</v>
      </c>
      <c r="AM232" s="7">
        <f>ROUNDDOWN(MAX(AD232*配置与结果!$B$31,AD232-AE232)*AF232*AG232*AH232*AI232*AK232,0)</f>
        <v>6177</v>
      </c>
      <c r="AN232" s="7">
        <f t="shared" si="287"/>
        <v>5345.1600000000008</v>
      </c>
      <c r="AO232" s="7">
        <f>方案参数!$BU$9*IF(H232=1,1,IF(H232=2,1.5,2.5))</f>
        <v>0.8</v>
      </c>
      <c r="AP232" s="7">
        <f>MAX(0,1+INDEX(配置与结果!$J$15:$J$18,F232)+IF(T232&gt;0,方案参数!$BY$9,0)-配置与结果!$B$30)</f>
        <v>1</v>
      </c>
      <c r="AQ232" s="7">
        <f t="shared" si="288"/>
        <v>2035</v>
      </c>
      <c r="AR232" s="7">
        <f t="shared" si="289"/>
        <v>4635</v>
      </c>
      <c r="AS232" s="7">
        <f t="shared" si="290"/>
        <v>4011</v>
      </c>
      <c r="AT232" s="7">
        <f>0</f>
        <v>0</v>
      </c>
      <c r="AU232" s="7">
        <f t="shared" si="291"/>
        <v>9356.16</v>
      </c>
      <c r="AV232" s="1">
        <f t="shared" si="292"/>
        <v>2</v>
      </c>
      <c r="AW232" s="1">
        <f t="shared" si="339"/>
        <v>10</v>
      </c>
      <c r="AX232" s="1">
        <f t="shared" si="293"/>
        <v>2</v>
      </c>
      <c r="AY232" s="1">
        <f t="shared" si="333"/>
        <v>6</v>
      </c>
      <c r="AZ232" s="1">
        <f t="shared" si="294"/>
        <v>5</v>
      </c>
      <c r="BA232" s="1">
        <f>MIN(6,Q232+0)</f>
        <v>3</v>
      </c>
      <c r="BB232" s="1">
        <f t="shared" si="326"/>
        <v>5</v>
      </c>
      <c r="BC232" s="1">
        <f t="shared" ref="BC232:BC238" si="340">MIN(3,S232+0)</f>
        <v>2</v>
      </c>
      <c r="BD232" s="1">
        <f t="shared" si="334"/>
        <v>0</v>
      </c>
      <c r="BE232" s="1">
        <f t="shared" si="327"/>
        <v>0</v>
      </c>
      <c r="BF232" s="1">
        <f>MIN(4,V232+0)</f>
        <v>1</v>
      </c>
      <c r="BG232" s="1">
        <f t="shared" si="331"/>
        <v>1</v>
      </c>
      <c r="BH232" s="1">
        <f t="shared" si="328"/>
        <v>1</v>
      </c>
      <c r="BI232" s="1">
        <f t="shared" si="332"/>
        <v>1</v>
      </c>
      <c r="BJ232" s="1">
        <f t="shared" si="338"/>
        <v>1</v>
      </c>
      <c r="BK232" s="1">
        <f t="shared" si="338"/>
        <v>1</v>
      </c>
      <c r="BL232" s="1">
        <f t="shared" si="308"/>
        <v>0</v>
      </c>
      <c r="BM232" s="1">
        <f t="shared" si="306"/>
        <v>0</v>
      </c>
      <c r="BN232" s="1">
        <f t="shared" si="329"/>
        <v>1</v>
      </c>
      <c r="BO232" s="1">
        <f t="shared" si="330"/>
        <v>1</v>
      </c>
    </row>
    <row r="233" spans="1:67" ht="30.95" customHeight="1">
      <c r="A233" s="1">
        <f>6</f>
        <v>6</v>
      </c>
      <c r="B233" s="1">
        <f>固定流程!A17</f>
        <v>12</v>
      </c>
      <c r="C233" s="1">
        <f>9</f>
        <v>9</v>
      </c>
      <c r="D233" s="1">
        <f>1</f>
        <v>1</v>
      </c>
      <c r="E233" s="1">
        <f>固定流程!C17</f>
        <v>2</v>
      </c>
      <c r="F233" s="1">
        <f>固定流程!G17</f>
        <v>2</v>
      </c>
      <c r="G233" s="1" t="str">
        <f>固定流程!H17</f>
        <v>37_FOLLOW</v>
      </c>
      <c r="H233" s="1">
        <f>固定流程!F17</f>
        <v>1</v>
      </c>
      <c r="I233" s="1">
        <f>INDEX(配置与结果!$B$15:$B$18,F233)</f>
        <v>2306</v>
      </c>
      <c r="J233" s="1">
        <f>INDEX(配置与结果!$D$15:$D$18,F233)</f>
        <v>0.46</v>
      </c>
      <c r="K233" s="1">
        <f>INDEX(配置与结果!$E$15:$E$18,F233)</f>
        <v>1.9279999999999999</v>
      </c>
      <c r="L233" s="1">
        <f t="shared" si="336"/>
        <v>2</v>
      </c>
      <c r="M233" s="1">
        <f t="shared" si="336"/>
        <v>10</v>
      </c>
      <c r="N233" s="1">
        <f t="shared" si="336"/>
        <v>2</v>
      </c>
      <c r="O233" s="1">
        <f t="shared" si="335"/>
        <v>6</v>
      </c>
      <c r="P233" s="1">
        <f>MIN(方案参数!$AI$9,AZ232+0+0)</f>
        <v>5</v>
      </c>
      <c r="Q233" s="1">
        <f t="shared" si="313"/>
        <v>3</v>
      </c>
      <c r="R233" s="1">
        <f t="shared" si="314"/>
        <v>5</v>
      </c>
      <c r="S233" s="1">
        <f t="shared" si="315"/>
        <v>2</v>
      </c>
      <c r="T233" s="1">
        <f t="shared" si="316"/>
        <v>0</v>
      </c>
      <c r="U233" s="1">
        <f t="shared" si="317"/>
        <v>0</v>
      </c>
      <c r="V233" s="1">
        <f t="shared" si="318"/>
        <v>1</v>
      </c>
      <c r="W233" s="1">
        <f t="shared" si="319"/>
        <v>1</v>
      </c>
      <c r="X233" s="1">
        <f t="shared" si="320"/>
        <v>1</v>
      </c>
      <c r="Y233" s="1">
        <f t="shared" si="321"/>
        <v>1</v>
      </c>
      <c r="Z233" s="1">
        <f t="shared" si="322"/>
        <v>1</v>
      </c>
      <c r="AA233" s="1">
        <f t="shared" si="337"/>
        <v>1</v>
      </c>
      <c r="AB233" s="1">
        <f t="shared" si="324"/>
        <v>0</v>
      </c>
      <c r="AC233" s="1">
        <f t="shared" si="325"/>
        <v>0</v>
      </c>
      <c r="AD233" s="1">
        <f>ROUNDDOWN(I233*(1+IF(F233=3,0.05+方案参数!$Y$9+AA233*0.12,IF(F233=4,方案参数!$BZ$9*方案参数!$AS$9,0)))+IF(AND(X233=1,F233&lt;&gt;3),方案参数!$CC$9,0)+AC233*方案参数!$CB$9,0)</f>
        <v>2544</v>
      </c>
      <c r="AE233" s="1">
        <f>IF(OR(F233=1,F233=4),配置与结果!$B$24,配置与结果!$B$25)*MAX(0,1-INDEX(配置与结果!$I$15:$I$18,F233))</f>
        <v>1000</v>
      </c>
      <c r="AF233" s="1">
        <f>方案参数!$BV$9</f>
        <v>3</v>
      </c>
      <c r="AG233" s="1">
        <f>MAX(配置与结果!$B$32,1+INDEX(配置与结果!$F$15:$F$18,F233)+0+Q233*方案参数!$W$9+Y233*(方案参数!$AN$9+MIN(方案参数!$AO$9,P233*0.03))+AB233*方案参数!$BZ$9*0.025-配置与结果!$B$28)</f>
        <v>0.96499999999999997</v>
      </c>
      <c r="AH233" s="1">
        <f>MAX(0,1+INDEX(配置与结果!$G$15:$G$18,F233)+W233*方案参数!$AG$9)</f>
        <v>1.3</v>
      </c>
      <c r="AI233" s="1">
        <f>IF(OR(INDEX(配置与结果!$K$15:$K$18,F233)=1,G233="RHI_BERRY"),1+配置与结果!$B$33+P233*方案参数!$AH$9,1)</f>
        <v>1</v>
      </c>
      <c r="AJ233" s="1">
        <f>MIN(1,MAX(0,J233+方案参数!$AB$9-配置与结果!$B$27))</f>
        <v>0.76</v>
      </c>
      <c r="AK233" s="1">
        <f>MAX(1,K233+IF(F233=2,0.15+方案参数!$CH$9,0)+BN233*方案参数!$X$9+R233*方案参数!$AA$9+0-配置与结果!$B$26+Z233*(方案参数!$AP$9+MIN(方案参数!$AQ$9,P233*0.03)))</f>
        <v>2.278</v>
      </c>
      <c r="AL233" s="7">
        <f>ROUNDDOWN(MAX(AD233*配置与结果!$B$31,AD233-AE233)*AF233*AG233*AH233*AI233,0)</f>
        <v>5810</v>
      </c>
      <c r="AM233" s="7">
        <f>ROUNDDOWN(MAX(AD233*配置与结果!$B$31,AD233-AE233)*AF233*AG233*AH233*AI233*AK233,0)</f>
        <v>13237</v>
      </c>
      <c r="AN233" s="7">
        <f t="shared" si="287"/>
        <v>11454.52</v>
      </c>
      <c r="AO233" s="7">
        <f>方案参数!$BW$9</f>
        <v>1</v>
      </c>
      <c r="AP233" s="7">
        <f>MAX(0,1+INDEX(配置与结果!$J$15:$J$18,F233)+IF(T233&gt;0,方案参数!$BY$9,0)-配置与结果!$B$30)</f>
        <v>1</v>
      </c>
      <c r="AQ233" s="7">
        <f t="shared" si="288"/>
        <v>2544</v>
      </c>
      <c r="AR233" s="7">
        <f t="shared" si="289"/>
        <v>5795</v>
      </c>
      <c r="AS233" s="7">
        <f t="shared" si="290"/>
        <v>5014.76</v>
      </c>
      <c r="AT233" s="7">
        <f>0</f>
        <v>0</v>
      </c>
      <c r="AU233" s="7">
        <f t="shared" si="291"/>
        <v>16469.28</v>
      </c>
      <c r="AV233" s="1">
        <f t="shared" si="292"/>
        <v>2</v>
      </c>
      <c r="AW233" s="1">
        <f t="shared" si="339"/>
        <v>10</v>
      </c>
      <c r="AX233" s="1">
        <f t="shared" si="293"/>
        <v>2</v>
      </c>
      <c r="AY233" s="1">
        <f t="shared" si="333"/>
        <v>6</v>
      </c>
      <c r="AZ233" s="1">
        <f t="shared" si="294"/>
        <v>5</v>
      </c>
      <c r="BA233" s="1">
        <f>MIN(6,Q233+0)</f>
        <v>3</v>
      </c>
      <c r="BB233" s="1">
        <f t="shared" si="326"/>
        <v>5</v>
      </c>
      <c r="BC233" s="1">
        <f t="shared" si="340"/>
        <v>2</v>
      </c>
      <c r="BD233" s="1">
        <f t="shared" si="334"/>
        <v>0</v>
      </c>
      <c r="BE233" s="1">
        <f t="shared" si="327"/>
        <v>0</v>
      </c>
      <c r="BF233" s="1">
        <f>MIN(4,V233+1)</f>
        <v>2</v>
      </c>
      <c r="BG233" s="1">
        <f t="shared" si="331"/>
        <v>1</v>
      </c>
      <c r="BH233" s="1">
        <f t="shared" si="328"/>
        <v>1</v>
      </c>
      <c r="BI233" s="1">
        <f t="shared" si="332"/>
        <v>1</v>
      </c>
      <c r="BJ233" s="1">
        <f t="shared" si="338"/>
        <v>1</v>
      </c>
      <c r="BK233" s="1">
        <f t="shared" si="338"/>
        <v>1</v>
      </c>
      <c r="BL233" s="1">
        <f t="shared" si="308"/>
        <v>0</v>
      </c>
      <c r="BM233" s="1">
        <f t="shared" si="306"/>
        <v>0</v>
      </c>
      <c r="BN233" s="1">
        <f t="shared" si="329"/>
        <v>1</v>
      </c>
      <c r="BO233" s="1">
        <f t="shared" si="330"/>
        <v>1</v>
      </c>
    </row>
    <row r="234" spans="1:67" ht="30.95" customHeight="1">
      <c r="A234" s="1">
        <f>6</f>
        <v>6</v>
      </c>
      <c r="B234" s="1">
        <f>固定流程!A18</f>
        <v>13</v>
      </c>
      <c r="C234" s="1">
        <f>9</f>
        <v>9</v>
      </c>
      <c r="D234" s="1">
        <f>1</f>
        <v>1</v>
      </c>
      <c r="E234" s="1">
        <f>固定流程!C18</f>
        <v>2</v>
      </c>
      <c r="F234" s="1">
        <f>固定流程!G18</f>
        <v>3</v>
      </c>
      <c r="G234" s="1" t="str">
        <f>固定流程!H18</f>
        <v>RHI_BERRY</v>
      </c>
      <c r="H234" s="1">
        <f>固定流程!F18</f>
        <v>1</v>
      </c>
      <c r="I234" s="1">
        <f>INDEX(配置与结果!$B$15:$B$18,F234)</f>
        <v>2597</v>
      </c>
      <c r="J234" s="1">
        <f>INDEX(配置与结果!$D$15:$D$18,F234)</f>
        <v>0.255</v>
      </c>
      <c r="K234" s="1">
        <f>INDEX(配置与结果!$E$15:$E$18,F234)</f>
        <v>1.55</v>
      </c>
      <c r="L234" s="1">
        <f t="shared" si="336"/>
        <v>2</v>
      </c>
      <c r="M234" s="1">
        <f t="shared" si="336"/>
        <v>10</v>
      </c>
      <c r="N234" s="1">
        <f t="shared" si="336"/>
        <v>2</v>
      </c>
      <c r="O234" s="1">
        <f t="shared" si="335"/>
        <v>6</v>
      </c>
      <c r="P234" s="1">
        <f>MIN(方案参数!$AI$9,AZ233+0+0)</f>
        <v>5</v>
      </c>
      <c r="Q234" s="1">
        <f t="shared" si="313"/>
        <v>3</v>
      </c>
      <c r="R234" s="1">
        <f t="shared" si="314"/>
        <v>5</v>
      </c>
      <c r="S234" s="1">
        <f t="shared" si="315"/>
        <v>2</v>
      </c>
      <c r="T234" s="1">
        <f t="shared" si="316"/>
        <v>0</v>
      </c>
      <c r="U234" s="1">
        <f t="shared" si="317"/>
        <v>0</v>
      </c>
      <c r="V234" s="1">
        <f t="shared" si="318"/>
        <v>2</v>
      </c>
      <c r="W234" s="1">
        <f t="shared" si="319"/>
        <v>1</v>
      </c>
      <c r="X234" s="1">
        <f t="shared" si="320"/>
        <v>1</v>
      </c>
      <c r="Y234" s="1">
        <f t="shared" si="321"/>
        <v>1</v>
      </c>
      <c r="Z234" s="1">
        <f t="shared" si="322"/>
        <v>1</v>
      </c>
      <c r="AA234" s="1">
        <f t="shared" si="337"/>
        <v>1</v>
      </c>
      <c r="AB234" s="1">
        <f t="shared" si="324"/>
        <v>0</v>
      </c>
      <c r="AC234" s="1">
        <f t="shared" si="325"/>
        <v>0</v>
      </c>
      <c r="AD234" s="1">
        <f>ROUNDDOWN(I234*(1+IF(F234=3,0.05+方案参数!$Y$9+AA234*0.12,IF(F234=4,方案参数!$BZ$9*方案参数!$AS$9,0)))+IF(AND(X234=1,F234&lt;&gt;3),方案参数!$CC$9,0)+AC234*方案参数!$CB$9,0)</f>
        <v>3298</v>
      </c>
      <c r="AE234" s="1">
        <f>IF(OR(F234=1,F234=4),配置与结果!$B$24,配置与结果!$B$25)*MAX(0,1-INDEX(配置与结果!$I$15:$I$18,F234))</f>
        <v>1000</v>
      </c>
      <c r="AF234" s="1">
        <f>方案参数!$CF$9+P234*方案参数!$CG$9</f>
        <v>22.5</v>
      </c>
      <c r="AG234" s="1">
        <f>MAX(配置与结果!$B$32,1+INDEX(配置与结果!$F$15:$F$18,F234)+0+Q234*方案参数!$W$9+Y234*(方案参数!$AN$9+MIN(方案参数!$AO$9,P234*0.03))+AB234*方案参数!$BZ$9*0.025-配置与结果!$B$28)</f>
        <v>0.995</v>
      </c>
      <c r="AH234" s="1">
        <f>MAX(0,1+INDEX(配置与结果!$G$15:$G$18,F234)+W234*方案参数!$AG$9)</f>
        <v>1.3</v>
      </c>
      <c r="AI234" s="1">
        <f>IF(OR(INDEX(配置与结果!$K$15:$K$18,F234)=1,G234="RHI_BERRY"),1+配置与结果!$B$33+P234*方案参数!$AH$9,1)</f>
        <v>1.5</v>
      </c>
      <c r="AJ234" s="1">
        <f>MIN(1,MAX(0,J234+方案参数!$AB$9-配置与结果!$B$27))</f>
        <v>0.55499999999999994</v>
      </c>
      <c r="AK234" s="1">
        <f>MAX(1,K234+IF(F234=2,0.15+方案参数!$CH$9,0)+BN234*方案参数!$X$9+R234*方案参数!$AA$9+0-配置与结果!$B$26+Z234*(方案参数!$AP$9+MIN(方案参数!$AQ$9,P234*0.03)))</f>
        <v>1.6300000000000001</v>
      </c>
      <c r="AL234" s="7">
        <f>ROUNDDOWN(MAX(AD234*配置与结果!$B$31,AD234-AE234)*AF234*AG234*AH234*AI234,0)</f>
        <v>100320</v>
      </c>
      <c r="AM234" s="7">
        <f>ROUNDDOWN(MAX(AD234*配置与结果!$B$31,AD234-AE234)*AF234*AG234*AH234*AI234*AK234,0)</f>
        <v>163522</v>
      </c>
      <c r="AN234" s="7">
        <f t="shared" si="287"/>
        <v>135397.10999999999</v>
      </c>
      <c r="AO234" s="7">
        <f>0</f>
        <v>0</v>
      </c>
      <c r="AP234" s="7">
        <f>MAX(0,1+INDEX(配置与结果!$J$15:$J$18,F234)+IF(T234&gt;0,方案参数!$BY$9,0)-配置与结果!$B$30)</f>
        <v>1</v>
      </c>
      <c r="AQ234" s="7">
        <f t="shared" si="288"/>
        <v>0</v>
      </c>
      <c r="AR234" s="7">
        <f t="shared" si="289"/>
        <v>0</v>
      </c>
      <c r="AS234" s="7">
        <f t="shared" si="290"/>
        <v>0</v>
      </c>
      <c r="AT234" s="7">
        <f>0</f>
        <v>0</v>
      </c>
      <c r="AU234" s="7">
        <f t="shared" si="291"/>
        <v>135397.10999999999</v>
      </c>
      <c r="AV234" s="1">
        <f t="shared" si="292"/>
        <v>2</v>
      </c>
      <c r="AW234" s="1">
        <f t="shared" si="339"/>
        <v>10</v>
      </c>
      <c r="AX234" s="1">
        <f t="shared" si="293"/>
        <v>2</v>
      </c>
      <c r="AY234" s="1">
        <f t="shared" si="333"/>
        <v>6</v>
      </c>
      <c r="AZ234" s="1">
        <f t="shared" si="294"/>
        <v>5</v>
      </c>
      <c r="BA234" s="1">
        <f>MIN(6,Q234+0)</f>
        <v>3</v>
      </c>
      <c r="BB234" s="1">
        <f t="shared" si="326"/>
        <v>5</v>
      </c>
      <c r="BC234" s="1">
        <f t="shared" si="340"/>
        <v>2</v>
      </c>
      <c r="BD234" s="1">
        <f t="shared" si="334"/>
        <v>0</v>
      </c>
      <c r="BE234" s="1">
        <f t="shared" si="327"/>
        <v>0</v>
      </c>
      <c r="BF234" s="1">
        <f>MIN(4,V234+0)</f>
        <v>2</v>
      </c>
      <c r="BG234" s="1">
        <f t="shared" si="331"/>
        <v>1</v>
      </c>
      <c r="BH234" s="1">
        <f t="shared" si="328"/>
        <v>1</v>
      </c>
      <c r="BI234" s="1">
        <f t="shared" si="332"/>
        <v>1</v>
      </c>
      <c r="BJ234" s="1">
        <f t="shared" si="338"/>
        <v>1</v>
      </c>
      <c r="BK234" s="1">
        <f t="shared" si="338"/>
        <v>1</v>
      </c>
      <c r="BL234" s="1">
        <f t="shared" si="308"/>
        <v>0</v>
      </c>
      <c r="BM234" s="1">
        <f t="shared" si="306"/>
        <v>0</v>
      </c>
      <c r="BN234" s="1">
        <f t="shared" si="329"/>
        <v>1</v>
      </c>
      <c r="BO234" s="1">
        <f t="shared" si="330"/>
        <v>1</v>
      </c>
    </row>
    <row r="235" spans="1:67" ht="30.95" customHeight="1">
      <c r="A235" s="1">
        <f>6</f>
        <v>6</v>
      </c>
      <c r="B235" s="1">
        <f>固定流程!A19</f>
        <v>14</v>
      </c>
      <c r="C235" s="1">
        <f>9</f>
        <v>9</v>
      </c>
      <c r="D235" s="1">
        <f>1</f>
        <v>1</v>
      </c>
      <c r="E235" s="1">
        <f>固定流程!C19</f>
        <v>3</v>
      </c>
      <c r="F235" s="1">
        <f>固定流程!G19</f>
        <v>3</v>
      </c>
      <c r="G235" s="1" t="str">
        <f>固定流程!H19</f>
        <v>RHI_BUFF</v>
      </c>
      <c r="H235" s="1">
        <f>固定流程!F19</f>
        <v>1</v>
      </c>
      <c r="I235" s="1">
        <f>INDEX(配置与结果!$B$15:$B$18,F235)</f>
        <v>2597</v>
      </c>
      <c r="J235" s="1">
        <f>INDEX(配置与结果!$D$15:$D$18,F235)</f>
        <v>0.255</v>
      </c>
      <c r="K235" s="1">
        <f>INDEX(配置与结果!$E$15:$E$18,F235)</f>
        <v>1.55</v>
      </c>
      <c r="L235" s="1">
        <f>IF(AV234=1,IF(M235&gt;=10,2,1),IF(AV234=2,IF(AX234&lt;=1,0,2),0))</f>
        <v>2</v>
      </c>
      <c r="M235" s="1">
        <f>IF(AND(AV234=2,AX234&lt;=1),0,MIN(10,AW234+IF(AV234=1,3,0)))</f>
        <v>10</v>
      </c>
      <c r="N235" s="1">
        <f>IF(AND(AV234=1,M235&gt;=10),2,IF(AV234=2,MAX(0,AX234-1),0))</f>
        <v>1</v>
      </c>
      <c r="O235" s="1">
        <f t="shared" si="335"/>
        <v>6</v>
      </c>
      <c r="P235" s="1">
        <f>MIN(方案参数!$AI$9,AZ234+方案参数!$AJ$9+方案参数!$AK$9)</f>
        <v>5</v>
      </c>
      <c r="Q235" s="1">
        <f t="shared" si="313"/>
        <v>3</v>
      </c>
      <c r="R235" s="1">
        <f t="shared" si="314"/>
        <v>5</v>
      </c>
      <c r="S235" s="1">
        <f t="shared" si="315"/>
        <v>2</v>
      </c>
      <c r="T235" s="1">
        <f t="shared" si="316"/>
        <v>0</v>
      </c>
      <c r="U235" s="1">
        <f t="shared" si="317"/>
        <v>0</v>
      </c>
      <c r="V235" s="1">
        <f t="shared" si="318"/>
        <v>2</v>
      </c>
      <c r="W235" s="1">
        <f t="shared" si="319"/>
        <v>1</v>
      </c>
      <c r="X235" s="1">
        <f t="shared" si="320"/>
        <v>1</v>
      </c>
      <c r="Y235" s="1">
        <f t="shared" si="321"/>
        <v>1</v>
      </c>
      <c r="Z235" s="1">
        <f t="shared" si="322"/>
        <v>1</v>
      </c>
      <c r="AA235" s="1">
        <f t="shared" si="337"/>
        <v>1</v>
      </c>
      <c r="AB235" s="1">
        <f t="shared" si="324"/>
        <v>0</v>
      </c>
      <c r="AC235" s="1">
        <f t="shared" si="325"/>
        <v>0</v>
      </c>
      <c r="AD235" s="1">
        <f>ROUNDDOWN(I235*(1+IF(F235=3,0.05+方案参数!$Y$9+AA235*0.12,IF(F235=4,方案参数!$BZ$9*方案参数!$AS$9,0)))+IF(AND(X235=1,F235&lt;&gt;3),方案参数!$CC$9,0)+AC235*方案参数!$CB$9,0)</f>
        <v>3298</v>
      </c>
      <c r="AE235" s="1">
        <f>IF(OR(F235=1,F235=4),配置与结果!$B$24,配置与结果!$B$25)*MAX(0,1-INDEX(配置与结果!$I$15:$I$18,F235))</f>
        <v>1000</v>
      </c>
      <c r="AF235" s="1">
        <f>0</f>
        <v>0</v>
      </c>
      <c r="AG235" s="1">
        <f>MAX(配置与结果!$B$32,1+INDEX(配置与结果!$F$15:$F$18,F235)+0+Q235*方案参数!$W$9+Y235*(方案参数!$AN$9+MIN(方案参数!$AO$9,P235*0.03))+AB235*方案参数!$BZ$9*0.025-配置与结果!$B$28)</f>
        <v>0.995</v>
      </c>
      <c r="AH235" s="1">
        <f>MAX(0,1+INDEX(配置与结果!$G$15:$G$18,F235)+W235*方案参数!$AG$9)</f>
        <v>1.3</v>
      </c>
      <c r="AI235" s="1">
        <f>IF(OR(INDEX(配置与结果!$K$15:$K$18,F235)=1,G235="RHI_BERRY"),1+配置与结果!$B$33+P235*方案参数!$AH$9,1)</f>
        <v>1</v>
      </c>
      <c r="AJ235" s="1">
        <f>MIN(1,MAX(0,J235+方案参数!$AB$9-配置与结果!$B$27))</f>
        <v>0.55499999999999994</v>
      </c>
      <c r="AK235" s="1">
        <f>MAX(1,K235+IF(F235=2,0.15+方案参数!$CH$9,0)+BN235*方案参数!$X$9+R235*方案参数!$AA$9+0-配置与结果!$B$26+Z235*(方案参数!$AP$9+MIN(方案参数!$AQ$9,P235*0.03)))</f>
        <v>1.6300000000000001</v>
      </c>
      <c r="AL235" s="7">
        <f>ROUNDDOWN(MAX(AD235*配置与结果!$B$31,AD235-AE235)*AF235*AG235*AH235*AI235,0)</f>
        <v>0</v>
      </c>
      <c r="AM235" s="7">
        <f>ROUNDDOWN(MAX(AD235*配置与结果!$B$31,AD235-AE235)*AF235*AG235*AH235*AI235*AK235,0)</f>
        <v>0</v>
      </c>
      <c r="AN235" s="7">
        <f t="shared" si="287"/>
        <v>0</v>
      </c>
      <c r="AO235" s="7">
        <f>0</f>
        <v>0</v>
      </c>
      <c r="AP235" s="7">
        <f>MAX(0,1+INDEX(配置与结果!$J$15:$J$18,F235)+IF(T235&gt;0,方案参数!$BY$9,0)-配置与结果!$B$30)</f>
        <v>1</v>
      </c>
      <c r="AQ235" s="7">
        <f t="shared" si="288"/>
        <v>0</v>
      </c>
      <c r="AR235" s="7">
        <f t="shared" si="289"/>
        <v>0</v>
      </c>
      <c r="AS235" s="7">
        <f t="shared" si="290"/>
        <v>0</v>
      </c>
      <c r="AT235" s="7">
        <f>0</f>
        <v>0</v>
      </c>
      <c r="AU235" s="7">
        <f t="shared" si="291"/>
        <v>0</v>
      </c>
      <c r="AV235" s="1">
        <f t="shared" si="292"/>
        <v>2</v>
      </c>
      <c r="AW235" s="1">
        <f t="shared" si="339"/>
        <v>10</v>
      </c>
      <c r="AX235" s="1">
        <f t="shared" si="293"/>
        <v>1</v>
      </c>
      <c r="AY235" s="1">
        <f t="shared" si="333"/>
        <v>6</v>
      </c>
      <c r="AZ235" s="1">
        <f t="shared" si="294"/>
        <v>5</v>
      </c>
      <c r="BA235" s="1">
        <f>MIN(6,Q235+1)</f>
        <v>4</v>
      </c>
      <c r="BB235" s="1">
        <f t="shared" si="326"/>
        <v>5</v>
      </c>
      <c r="BC235" s="1">
        <f t="shared" si="340"/>
        <v>2</v>
      </c>
      <c r="BD235" s="1">
        <f t="shared" si="334"/>
        <v>0</v>
      </c>
      <c r="BE235" s="1">
        <f t="shared" si="327"/>
        <v>0</v>
      </c>
      <c r="BF235" s="1">
        <f>MIN(4,V235+0)</f>
        <v>2</v>
      </c>
      <c r="BG235" s="1">
        <f>MAX(W235,1)</f>
        <v>1</v>
      </c>
      <c r="BH235" s="1">
        <f t="shared" si="328"/>
        <v>1</v>
      </c>
      <c r="BI235" s="1">
        <f>MAX(Y235,1)</f>
        <v>1</v>
      </c>
      <c r="BJ235" s="1">
        <f t="shared" si="338"/>
        <v>1</v>
      </c>
      <c r="BK235" s="1">
        <f t="shared" si="338"/>
        <v>1</v>
      </c>
      <c r="BL235" s="1">
        <f t="shared" si="308"/>
        <v>0</v>
      </c>
      <c r="BM235" s="1">
        <f t="shared" si="306"/>
        <v>0</v>
      </c>
      <c r="BN235" s="1">
        <f t="shared" si="329"/>
        <v>1</v>
      </c>
      <c r="BO235" s="1">
        <f t="shared" si="330"/>
        <v>1</v>
      </c>
    </row>
    <row r="236" spans="1:67" ht="30.95" customHeight="1">
      <c r="A236" s="1">
        <f>6</f>
        <v>6</v>
      </c>
      <c r="B236" s="1">
        <f>固定流程!A20</f>
        <v>15</v>
      </c>
      <c r="C236" s="1">
        <f>9</f>
        <v>9</v>
      </c>
      <c r="D236" s="1">
        <f>1</f>
        <v>1</v>
      </c>
      <c r="E236" s="1">
        <f>固定流程!C20</f>
        <v>3</v>
      </c>
      <c r="F236" s="1">
        <f>固定流程!G20</f>
        <v>3</v>
      </c>
      <c r="G236" s="1" t="str">
        <f>固定流程!H20</f>
        <v>RHI_ATTACK</v>
      </c>
      <c r="H236" s="1">
        <f>固定流程!F20</f>
        <v>1</v>
      </c>
      <c r="I236" s="1">
        <f>INDEX(配置与结果!$B$15:$B$18,F236)</f>
        <v>2597</v>
      </c>
      <c r="J236" s="1">
        <f>INDEX(配置与结果!$D$15:$D$18,F236)</f>
        <v>0.255</v>
      </c>
      <c r="K236" s="1">
        <f>INDEX(配置与结果!$E$15:$E$18,F236)</f>
        <v>1.55</v>
      </c>
      <c r="L236" s="1">
        <f t="shared" ref="L236:L257" si="341">AV235</f>
        <v>2</v>
      </c>
      <c r="M236" s="1">
        <f t="shared" ref="M236:M257" si="342">AW235</f>
        <v>10</v>
      </c>
      <c r="N236" s="1">
        <f t="shared" ref="N236:N257" si="343">AX235</f>
        <v>1</v>
      </c>
      <c r="O236" s="1">
        <f t="shared" si="335"/>
        <v>6</v>
      </c>
      <c r="P236" s="1">
        <f>MIN(方案参数!$AI$9,AZ235+0+方案参数!$AK$9)</f>
        <v>5</v>
      </c>
      <c r="Q236" s="1">
        <f t="shared" si="313"/>
        <v>4</v>
      </c>
      <c r="R236" s="1">
        <f t="shared" si="314"/>
        <v>5</v>
      </c>
      <c r="S236" s="1">
        <f t="shared" si="315"/>
        <v>2</v>
      </c>
      <c r="T236" s="1">
        <f t="shared" si="316"/>
        <v>0</v>
      </c>
      <c r="U236" s="1">
        <f t="shared" si="317"/>
        <v>0</v>
      </c>
      <c r="V236" s="1">
        <f t="shared" si="318"/>
        <v>2</v>
      </c>
      <c r="W236" s="1">
        <f t="shared" si="319"/>
        <v>1</v>
      </c>
      <c r="X236" s="1">
        <f t="shared" si="320"/>
        <v>1</v>
      </c>
      <c r="Y236" s="1">
        <f t="shared" si="321"/>
        <v>1</v>
      </c>
      <c r="Z236" s="1">
        <f t="shared" si="322"/>
        <v>1</v>
      </c>
      <c r="AA236" s="1">
        <f>MAX(BK235,1)</f>
        <v>1</v>
      </c>
      <c r="AB236" s="1">
        <f t="shared" si="324"/>
        <v>0</v>
      </c>
      <c r="AC236" s="1">
        <f t="shared" si="325"/>
        <v>0</v>
      </c>
      <c r="AD236" s="1">
        <f>ROUNDDOWN(I236*(1+IF(F236=3,0.05+方案参数!$Y$9+AA236*0.12,IF(F236=4,方案参数!$BZ$9*方案参数!$AS$9,0)))+IF(AND(X236=1,F236&lt;&gt;3),方案参数!$CC$9,0)+AC236*方案参数!$CB$9,0)</f>
        <v>3298</v>
      </c>
      <c r="AE236" s="1">
        <f>IF(OR(F236=1,F236=4),配置与结果!$B$24,配置与结果!$B$25)*MAX(0,1-INDEX(配置与结果!$I$15:$I$18,F236))</f>
        <v>1000</v>
      </c>
      <c r="AF236" s="1">
        <f>4</f>
        <v>4</v>
      </c>
      <c r="AG236" s="1">
        <f>MAX(配置与结果!$B$32,1+INDEX(配置与结果!$F$15:$F$18,F236)+0+Q236*方案参数!$W$9+Y236*(方案参数!$AN$9+MIN(方案参数!$AO$9,P236*0.03))+AB236*方案参数!$BZ$9*0.025-配置与结果!$B$28)</f>
        <v>1.0150000000000001</v>
      </c>
      <c r="AH236" s="1">
        <f>MAX(0,1+INDEX(配置与结果!$G$15:$G$18,F236)+W236*方案参数!$AG$9)</f>
        <v>1.3</v>
      </c>
      <c r="AI236" s="1">
        <f>IF(OR(INDEX(配置与结果!$K$15:$K$18,F236)=1,G236="RHI_BERRY"),1+配置与结果!$B$33+P236*方案参数!$AH$9,1)</f>
        <v>1</v>
      </c>
      <c r="AJ236" s="1">
        <f>MIN(1,MAX(0,J236+方案参数!$AB$9-配置与结果!$B$27))</f>
        <v>0.55499999999999994</v>
      </c>
      <c r="AK236" s="1">
        <f>MAX(1,K236+IF(F236=2,0.15+方案参数!$CH$9,0)+BN236*方案参数!$X$9+R236*方案参数!$AA$9+0-配置与结果!$B$26+Z236*(方案参数!$AP$9+MIN(方案参数!$AQ$9,P236*0.03)))</f>
        <v>1.6300000000000001</v>
      </c>
      <c r="AL236" s="7">
        <f>ROUNDDOWN(MAX(AD236*配置与结果!$B$31,AD236-AE236)*AF236*AG236*AH236*AI236,0)</f>
        <v>12128</v>
      </c>
      <c r="AM236" s="7">
        <f>ROUNDDOWN(MAX(AD236*配置与结果!$B$31,AD236-AE236)*AF236*AG236*AH236*AI236*AK236,0)</f>
        <v>19770</v>
      </c>
      <c r="AN236" s="7">
        <f t="shared" si="287"/>
        <v>16369.31</v>
      </c>
      <c r="AO236" s="7">
        <f>0</f>
        <v>0</v>
      </c>
      <c r="AP236" s="7">
        <f>MAX(0,1+INDEX(配置与结果!$J$15:$J$18,F236)+IF(T236&gt;0,方案参数!$BY$9,0)-配置与结果!$B$30)</f>
        <v>1</v>
      </c>
      <c r="AQ236" s="7">
        <f t="shared" si="288"/>
        <v>0</v>
      </c>
      <c r="AR236" s="7">
        <f t="shared" si="289"/>
        <v>0</v>
      </c>
      <c r="AS236" s="7">
        <f t="shared" si="290"/>
        <v>0</v>
      </c>
      <c r="AT236" s="7">
        <f>0</f>
        <v>0</v>
      </c>
      <c r="AU236" s="7">
        <f t="shared" si="291"/>
        <v>16369.31</v>
      </c>
      <c r="AV236" s="1">
        <f t="shared" si="292"/>
        <v>2</v>
      </c>
      <c r="AW236" s="1">
        <f t="shared" si="339"/>
        <v>10</v>
      </c>
      <c r="AX236" s="1">
        <f t="shared" si="293"/>
        <v>1</v>
      </c>
      <c r="AY236" s="1">
        <f t="shared" si="333"/>
        <v>6</v>
      </c>
      <c r="AZ236" s="1">
        <f t="shared" si="294"/>
        <v>5</v>
      </c>
      <c r="BA236" s="1">
        <f>MIN(6,Q236+1)</f>
        <v>5</v>
      </c>
      <c r="BB236" s="1">
        <f t="shared" si="326"/>
        <v>5</v>
      </c>
      <c r="BC236" s="1">
        <f t="shared" si="340"/>
        <v>2</v>
      </c>
      <c r="BD236" s="1">
        <f t="shared" si="334"/>
        <v>0</v>
      </c>
      <c r="BE236" s="1">
        <f t="shared" si="327"/>
        <v>0</v>
      </c>
      <c r="BF236" s="1">
        <f>MIN(4,V236+0)</f>
        <v>2</v>
      </c>
      <c r="BG236" s="1">
        <f t="shared" ref="BG236:BG258" si="344">MAX(W236,0)</f>
        <v>1</v>
      </c>
      <c r="BH236" s="1">
        <f t="shared" si="328"/>
        <v>1</v>
      </c>
      <c r="BI236" s="1">
        <f t="shared" ref="BI236:BI258" si="345">MAX(Y236,0)</f>
        <v>1</v>
      </c>
      <c r="BJ236" s="1">
        <f>MAX(Z236,1)</f>
        <v>1</v>
      </c>
      <c r="BK236" s="1">
        <f>MAX(AA236,1)</f>
        <v>1</v>
      </c>
      <c r="BL236" s="1">
        <f t="shared" si="308"/>
        <v>0</v>
      </c>
      <c r="BM236" s="1">
        <f t="shared" si="306"/>
        <v>0</v>
      </c>
      <c r="BN236" s="1">
        <f t="shared" si="329"/>
        <v>1</v>
      </c>
      <c r="BO236" s="1">
        <f t="shared" si="330"/>
        <v>1</v>
      </c>
    </row>
    <row r="237" spans="1:67" ht="30.95" customHeight="1">
      <c r="A237" s="1">
        <f>6</f>
        <v>6</v>
      </c>
      <c r="B237" s="1">
        <f>固定流程!A21</f>
        <v>16</v>
      </c>
      <c r="C237" s="1">
        <f>9</f>
        <v>9</v>
      </c>
      <c r="D237" s="1">
        <f>1</f>
        <v>1</v>
      </c>
      <c r="E237" s="1">
        <f>固定流程!C21</f>
        <v>3</v>
      </c>
      <c r="F237" s="1">
        <f>固定流程!G21</f>
        <v>2</v>
      </c>
      <c r="G237" s="1" t="str">
        <f>固定流程!H21</f>
        <v>37_ULT</v>
      </c>
      <c r="H237" s="1">
        <f>固定流程!F21</f>
        <v>1</v>
      </c>
      <c r="I237" s="1">
        <f>INDEX(配置与结果!$B$15:$B$18,F237)</f>
        <v>2306</v>
      </c>
      <c r="J237" s="1">
        <f>INDEX(配置与结果!$D$15:$D$18,F237)</f>
        <v>0.46</v>
      </c>
      <c r="K237" s="1">
        <f>INDEX(配置与结果!$E$15:$E$18,F237)</f>
        <v>1.9279999999999999</v>
      </c>
      <c r="L237" s="1">
        <f t="shared" si="341"/>
        <v>2</v>
      </c>
      <c r="M237" s="1">
        <f t="shared" si="342"/>
        <v>10</v>
      </c>
      <c r="N237" s="1">
        <f t="shared" si="343"/>
        <v>1</v>
      </c>
      <c r="O237" s="1">
        <f t="shared" si="335"/>
        <v>6</v>
      </c>
      <c r="P237" s="1">
        <f>MIN(方案参数!$AI$9,AZ236+0+0)</f>
        <v>5</v>
      </c>
      <c r="Q237" s="1">
        <f t="shared" si="313"/>
        <v>5</v>
      </c>
      <c r="R237" s="1">
        <f t="shared" si="314"/>
        <v>5</v>
      </c>
      <c r="S237" s="1">
        <f t="shared" si="315"/>
        <v>2</v>
      </c>
      <c r="T237" s="1">
        <f>BD236+方案参数!$BX$9</f>
        <v>2</v>
      </c>
      <c r="U237" s="1">
        <f t="shared" si="317"/>
        <v>0</v>
      </c>
      <c r="V237" s="1">
        <f t="shared" si="318"/>
        <v>2</v>
      </c>
      <c r="W237" s="1">
        <f t="shared" si="319"/>
        <v>1</v>
      </c>
      <c r="X237" s="1">
        <f t="shared" si="320"/>
        <v>1</v>
      </c>
      <c r="Y237" s="1">
        <f t="shared" si="321"/>
        <v>1</v>
      </c>
      <c r="Z237" s="1">
        <f t="shared" si="322"/>
        <v>1</v>
      </c>
      <c r="AA237" s="1">
        <f t="shared" ref="AA237:AA257" si="346">MAX(BK236,0)</f>
        <v>1</v>
      </c>
      <c r="AB237" s="1">
        <f t="shared" si="324"/>
        <v>0</v>
      </c>
      <c r="AC237" s="1">
        <f>MAX(BM236,1)</f>
        <v>1</v>
      </c>
      <c r="AD237" s="1">
        <f>ROUNDDOWN(I237*(1+IF(F237=3,0.05+方案参数!$Y$9+AA237*0.12,IF(F237=4,方案参数!$BZ$9*方案参数!$AS$9,0)))+IF(AND(X237=1,F237&lt;&gt;3),方案参数!$CC$9,0)+AC237*方案参数!$CB$9,0)</f>
        <v>3044</v>
      </c>
      <c r="AE237" s="1">
        <f>IF(OR(F237=1,F237=4),配置与结果!$B$24,配置与结果!$B$25)*MAX(0,1-INDEX(配置与结果!$I$15:$I$18,F237))</f>
        <v>1000</v>
      </c>
      <c r="AF237" s="1">
        <f>0</f>
        <v>0</v>
      </c>
      <c r="AG237" s="1">
        <f>MAX(配置与结果!$B$32,1+INDEX(配置与结果!$F$15:$F$18,F237)+0+Q237*方案参数!$W$9+Y237*(方案参数!$AN$9+MIN(方案参数!$AO$9,P237*0.03))+AB237*方案参数!$BZ$9*0.025-配置与结果!$B$28)</f>
        <v>1.0049999999999999</v>
      </c>
      <c r="AH237" s="1">
        <f>MAX(0,1+INDEX(配置与结果!$G$15:$G$18,F237)+W237*方案参数!$AG$9)</f>
        <v>1.3</v>
      </c>
      <c r="AI237" s="1">
        <f>IF(OR(INDEX(配置与结果!$K$15:$K$18,F237)=1,G237="RHI_BERRY"),1+配置与结果!$B$33+P237*方案参数!$AH$9,1)</f>
        <v>1</v>
      </c>
      <c r="AJ237" s="1">
        <f>MIN(1,MAX(0,J237+方案参数!$AB$9-配置与结果!$B$27))</f>
        <v>0.76</v>
      </c>
      <c r="AK237" s="1">
        <f>MAX(1,K237+IF(F237=2,0.15+方案参数!$CH$9,0)+BN237*方案参数!$X$9+R237*方案参数!$AA$9+0-配置与结果!$B$26+Z237*(方案参数!$AP$9+MIN(方案参数!$AQ$9,P237*0.03)))</f>
        <v>2.278</v>
      </c>
      <c r="AL237" s="7">
        <f>ROUNDDOWN(MAX(AD237*配置与结果!$B$31,AD237-AE237)*AF237*AG237*AH237*AI237,0)</f>
        <v>0</v>
      </c>
      <c r="AM237" s="7">
        <f>ROUNDDOWN(MAX(AD237*配置与结果!$B$31,AD237-AE237)*AF237*AG237*AH237*AI237*AK237,0)</f>
        <v>0</v>
      </c>
      <c r="AN237" s="7">
        <f t="shared" si="287"/>
        <v>0</v>
      </c>
      <c r="AO237" s="7">
        <f>0</f>
        <v>0</v>
      </c>
      <c r="AP237" s="7">
        <f>MAX(0,1+INDEX(配置与结果!$J$15:$J$18,F237)+IF(T237&gt;0,方案参数!$BY$9,0)-配置与结果!$B$30)</f>
        <v>2</v>
      </c>
      <c r="AQ237" s="7">
        <f t="shared" si="288"/>
        <v>0</v>
      </c>
      <c r="AR237" s="7">
        <f t="shared" si="289"/>
        <v>0</v>
      </c>
      <c r="AS237" s="7">
        <f t="shared" si="290"/>
        <v>0</v>
      </c>
      <c r="AT237" s="7">
        <f>0</f>
        <v>0</v>
      </c>
      <c r="AU237" s="7">
        <f t="shared" si="291"/>
        <v>0</v>
      </c>
      <c r="AV237" s="1">
        <f t="shared" si="292"/>
        <v>2</v>
      </c>
      <c r="AW237" s="1">
        <f t="shared" si="339"/>
        <v>10</v>
      </c>
      <c r="AX237" s="1">
        <f t="shared" si="293"/>
        <v>1</v>
      </c>
      <c r="AY237" s="1">
        <f t="shared" si="333"/>
        <v>6</v>
      </c>
      <c r="AZ237" s="1">
        <f t="shared" si="294"/>
        <v>5</v>
      </c>
      <c r="BA237" s="1">
        <f t="shared" ref="BA237:BA257" si="347">MIN(6,Q237+0)</f>
        <v>5</v>
      </c>
      <c r="BB237" s="1">
        <f>MIN(30,R237+5)</f>
        <v>10</v>
      </c>
      <c r="BC237" s="1">
        <f t="shared" si="340"/>
        <v>2</v>
      </c>
      <c r="BD237" s="1">
        <f t="shared" si="334"/>
        <v>2</v>
      </c>
      <c r="BE237" s="1">
        <f t="shared" si="327"/>
        <v>0</v>
      </c>
      <c r="BF237" s="1">
        <f>MIN(4,V237+0)</f>
        <v>2</v>
      </c>
      <c r="BG237" s="1">
        <f t="shared" si="344"/>
        <v>1</v>
      </c>
      <c r="BH237" s="1">
        <f t="shared" si="328"/>
        <v>1</v>
      </c>
      <c r="BI237" s="1">
        <f t="shared" si="345"/>
        <v>1</v>
      </c>
      <c r="BJ237" s="1">
        <f t="shared" ref="BJ237:BJ264" si="348">MAX(Z237,0)</f>
        <v>1</v>
      </c>
      <c r="BK237" s="1">
        <f t="shared" ref="BK237:BK264" si="349">MAX(AA237,0)</f>
        <v>1</v>
      </c>
      <c r="BL237" s="1">
        <f t="shared" si="308"/>
        <v>0</v>
      </c>
      <c r="BM237" s="1">
        <f>MAX(AC237,1)</f>
        <v>1</v>
      </c>
      <c r="BN237" s="1">
        <f t="shared" si="329"/>
        <v>1</v>
      </c>
      <c r="BO237" s="1">
        <f t="shared" si="330"/>
        <v>1</v>
      </c>
    </row>
    <row r="238" spans="1:67" ht="30.95" customHeight="1">
      <c r="A238" s="1">
        <f>6</f>
        <v>6</v>
      </c>
      <c r="B238" s="1">
        <f>固定流程!A22</f>
        <v>17</v>
      </c>
      <c r="C238" s="1">
        <f>9</f>
        <v>9</v>
      </c>
      <c r="D238" s="1">
        <f>1</f>
        <v>1</v>
      </c>
      <c r="E238" s="1">
        <f>固定流程!C22</f>
        <v>3</v>
      </c>
      <c r="F238" s="1">
        <f>固定流程!G22</f>
        <v>2</v>
      </c>
      <c r="G238" s="1" t="str">
        <f>固定流程!H22</f>
        <v>37_FOLLOW</v>
      </c>
      <c r="H238" s="1">
        <f>固定流程!F22</f>
        <v>1</v>
      </c>
      <c r="I238" s="1">
        <f>INDEX(配置与结果!$B$15:$B$18,F238)</f>
        <v>2306</v>
      </c>
      <c r="J238" s="1">
        <f>INDEX(配置与结果!$D$15:$D$18,F238)</f>
        <v>0.46</v>
      </c>
      <c r="K238" s="1">
        <f>INDEX(配置与结果!$E$15:$E$18,F238)</f>
        <v>1.9279999999999999</v>
      </c>
      <c r="L238" s="1">
        <f t="shared" si="341"/>
        <v>2</v>
      </c>
      <c r="M238" s="1">
        <f t="shared" si="342"/>
        <v>10</v>
      </c>
      <c r="N238" s="1">
        <f t="shared" si="343"/>
        <v>1</v>
      </c>
      <c r="O238" s="1">
        <f t="shared" si="335"/>
        <v>6</v>
      </c>
      <c r="P238" s="1">
        <f>MIN(方案参数!$AI$9,AZ237+0+0)</f>
        <v>5</v>
      </c>
      <c r="Q238" s="1">
        <f t="shared" si="313"/>
        <v>5</v>
      </c>
      <c r="R238" s="1">
        <f t="shared" si="314"/>
        <v>10</v>
      </c>
      <c r="S238" s="1">
        <f t="shared" si="315"/>
        <v>2</v>
      </c>
      <c r="T238" s="1">
        <f t="shared" ref="T238:T257" si="350">BD237+0</f>
        <v>2</v>
      </c>
      <c r="U238" s="1">
        <f t="shared" si="317"/>
        <v>0</v>
      </c>
      <c r="V238" s="1">
        <f t="shared" si="318"/>
        <v>2</v>
      </c>
      <c r="W238" s="1">
        <f t="shared" si="319"/>
        <v>1</v>
      </c>
      <c r="X238" s="1">
        <f t="shared" si="320"/>
        <v>1</v>
      </c>
      <c r="Y238" s="1">
        <f t="shared" si="321"/>
        <v>1</v>
      </c>
      <c r="Z238" s="1">
        <f t="shared" si="322"/>
        <v>1</v>
      </c>
      <c r="AA238" s="1">
        <f t="shared" si="346"/>
        <v>1</v>
      </c>
      <c r="AB238" s="1">
        <f t="shared" si="324"/>
        <v>0</v>
      </c>
      <c r="AC238" s="1">
        <f t="shared" ref="AC238:AC257" si="351">MAX(BM237,0)</f>
        <v>1</v>
      </c>
      <c r="AD238" s="1">
        <f>ROUNDDOWN(I238*(1+IF(F238=3,0.05+方案参数!$Y$9+AA238*0.12,IF(F238=4,方案参数!$BZ$9*方案参数!$AS$9,0)))+IF(AND(X238=1,F238&lt;&gt;3),方案参数!$CC$9,0)+AC238*方案参数!$CB$9,0)</f>
        <v>3044</v>
      </c>
      <c r="AE238" s="1">
        <f>IF(OR(F238=1,F238=4),配置与结果!$B$24,配置与结果!$B$25)*MAX(0,1-INDEX(配置与结果!$I$15:$I$18,F238))</f>
        <v>1000</v>
      </c>
      <c r="AF238" s="1">
        <f>方案参数!$BV$9</f>
        <v>3</v>
      </c>
      <c r="AG238" s="1">
        <f>MAX(配置与结果!$B$32,1+INDEX(配置与结果!$F$15:$F$18,F238)+0+Q238*方案参数!$W$9+Y238*(方案参数!$AN$9+MIN(方案参数!$AO$9,P238*0.03))+AB238*方案参数!$BZ$9*0.025-配置与结果!$B$28)</f>
        <v>1.0049999999999999</v>
      </c>
      <c r="AH238" s="1">
        <f>MAX(0,1+INDEX(配置与结果!$G$15:$G$18,F238)+W238*方案参数!$AG$9)</f>
        <v>1.3</v>
      </c>
      <c r="AI238" s="1">
        <f>IF(OR(INDEX(配置与结果!$K$15:$K$18,F238)=1,G238="RHI_BERRY"),1+配置与结果!$B$33+P238*方案参数!$AH$9,1)</f>
        <v>1</v>
      </c>
      <c r="AJ238" s="1">
        <f>MIN(1,MAX(0,J238+方案参数!$AB$9-配置与结果!$B$27))</f>
        <v>0.76</v>
      </c>
      <c r="AK238" s="1">
        <f>MAX(1,K238+IF(F238=2,0.15+方案参数!$CH$9,0)+BN238*方案参数!$X$9+R238*方案参数!$AA$9+0-配置与结果!$B$26+Z238*(方案参数!$AP$9+MIN(方案参数!$AQ$9,P238*0.03)))</f>
        <v>2.298</v>
      </c>
      <c r="AL238" s="7">
        <f>ROUNDDOWN(MAX(AD238*配置与结果!$B$31,AD238-AE238)*AF238*AG238*AH238*AI238,0)</f>
        <v>8011</v>
      </c>
      <c r="AM238" s="7">
        <f>ROUNDDOWN(MAX(AD238*配置与结果!$B$31,AD238-AE238)*AF238*AG238*AH238*AI238*AK238,0)</f>
        <v>18410</v>
      </c>
      <c r="AN238" s="7">
        <f t="shared" si="287"/>
        <v>15914.24</v>
      </c>
      <c r="AO238" s="7">
        <f>方案参数!$BW$9</f>
        <v>1</v>
      </c>
      <c r="AP238" s="7">
        <f>MAX(0,1+INDEX(配置与结果!$J$15:$J$18,F238)+IF(T238&gt;0,方案参数!$BY$9,0)-配置与结果!$B$30)</f>
        <v>2</v>
      </c>
      <c r="AQ238" s="7">
        <f t="shared" si="288"/>
        <v>6088</v>
      </c>
      <c r="AR238" s="7">
        <f t="shared" si="289"/>
        <v>13990</v>
      </c>
      <c r="AS238" s="7">
        <f t="shared" si="290"/>
        <v>12093.52</v>
      </c>
      <c r="AT238" s="7">
        <f>0</f>
        <v>0</v>
      </c>
      <c r="AU238" s="7">
        <f t="shared" si="291"/>
        <v>28007.760000000002</v>
      </c>
      <c r="AV238" s="1">
        <f t="shared" si="292"/>
        <v>2</v>
      </c>
      <c r="AW238" s="1">
        <f t="shared" si="339"/>
        <v>10</v>
      </c>
      <c r="AX238" s="1">
        <f t="shared" si="293"/>
        <v>1</v>
      </c>
      <c r="AY238" s="1">
        <f t="shared" si="333"/>
        <v>6</v>
      </c>
      <c r="AZ238" s="1">
        <f t="shared" si="294"/>
        <v>5</v>
      </c>
      <c r="BA238" s="1">
        <f t="shared" si="347"/>
        <v>5</v>
      </c>
      <c r="BB238" s="1">
        <f>MIN(30,R238+0)</f>
        <v>10</v>
      </c>
      <c r="BC238" s="1">
        <f t="shared" si="340"/>
        <v>2</v>
      </c>
      <c r="BD238" s="1">
        <f t="shared" si="334"/>
        <v>1</v>
      </c>
      <c r="BE238" s="1">
        <f t="shared" si="327"/>
        <v>0</v>
      </c>
      <c r="BF238" s="1">
        <f>MIN(4,V238+1)</f>
        <v>3</v>
      </c>
      <c r="BG238" s="1">
        <f t="shared" si="344"/>
        <v>1</v>
      </c>
      <c r="BH238" s="1">
        <f t="shared" si="328"/>
        <v>1</v>
      </c>
      <c r="BI238" s="1">
        <f t="shared" si="345"/>
        <v>1</v>
      </c>
      <c r="BJ238" s="1">
        <f t="shared" si="348"/>
        <v>1</v>
      </c>
      <c r="BK238" s="1">
        <f t="shared" si="349"/>
        <v>1</v>
      </c>
      <c r="BL238" s="1">
        <f t="shared" si="308"/>
        <v>0</v>
      </c>
      <c r="BM238" s="1">
        <f t="shared" ref="BM238:BM272" si="352">MAX(AC238,0)</f>
        <v>1</v>
      </c>
      <c r="BN238" s="1">
        <f t="shared" si="329"/>
        <v>1</v>
      </c>
      <c r="BO238" s="1">
        <f t="shared" si="330"/>
        <v>1</v>
      </c>
    </row>
    <row r="239" spans="1:67" ht="30.95" customHeight="1">
      <c r="A239" s="1">
        <f>6</f>
        <v>6</v>
      </c>
      <c r="B239" s="1">
        <f>固定流程!A23</f>
        <v>18</v>
      </c>
      <c r="C239" s="1">
        <f>9</f>
        <v>9</v>
      </c>
      <c r="D239" s="1">
        <f>1</f>
        <v>1</v>
      </c>
      <c r="E239" s="1">
        <f>固定流程!C23</f>
        <v>3</v>
      </c>
      <c r="F239" s="1">
        <f>固定流程!G23</f>
        <v>4</v>
      </c>
      <c r="G239" s="1" t="str">
        <f>固定流程!H23</f>
        <v>J_HARD</v>
      </c>
      <c r="H239" s="1">
        <f>固定流程!F23</f>
        <v>1</v>
      </c>
      <c r="I239" s="1">
        <f>INDEX(配置与结果!$B$15:$B$18,F239)</f>
        <v>1906</v>
      </c>
      <c r="J239" s="1">
        <f>INDEX(配置与结果!$D$15:$D$18,F239)</f>
        <v>0.36699999999999999</v>
      </c>
      <c r="K239" s="1">
        <f>INDEX(配置与结果!$E$15:$E$18,F239)</f>
        <v>1.7170000000000001</v>
      </c>
      <c r="L239" s="1">
        <f t="shared" si="341"/>
        <v>2</v>
      </c>
      <c r="M239" s="1">
        <f t="shared" si="342"/>
        <v>10</v>
      </c>
      <c r="N239" s="1">
        <f t="shared" si="343"/>
        <v>1</v>
      </c>
      <c r="O239" s="1">
        <f t="shared" si="335"/>
        <v>6</v>
      </c>
      <c r="P239" s="1">
        <f>MIN(方案参数!$AI$9,AZ238+0+0)</f>
        <v>5</v>
      </c>
      <c r="Q239" s="1">
        <f t="shared" si="313"/>
        <v>5</v>
      </c>
      <c r="R239" s="1">
        <f t="shared" si="314"/>
        <v>10</v>
      </c>
      <c r="S239" s="1">
        <f t="shared" si="315"/>
        <v>2</v>
      </c>
      <c r="T239" s="1">
        <f t="shared" si="350"/>
        <v>1</v>
      </c>
      <c r="U239" s="1">
        <f t="shared" si="317"/>
        <v>0</v>
      </c>
      <c r="V239" s="1">
        <f t="shared" si="318"/>
        <v>3</v>
      </c>
      <c r="W239" s="1">
        <f t="shared" si="319"/>
        <v>1</v>
      </c>
      <c r="X239" s="1">
        <f t="shared" si="320"/>
        <v>1</v>
      </c>
      <c r="Y239" s="1">
        <f t="shared" si="321"/>
        <v>1</v>
      </c>
      <c r="Z239" s="1">
        <f t="shared" si="322"/>
        <v>1</v>
      </c>
      <c r="AA239" s="1">
        <f t="shared" si="346"/>
        <v>1</v>
      </c>
      <c r="AB239" s="1">
        <f t="shared" si="324"/>
        <v>0</v>
      </c>
      <c r="AC239" s="1">
        <f t="shared" si="351"/>
        <v>1</v>
      </c>
      <c r="AD239" s="1">
        <f>ROUNDDOWN(I239*(1+IF(F239=3,0.05+方案参数!$Y$9+AA239*0.12,IF(F239=4,方案参数!$BZ$9*方案参数!$AS$9,0)))+IF(AND(X239=1,F239&lt;&gt;3),方案参数!$CC$9,0)+AC239*方案参数!$CB$9,0)</f>
        <v>3311</v>
      </c>
      <c r="AE239" s="1">
        <f>IF(OR(F239=1,F239=4),配置与结果!$B$24,配置与结果!$B$25)*MAX(0,1-INDEX(配置与结果!$I$15:$I$18,F239))</f>
        <v>1200</v>
      </c>
      <c r="AF239" s="1">
        <f>3.6*IF(H239=1,1,IF(H239=2,1.5,2.5))</f>
        <v>3.6</v>
      </c>
      <c r="AG239" s="1">
        <f>MAX(配置与结果!$B$32,1+INDEX(配置与结果!$F$15:$F$18,F239)+0.08+Q239*方案参数!$W$9+Y239*(方案参数!$AN$9+MIN(方案参数!$AO$9,P239*0.03))+AB239*方案参数!$BZ$9*0.025+0.1+IF(方案参数!$BZ$9&gt;=30,方案参数!$BZ$9*0.01,0)-配置与结果!$B$28)</f>
        <v>1.5550000000000002</v>
      </c>
      <c r="AH239" s="1">
        <f>MAX(0,1+INDEX(配置与结果!$G$15:$G$18,F239)+W239*方案参数!$AG$9)</f>
        <v>1.3</v>
      </c>
      <c r="AI239" s="1">
        <f>IF(OR(INDEX(配置与结果!$K$15:$K$18,F239)=1,G239="RHI_BERRY"),1+配置与结果!$B$33+P239*方案参数!$AH$9,1)</f>
        <v>1</v>
      </c>
      <c r="AJ239" s="1">
        <f>MIN(1,MAX(0,J239+方案参数!$AB$9-配置与结果!$B$27))</f>
        <v>0.66700000000000004</v>
      </c>
      <c r="AK239" s="1">
        <f>MAX(1,K239+IF(F239=2,0.15+方案参数!$CH$9,0)+BN239*方案参数!$X$9+R239*方案参数!$AA$9+0-配置与结果!$B$26+Z239*(方案参数!$AP$9+MIN(方案参数!$AQ$9,P239*0.03)))</f>
        <v>1.8169999999999999</v>
      </c>
      <c r="AL239" s="7">
        <f>ROUNDDOWN(MAX(AD239*配置与结果!$B$31,AD239-AE239)*AF239*AG239*AH239*AI239,0)</f>
        <v>15362</v>
      </c>
      <c r="AM239" s="7">
        <f>ROUNDDOWN(MAX(AD239*配置与结果!$B$31,AD239-AE239)*AF239*AG239*AH239*AI239*AK239,0)</f>
        <v>27913</v>
      </c>
      <c r="AN239" s="7">
        <f t="shared" si="287"/>
        <v>23733.517</v>
      </c>
      <c r="AO239" s="7">
        <f>0</f>
        <v>0</v>
      </c>
      <c r="AP239" s="7">
        <f>MAX(0,1+INDEX(配置与结果!$J$15:$J$18,F239)+IF(T239&gt;0,方案参数!$BY$9,0)-配置与结果!$B$30)</f>
        <v>2</v>
      </c>
      <c r="AQ239" s="7">
        <f t="shared" si="288"/>
        <v>0</v>
      </c>
      <c r="AR239" s="7">
        <f t="shared" si="289"/>
        <v>0</v>
      </c>
      <c r="AS239" s="7">
        <f t="shared" si="290"/>
        <v>0</v>
      </c>
      <c r="AT239" s="7">
        <f>0</f>
        <v>0</v>
      </c>
      <c r="AU239" s="7">
        <f t="shared" si="291"/>
        <v>23733.517</v>
      </c>
      <c r="AV239" s="1">
        <f t="shared" si="292"/>
        <v>2</v>
      </c>
      <c r="AW239" s="1">
        <f t="shared" si="339"/>
        <v>10</v>
      </c>
      <c r="AX239" s="1">
        <f t="shared" si="293"/>
        <v>1</v>
      </c>
      <c r="AY239" s="1">
        <f t="shared" si="333"/>
        <v>6</v>
      </c>
      <c r="AZ239" s="1">
        <f t="shared" si="294"/>
        <v>5</v>
      </c>
      <c r="BA239" s="1">
        <f t="shared" si="347"/>
        <v>5</v>
      </c>
      <c r="BB239" s="1">
        <f>MIN(30,R239+0)</f>
        <v>10</v>
      </c>
      <c r="BC239" s="1">
        <f>MIN(3,S239+1)</f>
        <v>3</v>
      </c>
      <c r="BD239" s="1">
        <f t="shared" si="334"/>
        <v>1</v>
      </c>
      <c r="BE239" s="1">
        <f t="shared" si="327"/>
        <v>0</v>
      </c>
      <c r="BF239" s="1">
        <f>MIN(4,V239+0)</f>
        <v>3</v>
      </c>
      <c r="BG239" s="1">
        <f t="shared" si="344"/>
        <v>1</v>
      </c>
      <c r="BH239" s="1">
        <f t="shared" si="328"/>
        <v>1</v>
      </c>
      <c r="BI239" s="1">
        <f t="shared" si="345"/>
        <v>1</v>
      </c>
      <c r="BJ239" s="1">
        <f t="shared" si="348"/>
        <v>1</v>
      </c>
      <c r="BK239" s="1">
        <f t="shared" si="349"/>
        <v>1</v>
      </c>
      <c r="BL239" s="1">
        <f t="shared" si="308"/>
        <v>0</v>
      </c>
      <c r="BM239" s="1">
        <f t="shared" si="352"/>
        <v>1</v>
      </c>
      <c r="BN239" s="1">
        <f t="shared" si="329"/>
        <v>1</v>
      </c>
      <c r="BO239" s="1">
        <f t="shared" si="330"/>
        <v>1</v>
      </c>
    </row>
    <row r="240" spans="1:67" ht="30.95" customHeight="1">
      <c r="A240" s="1">
        <f>6</f>
        <v>6</v>
      </c>
      <c r="B240" s="1">
        <f>固定流程!A24</f>
        <v>19</v>
      </c>
      <c r="C240" s="1">
        <f>9</f>
        <v>9</v>
      </c>
      <c r="D240" s="1">
        <f>1</f>
        <v>1</v>
      </c>
      <c r="E240" s="1">
        <f>固定流程!C24</f>
        <v>3</v>
      </c>
      <c r="F240" s="1">
        <f>固定流程!G24</f>
        <v>4</v>
      </c>
      <c r="G240" s="1" t="str">
        <f>固定流程!H24</f>
        <v>J_ULT</v>
      </c>
      <c r="H240" s="1">
        <f>固定流程!F24</f>
        <v>1</v>
      </c>
      <c r="I240" s="1">
        <f>INDEX(配置与结果!$B$15:$B$18,F240)</f>
        <v>1906</v>
      </c>
      <c r="J240" s="1">
        <f>INDEX(配置与结果!$D$15:$D$18,F240)</f>
        <v>0.36699999999999999</v>
      </c>
      <c r="K240" s="1">
        <f>INDEX(配置与结果!$E$15:$E$18,F240)</f>
        <v>1.7170000000000001</v>
      </c>
      <c r="L240" s="1">
        <f t="shared" si="341"/>
        <v>2</v>
      </c>
      <c r="M240" s="1">
        <f t="shared" si="342"/>
        <v>10</v>
      </c>
      <c r="N240" s="1">
        <f t="shared" si="343"/>
        <v>1</v>
      </c>
      <c r="O240" s="1">
        <f t="shared" si="335"/>
        <v>6</v>
      </c>
      <c r="P240" s="1">
        <f>MIN(方案参数!$AI$9,AZ239+0+0)</f>
        <v>5</v>
      </c>
      <c r="Q240" s="1">
        <f t="shared" si="313"/>
        <v>5</v>
      </c>
      <c r="R240" s="1">
        <f t="shared" si="314"/>
        <v>10</v>
      </c>
      <c r="S240" s="1">
        <f t="shared" si="315"/>
        <v>3</v>
      </c>
      <c r="T240" s="1">
        <f t="shared" si="350"/>
        <v>1</v>
      </c>
      <c r="U240" s="1">
        <f t="shared" si="317"/>
        <v>0</v>
      </c>
      <c r="V240" s="1">
        <f t="shared" si="318"/>
        <v>3</v>
      </c>
      <c r="W240" s="1">
        <f t="shared" si="319"/>
        <v>1</v>
      </c>
      <c r="X240" s="1">
        <f t="shared" si="320"/>
        <v>1</v>
      </c>
      <c r="Y240" s="1">
        <f t="shared" si="321"/>
        <v>1</v>
      </c>
      <c r="Z240" s="1">
        <f t="shared" si="322"/>
        <v>1</v>
      </c>
      <c r="AA240" s="1">
        <f t="shared" si="346"/>
        <v>1</v>
      </c>
      <c r="AB240" s="1">
        <f t="shared" si="324"/>
        <v>0</v>
      </c>
      <c r="AC240" s="1">
        <f t="shared" si="351"/>
        <v>1</v>
      </c>
      <c r="AD240" s="1">
        <f>ROUNDDOWN(I240*(1+IF(F240=3,0.05+方案参数!$Y$9+AA240*0.12,IF(F240=4,方案参数!$BZ$9*方案参数!$AS$9,0)))+IF(AND(X240=1,F240&lt;&gt;3),方案参数!$CC$9,0)+AC240*方案参数!$CB$9,0)</f>
        <v>3311</v>
      </c>
      <c r="AE240" s="1">
        <f>IF(OR(F240=1,F240=4),配置与结果!$B$24,配置与结果!$B$25)*MAX(0,1-INDEX(配置与结果!$I$15:$I$18,F240))</f>
        <v>1200</v>
      </c>
      <c r="AF240" s="1">
        <f>方案参数!$AT$9+MAX(0,配置与结果!$H$26+方案参数!$BZ$9-30)*方案参数!$AU$9*配置与结果!$H$27</f>
        <v>42</v>
      </c>
      <c r="AG240" s="1">
        <f>MAX(配置与结果!$B$32,1+INDEX(配置与结果!$F$15:$F$18,F240)+0.08+Q240*方案参数!$W$9+Y240*(方案参数!$AN$9+MIN(方案参数!$AO$9,P240*0.03))+AB240*方案参数!$BZ$9*0.025-配置与结果!$B$28)</f>
        <v>1.105</v>
      </c>
      <c r="AH240" s="1">
        <f>MAX(0,1+INDEX(配置与结果!$H$15:$H$18,F240)+W240*方案参数!$AG$9+S240*方案参数!$Z$9)</f>
        <v>1.42</v>
      </c>
      <c r="AI240" s="1">
        <f>IF(OR(INDEX(配置与结果!$K$15:$K$18,F240)=1,G240="RHI_BERRY"),1+配置与结果!$B$33+P240*方案参数!$AH$9,1)</f>
        <v>1</v>
      </c>
      <c r="AJ240" s="1">
        <f>MIN(1,MAX(0,J240+方案参数!$AB$9-配置与结果!$B$27))</f>
        <v>0.66700000000000004</v>
      </c>
      <c r="AK240" s="1">
        <f>MAX(1,K240+IF(F240=2,0.15+方案参数!$CH$9,0)+BN240*方案参数!$X$9+R240*方案参数!$AA$9+0-配置与结果!$B$26+Z240*(方案参数!$AP$9+MIN(方案参数!$AQ$9,P240*0.03)))</f>
        <v>1.8169999999999999</v>
      </c>
      <c r="AL240" s="7">
        <f>ROUNDDOWN(MAX(AD240*配置与结果!$B$31,AD240-AE240)*AF240*AG240*AH240*AI240,0)</f>
        <v>139119</v>
      </c>
      <c r="AM240" s="7">
        <f>ROUNDDOWN(MAX(AD240*配置与结果!$B$31,AD240-AE240)*AF240*AG240*AH240*AI240*AK240,0)</f>
        <v>252780</v>
      </c>
      <c r="AN240" s="7">
        <f t="shared" si="287"/>
        <v>214930.88699999999</v>
      </c>
      <c r="AO240" s="7">
        <f>0</f>
        <v>0</v>
      </c>
      <c r="AP240" s="7">
        <f>MAX(0,1+INDEX(配置与结果!$J$15:$J$18,F240)+IF(T240&gt;0,方案参数!$BY$9,0)-配置与结果!$B$30)</f>
        <v>2</v>
      </c>
      <c r="AQ240" s="7">
        <f t="shared" si="288"/>
        <v>0</v>
      </c>
      <c r="AR240" s="7">
        <f t="shared" si="289"/>
        <v>0</v>
      </c>
      <c r="AS240" s="7">
        <f t="shared" si="290"/>
        <v>0</v>
      </c>
      <c r="AT240" s="7">
        <f>0</f>
        <v>0</v>
      </c>
      <c r="AU240" s="7">
        <f t="shared" si="291"/>
        <v>214930.88699999999</v>
      </c>
      <c r="AV240" s="1">
        <f t="shared" si="292"/>
        <v>2</v>
      </c>
      <c r="AW240" s="1">
        <f t="shared" si="339"/>
        <v>10</v>
      </c>
      <c r="AX240" s="1">
        <f t="shared" si="293"/>
        <v>1</v>
      </c>
      <c r="AY240" s="1">
        <f t="shared" si="333"/>
        <v>6</v>
      </c>
      <c r="AZ240" s="1">
        <f t="shared" si="294"/>
        <v>5</v>
      </c>
      <c r="BA240" s="1">
        <f t="shared" si="347"/>
        <v>5</v>
      </c>
      <c r="BB240" s="1">
        <f>MIN(30,R240+5)</f>
        <v>15</v>
      </c>
      <c r="BC240" s="1">
        <f t="shared" ref="BC240:BC263" si="353">MIN(3,S240+0)</f>
        <v>3</v>
      </c>
      <c r="BD240" s="1">
        <f t="shared" si="334"/>
        <v>1</v>
      </c>
      <c r="BE240" s="1">
        <f t="shared" si="327"/>
        <v>0</v>
      </c>
      <c r="BF240" s="1">
        <f>MIN(4,V240+0)</f>
        <v>3</v>
      </c>
      <c r="BG240" s="1">
        <f t="shared" si="344"/>
        <v>1</v>
      </c>
      <c r="BH240" s="1">
        <f t="shared" si="328"/>
        <v>1</v>
      </c>
      <c r="BI240" s="1">
        <f t="shared" si="345"/>
        <v>1</v>
      </c>
      <c r="BJ240" s="1">
        <f t="shared" si="348"/>
        <v>1</v>
      </c>
      <c r="BK240" s="1">
        <f t="shared" si="349"/>
        <v>1</v>
      </c>
      <c r="BL240" s="1">
        <f>MAX(AB240,1)</f>
        <v>1</v>
      </c>
      <c r="BM240" s="1">
        <f t="shared" si="352"/>
        <v>1</v>
      </c>
      <c r="BN240" s="1">
        <f t="shared" si="329"/>
        <v>1</v>
      </c>
      <c r="BO240" s="1">
        <f t="shared" si="330"/>
        <v>1</v>
      </c>
    </row>
    <row r="241" spans="1:67" ht="30.95" customHeight="1">
      <c r="A241" s="1">
        <f>6</f>
        <v>6</v>
      </c>
      <c r="B241" s="1">
        <f>固定流程!A25</f>
        <v>20</v>
      </c>
      <c r="C241" s="1">
        <f>9</f>
        <v>9</v>
      </c>
      <c r="D241" s="1">
        <f>1</f>
        <v>1</v>
      </c>
      <c r="E241" s="1">
        <f>固定流程!C25</f>
        <v>3</v>
      </c>
      <c r="F241" s="1">
        <f>固定流程!G25</f>
        <v>1</v>
      </c>
      <c r="G241" s="1" t="str">
        <f>固定流程!H25</f>
        <v>LILYA_ULT</v>
      </c>
      <c r="H241" s="1">
        <f>固定流程!F25</f>
        <v>1</v>
      </c>
      <c r="I241" s="1">
        <f>INDEX(配置与结果!$B$15:$B$18,F241)</f>
        <v>2296</v>
      </c>
      <c r="J241" s="1">
        <f>INDEX(配置与结果!$D$15:$D$18,F241)</f>
        <v>0.7</v>
      </c>
      <c r="K241" s="1">
        <f>INDEX(配置与结果!$E$15:$E$18,F241)</f>
        <v>2.0249999999999999</v>
      </c>
      <c r="L241" s="1">
        <f t="shared" si="341"/>
        <v>2</v>
      </c>
      <c r="M241" s="1">
        <f t="shared" si="342"/>
        <v>10</v>
      </c>
      <c r="N241" s="1">
        <f t="shared" si="343"/>
        <v>1</v>
      </c>
      <c r="O241" s="1">
        <f t="shared" si="335"/>
        <v>6</v>
      </c>
      <c r="P241" s="1">
        <f>MIN(方案参数!$AI$9,AZ240+0+0)</f>
        <v>5</v>
      </c>
      <c r="Q241" s="1">
        <f t="shared" si="313"/>
        <v>5</v>
      </c>
      <c r="R241" s="1">
        <f t="shared" si="314"/>
        <v>15</v>
      </c>
      <c r="S241" s="1">
        <f t="shared" si="315"/>
        <v>3</v>
      </c>
      <c r="T241" s="1">
        <f t="shared" si="350"/>
        <v>1</v>
      </c>
      <c r="U241" s="1">
        <f t="shared" si="317"/>
        <v>0</v>
      </c>
      <c r="V241" s="1">
        <f t="shared" si="318"/>
        <v>3</v>
      </c>
      <c r="W241" s="1">
        <f t="shared" si="319"/>
        <v>1</v>
      </c>
      <c r="X241" s="1">
        <f t="shared" si="320"/>
        <v>1</v>
      </c>
      <c r="Y241" s="1">
        <f t="shared" si="321"/>
        <v>1</v>
      </c>
      <c r="Z241" s="1">
        <f t="shared" si="322"/>
        <v>1</v>
      </c>
      <c r="AA241" s="1">
        <f t="shared" si="346"/>
        <v>1</v>
      </c>
      <c r="AB241" s="1">
        <f t="shared" si="324"/>
        <v>1</v>
      </c>
      <c r="AC241" s="1">
        <f t="shared" si="351"/>
        <v>1</v>
      </c>
      <c r="AD241" s="1">
        <f>ROUNDDOWN(I241*(1+IF(F241=3,0.05+方案参数!$Y$9+AA241*0.12,IF(F241=4,方案参数!$BZ$9*方案参数!$AS$9,0)))+IF(AND(X241=1,F241&lt;&gt;3),方案参数!$CC$9,0)+AC241*方案参数!$CB$9,0)</f>
        <v>3034</v>
      </c>
      <c r="AE241" s="1">
        <f>IF(OR(F241=1,F241=4),配置与结果!$B$24,配置与结果!$B$25)*MAX(0,1-INDEX(配置与结果!$I$15:$I$18,F241)+IF(O241&gt;=6,方案参数!$BK$9,0))</f>
        <v>1800</v>
      </c>
      <c r="AF241" s="1">
        <f>方案参数!$BG$9+IF(O241&gt;=6,方案参数!$BH$9,0)</f>
        <v>72</v>
      </c>
      <c r="AG241" s="1">
        <f>MAX(配置与结果!$B$32,1+INDEX(配置与结果!$F$15:$F$18,F241)+0.08+方案参数!$CD$9+Q241*方案参数!$W$9+Y241*(方案参数!$AN$9+MIN(方案参数!$AO$9,P241*0.03))+AB241*方案参数!$BZ$9*0.025-配置与结果!$B$28)</f>
        <v>2.2150000000000003</v>
      </c>
      <c r="AH241" s="1">
        <f>MAX(0,1+INDEX(配置与结果!$H$15:$H$18,F241)+W241*方案参数!$AG$9+O241*方案参数!$BF$9+IF(O241&gt;=6,方案参数!$BI$9,0))</f>
        <v>3.4000000000000004</v>
      </c>
      <c r="AI241" s="1">
        <f>IF(OR(INDEX(配置与结果!$K$15:$K$18,F241)=1,G241="RHI_BERRY"),1+配置与结果!$B$33+P241*方案参数!$AH$9,1)</f>
        <v>1</v>
      </c>
      <c r="AJ241" s="1">
        <f>MIN(1,MAX(0,J241+方案参数!$AB$9-配置与结果!$B$27))</f>
        <v>1</v>
      </c>
      <c r="AK241" s="1">
        <f>MAX(1,K241+IF(F241=2,0.15+方案参数!$CH$9,0)+BN241*方案参数!$X$9+R241*方案参数!$AA$9+IF(O241&gt;=6,方案参数!$BJ$9,0)-配置与结果!$B$26+Z241*(方案参数!$AP$9+MIN(方案参数!$AQ$9,P241*0.03)))</f>
        <v>3.9449999999999998</v>
      </c>
      <c r="AL241" s="7">
        <f>ROUNDDOWN(MAX(AD241*配置与结果!$B$31,AD241-AE241)*AF241*AG241*AH241*AI241,0)</f>
        <v>669114</v>
      </c>
      <c r="AM241" s="7">
        <f>ROUNDDOWN(MAX(AD241*配置与结果!$B$31,AD241-AE241)*AF241*AG241*AH241*AI241*AK241,0)</f>
        <v>2639655</v>
      </c>
      <c r="AN241" s="7">
        <f t="shared" si="287"/>
        <v>2639655</v>
      </c>
      <c r="AO241" s="7">
        <f>0</f>
        <v>0</v>
      </c>
      <c r="AP241" s="7">
        <f>MAX(0,1+INDEX(配置与结果!$J$15:$J$18,F241)+IF(T241&gt;0,方案参数!$BY$9,0)-配置与结果!$B$30)</f>
        <v>2</v>
      </c>
      <c r="AQ241" s="7">
        <f t="shared" si="288"/>
        <v>0</v>
      </c>
      <c r="AR241" s="7">
        <f t="shared" si="289"/>
        <v>0</v>
      </c>
      <c r="AS241" s="7">
        <f t="shared" si="290"/>
        <v>0</v>
      </c>
      <c r="AT241" s="7">
        <f>0</f>
        <v>0</v>
      </c>
      <c r="AU241" s="7">
        <f t="shared" si="291"/>
        <v>2639655</v>
      </c>
      <c r="AV241" s="1">
        <f t="shared" si="292"/>
        <v>2</v>
      </c>
      <c r="AW241" s="1">
        <f t="shared" si="339"/>
        <v>10</v>
      </c>
      <c r="AX241" s="1">
        <f t="shared" si="293"/>
        <v>1</v>
      </c>
      <c r="AY241" s="1">
        <f>MIN(20,MAX(0,O241+0+0-IF(O241&gt;=6,6,0)))</f>
        <v>0</v>
      </c>
      <c r="AZ241" s="1">
        <f t="shared" si="294"/>
        <v>5</v>
      </c>
      <c r="BA241" s="1">
        <f t="shared" si="347"/>
        <v>5</v>
      </c>
      <c r="BB241" s="1">
        <f>MIN(30,R241+5)</f>
        <v>20</v>
      </c>
      <c r="BC241" s="1">
        <f t="shared" si="353"/>
        <v>3</v>
      </c>
      <c r="BD241" s="1">
        <f t="shared" si="334"/>
        <v>1</v>
      </c>
      <c r="BE241" s="1">
        <f t="shared" si="327"/>
        <v>0</v>
      </c>
      <c r="BF241" s="1">
        <f>MIN(4,V241+0)</f>
        <v>3</v>
      </c>
      <c r="BG241" s="1">
        <f t="shared" si="344"/>
        <v>1</v>
      </c>
      <c r="BH241" s="1">
        <f t="shared" si="328"/>
        <v>1</v>
      </c>
      <c r="BI241" s="1">
        <f t="shared" si="345"/>
        <v>1</v>
      </c>
      <c r="BJ241" s="1">
        <f t="shared" si="348"/>
        <v>1</v>
      </c>
      <c r="BK241" s="1">
        <f t="shared" si="349"/>
        <v>1</v>
      </c>
      <c r="BL241" s="1">
        <f t="shared" ref="BL241:BL275" si="354">MAX(AB241,0)</f>
        <v>1</v>
      </c>
      <c r="BM241" s="1">
        <f t="shared" si="352"/>
        <v>1</v>
      </c>
      <c r="BN241" s="1">
        <f t="shared" si="329"/>
        <v>1</v>
      </c>
      <c r="BO241" s="1">
        <f t="shared" si="330"/>
        <v>1</v>
      </c>
    </row>
    <row r="242" spans="1:67" ht="30.95" customHeight="1">
      <c r="A242" s="1">
        <f>6</f>
        <v>6</v>
      </c>
      <c r="B242" s="1">
        <f>固定流程!A26</f>
        <v>21</v>
      </c>
      <c r="C242" s="1">
        <f>9</f>
        <v>9</v>
      </c>
      <c r="D242" s="1">
        <f>1</f>
        <v>1</v>
      </c>
      <c r="E242" s="1">
        <f>固定流程!C26</f>
        <v>3</v>
      </c>
      <c r="F242" s="1">
        <f>固定流程!G26</f>
        <v>1</v>
      </c>
      <c r="G242" s="1" t="str">
        <f>固定流程!H26</f>
        <v>LILYA_DIVE</v>
      </c>
      <c r="H242" s="1">
        <f>固定流程!F26</f>
        <v>3</v>
      </c>
      <c r="I242" s="1">
        <f>INDEX(配置与结果!$B$15:$B$18,F242)</f>
        <v>2296</v>
      </c>
      <c r="J242" s="1">
        <f>INDEX(配置与结果!$D$15:$D$18,F242)</f>
        <v>0.7</v>
      </c>
      <c r="K242" s="1">
        <f>INDEX(配置与结果!$E$15:$E$18,F242)</f>
        <v>2.0249999999999999</v>
      </c>
      <c r="L242" s="1">
        <f t="shared" si="341"/>
        <v>2</v>
      </c>
      <c r="M242" s="1">
        <f t="shared" si="342"/>
        <v>10</v>
      </c>
      <c r="N242" s="1">
        <f t="shared" si="343"/>
        <v>1</v>
      </c>
      <c r="O242" s="1">
        <f t="shared" si="335"/>
        <v>0</v>
      </c>
      <c r="P242" s="1">
        <f>MIN(方案参数!$AI$9,AZ241+0+0)</f>
        <v>5</v>
      </c>
      <c r="Q242" s="1">
        <f t="shared" si="313"/>
        <v>5</v>
      </c>
      <c r="R242" s="1">
        <f t="shared" si="314"/>
        <v>20</v>
      </c>
      <c r="S242" s="1">
        <f t="shared" si="315"/>
        <v>3</v>
      </c>
      <c r="T242" s="1">
        <f t="shared" si="350"/>
        <v>1</v>
      </c>
      <c r="U242" s="1">
        <f t="shared" si="317"/>
        <v>0</v>
      </c>
      <c r="V242" s="1">
        <f t="shared" si="318"/>
        <v>3</v>
      </c>
      <c r="W242" s="1">
        <f t="shared" si="319"/>
        <v>1</v>
      </c>
      <c r="X242" s="1">
        <f t="shared" si="320"/>
        <v>1</v>
      </c>
      <c r="Y242" s="1">
        <f t="shared" si="321"/>
        <v>1</v>
      </c>
      <c r="Z242" s="1">
        <f t="shared" si="322"/>
        <v>1</v>
      </c>
      <c r="AA242" s="1">
        <f t="shared" si="346"/>
        <v>1</v>
      </c>
      <c r="AB242" s="1">
        <f t="shared" si="324"/>
        <v>1</v>
      </c>
      <c r="AC242" s="1">
        <f t="shared" si="351"/>
        <v>1</v>
      </c>
      <c r="AD242" s="1">
        <f>ROUNDDOWN(I242*(1+IF(F242=3,0.05+方案参数!$Y$9+AA242*0.12,IF(F242=4,方案参数!$BZ$9*方案参数!$AS$9,0)))+IF(AND(X242=1,F242&lt;&gt;3),方案参数!$CC$9,0)+AC242*方案参数!$CB$9,0)</f>
        <v>3034</v>
      </c>
      <c r="AE242" s="1">
        <f>IF(OR(F242=1,F242=4),配置与结果!$B$24,配置与结果!$B$25)*MAX(0,1-INDEX(配置与结果!$I$15:$I$18,F242))</f>
        <v>1200</v>
      </c>
      <c r="AF242" s="1">
        <f>(IF(L242=1,方案参数!$AW$9,IF(L242=2,方案参数!$AX$9,0))+方案参数!$AV$9)*H242</f>
        <v>45</v>
      </c>
      <c r="AG242" s="1">
        <f>MAX(配置与结果!$B$32,1+INDEX(配置与结果!$F$15:$F$18,F242)+0.08+方案参数!$CD$9+Q242*方案参数!$W$9+Y242*(方案参数!$AN$9+MIN(方案参数!$AO$9,P242*0.03))+AB242*方案参数!$BZ$9*0.025+IF(L242=1,方案参数!$AY$9+(H242-1)*0.1,IF(L242=2,方案参数!$AZ$9+(H242-1)*0.2,0))-配置与结果!$B$28)</f>
        <v>3.2150000000000003</v>
      </c>
      <c r="AH242" s="1">
        <f>MAX(0,1+INDEX(配置与结果!$G$15:$G$18,F242)+W242*方案参数!$AG$9+IF(L242=1,方案参数!$BA$9,IF(L242=2,方案参数!$BB$9,0))+M242*方案参数!$BC$9)</f>
        <v>4.3</v>
      </c>
      <c r="AI242" s="1">
        <f>IF(OR(INDEX(配置与结果!$K$15:$K$18,F242)=1,G242="RHI_BERRY"),1+配置与结果!$B$33+P242*方案参数!$AH$9,1)</f>
        <v>1</v>
      </c>
      <c r="AJ242" s="1">
        <f>MIN(1,MAX(0,J242+方案参数!$AB$9-配置与结果!$B$27))</f>
        <v>1</v>
      </c>
      <c r="AK242" s="1">
        <f>MAX(1,K242+IF(F242=2,0.15+方案参数!$CH$9,0)+BN242*方案参数!$X$9+R242*方案参数!$AA$9+0-配置与结果!$B$26+Z242*(方案参数!$AP$9+MIN(方案参数!$AQ$9,P242*0.03)))</f>
        <v>2.165</v>
      </c>
      <c r="AL242" s="7">
        <f>ROUNDDOWN(MAX(AD242*配置与结果!$B$31,AD242-AE242)*AF242*AG242*AH242*AI242,0)</f>
        <v>1140935</v>
      </c>
      <c r="AM242" s="7">
        <f>ROUNDDOWN(MAX(AD242*配置与结果!$B$31,AD242-AE242)*AF242*AG242*AH242*AI242*AK242,0)</f>
        <v>2470126</v>
      </c>
      <c r="AN242" s="7">
        <f t="shared" si="287"/>
        <v>2470126</v>
      </c>
      <c r="AO242" s="7">
        <f>0</f>
        <v>0</v>
      </c>
      <c r="AP242" s="7">
        <f>MAX(0,1+INDEX(配置与结果!$J$15:$J$18,F242)+IF(T242&gt;0,方案参数!$BY$9,0)-配置与结果!$B$30)</f>
        <v>2</v>
      </c>
      <c r="AQ242" s="7">
        <f t="shared" si="288"/>
        <v>0</v>
      </c>
      <c r="AR242" s="7">
        <f t="shared" si="289"/>
        <v>0</v>
      </c>
      <c r="AS242" s="7">
        <f t="shared" si="290"/>
        <v>0</v>
      </c>
      <c r="AT242" s="7">
        <f>0</f>
        <v>0</v>
      </c>
      <c r="AU242" s="7">
        <f t="shared" si="291"/>
        <v>2470126</v>
      </c>
      <c r="AV242" s="1">
        <f t="shared" si="292"/>
        <v>2</v>
      </c>
      <c r="AW242" s="1">
        <f>MIN(10,M242+0+IF(L242=1,方案参数!$BE$9,0))</f>
        <v>10</v>
      </c>
      <c r="AX242" s="1">
        <f t="shared" si="293"/>
        <v>1</v>
      </c>
      <c r="AY242" s="1">
        <f>MIN(20,MAX(0,O242+0+0-0))</f>
        <v>0</v>
      </c>
      <c r="AZ242" s="1">
        <f t="shared" si="294"/>
        <v>5</v>
      </c>
      <c r="BA242" s="1">
        <f t="shared" si="347"/>
        <v>5</v>
      </c>
      <c r="BB242" s="1">
        <f t="shared" ref="BB242:BB257" si="355">MIN(30,R242+0)</f>
        <v>20</v>
      </c>
      <c r="BC242" s="1">
        <f t="shared" si="353"/>
        <v>3</v>
      </c>
      <c r="BD242" s="1">
        <f t="shared" si="334"/>
        <v>1</v>
      </c>
      <c r="BE242" s="1">
        <f t="shared" si="327"/>
        <v>0</v>
      </c>
      <c r="BF242" s="1">
        <f>MIN(4,V242+0)</f>
        <v>3</v>
      </c>
      <c r="BG242" s="1">
        <f t="shared" si="344"/>
        <v>1</v>
      </c>
      <c r="BH242" s="1">
        <f t="shared" si="328"/>
        <v>1</v>
      </c>
      <c r="BI242" s="1">
        <f t="shared" si="345"/>
        <v>1</v>
      </c>
      <c r="BJ242" s="1">
        <f t="shared" si="348"/>
        <v>1</v>
      </c>
      <c r="BK242" s="1">
        <f t="shared" si="349"/>
        <v>1</v>
      </c>
      <c r="BL242" s="1">
        <f t="shared" si="354"/>
        <v>1</v>
      </c>
      <c r="BM242" s="1">
        <f t="shared" si="352"/>
        <v>1</v>
      </c>
      <c r="BN242" s="1">
        <f t="shared" si="329"/>
        <v>1</v>
      </c>
      <c r="BO242" s="1">
        <f t="shared" si="330"/>
        <v>1</v>
      </c>
    </row>
    <row r="243" spans="1:67" ht="30.95" customHeight="1">
      <c r="A243" s="1">
        <f>6</f>
        <v>6</v>
      </c>
      <c r="B243" s="1">
        <f>固定流程!A27</f>
        <v>22</v>
      </c>
      <c r="C243" s="1">
        <f>9</f>
        <v>9</v>
      </c>
      <c r="D243" s="1">
        <f>1</f>
        <v>1</v>
      </c>
      <c r="E243" s="1">
        <f>固定流程!C27</f>
        <v>3</v>
      </c>
      <c r="F243" s="1">
        <f>固定流程!G27</f>
        <v>3</v>
      </c>
      <c r="G243" s="1" t="str">
        <f>固定流程!H27</f>
        <v>RHI_BERRY</v>
      </c>
      <c r="H243" s="1">
        <f>固定流程!F27</f>
        <v>1</v>
      </c>
      <c r="I243" s="1">
        <f>INDEX(配置与结果!$B$15:$B$18,F243)</f>
        <v>2597</v>
      </c>
      <c r="J243" s="1">
        <f>INDEX(配置与结果!$D$15:$D$18,F243)</f>
        <v>0.255</v>
      </c>
      <c r="K243" s="1">
        <f>INDEX(配置与结果!$E$15:$E$18,F243)</f>
        <v>1.55</v>
      </c>
      <c r="L243" s="1">
        <f t="shared" si="341"/>
        <v>2</v>
      </c>
      <c r="M243" s="1">
        <f t="shared" si="342"/>
        <v>10</v>
      </c>
      <c r="N243" s="1">
        <f t="shared" si="343"/>
        <v>1</v>
      </c>
      <c r="O243" s="1">
        <f t="shared" si="335"/>
        <v>0</v>
      </c>
      <c r="P243" s="1">
        <f>MIN(方案参数!$AI$9,AZ242+0+0)</f>
        <v>5</v>
      </c>
      <c r="Q243" s="1">
        <f t="shared" si="313"/>
        <v>5</v>
      </c>
      <c r="R243" s="1">
        <f t="shared" si="314"/>
        <v>20</v>
      </c>
      <c r="S243" s="1">
        <f t="shared" si="315"/>
        <v>3</v>
      </c>
      <c r="T243" s="1">
        <f t="shared" si="350"/>
        <v>1</v>
      </c>
      <c r="U243" s="1">
        <f t="shared" si="317"/>
        <v>0</v>
      </c>
      <c r="V243" s="1">
        <f t="shared" si="318"/>
        <v>3</v>
      </c>
      <c r="W243" s="1">
        <f t="shared" si="319"/>
        <v>1</v>
      </c>
      <c r="X243" s="1">
        <f t="shared" si="320"/>
        <v>1</v>
      </c>
      <c r="Y243" s="1">
        <f t="shared" si="321"/>
        <v>1</v>
      </c>
      <c r="Z243" s="1">
        <f t="shared" si="322"/>
        <v>1</v>
      </c>
      <c r="AA243" s="1">
        <f t="shared" si="346"/>
        <v>1</v>
      </c>
      <c r="AB243" s="1">
        <f t="shared" si="324"/>
        <v>1</v>
      </c>
      <c r="AC243" s="1">
        <f t="shared" si="351"/>
        <v>1</v>
      </c>
      <c r="AD243" s="1">
        <f>ROUNDDOWN(I243*(1+IF(F243=3,0.05+方案参数!$Y$9+AA243*0.12,IF(F243=4,方案参数!$BZ$9*方案参数!$AS$9,0)))+IF(AND(X243=1,F243&lt;&gt;3),方案参数!$CC$9,0)+AC243*方案参数!$CB$9,0)</f>
        <v>3798</v>
      </c>
      <c r="AE243" s="1">
        <f>IF(OR(F243=1,F243=4),配置与结果!$B$24,配置与结果!$B$25)*MAX(0,1-INDEX(配置与结果!$I$15:$I$18,F243))</f>
        <v>1000</v>
      </c>
      <c r="AF243" s="1">
        <f>方案参数!$CF$9+P243*方案参数!$CG$9</f>
        <v>22.5</v>
      </c>
      <c r="AG243" s="1">
        <f>MAX(配置与结果!$B$32,1+INDEX(配置与结果!$F$15:$F$18,F243)+0+Q243*方案参数!$W$9+Y243*(方案参数!$AN$9+MIN(方案参数!$AO$9,P243*0.03))+AB243*方案参数!$BZ$9*0.025-配置与结果!$B$28)</f>
        <v>1.9100000000000001</v>
      </c>
      <c r="AH243" s="1">
        <f>MAX(0,1+INDEX(配置与结果!$G$15:$G$18,F243)+W243*方案参数!$AG$9)</f>
        <v>1.3</v>
      </c>
      <c r="AI243" s="1">
        <f>IF(OR(INDEX(配置与结果!$K$15:$K$18,F243)=1,G243="RHI_BERRY"),1+配置与结果!$B$33+P243*方案参数!$AH$9,1)</f>
        <v>1.5</v>
      </c>
      <c r="AJ243" s="1">
        <f>MIN(1,MAX(0,J243+方案参数!$AB$9-配置与结果!$B$27))</f>
        <v>0.55499999999999994</v>
      </c>
      <c r="AK243" s="1">
        <f>MAX(1,K243+IF(F243=2,0.15+方案参数!$CH$9,0)+BN243*方案参数!$X$9+R243*方案参数!$AA$9+0-配置与结果!$B$26+Z243*(方案参数!$AP$9+MIN(方案参数!$AQ$9,P243*0.03)))</f>
        <v>1.6900000000000002</v>
      </c>
      <c r="AL243" s="7">
        <f>ROUNDDOWN(MAX(AD243*配置与结果!$B$31,AD243-AE243)*AF243*AG243*AH243*AI243,0)</f>
        <v>234475</v>
      </c>
      <c r="AM243" s="7">
        <f>ROUNDDOWN(MAX(AD243*配置与结果!$B$31,AD243-AE243)*AF243*AG243*AH243*AI243*AK243,0)</f>
        <v>396264</v>
      </c>
      <c r="AN243" s="7">
        <f t="shared" si="287"/>
        <v>324267.89500000002</v>
      </c>
      <c r="AO243" s="7">
        <f>0</f>
        <v>0</v>
      </c>
      <c r="AP243" s="7">
        <f>MAX(0,1+INDEX(配置与结果!$J$15:$J$18,F243)+IF(T243&gt;0,方案参数!$BY$9,0)-配置与结果!$B$30)</f>
        <v>2</v>
      </c>
      <c r="AQ243" s="7">
        <f t="shared" si="288"/>
        <v>0</v>
      </c>
      <c r="AR243" s="7">
        <f t="shared" si="289"/>
        <v>0</v>
      </c>
      <c r="AS243" s="7">
        <f t="shared" si="290"/>
        <v>0</v>
      </c>
      <c r="AT243" s="7">
        <f>0</f>
        <v>0</v>
      </c>
      <c r="AU243" s="7">
        <f t="shared" si="291"/>
        <v>324267.89500000002</v>
      </c>
      <c r="AV243" s="1">
        <f t="shared" si="292"/>
        <v>2</v>
      </c>
      <c r="AW243" s="1">
        <f t="shared" ref="AW243:AW259" si="356">MIN(10,M243+0+0)</f>
        <v>10</v>
      </c>
      <c r="AX243" s="1">
        <f t="shared" si="293"/>
        <v>1</v>
      </c>
      <c r="AY243" s="1">
        <f>MIN(20,MAX(0,O243+0+0-0))</f>
        <v>0</v>
      </c>
      <c r="AZ243" s="1">
        <f t="shared" si="294"/>
        <v>5</v>
      </c>
      <c r="BA243" s="1">
        <f t="shared" si="347"/>
        <v>5</v>
      </c>
      <c r="BB243" s="1">
        <f t="shared" si="355"/>
        <v>20</v>
      </c>
      <c r="BC243" s="1">
        <f t="shared" si="353"/>
        <v>3</v>
      </c>
      <c r="BD243" s="1">
        <f t="shared" si="334"/>
        <v>1</v>
      </c>
      <c r="BE243" s="1">
        <f t="shared" si="327"/>
        <v>0</v>
      </c>
      <c r="BF243" s="1">
        <f>MIN(4,V243+0)</f>
        <v>3</v>
      </c>
      <c r="BG243" s="1">
        <f t="shared" si="344"/>
        <v>1</v>
      </c>
      <c r="BH243" s="1">
        <f t="shared" si="328"/>
        <v>1</v>
      </c>
      <c r="BI243" s="1">
        <f t="shared" si="345"/>
        <v>1</v>
      </c>
      <c r="BJ243" s="1">
        <f t="shared" si="348"/>
        <v>1</v>
      </c>
      <c r="BK243" s="1">
        <f t="shared" si="349"/>
        <v>1</v>
      </c>
      <c r="BL243" s="1">
        <f t="shared" si="354"/>
        <v>1</v>
      </c>
      <c r="BM243" s="1">
        <f t="shared" si="352"/>
        <v>1</v>
      </c>
      <c r="BN243" s="1">
        <f t="shared" si="329"/>
        <v>1</v>
      </c>
      <c r="BO243" s="1">
        <f t="shared" si="330"/>
        <v>1</v>
      </c>
    </row>
    <row r="244" spans="1:67" ht="30.95" customHeight="1">
      <c r="A244" s="1">
        <f>6</f>
        <v>6</v>
      </c>
      <c r="B244" s="1">
        <f>固定流程!A28</f>
        <v>23</v>
      </c>
      <c r="C244" s="1">
        <f>9</f>
        <v>9</v>
      </c>
      <c r="D244" s="1">
        <f>1</f>
        <v>1</v>
      </c>
      <c r="E244" s="1">
        <f>固定流程!C28</f>
        <v>3</v>
      </c>
      <c r="F244" s="1">
        <f>固定流程!G28</f>
        <v>2</v>
      </c>
      <c r="G244" s="1" t="str">
        <f>固定流程!H28</f>
        <v>37_FOLLOW</v>
      </c>
      <c r="H244" s="1">
        <f>固定流程!F28</f>
        <v>1</v>
      </c>
      <c r="I244" s="1">
        <f>INDEX(配置与结果!$B$15:$B$18,F244)</f>
        <v>2306</v>
      </c>
      <c r="J244" s="1">
        <f>INDEX(配置与结果!$D$15:$D$18,F244)</f>
        <v>0.46</v>
      </c>
      <c r="K244" s="1">
        <f>INDEX(配置与结果!$E$15:$E$18,F244)</f>
        <v>1.9279999999999999</v>
      </c>
      <c r="L244" s="1">
        <f t="shared" si="341"/>
        <v>2</v>
      </c>
      <c r="M244" s="1">
        <f t="shared" si="342"/>
        <v>10</v>
      </c>
      <c r="N244" s="1">
        <f t="shared" si="343"/>
        <v>1</v>
      </c>
      <c r="O244" s="1">
        <f t="shared" si="335"/>
        <v>0</v>
      </c>
      <c r="P244" s="1">
        <f>MIN(方案参数!$AI$9,AZ243+0+0)</f>
        <v>5</v>
      </c>
      <c r="Q244" s="1">
        <f t="shared" si="313"/>
        <v>5</v>
      </c>
      <c r="R244" s="1">
        <f t="shared" si="314"/>
        <v>20</v>
      </c>
      <c r="S244" s="1">
        <f t="shared" si="315"/>
        <v>3</v>
      </c>
      <c r="T244" s="1">
        <f t="shared" si="350"/>
        <v>1</v>
      </c>
      <c r="U244" s="1">
        <f t="shared" si="317"/>
        <v>0</v>
      </c>
      <c r="V244" s="1">
        <f t="shared" si="318"/>
        <v>3</v>
      </c>
      <c r="W244" s="1">
        <f t="shared" si="319"/>
        <v>1</v>
      </c>
      <c r="X244" s="1">
        <f t="shared" si="320"/>
        <v>1</v>
      </c>
      <c r="Y244" s="1">
        <f t="shared" si="321"/>
        <v>1</v>
      </c>
      <c r="Z244" s="1">
        <f t="shared" si="322"/>
        <v>1</v>
      </c>
      <c r="AA244" s="1">
        <f t="shared" si="346"/>
        <v>1</v>
      </c>
      <c r="AB244" s="1">
        <f t="shared" si="324"/>
        <v>1</v>
      </c>
      <c r="AC244" s="1">
        <f t="shared" si="351"/>
        <v>1</v>
      </c>
      <c r="AD244" s="1">
        <f>ROUNDDOWN(I244*(1+IF(F244=3,0.05+方案参数!$Y$9+AA244*0.12,IF(F244=4,方案参数!$BZ$9*方案参数!$AS$9,0)))+IF(AND(X244=1,F244&lt;&gt;3),方案参数!$CC$9,0)+AC244*方案参数!$CB$9,0)</f>
        <v>3044</v>
      </c>
      <c r="AE244" s="1">
        <f>IF(OR(F244=1,F244=4),配置与结果!$B$24,配置与结果!$B$25)*MAX(0,1-INDEX(配置与结果!$I$15:$I$18,F244))</f>
        <v>1000</v>
      </c>
      <c r="AF244" s="1">
        <f>方案参数!$BV$9</f>
        <v>3</v>
      </c>
      <c r="AG244" s="1">
        <f>MAX(配置与结果!$B$32,1+INDEX(配置与结果!$F$15:$F$18,F244)+0+Q244*方案参数!$W$9+Y244*(方案参数!$AN$9+MIN(方案参数!$AO$9,P244*0.03))+AB244*方案参数!$BZ$9*0.025-配置与结果!$B$28)</f>
        <v>1.8800000000000003</v>
      </c>
      <c r="AH244" s="1">
        <f>MAX(0,1+INDEX(配置与结果!$G$15:$G$18,F244)+W244*方案参数!$AG$9)</f>
        <v>1.3</v>
      </c>
      <c r="AI244" s="1">
        <f>IF(OR(INDEX(配置与结果!$K$15:$K$18,F244)=1,G244="RHI_BERRY"),1+配置与结果!$B$33+P244*方案参数!$AH$9,1)</f>
        <v>1</v>
      </c>
      <c r="AJ244" s="1">
        <f>MIN(1,MAX(0,J244+方案参数!$AB$9-配置与结果!$B$27))</f>
        <v>0.76</v>
      </c>
      <c r="AK244" s="1">
        <f>MAX(1,K244+IF(F244=2,0.15+方案参数!$CH$9,0)+BN244*方案参数!$X$9+R244*方案参数!$AA$9+0-配置与结果!$B$26+Z244*(方案参数!$AP$9+MIN(方案参数!$AQ$9,P244*0.03)))</f>
        <v>2.3380000000000001</v>
      </c>
      <c r="AL244" s="7">
        <f>ROUNDDOWN(MAX(AD244*配置与结果!$B$31,AD244-AE244)*AF244*AG244*AH244*AI244,0)</f>
        <v>14986</v>
      </c>
      <c r="AM244" s="7">
        <f>ROUNDDOWN(MAX(AD244*配置与结果!$B$31,AD244-AE244)*AF244*AG244*AH244*AI244*AK244,0)</f>
        <v>35038</v>
      </c>
      <c r="AN244" s="7">
        <f t="shared" si="287"/>
        <v>30225.52</v>
      </c>
      <c r="AO244" s="7">
        <f>方案参数!$BW$9</f>
        <v>1</v>
      </c>
      <c r="AP244" s="7">
        <f>MAX(0,1+INDEX(配置与结果!$J$15:$J$18,F244)+IF(T244&gt;0,方案参数!$BY$9,0)-配置与结果!$B$30)</f>
        <v>2</v>
      </c>
      <c r="AQ244" s="7">
        <f t="shared" si="288"/>
        <v>6088</v>
      </c>
      <c r="AR244" s="7">
        <f t="shared" si="289"/>
        <v>14233</v>
      </c>
      <c r="AS244" s="7">
        <f t="shared" si="290"/>
        <v>12278.2</v>
      </c>
      <c r="AT244" s="7">
        <f>0</f>
        <v>0</v>
      </c>
      <c r="AU244" s="7">
        <f t="shared" si="291"/>
        <v>42503.72</v>
      </c>
      <c r="AV244" s="1">
        <f t="shared" si="292"/>
        <v>2</v>
      </c>
      <c r="AW244" s="1">
        <f t="shared" si="356"/>
        <v>10</v>
      </c>
      <c r="AX244" s="1">
        <f t="shared" si="293"/>
        <v>1</v>
      </c>
      <c r="AY244" s="1">
        <f>MIN(20,MAX(0,O244+0+0-0))</f>
        <v>0</v>
      </c>
      <c r="AZ244" s="1">
        <f t="shared" si="294"/>
        <v>5</v>
      </c>
      <c r="BA244" s="1">
        <f t="shared" si="347"/>
        <v>5</v>
      </c>
      <c r="BB244" s="1">
        <f t="shared" si="355"/>
        <v>20</v>
      </c>
      <c r="BC244" s="1">
        <f t="shared" si="353"/>
        <v>3</v>
      </c>
      <c r="BD244" s="1">
        <f t="shared" si="334"/>
        <v>0</v>
      </c>
      <c r="BE244" s="1">
        <f t="shared" si="327"/>
        <v>0</v>
      </c>
      <c r="BF244" s="1">
        <f>MIN(4,V244+1)</f>
        <v>4</v>
      </c>
      <c r="BG244" s="1">
        <f t="shared" si="344"/>
        <v>1</v>
      </c>
      <c r="BH244" s="1">
        <f t="shared" si="328"/>
        <v>1</v>
      </c>
      <c r="BI244" s="1">
        <f t="shared" si="345"/>
        <v>1</v>
      </c>
      <c r="BJ244" s="1">
        <f t="shared" si="348"/>
        <v>1</v>
      </c>
      <c r="BK244" s="1">
        <f t="shared" si="349"/>
        <v>1</v>
      </c>
      <c r="BL244" s="1">
        <f t="shared" si="354"/>
        <v>1</v>
      </c>
      <c r="BM244" s="1">
        <f t="shared" si="352"/>
        <v>1</v>
      </c>
      <c r="BN244" s="1">
        <f t="shared" si="329"/>
        <v>1</v>
      </c>
      <c r="BO244" s="1">
        <f t="shared" si="330"/>
        <v>1</v>
      </c>
    </row>
    <row r="245" spans="1:67" ht="30.95" customHeight="1">
      <c r="A245" s="1">
        <f>6</f>
        <v>6</v>
      </c>
      <c r="B245" s="1">
        <f>固定流程!A29</f>
        <v>24</v>
      </c>
      <c r="C245" s="1">
        <f>9</f>
        <v>9</v>
      </c>
      <c r="D245" s="1">
        <f>2</f>
        <v>2</v>
      </c>
      <c r="E245" s="1">
        <f>固定流程!C29</f>
        <v>3</v>
      </c>
      <c r="F245" s="1">
        <f>固定流程!G29</f>
        <v>1</v>
      </c>
      <c r="G245" s="1" t="str">
        <f>固定流程!H29</f>
        <v>LILYA_WEAK</v>
      </c>
      <c r="H245" s="1">
        <f>固定流程!F29</f>
        <v>1</v>
      </c>
      <c r="I245" s="1">
        <f>INDEX(配置与结果!$B$15:$B$18,F245)</f>
        <v>2296</v>
      </c>
      <c r="J245" s="1">
        <f>INDEX(配置与结果!$D$15:$D$18,F245)</f>
        <v>0.7</v>
      </c>
      <c r="K245" s="1">
        <f>INDEX(配置与结果!$E$15:$E$18,F245)</f>
        <v>2.0249999999999999</v>
      </c>
      <c r="L245" s="1">
        <f t="shared" si="341"/>
        <v>2</v>
      </c>
      <c r="M245" s="1">
        <f t="shared" si="342"/>
        <v>10</v>
      </c>
      <c r="N245" s="1">
        <f t="shared" si="343"/>
        <v>1</v>
      </c>
      <c r="O245" s="1">
        <f t="shared" si="335"/>
        <v>0</v>
      </c>
      <c r="P245" s="1">
        <f>MIN(方案参数!$AI$9,AZ244+0+0)</f>
        <v>5</v>
      </c>
      <c r="Q245" s="1">
        <f t="shared" si="313"/>
        <v>5</v>
      </c>
      <c r="R245" s="1">
        <f t="shared" si="314"/>
        <v>20</v>
      </c>
      <c r="S245" s="1">
        <f t="shared" si="315"/>
        <v>3</v>
      </c>
      <c r="T245" s="1">
        <f t="shared" si="350"/>
        <v>0</v>
      </c>
      <c r="U245" s="1">
        <f t="shared" si="317"/>
        <v>0</v>
      </c>
      <c r="V245" s="1">
        <f t="shared" si="318"/>
        <v>4</v>
      </c>
      <c r="W245" s="1">
        <f t="shared" si="319"/>
        <v>1</v>
      </c>
      <c r="X245" s="1">
        <f t="shared" si="320"/>
        <v>1</v>
      </c>
      <c r="Y245" s="1">
        <f t="shared" si="321"/>
        <v>1</v>
      </c>
      <c r="Z245" s="1">
        <f t="shared" si="322"/>
        <v>1</v>
      </c>
      <c r="AA245" s="1">
        <f t="shared" si="346"/>
        <v>1</v>
      </c>
      <c r="AB245" s="1">
        <f t="shared" si="324"/>
        <v>1</v>
      </c>
      <c r="AC245" s="1">
        <f t="shared" si="351"/>
        <v>1</v>
      </c>
      <c r="AD245" s="1">
        <f>ROUNDDOWN(I245*(1+IF(F245=3,0.05+方案参数!$Y$9+AA245*0.12,IF(F245=4,方案参数!$BZ$9*方案参数!$AS$9,0)))+IF(AND(X245=1,F245&lt;&gt;3),方案参数!$CC$9,0)+AC245*方案参数!$CB$9,0)</f>
        <v>3034</v>
      </c>
      <c r="AE245" s="1">
        <f>IF(OR(F245=1,F245=4),配置与结果!$B$24,配置与结果!$B$25)*MAX(0,1-INDEX(配置与结果!$I$15:$I$18,F245))</f>
        <v>1200</v>
      </c>
      <c r="AF245" s="1">
        <f>方案参数!$BL$9</f>
        <v>15</v>
      </c>
      <c r="AG245" s="1">
        <f>MAX(配置与结果!$B$32,1+INDEX(配置与结果!$F$15:$F$18,F245)+0.08+方案参数!$CD$9+Q245*方案参数!$W$9+Y245*(方案参数!$AN$9+MIN(方案参数!$AO$9,P245*0.03))+AB245*方案参数!$BZ$9*0.025-配置与结果!$B$28+方案参数!$AE$9)</f>
        <v>2.6150000000000002</v>
      </c>
      <c r="AH245" s="1">
        <f>MAX(0,1+V245*方案参数!$U$9+0*方案参数!$V$9+方案参数!$AE$9-配置与结果!$B$29)</f>
        <v>1.56</v>
      </c>
      <c r="AI245" s="1">
        <f>IF(OR(INDEX(配置与结果!$K$15:$K$18,F245)=1,G245="RHI_BERRY"),1+配置与结果!$B$33+P245*方案参数!$AH$9,1)</f>
        <v>1</v>
      </c>
      <c r="AJ245" s="1">
        <f>MIN(1,MAX(0,J245+方案参数!$AB$9-配置与结果!$B$27))</f>
        <v>1</v>
      </c>
      <c r="AK245" s="1">
        <f>MAX(1,K245+IF(F245=2,0.15+方案参数!$CH$9,0)+BN245*方案参数!$X$9+R245*方案参数!$AA$9+方案参数!$BP$9-配置与结果!$B$26+Z245*(方案参数!$AP$9+MIN(方案参数!$AQ$9,P245*0.03)))</f>
        <v>2.7650000000000001</v>
      </c>
      <c r="AL245" s="7">
        <f>ROUNDDOWN(MAX(AD245*配置与结果!$B$31,AD245-AE245)*AF245*AG245*AH245*AI245,0)</f>
        <v>112224</v>
      </c>
      <c r="AM245" s="7">
        <f>ROUNDDOWN(MAX(AD245*配置与结果!$B$31,AD245-AE245)*AF245*AG245*AH245*AI245*AK245,0)</f>
        <v>310300</v>
      </c>
      <c r="AN245" s="7">
        <f t="shared" si="287"/>
        <v>310300</v>
      </c>
      <c r="AO245" s="7">
        <f>0</f>
        <v>0</v>
      </c>
      <c r="AP245" s="7">
        <f>MAX(0,1+INDEX(配置与结果!$J$15:$J$18,F245)+IF(T245&gt;0,方案参数!$BY$9,0)-配置与结果!$B$30)</f>
        <v>1</v>
      </c>
      <c r="AQ245" s="7">
        <f t="shared" si="288"/>
        <v>0</v>
      </c>
      <c r="AR245" s="7">
        <f t="shared" si="289"/>
        <v>0</v>
      </c>
      <c r="AS245" s="7">
        <f t="shared" si="290"/>
        <v>0</v>
      </c>
      <c r="AT245" s="7">
        <f>IF(U245&gt;0,ROUNDDOWN(AL245*方案参数!$AF$9,0)*(1-AJ245)+ROUNDDOWN(AM245*方案参数!$AF$9,0)*AJ245,0)</f>
        <v>0</v>
      </c>
      <c r="AU245" s="7">
        <f t="shared" si="291"/>
        <v>310300</v>
      </c>
      <c r="AV245" s="1">
        <f t="shared" si="292"/>
        <v>2</v>
      </c>
      <c r="AW245" s="1">
        <f t="shared" si="356"/>
        <v>10</v>
      </c>
      <c r="AX245" s="1">
        <f t="shared" si="293"/>
        <v>1</v>
      </c>
      <c r="AY245" s="1">
        <f>MIN(20,MAX(0,O245+0+1-0))</f>
        <v>1</v>
      </c>
      <c r="AZ245" s="1">
        <f t="shared" si="294"/>
        <v>5</v>
      </c>
      <c r="BA245" s="1">
        <f t="shared" si="347"/>
        <v>5</v>
      </c>
      <c r="BB245" s="1">
        <f t="shared" si="355"/>
        <v>20</v>
      </c>
      <c r="BC245" s="1">
        <f t="shared" si="353"/>
        <v>3</v>
      </c>
      <c r="BD245" s="1">
        <f t="shared" si="334"/>
        <v>0</v>
      </c>
      <c r="BE245" s="1">
        <f>MAX(0,U245-IF(AF245&gt;0,1,0))+0</f>
        <v>0</v>
      </c>
      <c r="BF245" s="1">
        <f t="shared" ref="BF245:BF262" si="357">MIN(4,V245+0)</f>
        <v>4</v>
      </c>
      <c r="BG245" s="1">
        <f t="shared" si="344"/>
        <v>1</v>
      </c>
      <c r="BH245" s="1">
        <f t="shared" si="328"/>
        <v>1</v>
      </c>
      <c r="BI245" s="1">
        <f t="shared" si="345"/>
        <v>1</v>
      </c>
      <c r="BJ245" s="1">
        <f t="shared" si="348"/>
        <v>1</v>
      </c>
      <c r="BK245" s="1">
        <f t="shared" si="349"/>
        <v>1</v>
      </c>
      <c r="BL245" s="1">
        <f t="shared" si="354"/>
        <v>1</v>
      </c>
      <c r="BM245" s="1">
        <f t="shared" si="352"/>
        <v>1</v>
      </c>
      <c r="BN245" s="1">
        <f t="shared" si="329"/>
        <v>1</v>
      </c>
      <c r="BO245" s="1">
        <f t="shared" si="330"/>
        <v>1</v>
      </c>
    </row>
    <row r="246" spans="1:67" ht="30.95" customHeight="1">
      <c r="A246" s="1">
        <f>6</f>
        <v>6</v>
      </c>
      <c r="B246" s="1">
        <f>固定流程!A30</f>
        <v>25</v>
      </c>
      <c r="C246" s="1">
        <f>9</f>
        <v>9</v>
      </c>
      <c r="D246" s="1">
        <f>2</f>
        <v>2</v>
      </c>
      <c r="E246" s="1">
        <f>固定流程!C30</f>
        <v>3</v>
      </c>
      <c r="F246" s="1">
        <f>固定流程!G30</f>
        <v>1</v>
      </c>
      <c r="G246" s="1" t="str">
        <f>固定流程!H30</f>
        <v>LILYA_WEAK</v>
      </c>
      <c r="H246" s="1">
        <f>固定流程!F30</f>
        <v>1</v>
      </c>
      <c r="I246" s="1">
        <f>INDEX(配置与结果!$B$15:$B$18,F246)</f>
        <v>2296</v>
      </c>
      <c r="J246" s="1">
        <f>INDEX(配置与结果!$D$15:$D$18,F246)</f>
        <v>0.7</v>
      </c>
      <c r="K246" s="1">
        <f>INDEX(配置与结果!$E$15:$E$18,F246)</f>
        <v>2.0249999999999999</v>
      </c>
      <c r="L246" s="1">
        <f t="shared" si="341"/>
        <v>2</v>
      </c>
      <c r="M246" s="1">
        <f t="shared" si="342"/>
        <v>10</v>
      </c>
      <c r="N246" s="1">
        <f t="shared" si="343"/>
        <v>1</v>
      </c>
      <c r="O246" s="1">
        <f t="shared" si="335"/>
        <v>1</v>
      </c>
      <c r="P246" s="1">
        <f>MIN(方案参数!$AI$9,AZ245+0+0)</f>
        <v>5</v>
      </c>
      <c r="Q246" s="1">
        <f t="shared" si="313"/>
        <v>5</v>
      </c>
      <c r="R246" s="1">
        <f t="shared" si="314"/>
        <v>20</v>
      </c>
      <c r="S246" s="1">
        <f t="shared" si="315"/>
        <v>3</v>
      </c>
      <c r="T246" s="1">
        <f t="shared" si="350"/>
        <v>0</v>
      </c>
      <c r="U246" s="1">
        <f t="shared" si="317"/>
        <v>0</v>
      </c>
      <c r="V246" s="1">
        <f t="shared" si="318"/>
        <v>4</v>
      </c>
      <c r="W246" s="1">
        <f t="shared" si="319"/>
        <v>1</v>
      </c>
      <c r="X246" s="1">
        <f t="shared" si="320"/>
        <v>1</v>
      </c>
      <c r="Y246" s="1">
        <f t="shared" si="321"/>
        <v>1</v>
      </c>
      <c r="Z246" s="1">
        <f t="shared" si="322"/>
        <v>1</v>
      </c>
      <c r="AA246" s="1">
        <f t="shared" si="346"/>
        <v>1</v>
      </c>
      <c r="AB246" s="1">
        <f t="shared" si="324"/>
        <v>1</v>
      </c>
      <c r="AC246" s="1">
        <f t="shared" si="351"/>
        <v>1</v>
      </c>
      <c r="AD246" s="1">
        <f>ROUNDDOWN(I246*(1+IF(F246=3,0.05+方案参数!$Y$9+AA246*0.12,IF(F246=4,方案参数!$BZ$9*方案参数!$AS$9,0)))+IF(AND(X246=1,F246&lt;&gt;3),方案参数!$CC$9,0)+AC246*方案参数!$CB$9,0)</f>
        <v>3034</v>
      </c>
      <c r="AE246" s="1">
        <f>IF(OR(F246=1,F246=4),配置与结果!$B$24,配置与结果!$B$25)*MAX(0,1-INDEX(配置与结果!$I$15:$I$18,F246))</f>
        <v>1200</v>
      </c>
      <c r="AF246" s="1">
        <f>方案参数!$BL$9</f>
        <v>15</v>
      </c>
      <c r="AG246" s="1">
        <f>MAX(配置与结果!$B$32,1+INDEX(配置与结果!$F$15:$F$18,F246)+0.08+方案参数!$CD$9+Q246*方案参数!$W$9+Y246*(方案参数!$AN$9+MIN(方案参数!$AO$9,P246*0.03))+AB246*方案参数!$BZ$9*0.025-配置与结果!$B$28+方案参数!$AE$9)</f>
        <v>2.6150000000000002</v>
      </c>
      <c r="AH246" s="1">
        <f>MAX(0,1+V246*方案参数!$U$9+1*方案参数!$V$9+方案参数!$AE$9-配置与结果!$B$29)</f>
        <v>1.62</v>
      </c>
      <c r="AI246" s="1">
        <f>IF(OR(INDEX(配置与结果!$K$15:$K$18,F246)=1,G246="RHI_BERRY"),1+配置与结果!$B$33+P246*方案参数!$AH$9,1)</f>
        <v>1</v>
      </c>
      <c r="AJ246" s="1">
        <f>MIN(1,MAX(0,J246+方案参数!$AB$9-配置与结果!$B$27))</f>
        <v>1</v>
      </c>
      <c r="AK246" s="1">
        <f>MAX(1,K246+IF(F246=2,0.15+方案参数!$CH$9,0)+BN246*方案参数!$X$9+R246*方案参数!$AA$9+方案参数!$BP$9-配置与结果!$B$26+Z246*(方案参数!$AP$9+MIN(方案参数!$AQ$9,P246*0.03)))</f>
        <v>2.7650000000000001</v>
      </c>
      <c r="AL246" s="7">
        <f>ROUNDDOWN(MAX(AD246*配置与结果!$B$31,AD246-AE246)*AF246*AG246*AH246*AI246,0)</f>
        <v>116540</v>
      </c>
      <c r="AM246" s="7">
        <f>ROUNDDOWN(MAX(AD246*配置与结果!$B$31,AD246-AE246)*AF246*AG246*AH246*AI246*AK246,0)</f>
        <v>322234</v>
      </c>
      <c r="AN246" s="7">
        <f t="shared" si="287"/>
        <v>322234</v>
      </c>
      <c r="AO246" s="7">
        <f>0</f>
        <v>0</v>
      </c>
      <c r="AP246" s="7">
        <f>MAX(0,1+INDEX(配置与结果!$J$15:$J$18,F246)+IF(T246&gt;0,方案参数!$BY$9,0)-配置与结果!$B$30)</f>
        <v>1</v>
      </c>
      <c r="AQ246" s="7">
        <f t="shared" si="288"/>
        <v>0</v>
      </c>
      <c r="AR246" s="7">
        <f t="shared" si="289"/>
        <v>0</v>
      </c>
      <c r="AS246" s="7">
        <f t="shared" si="290"/>
        <v>0</v>
      </c>
      <c r="AT246" s="7">
        <f>IF(U246&gt;0,ROUNDDOWN(AL246*方案参数!$AF$9,0)*(1-AJ246)+ROUNDDOWN(AM246*方案参数!$AF$9,0)*AJ246,0)</f>
        <v>0</v>
      </c>
      <c r="AU246" s="7">
        <f t="shared" si="291"/>
        <v>322234</v>
      </c>
      <c r="AV246" s="1">
        <f t="shared" si="292"/>
        <v>2</v>
      </c>
      <c r="AW246" s="1">
        <f t="shared" si="356"/>
        <v>10</v>
      </c>
      <c r="AX246" s="1">
        <f t="shared" si="293"/>
        <v>1</v>
      </c>
      <c r="AY246" s="1">
        <f>MIN(20,MAX(0,O246+0+1-0))</f>
        <v>2</v>
      </c>
      <c r="AZ246" s="1">
        <f t="shared" si="294"/>
        <v>5</v>
      </c>
      <c r="BA246" s="1">
        <f t="shared" si="347"/>
        <v>5</v>
      </c>
      <c r="BB246" s="1">
        <f t="shared" si="355"/>
        <v>20</v>
      </c>
      <c r="BC246" s="1">
        <f t="shared" si="353"/>
        <v>3</v>
      </c>
      <c r="BD246" s="1">
        <f t="shared" si="334"/>
        <v>0</v>
      </c>
      <c r="BE246" s="1">
        <f>MAX(0,U246-IF(AF246&gt;0,1,0))+0</f>
        <v>0</v>
      </c>
      <c r="BF246" s="1">
        <f t="shared" si="357"/>
        <v>4</v>
      </c>
      <c r="BG246" s="1">
        <f t="shared" si="344"/>
        <v>1</v>
      </c>
      <c r="BH246" s="1">
        <f t="shared" si="328"/>
        <v>1</v>
      </c>
      <c r="BI246" s="1">
        <f t="shared" si="345"/>
        <v>1</v>
      </c>
      <c r="BJ246" s="1">
        <f t="shared" si="348"/>
        <v>1</v>
      </c>
      <c r="BK246" s="1">
        <f t="shared" si="349"/>
        <v>1</v>
      </c>
      <c r="BL246" s="1">
        <f t="shared" si="354"/>
        <v>1</v>
      </c>
      <c r="BM246" s="1">
        <f t="shared" si="352"/>
        <v>1</v>
      </c>
      <c r="BN246" s="1">
        <f t="shared" si="329"/>
        <v>1</v>
      </c>
      <c r="BO246" s="1">
        <f t="shared" si="330"/>
        <v>1</v>
      </c>
    </row>
    <row r="247" spans="1:67" ht="30.95" customHeight="1">
      <c r="A247" s="1">
        <f>6</f>
        <v>6</v>
      </c>
      <c r="B247" s="1">
        <f>固定流程!A31</f>
        <v>26</v>
      </c>
      <c r="C247" s="1">
        <f>9</f>
        <v>9</v>
      </c>
      <c r="D247" s="1">
        <f>2</f>
        <v>2</v>
      </c>
      <c r="E247" s="1">
        <f>固定流程!C31</f>
        <v>3</v>
      </c>
      <c r="F247" s="1">
        <f>固定流程!G31</f>
        <v>2</v>
      </c>
      <c r="G247" s="1" t="str">
        <f>固定流程!H31</f>
        <v>37_WEAK</v>
      </c>
      <c r="H247" s="1">
        <f>固定流程!F31</f>
        <v>1</v>
      </c>
      <c r="I247" s="1">
        <f>INDEX(配置与结果!$B$15:$B$18,F247)</f>
        <v>2306</v>
      </c>
      <c r="J247" s="1">
        <f>INDEX(配置与结果!$D$15:$D$18,F247)</f>
        <v>0.46</v>
      </c>
      <c r="K247" s="1">
        <f>INDEX(配置与结果!$E$15:$E$18,F247)</f>
        <v>1.9279999999999999</v>
      </c>
      <c r="L247" s="1">
        <f t="shared" si="341"/>
        <v>2</v>
      </c>
      <c r="M247" s="1">
        <f t="shared" si="342"/>
        <v>10</v>
      </c>
      <c r="N247" s="1">
        <f t="shared" si="343"/>
        <v>1</v>
      </c>
      <c r="O247" s="1">
        <f t="shared" si="335"/>
        <v>2</v>
      </c>
      <c r="P247" s="1">
        <f>MIN(方案参数!$AI$9,AZ246+0+0)</f>
        <v>5</v>
      </c>
      <c r="Q247" s="1">
        <f t="shared" si="313"/>
        <v>5</v>
      </c>
      <c r="R247" s="1">
        <f t="shared" si="314"/>
        <v>20</v>
      </c>
      <c r="S247" s="1">
        <f t="shared" si="315"/>
        <v>3</v>
      </c>
      <c r="T247" s="1">
        <f t="shared" si="350"/>
        <v>0</v>
      </c>
      <c r="U247" s="1">
        <f t="shared" si="317"/>
        <v>0</v>
      </c>
      <c r="V247" s="1">
        <f t="shared" si="318"/>
        <v>4</v>
      </c>
      <c r="W247" s="1">
        <f t="shared" si="319"/>
        <v>1</v>
      </c>
      <c r="X247" s="1">
        <f t="shared" si="320"/>
        <v>1</v>
      </c>
      <c r="Y247" s="1">
        <f t="shared" si="321"/>
        <v>1</v>
      </c>
      <c r="Z247" s="1">
        <f t="shared" si="322"/>
        <v>1</v>
      </c>
      <c r="AA247" s="1">
        <f t="shared" si="346"/>
        <v>1</v>
      </c>
      <c r="AB247" s="1">
        <f t="shared" si="324"/>
        <v>1</v>
      </c>
      <c r="AC247" s="1">
        <f t="shared" si="351"/>
        <v>1</v>
      </c>
      <c r="AD247" s="1">
        <f>ROUNDDOWN(I247*(1+IF(F247=3,0.05+方案参数!$Y$9+AA247*0.12,IF(F247=4,方案参数!$BZ$9*方案参数!$AS$9,0)))+IF(AND(X247=1,F247&lt;&gt;3),方案参数!$CC$9,0)+AC247*方案参数!$CB$9,0)</f>
        <v>3044</v>
      </c>
      <c r="AE247" s="1">
        <f>IF(OR(F247=1,F247=4),配置与结果!$B$24,配置与结果!$B$25)*MAX(0,1-INDEX(配置与结果!$I$15:$I$18,F247))</f>
        <v>1000</v>
      </c>
      <c r="AF247" s="1">
        <f>方案参数!$CE$9</f>
        <v>8</v>
      </c>
      <c r="AG247" s="1">
        <f>MAX(配置与结果!$B$32,1+INDEX(配置与结果!$F$15:$F$18,F247)+0+Q247*方案参数!$W$9+Y247*(方案参数!$AN$9+MIN(方案参数!$AO$9,P247*0.03))+AB247*方案参数!$BZ$9*0.025-配置与结果!$B$28+方案参数!$AE$9)</f>
        <v>2.2800000000000002</v>
      </c>
      <c r="AH247" s="1">
        <f>MAX(0,1+V247*方案参数!$U$9+方案参数!$AE$9-配置与结果!$B$29)</f>
        <v>1.56</v>
      </c>
      <c r="AI247" s="1">
        <f>IF(OR(INDEX(配置与结果!$K$15:$K$18,F247)=1,G247="RHI_BERRY"),1+配置与结果!$B$33+P247*方案参数!$AH$9,1)</f>
        <v>1</v>
      </c>
      <c r="AJ247" s="1">
        <f>MIN(1,MAX(0,J247+方案参数!$AB$9-配置与结果!$B$27))</f>
        <v>0.76</v>
      </c>
      <c r="AK247" s="1">
        <f>MAX(1,K247+IF(F247=2,0.15+方案参数!$CH$9,0)+BN247*方案参数!$X$9+R247*方案参数!$AA$9+0-配置与结果!$B$26+Z247*(方案参数!$AP$9+MIN(方案参数!$AQ$9,P247*0.03)))</f>
        <v>2.3380000000000001</v>
      </c>
      <c r="AL247" s="7">
        <f>ROUNDDOWN(MAX(AD247*配置与结果!$B$31,AD247-AE247)*AF247*AG247*AH247*AI247,0)</f>
        <v>58160</v>
      </c>
      <c r="AM247" s="7">
        <f>ROUNDDOWN(MAX(AD247*配置与结果!$B$31,AD247-AE247)*AF247*AG247*AH247*AI247*AK247,0)</f>
        <v>135979</v>
      </c>
      <c r="AN247" s="7">
        <f t="shared" si="287"/>
        <v>117302.44</v>
      </c>
      <c r="AO247" s="7">
        <f>0</f>
        <v>0</v>
      </c>
      <c r="AP247" s="7">
        <f>MAX(0,1+INDEX(配置与结果!$J$15:$J$18,F247)+IF(T247&gt;0,方案参数!$BY$9,0)-配置与结果!$B$30)</f>
        <v>1</v>
      </c>
      <c r="AQ247" s="7">
        <f t="shared" si="288"/>
        <v>0</v>
      </c>
      <c r="AR247" s="7">
        <f t="shared" si="289"/>
        <v>0</v>
      </c>
      <c r="AS247" s="7">
        <f t="shared" si="290"/>
        <v>0</v>
      </c>
      <c r="AT247" s="7">
        <f>IF(U247&gt;0,ROUNDDOWN(AL247*方案参数!$AF$9,0)*(1-AJ247)+ROUNDDOWN(AM247*方案参数!$AF$9,0)*AJ247,0)</f>
        <v>0</v>
      </c>
      <c r="AU247" s="7">
        <f t="shared" si="291"/>
        <v>117302.44</v>
      </c>
      <c r="AV247" s="1">
        <f t="shared" si="292"/>
        <v>2</v>
      </c>
      <c r="AW247" s="1">
        <f t="shared" si="356"/>
        <v>10</v>
      </c>
      <c r="AX247" s="1">
        <f t="shared" si="293"/>
        <v>1</v>
      </c>
      <c r="AY247" s="1">
        <f>MIN(20,MAX(0,O247+0+0-0))</f>
        <v>2</v>
      </c>
      <c r="AZ247" s="1">
        <f t="shared" si="294"/>
        <v>5</v>
      </c>
      <c r="BA247" s="1">
        <f t="shared" si="347"/>
        <v>5</v>
      </c>
      <c r="BB247" s="1">
        <f t="shared" si="355"/>
        <v>20</v>
      </c>
      <c r="BC247" s="1">
        <f t="shared" si="353"/>
        <v>3</v>
      </c>
      <c r="BD247" s="1">
        <f t="shared" si="334"/>
        <v>0</v>
      </c>
      <c r="BE247" s="1">
        <f>MAX(0,U247-IF(AF247&gt;0,1,0))+1</f>
        <v>1</v>
      </c>
      <c r="BF247" s="1">
        <f t="shared" si="357"/>
        <v>4</v>
      </c>
      <c r="BG247" s="1">
        <f t="shared" si="344"/>
        <v>1</v>
      </c>
      <c r="BH247" s="1">
        <f t="shared" si="328"/>
        <v>1</v>
      </c>
      <c r="BI247" s="1">
        <f t="shared" si="345"/>
        <v>1</v>
      </c>
      <c r="BJ247" s="1">
        <f t="shared" si="348"/>
        <v>1</v>
      </c>
      <c r="BK247" s="1">
        <f t="shared" si="349"/>
        <v>1</v>
      </c>
      <c r="BL247" s="1">
        <f t="shared" si="354"/>
        <v>1</v>
      </c>
      <c r="BM247" s="1">
        <f t="shared" si="352"/>
        <v>1</v>
      </c>
      <c r="BN247" s="1">
        <f t="shared" si="329"/>
        <v>1</v>
      </c>
      <c r="BO247" s="1">
        <f t="shared" si="330"/>
        <v>1</v>
      </c>
    </row>
    <row r="248" spans="1:67" ht="30.95" customHeight="1">
      <c r="A248" s="1">
        <f>6</f>
        <v>6</v>
      </c>
      <c r="B248" s="1">
        <f>固定流程!A32</f>
        <v>27</v>
      </c>
      <c r="C248" s="1">
        <f>9</f>
        <v>9</v>
      </c>
      <c r="D248" s="1">
        <f>2</f>
        <v>2</v>
      </c>
      <c r="E248" s="1">
        <f>固定流程!C32</f>
        <v>3</v>
      </c>
      <c r="F248" s="1">
        <f>固定流程!G32</f>
        <v>1</v>
      </c>
      <c r="G248" s="1" t="str">
        <f>固定流程!H32</f>
        <v>LILYA_THIRD</v>
      </c>
      <c r="H248" s="1">
        <f>固定流程!F32</f>
        <v>1</v>
      </c>
      <c r="I248" s="1">
        <f>INDEX(配置与结果!$B$15:$B$18,F248)</f>
        <v>2296</v>
      </c>
      <c r="J248" s="1">
        <f>INDEX(配置与结果!$D$15:$D$18,F248)</f>
        <v>0.7</v>
      </c>
      <c r="K248" s="1">
        <f>INDEX(配置与结果!$E$15:$E$18,F248)</f>
        <v>2.0249999999999999</v>
      </c>
      <c r="L248" s="1">
        <f t="shared" si="341"/>
        <v>2</v>
      </c>
      <c r="M248" s="1">
        <f t="shared" si="342"/>
        <v>10</v>
      </c>
      <c r="N248" s="1">
        <f t="shared" si="343"/>
        <v>1</v>
      </c>
      <c r="O248" s="1">
        <f t="shared" si="335"/>
        <v>2</v>
      </c>
      <c r="P248" s="1">
        <f>MIN(方案参数!$AI$9,AZ247+0+0)</f>
        <v>5</v>
      </c>
      <c r="Q248" s="1">
        <f t="shared" si="313"/>
        <v>5</v>
      </c>
      <c r="R248" s="1">
        <f t="shared" si="314"/>
        <v>20</v>
      </c>
      <c r="S248" s="1">
        <f t="shared" si="315"/>
        <v>3</v>
      </c>
      <c r="T248" s="1">
        <f t="shared" si="350"/>
        <v>0</v>
      </c>
      <c r="U248" s="1">
        <f t="shared" si="317"/>
        <v>1</v>
      </c>
      <c r="V248" s="1">
        <f t="shared" si="318"/>
        <v>4</v>
      </c>
      <c r="W248" s="1">
        <f t="shared" si="319"/>
        <v>1</v>
      </c>
      <c r="X248" s="1">
        <f t="shared" si="320"/>
        <v>1</v>
      </c>
      <c r="Y248" s="1">
        <f t="shared" si="321"/>
        <v>1</v>
      </c>
      <c r="Z248" s="1">
        <f t="shared" si="322"/>
        <v>1</v>
      </c>
      <c r="AA248" s="1">
        <f t="shared" si="346"/>
        <v>1</v>
      </c>
      <c r="AB248" s="1">
        <f t="shared" si="324"/>
        <v>1</v>
      </c>
      <c r="AC248" s="1">
        <f t="shared" si="351"/>
        <v>1</v>
      </c>
      <c r="AD248" s="1">
        <f>ROUNDDOWN(I248*(1+IF(F248=3,0.05+方案参数!$Y$9+AA248*0.12,IF(F248=4,方案参数!$BZ$9*方案参数!$AS$9,0)))+IF(AND(X248=1,F248&lt;&gt;3),方案参数!$CC$9,0)+AC248*方案参数!$CB$9,0)</f>
        <v>3034</v>
      </c>
      <c r="AE248" s="1">
        <f>IF(OR(F248=1,F248=4),配置与结果!$B$24,配置与结果!$B$25)*MAX(0,1-INDEX(配置与结果!$I$15:$I$18,F248))</f>
        <v>1200</v>
      </c>
      <c r="AF248" s="1">
        <f>方案参数!$BM$9</f>
        <v>32</v>
      </c>
      <c r="AG248" s="1">
        <f>MAX(配置与结果!$B$32,1+INDEX(配置与结果!$F$15:$F$18,F248)+0.08+方案参数!$CD$9+Q248*方案参数!$W$9+Y248*(方案参数!$AN$9+MIN(方案参数!$AO$9,P248*0.03))+AB248*方案参数!$BZ$9*0.025-配置与结果!$B$28+方案参数!$AE$9)</f>
        <v>2.6150000000000002</v>
      </c>
      <c r="AH248" s="1">
        <f>MAX(0,1+V248*方案参数!$U$9+3*方案参数!$V$9+方案参数!$AE$9-配置与结果!$B$29)</f>
        <v>1.7399999999999998</v>
      </c>
      <c r="AI248" s="1">
        <f>IF(OR(INDEX(配置与结果!$K$15:$K$18,F248)=1,G248="RHI_BERRY"),1+配置与结果!$B$33+P248*方案参数!$AH$9,1)</f>
        <v>1</v>
      </c>
      <c r="AJ248" s="1">
        <f>MIN(1,MAX(0,J248+方案参数!$AB$9-配置与结果!$B$27))</f>
        <v>1</v>
      </c>
      <c r="AK248" s="1">
        <f>MAX(1,K248+IF(F248=2,0.15+方案参数!$CH$9,0)+BN248*方案参数!$X$9+R248*方案参数!$AA$9+方案参数!$BQ$9-配置与结果!$B$26+Z248*(方案参数!$AP$9+MIN(方案参数!$AQ$9,P248*0.03)))</f>
        <v>2.9650000000000003</v>
      </c>
      <c r="AL248" s="7">
        <f>ROUNDDOWN(MAX(AD248*配置与结果!$B$31,AD248-AE248)*AF248*AG248*AH248*AI248,0)</f>
        <v>267036</v>
      </c>
      <c r="AM248" s="7">
        <f>ROUNDDOWN(MAX(AD248*配置与结果!$B$31,AD248-AE248)*AF248*AG248*AH248*AI248*AK248,0)</f>
        <v>791762</v>
      </c>
      <c r="AN248" s="7">
        <f t="shared" si="287"/>
        <v>791762</v>
      </c>
      <c r="AO248" s="7">
        <f>0</f>
        <v>0</v>
      </c>
      <c r="AP248" s="7">
        <f>MAX(0,1+INDEX(配置与结果!$J$15:$J$18,F248)+IF(T248&gt;0,方案参数!$BY$9,0)-配置与结果!$B$30)</f>
        <v>1</v>
      </c>
      <c r="AQ248" s="7">
        <f t="shared" si="288"/>
        <v>0</v>
      </c>
      <c r="AR248" s="7">
        <f t="shared" si="289"/>
        <v>0</v>
      </c>
      <c r="AS248" s="7">
        <f t="shared" si="290"/>
        <v>0</v>
      </c>
      <c r="AT248" s="7">
        <f>IF(U248&gt;0,ROUNDDOWN(AL248*方案参数!$AF$9,0)*(1-AJ248)+ROUNDDOWN(AM248*方案参数!$AF$9,0)*AJ248,0)</f>
        <v>316704</v>
      </c>
      <c r="AU248" s="7">
        <f t="shared" si="291"/>
        <v>1108466</v>
      </c>
      <c r="AV248" s="1">
        <f t="shared" si="292"/>
        <v>2</v>
      </c>
      <c r="AW248" s="1">
        <f t="shared" si="356"/>
        <v>10</v>
      </c>
      <c r="AX248" s="1">
        <f t="shared" si="293"/>
        <v>1</v>
      </c>
      <c r="AY248" s="1">
        <f>MIN(20,MAX(0,O248+0+1-0))</f>
        <v>3</v>
      </c>
      <c r="AZ248" s="1">
        <f t="shared" si="294"/>
        <v>5</v>
      </c>
      <c r="BA248" s="1">
        <f t="shared" si="347"/>
        <v>5</v>
      </c>
      <c r="BB248" s="1">
        <f t="shared" si="355"/>
        <v>20</v>
      </c>
      <c r="BC248" s="1">
        <f t="shared" si="353"/>
        <v>3</v>
      </c>
      <c r="BD248" s="1">
        <f t="shared" si="334"/>
        <v>0</v>
      </c>
      <c r="BE248" s="1">
        <f>MAX(0,U248-IF(AF248&gt;0,1,0))+0</f>
        <v>0</v>
      </c>
      <c r="BF248" s="1">
        <f t="shared" si="357"/>
        <v>4</v>
      </c>
      <c r="BG248" s="1">
        <f t="shared" si="344"/>
        <v>1</v>
      </c>
      <c r="BH248" s="1">
        <f t="shared" si="328"/>
        <v>1</v>
      </c>
      <c r="BI248" s="1">
        <f t="shared" si="345"/>
        <v>1</v>
      </c>
      <c r="BJ248" s="1">
        <f t="shared" si="348"/>
        <v>1</v>
      </c>
      <c r="BK248" s="1">
        <f t="shared" si="349"/>
        <v>1</v>
      </c>
      <c r="BL248" s="1">
        <f t="shared" si="354"/>
        <v>1</v>
      </c>
      <c r="BM248" s="1">
        <f t="shared" si="352"/>
        <v>1</v>
      </c>
      <c r="BN248" s="1">
        <f t="shared" si="329"/>
        <v>1</v>
      </c>
      <c r="BO248" s="1">
        <f t="shared" si="330"/>
        <v>1</v>
      </c>
    </row>
    <row r="249" spans="1:67" ht="30.95" customHeight="1">
      <c r="A249" s="1">
        <f>6</f>
        <v>6</v>
      </c>
      <c r="B249" s="1">
        <f>固定流程!A33</f>
        <v>28</v>
      </c>
      <c r="C249" s="1">
        <f>9</f>
        <v>9</v>
      </c>
      <c r="D249" s="1">
        <f>2</f>
        <v>2</v>
      </c>
      <c r="E249" s="1">
        <f>固定流程!C33</f>
        <v>3</v>
      </c>
      <c r="F249" s="1">
        <f>固定流程!G33</f>
        <v>1</v>
      </c>
      <c r="G249" s="1" t="str">
        <f>固定流程!H33</f>
        <v>LILYA_WEAK</v>
      </c>
      <c r="H249" s="1">
        <f>固定流程!F33</f>
        <v>1</v>
      </c>
      <c r="I249" s="1">
        <f>INDEX(配置与结果!$B$15:$B$18,F249)</f>
        <v>2296</v>
      </c>
      <c r="J249" s="1">
        <f>INDEX(配置与结果!$D$15:$D$18,F249)</f>
        <v>0.7</v>
      </c>
      <c r="K249" s="1">
        <f>INDEX(配置与结果!$E$15:$E$18,F249)</f>
        <v>2.0249999999999999</v>
      </c>
      <c r="L249" s="1">
        <f t="shared" si="341"/>
        <v>2</v>
      </c>
      <c r="M249" s="1">
        <f t="shared" si="342"/>
        <v>10</v>
      </c>
      <c r="N249" s="1">
        <f t="shared" si="343"/>
        <v>1</v>
      </c>
      <c r="O249" s="1">
        <f t="shared" si="335"/>
        <v>3</v>
      </c>
      <c r="P249" s="1">
        <f>MIN(方案参数!$AI$9,AZ248+0+0)</f>
        <v>5</v>
      </c>
      <c r="Q249" s="1">
        <f t="shared" si="313"/>
        <v>5</v>
      </c>
      <c r="R249" s="1">
        <f t="shared" si="314"/>
        <v>20</v>
      </c>
      <c r="S249" s="1">
        <f t="shared" si="315"/>
        <v>3</v>
      </c>
      <c r="T249" s="1">
        <f t="shared" si="350"/>
        <v>0</v>
      </c>
      <c r="U249" s="1">
        <f t="shared" si="317"/>
        <v>0</v>
      </c>
      <c r="V249" s="1">
        <f t="shared" si="318"/>
        <v>4</v>
      </c>
      <c r="W249" s="1">
        <f t="shared" si="319"/>
        <v>1</v>
      </c>
      <c r="X249" s="1">
        <f t="shared" si="320"/>
        <v>1</v>
      </c>
      <c r="Y249" s="1">
        <f t="shared" si="321"/>
        <v>1</v>
      </c>
      <c r="Z249" s="1">
        <f t="shared" si="322"/>
        <v>1</v>
      </c>
      <c r="AA249" s="1">
        <f t="shared" si="346"/>
        <v>1</v>
      </c>
      <c r="AB249" s="1">
        <f t="shared" si="324"/>
        <v>1</v>
      </c>
      <c r="AC249" s="1">
        <f t="shared" si="351"/>
        <v>1</v>
      </c>
      <c r="AD249" s="1">
        <f>ROUNDDOWN(I249*(1+IF(F249=3,0.05+方案参数!$Y$9+AA249*0.12,IF(F249=4,方案参数!$BZ$9*方案参数!$AS$9,0)))+IF(AND(X249=1,F249&lt;&gt;3),方案参数!$CC$9,0)+AC249*方案参数!$CB$9,0)</f>
        <v>3034</v>
      </c>
      <c r="AE249" s="1">
        <f>IF(OR(F249=1,F249=4),配置与结果!$B$24,配置与结果!$B$25)*MAX(0,1-INDEX(配置与结果!$I$15:$I$18,F249))</f>
        <v>1200</v>
      </c>
      <c r="AF249" s="1">
        <f>方案参数!$BL$9</f>
        <v>15</v>
      </c>
      <c r="AG249" s="1">
        <f>MAX(配置与结果!$B$32,1+INDEX(配置与结果!$F$15:$F$18,F249)+0.08+方案参数!$CD$9+Q249*方案参数!$W$9+Y249*(方案参数!$AN$9+MIN(方案参数!$AO$9,P249*0.03))+AB249*方案参数!$BZ$9*0.025-配置与结果!$B$28+方案参数!$AE$9)</f>
        <v>2.6150000000000002</v>
      </c>
      <c r="AH249" s="1">
        <f>MAX(0,1+V249*方案参数!$U$9+4*方案参数!$V$9+方案参数!$AE$9-配置与结果!$B$29)</f>
        <v>1.7999999999999998</v>
      </c>
      <c r="AI249" s="1">
        <f>IF(OR(INDEX(配置与结果!$K$15:$K$18,F249)=1,G249="RHI_BERRY"),1+配置与结果!$B$33+P249*方案参数!$AH$9,1)</f>
        <v>1</v>
      </c>
      <c r="AJ249" s="1">
        <f>MIN(1,MAX(0,J249+方案参数!$AB$9-配置与结果!$B$27))</f>
        <v>1</v>
      </c>
      <c r="AK249" s="1">
        <f>MAX(1,K249+IF(F249=2,0.15+方案参数!$CH$9,0)+BN249*方案参数!$X$9+R249*方案参数!$AA$9+方案参数!$BP$9-配置与结果!$B$26+Z249*(方案参数!$AP$9+MIN(方案参数!$AQ$9,P249*0.03)))</f>
        <v>2.7650000000000001</v>
      </c>
      <c r="AL249" s="7">
        <f>ROUNDDOWN(MAX(AD249*配置与结果!$B$31,AD249-AE249)*AF249*AG249*AH249*AI249,0)</f>
        <v>129489</v>
      </c>
      <c r="AM249" s="7">
        <f>ROUNDDOWN(MAX(AD249*配置与结果!$B$31,AD249-AE249)*AF249*AG249*AH249*AI249*AK249,0)</f>
        <v>358038</v>
      </c>
      <c r="AN249" s="7">
        <f t="shared" si="287"/>
        <v>358038</v>
      </c>
      <c r="AO249" s="7">
        <f>0</f>
        <v>0</v>
      </c>
      <c r="AP249" s="7">
        <f>MAX(0,1+INDEX(配置与结果!$J$15:$J$18,F249)+IF(T249&gt;0,方案参数!$BY$9,0)-配置与结果!$B$30)</f>
        <v>1</v>
      </c>
      <c r="AQ249" s="7">
        <f t="shared" si="288"/>
        <v>0</v>
      </c>
      <c r="AR249" s="7">
        <f t="shared" si="289"/>
        <v>0</v>
      </c>
      <c r="AS249" s="7">
        <f t="shared" si="290"/>
        <v>0</v>
      </c>
      <c r="AT249" s="7">
        <f>IF(U249&gt;0,ROUNDDOWN(AL249*方案参数!$AF$9,0)*(1-AJ249)+ROUNDDOWN(AM249*方案参数!$AF$9,0)*AJ249,0)</f>
        <v>0</v>
      </c>
      <c r="AU249" s="7">
        <f t="shared" si="291"/>
        <v>358038</v>
      </c>
      <c r="AV249" s="1">
        <f t="shared" si="292"/>
        <v>2</v>
      </c>
      <c r="AW249" s="1">
        <f t="shared" si="356"/>
        <v>10</v>
      </c>
      <c r="AX249" s="1">
        <f t="shared" si="293"/>
        <v>1</v>
      </c>
      <c r="AY249" s="1">
        <f>MIN(20,MAX(0,O249+0+1-0))</f>
        <v>4</v>
      </c>
      <c r="AZ249" s="1">
        <f t="shared" si="294"/>
        <v>5</v>
      </c>
      <c r="BA249" s="1">
        <f t="shared" si="347"/>
        <v>5</v>
      </c>
      <c r="BB249" s="1">
        <f t="shared" si="355"/>
        <v>20</v>
      </c>
      <c r="BC249" s="1">
        <f t="shared" si="353"/>
        <v>3</v>
      </c>
      <c r="BD249" s="1">
        <f t="shared" si="334"/>
        <v>0</v>
      </c>
      <c r="BE249" s="1">
        <f>MAX(0,U249-IF(AF249&gt;0,1,0))+0</f>
        <v>0</v>
      </c>
      <c r="BF249" s="1">
        <f t="shared" si="357"/>
        <v>4</v>
      </c>
      <c r="BG249" s="1">
        <f t="shared" si="344"/>
        <v>1</v>
      </c>
      <c r="BH249" s="1">
        <f t="shared" si="328"/>
        <v>1</v>
      </c>
      <c r="BI249" s="1">
        <f t="shared" si="345"/>
        <v>1</v>
      </c>
      <c r="BJ249" s="1">
        <f t="shared" si="348"/>
        <v>1</v>
      </c>
      <c r="BK249" s="1">
        <f t="shared" si="349"/>
        <v>1</v>
      </c>
      <c r="BL249" s="1">
        <f t="shared" si="354"/>
        <v>1</v>
      </c>
      <c r="BM249" s="1">
        <f t="shared" si="352"/>
        <v>1</v>
      </c>
      <c r="BN249" s="1">
        <f t="shared" si="329"/>
        <v>1</v>
      </c>
      <c r="BO249" s="1">
        <f t="shared" si="330"/>
        <v>1</v>
      </c>
    </row>
    <row r="250" spans="1:67" ht="30.95" customHeight="1">
      <c r="A250" s="1">
        <f>6</f>
        <v>6</v>
      </c>
      <c r="B250" s="1">
        <f>固定流程!A34</f>
        <v>29</v>
      </c>
      <c r="C250" s="1">
        <f>9</f>
        <v>9</v>
      </c>
      <c r="D250" s="1">
        <f>2</f>
        <v>2</v>
      </c>
      <c r="E250" s="1">
        <f>固定流程!C34</f>
        <v>3</v>
      </c>
      <c r="F250" s="1">
        <f>固定流程!G34</f>
        <v>1</v>
      </c>
      <c r="G250" s="1" t="str">
        <f>固定流程!H34</f>
        <v>LILYA_WEAK</v>
      </c>
      <c r="H250" s="1">
        <f>固定流程!F34</f>
        <v>1</v>
      </c>
      <c r="I250" s="1">
        <f>INDEX(配置与结果!$B$15:$B$18,F250)</f>
        <v>2296</v>
      </c>
      <c r="J250" s="1">
        <f>INDEX(配置与结果!$D$15:$D$18,F250)</f>
        <v>0.7</v>
      </c>
      <c r="K250" s="1">
        <f>INDEX(配置与结果!$E$15:$E$18,F250)</f>
        <v>2.0249999999999999</v>
      </c>
      <c r="L250" s="1">
        <f t="shared" si="341"/>
        <v>2</v>
      </c>
      <c r="M250" s="1">
        <f t="shared" si="342"/>
        <v>10</v>
      </c>
      <c r="N250" s="1">
        <f t="shared" si="343"/>
        <v>1</v>
      </c>
      <c r="O250" s="1">
        <f t="shared" si="335"/>
        <v>4</v>
      </c>
      <c r="P250" s="1">
        <f>MIN(方案参数!$AI$9,AZ249+0+0)</f>
        <v>5</v>
      </c>
      <c r="Q250" s="1">
        <f t="shared" si="313"/>
        <v>5</v>
      </c>
      <c r="R250" s="1">
        <f t="shared" si="314"/>
        <v>20</v>
      </c>
      <c r="S250" s="1">
        <f t="shared" si="315"/>
        <v>3</v>
      </c>
      <c r="T250" s="1">
        <f t="shared" si="350"/>
        <v>0</v>
      </c>
      <c r="U250" s="1">
        <f t="shared" si="317"/>
        <v>0</v>
      </c>
      <c r="V250" s="1">
        <f t="shared" si="318"/>
        <v>4</v>
      </c>
      <c r="W250" s="1">
        <f t="shared" si="319"/>
        <v>1</v>
      </c>
      <c r="X250" s="1">
        <f t="shared" si="320"/>
        <v>1</v>
      </c>
      <c r="Y250" s="1">
        <f t="shared" si="321"/>
        <v>1</v>
      </c>
      <c r="Z250" s="1">
        <f t="shared" si="322"/>
        <v>1</v>
      </c>
      <c r="AA250" s="1">
        <f t="shared" si="346"/>
        <v>1</v>
      </c>
      <c r="AB250" s="1">
        <f t="shared" si="324"/>
        <v>1</v>
      </c>
      <c r="AC250" s="1">
        <f t="shared" si="351"/>
        <v>1</v>
      </c>
      <c r="AD250" s="1">
        <f>ROUNDDOWN(I250*(1+IF(F250=3,0.05+方案参数!$Y$9+AA250*0.12,IF(F250=4,方案参数!$BZ$9*方案参数!$AS$9,0)))+IF(AND(X250=1,F250&lt;&gt;3),方案参数!$CC$9,0)+AC250*方案参数!$CB$9,0)</f>
        <v>3034</v>
      </c>
      <c r="AE250" s="1">
        <f>IF(OR(F250=1,F250=4),配置与结果!$B$24,配置与结果!$B$25)*MAX(0,1-INDEX(配置与结果!$I$15:$I$18,F250))</f>
        <v>1200</v>
      </c>
      <c r="AF250" s="1">
        <f>方案参数!$BL$9</f>
        <v>15</v>
      </c>
      <c r="AG250" s="1">
        <f>MAX(配置与结果!$B$32,1+INDEX(配置与结果!$F$15:$F$18,F250)+0.08+方案参数!$CD$9+Q250*方案参数!$W$9+Y250*(方案参数!$AN$9+MIN(方案参数!$AO$9,P250*0.03))+AB250*方案参数!$BZ$9*0.025-配置与结果!$B$28+方案参数!$AE$9)</f>
        <v>2.6150000000000002</v>
      </c>
      <c r="AH250" s="1">
        <f>MAX(0,1+V250*方案参数!$U$9+5*方案参数!$V$9+方案参数!$AE$9-配置与结果!$B$29)</f>
        <v>1.8599999999999999</v>
      </c>
      <c r="AI250" s="1">
        <f>IF(OR(INDEX(配置与结果!$K$15:$K$18,F250)=1,G250="RHI_BERRY"),1+配置与结果!$B$33+P250*方案参数!$AH$9,1)</f>
        <v>1</v>
      </c>
      <c r="AJ250" s="1">
        <f>MIN(1,MAX(0,J250+方案参数!$AB$9-配置与结果!$B$27))</f>
        <v>1</v>
      </c>
      <c r="AK250" s="1">
        <f>MAX(1,K250+IF(F250=2,0.15+方案参数!$CH$9,0)+BN250*方案参数!$X$9+R250*方案参数!$AA$9+方案参数!$BP$9-配置与结果!$B$26+Z250*(方案参数!$AP$9+MIN(方案参数!$AQ$9,P250*0.03)))</f>
        <v>2.7650000000000001</v>
      </c>
      <c r="AL250" s="7">
        <f>ROUNDDOWN(MAX(AD250*配置与结果!$B$31,AD250-AE250)*AF250*AG250*AH250*AI250,0)</f>
        <v>133805</v>
      </c>
      <c r="AM250" s="7">
        <f>ROUNDDOWN(MAX(AD250*配置与结果!$B$31,AD250-AE250)*AF250*AG250*AH250*AI250*AK250,0)</f>
        <v>369973</v>
      </c>
      <c r="AN250" s="7">
        <f t="shared" si="287"/>
        <v>369973</v>
      </c>
      <c r="AO250" s="7">
        <f>0</f>
        <v>0</v>
      </c>
      <c r="AP250" s="7">
        <f>MAX(0,1+INDEX(配置与结果!$J$15:$J$18,F250)+IF(T250&gt;0,方案参数!$BY$9,0)-配置与结果!$B$30)</f>
        <v>1</v>
      </c>
      <c r="AQ250" s="7">
        <f t="shared" si="288"/>
        <v>0</v>
      </c>
      <c r="AR250" s="7">
        <f t="shared" si="289"/>
        <v>0</v>
      </c>
      <c r="AS250" s="7">
        <f t="shared" si="290"/>
        <v>0</v>
      </c>
      <c r="AT250" s="7">
        <f>IF(U250&gt;0,ROUNDDOWN(AL250*方案参数!$AF$9,0)*(1-AJ250)+ROUNDDOWN(AM250*方案参数!$AF$9,0)*AJ250,0)</f>
        <v>0</v>
      </c>
      <c r="AU250" s="7">
        <f t="shared" si="291"/>
        <v>369973</v>
      </c>
      <c r="AV250" s="1">
        <f t="shared" si="292"/>
        <v>2</v>
      </c>
      <c r="AW250" s="1">
        <f t="shared" si="356"/>
        <v>10</v>
      </c>
      <c r="AX250" s="1">
        <f t="shared" si="293"/>
        <v>1</v>
      </c>
      <c r="AY250" s="1">
        <f>MIN(20,MAX(0,O250+0+1-0))</f>
        <v>5</v>
      </c>
      <c r="AZ250" s="1">
        <f t="shared" si="294"/>
        <v>5</v>
      </c>
      <c r="BA250" s="1">
        <f t="shared" si="347"/>
        <v>5</v>
      </c>
      <c r="BB250" s="1">
        <f t="shared" si="355"/>
        <v>20</v>
      </c>
      <c r="BC250" s="1">
        <f t="shared" si="353"/>
        <v>3</v>
      </c>
      <c r="BD250" s="1">
        <f t="shared" si="334"/>
        <v>0</v>
      </c>
      <c r="BE250" s="1">
        <f>MAX(0,U250-IF(AF250&gt;0,1,0))+0</f>
        <v>0</v>
      </c>
      <c r="BF250" s="1">
        <f t="shared" si="357"/>
        <v>4</v>
      </c>
      <c r="BG250" s="1">
        <f t="shared" si="344"/>
        <v>1</v>
      </c>
      <c r="BH250" s="1">
        <f t="shared" si="328"/>
        <v>1</v>
      </c>
      <c r="BI250" s="1">
        <f t="shared" si="345"/>
        <v>1</v>
      </c>
      <c r="BJ250" s="1">
        <f t="shared" si="348"/>
        <v>1</v>
      </c>
      <c r="BK250" s="1">
        <f t="shared" si="349"/>
        <v>1</v>
      </c>
      <c r="BL250" s="1">
        <f t="shared" si="354"/>
        <v>1</v>
      </c>
      <c r="BM250" s="1">
        <f t="shared" si="352"/>
        <v>1</v>
      </c>
      <c r="BN250" s="1">
        <f t="shared" si="329"/>
        <v>1</v>
      </c>
      <c r="BO250" s="1">
        <f t="shared" si="330"/>
        <v>1</v>
      </c>
    </row>
    <row r="251" spans="1:67" ht="30.95" customHeight="1">
      <c r="A251" s="1">
        <f>6</f>
        <v>6</v>
      </c>
      <c r="B251" s="1">
        <f>固定流程!A35</f>
        <v>30</v>
      </c>
      <c r="C251" s="1">
        <f>9</f>
        <v>9</v>
      </c>
      <c r="D251" s="1">
        <f>2</f>
        <v>2</v>
      </c>
      <c r="E251" s="1">
        <f>固定流程!C35</f>
        <v>3</v>
      </c>
      <c r="F251" s="1">
        <f>固定流程!G35</f>
        <v>2</v>
      </c>
      <c r="G251" s="1" t="str">
        <f>固定流程!H35</f>
        <v>37_WEAK</v>
      </c>
      <c r="H251" s="1">
        <f>固定流程!F35</f>
        <v>1</v>
      </c>
      <c r="I251" s="1">
        <f>INDEX(配置与结果!$B$15:$B$18,F251)</f>
        <v>2306</v>
      </c>
      <c r="J251" s="1">
        <f>INDEX(配置与结果!$D$15:$D$18,F251)</f>
        <v>0.46</v>
      </c>
      <c r="K251" s="1">
        <f>INDEX(配置与结果!$E$15:$E$18,F251)</f>
        <v>1.9279999999999999</v>
      </c>
      <c r="L251" s="1">
        <f t="shared" si="341"/>
        <v>2</v>
      </c>
      <c r="M251" s="1">
        <f t="shared" si="342"/>
        <v>10</v>
      </c>
      <c r="N251" s="1">
        <f t="shared" si="343"/>
        <v>1</v>
      </c>
      <c r="O251" s="1">
        <f t="shared" si="335"/>
        <v>5</v>
      </c>
      <c r="P251" s="1">
        <f>MIN(方案参数!$AI$9,AZ250+0+0)</f>
        <v>5</v>
      </c>
      <c r="Q251" s="1">
        <f t="shared" si="313"/>
        <v>5</v>
      </c>
      <c r="R251" s="1">
        <f t="shared" si="314"/>
        <v>20</v>
      </c>
      <c r="S251" s="1">
        <f t="shared" si="315"/>
        <v>3</v>
      </c>
      <c r="T251" s="1">
        <f t="shared" si="350"/>
        <v>0</v>
      </c>
      <c r="U251" s="1">
        <f t="shared" si="317"/>
        <v>0</v>
      </c>
      <c r="V251" s="1">
        <f t="shared" si="318"/>
        <v>4</v>
      </c>
      <c r="W251" s="1">
        <f t="shared" si="319"/>
        <v>1</v>
      </c>
      <c r="X251" s="1">
        <f t="shared" si="320"/>
        <v>1</v>
      </c>
      <c r="Y251" s="1">
        <f t="shared" si="321"/>
        <v>1</v>
      </c>
      <c r="Z251" s="1">
        <f t="shared" si="322"/>
        <v>1</v>
      </c>
      <c r="AA251" s="1">
        <f t="shared" si="346"/>
        <v>1</v>
      </c>
      <c r="AB251" s="1">
        <f t="shared" si="324"/>
        <v>1</v>
      </c>
      <c r="AC251" s="1">
        <f t="shared" si="351"/>
        <v>1</v>
      </c>
      <c r="AD251" s="1">
        <f>ROUNDDOWN(I251*(1+IF(F251=3,0.05+方案参数!$Y$9+AA251*0.12,IF(F251=4,方案参数!$BZ$9*方案参数!$AS$9,0)))+IF(AND(X251=1,F251&lt;&gt;3),方案参数!$CC$9,0)+AC251*方案参数!$CB$9,0)</f>
        <v>3044</v>
      </c>
      <c r="AE251" s="1">
        <f>IF(OR(F251=1,F251=4),配置与结果!$B$24,配置与结果!$B$25)*MAX(0,1-INDEX(配置与结果!$I$15:$I$18,F251))</f>
        <v>1000</v>
      </c>
      <c r="AF251" s="1">
        <f>方案参数!$CE$9</f>
        <v>8</v>
      </c>
      <c r="AG251" s="1">
        <f>MAX(配置与结果!$B$32,1+INDEX(配置与结果!$F$15:$F$18,F251)+0+Q251*方案参数!$W$9+Y251*(方案参数!$AN$9+MIN(方案参数!$AO$9,P251*0.03))+AB251*方案参数!$BZ$9*0.025-配置与结果!$B$28+方案参数!$AE$9)</f>
        <v>2.2800000000000002</v>
      </c>
      <c r="AH251" s="1">
        <f>MAX(0,1+V251*方案参数!$U$9+方案参数!$AE$9-配置与结果!$B$29)</f>
        <v>1.56</v>
      </c>
      <c r="AI251" s="1">
        <f>IF(OR(INDEX(配置与结果!$K$15:$K$18,F251)=1,G251="RHI_BERRY"),1+配置与结果!$B$33+P251*方案参数!$AH$9,1)</f>
        <v>1</v>
      </c>
      <c r="AJ251" s="1">
        <f>MIN(1,MAX(0,J251+方案参数!$AB$9-配置与结果!$B$27))</f>
        <v>0.76</v>
      </c>
      <c r="AK251" s="1">
        <f>MAX(1,K251+IF(F251=2,0.15+方案参数!$CH$9,0)+BN251*方案参数!$X$9+R251*方案参数!$AA$9+0-配置与结果!$B$26+Z251*(方案参数!$AP$9+MIN(方案参数!$AQ$9,P251*0.03)))</f>
        <v>2.3380000000000001</v>
      </c>
      <c r="AL251" s="7">
        <f>ROUNDDOWN(MAX(AD251*配置与结果!$B$31,AD251-AE251)*AF251*AG251*AH251*AI251,0)</f>
        <v>58160</v>
      </c>
      <c r="AM251" s="7">
        <f>ROUNDDOWN(MAX(AD251*配置与结果!$B$31,AD251-AE251)*AF251*AG251*AH251*AI251*AK251,0)</f>
        <v>135979</v>
      </c>
      <c r="AN251" s="7">
        <f t="shared" si="287"/>
        <v>117302.44</v>
      </c>
      <c r="AO251" s="7">
        <f>0</f>
        <v>0</v>
      </c>
      <c r="AP251" s="7">
        <f>MAX(0,1+INDEX(配置与结果!$J$15:$J$18,F251)+IF(T251&gt;0,方案参数!$BY$9,0)-配置与结果!$B$30)</f>
        <v>1</v>
      </c>
      <c r="AQ251" s="7">
        <f t="shared" si="288"/>
        <v>0</v>
      </c>
      <c r="AR251" s="7">
        <f t="shared" si="289"/>
        <v>0</v>
      </c>
      <c r="AS251" s="7">
        <f t="shared" si="290"/>
        <v>0</v>
      </c>
      <c r="AT251" s="7">
        <f>IF(U251&gt;0,ROUNDDOWN(AL251*方案参数!$AF$9,0)*(1-AJ251)+ROUNDDOWN(AM251*方案参数!$AF$9,0)*AJ251,0)</f>
        <v>0</v>
      </c>
      <c r="AU251" s="7">
        <f t="shared" si="291"/>
        <v>117302.44</v>
      </c>
      <c r="AV251" s="1">
        <f t="shared" si="292"/>
        <v>2</v>
      </c>
      <c r="AW251" s="1">
        <f t="shared" si="356"/>
        <v>10</v>
      </c>
      <c r="AX251" s="1">
        <f t="shared" si="293"/>
        <v>1</v>
      </c>
      <c r="AY251" s="1">
        <f>MIN(20,MAX(0,O251+0+0-0))</f>
        <v>5</v>
      </c>
      <c r="AZ251" s="1">
        <f t="shared" si="294"/>
        <v>5</v>
      </c>
      <c r="BA251" s="1">
        <f t="shared" si="347"/>
        <v>5</v>
      </c>
      <c r="BB251" s="1">
        <f t="shared" si="355"/>
        <v>20</v>
      </c>
      <c r="BC251" s="1">
        <f t="shared" si="353"/>
        <v>3</v>
      </c>
      <c r="BD251" s="1">
        <f t="shared" si="334"/>
        <v>0</v>
      </c>
      <c r="BE251" s="1">
        <f>MAX(0,U251-IF(AF251&gt;0,1,0))+1</f>
        <v>1</v>
      </c>
      <c r="BF251" s="1">
        <f t="shared" si="357"/>
        <v>4</v>
      </c>
      <c r="BG251" s="1">
        <f t="shared" si="344"/>
        <v>1</v>
      </c>
      <c r="BH251" s="1">
        <f t="shared" si="328"/>
        <v>1</v>
      </c>
      <c r="BI251" s="1">
        <f t="shared" si="345"/>
        <v>1</v>
      </c>
      <c r="BJ251" s="1">
        <f t="shared" si="348"/>
        <v>1</v>
      </c>
      <c r="BK251" s="1">
        <f t="shared" si="349"/>
        <v>1</v>
      </c>
      <c r="BL251" s="1">
        <f t="shared" si="354"/>
        <v>1</v>
      </c>
      <c r="BM251" s="1">
        <f t="shared" si="352"/>
        <v>1</v>
      </c>
      <c r="BN251" s="1">
        <f t="shared" si="329"/>
        <v>1</v>
      </c>
      <c r="BO251" s="1">
        <f t="shared" si="330"/>
        <v>1</v>
      </c>
    </row>
    <row r="252" spans="1:67" ht="30.95" customHeight="1">
      <c r="A252" s="1">
        <f>6</f>
        <v>6</v>
      </c>
      <c r="B252" s="1">
        <f>固定流程!A36</f>
        <v>31</v>
      </c>
      <c r="C252" s="1">
        <f>9</f>
        <v>9</v>
      </c>
      <c r="D252" s="1">
        <f>2</f>
        <v>2</v>
      </c>
      <c r="E252" s="1">
        <f>固定流程!C36</f>
        <v>3</v>
      </c>
      <c r="F252" s="1">
        <f>固定流程!G36</f>
        <v>1</v>
      </c>
      <c r="G252" s="1" t="str">
        <f>固定流程!H36</f>
        <v>LILYA_THIRD</v>
      </c>
      <c r="H252" s="1">
        <f>固定流程!F36</f>
        <v>1</v>
      </c>
      <c r="I252" s="1">
        <f>INDEX(配置与结果!$B$15:$B$18,F252)</f>
        <v>2296</v>
      </c>
      <c r="J252" s="1">
        <f>INDEX(配置与结果!$D$15:$D$18,F252)</f>
        <v>0.7</v>
      </c>
      <c r="K252" s="1">
        <f>INDEX(配置与结果!$E$15:$E$18,F252)</f>
        <v>2.0249999999999999</v>
      </c>
      <c r="L252" s="1">
        <f t="shared" si="341"/>
        <v>2</v>
      </c>
      <c r="M252" s="1">
        <f t="shared" si="342"/>
        <v>10</v>
      </c>
      <c r="N252" s="1">
        <f t="shared" si="343"/>
        <v>1</v>
      </c>
      <c r="O252" s="1">
        <f t="shared" si="335"/>
        <v>5</v>
      </c>
      <c r="P252" s="1">
        <f>MIN(方案参数!$AI$9,AZ251+0+0)</f>
        <v>5</v>
      </c>
      <c r="Q252" s="1">
        <f t="shared" si="313"/>
        <v>5</v>
      </c>
      <c r="R252" s="1">
        <f t="shared" si="314"/>
        <v>20</v>
      </c>
      <c r="S252" s="1">
        <f t="shared" si="315"/>
        <v>3</v>
      </c>
      <c r="T252" s="1">
        <f t="shared" si="350"/>
        <v>0</v>
      </c>
      <c r="U252" s="1">
        <f t="shared" si="317"/>
        <v>1</v>
      </c>
      <c r="V252" s="1">
        <f t="shared" si="318"/>
        <v>4</v>
      </c>
      <c r="W252" s="1">
        <f t="shared" si="319"/>
        <v>1</v>
      </c>
      <c r="X252" s="1">
        <f t="shared" si="320"/>
        <v>1</v>
      </c>
      <c r="Y252" s="1">
        <f t="shared" si="321"/>
        <v>1</v>
      </c>
      <c r="Z252" s="1">
        <f t="shared" si="322"/>
        <v>1</v>
      </c>
      <c r="AA252" s="1">
        <f t="shared" si="346"/>
        <v>1</v>
      </c>
      <c r="AB252" s="1">
        <f t="shared" si="324"/>
        <v>1</v>
      </c>
      <c r="AC252" s="1">
        <f t="shared" si="351"/>
        <v>1</v>
      </c>
      <c r="AD252" s="1">
        <f>ROUNDDOWN(I252*(1+IF(F252=3,0.05+方案参数!$Y$9+AA252*0.12,IF(F252=4,方案参数!$BZ$9*方案参数!$AS$9,0)))+IF(AND(X252=1,F252&lt;&gt;3),方案参数!$CC$9,0)+AC252*方案参数!$CB$9,0)</f>
        <v>3034</v>
      </c>
      <c r="AE252" s="1">
        <f>IF(OR(F252=1,F252=4),配置与结果!$B$24,配置与结果!$B$25)*MAX(0,1-INDEX(配置与结果!$I$15:$I$18,F252))</f>
        <v>1200</v>
      </c>
      <c r="AF252" s="1">
        <f>方案参数!$BM$9</f>
        <v>32</v>
      </c>
      <c r="AG252" s="1">
        <f>MAX(配置与结果!$B$32,1+INDEX(配置与结果!$F$15:$F$18,F252)+0.08+方案参数!$CD$9+Q252*方案参数!$W$9+Y252*(方案参数!$AN$9+MIN(方案参数!$AO$9,P252*0.03))+AB252*方案参数!$BZ$9*0.025-配置与结果!$B$28+方案参数!$AE$9)</f>
        <v>2.6150000000000002</v>
      </c>
      <c r="AH252" s="1">
        <f>MAX(0,1+V252*方案参数!$U$9+7*方案参数!$V$9+方案参数!$AE$9-配置与结果!$B$29)</f>
        <v>1.98</v>
      </c>
      <c r="AI252" s="1">
        <f>IF(OR(INDEX(配置与结果!$K$15:$K$18,F252)=1,G252="RHI_BERRY"),1+配置与结果!$B$33+P252*方案参数!$AH$9,1)</f>
        <v>1</v>
      </c>
      <c r="AJ252" s="1">
        <f>MIN(1,MAX(0,J252+方案参数!$AB$9-配置与结果!$B$27))</f>
        <v>1</v>
      </c>
      <c r="AK252" s="1">
        <f>MAX(1,K252+IF(F252=2,0.15+方案参数!$CH$9,0)+BN252*方案参数!$X$9+R252*方案参数!$AA$9+方案参数!$BQ$9-配置与结果!$B$26+Z252*(方案参数!$AP$9+MIN(方案参数!$AQ$9,P252*0.03)))</f>
        <v>2.9650000000000003</v>
      </c>
      <c r="AL252" s="7">
        <f>ROUNDDOWN(MAX(AD252*配置与结果!$B$31,AD252-AE252)*AF252*AG252*AH252*AI252,0)</f>
        <v>303868</v>
      </c>
      <c r="AM252" s="7">
        <f>ROUNDDOWN(MAX(AD252*配置与结果!$B$31,AD252-AE252)*AF252*AG252*AH252*AI252*AK252,0)</f>
        <v>900971</v>
      </c>
      <c r="AN252" s="7">
        <f t="shared" si="287"/>
        <v>900971</v>
      </c>
      <c r="AO252" s="7">
        <f>0</f>
        <v>0</v>
      </c>
      <c r="AP252" s="7">
        <f>MAX(0,1+INDEX(配置与结果!$J$15:$J$18,F252)+IF(T252&gt;0,方案参数!$BY$9,0)-配置与结果!$B$30)</f>
        <v>1</v>
      </c>
      <c r="AQ252" s="7">
        <f t="shared" si="288"/>
        <v>0</v>
      </c>
      <c r="AR252" s="7">
        <f t="shared" si="289"/>
        <v>0</v>
      </c>
      <c r="AS252" s="7">
        <f t="shared" si="290"/>
        <v>0</v>
      </c>
      <c r="AT252" s="7">
        <f>IF(U252&gt;0,ROUNDDOWN(AL252*方案参数!$AF$9,0)*(1-AJ252)+ROUNDDOWN(AM252*方案参数!$AF$9,0)*AJ252,0)</f>
        <v>360388</v>
      </c>
      <c r="AU252" s="7">
        <f t="shared" si="291"/>
        <v>1261359</v>
      </c>
      <c r="AV252" s="1">
        <f t="shared" si="292"/>
        <v>2</v>
      </c>
      <c r="AW252" s="1">
        <f t="shared" si="356"/>
        <v>10</v>
      </c>
      <c r="AX252" s="1">
        <f t="shared" si="293"/>
        <v>1</v>
      </c>
      <c r="AY252" s="1">
        <f>MIN(20,MAX(0,O252+0+1-0))</f>
        <v>6</v>
      </c>
      <c r="AZ252" s="1">
        <f t="shared" si="294"/>
        <v>5</v>
      </c>
      <c r="BA252" s="1">
        <f t="shared" si="347"/>
        <v>5</v>
      </c>
      <c r="BB252" s="1">
        <f t="shared" si="355"/>
        <v>20</v>
      </c>
      <c r="BC252" s="1">
        <f t="shared" si="353"/>
        <v>3</v>
      </c>
      <c r="BD252" s="1">
        <f t="shared" si="334"/>
        <v>0</v>
      </c>
      <c r="BE252" s="1">
        <f>MAX(0,U252-IF(AF252&gt;0,1,0))+0</f>
        <v>0</v>
      </c>
      <c r="BF252" s="1">
        <f t="shared" si="357"/>
        <v>4</v>
      </c>
      <c r="BG252" s="1">
        <f t="shared" si="344"/>
        <v>1</v>
      </c>
      <c r="BH252" s="1">
        <f t="shared" si="328"/>
        <v>1</v>
      </c>
      <c r="BI252" s="1">
        <f t="shared" si="345"/>
        <v>1</v>
      </c>
      <c r="BJ252" s="1">
        <f t="shared" si="348"/>
        <v>1</v>
      </c>
      <c r="BK252" s="1">
        <f t="shared" si="349"/>
        <v>1</v>
      </c>
      <c r="BL252" s="1">
        <f t="shared" si="354"/>
        <v>1</v>
      </c>
      <c r="BM252" s="1">
        <f t="shared" si="352"/>
        <v>1</v>
      </c>
      <c r="BN252" s="1">
        <f t="shared" si="329"/>
        <v>1</v>
      </c>
      <c r="BO252" s="1">
        <f t="shared" si="330"/>
        <v>1</v>
      </c>
    </row>
    <row r="253" spans="1:67" ht="30.95" customHeight="1">
      <c r="A253" s="1">
        <f>6</f>
        <v>6</v>
      </c>
      <c r="B253" s="1">
        <f>固定流程!A37</f>
        <v>32</v>
      </c>
      <c r="C253" s="1">
        <f>9</f>
        <v>9</v>
      </c>
      <c r="D253" s="1">
        <f>2</f>
        <v>2</v>
      </c>
      <c r="E253" s="1">
        <f>固定流程!C37</f>
        <v>3</v>
      </c>
      <c r="F253" s="1">
        <f>固定流程!G37</f>
        <v>1</v>
      </c>
      <c r="G253" s="1" t="str">
        <f>固定流程!H37</f>
        <v>LILYA_WEAK</v>
      </c>
      <c r="H253" s="1">
        <f>固定流程!F37</f>
        <v>1</v>
      </c>
      <c r="I253" s="1">
        <f>INDEX(配置与结果!$B$15:$B$18,F253)</f>
        <v>2296</v>
      </c>
      <c r="J253" s="1">
        <f>INDEX(配置与结果!$D$15:$D$18,F253)</f>
        <v>0.7</v>
      </c>
      <c r="K253" s="1">
        <f>INDEX(配置与结果!$E$15:$E$18,F253)</f>
        <v>2.0249999999999999</v>
      </c>
      <c r="L253" s="1">
        <f t="shared" si="341"/>
        <v>2</v>
      </c>
      <c r="M253" s="1">
        <f t="shared" si="342"/>
        <v>10</v>
      </c>
      <c r="N253" s="1">
        <f t="shared" si="343"/>
        <v>1</v>
      </c>
      <c r="O253" s="1">
        <f t="shared" si="335"/>
        <v>6</v>
      </c>
      <c r="P253" s="1">
        <f>MIN(方案参数!$AI$9,AZ252+0+0)</f>
        <v>5</v>
      </c>
      <c r="Q253" s="1">
        <f t="shared" si="313"/>
        <v>5</v>
      </c>
      <c r="R253" s="1">
        <f t="shared" si="314"/>
        <v>20</v>
      </c>
      <c r="S253" s="1">
        <f t="shared" si="315"/>
        <v>3</v>
      </c>
      <c r="T253" s="1">
        <f t="shared" si="350"/>
        <v>0</v>
      </c>
      <c r="U253" s="1">
        <f t="shared" si="317"/>
        <v>0</v>
      </c>
      <c r="V253" s="1">
        <f t="shared" si="318"/>
        <v>4</v>
      </c>
      <c r="W253" s="1">
        <f t="shared" si="319"/>
        <v>1</v>
      </c>
      <c r="X253" s="1">
        <f t="shared" si="320"/>
        <v>1</v>
      </c>
      <c r="Y253" s="1">
        <f t="shared" si="321"/>
        <v>1</v>
      </c>
      <c r="Z253" s="1">
        <f t="shared" si="322"/>
        <v>1</v>
      </c>
      <c r="AA253" s="1">
        <f t="shared" si="346"/>
        <v>1</v>
      </c>
      <c r="AB253" s="1">
        <f t="shared" si="324"/>
        <v>1</v>
      </c>
      <c r="AC253" s="1">
        <f t="shared" si="351"/>
        <v>1</v>
      </c>
      <c r="AD253" s="1">
        <f>ROUNDDOWN(I253*(1+IF(F253=3,0.05+方案参数!$Y$9+AA253*0.12,IF(F253=4,方案参数!$BZ$9*方案参数!$AS$9,0)))+IF(AND(X253=1,F253&lt;&gt;3),方案参数!$CC$9,0)+AC253*方案参数!$CB$9,0)</f>
        <v>3034</v>
      </c>
      <c r="AE253" s="1">
        <f>IF(OR(F253=1,F253=4),配置与结果!$B$24,配置与结果!$B$25)*MAX(0,1-INDEX(配置与结果!$I$15:$I$18,F253))</f>
        <v>1200</v>
      </c>
      <c r="AF253" s="1">
        <f>方案参数!$BL$9</f>
        <v>15</v>
      </c>
      <c r="AG253" s="1">
        <f>MAX(配置与结果!$B$32,1+INDEX(配置与结果!$F$15:$F$18,F253)+0.08+方案参数!$CD$9+Q253*方案参数!$W$9+Y253*(方案参数!$AN$9+MIN(方案参数!$AO$9,P253*0.03))+AB253*方案参数!$BZ$9*0.025-配置与结果!$B$28+方案参数!$AE$9)</f>
        <v>2.6150000000000002</v>
      </c>
      <c r="AH253" s="1">
        <f>MAX(0,1+V253*方案参数!$U$9+8*方案参数!$V$9+方案参数!$AE$9-配置与结果!$B$29)</f>
        <v>2.04</v>
      </c>
      <c r="AI253" s="1">
        <f>IF(OR(INDEX(配置与结果!$K$15:$K$18,F253)=1,G253="RHI_BERRY"),1+配置与结果!$B$33+P253*方案参数!$AH$9,1)</f>
        <v>1</v>
      </c>
      <c r="AJ253" s="1">
        <f>MIN(1,MAX(0,J253+方案参数!$AB$9-配置与结果!$B$27))</f>
        <v>1</v>
      </c>
      <c r="AK253" s="1">
        <f>MAX(1,K253+IF(F253=2,0.15+方案参数!$CH$9,0)+BN253*方案参数!$X$9+R253*方案参数!$AA$9+方案参数!$BP$9-配置与结果!$B$26+Z253*(方案参数!$AP$9+MIN(方案参数!$AQ$9,P253*0.03)))</f>
        <v>2.7650000000000001</v>
      </c>
      <c r="AL253" s="7">
        <f>ROUNDDOWN(MAX(AD253*配置与结果!$B$31,AD253-AE253)*AF253*AG253*AH253*AI253,0)</f>
        <v>146754</v>
      </c>
      <c r="AM253" s="7">
        <f>ROUNDDOWN(MAX(AD253*配置与结果!$B$31,AD253-AE253)*AF253*AG253*AH253*AI253*AK253,0)</f>
        <v>405777</v>
      </c>
      <c r="AN253" s="7">
        <f t="shared" si="287"/>
        <v>405777</v>
      </c>
      <c r="AO253" s="7">
        <f>0</f>
        <v>0</v>
      </c>
      <c r="AP253" s="7">
        <f>MAX(0,1+INDEX(配置与结果!$J$15:$J$18,F253)+IF(T253&gt;0,方案参数!$BY$9,0)-配置与结果!$B$30)</f>
        <v>1</v>
      </c>
      <c r="AQ253" s="7">
        <f t="shared" si="288"/>
        <v>0</v>
      </c>
      <c r="AR253" s="7">
        <f t="shared" si="289"/>
        <v>0</v>
      </c>
      <c r="AS253" s="7">
        <f t="shared" si="290"/>
        <v>0</v>
      </c>
      <c r="AT253" s="7">
        <f>IF(U253&gt;0,ROUNDDOWN(AL253*方案参数!$AF$9,0)*(1-AJ253)+ROUNDDOWN(AM253*方案参数!$AF$9,0)*AJ253,0)</f>
        <v>0</v>
      </c>
      <c r="AU253" s="7">
        <f t="shared" si="291"/>
        <v>405777</v>
      </c>
      <c r="AV253" s="1">
        <f t="shared" si="292"/>
        <v>2</v>
      </c>
      <c r="AW253" s="1">
        <f t="shared" si="356"/>
        <v>10</v>
      </c>
      <c r="AX253" s="1">
        <f t="shared" si="293"/>
        <v>1</v>
      </c>
      <c r="AY253" s="1">
        <f>MIN(20,MAX(0,O253+0+1-0))</f>
        <v>7</v>
      </c>
      <c r="AZ253" s="1">
        <f t="shared" si="294"/>
        <v>5</v>
      </c>
      <c r="BA253" s="1">
        <f t="shared" si="347"/>
        <v>5</v>
      </c>
      <c r="BB253" s="1">
        <f t="shared" si="355"/>
        <v>20</v>
      </c>
      <c r="BC253" s="1">
        <f t="shared" si="353"/>
        <v>3</v>
      </c>
      <c r="BD253" s="1">
        <f t="shared" si="334"/>
        <v>0</v>
      </c>
      <c r="BE253" s="1">
        <f>MAX(0,U253-IF(AF253&gt;0,1,0))+0</f>
        <v>0</v>
      </c>
      <c r="BF253" s="1">
        <f t="shared" si="357"/>
        <v>4</v>
      </c>
      <c r="BG253" s="1">
        <f t="shared" si="344"/>
        <v>1</v>
      </c>
      <c r="BH253" s="1">
        <f t="shared" si="328"/>
        <v>1</v>
      </c>
      <c r="BI253" s="1">
        <f t="shared" si="345"/>
        <v>1</v>
      </c>
      <c r="BJ253" s="1">
        <f t="shared" si="348"/>
        <v>1</v>
      </c>
      <c r="BK253" s="1">
        <f t="shared" si="349"/>
        <v>1</v>
      </c>
      <c r="BL253" s="1">
        <f t="shared" si="354"/>
        <v>1</v>
      </c>
      <c r="BM253" s="1">
        <f t="shared" si="352"/>
        <v>1</v>
      </c>
      <c r="BN253" s="1">
        <f t="shared" si="329"/>
        <v>1</v>
      </c>
      <c r="BO253" s="1">
        <f t="shared" si="330"/>
        <v>1</v>
      </c>
    </row>
    <row r="254" spans="1:67" ht="30.95" customHeight="1">
      <c r="A254" s="1">
        <f>6</f>
        <v>6</v>
      </c>
      <c r="B254" s="1">
        <f>固定流程!A38</f>
        <v>33</v>
      </c>
      <c r="C254" s="1">
        <f>9</f>
        <v>9</v>
      </c>
      <c r="D254" s="1">
        <f>2</f>
        <v>2</v>
      </c>
      <c r="E254" s="1">
        <f>固定流程!C38</f>
        <v>3</v>
      </c>
      <c r="F254" s="1">
        <f>固定流程!G38</f>
        <v>1</v>
      </c>
      <c r="G254" s="1" t="str">
        <f>固定流程!H38</f>
        <v>LILYA_WEAK</v>
      </c>
      <c r="H254" s="1">
        <f>固定流程!F38</f>
        <v>1</v>
      </c>
      <c r="I254" s="1">
        <f>INDEX(配置与结果!$B$15:$B$18,F254)</f>
        <v>2296</v>
      </c>
      <c r="J254" s="1">
        <f>INDEX(配置与结果!$D$15:$D$18,F254)</f>
        <v>0.7</v>
      </c>
      <c r="K254" s="1">
        <f>INDEX(配置与结果!$E$15:$E$18,F254)</f>
        <v>2.0249999999999999</v>
      </c>
      <c r="L254" s="1">
        <f t="shared" si="341"/>
        <v>2</v>
      </c>
      <c r="M254" s="1">
        <f t="shared" si="342"/>
        <v>10</v>
      </c>
      <c r="N254" s="1">
        <f t="shared" si="343"/>
        <v>1</v>
      </c>
      <c r="O254" s="1">
        <f t="shared" si="335"/>
        <v>7</v>
      </c>
      <c r="P254" s="1">
        <f>MIN(方案参数!$AI$9,AZ253+0+0)</f>
        <v>5</v>
      </c>
      <c r="Q254" s="1">
        <f t="shared" si="313"/>
        <v>5</v>
      </c>
      <c r="R254" s="1">
        <f t="shared" si="314"/>
        <v>20</v>
      </c>
      <c r="S254" s="1">
        <f t="shared" si="315"/>
        <v>3</v>
      </c>
      <c r="T254" s="1">
        <f t="shared" si="350"/>
        <v>0</v>
      </c>
      <c r="U254" s="1">
        <f t="shared" si="317"/>
        <v>0</v>
      </c>
      <c r="V254" s="1">
        <f t="shared" si="318"/>
        <v>4</v>
      </c>
      <c r="W254" s="1">
        <f t="shared" si="319"/>
        <v>1</v>
      </c>
      <c r="X254" s="1">
        <f t="shared" si="320"/>
        <v>1</v>
      </c>
      <c r="Y254" s="1">
        <f t="shared" si="321"/>
        <v>1</v>
      </c>
      <c r="Z254" s="1">
        <f t="shared" si="322"/>
        <v>1</v>
      </c>
      <c r="AA254" s="1">
        <f t="shared" si="346"/>
        <v>1</v>
      </c>
      <c r="AB254" s="1">
        <f t="shared" si="324"/>
        <v>1</v>
      </c>
      <c r="AC254" s="1">
        <f t="shared" si="351"/>
        <v>1</v>
      </c>
      <c r="AD254" s="1">
        <f>ROUNDDOWN(I254*(1+IF(F254=3,0.05+方案参数!$Y$9+AA254*0.12,IF(F254=4,方案参数!$BZ$9*方案参数!$AS$9,0)))+IF(AND(X254=1,F254&lt;&gt;3),方案参数!$CC$9,0)+AC254*方案参数!$CB$9,0)</f>
        <v>3034</v>
      </c>
      <c r="AE254" s="1">
        <f>IF(OR(F254=1,F254=4),配置与结果!$B$24,配置与结果!$B$25)*MAX(0,1-INDEX(配置与结果!$I$15:$I$18,F254))</f>
        <v>1200</v>
      </c>
      <c r="AF254" s="1">
        <f>方案参数!$BL$9</f>
        <v>15</v>
      </c>
      <c r="AG254" s="1">
        <f>MAX(配置与结果!$B$32,1+INDEX(配置与结果!$F$15:$F$18,F254)+0.08+方案参数!$CD$9+Q254*方案参数!$W$9+Y254*(方案参数!$AN$9+MIN(方案参数!$AO$9,P254*0.03))+AB254*方案参数!$BZ$9*0.025-配置与结果!$B$28+方案参数!$AE$9)</f>
        <v>2.6150000000000002</v>
      </c>
      <c r="AH254" s="1">
        <f>MAX(0,1+V254*方案参数!$U$9+9*方案参数!$V$9+方案参数!$AE$9-配置与结果!$B$29)</f>
        <v>2.1</v>
      </c>
      <c r="AI254" s="1">
        <f>IF(OR(INDEX(配置与结果!$K$15:$K$18,F254)=1,G254="RHI_BERRY"),1+配置与结果!$B$33+P254*方案参数!$AH$9,1)</f>
        <v>1</v>
      </c>
      <c r="AJ254" s="1">
        <f>MIN(1,MAX(0,J254+方案参数!$AB$9-配置与结果!$B$27))</f>
        <v>1</v>
      </c>
      <c r="AK254" s="1">
        <f>MAX(1,K254+IF(F254=2,0.15+方案参数!$CH$9,0)+BN254*方案参数!$X$9+R254*方案参数!$AA$9+方案参数!$BP$9-配置与结果!$B$26+Z254*(方案参数!$AP$9+MIN(方案参数!$AQ$9,P254*0.03)))</f>
        <v>2.7650000000000001</v>
      </c>
      <c r="AL254" s="7">
        <f>ROUNDDOWN(MAX(AD254*配置与结果!$B$31,AD254-AE254)*AF254*AG254*AH254*AI254,0)</f>
        <v>151071</v>
      </c>
      <c r="AM254" s="7">
        <f>ROUNDDOWN(MAX(AD254*配置与结果!$B$31,AD254-AE254)*AF254*AG254*AH254*AI254*AK254,0)</f>
        <v>417711</v>
      </c>
      <c r="AN254" s="7">
        <f t="shared" si="287"/>
        <v>417711</v>
      </c>
      <c r="AO254" s="7">
        <f>0</f>
        <v>0</v>
      </c>
      <c r="AP254" s="7">
        <f>MAX(0,1+INDEX(配置与结果!$J$15:$J$18,F254)+IF(T254&gt;0,方案参数!$BY$9,0)-配置与结果!$B$30)</f>
        <v>1</v>
      </c>
      <c r="AQ254" s="7">
        <f t="shared" si="288"/>
        <v>0</v>
      </c>
      <c r="AR254" s="7">
        <f t="shared" si="289"/>
        <v>0</v>
      </c>
      <c r="AS254" s="7">
        <f t="shared" si="290"/>
        <v>0</v>
      </c>
      <c r="AT254" s="7">
        <f>IF(U254&gt;0,ROUNDDOWN(AL254*方案参数!$AF$9,0)*(1-AJ254)+ROUNDDOWN(AM254*方案参数!$AF$9,0)*AJ254,0)</f>
        <v>0</v>
      </c>
      <c r="AU254" s="7">
        <f t="shared" si="291"/>
        <v>417711</v>
      </c>
      <c r="AV254" s="1">
        <f t="shared" si="292"/>
        <v>2</v>
      </c>
      <c r="AW254" s="1">
        <f t="shared" si="356"/>
        <v>10</v>
      </c>
      <c r="AX254" s="1">
        <f t="shared" si="293"/>
        <v>1</v>
      </c>
      <c r="AY254" s="1">
        <f>MIN(20,MAX(0,O254+0+1-0))</f>
        <v>8</v>
      </c>
      <c r="AZ254" s="1">
        <f t="shared" si="294"/>
        <v>5</v>
      </c>
      <c r="BA254" s="1">
        <f t="shared" si="347"/>
        <v>5</v>
      </c>
      <c r="BB254" s="1">
        <f t="shared" si="355"/>
        <v>20</v>
      </c>
      <c r="BC254" s="1">
        <f t="shared" si="353"/>
        <v>3</v>
      </c>
      <c r="BD254" s="1">
        <f t="shared" si="334"/>
        <v>0</v>
      </c>
      <c r="BE254" s="1">
        <f>MAX(0,U254-IF(AF254&gt;0,1,0))+0</f>
        <v>0</v>
      </c>
      <c r="BF254" s="1">
        <f t="shared" si="357"/>
        <v>4</v>
      </c>
      <c r="BG254" s="1">
        <f t="shared" si="344"/>
        <v>1</v>
      </c>
      <c r="BH254" s="1">
        <f t="shared" si="328"/>
        <v>1</v>
      </c>
      <c r="BI254" s="1">
        <f t="shared" si="345"/>
        <v>1</v>
      </c>
      <c r="BJ254" s="1">
        <f t="shared" si="348"/>
        <v>1</v>
      </c>
      <c r="BK254" s="1">
        <f t="shared" si="349"/>
        <v>1</v>
      </c>
      <c r="BL254" s="1">
        <f t="shared" si="354"/>
        <v>1</v>
      </c>
      <c r="BM254" s="1">
        <f t="shared" si="352"/>
        <v>1</v>
      </c>
      <c r="BN254" s="1">
        <f t="shared" si="329"/>
        <v>1</v>
      </c>
      <c r="BO254" s="1">
        <f t="shared" si="330"/>
        <v>1</v>
      </c>
    </row>
    <row r="255" spans="1:67" ht="30.95" customHeight="1">
      <c r="A255" s="1">
        <f>6</f>
        <v>6</v>
      </c>
      <c r="B255" s="1">
        <f>固定流程!A39</f>
        <v>34</v>
      </c>
      <c r="C255" s="1">
        <f>9</f>
        <v>9</v>
      </c>
      <c r="D255" s="1">
        <f>2</f>
        <v>2</v>
      </c>
      <c r="E255" s="1">
        <f>固定流程!C39</f>
        <v>3</v>
      </c>
      <c r="F255" s="1">
        <f>固定流程!G39</f>
        <v>2</v>
      </c>
      <c r="G255" s="1" t="str">
        <f>固定流程!H39</f>
        <v>37_WEAK</v>
      </c>
      <c r="H255" s="1">
        <f>固定流程!F39</f>
        <v>1</v>
      </c>
      <c r="I255" s="1">
        <f>INDEX(配置与结果!$B$15:$B$18,F255)</f>
        <v>2306</v>
      </c>
      <c r="J255" s="1">
        <f>INDEX(配置与结果!$D$15:$D$18,F255)</f>
        <v>0.46</v>
      </c>
      <c r="K255" s="1">
        <f>INDEX(配置与结果!$E$15:$E$18,F255)</f>
        <v>1.9279999999999999</v>
      </c>
      <c r="L255" s="1">
        <f t="shared" si="341"/>
        <v>2</v>
      </c>
      <c r="M255" s="1">
        <f t="shared" si="342"/>
        <v>10</v>
      </c>
      <c r="N255" s="1">
        <f t="shared" si="343"/>
        <v>1</v>
      </c>
      <c r="O255" s="1">
        <f t="shared" si="335"/>
        <v>8</v>
      </c>
      <c r="P255" s="1">
        <f>MIN(方案参数!$AI$9,AZ254+0+0)</f>
        <v>5</v>
      </c>
      <c r="Q255" s="1">
        <f t="shared" si="313"/>
        <v>5</v>
      </c>
      <c r="R255" s="1">
        <f t="shared" si="314"/>
        <v>20</v>
      </c>
      <c r="S255" s="1">
        <f t="shared" si="315"/>
        <v>3</v>
      </c>
      <c r="T255" s="1">
        <f t="shared" si="350"/>
        <v>0</v>
      </c>
      <c r="U255" s="1">
        <f t="shared" si="317"/>
        <v>0</v>
      </c>
      <c r="V255" s="1">
        <f t="shared" si="318"/>
        <v>4</v>
      </c>
      <c r="W255" s="1">
        <f t="shared" si="319"/>
        <v>1</v>
      </c>
      <c r="X255" s="1">
        <f t="shared" si="320"/>
        <v>1</v>
      </c>
      <c r="Y255" s="1">
        <f t="shared" si="321"/>
        <v>1</v>
      </c>
      <c r="Z255" s="1">
        <f t="shared" si="322"/>
        <v>1</v>
      </c>
      <c r="AA255" s="1">
        <f t="shared" si="346"/>
        <v>1</v>
      </c>
      <c r="AB255" s="1">
        <f t="shared" si="324"/>
        <v>1</v>
      </c>
      <c r="AC255" s="1">
        <f t="shared" si="351"/>
        <v>1</v>
      </c>
      <c r="AD255" s="1">
        <f>ROUNDDOWN(I255*(1+IF(F255=3,0.05+方案参数!$Y$9+AA255*0.12,IF(F255=4,方案参数!$BZ$9*方案参数!$AS$9,0)))+IF(AND(X255=1,F255&lt;&gt;3),方案参数!$CC$9,0)+AC255*方案参数!$CB$9,0)</f>
        <v>3044</v>
      </c>
      <c r="AE255" s="1">
        <f>IF(OR(F255=1,F255=4),配置与结果!$B$24,配置与结果!$B$25)*MAX(0,1-INDEX(配置与结果!$I$15:$I$18,F255))</f>
        <v>1000</v>
      </c>
      <c r="AF255" s="1">
        <f>方案参数!$CE$9</f>
        <v>8</v>
      </c>
      <c r="AG255" s="1">
        <f>MAX(配置与结果!$B$32,1+INDEX(配置与结果!$F$15:$F$18,F255)+0+Q255*方案参数!$W$9+Y255*(方案参数!$AN$9+MIN(方案参数!$AO$9,P255*0.03))+AB255*方案参数!$BZ$9*0.025-配置与结果!$B$28+方案参数!$AE$9)</f>
        <v>2.2800000000000002</v>
      </c>
      <c r="AH255" s="1">
        <f>MAX(0,1+V255*方案参数!$U$9+方案参数!$AE$9-配置与结果!$B$29)</f>
        <v>1.56</v>
      </c>
      <c r="AI255" s="1">
        <f>IF(OR(INDEX(配置与结果!$K$15:$K$18,F255)=1,G255="RHI_BERRY"),1+配置与结果!$B$33+P255*方案参数!$AH$9,1)</f>
        <v>1</v>
      </c>
      <c r="AJ255" s="1">
        <f>MIN(1,MAX(0,J255+方案参数!$AB$9-配置与结果!$B$27))</f>
        <v>0.76</v>
      </c>
      <c r="AK255" s="1">
        <f>MAX(1,K255+IF(F255=2,0.15+方案参数!$CH$9,0)+BN255*方案参数!$X$9+R255*方案参数!$AA$9+0-配置与结果!$B$26+Z255*(方案参数!$AP$9+MIN(方案参数!$AQ$9,P255*0.03)))</f>
        <v>2.3380000000000001</v>
      </c>
      <c r="AL255" s="7">
        <f>ROUNDDOWN(MAX(AD255*配置与结果!$B$31,AD255-AE255)*AF255*AG255*AH255*AI255,0)</f>
        <v>58160</v>
      </c>
      <c r="AM255" s="7">
        <f>ROUNDDOWN(MAX(AD255*配置与结果!$B$31,AD255-AE255)*AF255*AG255*AH255*AI255*AK255,0)</f>
        <v>135979</v>
      </c>
      <c r="AN255" s="7">
        <f t="shared" si="287"/>
        <v>117302.44</v>
      </c>
      <c r="AO255" s="7">
        <f>0</f>
        <v>0</v>
      </c>
      <c r="AP255" s="7">
        <f>MAX(0,1+INDEX(配置与结果!$J$15:$J$18,F255)+IF(T255&gt;0,方案参数!$BY$9,0)-配置与结果!$B$30)</f>
        <v>1</v>
      </c>
      <c r="AQ255" s="7">
        <f t="shared" si="288"/>
        <v>0</v>
      </c>
      <c r="AR255" s="7">
        <f t="shared" si="289"/>
        <v>0</v>
      </c>
      <c r="AS255" s="7">
        <f t="shared" si="290"/>
        <v>0</v>
      </c>
      <c r="AT255" s="7">
        <f>IF(U255&gt;0,ROUNDDOWN(AL255*方案参数!$AF$9,0)*(1-AJ255)+ROUNDDOWN(AM255*方案参数!$AF$9,0)*AJ255,0)</f>
        <v>0</v>
      </c>
      <c r="AU255" s="7">
        <f t="shared" si="291"/>
        <v>117302.44</v>
      </c>
      <c r="AV255" s="1">
        <f t="shared" si="292"/>
        <v>2</v>
      </c>
      <c r="AW255" s="1">
        <f t="shared" si="356"/>
        <v>10</v>
      </c>
      <c r="AX255" s="1">
        <f t="shared" si="293"/>
        <v>1</v>
      </c>
      <c r="AY255" s="1">
        <f>MIN(20,MAX(0,O255+0+0-0))</f>
        <v>8</v>
      </c>
      <c r="AZ255" s="1">
        <f t="shared" si="294"/>
        <v>5</v>
      </c>
      <c r="BA255" s="1">
        <f t="shared" si="347"/>
        <v>5</v>
      </c>
      <c r="BB255" s="1">
        <f t="shared" si="355"/>
        <v>20</v>
      </c>
      <c r="BC255" s="1">
        <f t="shared" si="353"/>
        <v>3</v>
      </c>
      <c r="BD255" s="1">
        <f t="shared" si="334"/>
        <v>0</v>
      </c>
      <c r="BE255" s="1">
        <f>MAX(0,U255-IF(AF255&gt;0,1,0))+1</f>
        <v>1</v>
      </c>
      <c r="BF255" s="1">
        <f t="shared" si="357"/>
        <v>4</v>
      </c>
      <c r="BG255" s="1">
        <f t="shared" si="344"/>
        <v>1</v>
      </c>
      <c r="BH255" s="1">
        <f t="shared" si="328"/>
        <v>1</v>
      </c>
      <c r="BI255" s="1">
        <f t="shared" si="345"/>
        <v>1</v>
      </c>
      <c r="BJ255" s="1">
        <f t="shared" si="348"/>
        <v>1</v>
      </c>
      <c r="BK255" s="1">
        <f t="shared" si="349"/>
        <v>1</v>
      </c>
      <c r="BL255" s="1">
        <f t="shared" si="354"/>
        <v>1</v>
      </c>
      <c r="BM255" s="1">
        <f t="shared" si="352"/>
        <v>1</v>
      </c>
      <c r="BN255" s="1">
        <f t="shared" si="329"/>
        <v>1</v>
      </c>
      <c r="BO255" s="1">
        <f t="shared" si="330"/>
        <v>1</v>
      </c>
    </row>
    <row r="256" spans="1:67" ht="30.95" customHeight="1">
      <c r="A256" s="1">
        <f>6</f>
        <v>6</v>
      </c>
      <c r="B256" s="1">
        <f>固定流程!A40</f>
        <v>35</v>
      </c>
      <c r="C256" s="1">
        <f>9</f>
        <v>9</v>
      </c>
      <c r="D256" s="1">
        <f>2</f>
        <v>2</v>
      </c>
      <c r="E256" s="1">
        <f>固定流程!C40</f>
        <v>3</v>
      </c>
      <c r="F256" s="1">
        <f>固定流程!G40</f>
        <v>2</v>
      </c>
      <c r="G256" s="1" t="str">
        <f>固定流程!H40</f>
        <v>37_WEAK</v>
      </c>
      <c r="H256" s="1">
        <f>固定流程!F40</f>
        <v>1</v>
      </c>
      <c r="I256" s="1">
        <f>INDEX(配置与结果!$B$15:$B$18,F256)</f>
        <v>2306</v>
      </c>
      <c r="J256" s="1">
        <f>INDEX(配置与结果!$D$15:$D$18,F256)</f>
        <v>0.46</v>
      </c>
      <c r="K256" s="1">
        <f>INDEX(配置与结果!$E$15:$E$18,F256)</f>
        <v>1.9279999999999999</v>
      </c>
      <c r="L256" s="1">
        <f t="shared" si="341"/>
        <v>2</v>
      </c>
      <c r="M256" s="1">
        <f t="shared" si="342"/>
        <v>10</v>
      </c>
      <c r="N256" s="1">
        <f t="shared" si="343"/>
        <v>1</v>
      </c>
      <c r="O256" s="1">
        <f t="shared" si="335"/>
        <v>8</v>
      </c>
      <c r="P256" s="1">
        <f>MIN(方案参数!$AI$9,AZ255+0+0)</f>
        <v>5</v>
      </c>
      <c r="Q256" s="1">
        <f t="shared" si="313"/>
        <v>5</v>
      </c>
      <c r="R256" s="1">
        <f t="shared" si="314"/>
        <v>20</v>
      </c>
      <c r="S256" s="1">
        <f t="shared" si="315"/>
        <v>3</v>
      </c>
      <c r="T256" s="1">
        <f t="shared" si="350"/>
        <v>0</v>
      </c>
      <c r="U256" s="1">
        <f t="shared" si="317"/>
        <v>1</v>
      </c>
      <c r="V256" s="1">
        <f t="shared" si="318"/>
        <v>4</v>
      </c>
      <c r="W256" s="1">
        <f t="shared" si="319"/>
        <v>1</v>
      </c>
      <c r="X256" s="1">
        <f t="shared" si="320"/>
        <v>1</v>
      </c>
      <c r="Y256" s="1">
        <f t="shared" si="321"/>
        <v>1</v>
      </c>
      <c r="Z256" s="1">
        <f t="shared" si="322"/>
        <v>1</v>
      </c>
      <c r="AA256" s="1">
        <f t="shared" si="346"/>
        <v>1</v>
      </c>
      <c r="AB256" s="1">
        <f t="shared" si="324"/>
        <v>1</v>
      </c>
      <c r="AC256" s="1">
        <f t="shared" si="351"/>
        <v>1</v>
      </c>
      <c r="AD256" s="1">
        <f>ROUNDDOWN(I256*(1+IF(F256=3,0.05+方案参数!$Y$9+AA256*0.12,IF(F256=4,方案参数!$BZ$9*方案参数!$AS$9,0)))+IF(AND(X256=1,F256&lt;&gt;3),方案参数!$CC$9,0)+AC256*方案参数!$CB$9,0)</f>
        <v>3044</v>
      </c>
      <c r="AE256" s="1">
        <f>IF(OR(F256=1,F256=4),配置与结果!$B$24,配置与结果!$B$25)*MAX(0,1-INDEX(配置与结果!$I$15:$I$18,F256))</f>
        <v>1000</v>
      </c>
      <c r="AF256" s="1">
        <f>方案参数!$CE$9</f>
        <v>8</v>
      </c>
      <c r="AG256" s="1">
        <f>MAX(配置与结果!$B$32,1+INDEX(配置与结果!$F$15:$F$18,F256)+0+Q256*方案参数!$W$9+Y256*(方案参数!$AN$9+MIN(方案参数!$AO$9,P256*0.03))+AB256*方案参数!$BZ$9*0.025-配置与结果!$B$28+方案参数!$AE$9)</f>
        <v>2.2800000000000002</v>
      </c>
      <c r="AH256" s="1">
        <f>MAX(0,1+V256*方案参数!$U$9+方案参数!$AE$9-配置与结果!$B$29)</f>
        <v>1.56</v>
      </c>
      <c r="AI256" s="1">
        <f>IF(OR(INDEX(配置与结果!$K$15:$K$18,F256)=1,G256="RHI_BERRY"),1+配置与结果!$B$33+P256*方案参数!$AH$9,1)</f>
        <v>1</v>
      </c>
      <c r="AJ256" s="1">
        <f>MIN(1,MAX(0,J256+方案参数!$AB$9-配置与结果!$B$27))</f>
        <v>0.76</v>
      </c>
      <c r="AK256" s="1">
        <f>MAX(1,K256+IF(F256=2,0.15+方案参数!$CH$9,0)+BN256*方案参数!$X$9+R256*方案参数!$AA$9+0-配置与结果!$B$26+Z256*(方案参数!$AP$9+MIN(方案参数!$AQ$9,P256*0.03)))</f>
        <v>2.3380000000000001</v>
      </c>
      <c r="AL256" s="7">
        <f>ROUNDDOWN(MAX(AD256*配置与结果!$B$31,AD256-AE256)*AF256*AG256*AH256*AI256,0)</f>
        <v>58160</v>
      </c>
      <c r="AM256" s="7">
        <f>ROUNDDOWN(MAX(AD256*配置与结果!$B$31,AD256-AE256)*AF256*AG256*AH256*AI256*AK256,0)</f>
        <v>135979</v>
      </c>
      <c r="AN256" s="7">
        <f t="shared" si="287"/>
        <v>117302.44</v>
      </c>
      <c r="AO256" s="7">
        <f>0</f>
        <v>0</v>
      </c>
      <c r="AP256" s="7">
        <f>MAX(0,1+INDEX(配置与结果!$J$15:$J$18,F256)+IF(T256&gt;0,方案参数!$BY$9,0)-配置与结果!$B$30)</f>
        <v>1</v>
      </c>
      <c r="AQ256" s="7">
        <f t="shared" si="288"/>
        <v>0</v>
      </c>
      <c r="AR256" s="7">
        <f t="shared" si="289"/>
        <v>0</v>
      </c>
      <c r="AS256" s="7">
        <f t="shared" si="290"/>
        <v>0</v>
      </c>
      <c r="AT256" s="7">
        <f>IF(U256&gt;0,ROUNDDOWN(AL256*方案参数!$AF$9,0)*(1-AJ256)+ROUNDDOWN(AM256*方案参数!$AF$9,0)*AJ256,0)</f>
        <v>46920.520000000004</v>
      </c>
      <c r="AU256" s="7">
        <f t="shared" si="291"/>
        <v>164222.96000000002</v>
      </c>
      <c r="AV256" s="1">
        <f t="shared" si="292"/>
        <v>2</v>
      </c>
      <c r="AW256" s="1">
        <f t="shared" si="356"/>
        <v>10</v>
      </c>
      <c r="AX256" s="1">
        <f t="shared" si="293"/>
        <v>1</v>
      </c>
      <c r="AY256" s="1">
        <f>MIN(20,MAX(0,O256+0+0-0))</f>
        <v>8</v>
      </c>
      <c r="AZ256" s="1">
        <f t="shared" si="294"/>
        <v>5</v>
      </c>
      <c r="BA256" s="1">
        <f t="shared" si="347"/>
        <v>5</v>
      </c>
      <c r="BB256" s="1">
        <f t="shared" si="355"/>
        <v>20</v>
      </c>
      <c r="BC256" s="1">
        <f t="shared" si="353"/>
        <v>3</v>
      </c>
      <c r="BD256" s="1">
        <f t="shared" si="334"/>
        <v>0</v>
      </c>
      <c r="BE256" s="1">
        <f>MAX(0,U256-IF(AF256&gt;0,1,0))+1</f>
        <v>1</v>
      </c>
      <c r="BF256" s="1">
        <f t="shared" si="357"/>
        <v>4</v>
      </c>
      <c r="BG256" s="1">
        <f t="shared" si="344"/>
        <v>1</v>
      </c>
      <c r="BH256" s="1">
        <f t="shared" si="328"/>
        <v>1</v>
      </c>
      <c r="BI256" s="1">
        <f t="shared" si="345"/>
        <v>1</v>
      </c>
      <c r="BJ256" s="1">
        <f t="shared" si="348"/>
        <v>1</v>
      </c>
      <c r="BK256" s="1">
        <f t="shared" si="349"/>
        <v>1</v>
      </c>
      <c r="BL256" s="1">
        <f t="shared" si="354"/>
        <v>1</v>
      </c>
      <c r="BM256" s="1">
        <f t="shared" si="352"/>
        <v>1</v>
      </c>
      <c r="BN256" s="1">
        <f t="shared" si="329"/>
        <v>1</v>
      </c>
      <c r="BO256" s="1">
        <f t="shared" si="330"/>
        <v>1</v>
      </c>
    </row>
    <row r="257" spans="1:67" ht="30.95" customHeight="1">
      <c r="A257" s="1">
        <f>6</f>
        <v>6</v>
      </c>
      <c r="B257" s="1">
        <f>固定流程!A41</f>
        <v>36</v>
      </c>
      <c r="C257" s="1">
        <f>9</f>
        <v>9</v>
      </c>
      <c r="D257" s="1">
        <f>2</f>
        <v>2</v>
      </c>
      <c r="E257" s="1">
        <f>固定流程!C41</f>
        <v>3</v>
      </c>
      <c r="F257" s="1">
        <f>固定流程!G41</f>
        <v>1</v>
      </c>
      <c r="G257" s="1" t="str">
        <f>固定流程!H41</f>
        <v>LILYA_FINISH</v>
      </c>
      <c r="H257" s="1">
        <f>固定流程!F41</f>
        <v>1</v>
      </c>
      <c r="I257" s="1">
        <f>INDEX(配置与结果!$B$15:$B$18,F257)</f>
        <v>2296</v>
      </c>
      <c r="J257" s="1">
        <f>INDEX(配置与结果!$D$15:$D$18,F257)</f>
        <v>0.7</v>
      </c>
      <c r="K257" s="1">
        <f>INDEX(配置与结果!$E$15:$E$18,F257)</f>
        <v>2.0249999999999999</v>
      </c>
      <c r="L257" s="1">
        <f t="shared" si="341"/>
        <v>2</v>
      </c>
      <c r="M257" s="1">
        <f t="shared" si="342"/>
        <v>10</v>
      </c>
      <c r="N257" s="1">
        <f t="shared" si="343"/>
        <v>1</v>
      </c>
      <c r="O257" s="1">
        <f t="shared" si="335"/>
        <v>8</v>
      </c>
      <c r="P257" s="1">
        <f>MIN(方案参数!$AI$9,AZ256+0+0)</f>
        <v>5</v>
      </c>
      <c r="Q257" s="1">
        <f t="shared" si="313"/>
        <v>5</v>
      </c>
      <c r="R257" s="1">
        <f t="shared" si="314"/>
        <v>20</v>
      </c>
      <c r="S257" s="1">
        <f t="shared" si="315"/>
        <v>3</v>
      </c>
      <c r="T257" s="1">
        <f t="shared" si="350"/>
        <v>0</v>
      </c>
      <c r="U257" s="1">
        <f t="shared" si="317"/>
        <v>1</v>
      </c>
      <c r="V257" s="1">
        <f t="shared" si="318"/>
        <v>4</v>
      </c>
      <c r="W257" s="1">
        <f t="shared" si="319"/>
        <v>1</v>
      </c>
      <c r="X257" s="1">
        <f t="shared" si="320"/>
        <v>1</v>
      </c>
      <c r="Y257" s="1">
        <f t="shared" si="321"/>
        <v>1</v>
      </c>
      <c r="Z257" s="1">
        <f t="shared" si="322"/>
        <v>1</v>
      </c>
      <c r="AA257" s="1">
        <f t="shared" si="346"/>
        <v>1</v>
      </c>
      <c r="AB257" s="1">
        <f t="shared" si="324"/>
        <v>1</v>
      </c>
      <c r="AC257" s="1">
        <f t="shared" si="351"/>
        <v>1</v>
      </c>
      <c r="AD257" s="1">
        <f>ROUNDDOWN(I257*(1+IF(F257=3,0.05+方案参数!$Y$9+AA257*0.12,IF(F257=4,方案参数!$BZ$9*方案参数!$AS$9,0)))+IF(AND(X257=1,F257&lt;&gt;3),方案参数!$CC$9,0)+AC257*方案参数!$CB$9,0)</f>
        <v>3034</v>
      </c>
      <c r="AE257" s="1">
        <f>IF(OR(F257=1,F257=4),配置与结果!$B$24,配置与结果!$B$25)*MAX(0,1-INDEX(配置与结果!$I$15:$I$18,F257))</f>
        <v>1200</v>
      </c>
      <c r="AF257" s="1">
        <f>方案参数!$BN$9+12*方案参数!$BO$9</f>
        <v>80</v>
      </c>
      <c r="AG257" s="1">
        <f>MAX(配置与结果!$B$32,1+INDEX(配置与结果!$F$15:$F$18,F257)+0.08+方案参数!$CD$9+Q257*方案参数!$W$9+Y257*(方案参数!$AN$9+MIN(方案参数!$AO$9,P257*0.03))+AB257*方案参数!$BZ$9*0.025-配置与结果!$B$28+方案参数!$AE$9)</f>
        <v>2.6150000000000002</v>
      </c>
      <c r="AH257" s="1">
        <f>MAX(0,1+V257*方案参数!$U$9+12*方案参数!$V$9+方案参数!$AE$9-配置与结果!$B$29)</f>
        <v>2.2799999999999998</v>
      </c>
      <c r="AI257" s="1">
        <f>IF(OR(INDEX(配置与结果!$K$15:$K$18,F257)=1,G257="RHI_BERRY"),1+配置与结果!$B$33+P257*方案参数!$AH$9,1)</f>
        <v>1</v>
      </c>
      <c r="AJ257" s="1">
        <f>MIN(1,MAX(0,J257+方案参数!$AB$9-配置与结果!$B$27))</f>
        <v>1</v>
      </c>
      <c r="AK257" s="1">
        <f>MAX(1,K257+IF(F257=2,0.15+方案参数!$CH$9,0)+BN257*方案参数!$X$9+R257*方案参数!$AA$9+方案参数!$BR$9-配置与结果!$B$26+Z257*(方案参数!$AP$9+MIN(方案参数!$AQ$9,P257*0.03)))</f>
        <v>3.165</v>
      </c>
      <c r="AL257" s="7">
        <f>ROUNDDOWN(MAX(AD257*配置与结果!$B$31,AD257-AE257)*AF257*AG257*AH257*AI257,0)</f>
        <v>874773</v>
      </c>
      <c r="AM257" s="7">
        <f>ROUNDDOWN(MAX(AD257*配置与结果!$B$31,AD257-AE257)*AF257*AG257*AH257*AI257*AK257,0)</f>
        <v>2768659</v>
      </c>
      <c r="AN257" s="7">
        <f t="shared" si="287"/>
        <v>2768659</v>
      </c>
      <c r="AO257" s="7">
        <f>0</f>
        <v>0</v>
      </c>
      <c r="AP257" s="7">
        <f>MAX(0,1+INDEX(配置与结果!$J$15:$J$18,F257)+IF(T257&gt;0,方案参数!$BY$9,0)-配置与结果!$B$30)</f>
        <v>1</v>
      </c>
      <c r="AQ257" s="7">
        <f t="shared" si="288"/>
        <v>0</v>
      </c>
      <c r="AR257" s="7">
        <f t="shared" si="289"/>
        <v>0</v>
      </c>
      <c r="AS257" s="7">
        <f t="shared" si="290"/>
        <v>0</v>
      </c>
      <c r="AT257" s="7">
        <f>IF(U257&gt;0,ROUNDDOWN(AL257*方案参数!$AF$9,0)*(1-AJ257)+ROUNDDOWN(AM257*方案参数!$AF$9,0)*AJ257,0)</f>
        <v>1107463</v>
      </c>
      <c r="AU257" s="7">
        <f t="shared" si="291"/>
        <v>3876122</v>
      </c>
      <c r="AV257" s="1">
        <f t="shared" si="292"/>
        <v>2</v>
      </c>
      <c r="AW257" s="1">
        <f t="shared" si="356"/>
        <v>10</v>
      </c>
      <c r="AX257" s="1">
        <f t="shared" si="293"/>
        <v>1</v>
      </c>
      <c r="AY257" s="1">
        <f>MIN(20,MAX(0,O257+0+1-0))</f>
        <v>9</v>
      </c>
      <c r="AZ257" s="1">
        <f t="shared" si="294"/>
        <v>5</v>
      </c>
      <c r="BA257" s="1">
        <f t="shared" si="347"/>
        <v>5</v>
      </c>
      <c r="BB257" s="1">
        <f t="shared" si="355"/>
        <v>20</v>
      </c>
      <c r="BC257" s="1">
        <f t="shared" si="353"/>
        <v>3</v>
      </c>
      <c r="BD257" s="1">
        <f t="shared" si="334"/>
        <v>0</v>
      </c>
      <c r="BE257" s="1">
        <f>MAX(0,U257-IF(AF257&gt;0,1,0))+0</f>
        <v>0</v>
      </c>
      <c r="BF257" s="1">
        <f t="shared" si="357"/>
        <v>4</v>
      </c>
      <c r="BG257" s="1">
        <f t="shared" si="344"/>
        <v>1</v>
      </c>
      <c r="BH257" s="1">
        <f t="shared" si="328"/>
        <v>1</v>
      </c>
      <c r="BI257" s="1">
        <f t="shared" si="345"/>
        <v>1</v>
      </c>
      <c r="BJ257" s="1">
        <f t="shared" si="348"/>
        <v>1</v>
      </c>
      <c r="BK257" s="1">
        <f t="shared" si="349"/>
        <v>1</v>
      </c>
      <c r="BL257" s="1">
        <f t="shared" si="354"/>
        <v>1</v>
      </c>
      <c r="BM257" s="1">
        <f t="shared" si="352"/>
        <v>1</v>
      </c>
      <c r="BN257" s="1">
        <f t="shared" si="329"/>
        <v>1</v>
      </c>
      <c r="BO257" s="1">
        <f t="shared" si="330"/>
        <v>1</v>
      </c>
    </row>
    <row r="258" spans="1:67" ht="30.95" customHeight="1">
      <c r="A258" s="1">
        <f>7</f>
        <v>7</v>
      </c>
      <c r="B258" s="1">
        <f>固定流程!A6</f>
        <v>1</v>
      </c>
      <c r="C258" s="1">
        <f>10</f>
        <v>10</v>
      </c>
      <c r="D258" s="1">
        <f>1</f>
        <v>1</v>
      </c>
      <c r="E258" s="1">
        <f>固定流程!C6</f>
        <v>1</v>
      </c>
      <c r="F258" s="1">
        <f>固定流程!G6</f>
        <v>3</v>
      </c>
      <c r="G258" s="1" t="str">
        <f>固定流程!H6</f>
        <v>RHI_ULT</v>
      </c>
      <c r="H258" s="1">
        <f>固定流程!F6</f>
        <v>1</v>
      </c>
      <c r="I258" s="1">
        <f>INDEX(配置与结果!$B$15:$B$18,F258)</f>
        <v>2597</v>
      </c>
      <c r="J258" s="1">
        <f>INDEX(配置与结果!$D$15:$D$18,F258)</f>
        <v>0.255</v>
      </c>
      <c r="K258" s="1">
        <f>INDEX(配置与结果!$E$15:$E$18,F258)</f>
        <v>1.55</v>
      </c>
      <c r="L258" s="1">
        <f>0</f>
        <v>0</v>
      </c>
      <c r="M258" s="1">
        <f>0</f>
        <v>0</v>
      </c>
      <c r="N258" s="1">
        <f>0</f>
        <v>0</v>
      </c>
      <c r="O258" s="1">
        <f>0</f>
        <v>0</v>
      </c>
      <c r="P258" s="1">
        <f>MIN(方案参数!$AI$10,0+方案参数!$AJ$10+0)</f>
        <v>1</v>
      </c>
      <c r="Q258" s="1">
        <f>0</f>
        <v>0</v>
      </c>
      <c r="R258" s="1">
        <f>0</f>
        <v>0</v>
      </c>
      <c r="S258" s="1">
        <f>0</f>
        <v>0</v>
      </c>
      <c r="T258" s="1">
        <f>0+0</f>
        <v>0</v>
      </c>
      <c r="U258" s="1">
        <f>0</f>
        <v>0</v>
      </c>
      <c r="V258" s="1">
        <f>0</f>
        <v>0</v>
      </c>
      <c r="W258" s="1">
        <f>0</f>
        <v>0</v>
      </c>
      <c r="X258" s="1">
        <f>0</f>
        <v>0</v>
      </c>
      <c r="Y258" s="1">
        <f>0</f>
        <v>0</v>
      </c>
      <c r="Z258" s="1">
        <f>0</f>
        <v>0</v>
      </c>
      <c r="AA258" s="1">
        <f>MAX(0,0)</f>
        <v>0</v>
      </c>
      <c r="AB258" s="1">
        <f>0</f>
        <v>0</v>
      </c>
      <c r="AC258" s="1">
        <f>MAX(0,0)</f>
        <v>0</v>
      </c>
      <c r="AD258" s="1">
        <f>ROUNDDOWN(I258*(1+IF(F258=3,0.05+方案参数!$Y$10+AA258*0.12,IF(F258=4,方案参数!$BZ$10*方案参数!$AS$10,0)))+IF(AND(X258=1,F258&lt;&gt;3),方案参数!$CC$10,0)+AC258*方案参数!$CB$10,0)</f>
        <v>2986</v>
      </c>
      <c r="AE258" s="1">
        <f>IF(OR(F258=1,F258=4),配置与结果!$B$24,配置与结果!$B$25)*MAX(0,1-INDEX(配置与结果!$I$15:$I$18,F258))</f>
        <v>1000</v>
      </c>
      <c r="AF258" s="1">
        <f>0</f>
        <v>0</v>
      </c>
      <c r="AG258" s="1">
        <f>MAX(配置与结果!$B$32,1+INDEX(配置与结果!$F$15:$F$18,F258)+0+Q258*方案参数!$W$10+Y258*(方案参数!$AN$10+MIN(方案参数!$AO$10,P258*0.03))+AB258*方案参数!$BZ$10*0.025-配置与结果!$B$28)</f>
        <v>0.6349999999999999</v>
      </c>
      <c r="AH258" s="1">
        <f>MAX(0,1+INDEX(配置与结果!$G$15:$G$18,F258)+W258*方案参数!$AG$10)</f>
        <v>1</v>
      </c>
      <c r="AI258" s="1">
        <f>IF(OR(INDEX(配置与结果!$K$15:$K$18,F258)=1,G258="RHI_BERRY"),1+配置与结果!$B$33+P258*方案参数!$AH$10,1)</f>
        <v>1</v>
      </c>
      <c r="AJ258" s="1">
        <f>MIN(1,MAX(0,J258+方案参数!$AB$10-配置与结果!$B$27))</f>
        <v>0.55499999999999994</v>
      </c>
      <c r="AK258" s="1">
        <f>MAX(1,K258+IF(F258=2,0.15+方案参数!$CH$10,0)+BN258*方案参数!$X$10+R258*方案参数!$AA$10+0-配置与结果!$B$26+Z258*(方案参数!$AP$10+MIN(方案参数!$AQ$10,P258*0.03)))</f>
        <v>1.1499999999999999</v>
      </c>
      <c r="AL258" s="7">
        <f>ROUNDDOWN(MAX(AD258*配置与结果!$B$31,AD258-AE258)*AF258*AG258*AH258*AI258,0)</f>
        <v>0</v>
      </c>
      <c r="AM258" s="7">
        <f>ROUNDDOWN(MAX(AD258*配置与结果!$B$31,AD258-AE258)*AF258*AG258*AH258*AI258*AK258,0)</f>
        <v>0</v>
      </c>
      <c r="AN258" s="7">
        <f t="shared" si="287"/>
        <v>0</v>
      </c>
      <c r="AO258" s="7">
        <f>0</f>
        <v>0</v>
      </c>
      <c r="AP258" s="7">
        <f>MAX(0,1+INDEX(配置与结果!$J$15:$J$18,F258)+IF(T258&gt;0,方案参数!$BY$10,0)-配置与结果!$B$30)</f>
        <v>1</v>
      </c>
      <c r="AQ258" s="7">
        <f t="shared" si="288"/>
        <v>0</v>
      </c>
      <c r="AR258" s="7">
        <f t="shared" si="289"/>
        <v>0</v>
      </c>
      <c r="AS258" s="7">
        <f t="shared" si="290"/>
        <v>0</v>
      </c>
      <c r="AT258" s="7">
        <f>0</f>
        <v>0</v>
      </c>
      <c r="AU258" s="7">
        <f t="shared" si="291"/>
        <v>0</v>
      </c>
      <c r="AV258" s="1">
        <f t="shared" si="292"/>
        <v>0</v>
      </c>
      <c r="AW258" s="1">
        <f t="shared" si="356"/>
        <v>0</v>
      </c>
      <c r="AX258" s="1">
        <f t="shared" si="293"/>
        <v>0</v>
      </c>
      <c r="AY258" s="1">
        <f>MIN(20,MAX(0,O258+0+0-0))</f>
        <v>0</v>
      </c>
      <c r="AZ258" s="1">
        <f t="shared" si="294"/>
        <v>1</v>
      </c>
      <c r="BA258" s="1">
        <f>MIN(6,Q258+1)</f>
        <v>1</v>
      </c>
      <c r="BB258" s="1">
        <f>MIN(30,R258+5)</f>
        <v>5</v>
      </c>
      <c r="BC258" s="1">
        <f t="shared" si="353"/>
        <v>0</v>
      </c>
      <c r="BD258" s="1">
        <f t="shared" si="334"/>
        <v>0</v>
      </c>
      <c r="BE258" s="1">
        <f>0</f>
        <v>0</v>
      </c>
      <c r="BF258" s="1">
        <f t="shared" si="357"/>
        <v>0</v>
      </c>
      <c r="BG258" s="1">
        <f t="shared" si="344"/>
        <v>0</v>
      </c>
      <c r="BH258" s="1">
        <f>MAX(X258,1)</f>
        <v>1</v>
      </c>
      <c r="BI258" s="1">
        <f t="shared" si="345"/>
        <v>0</v>
      </c>
      <c r="BJ258" s="1">
        <f t="shared" si="348"/>
        <v>0</v>
      </c>
      <c r="BK258" s="1">
        <f t="shared" si="349"/>
        <v>0</v>
      </c>
      <c r="BL258" s="1">
        <f t="shared" si="354"/>
        <v>0</v>
      </c>
      <c r="BM258" s="1">
        <f t="shared" si="352"/>
        <v>0</v>
      </c>
      <c r="BN258" s="1">
        <f>0</f>
        <v>0</v>
      </c>
      <c r="BO258" s="1">
        <f>MAX(BN258,1)</f>
        <v>1</v>
      </c>
    </row>
    <row r="259" spans="1:67" ht="30.95" customHeight="1">
      <c r="A259" s="1">
        <f>7</f>
        <v>7</v>
      </c>
      <c r="B259" s="1">
        <f>固定流程!A7</f>
        <v>2</v>
      </c>
      <c r="C259" s="1">
        <f>10</f>
        <v>10</v>
      </c>
      <c r="D259" s="1">
        <f>1</f>
        <v>1</v>
      </c>
      <c r="E259" s="1">
        <f>固定流程!C7</f>
        <v>1</v>
      </c>
      <c r="F259" s="1">
        <f>固定流程!G7</f>
        <v>3</v>
      </c>
      <c r="G259" s="1" t="str">
        <f>固定流程!H7</f>
        <v>RHI_BUFF</v>
      </c>
      <c r="H259" s="1">
        <f>固定流程!F7</f>
        <v>1</v>
      </c>
      <c r="I259" s="1">
        <f>INDEX(配置与结果!$B$15:$B$18,F259)</f>
        <v>2597</v>
      </c>
      <c r="J259" s="1">
        <f>INDEX(配置与结果!$D$15:$D$18,F259)</f>
        <v>0.255</v>
      </c>
      <c r="K259" s="1">
        <f>INDEX(配置与结果!$E$15:$E$18,F259)</f>
        <v>1.55</v>
      </c>
      <c r="L259" s="1">
        <f t="shared" ref="L259:O264" si="358">AV258</f>
        <v>0</v>
      </c>
      <c r="M259" s="1">
        <f t="shared" si="358"/>
        <v>0</v>
      </c>
      <c r="N259" s="1">
        <f t="shared" si="358"/>
        <v>0</v>
      </c>
      <c r="O259" s="1">
        <f t="shared" si="358"/>
        <v>0</v>
      </c>
      <c r="P259" s="1">
        <f>MIN(方案参数!$AI$10,AZ258+0+方案参数!$AK$10)</f>
        <v>3</v>
      </c>
      <c r="Q259" s="1">
        <f t="shared" ref="Q259:Q293" si="359">BA258</f>
        <v>1</v>
      </c>
      <c r="R259" s="1">
        <f t="shared" ref="R259:R293" si="360">BB258</f>
        <v>5</v>
      </c>
      <c r="S259" s="1">
        <f t="shared" ref="S259:S293" si="361">BC258</f>
        <v>0</v>
      </c>
      <c r="T259" s="1">
        <f t="shared" ref="T259:T272" si="362">BD258+0</f>
        <v>0</v>
      </c>
      <c r="U259" s="1">
        <f t="shared" ref="U259:U293" si="363">BE258</f>
        <v>0</v>
      </c>
      <c r="V259" s="1">
        <f t="shared" ref="V259:V293" si="364">BF258</f>
        <v>0</v>
      </c>
      <c r="W259" s="1">
        <f t="shared" ref="W259:W293" si="365">BG258</f>
        <v>0</v>
      </c>
      <c r="X259" s="1">
        <f t="shared" ref="X259:X293" si="366">BH258</f>
        <v>1</v>
      </c>
      <c r="Y259" s="1">
        <f t="shared" ref="Y259:Y293" si="367">BI258</f>
        <v>0</v>
      </c>
      <c r="Z259" s="1">
        <f t="shared" ref="Z259:Z293" si="368">BJ258</f>
        <v>0</v>
      </c>
      <c r="AA259" s="1">
        <f t="shared" ref="AA259:AA264" si="369">MAX(BK258,0)</f>
        <v>0</v>
      </c>
      <c r="AB259" s="1">
        <f t="shared" ref="AB259:AB293" si="370">BL258</f>
        <v>0</v>
      </c>
      <c r="AC259" s="1">
        <f t="shared" ref="AC259:AC272" si="371">MAX(BM258,0)</f>
        <v>0</v>
      </c>
      <c r="AD259" s="1">
        <f>ROUNDDOWN(I259*(1+IF(F259=3,0.05+方案参数!$Y$10+AA259*0.12,IF(F259=4,方案参数!$BZ$10*方案参数!$AS$10,0)))+IF(AND(X259=1,F259&lt;&gt;3),方案参数!$CC$10,0)+AC259*方案参数!$CB$10,0)</f>
        <v>2986</v>
      </c>
      <c r="AE259" s="1">
        <f>IF(OR(F259=1,F259=4),配置与结果!$B$24,配置与结果!$B$25)*MAX(0,1-INDEX(配置与结果!$I$15:$I$18,F259))</f>
        <v>1000</v>
      </c>
      <c r="AF259" s="1">
        <f>0</f>
        <v>0</v>
      </c>
      <c r="AG259" s="1">
        <f>MAX(配置与结果!$B$32,1+INDEX(配置与结果!$F$15:$F$18,F259)+0+Q259*方案参数!$W$10+Y259*(方案参数!$AN$10+MIN(方案参数!$AO$10,P259*0.03))+AB259*方案参数!$BZ$10*0.025-配置与结果!$B$28)</f>
        <v>0.65499999999999992</v>
      </c>
      <c r="AH259" s="1">
        <f>MAX(0,1+INDEX(配置与结果!$G$15:$G$18,F259)+W259*方案参数!$AG$10)</f>
        <v>1</v>
      </c>
      <c r="AI259" s="1">
        <f>IF(OR(INDEX(配置与结果!$K$15:$K$18,F259)=1,G259="RHI_BERRY"),1+配置与结果!$B$33+P259*方案参数!$AH$10,1)</f>
        <v>1</v>
      </c>
      <c r="AJ259" s="1">
        <f>MIN(1,MAX(0,J259+方案参数!$AB$10-配置与结果!$B$27))</f>
        <v>0.55499999999999994</v>
      </c>
      <c r="AK259" s="1">
        <f>MAX(1,K259+IF(F259=2,0.15+方案参数!$CH$10,0)+BN259*方案参数!$X$10+R259*方案参数!$AA$10+0-配置与结果!$B$26+Z259*(方案参数!$AP$10+MIN(方案参数!$AQ$10,P259*0.03)))</f>
        <v>1.33</v>
      </c>
      <c r="AL259" s="7">
        <f>ROUNDDOWN(MAX(AD259*配置与结果!$B$31,AD259-AE259)*AF259*AG259*AH259*AI259,0)</f>
        <v>0</v>
      </c>
      <c r="AM259" s="7">
        <f>ROUNDDOWN(MAX(AD259*配置与结果!$B$31,AD259-AE259)*AF259*AG259*AH259*AI259*AK259,0)</f>
        <v>0</v>
      </c>
      <c r="AN259" s="7">
        <f t="shared" si="287"/>
        <v>0</v>
      </c>
      <c r="AO259" s="7">
        <f>0</f>
        <v>0</v>
      </c>
      <c r="AP259" s="7">
        <f>MAX(0,1+INDEX(配置与结果!$J$15:$J$18,F259)+IF(T259&gt;0,方案参数!$BY$10,0)-配置与结果!$B$30)</f>
        <v>1</v>
      </c>
      <c r="AQ259" s="7">
        <f t="shared" si="288"/>
        <v>0</v>
      </c>
      <c r="AR259" s="7">
        <f t="shared" si="289"/>
        <v>0</v>
      </c>
      <c r="AS259" s="7">
        <f t="shared" si="290"/>
        <v>0</v>
      </c>
      <c r="AT259" s="7">
        <f>0</f>
        <v>0</v>
      </c>
      <c r="AU259" s="7">
        <f t="shared" si="291"/>
        <v>0</v>
      </c>
      <c r="AV259" s="1">
        <f t="shared" si="292"/>
        <v>0</v>
      </c>
      <c r="AW259" s="1">
        <f t="shared" si="356"/>
        <v>0</v>
      </c>
      <c r="AX259" s="1">
        <f t="shared" si="293"/>
        <v>0</v>
      </c>
      <c r="AY259" s="1">
        <f>MIN(20,MAX(0,O259+0+0-0))</f>
        <v>0</v>
      </c>
      <c r="AZ259" s="1">
        <f t="shared" si="294"/>
        <v>3</v>
      </c>
      <c r="BA259" s="1">
        <f>MIN(6,Q259+1)</f>
        <v>2</v>
      </c>
      <c r="BB259" s="1">
        <f t="shared" ref="BB259:BB272" si="372">MIN(30,R259+0)</f>
        <v>5</v>
      </c>
      <c r="BC259" s="1">
        <f t="shared" si="353"/>
        <v>0</v>
      </c>
      <c r="BD259" s="1">
        <f t="shared" si="334"/>
        <v>0</v>
      </c>
      <c r="BE259" s="1">
        <f t="shared" ref="BE259:BE280" si="373">BE258</f>
        <v>0</v>
      </c>
      <c r="BF259" s="1">
        <f t="shared" si="357"/>
        <v>0</v>
      </c>
      <c r="BG259" s="1">
        <f>MAX(W259,1)</f>
        <v>1</v>
      </c>
      <c r="BH259" s="1">
        <f t="shared" ref="BH259:BH293" si="374">MAX(X259,0)</f>
        <v>1</v>
      </c>
      <c r="BI259" s="1">
        <f>MAX(Y259,1)</f>
        <v>1</v>
      </c>
      <c r="BJ259" s="1">
        <f t="shared" si="348"/>
        <v>0</v>
      </c>
      <c r="BK259" s="1">
        <f t="shared" si="349"/>
        <v>0</v>
      </c>
      <c r="BL259" s="1">
        <f t="shared" si="354"/>
        <v>0</v>
      </c>
      <c r="BM259" s="1">
        <f t="shared" si="352"/>
        <v>0</v>
      </c>
      <c r="BN259" s="1">
        <f t="shared" ref="BN259:BN293" si="375">BO258</f>
        <v>1</v>
      </c>
      <c r="BO259" s="1">
        <f t="shared" ref="BO259:BO293" si="376">MAX(BN259,0)</f>
        <v>1</v>
      </c>
    </row>
    <row r="260" spans="1:67" ht="30.95" customHeight="1">
      <c r="A260" s="1">
        <f>7</f>
        <v>7</v>
      </c>
      <c r="B260" s="1">
        <f>固定流程!A8</f>
        <v>3</v>
      </c>
      <c r="C260" s="1">
        <f>10</f>
        <v>10</v>
      </c>
      <c r="D260" s="1">
        <f>1</f>
        <v>1</v>
      </c>
      <c r="E260" s="1">
        <f>固定流程!C8</f>
        <v>1</v>
      </c>
      <c r="F260" s="1">
        <f>固定流程!G8</f>
        <v>1</v>
      </c>
      <c r="G260" s="1" t="str">
        <f>固定流程!H8</f>
        <v>LILYA_COBRA</v>
      </c>
      <c r="H260" s="1">
        <f>固定流程!F8</f>
        <v>1</v>
      </c>
      <c r="I260" s="1">
        <f>INDEX(配置与结果!$B$15:$B$18,F260)</f>
        <v>2296</v>
      </c>
      <c r="J260" s="1">
        <f>INDEX(配置与结果!$D$15:$D$18,F260)</f>
        <v>0.7</v>
      </c>
      <c r="K260" s="1">
        <f>INDEX(配置与结果!$E$15:$E$18,F260)</f>
        <v>2.0249999999999999</v>
      </c>
      <c r="L260" s="1">
        <f t="shared" si="358"/>
        <v>0</v>
      </c>
      <c r="M260" s="1">
        <f t="shared" si="358"/>
        <v>0</v>
      </c>
      <c r="N260" s="1">
        <f t="shared" si="358"/>
        <v>0</v>
      </c>
      <c r="O260" s="1">
        <f t="shared" si="358"/>
        <v>0</v>
      </c>
      <c r="P260" s="1">
        <f>MIN(方案参数!$AI$10,AZ259+0+0)</f>
        <v>3</v>
      </c>
      <c r="Q260" s="1">
        <f t="shared" si="359"/>
        <v>2</v>
      </c>
      <c r="R260" s="1">
        <f t="shared" si="360"/>
        <v>5</v>
      </c>
      <c r="S260" s="1">
        <f t="shared" si="361"/>
        <v>0</v>
      </c>
      <c r="T260" s="1">
        <f t="shared" si="362"/>
        <v>0</v>
      </c>
      <c r="U260" s="1">
        <f t="shared" si="363"/>
        <v>0</v>
      </c>
      <c r="V260" s="1">
        <f t="shared" si="364"/>
        <v>0</v>
      </c>
      <c r="W260" s="1">
        <f t="shared" si="365"/>
        <v>1</v>
      </c>
      <c r="X260" s="1">
        <f t="shared" si="366"/>
        <v>1</v>
      </c>
      <c r="Y260" s="1">
        <f t="shared" si="367"/>
        <v>1</v>
      </c>
      <c r="Z260" s="1">
        <f t="shared" si="368"/>
        <v>0</v>
      </c>
      <c r="AA260" s="1">
        <f t="shared" si="369"/>
        <v>0</v>
      </c>
      <c r="AB260" s="1">
        <f t="shared" si="370"/>
        <v>0</v>
      </c>
      <c r="AC260" s="1">
        <f t="shared" si="371"/>
        <v>0</v>
      </c>
      <c r="AD260" s="1">
        <f>ROUNDDOWN(I260*(1+IF(F260=3,0.05+方案参数!$Y$10+AA260*0.12,IF(F260=4,方案参数!$BZ$10*方案参数!$AS$10,0)))+IF(AND(X260=1,F260&lt;&gt;3),方案参数!$CC$10,0)+AC260*方案参数!$CB$10,0)</f>
        <v>2534</v>
      </c>
      <c r="AE260" s="1">
        <f>IF(OR(F260=1,F260=4),配置与结果!$B$24,配置与结果!$B$25)*MAX(0,1-INDEX(配置与结果!$I$15:$I$18,F260))</f>
        <v>1200</v>
      </c>
      <c r="AF260" s="1">
        <f>0</f>
        <v>0</v>
      </c>
      <c r="AG260" s="1">
        <f>MAX(配置与结果!$B$32,1+INDEX(配置与结果!$F$15:$F$18,F260)+0.08+方案参数!$CD$10+Q260*方案参数!$W$10+Y260*(方案参数!$AN$10+MIN(方案参数!$AO$10,P260*0.03))+AB260*方案参数!$BZ$10*0.025-配置与结果!$B$28)</f>
        <v>1.2200000000000002</v>
      </c>
      <c r="AH260" s="1">
        <f>MAX(0,1+INDEX(配置与结果!$G$15:$G$18,F260)+W260*方案参数!$AG$10)</f>
        <v>1.3</v>
      </c>
      <c r="AI260" s="1">
        <f>IF(OR(INDEX(配置与结果!$K$15:$K$18,F260)=1,G260="RHI_BERRY"),1+配置与结果!$B$33+P260*方案参数!$AH$10,1)</f>
        <v>1</v>
      </c>
      <c r="AJ260" s="1">
        <f>MIN(1,MAX(0,J260+方案参数!$AB$10-配置与结果!$B$27))</f>
        <v>1</v>
      </c>
      <c r="AK260" s="1">
        <f>MAX(1,K260+IF(F260=2,0.15+方案参数!$CH$10,0)+BN260*方案参数!$X$10+R260*方案参数!$AA$10+0-配置与结果!$B$26+Z260*(方案参数!$AP$10+MIN(方案参数!$AQ$10,P260*0.03)))</f>
        <v>1.8050000000000002</v>
      </c>
      <c r="AL260" s="7">
        <f>ROUNDDOWN(MAX(AD260*配置与结果!$B$31,AD260-AE260)*AF260*AG260*AH260*AI260,0)</f>
        <v>0</v>
      </c>
      <c r="AM260" s="7">
        <f>ROUNDDOWN(MAX(AD260*配置与结果!$B$31,AD260-AE260)*AF260*AG260*AH260*AI260*AK260,0)</f>
        <v>0</v>
      </c>
      <c r="AN260" s="7">
        <f t="shared" si="287"/>
        <v>0</v>
      </c>
      <c r="AO260" s="7">
        <f>0</f>
        <v>0</v>
      </c>
      <c r="AP260" s="7">
        <f>MAX(0,1+INDEX(配置与结果!$J$15:$J$18,F260)+IF(T260&gt;0,方案参数!$BY$10,0)-配置与结果!$B$30)</f>
        <v>1</v>
      </c>
      <c r="AQ260" s="7">
        <f t="shared" si="288"/>
        <v>0</v>
      </c>
      <c r="AR260" s="7">
        <f t="shared" si="289"/>
        <v>0</v>
      </c>
      <c r="AS260" s="7">
        <f t="shared" si="290"/>
        <v>0</v>
      </c>
      <c r="AT260" s="7">
        <f>0</f>
        <v>0</v>
      </c>
      <c r="AU260" s="7">
        <f t="shared" si="291"/>
        <v>0</v>
      </c>
      <c r="AV260" s="1">
        <f t="shared" si="292"/>
        <v>1</v>
      </c>
      <c r="AW260" s="1">
        <f>MIN(10,M260+方案参数!$BD$10+0)</f>
        <v>5</v>
      </c>
      <c r="AX260" s="1">
        <f t="shared" si="293"/>
        <v>0</v>
      </c>
      <c r="AY260" s="1">
        <f>MIN(20,MAX(0,O260+6+0-0))</f>
        <v>6</v>
      </c>
      <c r="AZ260" s="1">
        <f t="shared" si="294"/>
        <v>3</v>
      </c>
      <c r="BA260" s="1">
        <f>MIN(6,Q260+0)</f>
        <v>2</v>
      </c>
      <c r="BB260" s="1">
        <f t="shared" si="372"/>
        <v>5</v>
      </c>
      <c r="BC260" s="1">
        <f t="shared" si="353"/>
        <v>0</v>
      </c>
      <c r="BD260" s="1">
        <f t="shared" si="334"/>
        <v>0</v>
      </c>
      <c r="BE260" s="1">
        <f t="shared" si="373"/>
        <v>0</v>
      </c>
      <c r="BF260" s="1">
        <f t="shared" si="357"/>
        <v>0</v>
      </c>
      <c r="BG260" s="1">
        <f t="shared" ref="BG260:BG270" si="377">MAX(W260,0)</f>
        <v>1</v>
      </c>
      <c r="BH260" s="1">
        <f t="shared" si="374"/>
        <v>1</v>
      </c>
      <c r="BI260" s="1">
        <f t="shared" ref="BI260:BI270" si="378">MAX(Y260,0)</f>
        <v>1</v>
      </c>
      <c r="BJ260" s="1">
        <f t="shared" si="348"/>
        <v>0</v>
      </c>
      <c r="BK260" s="1">
        <f t="shared" si="349"/>
        <v>0</v>
      </c>
      <c r="BL260" s="1">
        <f t="shared" si="354"/>
        <v>0</v>
      </c>
      <c r="BM260" s="1">
        <f t="shared" si="352"/>
        <v>0</v>
      </c>
      <c r="BN260" s="1">
        <f t="shared" si="375"/>
        <v>1</v>
      </c>
      <c r="BO260" s="1">
        <f t="shared" si="376"/>
        <v>1</v>
      </c>
    </row>
    <row r="261" spans="1:67" ht="30.95" customHeight="1">
      <c r="A261" s="1">
        <f>7</f>
        <v>7</v>
      </c>
      <c r="B261" s="1">
        <f>固定流程!A9</f>
        <v>4</v>
      </c>
      <c r="C261" s="1">
        <f>10</f>
        <v>10</v>
      </c>
      <c r="D261" s="1">
        <f>1</f>
        <v>1</v>
      </c>
      <c r="E261" s="1">
        <f>固定流程!C9</f>
        <v>1</v>
      </c>
      <c r="F261" s="1">
        <f>固定流程!G9</f>
        <v>1</v>
      </c>
      <c r="G261" s="1" t="str">
        <f>固定流程!H9</f>
        <v>LILYA_DIVE</v>
      </c>
      <c r="H261" s="1">
        <f>固定流程!F9</f>
        <v>1</v>
      </c>
      <c r="I261" s="1">
        <f>INDEX(配置与结果!$B$15:$B$18,F261)</f>
        <v>2296</v>
      </c>
      <c r="J261" s="1">
        <f>INDEX(配置与结果!$D$15:$D$18,F261)</f>
        <v>0.7</v>
      </c>
      <c r="K261" s="1">
        <f>INDEX(配置与结果!$E$15:$E$18,F261)</f>
        <v>2.0249999999999999</v>
      </c>
      <c r="L261" s="1">
        <f t="shared" si="358"/>
        <v>1</v>
      </c>
      <c r="M261" s="1">
        <f t="shared" si="358"/>
        <v>5</v>
      </c>
      <c r="N261" s="1">
        <f t="shared" si="358"/>
        <v>0</v>
      </c>
      <c r="O261" s="1">
        <f t="shared" si="358"/>
        <v>6</v>
      </c>
      <c r="P261" s="1">
        <f>MIN(方案参数!$AI$10,AZ260+0+0)</f>
        <v>3</v>
      </c>
      <c r="Q261" s="1">
        <f t="shared" si="359"/>
        <v>2</v>
      </c>
      <c r="R261" s="1">
        <f t="shared" si="360"/>
        <v>5</v>
      </c>
      <c r="S261" s="1">
        <f t="shared" si="361"/>
        <v>0</v>
      </c>
      <c r="T261" s="1">
        <f t="shared" si="362"/>
        <v>0</v>
      </c>
      <c r="U261" s="1">
        <f t="shared" si="363"/>
        <v>0</v>
      </c>
      <c r="V261" s="1">
        <f t="shared" si="364"/>
        <v>0</v>
      </c>
      <c r="W261" s="1">
        <f t="shared" si="365"/>
        <v>1</v>
      </c>
      <c r="X261" s="1">
        <f t="shared" si="366"/>
        <v>1</v>
      </c>
      <c r="Y261" s="1">
        <f t="shared" si="367"/>
        <v>1</v>
      </c>
      <c r="Z261" s="1">
        <f t="shared" si="368"/>
        <v>0</v>
      </c>
      <c r="AA261" s="1">
        <f t="shared" si="369"/>
        <v>0</v>
      </c>
      <c r="AB261" s="1">
        <f t="shared" si="370"/>
        <v>0</v>
      </c>
      <c r="AC261" s="1">
        <f t="shared" si="371"/>
        <v>0</v>
      </c>
      <c r="AD261" s="1">
        <f>ROUNDDOWN(I261*(1+IF(F261=3,0.05+方案参数!$Y$10+AA261*0.12,IF(F261=4,方案参数!$BZ$10*方案参数!$AS$10,0)))+IF(AND(X261=1,F261&lt;&gt;3),方案参数!$CC$10,0)+AC261*方案参数!$CB$10,0)</f>
        <v>2534</v>
      </c>
      <c r="AE261" s="1">
        <f>IF(OR(F261=1,F261=4),配置与结果!$B$24,配置与结果!$B$25)*MAX(0,1-INDEX(配置与结果!$I$15:$I$18,F261))</f>
        <v>1200</v>
      </c>
      <c r="AF261" s="1">
        <f>(IF(L261=1,方案参数!$AW$10,IF(L261=2,方案参数!$AX$10,0))+方案参数!$AV$10)*H261</f>
        <v>9</v>
      </c>
      <c r="AG261" s="1">
        <f>MAX(配置与结果!$B$32,1+INDEX(配置与结果!$F$15:$F$18,F261)+0.08+方案参数!$CD$10+Q261*方案参数!$W$10+Y261*(方案参数!$AN$10+MIN(方案参数!$AO$10,P261*0.03))+AB261*方案参数!$BZ$10*0.025+IF(L261=1,方案参数!$AY$10+(H261-1)*0.1,IF(L261=2,方案参数!$AZ$10+(H261-1)*0.2,0))-配置与结果!$B$28)</f>
        <v>1.52</v>
      </c>
      <c r="AH261" s="1">
        <f>MAX(0,1+INDEX(配置与结果!$G$15:$G$18,F261)+W261*方案参数!$AG$10+IF(L261=1,方案参数!$BA$10,IF(L261=2,方案参数!$BB$10,0))+M261*方案参数!$BC$10)</f>
        <v>2.8</v>
      </c>
      <c r="AI261" s="1">
        <f>IF(OR(INDEX(配置与结果!$K$15:$K$18,F261)=1,G261="RHI_BERRY"),1+配置与结果!$B$33+P261*方案参数!$AH$10,1)</f>
        <v>1</v>
      </c>
      <c r="AJ261" s="1">
        <f>MIN(1,MAX(0,J261+方案参数!$AB$10-配置与结果!$B$27))</f>
        <v>1</v>
      </c>
      <c r="AK261" s="1">
        <f>MAX(1,K261+IF(F261=2,0.15+方案参数!$CH$10,0)+BN261*方案参数!$X$10+R261*方案参数!$AA$10+0-配置与结果!$B$26+Z261*(方案参数!$AP$10+MIN(方案参数!$AQ$10,P261*0.03)))</f>
        <v>1.8050000000000002</v>
      </c>
      <c r="AL261" s="7">
        <f>ROUNDDOWN(MAX(AD261*配置与结果!$B$31,AD261-AE261)*AF261*AG261*AH261*AI261,0)</f>
        <v>51097</v>
      </c>
      <c r="AM261" s="7">
        <f>ROUNDDOWN(MAX(AD261*配置与结果!$B$31,AD261-AE261)*AF261*AG261*AH261*AI261*AK261,0)</f>
        <v>92231</v>
      </c>
      <c r="AN261" s="7">
        <f t="shared" si="287"/>
        <v>92231</v>
      </c>
      <c r="AO261" s="7">
        <f>0</f>
        <v>0</v>
      </c>
      <c r="AP261" s="7">
        <f>MAX(0,1+INDEX(配置与结果!$J$15:$J$18,F261)+IF(T261&gt;0,方案参数!$BY$10,0)-配置与结果!$B$30)</f>
        <v>1</v>
      </c>
      <c r="AQ261" s="7">
        <f t="shared" si="288"/>
        <v>0</v>
      </c>
      <c r="AR261" s="7">
        <f t="shared" si="289"/>
        <v>0</v>
      </c>
      <c r="AS261" s="7">
        <f t="shared" si="290"/>
        <v>0</v>
      </c>
      <c r="AT261" s="7">
        <f>0</f>
        <v>0</v>
      </c>
      <c r="AU261" s="7">
        <f t="shared" si="291"/>
        <v>92231</v>
      </c>
      <c r="AV261" s="1">
        <f t="shared" si="292"/>
        <v>1</v>
      </c>
      <c r="AW261" s="1">
        <f>MIN(10,M261+0+IF(L261=1,方案参数!$BE$10,0))</f>
        <v>7</v>
      </c>
      <c r="AX261" s="1">
        <f t="shared" si="293"/>
        <v>0</v>
      </c>
      <c r="AY261" s="1">
        <f t="shared" ref="AY261:AY276" si="379">MIN(20,MAX(0,O261+0+0-0))</f>
        <v>6</v>
      </c>
      <c r="AZ261" s="1">
        <f t="shared" si="294"/>
        <v>3</v>
      </c>
      <c r="BA261" s="1">
        <f>MIN(6,Q261+0)</f>
        <v>2</v>
      </c>
      <c r="BB261" s="1">
        <f t="shared" si="372"/>
        <v>5</v>
      </c>
      <c r="BC261" s="1">
        <f t="shared" si="353"/>
        <v>0</v>
      </c>
      <c r="BD261" s="1">
        <f t="shared" si="334"/>
        <v>0</v>
      </c>
      <c r="BE261" s="1">
        <f t="shared" si="373"/>
        <v>0</v>
      </c>
      <c r="BF261" s="1">
        <f t="shared" si="357"/>
        <v>0</v>
      </c>
      <c r="BG261" s="1">
        <f t="shared" si="377"/>
        <v>1</v>
      </c>
      <c r="BH261" s="1">
        <f t="shared" si="374"/>
        <v>1</v>
      </c>
      <c r="BI261" s="1">
        <f t="shared" si="378"/>
        <v>1</v>
      </c>
      <c r="BJ261" s="1">
        <f t="shared" si="348"/>
        <v>0</v>
      </c>
      <c r="BK261" s="1">
        <f t="shared" si="349"/>
        <v>0</v>
      </c>
      <c r="BL261" s="1">
        <f t="shared" si="354"/>
        <v>0</v>
      </c>
      <c r="BM261" s="1">
        <f t="shared" si="352"/>
        <v>0</v>
      </c>
      <c r="BN261" s="1">
        <f t="shared" si="375"/>
        <v>1</v>
      </c>
      <c r="BO261" s="1">
        <f t="shared" si="376"/>
        <v>1</v>
      </c>
    </row>
    <row r="262" spans="1:67" ht="30.95" customHeight="1">
      <c r="A262" s="1">
        <f>7</f>
        <v>7</v>
      </c>
      <c r="B262" s="1">
        <f>固定流程!A10</f>
        <v>5</v>
      </c>
      <c r="C262" s="1">
        <f>10</f>
        <v>10</v>
      </c>
      <c r="D262" s="1">
        <f>1</f>
        <v>1</v>
      </c>
      <c r="E262" s="1">
        <f>固定流程!C10</f>
        <v>1</v>
      </c>
      <c r="F262" s="1">
        <f>固定流程!G10</f>
        <v>2</v>
      </c>
      <c r="G262" s="1" t="str">
        <f>固定流程!H10</f>
        <v>37_TRIANGLE</v>
      </c>
      <c r="H262" s="1">
        <f>固定流程!F10</f>
        <v>1</v>
      </c>
      <c r="I262" s="1">
        <f>INDEX(配置与结果!$B$15:$B$18,F262)</f>
        <v>2306</v>
      </c>
      <c r="J262" s="1">
        <f>INDEX(配置与结果!$D$15:$D$18,F262)</f>
        <v>0.46</v>
      </c>
      <c r="K262" s="1">
        <f>INDEX(配置与结果!$E$15:$E$18,F262)</f>
        <v>1.9279999999999999</v>
      </c>
      <c r="L262" s="1">
        <f t="shared" si="358"/>
        <v>1</v>
      </c>
      <c r="M262" s="1">
        <f t="shared" si="358"/>
        <v>7</v>
      </c>
      <c r="N262" s="1">
        <f t="shared" si="358"/>
        <v>0</v>
      </c>
      <c r="O262" s="1">
        <f t="shared" si="358"/>
        <v>6</v>
      </c>
      <c r="P262" s="1">
        <f>MIN(方案参数!$AI$10,AZ261+0+0)</f>
        <v>3</v>
      </c>
      <c r="Q262" s="1">
        <f t="shared" si="359"/>
        <v>2</v>
      </c>
      <c r="R262" s="1">
        <f t="shared" si="360"/>
        <v>5</v>
      </c>
      <c r="S262" s="1">
        <f t="shared" si="361"/>
        <v>0</v>
      </c>
      <c r="T262" s="1">
        <f t="shared" si="362"/>
        <v>0</v>
      </c>
      <c r="U262" s="1">
        <f t="shared" si="363"/>
        <v>0</v>
      </c>
      <c r="V262" s="1">
        <f t="shared" si="364"/>
        <v>0</v>
      </c>
      <c r="W262" s="1">
        <f t="shared" si="365"/>
        <v>1</v>
      </c>
      <c r="X262" s="1">
        <f t="shared" si="366"/>
        <v>1</v>
      </c>
      <c r="Y262" s="1">
        <f t="shared" si="367"/>
        <v>1</v>
      </c>
      <c r="Z262" s="1">
        <f t="shared" si="368"/>
        <v>0</v>
      </c>
      <c r="AA262" s="1">
        <f t="shared" si="369"/>
        <v>0</v>
      </c>
      <c r="AB262" s="1">
        <f t="shared" si="370"/>
        <v>0</v>
      </c>
      <c r="AC262" s="1">
        <f t="shared" si="371"/>
        <v>0</v>
      </c>
      <c r="AD262" s="1">
        <f>ROUNDDOWN(I262*(1+IF(F262=3,0.05+方案参数!$Y$10+AA262*0.12,IF(F262=4,方案参数!$BZ$10*方案参数!$AS$10,0)))+IF(AND(X262=1,F262&lt;&gt;3),方案参数!$CC$10,0)+AC262*方案参数!$CB$10,0)</f>
        <v>2544</v>
      </c>
      <c r="AE262" s="1">
        <f>IF(OR(F262=1,F262=4),配置与结果!$B$24,配置与结果!$B$25)*MAX(0,1-INDEX(配置与结果!$I$15:$I$18,F262))</f>
        <v>1000</v>
      </c>
      <c r="AF262" s="1">
        <f>方案参数!$BS$10*IF(H262=1,1,IF(H262=2,1.5,2.5))</f>
        <v>2.8</v>
      </c>
      <c r="AG262" s="1">
        <f>MAX(配置与结果!$B$32,1+INDEX(配置与结果!$F$15:$F$18,F262)+0+Q262*方案参数!$W$10+Y262*(方案参数!$AN$10+MIN(方案参数!$AO$10,P262*0.03))+AB262*方案参数!$BZ$10*0.025-配置与结果!$B$28)</f>
        <v>0.8849999999999999</v>
      </c>
      <c r="AH262" s="1">
        <f>MAX(0,1+INDEX(配置与结果!$G$15:$G$18,F262)+W262*方案参数!$AG$10)</f>
        <v>1.3</v>
      </c>
      <c r="AI262" s="1">
        <f>IF(OR(INDEX(配置与结果!$K$15:$K$18,F262)=1,G262="RHI_BERRY"),1+配置与结果!$B$33+P262*方案参数!$AH$10,1)</f>
        <v>1</v>
      </c>
      <c r="AJ262" s="1">
        <f>MIN(1,MAX(0,J262+方案参数!$AB$10-配置与结果!$B$27))</f>
        <v>0.76</v>
      </c>
      <c r="AK262" s="1">
        <f>MAX(1,K262+IF(F262=2,0.15+方案参数!$CH$10,0)+BN262*方案参数!$X$10+R262*方案参数!$AA$10+0-配置与结果!$B$26+Z262*(方案参数!$AP$10+MIN(方案参数!$AQ$10,P262*0.03)))</f>
        <v>1.9780000000000002</v>
      </c>
      <c r="AL262" s="7">
        <f>ROUNDDOWN(MAX(AD262*配置与结果!$B$31,AD262-AE262)*AF262*AG262*AH262*AI262,0)</f>
        <v>4973</v>
      </c>
      <c r="AM262" s="7">
        <f>ROUNDDOWN(MAX(AD262*配置与结果!$B$31,AD262-AE262)*AF262*AG262*AH262*AI262*AK262,0)</f>
        <v>9838</v>
      </c>
      <c r="AN262" s="7">
        <f t="shared" ref="AN262:AN325" si="380">AL262*(1-AJ262)+AM262*AJ262</f>
        <v>8670.4</v>
      </c>
      <c r="AO262" s="7">
        <f>方案参数!$BU$10*IF(H262=1,1,IF(H262=2,1.5,2.5))</f>
        <v>0.8</v>
      </c>
      <c r="AP262" s="7">
        <f>MAX(0,1+INDEX(配置与结果!$J$15:$J$18,F262)+IF(T262&gt;0,方案参数!$BY$10,0)-配置与结果!$B$30)</f>
        <v>1</v>
      </c>
      <c r="AQ262" s="7">
        <f t="shared" ref="AQ262:AQ325" si="381">ROUNDDOWN(ROUNDDOWN(AD262*AO262,0)*AP262,0)</f>
        <v>2035</v>
      </c>
      <c r="AR262" s="7">
        <f t="shared" ref="AR262:AR325" si="382">ROUNDDOWN(ROUNDDOWN(AD262*AO262,0)*AP262*AK262,0)</f>
        <v>4025</v>
      </c>
      <c r="AS262" s="7">
        <f t="shared" ref="AS262:AS325" si="383">AQ262*(1-AJ262)+AR262*AJ262</f>
        <v>3547.4</v>
      </c>
      <c r="AT262" s="7">
        <f>0</f>
        <v>0</v>
      </c>
      <c r="AU262" s="7">
        <f t="shared" ref="AU262:AU325" si="384">AN262+AS262+AT262</f>
        <v>12217.8</v>
      </c>
      <c r="AV262" s="1">
        <f t="shared" ref="AV262:AV325" si="385">IF(G262="LILYA_COBRA",IF(L262=0,1,L262),L262)</f>
        <v>1</v>
      </c>
      <c r="AW262" s="1">
        <f>MIN(10,M262+0+0)</f>
        <v>7</v>
      </c>
      <c r="AX262" s="1">
        <f t="shared" ref="AX262:AX325" si="386">N262</f>
        <v>0</v>
      </c>
      <c r="AY262" s="1">
        <f t="shared" si="379"/>
        <v>6</v>
      </c>
      <c r="AZ262" s="1">
        <f t="shared" ref="AZ262:AZ325" si="387">P262</f>
        <v>3</v>
      </c>
      <c r="BA262" s="1">
        <f>MIN(6,Q262+0)</f>
        <v>2</v>
      </c>
      <c r="BB262" s="1">
        <f t="shared" si="372"/>
        <v>5</v>
      </c>
      <c r="BC262" s="1">
        <f t="shared" si="353"/>
        <v>0</v>
      </c>
      <c r="BD262" s="1">
        <f>MAX(0,T262-IF(AO262&gt;0,1,0))+1</f>
        <v>1</v>
      </c>
      <c r="BE262" s="1">
        <f t="shared" si="373"/>
        <v>0</v>
      </c>
      <c r="BF262" s="1">
        <f t="shared" si="357"/>
        <v>0</v>
      </c>
      <c r="BG262" s="1">
        <f t="shared" si="377"/>
        <v>1</v>
      </c>
      <c r="BH262" s="1">
        <f t="shared" si="374"/>
        <v>1</v>
      </c>
      <c r="BI262" s="1">
        <f t="shared" si="378"/>
        <v>1</v>
      </c>
      <c r="BJ262" s="1">
        <f t="shared" si="348"/>
        <v>0</v>
      </c>
      <c r="BK262" s="1">
        <f t="shared" si="349"/>
        <v>0</v>
      </c>
      <c r="BL262" s="1">
        <f t="shared" si="354"/>
        <v>0</v>
      </c>
      <c r="BM262" s="1">
        <f t="shared" si="352"/>
        <v>0</v>
      </c>
      <c r="BN262" s="1">
        <f t="shared" si="375"/>
        <v>1</v>
      </c>
      <c r="BO262" s="1">
        <f t="shared" si="376"/>
        <v>1</v>
      </c>
    </row>
    <row r="263" spans="1:67" ht="30.95" customHeight="1">
      <c r="A263" s="1">
        <f>7</f>
        <v>7</v>
      </c>
      <c r="B263" s="1">
        <f>固定流程!A11</f>
        <v>6</v>
      </c>
      <c r="C263" s="1">
        <f>10</f>
        <v>10</v>
      </c>
      <c r="D263" s="1">
        <f>1</f>
        <v>1</v>
      </c>
      <c r="E263" s="1">
        <f>固定流程!C11</f>
        <v>1</v>
      </c>
      <c r="F263" s="1">
        <f>固定流程!G11</f>
        <v>2</v>
      </c>
      <c r="G263" s="1" t="str">
        <f>固定流程!H11</f>
        <v>37_FOLLOW</v>
      </c>
      <c r="H263" s="1">
        <f>固定流程!F11</f>
        <v>1</v>
      </c>
      <c r="I263" s="1">
        <f>INDEX(配置与结果!$B$15:$B$18,F263)</f>
        <v>2306</v>
      </c>
      <c r="J263" s="1">
        <f>INDEX(配置与结果!$D$15:$D$18,F263)</f>
        <v>0.46</v>
      </c>
      <c r="K263" s="1">
        <f>INDEX(配置与结果!$E$15:$E$18,F263)</f>
        <v>1.9279999999999999</v>
      </c>
      <c r="L263" s="1">
        <f t="shared" si="358"/>
        <v>1</v>
      </c>
      <c r="M263" s="1">
        <f t="shared" si="358"/>
        <v>7</v>
      </c>
      <c r="N263" s="1">
        <f t="shared" si="358"/>
        <v>0</v>
      </c>
      <c r="O263" s="1">
        <f t="shared" si="358"/>
        <v>6</v>
      </c>
      <c r="P263" s="1">
        <f>MIN(方案参数!$AI$10,AZ262+0+0)</f>
        <v>3</v>
      </c>
      <c r="Q263" s="1">
        <f t="shared" si="359"/>
        <v>2</v>
      </c>
      <c r="R263" s="1">
        <f t="shared" si="360"/>
        <v>5</v>
      </c>
      <c r="S263" s="1">
        <f t="shared" si="361"/>
        <v>0</v>
      </c>
      <c r="T263" s="1">
        <f t="shared" si="362"/>
        <v>1</v>
      </c>
      <c r="U263" s="1">
        <f t="shared" si="363"/>
        <v>0</v>
      </c>
      <c r="V263" s="1">
        <f t="shared" si="364"/>
        <v>0</v>
      </c>
      <c r="W263" s="1">
        <f t="shared" si="365"/>
        <v>1</v>
      </c>
      <c r="X263" s="1">
        <f t="shared" si="366"/>
        <v>1</v>
      </c>
      <c r="Y263" s="1">
        <f t="shared" si="367"/>
        <v>1</v>
      </c>
      <c r="Z263" s="1">
        <f t="shared" si="368"/>
        <v>0</v>
      </c>
      <c r="AA263" s="1">
        <f t="shared" si="369"/>
        <v>0</v>
      </c>
      <c r="AB263" s="1">
        <f t="shared" si="370"/>
        <v>0</v>
      </c>
      <c r="AC263" s="1">
        <f t="shared" si="371"/>
        <v>0</v>
      </c>
      <c r="AD263" s="1">
        <f>ROUNDDOWN(I263*(1+IF(F263=3,0.05+方案参数!$Y$10+AA263*0.12,IF(F263=4,方案参数!$BZ$10*方案参数!$AS$10,0)))+IF(AND(X263=1,F263&lt;&gt;3),方案参数!$CC$10,0)+AC263*方案参数!$CB$10,0)</f>
        <v>2544</v>
      </c>
      <c r="AE263" s="1">
        <f>IF(OR(F263=1,F263=4),配置与结果!$B$24,配置与结果!$B$25)*MAX(0,1-INDEX(配置与结果!$I$15:$I$18,F263))</f>
        <v>1000</v>
      </c>
      <c r="AF263" s="1">
        <f>方案参数!$BV$10</f>
        <v>3</v>
      </c>
      <c r="AG263" s="1">
        <f>MAX(配置与结果!$B$32,1+INDEX(配置与结果!$F$15:$F$18,F263)+0+Q263*方案参数!$W$10+Y263*(方案参数!$AN$10+MIN(方案参数!$AO$10,P263*0.03))+AB263*方案参数!$BZ$10*0.025-配置与结果!$B$28)</f>
        <v>0.8849999999999999</v>
      </c>
      <c r="AH263" s="1">
        <f>MAX(0,1+INDEX(配置与结果!$G$15:$G$18,F263)+W263*方案参数!$AG$10)</f>
        <v>1.3</v>
      </c>
      <c r="AI263" s="1">
        <f>IF(OR(INDEX(配置与结果!$K$15:$K$18,F263)=1,G263="RHI_BERRY"),1+配置与结果!$B$33+P263*方案参数!$AH$10,1)</f>
        <v>1</v>
      </c>
      <c r="AJ263" s="1">
        <f>MIN(1,MAX(0,J263+方案参数!$AB$10-配置与结果!$B$27))</f>
        <v>0.76</v>
      </c>
      <c r="AK263" s="1">
        <f>MAX(1,K263+IF(F263=2,0.15+方案参数!$CH$10,0)+BN263*方案参数!$X$10+R263*方案参数!$AA$10+0-配置与结果!$B$26+Z263*(方案参数!$AP$10+MIN(方案参数!$AQ$10,P263*0.03)))</f>
        <v>1.9780000000000002</v>
      </c>
      <c r="AL263" s="7">
        <f>ROUNDDOWN(MAX(AD263*配置与结果!$B$31,AD263-AE263)*AF263*AG263*AH263*AI263,0)</f>
        <v>5329</v>
      </c>
      <c r="AM263" s="7">
        <f>ROUNDDOWN(MAX(AD263*配置与结果!$B$31,AD263-AE263)*AF263*AG263*AH263*AI263*AK263,0)</f>
        <v>10540</v>
      </c>
      <c r="AN263" s="7">
        <f t="shared" si="380"/>
        <v>9289.36</v>
      </c>
      <c r="AO263" s="7">
        <f>方案参数!$BW$10</f>
        <v>1</v>
      </c>
      <c r="AP263" s="7">
        <f>MAX(0,1+INDEX(配置与结果!$J$15:$J$18,F263)+IF(T263&gt;0,方案参数!$BY$10,0)-配置与结果!$B$30)</f>
        <v>2</v>
      </c>
      <c r="AQ263" s="7">
        <f t="shared" si="381"/>
        <v>5088</v>
      </c>
      <c r="AR263" s="7">
        <f t="shared" si="382"/>
        <v>10064</v>
      </c>
      <c r="AS263" s="7">
        <f t="shared" si="383"/>
        <v>8869.76</v>
      </c>
      <c r="AT263" s="7">
        <f>0</f>
        <v>0</v>
      </c>
      <c r="AU263" s="7">
        <f t="shared" si="384"/>
        <v>18159.120000000003</v>
      </c>
      <c r="AV263" s="1">
        <f t="shared" si="385"/>
        <v>1</v>
      </c>
      <c r="AW263" s="1">
        <f>MIN(10,M263+0+0)</f>
        <v>7</v>
      </c>
      <c r="AX263" s="1">
        <f t="shared" si="386"/>
        <v>0</v>
      </c>
      <c r="AY263" s="1">
        <f t="shared" si="379"/>
        <v>6</v>
      </c>
      <c r="AZ263" s="1">
        <f t="shared" si="387"/>
        <v>3</v>
      </c>
      <c r="BA263" s="1">
        <f>MIN(6,Q263+0)</f>
        <v>2</v>
      </c>
      <c r="BB263" s="1">
        <f t="shared" si="372"/>
        <v>5</v>
      </c>
      <c r="BC263" s="1">
        <f t="shared" si="353"/>
        <v>0</v>
      </c>
      <c r="BD263" s="1">
        <f t="shared" ref="BD263:BD297" si="388">MAX(0,T263-IF(AO263&gt;0,1,0))+0</f>
        <v>0</v>
      </c>
      <c r="BE263" s="1">
        <f t="shared" si="373"/>
        <v>0</v>
      </c>
      <c r="BF263" s="1">
        <f>MIN(4,V263+1)</f>
        <v>1</v>
      </c>
      <c r="BG263" s="1">
        <f t="shared" si="377"/>
        <v>1</v>
      </c>
      <c r="BH263" s="1">
        <f t="shared" si="374"/>
        <v>1</v>
      </c>
      <c r="BI263" s="1">
        <f t="shared" si="378"/>
        <v>1</v>
      </c>
      <c r="BJ263" s="1">
        <f t="shared" si="348"/>
        <v>0</v>
      </c>
      <c r="BK263" s="1">
        <f t="shared" si="349"/>
        <v>0</v>
      </c>
      <c r="BL263" s="1">
        <f t="shared" si="354"/>
        <v>0</v>
      </c>
      <c r="BM263" s="1">
        <f t="shared" si="352"/>
        <v>0</v>
      </c>
      <c r="BN263" s="1">
        <f t="shared" si="375"/>
        <v>1</v>
      </c>
      <c r="BO263" s="1">
        <f t="shared" si="376"/>
        <v>1</v>
      </c>
    </row>
    <row r="264" spans="1:67" ht="30.95" customHeight="1">
      <c r="A264" s="1">
        <f>7</f>
        <v>7</v>
      </c>
      <c r="B264" s="1">
        <f>固定流程!A12</f>
        <v>7</v>
      </c>
      <c r="C264" s="1">
        <f>10</f>
        <v>10</v>
      </c>
      <c r="D264" s="1">
        <f>1</f>
        <v>1</v>
      </c>
      <c r="E264" s="1">
        <f>固定流程!C12</f>
        <v>1</v>
      </c>
      <c r="F264" s="1">
        <f>固定流程!G12</f>
        <v>4</v>
      </c>
      <c r="G264" s="1" t="str">
        <f>固定流程!H12</f>
        <v>J_HARD</v>
      </c>
      <c r="H264" s="1">
        <f>固定流程!F12</f>
        <v>1</v>
      </c>
      <c r="I264" s="1">
        <f>INDEX(配置与结果!$B$15:$B$18,F264)</f>
        <v>1906</v>
      </c>
      <c r="J264" s="1">
        <f>INDEX(配置与结果!$D$15:$D$18,F264)</f>
        <v>0.36699999999999999</v>
      </c>
      <c r="K264" s="1">
        <f>INDEX(配置与结果!$E$15:$E$18,F264)</f>
        <v>1.7170000000000001</v>
      </c>
      <c r="L264" s="1">
        <f t="shared" si="358"/>
        <v>1</v>
      </c>
      <c r="M264" s="1">
        <f t="shared" si="358"/>
        <v>7</v>
      </c>
      <c r="N264" s="1">
        <f t="shared" si="358"/>
        <v>0</v>
      </c>
      <c r="O264" s="1">
        <f t="shared" si="358"/>
        <v>6</v>
      </c>
      <c r="P264" s="1">
        <f>MIN(方案参数!$AI$10,AZ263+0+0)</f>
        <v>3</v>
      </c>
      <c r="Q264" s="1">
        <f t="shared" si="359"/>
        <v>2</v>
      </c>
      <c r="R264" s="1">
        <f t="shared" si="360"/>
        <v>5</v>
      </c>
      <c r="S264" s="1">
        <f t="shared" si="361"/>
        <v>0</v>
      </c>
      <c r="T264" s="1">
        <f t="shared" si="362"/>
        <v>0</v>
      </c>
      <c r="U264" s="1">
        <f t="shared" si="363"/>
        <v>0</v>
      </c>
      <c r="V264" s="1">
        <f t="shared" si="364"/>
        <v>1</v>
      </c>
      <c r="W264" s="1">
        <f t="shared" si="365"/>
        <v>1</v>
      </c>
      <c r="X264" s="1">
        <f t="shared" si="366"/>
        <v>1</v>
      </c>
      <c r="Y264" s="1">
        <f t="shared" si="367"/>
        <v>1</v>
      </c>
      <c r="Z264" s="1">
        <f t="shared" si="368"/>
        <v>0</v>
      </c>
      <c r="AA264" s="1">
        <f t="shared" si="369"/>
        <v>0</v>
      </c>
      <c r="AB264" s="1">
        <f t="shared" si="370"/>
        <v>0</v>
      </c>
      <c r="AC264" s="1">
        <f t="shared" si="371"/>
        <v>0</v>
      </c>
      <c r="AD264" s="1">
        <f>ROUNDDOWN(I264*(1+IF(F264=3,0.05+方案参数!$Y$10+AA264*0.12,IF(F264=4,方案参数!$BZ$10*方案参数!$AS$10,0)))+IF(AND(X264=1,F264&lt;&gt;3),方案参数!$CC$10,0)+AC264*方案参数!$CB$10,0)</f>
        <v>2811</v>
      </c>
      <c r="AE264" s="1">
        <f>IF(OR(F264=1,F264=4),配置与结果!$B$24,配置与结果!$B$25)*MAX(0,1-INDEX(配置与结果!$I$15:$I$18,F264))</f>
        <v>1200</v>
      </c>
      <c r="AF264" s="1">
        <f>3.6*IF(H264=1,1,IF(H264=2,1.5,2.5))</f>
        <v>3.6</v>
      </c>
      <c r="AG264" s="1">
        <f>MAX(配置与结果!$B$32,1+INDEX(配置与结果!$F$15:$F$18,F264)+0.08+Q264*方案参数!$W$10+Y264*(方案参数!$AN$10+MIN(方案参数!$AO$10,P264*0.03))+AB264*方案参数!$BZ$10*0.025+0.1+IF(方案参数!$BZ$10&gt;=30,方案参数!$BZ$10*0.01,0)-配置与结果!$B$28)</f>
        <v>1.4350000000000001</v>
      </c>
      <c r="AH264" s="1">
        <f>MAX(0,1+INDEX(配置与结果!$G$15:$G$18,F264)+W264*方案参数!$AG$10)</f>
        <v>1.3</v>
      </c>
      <c r="AI264" s="1">
        <f>IF(OR(INDEX(配置与结果!$K$15:$K$18,F264)=1,G264="RHI_BERRY"),1+配置与结果!$B$33+P264*方案参数!$AH$10,1)</f>
        <v>1</v>
      </c>
      <c r="AJ264" s="1">
        <f>MIN(1,MAX(0,J264+方案参数!$AB$10-配置与结果!$B$27))</f>
        <v>0.66700000000000004</v>
      </c>
      <c r="AK264" s="1">
        <f>MAX(1,K264+IF(F264=2,0.15+方案参数!$CH$10,0)+BN264*方案参数!$X$10+R264*方案参数!$AA$10+0-配置与结果!$B$26+Z264*(方案参数!$AP$10+MIN(方案参数!$AQ$10,P264*0.03)))</f>
        <v>1.4969999999999999</v>
      </c>
      <c r="AL264" s="7">
        <f>ROUNDDOWN(MAX(AD264*配置与结果!$B$31,AD264-AE264)*AF264*AG264*AH264*AI264,0)</f>
        <v>10819</v>
      </c>
      <c r="AM264" s="7">
        <f>ROUNDDOWN(MAX(AD264*配置与结果!$B$31,AD264-AE264)*AF264*AG264*AH264*AI264*AK264,0)</f>
        <v>16196</v>
      </c>
      <c r="AN264" s="7">
        <f t="shared" si="380"/>
        <v>14405.458999999999</v>
      </c>
      <c r="AO264" s="7">
        <f>0</f>
        <v>0</v>
      </c>
      <c r="AP264" s="7">
        <f>MAX(0,1+INDEX(配置与结果!$J$15:$J$18,F264)+IF(T264&gt;0,方案参数!$BY$10,0)-配置与结果!$B$30)</f>
        <v>1</v>
      </c>
      <c r="AQ264" s="7">
        <f t="shared" si="381"/>
        <v>0</v>
      </c>
      <c r="AR264" s="7">
        <f t="shared" si="382"/>
        <v>0</v>
      </c>
      <c r="AS264" s="7">
        <f t="shared" si="383"/>
        <v>0</v>
      </c>
      <c r="AT264" s="7">
        <f>0</f>
        <v>0</v>
      </c>
      <c r="AU264" s="7">
        <f t="shared" si="384"/>
        <v>14405.458999999999</v>
      </c>
      <c r="AV264" s="1">
        <f t="shared" si="385"/>
        <v>1</v>
      </c>
      <c r="AW264" s="1">
        <f>MIN(10,M264+0+0)</f>
        <v>7</v>
      </c>
      <c r="AX264" s="1">
        <f t="shared" si="386"/>
        <v>0</v>
      </c>
      <c r="AY264" s="1">
        <f t="shared" si="379"/>
        <v>6</v>
      </c>
      <c r="AZ264" s="1">
        <f t="shared" si="387"/>
        <v>3</v>
      </c>
      <c r="BA264" s="1">
        <f>MIN(6,Q264+0)</f>
        <v>2</v>
      </c>
      <c r="BB264" s="1">
        <f t="shared" si="372"/>
        <v>5</v>
      </c>
      <c r="BC264" s="1">
        <f>MIN(3,S264+1)</f>
        <v>1</v>
      </c>
      <c r="BD264" s="1">
        <f t="shared" si="388"/>
        <v>0</v>
      </c>
      <c r="BE264" s="1">
        <f t="shared" si="373"/>
        <v>0</v>
      </c>
      <c r="BF264" s="1">
        <f>MIN(4,V264+0)</f>
        <v>1</v>
      </c>
      <c r="BG264" s="1">
        <f t="shared" si="377"/>
        <v>1</v>
      </c>
      <c r="BH264" s="1">
        <f t="shared" si="374"/>
        <v>1</v>
      </c>
      <c r="BI264" s="1">
        <f t="shared" si="378"/>
        <v>1</v>
      </c>
      <c r="BJ264" s="1">
        <f t="shared" si="348"/>
        <v>0</v>
      </c>
      <c r="BK264" s="1">
        <f t="shared" si="349"/>
        <v>0</v>
      </c>
      <c r="BL264" s="1">
        <f t="shared" si="354"/>
        <v>0</v>
      </c>
      <c r="BM264" s="1">
        <f t="shared" si="352"/>
        <v>0</v>
      </c>
      <c r="BN264" s="1">
        <f t="shared" si="375"/>
        <v>1</v>
      </c>
      <c r="BO264" s="1">
        <f t="shared" si="376"/>
        <v>1</v>
      </c>
    </row>
    <row r="265" spans="1:67" ht="30.95" customHeight="1">
      <c r="A265" s="1">
        <f>7</f>
        <v>7</v>
      </c>
      <c r="B265" s="1">
        <f>固定流程!A13</f>
        <v>8</v>
      </c>
      <c r="C265" s="1">
        <f>10</f>
        <v>10</v>
      </c>
      <c r="D265" s="1">
        <f>1</f>
        <v>1</v>
      </c>
      <c r="E265" s="1">
        <f>固定流程!C13</f>
        <v>2</v>
      </c>
      <c r="F265" s="1">
        <f>固定流程!G13</f>
        <v>3</v>
      </c>
      <c r="G265" s="1" t="str">
        <f>固定流程!H13</f>
        <v>RHI_ATTACK</v>
      </c>
      <c r="H265" s="1">
        <f>固定流程!F13</f>
        <v>1</v>
      </c>
      <c r="I265" s="1">
        <f>INDEX(配置与结果!$B$15:$B$18,F265)</f>
        <v>2597</v>
      </c>
      <c r="J265" s="1">
        <f>INDEX(配置与结果!$D$15:$D$18,F265)</f>
        <v>0.255</v>
      </c>
      <c r="K265" s="1">
        <f>INDEX(配置与结果!$E$15:$E$18,F265)</f>
        <v>1.55</v>
      </c>
      <c r="L265" s="1">
        <f>IF(AV264=1,IF(M265&gt;=10,2,1),IF(AV264=2,IF(AX264&lt;=1,0,2),0))</f>
        <v>2</v>
      </c>
      <c r="M265" s="1">
        <f>IF(AND(AV264=2,AX264&lt;=1),0,MIN(10,AW264+IF(AV264=1,3,0)))</f>
        <v>10</v>
      </c>
      <c r="N265" s="1">
        <f>IF(AND(AV264=1,M265&gt;=10),2,IF(AV264=2,MAX(0,AX264-1),0))</f>
        <v>2</v>
      </c>
      <c r="O265" s="1">
        <f t="shared" ref="O265:O293" si="389">AY264</f>
        <v>6</v>
      </c>
      <c r="P265" s="1">
        <f>MIN(方案参数!$AI$10,AZ264+方案参数!$AJ$10+方案参数!$AK$10)</f>
        <v>5</v>
      </c>
      <c r="Q265" s="1">
        <f t="shared" si="359"/>
        <v>2</v>
      </c>
      <c r="R265" s="1">
        <f t="shared" si="360"/>
        <v>5</v>
      </c>
      <c r="S265" s="1">
        <f t="shared" si="361"/>
        <v>1</v>
      </c>
      <c r="T265" s="1">
        <f t="shared" si="362"/>
        <v>0</v>
      </c>
      <c r="U265" s="1">
        <f t="shared" si="363"/>
        <v>0</v>
      </c>
      <c r="V265" s="1">
        <f t="shared" si="364"/>
        <v>1</v>
      </c>
      <c r="W265" s="1">
        <f t="shared" si="365"/>
        <v>1</v>
      </c>
      <c r="X265" s="1">
        <f t="shared" si="366"/>
        <v>1</v>
      </c>
      <c r="Y265" s="1">
        <f t="shared" si="367"/>
        <v>1</v>
      </c>
      <c r="Z265" s="1">
        <f t="shared" si="368"/>
        <v>0</v>
      </c>
      <c r="AA265" s="1">
        <f>MAX(BK264,1)</f>
        <v>1</v>
      </c>
      <c r="AB265" s="1">
        <f t="shared" si="370"/>
        <v>0</v>
      </c>
      <c r="AC265" s="1">
        <f t="shared" si="371"/>
        <v>0</v>
      </c>
      <c r="AD265" s="1">
        <f>ROUNDDOWN(I265*(1+IF(F265=3,0.05+方案参数!$Y$10+AA265*0.12,IF(F265=4,方案参数!$BZ$10*方案参数!$AS$10,0)))+IF(AND(X265=1,F265&lt;&gt;3),方案参数!$CC$10,0)+AC265*方案参数!$CB$10,0)</f>
        <v>3298</v>
      </c>
      <c r="AE265" s="1">
        <f>IF(OR(F265=1,F265=4),配置与结果!$B$24,配置与结果!$B$25)*MAX(0,1-INDEX(配置与结果!$I$15:$I$18,F265))</f>
        <v>1000</v>
      </c>
      <c r="AF265" s="1">
        <f>4</f>
        <v>4</v>
      </c>
      <c r="AG265" s="1">
        <f>MAX(配置与结果!$B$32,1+INDEX(配置与结果!$F$15:$F$18,F265)+0+Q265*方案参数!$W$10+Y265*(方案参数!$AN$10+MIN(方案参数!$AO$10,P265*0.03))+AB265*方案参数!$BZ$10*0.025-配置与结果!$B$28)</f>
        <v>0.97499999999999998</v>
      </c>
      <c r="AH265" s="1">
        <f>MAX(0,1+INDEX(配置与结果!$G$15:$G$18,F265)+W265*方案参数!$AG$10)</f>
        <v>1.3</v>
      </c>
      <c r="AI265" s="1">
        <f>IF(OR(INDEX(配置与结果!$K$15:$K$18,F265)=1,G265="RHI_BERRY"),1+配置与结果!$B$33+P265*方案参数!$AH$10,1)</f>
        <v>1</v>
      </c>
      <c r="AJ265" s="1">
        <f>MIN(1,MAX(0,J265+方案参数!$AB$10-配置与结果!$B$27))</f>
        <v>0.55499999999999994</v>
      </c>
      <c r="AK265" s="1">
        <f>MAX(1,K265+IF(F265=2,0.15+方案参数!$CH$10,0)+BN265*方案参数!$X$10+R265*方案参数!$AA$10+0-配置与结果!$B$26+Z265*(方案参数!$AP$10+MIN(方案参数!$AQ$10,P265*0.03)))</f>
        <v>1.33</v>
      </c>
      <c r="AL265" s="7">
        <f>ROUNDDOWN(MAX(AD265*配置与结果!$B$31,AD265-AE265)*AF265*AG265*AH265*AI265,0)</f>
        <v>11650</v>
      </c>
      <c r="AM265" s="7">
        <f>ROUNDDOWN(MAX(AD265*配置与结果!$B$31,AD265-AE265)*AF265*AG265*AH265*AI265*AK265,0)</f>
        <v>15495</v>
      </c>
      <c r="AN265" s="7">
        <f t="shared" si="380"/>
        <v>13783.974999999999</v>
      </c>
      <c r="AO265" s="7">
        <f>0</f>
        <v>0</v>
      </c>
      <c r="AP265" s="7">
        <f>MAX(0,1+INDEX(配置与结果!$J$15:$J$18,F265)+IF(T265&gt;0,方案参数!$BY$10,0)-配置与结果!$B$30)</f>
        <v>1</v>
      </c>
      <c r="AQ265" s="7">
        <f t="shared" si="381"/>
        <v>0</v>
      </c>
      <c r="AR265" s="7">
        <f t="shared" si="382"/>
        <v>0</v>
      </c>
      <c r="AS265" s="7">
        <f t="shared" si="383"/>
        <v>0</v>
      </c>
      <c r="AT265" s="7">
        <f>0</f>
        <v>0</v>
      </c>
      <c r="AU265" s="7">
        <f t="shared" si="384"/>
        <v>13783.974999999999</v>
      </c>
      <c r="AV265" s="1">
        <f t="shared" si="385"/>
        <v>2</v>
      </c>
      <c r="AW265" s="1">
        <f>MIN(10,M265+0+0)</f>
        <v>10</v>
      </c>
      <c r="AX265" s="1">
        <f t="shared" si="386"/>
        <v>2</v>
      </c>
      <c r="AY265" s="1">
        <f t="shared" si="379"/>
        <v>6</v>
      </c>
      <c r="AZ265" s="1">
        <f t="shared" si="387"/>
        <v>5</v>
      </c>
      <c r="BA265" s="1">
        <f>MIN(6,Q265+1)</f>
        <v>3</v>
      </c>
      <c r="BB265" s="1">
        <f t="shared" si="372"/>
        <v>5</v>
      </c>
      <c r="BC265" s="1">
        <f>MIN(3,S265+0)</f>
        <v>1</v>
      </c>
      <c r="BD265" s="1">
        <f t="shared" si="388"/>
        <v>0</v>
      </c>
      <c r="BE265" s="1">
        <f t="shared" si="373"/>
        <v>0</v>
      </c>
      <c r="BF265" s="1">
        <f>MIN(4,V265+0)</f>
        <v>1</v>
      </c>
      <c r="BG265" s="1">
        <f t="shared" si="377"/>
        <v>1</v>
      </c>
      <c r="BH265" s="1">
        <f t="shared" si="374"/>
        <v>1</v>
      </c>
      <c r="BI265" s="1">
        <f t="shared" si="378"/>
        <v>1</v>
      </c>
      <c r="BJ265" s="1">
        <f>MAX(Z265,1)</f>
        <v>1</v>
      </c>
      <c r="BK265" s="1">
        <f>MAX(AA265,1)</f>
        <v>1</v>
      </c>
      <c r="BL265" s="1">
        <f t="shared" si="354"/>
        <v>0</v>
      </c>
      <c r="BM265" s="1">
        <f t="shared" si="352"/>
        <v>0</v>
      </c>
      <c r="BN265" s="1">
        <f t="shared" si="375"/>
        <v>1</v>
      </c>
      <c r="BO265" s="1">
        <f t="shared" si="376"/>
        <v>1</v>
      </c>
    </row>
    <row r="266" spans="1:67" ht="30.95" customHeight="1">
      <c r="A266" s="1">
        <f>7</f>
        <v>7</v>
      </c>
      <c r="B266" s="1">
        <f>固定流程!A14</f>
        <v>9</v>
      </c>
      <c r="C266" s="1">
        <f>10</f>
        <v>10</v>
      </c>
      <c r="D266" s="1">
        <f>1</f>
        <v>1</v>
      </c>
      <c r="E266" s="1">
        <f>固定流程!C14</f>
        <v>2</v>
      </c>
      <c r="F266" s="1">
        <f>固定流程!G14</f>
        <v>1</v>
      </c>
      <c r="G266" s="1" t="str">
        <f>固定流程!H14</f>
        <v>LILYA_DIVE</v>
      </c>
      <c r="H266" s="1">
        <f>固定流程!F14</f>
        <v>3</v>
      </c>
      <c r="I266" s="1">
        <f>INDEX(配置与结果!$B$15:$B$18,F266)</f>
        <v>2296</v>
      </c>
      <c r="J266" s="1">
        <f>INDEX(配置与结果!$D$15:$D$18,F266)</f>
        <v>0.7</v>
      </c>
      <c r="K266" s="1">
        <f>INDEX(配置与结果!$E$15:$E$18,F266)</f>
        <v>2.0249999999999999</v>
      </c>
      <c r="L266" s="1">
        <f t="shared" ref="L266:N270" si="390">AV265</f>
        <v>2</v>
      </c>
      <c r="M266" s="1">
        <f t="shared" si="390"/>
        <v>10</v>
      </c>
      <c r="N266" s="1">
        <f t="shared" si="390"/>
        <v>2</v>
      </c>
      <c r="O266" s="1">
        <f t="shared" si="389"/>
        <v>6</v>
      </c>
      <c r="P266" s="1">
        <f>MIN(方案参数!$AI$10,AZ265+0+0)</f>
        <v>5</v>
      </c>
      <c r="Q266" s="1">
        <f t="shared" si="359"/>
        <v>3</v>
      </c>
      <c r="R266" s="1">
        <f t="shared" si="360"/>
        <v>5</v>
      </c>
      <c r="S266" s="1">
        <f t="shared" si="361"/>
        <v>1</v>
      </c>
      <c r="T266" s="1">
        <f t="shared" si="362"/>
        <v>0</v>
      </c>
      <c r="U266" s="1">
        <f t="shared" si="363"/>
        <v>0</v>
      </c>
      <c r="V266" s="1">
        <f t="shared" si="364"/>
        <v>1</v>
      </c>
      <c r="W266" s="1">
        <f t="shared" si="365"/>
        <v>1</v>
      </c>
      <c r="X266" s="1">
        <f t="shared" si="366"/>
        <v>1</v>
      </c>
      <c r="Y266" s="1">
        <f t="shared" si="367"/>
        <v>1</v>
      </c>
      <c r="Z266" s="1">
        <f t="shared" si="368"/>
        <v>1</v>
      </c>
      <c r="AA266" s="1">
        <f t="shared" ref="AA266:AA271" si="391">MAX(BK265,0)</f>
        <v>1</v>
      </c>
      <c r="AB266" s="1">
        <f t="shared" si="370"/>
        <v>0</v>
      </c>
      <c r="AC266" s="1">
        <f t="shared" si="371"/>
        <v>0</v>
      </c>
      <c r="AD266" s="1">
        <f>ROUNDDOWN(I266*(1+IF(F266=3,0.05+方案参数!$Y$10+AA266*0.12,IF(F266=4,方案参数!$BZ$10*方案参数!$AS$10,0)))+IF(AND(X266=1,F266&lt;&gt;3),方案参数!$CC$10,0)+AC266*方案参数!$CB$10,0)</f>
        <v>2534</v>
      </c>
      <c r="AE266" s="1">
        <f>IF(OR(F266=1,F266=4),配置与结果!$B$24,配置与结果!$B$25)*MAX(0,1-INDEX(配置与结果!$I$15:$I$18,F266))</f>
        <v>1200</v>
      </c>
      <c r="AF266" s="1">
        <f>(IF(L266=1,方案参数!$AW$10,IF(L266=2,方案参数!$AX$10,0))+方案参数!$AV$10)*H266</f>
        <v>45</v>
      </c>
      <c r="AG266" s="1">
        <f>MAX(配置与结果!$B$32,1+INDEX(配置与结果!$F$15:$F$18,F266)+0.08+方案参数!$CD$10+Q266*方案参数!$W$10+Y266*(方案参数!$AN$10+MIN(方案参数!$AO$10,P266*0.03))+AB266*方案参数!$BZ$10*0.025+IF(L266=1,方案参数!$AY$10+(H266-1)*0.1,IF(L266=2,方案参数!$AZ$10+(H266-1)*0.2,0))-配置与结果!$B$28)</f>
        <v>2.3000000000000003</v>
      </c>
      <c r="AH266" s="1">
        <f>MAX(0,1+INDEX(配置与结果!$G$15:$G$18,F266)+W266*方案参数!$AG$10+IF(L266=1,方案参数!$BA$10,IF(L266=2,方案参数!$BB$10,0))+M266*方案参数!$BC$10)</f>
        <v>4.3</v>
      </c>
      <c r="AI266" s="1">
        <f>IF(OR(INDEX(配置与结果!$K$15:$K$18,F266)=1,G266="RHI_BERRY"),1+配置与结果!$B$33+P266*方案参数!$AH$10,1)</f>
        <v>1</v>
      </c>
      <c r="AJ266" s="1">
        <f>MIN(1,MAX(0,J266+方案参数!$AB$10-配置与结果!$B$27))</f>
        <v>1</v>
      </c>
      <c r="AK266" s="1">
        <f>MAX(1,K266+IF(F266=2,0.15+方案参数!$CH$10,0)+BN266*方案参数!$X$10+R266*方案参数!$AA$10+0-配置与结果!$B$26+Z266*(方案参数!$AP$10+MIN(方案参数!$AQ$10,P266*0.03)))</f>
        <v>2.105</v>
      </c>
      <c r="AL266" s="7">
        <f>ROUNDDOWN(MAX(AD266*配置与结果!$B$31,AD266-AE266)*AF266*AG266*AH266*AI266,0)</f>
        <v>593696</v>
      </c>
      <c r="AM266" s="7">
        <f>ROUNDDOWN(MAX(AD266*配置与结果!$B$31,AD266-AE266)*AF266*AG266*AH266*AI266*AK266,0)</f>
        <v>1249731</v>
      </c>
      <c r="AN266" s="7">
        <f t="shared" si="380"/>
        <v>1249731</v>
      </c>
      <c r="AO266" s="7">
        <f>0</f>
        <v>0</v>
      </c>
      <c r="AP266" s="7">
        <f>MAX(0,1+INDEX(配置与结果!$J$15:$J$18,F266)+IF(T266&gt;0,方案参数!$BY$10,0)-配置与结果!$B$30)</f>
        <v>1</v>
      </c>
      <c r="AQ266" s="7">
        <f t="shared" si="381"/>
        <v>0</v>
      </c>
      <c r="AR266" s="7">
        <f t="shared" si="382"/>
        <v>0</v>
      </c>
      <c r="AS266" s="7">
        <f t="shared" si="383"/>
        <v>0</v>
      </c>
      <c r="AT266" s="7">
        <f>0</f>
        <v>0</v>
      </c>
      <c r="AU266" s="7">
        <f t="shared" si="384"/>
        <v>1249731</v>
      </c>
      <c r="AV266" s="1">
        <f t="shared" si="385"/>
        <v>2</v>
      </c>
      <c r="AW266" s="1">
        <f>MIN(10,M266+0+IF(L266=1,方案参数!$BE$10,0))</f>
        <v>10</v>
      </c>
      <c r="AX266" s="1">
        <f t="shared" si="386"/>
        <v>2</v>
      </c>
      <c r="AY266" s="1">
        <f t="shared" si="379"/>
        <v>6</v>
      </c>
      <c r="AZ266" s="1">
        <f t="shared" si="387"/>
        <v>5</v>
      </c>
      <c r="BA266" s="1">
        <f>MIN(6,Q266+0)</f>
        <v>3</v>
      </c>
      <c r="BB266" s="1">
        <f t="shared" si="372"/>
        <v>5</v>
      </c>
      <c r="BC266" s="1">
        <f>MIN(3,S266+0)</f>
        <v>1</v>
      </c>
      <c r="BD266" s="1">
        <f t="shared" si="388"/>
        <v>0</v>
      </c>
      <c r="BE266" s="1">
        <f t="shared" si="373"/>
        <v>0</v>
      </c>
      <c r="BF266" s="1">
        <f>MIN(4,V266+0)</f>
        <v>1</v>
      </c>
      <c r="BG266" s="1">
        <f t="shared" si="377"/>
        <v>1</v>
      </c>
      <c r="BH266" s="1">
        <f t="shared" si="374"/>
        <v>1</v>
      </c>
      <c r="BI266" s="1">
        <f t="shared" si="378"/>
        <v>1</v>
      </c>
      <c r="BJ266" s="1">
        <f t="shared" ref="BJ266:BK271" si="392">MAX(Z266,0)</f>
        <v>1</v>
      </c>
      <c r="BK266" s="1">
        <f t="shared" si="392"/>
        <v>1</v>
      </c>
      <c r="BL266" s="1">
        <f t="shared" si="354"/>
        <v>0</v>
      </c>
      <c r="BM266" s="1">
        <f t="shared" si="352"/>
        <v>0</v>
      </c>
      <c r="BN266" s="1">
        <f t="shared" si="375"/>
        <v>1</v>
      </c>
      <c r="BO266" s="1">
        <f t="shared" si="376"/>
        <v>1</v>
      </c>
    </row>
    <row r="267" spans="1:67" ht="30.95" customHeight="1">
      <c r="A267" s="1">
        <f>7</f>
        <v>7</v>
      </c>
      <c r="B267" s="1">
        <f>固定流程!A15</f>
        <v>10</v>
      </c>
      <c r="C267" s="1">
        <f>10</f>
        <v>10</v>
      </c>
      <c r="D267" s="1">
        <f>1</f>
        <v>1</v>
      </c>
      <c r="E267" s="1">
        <f>固定流程!C15</f>
        <v>2</v>
      </c>
      <c r="F267" s="1">
        <f>固定流程!G15</f>
        <v>4</v>
      </c>
      <c r="G267" s="1" t="str">
        <f>固定流程!H15</f>
        <v>J_HARD</v>
      </c>
      <c r="H267" s="1">
        <f>固定流程!F15</f>
        <v>1</v>
      </c>
      <c r="I267" s="1">
        <f>INDEX(配置与结果!$B$15:$B$18,F267)</f>
        <v>1906</v>
      </c>
      <c r="J267" s="1">
        <f>INDEX(配置与结果!$D$15:$D$18,F267)</f>
        <v>0.36699999999999999</v>
      </c>
      <c r="K267" s="1">
        <f>INDEX(配置与结果!$E$15:$E$18,F267)</f>
        <v>1.7170000000000001</v>
      </c>
      <c r="L267" s="1">
        <f t="shared" si="390"/>
        <v>2</v>
      </c>
      <c r="M267" s="1">
        <f t="shared" si="390"/>
        <v>10</v>
      </c>
      <c r="N267" s="1">
        <f t="shared" si="390"/>
        <v>2</v>
      </c>
      <c r="O267" s="1">
        <f t="shared" si="389"/>
        <v>6</v>
      </c>
      <c r="P267" s="1">
        <f>MIN(方案参数!$AI$10,AZ266+0+0)</f>
        <v>5</v>
      </c>
      <c r="Q267" s="1">
        <f t="shared" si="359"/>
        <v>3</v>
      </c>
      <c r="R267" s="1">
        <f t="shared" si="360"/>
        <v>5</v>
      </c>
      <c r="S267" s="1">
        <f t="shared" si="361"/>
        <v>1</v>
      </c>
      <c r="T267" s="1">
        <f t="shared" si="362"/>
        <v>0</v>
      </c>
      <c r="U267" s="1">
        <f t="shared" si="363"/>
        <v>0</v>
      </c>
      <c r="V267" s="1">
        <f t="shared" si="364"/>
        <v>1</v>
      </c>
      <c r="W267" s="1">
        <f t="shared" si="365"/>
        <v>1</v>
      </c>
      <c r="X267" s="1">
        <f t="shared" si="366"/>
        <v>1</v>
      </c>
      <c r="Y267" s="1">
        <f t="shared" si="367"/>
        <v>1</v>
      </c>
      <c r="Z267" s="1">
        <f t="shared" si="368"/>
        <v>1</v>
      </c>
      <c r="AA267" s="1">
        <f t="shared" si="391"/>
        <v>1</v>
      </c>
      <c r="AB267" s="1">
        <f t="shared" si="370"/>
        <v>0</v>
      </c>
      <c r="AC267" s="1">
        <f t="shared" si="371"/>
        <v>0</v>
      </c>
      <c r="AD267" s="1">
        <f>ROUNDDOWN(I267*(1+IF(F267=3,0.05+方案参数!$Y$10+AA267*0.12,IF(F267=4,方案参数!$BZ$10*方案参数!$AS$10,0)))+IF(AND(X267=1,F267&lt;&gt;3),方案参数!$CC$10,0)+AC267*方案参数!$CB$10,0)</f>
        <v>2811</v>
      </c>
      <c r="AE267" s="1">
        <f>IF(OR(F267=1,F267=4),配置与结果!$B$24,配置与结果!$B$25)*MAX(0,1-INDEX(配置与结果!$I$15:$I$18,F267))</f>
        <v>1200</v>
      </c>
      <c r="AF267" s="1">
        <f>3.6*IF(H267=1,1,IF(H267=2,1.5,2.5))</f>
        <v>3.6</v>
      </c>
      <c r="AG267" s="1">
        <f>MAX(配置与结果!$B$32,1+INDEX(配置与结果!$F$15:$F$18,F267)+0.08+Q267*方案参数!$W$10+Y267*(方案参数!$AN$10+MIN(方案参数!$AO$10,P267*0.03))+AB267*方案参数!$BZ$10*0.025+0.1+IF(方案参数!$BZ$10&gt;=30,方案参数!$BZ$10*0.01,0)-配置与结果!$B$28)</f>
        <v>1.5150000000000001</v>
      </c>
      <c r="AH267" s="1">
        <f>MAX(0,1+INDEX(配置与结果!$G$15:$G$18,F267)+W267*方案参数!$AG$10)</f>
        <v>1.3</v>
      </c>
      <c r="AI267" s="1">
        <f>IF(OR(INDEX(配置与结果!$K$15:$K$18,F267)=1,G267="RHI_BERRY"),1+配置与结果!$B$33+P267*方案参数!$AH$10,1)</f>
        <v>1</v>
      </c>
      <c r="AJ267" s="1">
        <f>MIN(1,MAX(0,J267+方案参数!$AB$10-配置与结果!$B$27))</f>
        <v>0.66700000000000004</v>
      </c>
      <c r="AK267" s="1">
        <f>MAX(1,K267+IF(F267=2,0.15+方案参数!$CH$10,0)+BN267*方案参数!$X$10+R267*方案参数!$AA$10+0-配置与结果!$B$26+Z267*(方案参数!$AP$10+MIN(方案参数!$AQ$10,P267*0.03)))</f>
        <v>1.7969999999999999</v>
      </c>
      <c r="AL267" s="7">
        <f>ROUNDDOWN(MAX(AD267*配置与结果!$B$31,AD267-AE267)*AF267*AG267*AH267*AI267,0)</f>
        <v>11422</v>
      </c>
      <c r="AM267" s="7">
        <f>ROUNDDOWN(MAX(AD267*配置与结果!$B$31,AD267-AE267)*AF267*AG267*AH267*AI267*AK267,0)</f>
        <v>20525</v>
      </c>
      <c r="AN267" s="7">
        <f t="shared" si="380"/>
        <v>17493.701000000001</v>
      </c>
      <c r="AO267" s="7">
        <f>0</f>
        <v>0</v>
      </c>
      <c r="AP267" s="7">
        <f>MAX(0,1+INDEX(配置与结果!$J$15:$J$18,F267)+IF(T267&gt;0,方案参数!$BY$10,0)-配置与结果!$B$30)</f>
        <v>1</v>
      </c>
      <c r="AQ267" s="7">
        <f t="shared" si="381"/>
        <v>0</v>
      </c>
      <c r="AR267" s="7">
        <f t="shared" si="382"/>
        <v>0</v>
      </c>
      <c r="AS267" s="7">
        <f t="shared" si="383"/>
        <v>0</v>
      </c>
      <c r="AT267" s="7">
        <f>0</f>
        <v>0</v>
      </c>
      <c r="AU267" s="7">
        <f t="shared" si="384"/>
        <v>17493.701000000001</v>
      </c>
      <c r="AV267" s="1">
        <f t="shared" si="385"/>
        <v>2</v>
      </c>
      <c r="AW267" s="1">
        <f t="shared" ref="AW267:AW277" si="393">MIN(10,M267+0+0)</f>
        <v>10</v>
      </c>
      <c r="AX267" s="1">
        <f t="shared" si="386"/>
        <v>2</v>
      </c>
      <c r="AY267" s="1">
        <f t="shared" si="379"/>
        <v>6</v>
      </c>
      <c r="AZ267" s="1">
        <f t="shared" si="387"/>
        <v>5</v>
      </c>
      <c r="BA267" s="1">
        <f>MIN(6,Q267+0)</f>
        <v>3</v>
      </c>
      <c r="BB267" s="1">
        <f t="shared" si="372"/>
        <v>5</v>
      </c>
      <c r="BC267" s="1">
        <f>MIN(3,S267+1)</f>
        <v>2</v>
      </c>
      <c r="BD267" s="1">
        <f t="shared" si="388"/>
        <v>0</v>
      </c>
      <c r="BE267" s="1">
        <f t="shared" si="373"/>
        <v>0</v>
      </c>
      <c r="BF267" s="1">
        <f>MIN(4,V267+0)</f>
        <v>1</v>
      </c>
      <c r="BG267" s="1">
        <f t="shared" si="377"/>
        <v>1</v>
      </c>
      <c r="BH267" s="1">
        <f t="shared" si="374"/>
        <v>1</v>
      </c>
      <c r="BI267" s="1">
        <f t="shared" si="378"/>
        <v>1</v>
      </c>
      <c r="BJ267" s="1">
        <f t="shared" si="392"/>
        <v>1</v>
      </c>
      <c r="BK267" s="1">
        <f t="shared" si="392"/>
        <v>1</v>
      </c>
      <c r="BL267" s="1">
        <f t="shared" si="354"/>
        <v>0</v>
      </c>
      <c r="BM267" s="1">
        <f t="shared" si="352"/>
        <v>0</v>
      </c>
      <c r="BN267" s="1">
        <f t="shared" si="375"/>
        <v>1</v>
      </c>
      <c r="BO267" s="1">
        <f t="shared" si="376"/>
        <v>1</v>
      </c>
    </row>
    <row r="268" spans="1:67" ht="30.95" customHeight="1">
      <c r="A268" s="1">
        <f>7</f>
        <v>7</v>
      </c>
      <c r="B268" s="1">
        <f>固定流程!A16</f>
        <v>11</v>
      </c>
      <c r="C268" s="1">
        <f>10</f>
        <v>10</v>
      </c>
      <c r="D268" s="1">
        <f>1</f>
        <v>1</v>
      </c>
      <c r="E268" s="1">
        <f>固定流程!C16</f>
        <v>2</v>
      </c>
      <c r="F268" s="1">
        <f>固定流程!G16</f>
        <v>2</v>
      </c>
      <c r="G268" s="1" t="str">
        <f>固定流程!H16</f>
        <v>37_CURVE</v>
      </c>
      <c r="H268" s="1">
        <f>固定流程!F16</f>
        <v>1</v>
      </c>
      <c r="I268" s="1">
        <f>INDEX(配置与结果!$B$15:$B$18,F268)</f>
        <v>2306</v>
      </c>
      <c r="J268" s="1">
        <f>INDEX(配置与结果!$D$15:$D$18,F268)</f>
        <v>0.46</v>
      </c>
      <c r="K268" s="1">
        <f>INDEX(配置与结果!$E$15:$E$18,F268)</f>
        <v>1.9279999999999999</v>
      </c>
      <c r="L268" s="1">
        <f t="shared" si="390"/>
        <v>2</v>
      </c>
      <c r="M268" s="1">
        <f t="shared" si="390"/>
        <v>10</v>
      </c>
      <c r="N268" s="1">
        <f t="shared" si="390"/>
        <v>2</v>
      </c>
      <c r="O268" s="1">
        <f t="shared" si="389"/>
        <v>6</v>
      </c>
      <c r="P268" s="1">
        <f>MIN(方案参数!$AI$10,AZ267+0+0)</f>
        <v>5</v>
      </c>
      <c r="Q268" s="1">
        <f t="shared" si="359"/>
        <v>3</v>
      </c>
      <c r="R268" s="1">
        <f t="shared" si="360"/>
        <v>5</v>
      </c>
      <c r="S268" s="1">
        <f t="shared" si="361"/>
        <v>2</v>
      </c>
      <c r="T268" s="1">
        <f t="shared" si="362"/>
        <v>0</v>
      </c>
      <c r="U268" s="1">
        <f t="shared" si="363"/>
        <v>0</v>
      </c>
      <c r="V268" s="1">
        <f t="shared" si="364"/>
        <v>1</v>
      </c>
      <c r="W268" s="1">
        <f t="shared" si="365"/>
        <v>1</v>
      </c>
      <c r="X268" s="1">
        <f t="shared" si="366"/>
        <v>1</v>
      </c>
      <c r="Y268" s="1">
        <f t="shared" si="367"/>
        <v>1</v>
      </c>
      <c r="Z268" s="1">
        <f t="shared" si="368"/>
        <v>1</v>
      </c>
      <c r="AA268" s="1">
        <f t="shared" si="391"/>
        <v>1</v>
      </c>
      <c r="AB268" s="1">
        <f t="shared" si="370"/>
        <v>0</v>
      </c>
      <c r="AC268" s="1">
        <f t="shared" si="371"/>
        <v>0</v>
      </c>
      <c r="AD268" s="1">
        <f>ROUNDDOWN(I268*(1+IF(F268=3,0.05+方案参数!$Y$10+AA268*0.12,IF(F268=4,方案参数!$BZ$10*方案参数!$AS$10,0)))+IF(AND(X268=1,F268&lt;&gt;3),方案参数!$CC$10,0)+AC268*方案参数!$CB$10,0)</f>
        <v>2544</v>
      </c>
      <c r="AE268" s="1">
        <f>IF(OR(F268=1,F268=4),配置与结果!$B$24,配置与结果!$B$25)*MAX(0,1-INDEX(配置与结果!$I$15:$I$18,F268))</f>
        <v>1000</v>
      </c>
      <c r="AF268" s="1">
        <f>方案参数!$BT$10*IF(H268=1,1,IF(H268=2,1.5,2.5))</f>
        <v>1.4</v>
      </c>
      <c r="AG268" s="1">
        <f>MAX(配置与结果!$B$32,1+INDEX(配置与结果!$F$15:$F$18,F268)+0+Q268*方案参数!$W$10+Y268*(方案参数!$AN$10+MIN(方案参数!$AO$10,P268*0.03))+AB268*方案参数!$BZ$10*0.025-配置与结果!$B$28)</f>
        <v>0.96499999999999997</v>
      </c>
      <c r="AH268" s="1">
        <f>MAX(0,1+INDEX(配置与结果!$G$15:$G$18,F268)+W268*方案参数!$AG$10)</f>
        <v>1.3</v>
      </c>
      <c r="AI268" s="1">
        <f>IF(OR(INDEX(配置与结果!$K$15:$K$18,F268)=1,G268="RHI_BERRY"),1+配置与结果!$B$33+P268*方案参数!$AH$10,1)</f>
        <v>1</v>
      </c>
      <c r="AJ268" s="1">
        <f>MIN(1,MAX(0,J268+方案参数!$AB$10-配置与结果!$B$27))</f>
        <v>0.76</v>
      </c>
      <c r="AK268" s="1">
        <f>MAX(1,K268+IF(F268=2,0.15+方案参数!$CH$10,0)+BN268*方案参数!$X$10+R268*方案参数!$AA$10+0-配置与结果!$B$26+Z268*(方案参数!$AP$10+MIN(方案参数!$AQ$10,P268*0.03)))</f>
        <v>2.278</v>
      </c>
      <c r="AL268" s="7">
        <f>ROUNDDOWN(MAX(AD268*配置与结果!$B$31,AD268-AE268)*AF268*AG268*AH268*AI268,0)</f>
        <v>2711</v>
      </c>
      <c r="AM268" s="7">
        <f>ROUNDDOWN(MAX(AD268*配置与结果!$B$31,AD268-AE268)*AF268*AG268*AH268*AI268*AK268,0)</f>
        <v>6177</v>
      </c>
      <c r="AN268" s="7">
        <f t="shared" si="380"/>
        <v>5345.1600000000008</v>
      </c>
      <c r="AO268" s="7">
        <f>方案参数!$BU$10*IF(H268=1,1,IF(H268=2,1.5,2.5))</f>
        <v>0.8</v>
      </c>
      <c r="AP268" s="7">
        <f>MAX(0,1+INDEX(配置与结果!$J$15:$J$18,F268)+IF(T268&gt;0,方案参数!$BY$10,0)-配置与结果!$B$30)</f>
        <v>1</v>
      </c>
      <c r="AQ268" s="7">
        <f t="shared" si="381"/>
        <v>2035</v>
      </c>
      <c r="AR268" s="7">
        <f t="shared" si="382"/>
        <v>4635</v>
      </c>
      <c r="AS268" s="7">
        <f t="shared" si="383"/>
        <v>4011</v>
      </c>
      <c r="AT268" s="7">
        <f>0</f>
        <v>0</v>
      </c>
      <c r="AU268" s="7">
        <f t="shared" si="384"/>
        <v>9356.16</v>
      </c>
      <c r="AV268" s="1">
        <f t="shared" si="385"/>
        <v>2</v>
      </c>
      <c r="AW268" s="1">
        <f t="shared" si="393"/>
        <v>10</v>
      </c>
      <c r="AX268" s="1">
        <f t="shared" si="386"/>
        <v>2</v>
      </c>
      <c r="AY268" s="1">
        <f t="shared" si="379"/>
        <v>6</v>
      </c>
      <c r="AZ268" s="1">
        <f t="shared" si="387"/>
        <v>5</v>
      </c>
      <c r="BA268" s="1">
        <f>MIN(6,Q268+0)</f>
        <v>3</v>
      </c>
      <c r="BB268" s="1">
        <f t="shared" si="372"/>
        <v>5</v>
      </c>
      <c r="BC268" s="1">
        <f t="shared" ref="BC268:BC274" si="394">MIN(3,S268+0)</f>
        <v>2</v>
      </c>
      <c r="BD268" s="1">
        <f t="shared" si="388"/>
        <v>0</v>
      </c>
      <c r="BE268" s="1">
        <f t="shared" si="373"/>
        <v>0</v>
      </c>
      <c r="BF268" s="1">
        <f>MIN(4,V268+0)</f>
        <v>1</v>
      </c>
      <c r="BG268" s="1">
        <f t="shared" si="377"/>
        <v>1</v>
      </c>
      <c r="BH268" s="1">
        <f t="shared" si="374"/>
        <v>1</v>
      </c>
      <c r="BI268" s="1">
        <f t="shared" si="378"/>
        <v>1</v>
      </c>
      <c r="BJ268" s="1">
        <f t="shared" si="392"/>
        <v>1</v>
      </c>
      <c r="BK268" s="1">
        <f t="shared" si="392"/>
        <v>1</v>
      </c>
      <c r="BL268" s="1">
        <f t="shared" si="354"/>
        <v>0</v>
      </c>
      <c r="BM268" s="1">
        <f t="shared" si="352"/>
        <v>0</v>
      </c>
      <c r="BN268" s="1">
        <f t="shared" si="375"/>
        <v>1</v>
      </c>
      <c r="BO268" s="1">
        <f t="shared" si="376"/>
        <v>1</v>
      </c>
    </row>
    <row r="269" spans="1:67" ht="30.95" customHeight="1">
      <c r="A269" s="1">
        <f>7</f>
        <v>7</v>
      </c>
      <c r="B269" s="1">
        <f>固定流程!A17</f>
        <v>12</v>
      </c>
      <c r="C269" s="1">
        <f>10</f>
        <v>10</v>
      </c>
      <c r="D269" s="1">
        <f>1</f>
        <v>1</v>
      </c>
      <c r="E269" s="1">
        <f>固定流程!C17</f>
        <v>2</v>
      </c>
      <c r="F269" s="1">
        <f>固定流程!G17</f>
        <v>2</v>
      </c>
      <c r="G269" s="1" t="str">
        <f>固定流程!H17</f>
        <v>37_FOLLOW</v>
      </c>
      <c r="H269" s="1">
        <f>固定流程!F17</f>
        <v>1</v>
      </c>
      <c r="I269" s="1">
        <f>INDEX(配置与结果!$B$15:$B$18,F269)</f>
        <v>2306</v>
      </c>
      <c r="J269" s="1">
        <f>INDEX(配置与结果!$D$15:$D$18,F269)</f>
        <v>0.46</v>
      </c>
      <c r="K269" s="1">
        <f>INDEX(配置与结果!$E$15:$E$18,F269)</f>
        <v>1.9279999999999999</v>
      </c>
      <c r="L269" s="1">
        <f t="shared" si="390"/>
        <v>2</v>
      </c>
      <c r="M269" s="1">
        <f t="shared" si="390"/>
        <v>10</v>
      </c>
      <c r="N269" s="1">
        <f t="shared" si="390"/>
        <v>2</v>
      </c>
      <c r="O269" s="1">
        <f t="shared" si="389"/>
        <v>6</v>
      </c>
      <c r="P269" s="1">
        <f>MIN(方案参数!$AI$10,AZ268+0+0)</f>
        <v>5</v>
      </c>
      <c r="Q269" s="1">
        <f t="shared" si="359"/>
        <v>3</v>
      </c>
      <c r="R269" s="1">
        <f t="shared" si="360"/>
        <v>5</v>
      </c>
      <c r="S269" s="1">
        <f t="shared" si="361"/>
        <v>2</v>
      </c>
      <c r="T269" s="1">
        <f t="shared" si="362"/>
        <v>0</v>
      </c>
      <c r="U269" s="1">
        <f t="shared" si="363"/>
        <v>0</v>
      </c>
      <c r="V269" s="1">
        <f t="shared" si="364"/>
        <v>1</v>
      </c>
      <c r="W269" s="1">
        <f t="shared" si="365"/>
        <v>1</v>
      </c>
      <c r="X269" s="1">
        <f t="shared" si="366"/>
        <v>1</v>
      </c>
      <c r="Y269" s="1">
        <f t="shared" si="367"/>
        <v>1</v>
      </c>
      <c r="Z269" s="1">
        <f t="shared" si="368"/>
        <v>1</v>
      </c>
      <c r="AA269" s="1">
        <f t="shared" si="391"/>
        <v>1</v>
      </c>
      <c r="AB269" s="1">
        <f t="shared" si="370"/>
        <v>0</v>
      </c>
      <c r="AC269" s="1">
        <f t="shared" si="371"/>
        <v>0</v>
      </c>
      <c r="AD269" s="1">
        <f>ROUNDDOWN(I269*(1+IF(F269=3,0.05+方案参数!$Y$10+AA269*0.12,IF(F269=4,方案参数!$BZ$10*方案参数!$AS$10,0)))+IF(AND(X269=1,F269&lt;&gt;3),方案参数!$CC$10,0)+AC269*方案参数!$CB$10,0)</f>
        <v>2544</v>
      </c>
      <c r="AE269" s="1">
        <f>IF(OR(F269=1,F269=4),配置与结果!$B$24,配置与结果!$B$25)*MAX(0,1-INDEX(配置与结果!$I$15:$I$18,F269))</f>
        <v>1000</v>
      </c>
      <c r="AF269" s="1">
        <f>方案参数!$BV$10</f>
        <v>3</v>
      </c>
      <c r="AG269" s="1">
        <f>MAX(配置与结果!$B$32,1+INDEX(配置与结果!$F$15:$F$18,F269)+0+Q269*方案参数!$W$10+Y269*(方案参数!$AN$10+MIN(方案参数!$AO$10,P269*0.03))+AB269*方案参数!$BZ$10*0.025-配置与结果!$B$28)</f>
        <v>0.96499999999999997</v>
      </c>
      <c r="AH269" s="1">
        <f>MAX(0,1+INDEX(配置与结果!$G$15:$G$18,F269)+W269*方案参数!$AG$10)</f>
        <v>1.3</v>
      </c>
      <c r="AI269" s="1">
        <f>IF(OR(INDEX(配置与结果!$K$15:$K$18,F269)=1,G269="RHI_BERRY"),1+配置与结果!$B$33+P269*方案参数!$AH$10,1)</f>
        <v>1</v>
      </c>
      <c r="AJ269" s="1">
        <f>MIN(1,MAX(0,J269+方案参数!$AB$10-配置与结果!$B$27))</f>
        <v>0.76</v>
      </c>
      <c r="AK269" s="1">
        <f>MAX(1,K269+IF(F269=2,0.15+方案参数!$CH$10,0)+BN269*方案参数!$X$10+R269*方案参数!$AA$10+0-配置与结果!$B$26+Z269*(方案参数!$AP$10+MIN(方案参数!$AQ$10,P269*0.03)))</f>
        <v>2.278</v>
      </c>
      <c r="AL269" s="7">
        <f>ROUNDDOWN(MAX(AD269*配置与结果!$B$31,AD269-AE269)*AF269*AG269*AH269*AI269,0)</f>
        <v>5810</v>
      </c>
      <c r="AM269" s="7">
        <f>ROUNDDOWN(MAX(AD269*配置与结果!$B$31,AD269-AE269)*AF269*AG269*AH269*AI269*AK269,0)</f>
        <v>13237</v>
      </c>
      <c r="AN269" s="7">
        <f t="shared" si="380"/>
        <v>11454.52</v>
      </c>
      <c r="AO269" s="7">
        <f>方案参数!$BW$10</f>
        <v>1</v>
      </c>
      <c r="AP269" s="7">
        <f>MAX(0,1+INDEX(配置与结果!$J$15:$J$18,F269)+IF(T269&gt;0,方案参数!$BY$10,0)-配置与结果!$B$30)</f>
        <v>1</v>
      </c>
      <c r="AQ269" s="7">
        <f t="shared" si="381"/>
        <v>2544</v>
      </c>
      <c r="AR269" s="7">
        <f t="shared" si="382"/>
        <v>5795</v>
      </c>
      <c r="AS269" s="7">
        <f t="shared" si="383"/>
        <v>5014.76</v>
      </c>
      <c r="AT269" s="7">
        <f>0</f>
        <v>0</v>
      </c>
      <c r="AU269" s="7">
        <f t="shared" si="384"/>
        <v>16469.28</v>
      </c>
      <c r="AV269" s="1">
        <f t="shared" si="385"/>
        <v>2</v>
      </c>
      <c r="AW269" s="1">
        <f t="shared" si="393"/>
        <v>10</v>
      </c>
      <c r="AX269" s="1">
        <f t="shared" si="386"/>
        <v>2</v>
      </c>
      <c r="AY269" s="1">
        <f t="shared" si="379"/>
        <v>6</v>
      </c>
      <c r="AZ269" s="1">
        <f t="shared" si="387"/>
        <v>5</v>
      </c>
      <c r="BA269" s="1">
        <f>MIN(6,Q269+0)</f>
        <v>3</v>
      </c>
      <c r="BB269" s="1">
        <f t="shared" si="372"/>
        <v>5</v>
      </c>
      <c r="BC269" s="1">
        <f t="shared" si="394"/>
        <v>2</v>
      </c>
      <c r="BD269" s="1">
        <f t="shared" si="388"/>
        <v>0</v>
      </c>
      <c r="BE269" s="1">
        <f t="shared" si="373"/>
        <v>0</v>
      </c>
      <c r="BF269" s="1">
        <f>MIN(4,V269+1)</f>
        <v>2</v>
      </c>
      <c r="BG269" s="1">
        <f t="shared" si="377"/>
        <v>1</v>
      </c>
      <c r="BH269" s="1">
        <f t="shared" si="374"/>
        <v>1</v>
      </c>
      <c r="BI269" s="1">
        <f t="shared" si="378"/>
        <v>1</v>
      </c>
      <c r="BJ269" s="1">
        <f t="shared" si="392"/>
        <v>1</v>
      </c>
      <c r="BK269" s="1">
        <f t="shared" si="392"/>
        <v>1</v>
      </c>
      <c r="BL269" s="1">
        <f t="shared" si="354"/>
        <v>0</v>
      </c>
      <c r="BM269" s="1">
        <f t="shared" si="352"/>
        <v>0</v>
      </c>
      <c r="BN269" s="1">
        <f t="shared" si="375"/>
        <v>1</v>
      </c>
      <c r="BO269" s="1">
        <f t="shared" si="376"/>
        <v>1</v>
      </c>
    </row>
    <row r="270" spans="1:67" ht="30.95" customHeight="1">
      <c r="A270" s="1">
        <f>7</f>
        <v>7</v>
      </c>
      <c r="B270" s="1">
        <f>固定流程!A18</f>
        <v>13</v>
      </c>
      <c r="C270" s="1">
        <f>10</f>
        <v>10</v>
      </c>
      <c r="D270" s="1">
        <f>1</f>
        <v>1</v>
      </c>
      <c r="E270" s="1">
        <f>固定流程!C18</f>
        <v>2</v>
      </c>
      <c r="F270" s="1">
        <f>固定流程!G18</f>
        <v>3</v>
      </c>
      <c r="G270" s="1" t="str">
        <f>固定流程!H18</f>
        <v>RHI_BERRY</v>
      </c>
      <c r="H270" s="1">
        <f>固定流程!F18</f>
        <v>1</v>
      </c>
      <c r="I270" s="1">
        <f>INDEX(配置与结果!$B$15:$B$18,F270)</f>
        <v>2597</v>
      </c>
      <c r="J270" s="1">
        <f>INDEX(配置与结果!$D$15:$D$18,F270)</f>
        <v>0.255</v>
      </c>
      <c r="K270" s="1">
        <f>INDEX(配置与结果!$E$15:$E$18,F270)</f>
        <v>1.55</v>
      </c>
      <c r="L270" s="1">
        <f t="shared" si="390"/>
        <v>2</v>
      </c>
      <c r="M270" s="1">
        <f t="shared" si="390"/>
        <v>10</v>
      </c>
      <c r="N270" s="1">
        <f t="shared" si="390"/>
        <v>2</v>
      </c>
      <c r="O270" s="1">
        <f t="shared" si="389"/>
        <v>6</v>
      </c>
      <c r="P270" s="1">
        <f>MIN(方案参数!$AI$10,AZ269+0+0)</f>
        <v>5</v>
      </c>
      <c r="Q270" s="1">
        <f t="shared" si="359"/>
        <v>3</v>
      </c>
      <c r="R270" s="1">
        <f t="shared" si="360"/>
        <v>5</v>
      </c>
      <c r="S270" s="1">
        <f t="shared" si="361"/>
        <v>2</v>
      </c>
      <c r="T270" s="1">
        <f t="shared" si="362"/>
        <v>0</v>
      </c>
      <c r="U270" s="1">
        <f t="shared" si="363"/>
        <v>0</v>
      </c>
      <c r="V270" s="1">
        <f t="shared" si="364"/>
        <v>2</v>
      </c>
      <c r="W270" s="1">
        <f t="shared" si="365"/>
        <v>1</v>
      </c>
      <c r="X270" s="1">
        <f t="shared" si="366"/>
        <v>1</v>
      </c>
      <c r="Y270" s="1">
        <f t="shared" si="367"/>
        <v>1</v>
      </c>
      <c r="Z270" s="1">
        <f t="shared" si="368"/>
        <v>1</v>
      </c>
      <c r="AA270" s="1">
        <f t="shared" si="391"/>
        <v>1</v>
      </c>
      <c r="AB270" s="1">
        <f t="shared" si="370"/>
        <v>0</v>
      </c>
      <c r="AC270" s="1">
        <f t="shared" si="371"/>
        <v>0</v>
      </c>
      <c r="AD270" s="1">
        <f>ROUNDDOWN(I270*(1+IF(F270=3,0.05+方案参数!$Y$10+AA270*0.12,IF(F270=4,方案参数!$BZ$10*方案参数!$AS$10,0)))+IF(AND(X270=1,F270&lt;&gt;3),方案参数!$CC$10,0)+AC270*方案参数!$CB$10,0)</f>
        <v>3298</v>
      </c>
      <c r="AE270" s="1">
        <f>IF(OR(F270=1,F270=4),配置与结果!$B$24,配置与结果!$B$25)*MAX(0,1-INDEX(配置与结果!$I$15:$I$18,F270))</f>
        <v>1000</v>
      </c>
      <c r="AF270" s="1">
        <f>方案参数!$CF$10+P270*方案参数!$CG$10</f>
        <v>22.5</v>
      </c>
      <c r="AG270" s="1">
        <f>MAX(配置与结果!$B$32,1+INDEX(配置与结果!$F$15:$F$18,F270)+0+Q270*方案参数!$W$10+Y270*(方案参数!$AN$10+MIN(方案参数!$AO$10,P270*0.03))+AB270*方案参数!$BZ$10*0.025-配置与结果!$B$28)</f>
        <v>0.995</v>
      </c>
      <c r="AH270" s="1">
        <f>MAX(0,1+INDEX(配置与结果!$G$15:$G$18,F270)+W270*方案参数!$AG$10)</f>
        <v>1.3</v>
      </c>
      <c r="AI270" s="1">
        <f>IF(OR(INDEX(配置与结果!$K$15:$K$18,F270)=1,G270="RHI_BERRY"),1+配置与结果!$B$33+P270*方案参数!$AH$10,1)</f>
        <v>1.5</v>
      </c>
      <c r="AJ270" s="1">
        <f>MIN(1,MAX(0,J270+方案参数!$AB$10-配置与结果!$B$27))</f>
        <v>0.55499999999999994</v>
      </c>
      <c r="AK270" s="1">
        <f>MAX(1,K270+IF(F270=2,0.15+方案参数!$CH$10,0)+BN270*方案参数!$X$10+R270*方案参数!$AA$10+0-配置与结果!$B$26+Z270*(方案参数!$AP$10+MIN(方案参数!$AQ$10,P270*0.03)))</f>
        <v>1.6300000000000001</v>
      </c>
      <c r="AL270" s="7">
        <f>ROUNDDOWN(MAX(AD270*配置与结果!$B$31,AD270-AE270)*AF270*AG270*AH270*AI270,0)</f>
        <v>100320</v>
      </c>
      <c r="AM270" s="7">
        <f>ROUNDDOWN(MAX(AD270*配置与结果!$B$31,AD270-AE270)*AF270*AG270*AH270*AI270*AK270,0)</f>
        <v>163522</v>
      </c>
      <c r="AN270" s="7">
        <f t="shared" si="380"/>
        <v>135397.10999999999</v>
      </c>
      <c r="AO270" s="7">
        <f>0</f>
        <v>0</v>
      </c>
      <c r="AP270" s="7">
        <f>MAX(0,1+INDEX(配置与结果!$J$15:$J$18,F270)+IF(T270&gt;0,方案参数!$BY$10,0)-配置与结果!$B$30)</f>
        <v>1</v>
      </c>
      <c r="AQ270" s="7">
        <f t="shared" si="381"/>
        <v>0</v>
      </c>
      <c r="AR270" s="7">
        <f t="shared" si="382"/>
        <v>0</v>
      </c>
      <c r="AS270" s="7">
        <f t="shared" si="383"/>
        <v>0</v>
      </c>
      <c r="AT270" s="7">
        <f>0</f>
        <v>0</v>
      </c>
      <c r="AU270" s="7">
        <f t="shared" si="384"/>
        <v>135397.10999999999</v>
      </c>
      <c r="AV270" s="1">
        <f t="shared" si="385"/>
        <v>2</v>
      </c>
      <c r="AW270" s="1">
        <f t="shared" si="393"/>
        <v>10</v>
      </c>
      <c r="AX270" s="1">
        <f t="shared" si="386"/>
        <v>2</v>
      </c>
      <c r="AY270" s="1">
        <f t="shared" si="379"/>
        <v>6</v>
      </c>
      <c r="AZ270" s="1">
        <f t="shared" si="387"/>
        <v>5</v>
      </c>
      <c r="BA270" s="1">
        <f>MIN(6,Q270+0)</f>
        <v>3</v>
      </c>
      <c r="BB270" s="1">
        <f t="shared" si="372"/>
        <v>5</v>
      </c>
      <c r="BC270" s="1">
        <f t="shared" si="394"/>
        <v>2</v>
      </c>
      <c r="BD270" s="1">
        <f t="shared" si="388"/>
        <v>0</v>
      </c>
      <c r="BE270" s="1">
        <f t="shared" si="373"/>
        <v>0</v>
      </c>
      <c r="BF270" s="1">
        <f>MIN(4,V270+0)</f>
        <v>2</v>
      </c>
      <c r="BG270" s="1">
        <f t="shared" si="377"/>
        <v>1</v>
      </c>
      <c r="BH270" s="1">
        <f t="shared" si="374"/>
        <v>1</v>
      </c>
      <c r="BI270" s="1">
        <f t="shared" si="378"/>
        <v>1</v>
      </c>
      <c r="BJ270" s="1">
        <f t="shared" si="392"/>
        <v>1</v>
      </c>
      <c r="BK270" s="1">
        <f t="shared" si="392"/>
        <v>1</v>
      </c>
      <c r="BL270" s="1">
        <f t="shared" si="354"/>
        <v>0</v>
      </c>
      <c r="BM270" s="1">
        <f t="shared" si="352"/>
        <v>0</v>
      </c>
      <c r="BN270" s="1">
        <f t="shared" si="375"/>
        <v>1</v>
      </c>
      <c r="BO270" s="1">
        <f t="shared" si="376"/>
        <v>1</v>
      </c>
    </row>
    <row r="271" spans="1:67" ht="30.95" customHeight="1">
      <c r="A271" s="1">
        <f>7</f>
        <v>7</v>
      </c>
      <c r="B271" s="1">
        <f>固定流程!A19</f>
        <v>14</v>
      </c>
      <c r="C271" s="1">
        <f>10</f>
        <v>10</v>
      </c>
      <c r="D271" s="1">
        <f>1</f>
        <v>1</v>
      </c>
      <c r="E271" s="1">
        <f>固定流程!C19</f>
        <v>3</v>
      </c>
      <c r="F271" s="1">
        <f>固定流程!G19</f>
        <v>3</v>
      </c>
      <c r="G271" s="1" t="str">
        <f>固定流程!H19</f>
        <v>RHI_BUFF</v>
      </c>
      <c r="H271" s="1">
        <f>固定流程!F19</f>
        <v>1</v>
      </c>
      <c r="I271" s="1">
        <f>INDEX(配置与结果!$B$15:$B$18,F271)</f>
        <v>2597</v>
      </c>
      <c r="J271" s="1">
        <f>INDEX(配置与结果!$D$15:$D$18,F271)</f>
        <v>0.255</v>
      </c>
      <c r="K271" s="1">
        <f>INDEX(配置与结果!$E$15:$E$18,F271)</f>
        <v>1.55</v>
      </c>
      <c r="L271" s="1">
        <f>IF(AV270=1,IF(M271&gt;=10,2,1),IF(AV270=2,IF(AX270&lt;=1,0,2),0))</f>
        <v>2</v>
      </c>
      <c r="M271" s="1">
        <f>IF(AND(AV270=2,AX270&lt;=1),0,MIN(10,AW270+IF(AV270=1,3,0)))</f>
        <v>10</v>
      </c>
      <c r="N271" s="1">
        <f>IF(AND(AV270=1,M271&gt;=10),2,IF(AV270=2,MAX(0,AX270-1),0))</f>
        <v>1</v>
      </c>
      <c r="O271" s="1">
        <f t="shared" si="389"/>
        <v>6</v>
      </c>
      <c r="P271" s="1">
        <f>MIN(方案参数!$AI$10,AZ270+方案参数!$AJ$10+方案参数!$AK$10)</f>
        <v>5</v>
      </c>
      <c r="Q271" s="1">
        <f t="shared" si="359"/>
        <v>3</v>
      </c>
      <c r="R271" s="1">
        <f t="shared" si="360"/>
        <v>5</v>
      </c>
      <c r="S271" s="1">
        <f t="shared" si="361"/>
        <v>2</v>
      </c>
      <c r="T271" s="1">
        <f t="shared" si="362"/>
        <v>0</v>
      </c>
      <c r="U271" s="1">
        <f t="shared" si="363"/>
        <v>0</v>
      </c>
      <c r="V271" s="1">
        <f t="shared" si="364"/>
        <v>2</v>
      </c>
      <c r="W271" s="1">
        <f t="shared" si="365"/>
        <v>1</v>
      </c>
      <c r="X271" s="1">
        <f t="shared" si="366"/>
        <v>1</v>
      </c>
      <c r="Y271" s="1">
        <f t="shared" si="367"/>
        <v>1</v>
      </c>
      <c r="Z271" s="1">
        <f t="shared" si="368"/>
        <v>1</v>
      </c>
      <c r="AA271" s="1">
        <f t="shared" si="391"/>
        <v>1</v>
      </c>
      <c r="AB271" s="1">
        <f t="shared" si="370"/>
        <v>0</v>
      </c>
      <c r="AC271" s="1">
        <f t="shared" si="371"/>
        <v>0</v>
      </c>
      <c r="AD271" s="1">
        <f>ROUNDDOWN(I271*(1+IF(F271=3,0.05+方案参数!$Y$10+AA271*0.12,IF(F271=4,方案参数!$BZ$10*方案参数!$AS$10,0)))+IF(AND(X271=1,F271&lt;&gt;3),方案参数!$CC$10,0)+AC271*方案参数!$CB$10,0)</f>
        <v>3298</v>
      </c>
      <c r="AE271" s="1">
        <f>IF(OR(F271=1,F271=4),配置与结果!$B$24,配置与结果!$B$25)*MAX(0,1-INDEX(配置与结果!$I$15:$I$18,F271))</f>
        <v>1000</v>
      </c>
      <c r="AF271" s="1">
        <f>0</f>
        <v>0</v>
      </c>
      <c r="AG271" s="1">
        <f>MAX(配置与结果!$B$32,1+INDEX(配置与结果!$F$15:$F$18,F271)+0+Q271*方案参数!$W$10+Y271*(方案参数!$AN$10+MIN(方案参数!$AO$10,P271*0.03))+AB271*方案参数!$BZ$10*0.025-配置与结果!$B$28)</f>
        <v>0.995</v>
      </c>
      <c r="AH271" s="1">
        <f>MAX(0,1+INDEX(配置与结果!$G$15:$G$18,F271)+W271*方案参数!$AG$10)</f>
        <v>1.3</v>
      </c>
      <c r="AI271" s="1">
        <f>IF(OR(INDEX(配置与结果!$K$15:$K$18,F271)=1,G271="RHI_BERRY"),1+配置与结果!$B$33+P271*方案参数!$AH$10,1)</f>
        <v>1</v>
      </c>
      <c r="AJ271" s="1">
        <f>MIN(1,MAX(0,J271+方案参数!$AB$10-配置与结果!$B$27))</f>
        <v>0.55499999999999994</v>
      </c>
      <c r="AK271" s="1">
        <f>MAX(1,K271+IF(F271=2,0.15+方案参数!$CH$10,0)+BN271*方案参数!$X$10+R271*方案参数!$AA$10+0-配置与结果!$B$26+Z271*(方案参数!$AP$10+MIN(方案参数!$AQ$10,P271*0.03)))</f>
        <v>1.6300000000000001</v>
      </c>
      <c r="AL271" s="7">
        <f>ROUNDDOWN(MAX(AD271*配置与结果!$B$31,AD271-AE271)*AF271*AG271*AH271*AI271,0)</f>
        <v>0</v>
      </c>
      <c r="AM271" s="7">
        <f>ROUNDDOWN(MAX(AD271*配置与结果!$B$31,AD271-AE271)*AF271*AG271*AH271*AI271*AK271,0)</f>
        <v>0</v>
      </c>
      <c r="AN271" s="7">
        <f t="shared" si="380"/>
        <v>0</v>
      </c>
      <c r="AO271" s="7">
        <f>0</f>
        <v>0</v>
      </c>
      <c r="AP271" s="7">
        <f>MAX(0,1+INDEX(配置与结果!$J$15:$J$18,F271)+IF(T271&gt;0,方案参数!$BY$10,0)-配置与结果!$B$30)</f>
        <v>1</v>
      </c>
      <c r="AQ271" s="7">
        <f t="shared" si="381"/>
        <v>0</v>
      </c>
      <c r="AR271" s="7">
        <f t="shared" si="382"/>
        <v>0</v>
      </c>
      <c r="AS271" s="7">
        <f t="shared" si="383"/>
        <v>0</v>
      </c>
      <c r="AT271" s="7">
        <f>0</f>
        <v>0</v>
      </c>
      <c r="AU271" s="7">
        <f t="shared" si="384"/>
        <v>0</v>
      </c>
      <c r="AV271" s="1">
        <f t="shared" si="385"/>
        <v>2</v>
      </c>
      <c r="AW271" s="1">
        <f t="shared" si="393"/>
        <v>10</v>
      </c>
      <c r="AX271" s="1">
        <f t="shared" si="386"/>
        <v>1</v>
      </c>
      <c r="AY271" s="1">
        <f t="shared" si="379"/>
        <v>6</v>
      </c>
      <c r="AZ271" s="1">
        <f t="shared" si="387"/>
        <v>5</v>
      </c>
      <c r="BA271" s="1">
        <f>MIN(6,Q271+1)</f>
        <v>4</v>
      </c>
      <c r="BB271" s="1">
        <f t="shared" si="372"/>
        <v>5</v>
      </c>
      <c r="BC271" s="1">
        <f t="shared" si="394"/>
        <v>2</v>
      </c>
      <c r="BD271" s="1">
        <f t="shared" si="388"/>
        <v>0</v>
      </c>
      <c r="BE271" s="1">
        <f t="shared" si="373"/>
        <v>0</v>
      </c>
      <c r="BF271" s="1">
        <f>MIN(4,V271+0)</f>
        <v>2</v>
      </c>
      <c r="BG271" s="1">
        <f>MAX(W271,1)</f>
        <v>1</v>
      </c>
      <c r="BH271" s="1">
        <f t="shared" si="374"/>
        <v>1</v>
      </c>
      <c r="BI271" s="1">
        <f>MAX(Y271,1)</f>
        <v>1</v>
      </c>
      <c r="BJ271" s="1">
        <f t="shared" si="392"/>
        <v>1</v>
      </c>
      <c r="BK271" s="1">
        <f t="shared" si="392"/>
        <v>1</v>
      </c>
      <c r="BL271" s="1">
        <f t="shared" si="354"/>
        <v>0</v>
      </c>
      <c r="BM271" s="1">
        <f t="shared" si="352"/>
        <v>0</v>
      </c>
      <c r="BN271" s="1">
        <f t="shared" si="375"/>
        <v>1</v>
      </c>
      <c r="BO271" s="1">
        <f t="shared" si="376"/>
        <v>1</v>
      </c>
    </row>
    <row r="272" spans="1:67" ht="30.95" customHeight="1">
      <c r="A272" s="1">
        <f>7</f>
        <v>7</v>
      </c>
      <c r="B272" s="1">
        <f>固定流程!A20</f>
        <v>15</v>
      </c>
      <c r="C272" s="1">
        <f>10</f>
        <v>10</v>
      </c>
      <c r="D272" s="1">
        <f>1</f>
        <v>1</v>
      </c>
      <c r="E272" s="1">
        <f>固定流程!C20</f>
        <v>3</v>
      </c>
      <c r="F272" s="1">
        <f>固定流程!G20</f>
        <v>3</v>
      </c>
      <c r="G272" s="1" t="str">
        <f>固定流程!H20</f>
        <v>RHI_ATTACK</v>
      </c>
      <c r="H272" s="1">
        <f>固定流程!F20</f>
        <v>1</v>
      </c>
      <c r="I272" s="1">
        <f>INDEX(配置与结果!$B$15:$B$18,F272)</f>
        <v>2597</v>
      </c>
      <c r="J272" s="1">
        <f>INDEX(配置与结果!$D$15:$D$18,F272)</f>
        <v>0.255</v>
      </c>
      <c r="K272" s="1">
        <f>INDEX(配置与结果!$E$15:$E$18,F272)</f>
        <v>1.55</v>
      </c>
      <c r="L272" s="1">
        <f t="shared" ref="L272:L293" si="395">AV271</f>
        <v>2</v>
      </c>
      <c r="M272" s="1">
        <f t="shared" ref="M272:M293" si="396">AW271</f>
        <v>10</v>
      </c>
      <c r="N272" s="1">
        <f t="shared" ref="N272:N293" si="397">AX271</f>
        <v>1</v>
      </c>
      <c r="O272" s="1">
        <f t="shared" si="389"/>
        <v>6</v>
      </c>
      <c r="P272" s="1">
        <f>MIN(方案参数!$AI$10,AZ271+0+方案参数!$AK$10)</f>
        <v>5</v>
      </c>
      <c r="Q272" s="1">
        <f t="shared" si="359"/>
        <v>4</v>
      </c>
      <c r="R272" s="1">
        <f t="shared" si="360"/>
        <v>5</v>
      </c>
      <c r="S272" s="1">
        <f t="shared" si="361"/>
        <v>2</v>
      </c>
      <c r="T272" s="1">
        <f t="shared" si="362"/>
        <v>0</v>
      </c>
      <c r="U272" s="1">
        <f t="shared" si="363"/>
        <v>0</v>
      </c>
      <c r="V272" s="1">
        <f t="shared" si="364"/>
        <v>2</v>
      </c>
      <c r="W272" s="1">
        <f t="shared" si="365"/>
        <v>1</v>
      </c>
      <c r="X272" s="1">
        <f t="shared" si="366"/>
        <v>1</v>
      </c>
      <c r="Y272" s="1">
        <f t="shared" si="367"/>
        <v>1</v>
      </c>
      <c r="Z272" s="1">
        <f t="shared" si="368"/>
        <v>1</v>
      </c>
      <c r="AA272" s="1">
        <f>MAX(BK271,1)</f>
        <v>1</v>
      </c>
      <c r="AB272" s="1">
        <f t="shared" si="370"/>
        <v>0</v>
      </c>
      <c r="AC272" s="1">
        <f t="shared" si="371"/>
        <v>0</v>
      </c>
      <c r="AD272" s="1">
        <f>ROUNDDOWN(I272*(1+IF(F272=3,0.05+方案参数!$Y$10+AA272*0.12,IF(F272=4,方案参数!$BZ$10*方案参数!$AS$10,0)))+IF(AND(X272=1,F272&lt;&gt;3),方案参数!$CC$10,0)+AC272*方案参数!$CB$10,0)</f>
        <v>3298</v>
      </c>
      <c r="AE272" s="1">
        <f>IF(OR(F272=1,F272=4),配置与结果!$B$24,配置与结果!$B$25)*MAX(0,1-INDEX(配置与结果!$I$15:$I$18,F272))</f>
        <v>1000</v>
      </c>
      <c r="AF272" s="1">
        <f>4</f>
        <v>4</v>
      </c>
      <c r="AG272" s="1">
        <f>MAX(配置与结果!$B$32,1+INDEX(配置与结果!$F$15:$F$18,F272)+0+Q272*方案参数!$W$10+Y272*(方案参数!$AN$10+MIN(方案参数!$AO$10,P272*0.03))+AB272*方案参数!$BZ$10*0.025-配置与结果!$B$28)</f>
        <v>1.0150000000000001</v>
      </c>
      <c r="AH272" s="1">
        <f>MAX(0,1+INDEX(配置与结果!$G$15:$G$18,F272)+W272*方案参数!$AG$10)</f>
        <v>1.3</v>
      </c>
      <c r="AI272" s="1">
        <f>IF(OR(INDEX(配置与结果!$K$15:$K$18,F272)=1,G272="RHI_BERRY"),1+配置与结果!$B$33+P272*方案参数!$AH$10,1)</f>
        <v>1</v>
      </c>
      <c r="AJ272" s="1">
        <f>MIN(1,MAX(0,J272+方案参数!$AB$10-配置与结果!$B$27))</f>
        <v>0.55499999999999994</v>
      </c>
      <c r="AK272" s="1">
        <f>MAX(1,K272+IF(F272=2,0.15+方案参数!$CH$10,0)+BN272*方案参数!$X$10+R272*方案参数!$AA$10+0-配置与结果!$B$26+Z272*(方案参数!$AP$10+MIN(方案参数!$AQ$10,P272*0.03)))</f>
        <v>1.6300000000000001</v>
      </c>
      <c r="AL272" s="7">
        <f>ROUNDDOWN(MAX(AD272*配置与结果!$B$31,AD272-AE272)*AF272*AG272*AH272*AI272,0)</f>
        <v>12128</v>
      </c>
      <c r="AM272" s="7">
        <f>ROUNDDOWN(MAX(AD272*配置与结果!$B$31,AD272-AE272)*AF272*AG272*AH272*AI272*AK272,0)</f>
        <v>19770</v>
      </c>
      <c r="AN272" s="7">
        <f t="shared" si="380"/>
        <v>16369.31</v>
      </c>
      <c r="AO272" s="7">
        <f>0</f>
        <v>0</v>
      </c>
      <c r="AP272" s="7">
        <f>MAX(0,1+INDEX(配置与结果!$J$15:$J$18,F272)+IF(T272&gt;0,方案参数!$BY$10,0)-配置与结果!$B$30)</f>
        <v>1</v>
      </c>
      <c r="AQ272" s="7">
        <f t="shared" si="381"/>
        <v>0</v>
      </c>
      <c r="AR272" s="7">
        <f t="shared" si="382"/>
        <v>0</v>
      </c>
      <c r="AS272" s="7">
        <f t="shared" si="383"/>
        <v>0</v>
      </c>
      <c r="AT272" s="7">
        <f>0</f>
        <v>0</v>
      </c>
      <c r="AU272" s="7">
        <f t="shared" si="384"/>
        <v>16369.31</v>
      </c>
      <c r="AV272" s="1">
        <f t="shared" si="385"/>
        <v>2</v>
      </c>
      <c r="AW272" s="1">
        <f t="shared" si="393"/>
        <v>10</v>
      </c>
      <c r="AX272" s="1">
        <f t="shared" si="386"/>
        <v>1</v>
      </c>
      <c r="AY272" s="1">
        <f t="shared" si="379"/>
        <v>6</v>
      </c>
      <c r="AZ272" s="1">
        <f t="shared" si="387"/>
        <v>5</v>
      </c>
      <c r="BA272" s="1">
        <f>MIN(6,Q272+1)</f>
        <v>5</v>
      </c>
      <c r="BB272" s="1">
        <f t="shared" si="372"/>
        <v>5</v>
      </c>
      <c r="BC272" s="1">
        <f t="shared" si="394"/>
        <v>2</v>
      </c>
      <c r="BD272" s="1">
        <f t="shared" si="388"/>
        <v>0</v>
      </c>
      <c r="BE272" s="1">
        <f t="shared" si="373"/>
        <v>0</v>
      </c>
      <c r="BF272" s="1">
        <f>MIN(4,V272+0)</f>
        <v>2</v>
      </c>
      <c r="BG272" s="1">
        <f t="shared" ref="BG272:BG294" si="398">MAX(W272,0)</f>
        <v>1</v>
      </c>
      <c r="BH272" s="1">
        <f t="shared" si="374"/>
        <v>1</v>
      </c>
      <c r="BI272" s="1">
        <f t="shared" ref="BI272:BI294" si="399">MAX(Y272,0)</f>
        <v>1</v>
      </c>
      <c r="BJ272" s="1">
        <f>MAX(Z272,1)</f>
        <v>1</v>
      </c>
      <c r="BK272" s="1">
        <f>MAX(AA272,1)</f>
        <v>1</v>
      </c>
      <c r="BL272" s="1">
        <f t="shared" si="354"/>
        <v>0</v>
      </c>
      <c r="BM272" s="1">
        <f t="shared" si="352"/>
        <v>0</v>
      </c>
      <c r="BN272" s="1">
        <f t="shared" si="375"/>
        <v>1</v>
      </c>
      <c r="BO272" s="1">
        <f t="shared" si="376"/>
        <v>1</v>
      </c>
    </row>
    <row r="273" spans="1:67" ht="30.95" customHeight="1">
      <c r="A273" s="1">
        <f>7</f>
        <v>7</v>
      </c>
      <c r="B273" s="1">
        <f>固定流程!A21</f>
        <v>16</v>
      </c>
      <c r="C273" s="1">
        <f>10</f>
        <v>10</v>
      </c>
      <c r="D273" s="1">
        <f>1</f>
        <v>1</v>
      </c>
      <c r="E273" s="1">
        <f>固定流程!C21</f>
        <v>3</v>
      </c>
      <c r="F273" s="1">
        <f>固定流程!G21</f>
        <v>2</v>
      </c>
      <c r="G273" s="1" t="str">
        <f>固定流程!H21</f>
        <v>37_ULT</v>
      </c>
      <c r="H273" s="1">
        <f>固定流程!F21</f>
        <v>1</v>
      </c>
      <c r="I273" s="1">
        <f>INDEX(配置与结果!$B$15:$B$18,F273)</f>
        <v>2306</v>
      </c>
      <c r="J273" s="1">
        <f>INDEX(配置与结果!$D$15:$D$18,F273)</f>
        <v>0.46</v>
      </c>
      <c r="K273" s="1">
        <f>INDEX(配置与结果!$E$15:$E$18,F273)</f>
        <v>1.9279999999999999</v>
      </c>
      <c r="L273" s="1">
        <f t="shared" si="395"/>
        <v>2</v>
      </c>
      <c r="M273" s="1">
        <f t="shared" si="396"/>
        <v>10</v>
      </c>
      <c r="N273" s="1">
        <f t="shared" si="397"/>
        <v>1</v>
      </c>
      <c r="O273" s="1">
        <f t="shared" si="389"/>
        <v>6</v>
      </c>
      <c r="P273" s="1">
        <f>MIN(方案参数!$AI$10,AZ272+0+0)</f>
        <v>5</v>
      </c>
      <c r="Q273" s="1">
        <f t="shared" si="359"/>
        <v>5</v>
      </c>
      <c r="R273" s="1">
        <f t="shared" si="360"/>
        <v>5</v>
      </c>
      <c r="S273" s="1">
        <f t="shared" si="361"/>
        <v>2</v>
      </c>
      <c r="T273" s="1">
        <f>BD272+方案参数!$BX$10</f>
        <v>2</v>
      </c>
      <c r="U273" s="1">
        <f t="shared" si="363"/>
        <v>0</v>
      </c>
      <c r="V273" s="1">
        <f t="shared" si="364"/>
        <v>2</v>
      </c>
      <c r="W273" s="1">
        <f t="shared" si="365"/>
        <v>1</v>
      </c>
      <c r="X273" s="1">
        <f t="shared" si="366"/>
        <v>1</v>
      </c>
      <c r="Y273" s="1">
        <f t="shared" si="367"/>
        <v>1</v>
      </c>
      <c r="Z273" s="1">
        <f t="shared" si="368"/>
        <v>1</v>
      </c>
      <c r="AA273" s="1">
        <f t="shared" ref="AA273:AA293" si="400">MAX(BK272,0)</f>
        <v>1</v>
      </c>
      <c r="AB273" s="1">
        <f t="shared" si="370"/>
        <v>0</v>
      </c>
      <c r="AC273" s="1">
        <f>MAX(BM272,1)</f>
        <v>1</v>
      </c>
      <c r="AD273" s="1">
        <f>ROUNDDOWN(I273*(1+IF(F273=3,0.05+方案参数!$Y$10+AA273*0.12,IF(F273=4,方案参数!$BZ$10*方案参数!$AS$10,0)))+IF(AND(X273=1,F273&lt;&gt;3),方案参数!$CC$10,0)+AC273*方案参数!$CB$10,0)</f>
        <v>3044</v>
      </c>
      <c r="AE273" s="1">
        <f>IF(OR(F273=1,F273=4),配置与结果!$B$24,配置与结果!$B$25)*MAX(0,1-INDEX(配置与结果!$I$15:$I$18,F273))</f>
        <v>1000</v>
      </c>
      <c r="AF273" s="1">
        <f>0</f>
        <v>0</v>
      </c>
      <c r="AG273" s="1">
        <f>MAX(配置与结果!$B$32,1+INDEX(配置与结果!$F$15:$F$18,F273)+0+Q273*方案参数!$W$10+Y273*(方案参数!$AN$10+MIN(方案参数!$AO$10,P273*0.03))+AB273*方案参数!$BZ$10*0.025-配置与结果!$B$28)</f>
        <v>1.0049999999999999</v>
      </c>
      <c r="AH273" s="1">
        <f>MAX(0,1+INDEX(配置与结果!$G$15:$G$18,F273)+W273*方案参数!$AG$10)</f>
        <v>1.3</v>
      </c>
      <c r="AI273" s="1">
        <f>IF(OR(INDEX(配置与结果!$K$15:$K$18,F273)=1,G273="RHI_BERRY"),1+配置与结果!$B$33+P273*方案参数!$AH$10,1)</f>
        <v>1</v>
      </c>
      <c r="AJ273" s="1">
        <f>MIN(1,MAX(0,J273+方案参数!$AB$10-配置与结果!$B$27))</f>
        <v>0.76</v>
      </c>
      <c r="AK273" s="1">
        <f>MAX(1,K273+IF(F273=2,0.15+方案参数!$CH$10,0)+BN273*方案参数!$X$10+R273*方案参数!$AA$10+0-配置与结果!$B$26+Z273*(方案参数!$AP$10+MIN(方案参数!$AQ$10,P273*0.03)))</f>
        <v>2.278</v>
      </c>
      <c r="AL273" s="7">
        <f>ROUNDDOWN(MAX(AD273*配置与结果!$B$31,AD273-AE273)*AF273*AG273*AH273*AI273,0)</f>
        <v>0</v>
      </c>
      <c r="AM273" s="7">
        <f>ROUNDDOWN(MAX(AD273*配置与结果!$B$31,AD273-AE273)*AF273*AG273*AH273*AI273*AK273,0)</f>
        <v>0</v>
      </c>
      <c r="AN273" s="7">
        <f t="shared" si="380"/>
        <v>0</v>
      </c>
      <c r="AO273" s="7">
        <f>0</f>
        <v>0</v>
      </c>
      <c r="AP273" s="7">
        <f>MAX(0,1+INDEX(配置与结果!$J$15:$J$18,F273)+IF(T273&gt;0,方案参数!$BY$10,0)-配置与结果!$B$30)</f>
        <v>2</v>
      </c>
      <c r="AQ273" s="7">
        <f t="shared" si="381"/>
        <v>0</v>
      </c>
      <c r="AR273" s="7">
        <f t="shared" si="382"/>
        <v>0</v>
      </c>
      <c r="AS273" s="7">
        <f t="shared" si="383"/>
        <v>0</v>
      </c>
      <c r="AT273" s="7">
        <f>0</f>
        <v>0</v>
      </c>
      <c r="AU273" s="7">
        <f t="shared" si="384"/>
        <v>0</v>
      </c>
      <c r="AV273" s="1">
        <f t="shared" si="385"/>
        <v>2</v>
      </c>
      <c r="AW273" s="1">
        <f t="shared" si="393"/>
        <v>10</v>
      </c>
      <c r="AX273" s="1">
        <f t="shared" si="386"/>
        <v>1</v>
      </c>
      <c r="AY273" s="1">
        <f t="shared" si="379"/>
        <v>6</v>
      </c>
      <c r="AZ273" s="1">
        <f t="shared" si="387"/>
        <v>5</v>
      </c>
      <c r="BA273" s="1">
        <f t="shared" ref="BA273:BA293" si="401">MIN(6,Q273+0)</f>
        <v>5</v>
      </c>
      <c r="BB273" s="1">
        <f>MIN(30,R273+5)</f>
        <v>10</v>
      </c>
      <c r="BC273" s="1">
        <f t="shared" si="394"/>
        <v>2</v>
      </c>
      <c r="BD273" s="1">
        <f t="shared" si="388"/>
        <v>2</v>
      </c>
      <c r="BE273" s="1">
        <f t="shared" si="373"/>
        <v>0</v>
      </c>
      <c r="BF273" s="1">
        <f>MIN(4,V273+0)</f>
        <v>2</v>
      </c>
      <c r="BG273" s="1">
        <f t="shared" si="398"/>
        <v>1</v>
      </c>
      <c r="BH273" s="1">
        <f t="shared" si="374"/>
        <v>1</v>
      </c>
      <c r="BI273" s="1">
        <f t="shared" si="399"/>
        <v>1</v>
      </c>
      <c r="BJ273" s="1">
        <f t="shared" ref="BJ273:BJ300" si="402">MAX(Z273,0)</f>
        <v>1</v>
      </c>
      <c r="BK273" s="1">
        <f t="shared" ref="BK273:BK300" si="403">MAX(AA273,0)</f>
        <v>1</v>
      </c>
      <c r="BL273" s="1">
        <f t="shared" si="354"/>
        <v>0</v>
      </c>
      <c r="BM273" s="1">
        <f>MAX(AC273,1)</f>
        <v>1</v>
      </c>
      <c r="BN273" s="1">
        <f t="shared" si="375"/>
        <v>1</v>
      </c>
      <c r="BO273" s="1">
        <f t="shared" si="376"/>
        <v>1</v>
      </c>
    </row>
    <row r="274" spans="1:67" ht="30.95" customHeight="1">
      <c r="A274" s="1">
        <f>7</f>
        <v>7</v>
      </c>
      <c r="B274" s="1">
        <f>固定流程!A22</f>
        <v>17</v>
      </c>
      <c r="C274" s="1">
        <f>10</f>
        <v>10</v>
      </c>
      <c r="D274" s="1">
        <f>1</f>
        <v>1</v>
      </c>
      <c r="E274" s="1">
        <f>固定流程!C22</f>
        <v>3</v>
      </c>
      <c r="F274" s="1">
        <f>固定流程!G22</f>
        <v>2</v>
      </c>
      <c r="G274" s="1" t="str">
        <f>固定流程!H22</f>
        <v>37_FOLLOW</v>
      </c>
      <c r="H274" s="1">
        <f>固定流程!F22</f>
        <v>1</v>
      </c>
      <c r="I274" s="1">
        <f>INDEX(配置与结果!$B$15:$B$18,F274)</f>
        <v>2306</v>
      </c>
      <c r="J274" s="1">
        <f>INDEX(配置与结果!$D$15:$D$18,F274)</f>
        <v>0.46</v>
      </c>
      <c r="K274" s="1">
        <f>INDEX(配置与结果!$E$15:$E$18,F274)</f>
        <v>1.9279999999999999</v>
      </c>
      <c r="L274" s="1">
        <f t="shared" si="395"/>
        <v>2</v>
      </c>
      <c r="M274" s="1">
        <f t="shared" si="396"/>
        <v>10</v>
      </c>
      <c r="N274" s="1">
        <f t="shared" si="397"/>
        <v>1</v>
      </c>
      <c r="O274" s="1">
        <f t="shared" si="389"/>
        <v>6</v>
      </c>
      <c r="P274" s="1">
        <f>MIN(方案参数!$AI$10,AZ273+0+0)</f>
        <v>5</v>
      </c>
      <c r="Q274" s="1">
        <f t="shared" si="359"/>
        <v>5</v>
      </c>
      <c r="R274" s="1">
        <f t="shared" si="360"/>
        <v>10</v>
      </c>
      <c r="S274" s="1">
        <f t="shared" si="361"/>
        <v>2</v>
      </c>
      <c r="T274" s="1">
        <f t="shared" ref="T274:T293" si="404">BD273+0</f>
        <v>2</v>
      </c>
      <c r="U274" s="1">
        <f t="shared" si="363"/>
        <v>0</v>
      </c>
      <c r="V274" s="1">
        <f t="shared" si="364"/>
        <v>2</v>
      </c>
      <c r="W274" s="1">
        <f t="shared" si="365"/>
        <v>1</v>
      </c>
      <c r="X274" s="1">
        <f t="shared" si="366"/>
        <v>1</v>
      </c>
      <c r="Y274" s="1">
        <f t="shared" si="367"/>
        <v>1</v>
      </c>
      <c r="Z274" s="1">
        <f t="shared" si="368"/>
        <v>1</v>
      </c>
      <c r="AA274" s="1">
        <f t="shared" si="400"/>
        <v>1</v>
      </c>
      <c r="AB274" s="1">
        <f t="shared" si="370"/>
        <v>0</v>
      </c>
      <c r="AC274" s="1">
        <f t="shared" ref="AC274:AC293" si="405">MAX(BM273,0)</f>
        <v>1</v>
      </c>
      <c r="AD274" s="1">
        <f>ROUNDDOWN(I274*(1+IF(F274=3,0.05+方案参数!$Y$10+AA274*0.12,IF(F274=4,方案参数!$BZ$10*方案参数!$AS$10,0)))+IF(AND(X274=1,F274&lt;&gt;3),方案参数!$CC$10,0)+AC274*方案参数!$CB$10,0)</f>
        <v>3044</v>
      </c>
      <c r="AE274" s="1">
        <f>IF(OR(F274=1,F274=4),配置与结果!$B$24,配置与结果!$B$25)*MAX(0,1-INDEX(配置与结果!$I$15:$I$18,F274))</f>
        <v>1000</v>
      </c>
      <c r="AF274" s="1">
        <f>方案参数!$BV$10</f>
        <v>3</v>
      </c>
      <c r="AG274" s="1">
        <f>MAX(配置与结果!$B$32,1+INDEX(配置与结果!$F$15:$F$18,F274)+0+Q274*方案参数!$W$10+Y274*(方案参数!$AN$10+MIN(方案参数!$AO$10,P274*0.03))+AB274*方案参数!$BZ$10*0.025-配置与结果!$B$28)</f>
        <v>1.0049999999999999</v>
      </c>
      <c r="AH274" s="1">
        <f>MAX(0,1+INDEX(配置与结果!$G$15:$G$18,F274)+W274*方案参数!$AG$10)</f>
        <v>1.3</v>
      </c>
      <c r="AI274" s="1">
        <f>IF(OR(INDEX(配置与结果!$K$15:$K$18,F274)=1,G274="RHI_BERRY"),1+配置与结果!$B$33+P274*方案参数!$AH$10,1)</f>
        <v>1</v>
      </c>
      <c r="AJ274" s="1">
        <f>MIN(1,MAX(0,J274+方案参数!$AB$10-配置与结果!$B$27))</f>
        <v>0.76</v>
      </c>
      <c r="AK274" s="1">
        <f>MAX(1,K274+IF(F274=2,0.15+方案参数!$CH$10,0)+BN274*方案参数!$X$10+R274*方案参数!$AA$10+0-配置与结果!$B$26+Z274*(方案参数!$AP$10+MIN(方案参数!$AQ$10,P274*0.03)))</f>
        <v>2.298</v>
      </c>
      <c r="AL274" s="7">
        <f>ROUNDDOWN(MAX(AD274*配置与结果!$B$31,AD274-AE274)*AF274*AG274*AH274*AI274,0)</f>
        <v>8011</v>
      </c>
      <c r="AM274" s="7">
        <f>ROUNDDOWN(MAX(AD274*配置与结果!$B$31,AD274-AE274)*AF274*AG274*AH274*AI274*AK274,0)</f>
        <v>18410</v>
      </c>
      <c r="AN274" s="7">
        <f t="shared" si="380"/>
        <v>15914.24</v>
      </c>
      <c r="AO274" s="7">
        <f>方案参数!$BW$10</f>
        <v>1</v>
      </c>
      <c r="AP274" s="7">
        <f>MAX(0,1+INDEX(配置与结果!$J$15:$J$18,F274)+IF(T274&gt;0,方案参数!$BY$10,0)-配置与结果!$B$30)</f>
        <v>2</v>
      </c>
      <c r="AQ274" s="7">
        <f t="shared" si="381"/>
        <v>6088</v>
      </c>
      <c r="AR274" s="7">
        <f t="shared" si="382"/>
        <v>13990</v>
      </c>
      <c r="AS274" s="7">
        <f t="shared" si="383"/>
        <v>12093.52</v>
      </c>
      <c r="AT274" s="7">
        <f>0</f>
        <v>0</v>
      </c>
      <c r="AU274" s="7">
        <f t="shared" si="384"/>
        <v>28007.760000000002</v>
      </c>
      <c r="AV274" s="1">
        <f t="shared" si="385"/>
        <v>2</v>
      </c>
      <c r="AW274" s="1">
        <f t="shared" si="393"/>
        <v>10</v>
      </c>
      <c r="AX274" s="1">
        <f t="shared" si="386"/>
        <v>1</v>
      </c>
      <c r="AY274" s="1">
        <f t="shared" si="379"/>
        <v>6</v>
      </c>
      <c r="AZ274" s="1">
        <f t="shared" si="387"/>
        <v>5</v>
      </c>
      <c r="BA274" s="1">
        <f t="shared" si="401"/>
        <v>5</v>
      </c>
      <c r="BB274" s="1">
        <f>MIN(30,R274+0)</f>
        <v>10</v>
      </c>
      <c r="BC274" s="1">
        <f t="shared" si="394"/>
        <v>2</v>
      </c>
      <c r="BD274" s="1">
        <f t="shared" si="388"/>
        <v>1</v>
      </c>
      <c r="BE274" s="1">
        <f t="shared" si="373"/>
        <v>0</v>
      </c>
      <c r="BF274" s="1">
        <f>MIN(4,V274+1)</f>
        <v>3</v>
      </c>
      <c r="BG274" s="1">
        <f t="shared" si="398"/>
        <v>1</v>
      </c>
      <c r="BH274" s="1">
        <f t="shared" si="374"/>
        <v>1</v>
      </c>
      <c r="BI274" s="1">
        <f t="shared" si="399"/>
        <v>1</v>
      </c>
      <c r="BJ274" s="1">
        <f t="shared" si="402"/>
        <v>1</v>
      </c>
      <c r="BK274" s="1">
        <f t="shared" si="403"/>
        <v>1</v>
      </c>
      <c r="BL274" s="1">
        <f t="shared" si="354"/>
        <v>0</v>
      </c>
      <c r="BM274" s="1">
        <f t="shared" ref="BM274:BM308" si="406">MAX(AC274,0)</f>
        <v>1</v>
      </c>
      <c r="BN274" s="1">
        <f t="shared" si="375"/>
        <v>1</v>
      </c>
      <c r="BO274" s="1">
        <f t="shared" si="376"/>
        <v>1</v>
      </c>
    </row>
    <row r="275" spans="1:67" ht="30.95" customHeight="1">
      <c r="A275" s="1">
        <f>7</f>
        <v>7</v>
      </c>
      <c r="B275" s="1">
        <f>固定流程!A23</f>
        <v>18</v>
      </c>
      <c r="C275" s="1">
        <f>10</f>
        <v>10</v>
      </c>
      <c r="D275" s="1">
        <f>1</f>
        <v>1</v>
      </c>
      <c r="E275" s="1">
        <f>固定流程!C23</f>
        <v>3</v>
      </c>
      <c r="F275" s="1">
        <f>固定流程!G23</f>
        <v>4</v>
      </c>
      <c r="G275" s="1" t="str">
        <f>固定流程!H23</f>
        <v>J_HARD</v>
      </c>
      <c r="H275" s="1">
        <f>固定流程!F23</f>
        <v>1</v>
      </c>
      <c r="I275" s="1">
        <f>INDEX(配置与结果!$B$15:$B$18,F275)</f>
        <v>1906</v>
      </c>
      <c r="J275" s="1">
        <f>INDEX(配置与结果!$D$15:$D$18,F275)</f>
        <v>0.36699999999999999</v>
      </c>
      <c r="K275" s="1">
        <f>INDEX(配置与结果!$E$15:$E$18,F275)</f>
        <v>1.7170000000000001</v>
      </c>
      <c r="L275" s="1">
        <f t="shared" si="395"/>
        <v>2</v>
      </c>
      <c r="M275" s="1">
        <f t="shared" si="396"/>
        <v>10</v>
      </c>
      <c r="N275" s="1">
        <f t="shared" si="397"/>
        <v>1</v>
      </c>
      <c r="O275" s="1">
        <f t="shared" si="389"/>
        <v>6</v>
      </c>
      <c r="P275" s="1">
        <f>MIN(方案参数!$AI$10,AZ274+0+0)</f>
        <v>5</v>
      </c>
      <c r="Q275" s="1">
        <f t="shared" si="359"/>
        <v>5</v>
      </c>
      <c r="R275" s="1">
        <f t="shared" si="360"/>
        <v>10</v>
      </c>
      <c r="S275" s="1">
        <f t="shared" si="361"/>
        <v>2</v>
      </c>
      <c r="T275" s="1">
        <f t="shared" si="404"/>
        <v>1</v>
      </c>
      <c r="U275" s="1">
        <f t="shared" si="363"/>
        <v>0</v>
      </c>
      <c r="V275" s="1">
        <f t="shared" si="364"/>
        <v>3</v>
      </c>
      <c r="W275" s="1">
        <f t="shared" si="365"/>
        <v>1</v>
      </c>
      <c r="X275" s="1">
        <f t="shared" si="366"/>
        <v>1</v>
      </c>
      <c r="Y275" s="1">
        <f t="shared" si="367"/>
        <v>1</v>
      </c>
      <c r="Z275" s="1">
        <f t="shared" si="368"/>
        <v>1</v>
      </c>
      <c r="AA275" s="1">
        <f t="shared" si="400"/>
        <v>1</v>
      </c>
      <c r="AB275" s="1">
        <f t="shared" si="370"/>
        <v>0</v>
      </c>
      <c r="AC275" s="1">
        <f t="shared" si="405"/>
        <v>1</v>
      </c>
      <c r="AD275" s="1">
        <f>ROUNDDOWN(I275*(1+IF(F275=3,0.05+方案参数!$Y$10+AA275*0.12,IF(F275=4,方案参数!$BZ$10*方案参数!$AS$10,0)))+IF(AND(X275=1,F275&lt;&gt;3),方案参数!$CC$10,0)+AC275*方案参数!$CB$10,0)</f>
        <v>3311</v>
      </c>
      <c r="AE275" s="1">
        <f>IF(OR(F275=1,F275=4),配置与结果!$B$24,配置与结果!$B$25)*MAX(0,1-INDEX(配置与结果!$I$15:$I$18,F275))</f>
        <v>1200</v>
      </c>
      <c r="AF275" s="1">
        <f>3.6*IF(H275=1,1,IF(H275=2,1.5,2.5))</f>
        <v>3.6</v>
      </c>
      <c r="AG275" s="1">
        <f>MAX(配置与结果!$B$32,1+INDEX(配置与结果!$F$15:$F$18,F275)+0.08+Q275*方案参数!$W$10+Y275*(方案参数!$AN$10+MIN(方案参数!$AO$10,P275*0.03))+AB275*方案参数!$BZ$10*0.025+0.1+IF(方案参数!$BZ$10&gt;=30,方案参数!$BZ$10*0.01,0)-配置与结果!$B$28)</f>
        <v>1.5550000000000002</v>
      </c>
      <c r="AH275" s="1">
        <f>MAX(0,1+INDEX(配置与结果!$G$15:$G$18,F275)+W275*方案参数!$AG$10)</f>
        <v>1.3</v>
      </c>
      <c r="AI275" s="1">
        <f>IF(OR(INDEX(配置与结果!$K$15:$K$18,F275)=1,G275="RHI_BERRY"),1+配置与结果!$B$33+P275*方案参数!$AH$10,1)</f>
        <v>1</v>
      </c>
      <c r="AJ275" s="1">
        <f>MIN(1,MAX(0,J275+方案参数!$AB$10-配置与结果!$B$27))</f>
        <v>0.66700000000000004</v>
      </c>
      <c r="AK275" s="1">
        <f>MAX(1,K275+IF(F275=2,0.15+方案参数!$CH$10,0)+BN275*方案参数!$X$10+R275*方案参数!$AA$10+0-配置与结果!$B$26+Z275*(方案参数!$AP$10+MIN(方案参数!$AQ$10,P275*0.03)))</f>
        <v>1.8169999999999999</v>
      </c>
      <c r="AL275" s="7">
        <f>ROUNDDOWN(MAX(AD275*配置与结果!$B$31,AD275-AE275)*AF275*AG275*AH275*AI275,0)</f>
        <v>15362</v>
      </c>
      <c r="AM275" s="7">
        <f>ROUNDDOWN(MAX(AD275*配置与结果!$B$31,AD275-AE275)*AF275*AG275*AH275*AI275*AK275,0)</f>
        <v>27913</v>
      </c>
      <c r="AN275" s="7">
        <f t="shared" si="380"/>
        <v>23733.517</v>
      </c>
      <c r="AO275" s="7">
        <f>0</f>
        <v>0</v>
      </c>
      <c r="AP275" s="7">
        <f>MAX(0,1+INDEX(配置与结果!$J$15:$J$18,F275)+IF(T275&gt;0,方案参数!$BY$10,0)-配置与结果!$B$30)</f>
        <v>2</v>
      </c>
      <c r="AQ275" s="7">
        <f t="shared" si="381"/>
        <v>0</v>
      </c>
      <c r="AR275" s="7">
        <f t="shared" si="382"/>
        <v>0</v>
      </c>
      <c r="AS275" s="7">
        <f t="shared" si="383"/>
        <v>0</v>
      </c>
      <c r="AT275" s="7">
        <f>0</f>
        <v>0</v>
      </c>
      <c r="AU275" s="7">
        <f t="shared" si="384"/>
        <v>23733.517</v>
      </c>
      <c r="AV275" s="1">
        <f t="shared" si="385"/>
        <v>2</v>
      </c>
      <c r="AW275" s="1">
        <f t="shared" si="393"/>
        <v>10</v>
      </c>
      <c r="AX275" s="1">
        <f t="shared" si="386"/>
        <v>1</v>
      </c>
      <c r="AY275" s="1">
        <f t="shared" si="379"/>
        <v>6</v>
      </c>
      <c r="AZ275" s="1">
        <f t="shared" si="387"/>
        <v>5</v>
      </c>
      <c r="BA275" s="1">
        <f t="shared" si="401"/>
        <v>5</v>
      </c>
      <c r="BB275" s="1">
        <f>MIN(30,R275+0)</f>
        <v>10</v>
      </c>
      <c r="BC275" s="1">
        <f>MIN(3,S275+1)</f>
        <v>3</v>
      </c>
      <c r="BD275" s="1">
        <f t="shared" si="388"/>
        <v>1</v>
      </c>
      <c r="BE275" s="1">
        <f t="shared" si="373"/>
        <v>0</v>
      </c>
      <c r="BF275" s="1">
        <f>MIN(4,V275+0)</f>
        <v>3</v>
      </c>
      <c r="BG275" s="1">
        <f t="shared" si="398"/>
        <v>1</v>
      </c>
      <c r="BH275" s="1">
        <f t="shared" si="374"/>
        <v>1</v>
      </c>
      <c r="BI275" s="1">
        <f t="shared" si="399"/>
        <v>1</v>
      </c>
      <c r="BJ275" s="1">
        <f t="shared" si="402"/>
        <v>1</v>
      </c>
      <c r="BK275" s="1">
        <f t="shared" si="403"/>
        <v>1</v>
      </c>
      <c r="BL275" s="1">
        <f t="shared" si="354"/>
        <v>0</v>
      </c>
      <c r="BM275" s="1">
        <f t="shared" si="406"/>
        <v>1</v>
      </c>
      <c r="BN275" s="1">
        <f t="shared" si="375"/>
        <v>1</v>
      </c>
      <c r="BO275" s="1">
        <f t="shared" si="376"/>
        <v>1</v>
      </c>
    </row>
    <row r="276" spans="1:67" ht="30.95" customHeight="1">
      <c r="A276" s="1">
        <f>7</f>
        <v>7</v>
      </c>
      <c r="B276" s="1">
        <f>固定流程!A24</f>
        <v>19</v>
      </c>
      <c r="C276" s="1">
        <f>10</f>
        <v>10</v>
      </c>
      <c r="D276" s="1">
        <f>1</f>
        <v>1</v>
      </c>
      <c r="E276" s="1">
        <f>固定流程!C24</f>
        <v>3</v>
      </c>
      <c r="F276" s="1">
        <f>固定流程!G24</f>
        <v>4</v>
      </c>
      <c r="G276" s="1" t="str">
        <f>固定流程!H24</f>
        <v>J_ULT</v>
      </c>
      <c r="H276" s="1">
        <f>固定流程!F24</f>
        <v>1</v>
      </c>
      <c r="I276" s="1">
        <f>INDEX(配置与结果!$B$15:$B$18,F276)</f>
        <v>1906</v>
      </c>
      <c r="J276" s="1">
        <f>INDEX(配置与结果!$D$15:$D$18,F276)</f>
        <v>0.36699999999999999</v>
      </c>
      <c r="K276" s="1">
        <f>INDEX(配置与结果!$E$15:$E$18,F276)</f>
        <v>1.7170000000000001</v>
      </c>
      <c r="L276" s="1">
        <f t="shared" si="395"/>
        <v>2</v>
      </c>
      <c r="M276" s="1">
        <f t="shared" si="396"/>
        <v>10</v>
      </c>
      <c r="N276" s="1">
        <f t="shared" si="397"/>
        <v>1</v>
      </c>
      <c r="O276" s="1">
        <f t="shared" si="389"/>
        <v>6</v>
      </c>
      <c r="P276" s="1">
        <f>MIN(方案参数!$AI$10,AZ275+0+0)</f>
        <v>5</v>
      </c>
      <c r="Q276" s="1">
        <f t="shared" si="359"/>
        <v>5</v>
      </c>
      <c r="R276" s="1">
        <f t="shared" si="360"/>
        <v>10</v>
      </c>
      <c r="S276" s="1">
        <f t="shared" si="361"/>
        <v>3</v>
      </c>
      <c r="T276" s="1">
        <f t="shared" si="404"/>
        <v>1</v>
      </c>
      <c r="U276" s="1">
        <f t="shared" si="363"/>
        <v>0</v>
      </c>
      <c r="V276" s="1">
        <f t="shared" si="364"/>
        <v>3</v>
      </c>
      <c r="W276" s="1">
        <f t="shared" si="365"/>
        <v>1</v>
      </c>
      <c r="X276" s="1">
        <f t="shared" si="366"/>
        <v>1</v>
      </c>
      <c r="Y276" s="1">
        <f t="shared" si="367"/>
        <v>1</v>
      </c>
      <c r="Z276" s="1">
        <f t="shared" si="368"/>
        <v>1</v>
      </c>
      <c r="AA276" s="1">
        <f t="shared" si="400"/>
        <v>1</v>
      </c>
      <c r="AB276" s="1">
        <f t="shared" si="370"/>
        <v>0</v>
      </c>
      <c r="AC276" s="1">
        <f t="shared" si="405"/>
        <v>1</v>
      </c>
      <c r="AD276" s="1">
        <f>ROUNDDOWN(I276*(1+IF(F276=3,0.05+方案参数!$Y$10+AA276*0.12,IF(F276=4,方案参数!$BZ$10*方案参数!$AS$10,0)))+IF(AND(X276=1,F276&lt;&gt;3),方案参数!$CC$10,0)+AC276*方案参数!$CB$10,0)</f>
        <v>3311</v>
      </c>
      <c r="AE276" s="1">
        <f>IF(OR(F276=1,F276=4),配置与结果!$B$24,配置与结果!$B$25)*MAX(0,1-INDEX(配置与结果!$I$15:$I$18,F276))</f>
        <v>1200</v>
      </c>
      <c r="AF276" s="1">
        <f>方案参数!$AT$10+MAX(0,配置与结果!$H$26+方案参数!$BZ$10-30)*方案参数!$AU$10*配置与结果!$H$27</f>
        <v>42</v>
      </c>
      <c r="AG276" s="1">
        <f>MAX(配置与结果!$B$32,1+INDEX(配置与结果!$F$15:$F$18,F276)+0.08+Q276*方案参数!$W$10+Y276*(方案参数!$AN$10+MIN(方案参数!$AO$10,P276*0.03))+AB276*方案参数!$BZ$10*0.025-配置与结果!$B$28)</f>
        <v>1.105</v>
      </c>
      <c r="AH276" s="1">
        <f>MAX(0,1+INDEX(配置与结果!$H$15:$H$18,F276)+W276*方案参数!$AG$10+S276*方案参数!$Z$10)</f>
        <v>1.42</v>
      </c>
      <c r="AI276" s="1">
        <f>IF(OR(INDEX(配置与结果!$K$15:$K$18,F276)=1,G276="RHI_BERRY"),1+配置与结果!$B$33+P276*方案参数!$AH$10,1)</f>
        <v>1</v>
      </c>
      <c r="AJ276" s="1">
        <f>MIN(1,MAX(0,J276+方案参数!$AB$10-配置与结果!$B$27))</f>
        <v>0.66700000000000004</v>
      </c>
      <c r="AK276" s="1">
        <f>MAX(1,K276+IF(F276=2,0.15+方案参数!$CH$10,0)+BN276*方案参数!$X$10+R276*方案参数!$AA$10+0-配置与结果!$B$26+Z276*(方案参数!$AP$10+MIN(方案参数!$AQ$10,P276*0.03)))</f>
        <v>1.8169999999999999</v>
      </c>
      <c r="AL276" s="7">
        <f>ROUNDDOWN(MAX(AD276*配置与结果!$B$31,AD276-AE276)*AF276*AG276*AH276*AI276,0)</f>
        <v>139119</v>
      </c>
      <c r="AM276" s="7">
        <f>ROUNDDOWN(MAX(AD276*配置与结果!$B$31,AD276-AE276)*AF276*AG276*AH276*AI276*AK276,0)</f>
        <v>252780</v>
      </c>
      <c r="AN276" s="7">
        <f t="shared" si="380"/>
        <v>214930.88699999999</v>
      </c>
      <c r="AO276" s="7">
        <f>0</f>
        <v>0</v>
      </c>
      <c r="AP276" s="7">
        <f>MAX(0,1+INDEX(配置与结果!$J$15:$J$18,F276)+IF(T276&gt;0,方案参数!$BY$10,0)-配置与结果!$B$30)</f>
        <v>2</v>
      </c>
      <c r="AQ276" s="7">
        <f t="shared" si="381"/>
        <v>0</v>
      </c>
      <c r="AR276" s="7">
        <f t="shared" si="382"/>
        <v>0</v>
      </c>
      <c r="AS276" s="7">
        <f t="shared" si="383"/>
        <v>0</v>
      </c>
      <c r="AT276" s="7">
        <f>0</f>
        <v>0</v>
      </c>
      <c r="AU276" s="7">
        <f t="shared" si="384"/>
        <v>214930.88699999999</v>
      </c>
      <c r="AV276" s="1">
        <f t="shared" si="385"/>
        <v>2</v>
      </c>
      <c r="AW276" s="1">
        <f t="shared" si="393"/>
        <v>10</v>
      </c>
      <c r="AX276" s="1">
        <f t="shared" si="386"/>
        <v>1</v>
      </c>
      <c r="AY276" s="1">
        <f t="shared" si="379"/>
        <v>6</v>
      </c>
      <c r="AZ276" s="1">
        <f t="shared" si="387"/>
        <v>5</v>
      </c>
      <c r="BA276" s="1">
        <f t="shared" si="401"/>
        <v>5</v>
      </c>
      <c r="BB276" s="1">
        <f>MIN(30,R276+5)</f>
        <v>15</v>
      </c>
      <c r="BC276" s="1">
        <f t="shared" ref="BC276:BC299" si="407">MIN(3,S276+0)</f>
        <v>3</v>
      </c>
      <c r="BD276" s="1">
        <f t="shared" si="388"/>
        <v>1</v>
      </c>
      <c r="BE276" s="1">
        <f t="shared" si="373"/>
        <v>0</v>
      </c>
      <c r="BF276" s="1">
        <f>MIN(4,V276+0)</f>
        <v>3</v>
      </c>
      <c r="BG276" s="1">
        <f t="shared" si="398"/>
        <v>1</v>
      </c>
      <c r="BH276" s="1">
        <f t="shared" si="374"/>
        <v>1</v>
      </c>
      <c r="BI276" s="1">
        <f t="shared" si="399"/>
        <v>1</v>
      </c>
      <c r="BJ276" s="1">
        <f t="shared" si="402"/>
        <v>1</v>
      </c>
      <c r="BK276" s="1">
        <f t="shared" si="403"/>
        <v>1</v>
      </c>
      <c r="BL276" s="1">
        <f>MAX(AB276,1)</f>
        <v>1</v>
      </c>
      <c r="BM276" s="1">
        <f t="shared" si="406"/>
        <v>1</v>
      </c>
      <c r="BN276" s="1">
        <f t="shared" si="375"/>
        <v>1</v>
      </c>
      <c r="BO276" s="1">
        <f t="shared" si="376"/>
        <v>1</v>
      </c>
    </row>
    <row r="277" spans="1:67" ht="30.95" customHeight="1">
      <c r="A277" s="1">
        <f>7</f>
        <v>7</v>
      </c>
      <c r="B277" s="1">
        <f>固定流程!A25</f>
        <v>20</v>
      </c>
      <c r="C277" s="1">
        <f>10</f>
        <v>10</v>
      </c>
      <c r="D277" s="1">
        <f>1</f>
        <v>1</v>
      </c>
      <c r="E277" s="1">
        <f>固定流程!C25</f>
        <v>3</v>
      </c>
      <c r="F277" s="1">
        <f>固定流程!G25</f>
        <v>1</v>
      </c>
      <c r="G277" s="1" t="str">
        <f>固定流程!H25</f>
        <v>LILYA_ULT</v>
      </c>
      <c r="H277" s="1">
        <f>固定流程!F25</f>
        <v>1</v>
      </c>
      <c r="I277" s="1">
        <f>INDEX(配置与结果!$B$15:$B$18,F277)</f>
        <v>2296</v>
      </c>
      <c r="J277" s="1">
        <f>INDEX(配置与结果!$D$15:$D$18,F277)</f>
        <v>0.7</v>
      </c>
      <c r="K277" s="1">
        <f>INDEX(配置与结果!$E$15:$E$18,F277)</f>
        <v>2.0249999999999999</v>
      </c>
      <c r="L277" s="1">
        <f t="shared" si="395"/>
        <v>2</v>
      </c>
      <c r="M277" s="1">
        <f t="shared" si="396"/>
        <v>10</v>
      </c>
      <c r="N277" s="1">
        <f t="shared" si="397"/>
        <v>1</v>
      </c>
      <c r="O277" s="1">
        <f t="shared" si="389"/>
        <v>6</v>
      </c>
      <c r="P277" s="1">
        <f>MIN(方案参数!$AI$10,AZ276+0+0)</f>
        <v>5</v>
      </c>
      <c r="Q277" s="1">
        <f t="shared" si="359"/>
        <v>5</v>
      </c>
      <c r="R277" s="1">
        <f t="shared" si="360"/>
        <v>15</v>
      </c>
      <c r="S277" s="1">
        <f t="shared" si="361"/>
        <v>3</v>
      </c>
      <c r="T277" s="1">
        <f t="shared" si="404"/>
        <v>1</v>
      </c>
      <c r="U277" s="1">
        <f t="shared" si="363"/>
        <v>0</v>
      </c>
      <c r="V277" s="1">
        <f t="shared" si="364"/>
        <v>3</v>
      </c>
      <c r="W277" s="1">
        <f t="shared" si="365"/>
        <v>1</v>
      </c>
      <c r="X277" s="1">
        <f t="shared" si="366"/>
        <v>1</v>
      </c>
      <c r="Y277" s="1">
        <f t="shared" si="367"/>
        <v>1</v>
      </c>
      <c r="Z277" s="1">
        <f t="shared" si="368"/>
        <v>1</v>
      </c>
      <c r="AA277" s="1">
        <f t="shared" si="400"/>
        <v>1</v>
      </c>
      <c r="AB277" s="1">
        <f t="shared" si="370"/>
        <v>1</v>
      </c>
      <c r="AC277" s="1">
        <f t="shared" si="405"/>
        <v>1</v>
      </c>
      <c r="AD277" s="1">
        <f>ROUNDDOWN(I277*(1+IF(F277=3,0.05+方案参数!$Y$10+AA277*0.12,IF(F277=4,方案参数!$BZ$10*方案参数!$AS$10,0)))+IF(AND(X277=1,F277&lt;&gt;3),方案参数!$CC$10,0)+AC277*方案参数!$CB$10,0)</f>
        <v>3034</v>
      </c>
      <c r="AE277" s="1">
        <f>IF(OR(F277=1,F277=4),配置与结果!$B$24,配置与结果!$B$25)*MAX(0,1-INDEX(配置与结果!$I$15:$I$18,F277)+IF(O277&gt;=6,方案参数!$BK$10,0))</f>
        <v>1800</v>
      </c>
      <c r="AF277" s="1">
        <f>方案参数!$BG$10+IF(O277&gt;=6,方案参数!$BH$10,0)</f>
        <v>72</v>
      </c>
      <c r="AG277" s="1">
        <f>MAX(配置与结果!$B$32,1+INDEX(配置与结果!$F$15:$F$18,F277)+0.08+方案参数!$CD$10+Q277*方案参数!$W$10+Y277*(方案参数!$AN$10+MIN(方案参数!$AO$10,P277*0.03))+AB277*方案参数!$BZ$10*0.025-配置与结果!$B$28)</f>
        <v>2.2150000000000003</v>
      </c>
      <c r="AH277" s="1">
        <f>MAX(0,1+INDEX(配置与结果!$H$15:$H$18,F277)+W277*方案参数!$AG$10+O277*方案参数!$BF$10+IF(O277&gt;=6,方案参数!$BI$10,0))</f>
        <v>3.4000000000000004</v>
      </c>
      <c r="AI277" s="1">
        <f>IF(OR(INDEX(配置与结果!$K$15:$K$18,F277)=1,G277="RHI_BERRY"),1+配置与结果!$B$33+P277*方案参数!$AH$10,1)</f>
        <v>1</v>
      </c>
      <c r="AJ277" s="1">
        <f>MIN(1,MAX(0,J277+方案参数!$AB$10-配置与结果!$B$27))</f>
        <v>1</v>
      </c>
      <c r="AK277" s="1">
        <f>MAX(1,K277+IF(F277=2,0.15+方案参数!$CH$10,0)+BN277*方案参数!$X$10+R277*方案参数!$AA$10+IF(O277&gt;=6,方案参数!$BJ$10,0)-配置与结果!$B$26+Z277*(方案参数!$AP$10+MIN(方案参数!$AQ$10,P277*0.03)))</f>
        <v>3.9449999999999998</v>
      </c>
      <c r="AL277" s="7">
        <f>ROUNDDOWN(MAX(AD277*配置与结果!$B$31,AD277-AE277)*AF277*AG277*AH277*AI277,0)</f>
        <v>669114</v>
      </c>
      <c r="AM277" s="7">
        <f>ROUNDDOWN(MAX(AD277*配置与结果!$B$31,AD277-AE277)*AF277*AG277*AH277*AI277*AK277,0)</f>
        <v>2639655</v>
      </c>
      <c r="AN277" s="7">
        <f t="shared" si="380"/>
        <v>2639655</v>
      </c>
      <c r="AO277" s="7">
        <f>0</f>
        <v>0</v>
      </c>
      <c r="AP277" s="7">
        <f>MAX(0,1+INDEX(配置与结果!$J$15:$J$18,F277)+IF(T277&gt;0,方案参数!$BY$10,0)-配置与结果!$B$30)</f>
        <v>2</v>
      </c>
      <c r="AQ277" s="7">
        <f t="shared" si="381"/>
        <v>0</v>
      </c>
      <c r="AR277" s="7">
        <f t="shared" si="382"/>
        <v>0</v>
      </c>
      <c r="AS277" s="7">
        <f t="shared" si="383"/>
        <v>0</v>
      </c>
      <c r="AT277" s="7">
        <f>0</f>
        <v>0</v>
      </c>
      <c r="AU277" s="7">
        <f t="shared" si="384"/>
        <v>2639655</v>
      </c>
      <c r="AV277" s="1">
        <f t="shared" si="385"/>
        <v>2</v>
      </c>
      <c r="AW277" s="1">
        <f t="shared" si="393"/>
        <v>10</v>
      </c>
      <c r="AX277" s="1">
        <f t="shared" si="386"/>
        <v>1</v>
      </c>
      <c r="AY277" s="1">
        <f>MIN(20,MAX(0,O277+0+0-IF(O277&gt;=6,6,0)))</f>
        <v>0</v>
      </c>
      <c r="AZ277" s="1">
        <f t="shared" si="387"/>
        <v>5</v>
      </c>
      <c r="BA277" s="1">
        <f t="shared" si="401"/>
        <v>5</v>
      </c>
      <c r="BB277" s="1">
        <f>MIN(30,R277+5)</f>
        <v>20</v>
      </c>
      <c r="BC277" s="1">
        <f t="shared" si="407"/>
        <v>3</v>
      </c>
      <c r="BD277" s="1">
        <f t="shared" si="388"/>
        <v>1</v>
      </c>
      <c r="BE277" s="1">
        <f t="shared" si="373"/>
        <v>0</v>
      </c>
      <c r="BF277" s="1">
        <f>MIN(4,V277+0)</f>
        <v>3</v>
      </c>
      <c r="BG277" s="1">
        <f t="shared" si="398"/>
        <v>1</v>
      </c>
      <c r="BH277" s="1">
        <f t="shared" si="374"/>
        <v>1</v>
      </c>
      <c r="BI277" s="1">
        <f t="shared" si="399"/>
        <v>1</v>
      </c>
      <c r="BJ277" s="1">
        <f t="shared" si="402"/>
        <v>1</v>
      </c>
      <c r="BK277" s="1">
        <f t="shared" si="403"/>
        <v>1</v>
      </c>
      <c r="BL277" s="1">
        <f t="shared" ref="BL277:BL311" si="408">MAX(AB277,0)</f>
        <v>1</v>
      </c>
      <c r="BM277" s="1">
        <f t="shared" si="406"/>
        <v>1</v>
      </c>
      <c r="BN277" s="1">
        <f t="shared" si="375"/>
        <v>1</v>
      </c>
      <c r="BO277" s="1">
        <f t="shared" si="376"/>
        <v>1</v>
      </c>
    </row>
    <row r="278" spans="1:67" ht="30.95" customHeight="1">
      <c r="A278" s="1">
        <f>7</f>
        <v>7</v>
      </c>
      <c r="B278" s="1">
        <f>固定流程!A26</f>
        <v>21</v>
      </c>
      <c r="C278" s="1">
        <f>10</f>
        <v>10</v>
      </c>
      <c r="D278" s="1">
        <f>1</f>
        <v>1</v>
      </c>
      <c r="E278" s="1">
        <f>固定流程!C26</f>
        <v>3</v>
      </c>
      <c r="F278" s="1">
        <f>固定流程!G26</f>
        <v>1</v>
      </c>
      <c r="G278" s="1" t="str">
        <f>固定流程!H26</f>
        <v>LILYA_DIVE</v>
      </c>
      <c r="H278" s="1">
        <f>固定流程!F26</f>
        <v>3</v>
      </c>
      <c r="I278" s="1">
        <f>INDEX(配置与结果!$B$15:$B$18,F278)</f>
        <v>2296</v>
      </c>
      <c r="J278" s="1">
        <f>INDEX(配置与结果!$D$15:$D$18,F278)</f>
        <v>0.7</v>
      </c>
      <c r="K278" s="1">
        <f>INDEX(配置与结果!$E$15:$E$18,F278)</f>
        <v>2.0249999999999999</v>
      </c>
      <c r="L278" s="1">
        <f t="shared" si="395"/>
        <v>2</v>
      </c>
      <c r="M278" s="1">
        <f t="shared" si="396"/>
        <v>10</v>
      </c>
      <c r="N278" s="1">
        <f t="shared" si="397"/>
        <v>1</v>
      </c>
      <c r="O278" s="1">
        <f t="shared" si="389"/>
        <v>0</v>
      </c>
      <c r="P278" s="1">
        <f>MIN(方案参数!$AI$10,AZ277+0+0)</f>
        <v>5</v>
      </c>
      <c r="Q278" s="1">
        <f t="shared" si="359"/>
        <v>5</v>
      </c>
      <c r="R278" s="1">
        <f t="shared" si="360"/>
        <v>20</v>
      </c>
      <c r="S278" s="1">
        <f t="shared" si="361"/>
        <v>3</v>
      </c>
      <c r="T278" s="1">
        <f t="shared" si="404"/>
        <v>1</v>
      </c>
      <c r="U278" s="1">
        <f t="shared" si="363"/>
        <v>0</v>
      </c>
      <c r="V278" s="1">
        <f t="shared" si="364"/>
        <v>3</v>
      </c>
      <c r="W278" s="1">
        <f t="shared" si="365"/>
        <v>1</v>
      </c>
      <c r="X278" s="1">
        <f t="shared" si="366"/>
        <v>1</v>
      </c>
      <c r="Y278" s="1">
        <f t="shared" si="367"/>
        <v>1</v>
      </c>
      <c r="Z278" s="1">
        <f t="shared" si="368"/>
        <v>1</v>
      </c>
      <c r="AA278" s="1">
        <f t="shared" si="400"/>
        <v>1</v>
      </c>
      <c r="AB278" s="1">
        <f t="shared" si="370"/>
        <v>1</v>
      </c>
      <c r="AC278" s="1">
        <f t="shared" si="405"/>
        <v>1</v>
      </c>
      <c r="AD278" s="1">
        <f>ROUNDDOWN(I278*(1+IF(F278=3,0.05+方案参数!$Y$10+AA278*0.12,IF(F278=4,方案参数!$BZ$10*方案参数!$AS$10,0)))+IF(AND(X278=1,F278&lt;&gt;3),方案参数!$CC$10,0)+AC278*方案参数!$CB$10,0)</f>
        <v>3034</v>
      </c>
      <c r="AE278" s="1">
        <f>IF(OR(F278=1,F278=4),配置与结果!$B$24,配置与结果!$B$25)*MAX(0,1-INDEX(配置与结果!$I$15:$I$18,F278))</f>
        <v>1200</v>
      </c>
      <c r="AF278" s="1">
        <f>(IF(L278=1,方案参数!$AW$10,IF(L278=2,方案参数!$AX$10,0))+方案参数!$AV$10)*H278</f>
        <v>45</v>
      </c>
      <c r="AG278" s="1">
        <f>MAX(配置与结果!$B$32,1+INDEX(配置与结果!$F$15:$F$18,F278)+0.08+方案参数!$CD$10+Q278*方案参数!$W$10+Y278*(方案参数!$AN$10+MIN(方案参数!$AO$10,P278*0.03))+AB278*方案参数!$BZ$10*0.025+IF(L278=1,方案参数!$AY$10+(H278-1)*0.1,IF(L278=2,方案参数!$AZ$10+(H278-1)*0.2,0))-配置与结果!$B$28)</f>
        <v>3.2150000000000003</v>
      </c>
      <c r="AH278" s="1">
        <f>MAX(0,1+INDEX(配置与结果!$G$15:$G$18,F278)+W278*方案参数!$AG$10+IF(L278=1,方案参数!$BA$10,IF(L278=2,方案参数!$BB$10,0))+M278*方案参数!$BC$10)</f>
        <v>4.3</v>
      </c>
      <c r="AI278" s="1">
        <f>IF(OR(INDEX(配置与结果!$K$15:$K$18,F278)=1,G278="RHI_BERRY"),1+配置与结果!$B$33+P278*方案参数!$AH$10,1)</f>
        <v>1</v>
      </c>
      <c r="AJ278" s="1">
        <f>MIN(1,MAX(0,J278+方案参数!$AB$10-配置与结果!$B$27))</f>
        <v>1</v>
      </c>
      <c r="AK278" s="1">
        <f>MAX(1,K278+IF(F278=2,0.15+方案参数!$CH$10,0)+BN278*方案参数!$X$10+R278*方案参数!$AA$10+0-配置与结果!$B$26+Z278*(方案参数!$AP$10+MIN(方案参数!$AQ$10,P278*0.03)))</f>
        <v>2.165</v>
      </c>
      <c r="AL278" s="7">
        <f>ROUNDDOWN(MAX(AD278*配置与结果!$B$31,AD278-AE278)*AF278*AG278*AH278*AI278,0)</f>
        <v>1140935</v>
      </c>
      <c r="AM278" s="7">
        <f>ROUNDDOWN(MAX(AD278*配置与结果!$B$31,AD278-AE278)*AF278*AG278*AH278*AI278*AK278,0)</f>
        <v>2470126</v>
      </c>
      <c r="AN278" s="7">
        <f t="shared" si="380"/>
        <v>2470126</v>
      </c>
      <c r="AO278" s="7">
        <f>0</f>
        <v>0</v>
      </c>
      <c r="AP278" s="7">
        <f>MAX(0,1+INDEX(配置与结果!$J$15:$J$18,F278)+IF(T278&gt;0,方案参数!$BY$10,0)-配置与结果!$B$30)</f>
        <v>2</v>
      </c>
      <c r="AQ278" s="7">
        <f t="shared" si="381"/>
        <v>0</v>
      </c>
      <c r="AR278" s="7">
        <f t="shared" si="382"/>
        <v>0</v>
      </c>
      <c r="AS278" s="7">
        <f t="shared" si="383"/>
        <v>0</v>
      </c>
      <c r="AT278" s="7">
        <f>0</f>
        <v>0</v>
      </c>
      <c r="AU278" s="7">
        <f t="shared" si="384"/>
        <v>2470126</v>
      </c>
      <c r="AV278" s="1">
        <f t="shared" si="385"/>
        <v>2</v>
      </c>
      <c r="AW278" s="1">
        <f>MIN(10,M278+0+IF(L278=1,方案参数!$BE$10,0))</f>
        <v>10</v>
      </c>
      <c r="AX278" s="1">
        <f t="shared" si="386"/>
        <v>1</v>
      </c>
      <c r="AY278" s="1">
        <f>MIN(20,MAX(0,O278+0+0-0))</f>
        <v>0</v>
      </c>
      <c r="AZ278" s="1">
        <f t="shared" si="387"/>
        <v>5</v>
      </c>
      <c r="BA278" s="1">
        <f t="shared" si="401"/>
        <v>5</v>
      </c>
      <c r="BB278" s="1">
        <f t="shared" ref="BB278:BB293" si="409">MIN(30,R278+0)</f>
        <v>20</v>
      </c>
      <c r="BC278" s="1">
        <f t="shared" si="407"/>
        <v>3</v>
      </c>
      <c r="BD278" s="1">
        <f t="shared" si="388"/>
        <v>1</v>
      </c>
      <c r="BE278" s="1">
        <f t="shared" si="373"/>
        <v>0</v>
      </c>
      <c r="BF278" s="1">
        <f>MIN(4,V278+0)</f>
        <v>3</v>
      </c>
      <c r="BG278" s="1">
        <f t="shared" si="398"/>
        <v>1</v>
      </c>
      <c r="BH278" s="1">
        <f t="shared" si="374"/>
        <v>1</v>
      </c>
      <c r="BI278" s="1">
        <f t="shared" si="399"/>
        <v>1</v>
      </c>
      <c r="BJ278" s="1">
        <f t="shared" si="402"/>
        <v>1</v>
      </c>
      <c r="BK278" s="1">
        <f t="shared" si="403"/>
        <v>1</v>
      </c>
      <c r="BL278" s="1">
        <f t="shared" si="408"/>
        <v>1</v>
      </c>
      <c r="BM278" s="1">
        <f t="shared" si="406"/>
        <v>1</v>
      </c>
      <c r="BN278" s="1">
        <f t="shared" si="375"/>
        <v>1</v>
      </c>
      <c r="BO278" s="1">
        <f t="shared" si="376"/>
        <v>1</v>
      </c>
    </row>
    <row r="279" spans="1:67" ht="30.95" customHeight="1">
      <c r="A279" s="1">
        <f>7</f>
        <v>7</v>
      </c>
      <c r="B279" s="1">
        <f>固定流程!A27</f>
        <v>22</v>
      </c>
      <c r="C279" s="1">
        <f>10</f>
        <v>10</v>
      </c>
      <c r="D279" s="1">
        <f>1</f>
        <v>1</v>
      </c>
      <c r="E279" s="1">
        <f>固定流程!C27</f>
        <v>3</v>
      </c>
      <c r="F279" s="1">
        <f>固定流程!G27</f>
        <v>3</v>
      </c>
      <c r="G279" s="1" t="str">
        <f>固定流程!H27</f>
        <v>RHI_BERRY</v>
      </c>
      <c r="H279" s="1">
        <f>固定流程!F27</f>
        <v>1</v>
      </c>
      <c r="I279" s="1">
        <f>INDEX(配置与结果!$B$15:$B$18,F279)</f>
        <v>2597</v>
      </c>
      <c r="J279" s="1">
        <f>INDEX(配置与结果!$D$15:$D$18,F279)</f>
        <v>0.255</v>
      </c>
      <c r="K279" s="1">
        <f>INDEX(配置与结果!$E$15:$E$18,F279)</f>
        <v>1.55</v>
      </c>
      <c r="L279" s="1">
        <f t="shared" si="395"/>
        <v>2</v>
      </c>
      <c r="M279" s="1">
        <f t="shared" si="396"/>
        <v>10</v>
      </c>
      <c r="N279" s="1">
        <f t="shared" si="397"/>
        <v>1</v>
      </c>
      <c r="O279" s="1">
        <f t="shared" si="389"/>
        <v>0</v>
      </c>
      <c r="P279" s="1">
        <f>MIN(方案参数!$AI$10,AZ278+0+0)</f>
        <v>5</v>
      </c>
      <c r="Q279" s="1">
        <f t="shared" si="359"/>
        <v>5</v>
      </c>
      <c r="R279" s="1">
        <f t="shared" si="360"/>
        <v>20</v>
      </c>
      <c r="S279" s="1">
        <f t="shared" si="361"/>
        <v>3</v>
      </c>
      <c r="T279" s="1">
        <f t="shared" si="404"/>
        <v>1</v>
      </c>
      <c r="U279" s="1">
        <f t="shared" si="363"/>
        <v>0</v>
      </c>
      <c r="V279" s="1">
        <f t="shared" si="364"/>
        <v>3</v>
      </c>
      <c r="W279" s="1">
        <f t="shared" si="365"/>
        <v>1</v>
      </c>
      <c r="X279" s="1">
        <f t="shared" si="366"/>
        <v>1</v>
      </c>
      <c r="Y279" s="1">
        <f t="shared" si="367"/>
        <v>1</v>
      </c>
      <c r="Z279" s="1">
        <f t="shared" si="368"/>
        <v>1</v>
      </c>
      <c r="AA279" s="1">
        <f t="shared" si="400"/>
        <v>1</v>
      </c>
      <c r="AB279" s="1">
        <f t="shared" si="370"/>
        <v>1</v>
      </c>
      <c r="AC279" s="1">
        <f t="shared" si="405"/>
        <v>1</v>
      </c>
      <c r="AD279" s="1">
        <f>ROUNDDOWN(I279*(1+IF(F279=3,0.05+方案参数!$Y$10+AA279*0.12,IF(F279=4,方案参数!$BZ$10*方案参数!$AS$10,0)))+IF(AND(X279=1,F279&lt;&gt;3),方案参数!$CC$10,0)+AC279*方案参数!$CB$10,0)</f>
        <v>3798</v>
      </c>
      <c r="AE279" s="1">
        <f>IF(OR(F279=1,F279=4),配置与结果!$B$24,配置与结果!$B$25)*MAX(0,1-INDEX(配置与结果!$I$15:$I$18,F279))</f>
        <v>1000</v>
      </c>
      <c r="AF279" s="1">
        <f>方案参数!$CF$10+P279*方案参数!$CG$10</f>
        <v>22.5</v>
      </c>
      <c r="AG279" s="1">
        <f>MAX(配置与结果!$B$32,1+INDEX(配置与结果!$F$15:$F$18,F279)+0+Q279*方案参数!$W$10+Y279*(方案参数!$AN$10+MIN(方案参数!$AO$10,P279*0.03))+AB279*方案参数!$BZ$10*0.025-配置与结果!$B$28)</f>
        <v>1.9100000000000001</v>
      </c>
      <c r="AH279" s="1">
        <f>MAX(0,1+INDEX(配置与结果!$G$15:$G$18,F279)+W279*方案参数!$AG$10)</f>
        <v>1.3</v>
      </c>
      <c r="AI279" s="1">
        <f>IF(OR(INDEX(配置与结果!$K$15:$K$18,F279)=1,G279="RHI_BERRY"),1+配置与结果!$B$33+P279*方案参数!$AH$10,1)</f>
        <v>1.5</v>
      </c>
      <c r="AJ279" s="1">
        <f>MIN(1,MAX(0,J279+方案参数!$AB$10-配置与结果!$B$27))</f>
        <v>0.55499999999999994</v>
      </c>
      <c r="AK279" s="1">
        <f>MAX(1,K279+IF(F279=2,0.15+方案参数!$CH$10,0)+BN279*方案参数!$X$10+R279*方案参数!$AA$10+0-配置与结果!$B$26+Z279*(方案参数!$AP$10+MIN(方案参数!$AQ$10,P279*0.03)))</f>
        <v>1.6900000000000002</v>
      </c>
      <c r="AL279" s="7">
        <f>ROUNDDOWN(MAX(AD279*配置与结果!$B$31,AD279-AE279)*AF279*AG279*AH279*AI279,0)</f>
        <v>234475</v>
      </c>
      <c r="AM279" s="7">
        <f>ROUNDDOWN(MAX(AD279*配置与结果!$B$31,AD279-AE279)*AF279*AG279*AH279*AI279*AK279,0)</f>
        <v>396264</v>
      </c>
      <c r="AN279" s="7">
        <f t="shared" si="380"/>
        <v>324267.89500000002</v>
      </c>
      <c r="AO279" s="7">
        <f>0</f>
        <v>0</v>
      </c>
      <c r="AP279" s="7">
        <f>MAX(0,1+INDEX(配置与结果!$J$15:$J$18,F279)+IF(T279&gt;0,方案参数!$BY$10,0)-配置与结果!$B$30)</f>
        <v>2</v>
      </c>
      <c r="AQ279" s="7">
        <f t="shared" si="381"/>
        <v>0</v>
      </c>
      <c r="AR279" s="7">
        <f t="shared" si="382"/>
        <v>0</v>
      </c>
      <c r="AS279" s="7">
        <f t="shared" si="383"/>
        <v>0</v>
      </c>
      <c r="AT279" s="7">
        <f>0</f>
        <v>0</v>
      </c>
      <c r="AU279" s="7">
        <f t="shared" si="384"/>
        <v>324267.89500000002</v>
      </c>
      <c r="AV279" s="1">
        <f t="shared" si="385"/>
        <v>2</v>
      </c>
      <c r="AW279" s="1">
        <f t="shared" ref="AW279:AW295" si="410">MIN(10,M279+0+0)</f>
        <v>10</v>
      </c>
      <c r="AX279" s="1">
        <f t="shared" si="386"/>
        <v>1</v>
      </c>
      <c r="AY279" s="1">
        <f>MIN(20,MAX(0,O279+0+0-0))</f>
        <v>0</v>
      </c>
      <c r="AZ279" s="1">
        <f t="shared" si="387"/>
        <v>5</v>
      </c>
      <c r="BA279" s="1">
        <f t="shared" si="401"/>
        <v>5</v>
      </c>
      <c r="BB279" s="1">
        <f t="shared" si="409"/>
        <v>20</v>
      </c>
      <c r="BC279" s="1">
        <f t="shared" si="407"/>
        <v>3</v>
      </c>
      <c r="BD279" s="1">
        <f t="shared" si="388"/>
        <v>1</v>
      </c>
      <c r="BE279" s="1">
        <f t="shared" si="373"/>
        <v>0</v>
      </c>
      <c r="BF279" s="1">
        <f>MIN(4,V279+0)</f>
        <v>3</v>
      </c>
      <c r="BG279" s="1">
        <f t="shared" si="398"/>
        <v>1</v>
      </c>
      <c r="BH279" s="1">
        <f t="shared" si="374"/>
        <v>1</v>
      </c>
      <c r="BI279" s="1">
        <f t="shared" si="399"/>
        <v>1</v>
      </c>
      <c r="BJ279" s="1">
        <f t="shared" si="402"/>
        <v>1</v>
      </c>
      <c r="BK279" s="1">
        <f t="shared" si="403"/>
        <v>1</v>
      </c>
      <c r="BL279" s="1">
        <f t="shared" si="408"/>
        <v>1</v>
      </c>
      <c r="BM279" s="1">
        <f t="shared" si="406"/>
        <v>1</v>
      </c>
      <c r="BN279" s="1">
        <f t="shared" si="375"/>
        <v>1</v>
      </c>
      <c r="BO279" s="1">
        <f t="shared" si="376"/>
        <v>1</v>
      </c>
    </row>
    <row r="280" spans="1:67" ht="30.95" customHeight="1">
      <c r="A280" s="1">
        <f>7</f>
        <v>7</v>
      </c>
      <c r="B280" s="1">
        <f>固定流程!A28</f>
        <v>23</v>
      </c>
      <c r="C280" s="1">
        <f>10</f>
        <v>10</v>
      </c>
      <c r="D280" s="1">
        <f>1</f>
        <v>1</v>
      </c>
      <c r="E280" s="1">
        <f>固定流程!C28</f>
        <v>3</v>
      </c>
      <c r="F280" s="1">
        <f>固定流程!G28</f>
        <v>2</v>
      </c>
      <c r="G280" s="1" t="str">
        <f>固定流程!H28</f>
        <v>37_FOLLOW</v>
      </c>
      <c r="H280" s="1">
        <f>固定流程!F28</f>
        <v>1</v>
      </c>
      <c r="I280" s="1">
        <f>INDEX(配置与结果!$B$15:$B$18,F280)</f>
        <v>2306</v>
      </c>
      <c r="J280" s="1">
        <f>INDEX(配置与结果!$D$15:$D$18,F280)</f>
        <v>0.46</v>
      </c>
      <c r="K280" s="1">
        <f>INDEX(配置与结果!$E$15:$E$18,F280)</f>
        <v>1.9279999999999999</v>
      </c>
      <c r="L280" s="1">
        <f t="shared" si="395"/>
        <v>2</v>
      </c>
      <c r="M280" s="1">
        <f t="shared" si="396"/>
        <v>10</v>
      </c>
      <c r="N280" s="1">
        <f t="shared" si="397"/>
        <v>1</v>
      </c>
      <c r="O280" s="1">
        <f t="shared" si="389"/>
        <v>0</v>
      </c>
      <c r="P280" s="1">
        <f>MIN(方案参数!$AI$10,AZ279+0+0)</f>
        <v>5</v>
      </c>
      <c r="Q280" s="1">
        <f t="shared" si="359"/>
        <v>5</v>
      </c>
      <c r="R280" s="1">
        <f t="shared" si="360"/>
        <v>20</v>
      </c>
      <c r="S280" s="1">
        <f t="shared" si="361"/>
        <v>3</v>
      </c>
      <c r="T280" s="1">
        <f t="shared" si="404"/>
        <v>1</v>
      </c>
      <c r="U280" s="1">
        <f t="shared" si="363"/>
        <v>0</v>
      </c>
      <c r="V280" s="1">
        <f t="shared" si="364"/>
        <v>3</v>
      </c>
      <c r="W280" s="1">
        <f t="shared" si="365"/>
        <v>1</v>
      </c>
      <c r="X280" s="1">
        <f t="shared" si="366"/>
        <v>1</v>
      </c>
      <c r="Y280" s="1">
        <f t="shared" si="367"/>
        <v>1</v>
      </c>
      <c r="Z280" s="1">
        <f t="shared" si="368"/>
        <v>1</v>
      </c>
      <c r="AA280" s="1">
        <f t="shared" si="400"/>
        <v>1</v>
      </c>
      <c r="AB280" s="1">
        <f t="shared" si="370"/>
        <v>1</v>
      </c>
      <c r="AC280" s="1">
        <f t="shared" si="405"/>
        <v>1</v>
      </c>
      <c r="AD280" s="1">
        <f>ROUNDDOWN(I280*(1+IF(F280=3,0.05+方案参数!$Y$10+AA280*0.12,IF(F280=4,方案参数!$BZ$10*方案参数!$AS$10,0)))+IF(AND(X280=1,F280&lt;&gt;3),方案参数!$CC$10,0)+AC280*方案参数!$CB$10,0)</f>
        <v>3044</v>
      </c>
      <c r="AE280" s="1">
        <f>IF(OR(F280=1,F280=4),配置与结果!$B$24,配置与结果!$B$25)*MAX(0,1-INDEX(配置与结果!$I$15:$I$18,F280))</f>
        <v>1000</v>
      </c>
      <c r="AF280" s="1">
        <f>方案参数!$BV$10</f>
        <v>3</v>
      </c>
      <c r="AG280" s="1">
        <f>MAX(配置与结果!$B$32,1+INDEX(配置与结果!$F$15:$F$18,F280)+0+Q280*方案参数!$W$10+Y280*(方案参数!$AN$10+MIN(方案参数!$AO$10,P280*0.03))+AB280*方案参数!$BZ$10*0.025-配置与结果!$B$28)</f>
        <v>1.8800000000000003</v>
      </c>
      <c r="AH280" s="1">
        <f>MAX(0,1+INDEX(配置与结果!$G$15:$G$18,F280)+W280*方案参数!$AG$10)</f>
        <v>1.3</v>
      </c>
      <c r="AI280" s="1">
        <f>IF(OR(INDEX(配置与结果!$K$15:$K$18,F280)=1,G280="RHI_BERRY"),1+配置与结果!$B$33+P280*方案参数!$AH$10,1)</f>
        <v>1</v>
      </c>
      <c r="AJ280" s="1">
        <f>MIN(1,MAX(0,J280+方案参数!$AB$10-配置与结果!$B$27))</f>
        <v>0.76</v>
      </c>
      <c r="AK280" s="1">
        <f>MAX(1,K280+IF(F280=2,0.15+方案参数!$CH$10,0)+BN280*方案参数!$X$10+R280*方案参数!$AA$10+0-配置与结果!$B$26+Z280*(方案参数!$AP$10+MIN(方案参数!$AQ$10,P280*0.03)))</f>
        <v>2.3380000000000001</v>
      </c>
      <c r="AL280" s="7">
        <f>ROUNDDOWN(MAX(AD280*配置与结果!$B$31,AD280-AE280)*AF280*AG280*AH280*AI280,0)</f>
        <v>14986</v>
      </c>
      <c r="AM280" s="7">
        <f>ROUNDDOWN(MAX(AD280*配置与结果!$B$31,AD280-AE280)*AF280*AG280*AH280*AI280*AK280,0)</f>
        <v>35038</v>
      </c>
      <c r="AN280" s="7">
        <f t="shared" si="380"/>
        <v>30225.52</v>
      </c>
      <c r="AO280" s="7">
        <f>方案参数!$BW$10</f>
        <v>1</v>
      </c>
      <c r="AP280" s="7">
        <f>MAX(0,1+INDEX(配置与结果!$J$15:$J$18,F280)+IF(T280&gt;0,方案参数!$BY$10,0)-配置与结果!$B$30)</f>
        <v>2</v>
      </c>
      <c r="AQ280" s="7">
        <f t="shared" si="381"/>
        <v>6088</v>
      </c>
      <c r="AR280" s="7">
        <f t="shared" si="382"/>
        <v>14233</v>
      </c>
      <c r="AS280" s="7">
        <f t="shared" si="383"/>
        <v>12278.2</v>
      </c>
      <c r="AT280" s="7">
        <f>0</f>
        <v>0</v>
      </c>
      <c r="AU280" s="7">
        <f t="shared" si="384"/>
        <v>42503.72</v>
      </c>
      <c r="AV280" s="1">
        <f t="shared" si="385"/>
        <v>2</v>
      </c>
      <c r="AW280" s="1">
        <f t="shared" si="410"/>
        <v>10</v>
      </c>
      <c r="AX280" s="1">
        <f t="shared" si="386"/>
        <v>1</v>
      </c>
      <c r="AY280" s="1">
        <f>MIN(20,MAX(0,O280+0+0-0))</f>
        <v>0</v>
      </c>
      <c r="AZ280" s="1">
        <f t="shared" si="387"/>
        <v>5</v>
      </c>
      <c r="BA280" s="1">
        <f t="shared" si="401"/>
        <v>5</v>
      </c>
      <c r="BB280" s="1">
        <f t="shared" si="409"/>
        <v>20</v>
      </c>
      <c r="BC280" s="1">
        <f t="shared" si="407"/>
        <v>3</v>
      </c>
      <c r="BD280" s="1">
        <f t="shared" si="388"/>
        <v>0</v>
      </c>
      <c r="BE280" s="1">
        <f t="shared" si="373"/>
        <v>0</v>
      </c>
      <c r="BF280" s="1">
        <f>MIN(4,V280+1)</f>
        <v>4</v>
      </c>
      <c r="BG280" s="1">
        <f t="shared" si="398"/>
        <v>1</v>
      </c>
      <c r="BH280" s="1">
        <f t="shared" si="374"/>
        <v>1</v>
      </c>
      <c r="BI280" s="1">
        <f t="shared" si="399"/>
        <v>1</v>
      </c>
      <c r="BJ280" s="1">
        <f t="shared" si="402"/>
        <v>1</v>
      </c>
      <c r="BK280" s="1">
        <f t="shared" si="403"/>
        <v>1</v>
      </c>
      <c r="BL280" s="1">
        <f t="shared" si="408"/>
        <v>1</v>
      </c>
      <c r="BM280" s="1">
        <f t="shared" si="406"/>
        <v>1</v>
      </c>
      <c r="BN280" s="1">
        <f t="shared" si="375"/>
        <v>1</v>
      </c>
      <c r="BO280" s="1">
        <f t="shared" si="376"/>
        <v>1</v>
      </c>
    </row>
    <row r="281" spans="1:67" ht="30.95" customHeight="1">
      <c r="A281" s="1">
        <f>7</f>
        <v>7</v>
      </c>
      <c r="B281" s="1">
        <f>固定流程!A29</f>
        <v>24</v>
      </c>
      <c r="C281" s="1">
        <f>10</f>
        <v>10</v>
      </c>
      <c r="D281" s="1">
        <f>2</f>
        <v>2</v>
      </c>
      <c r="E281" s="1">
        <f>固定流程!C29</f>
        <v>3</v>
      </c>
      <c r="F281" s="1">
        <f>固定流程!G29</f>
        <v>1</v>
      </c>
      <c r="G281" s="1" t="str">
        <f>固定流程!H29</f>
        <v>LILYA_WEAK</v>
      </c>
      <c r="H281" s="1">
        <f>固定流程!F29</f>
        <v>1</v>
      </c>
      <c r="I281" s="1">
        <f>INDEX(配置与结果!$B$15:$B$18,F281)</f>
        <v>2296</v>
      </c>
      <c r="J281" s="1">
        <f>INDEX(配置与结果!$D$15:$D$18,F281)</f>
        <v>0.7</v>
      </c>
      <c r="K281" s="1">
        <f>INDEX(配置与结果!$E$15:$E$18,F281)</f>
        <v>2.0249999999999999</v>
      </c>
      <c r="L281" s="1">
        <f t="shared" si="395"/>
        <v>2</v>
      </c>
      <c r="M281" s="1">
        <f t="shared" si="396"/>
        <v>10</v>
      </c>
      <c r="N281" s="1">
        <f t="shared" si="397"/>
        <v>1</v>
      </c>
      <c r="O281" s="1">
        <f t="shared" si="389"/>
        <v>0</v>
      </c>
      <c r="P281" s="1">
        <f>MIN(方案参数!$AI$10,AZ280+0+0)</f>
        <v>5</v>
      </c>
      <c r="Q281" s="1">
        <f t="shared" si="359"/>
        <v>5</v>
      </c>
      <c r="R281" s="1">
        <f t="shared" si="360"/>
        <v>20</v>
      </c>
      <c r="S281" s="1">
        <f t="shared" si="361"/>
        <v>3</v>
      </c>
      <c r="T281" s="1">
        <f t="shared" si="404"/>
        <v>0</v>
      </c>
      <c r="U281" s="1">
        <f t="shared" si="363"/>
        <v>0</v>
      </c>
      <c r="V281" s="1">
        <f t="shared" si="364"/>
        <v>4</v>
      </c>
      <c r="W281" s="1">
        <f t="shared" si="365"/>
        <v>1</v>
      </c>
      <c r="X281" s="1">
        <f t="shared" si="366"/>
        <v>1</v>
      </c>
      <c r="Y281" s="1">
        <f t="shared" si="367"/>
        <v>1</v>
      </c>
      <c r="Z281" s="1">
        <f t="shared" si="368"/>
        <v>1</v>
      </c>
      <c r="AA281" s="1">
        <f t="shared" si="400"/>
        <v>1</v>
      </c>
      <c r="AB281" s="1">
        <f t="shared" si="370"/>
        <v>1</v>
      </c>
      <c r="AC281" s="1">
        <f t="shared" si="405"/>
        <v>1</v>
      </c>
      <c r="AD281" s="1">
        <f>ROUNDDOWN(I281*(1+IF(F281=3,0.05+方案参数!$Y$10+AA281*0.12,IF(F281=4,方案参数!$BZ$10*方案参数!$AS$10,0)))+IF(AND(X281=1,F281&lt;&gt;3),方案参数!$CC$10,0)+AC281*方案参数!$CB$10,0)</f>
        <v>3034</v>
      </c>
      <c r="AE281" s="1">
        <f>IF(OR(F281=1,F281=4),配置与结果!$B$24,配置与结果!$B$25)*MAX(0,1-INDEX(配置与结果!$I$15:$I$18,F281))</f>
        <v>1200</v>
      </c>
      <c r="AF281" s="1">
        <f>方案参数!$BL$10</f>
        <v>22</v>
      </c>
      <c r="AG281" s="1">
        <f>MAX(配置与结果!$B$32,1+INDEX(配置与结果!$F$15:$F$18,F281)+0.08+方案参数!$CD$10+Q281*方案参数!$W$10+Y281*(方案参数!$AN$10+MIN(方案参数!$AO$10,P281*0.03))+AB281*方案参数!$BZ$10*0.025-配置与结果!$B$28+方案参数!$AE$10)</f>
        <v>2.6150000000000002</v>
      </c>
      <c r="AH281" s="1">
        <f>MAX(0,1+V281*方案参数!$U$10+0*方案参数!$V$10+方案参数!$AE$10-配置与结果!$B$29)</f>
        <v>1.56</v>
      </c>
      <c r="AI281" s="1">
        <f>IF(OR(INDEX(配置与结果!$K$15:$K$18,F281)=1,G281="RHI_BERRY"),1+配置与结果!$B$33+P281*方案参数!$AH$10,1)</f>
        <v>1</v>
      </c>
      <c r="AJ281" s="1">
        <f>MIN(1,MAX(0,J281+方案参数!$AB$10-配置与结果!$B$27))</f>
        <v>1</v>
      </c>
      <c r="AK281" s="1">
        <f>MAX(1,K281+IF(F281=2,0.15+方案参数!$CH$10,0)+BN281*方案参数!$X$10+R281*方案参数!$AA$10+方案参数!$BP$10-配置与结果!$B$26+Z281*(方案参数!$AP$10+MIN(方案参数!$AQ$10,P281*0.03)))</f>
        <v>2.9650000000000003</v>
      </c>
      <c r="AL281" s="7">
        <f>ROUNDDOWN(MAX(AD281*配置与结果!$B$31,AD281-AE281)*AF281*AG281*AH281*AI281,0)</f>
        <v>164595</v>
      </c>
      <c r="AM281" s="7">
        <f>ROUNDDOWN(MAX(AD281*配置与结果!$B$31,AD281-AE281)*AF281*AG281*AH281*AI281*AK281,0)</f>
        <v>488026</v>
      </c>
      <c r="AN281" s="7">
        <f t="shared" si="380"/>
        <v>488026</v>
      </c>
      <c r="AO281" s="7">
        <f>0</f>
        <v>0</v>
      </c>
      <c r="AP281" s="7">
        <f>MAX(0,1+INDEX(配置与结果!$J$15:$J$18,F281)+IF(T281&gt;0,方案参数!$BY$10,0)-配置与结果!$B$30)</f>
        <v>1</v>
      </c>
      <c r="AQ281" s="7">
        <f t="shared" si="381"/>
        <v>0</v>
      </c>
      <c r="AR281" s="7">
        <f t="shared" si="382"/>
        <v>0</v>
      </c>
      <c r="AS281" s="7">
        <f t="shared" si="383"/>
        <v>0</v>
      </c>
      <c r="AT281" s="7">
        <f>IF(U281&gt;0,ROUNDDOWN(AL281*方案参数!$AF$10,0)*(1-AJ281)+ROUNDDOWN(AM281*方案参数!$AF$10,0)*AJ281,0)</f>
        <v>0</v>
      </c>
      <c r="AU281" s="7">
        <f t="shared" si="384"/>
        <v>488026</v>
      </c>
      <c r="AV281" s="1">
        <f t="shared" si="385"/>
        <v>2</v>
      </c>
      <c r="AW281" s="1">
        <f t="shared" si="410"/>
        <v>10</v>
      </c>
      <c r="AX281" s="1">
        <f t="shared" si="386"/>
        <v>1</v>
      </c>
      <c r="AY281" s="1">
        <f>MIN(20,MAX(0,O281+0+1-0))</f>
        <v>1</v>
      </c>
      <c r="AZ281" s="1">
        <f t="shared" si="387"/>
        <v>5</v>
      </c>
      <c r="BA281" s="1">
        <f t="shared" si="401"/>
        <v>5</v>
      </c>
      <c r="BB281" s="1">
        <f t="shared" si="409"/>
        <v>20</v>
      </c>
      <c r="BC281" s="1">
        <f t="shared" si="407"/>
        <v>3</v>
      </c>
      <c r="BD281" s="1">
        <f t="shared" si="388"/>
        <v>0</v>
      </c>
      <c r="BE281" s="1">
        <f>MAX(0,U281-IF(AF281&gt;0,1,0))+0</f>
        <v>0</v>
      </c>
      <c r="BF281" s="1">
        <f t="shared" ref="BF281:BF298" si="411">MIN(4,V281+0)</f>
        <v>4</v>
      </c>
      <c r="BG281" s="1">
        <f t="shared" si="398"/>
        <v>1</v>
      </c>
      <c r="BH281" s="1">
        <f t="shared" si="374"/>
        <v>1</v>
      </c>
      <c r="BI281" s="1">
        <f t="shared" si="399"/>
        <v>1</v>
      </c>
      <c r="BJ281" s="1">
        <f t="shared" si="402"/>
        <v>1</v>
      </c>
      <c r="BK281" s="1">
        <f t="shared" si="403"/>
        <v>1</v>
      </c>
      <c r="BL281" s="1">
        <f t="shared" si="408"/>
        <v>1</v>
      </c>
      <c r="BM281" s="1">
        <f t="shared" si="406"/>
        <v>1</v>
      </c>
      <c r="BN281" s="1">
        <f t="shared" si="375"/>
        <v>1</v>
      </c>
      <c r="BO281" s="1">
        <f t="shared" si="376"/>
        <v>1</v>
      </c>
    </row>
    <row r="282" spans="1:67" ht="30.95" customHeight="1">
      <c r="A282" s="1">
        <f>7</f>
        <v>7</v>
      </c>
      <c r="B282" s="1">
        <f>固定流程!A30</f>
        <v>25</v>
      </c>
      <c r="C282" s="1">
        <f>10</f>
        <v>10</v>
      </c>
      <c r="D282" s="1">
        <f>2</f>
        <v>2</v>
      </c>
      <c r="E282" s="1">
        <f>固定流程!C30</f>
        <v>3</v>
      </c>
      <c r="F282" s="1">
        <f>固定流程!G30</f>
        <v>1</v>
      </c>
      <c r="G282" s="1" t="str">
        <f>固定流程!H30</f>
        <v>LILYA_WEAK</v>
      </c>
      <c r="H282" s="1">
        <f>固定流程!F30</f>
        <v>1</v>
      </c>
      <c r="I282" s="1">
        <f>INDEX(配置与结果!$B$15:$B$18,F282)</f>
        <v>2296</v>
      </c>
      <c r="J282" s="1">
        <f>INDEX(配置与结果!$D$15:$D$18,F282)</f>
        <v>0.7</v>
      </c>
      <c r="K282" s="1">
        <f>INDEX(配置与结果!$E$15:$E$18,F282)</f>
        <v>2.0249999999999999</v>
      </c>
      <c r="L282" s="1">
        <f t="shared" si="395"/>
        <v>2</v>
      </c>
      <c r="M282" s="1">
        <f t="shared" si="396"/>
        <v>10</v>
      </c>
      <c r="N282" s="1">
        <f t="shared" si="397"/>
        <v>1</v>
      </c>
      <c r="O282" s="1">
        <f t="shared" si="389"/>
        <v>1</v>
      </c>
      <c r="P282" s="1">
        <f>MIN(方案参数!$AI$10,AZ281+0+0)</f>
        <v>5</v>
      </c>
      <c r="Q282" s="1">
        <f t="shared" si="359"/>
        <v>5</v>
      </c>
      <c r="R282" s="1">
        <f t="shared" si="360"/>
        <v>20</v>
      </c>
      <c r="S282" s="1">
        <f t="shared" si="361"/>
        <v>3</v>
      </c>
      <c r="T282" s="1">
        <f t="shared" si="404"/>
        <v>0</v>
      </c>
      <c r="U282" s="1">
        <f t="shared" si="363"/>
        <v>0</v>
      </c>
      <c r="V282" s="1">
        <f t="shared" si="364"/>
        <v>4</v>
      </c>
      <c r="W282" s="1">
        <f t="shared" si="365"/>
        <v>1</v>
      </c>
      <c r="X282" s="1">
        <f t="shared" si="366"/>
        <v>1</v>
      </c>
      <c r="Y282" s="1">
        <f t="shared" si="367"/>
        <v>1</v>
      </c>
      <c r="Z282" s="1">
        <f t="shared" si="368"/>
        <v>1</v>
      </c>
      <c r="AA282" s="1">
        <f t="shared" si="400"/>
        <v>1</v>
      </c>
      <c r="AB282" s="1">
        <f t="shared" si="370"/>
        <v>1</v>
      </c>
      <c r="AC282" s="1">
        <f t="shared" si="405"/>
        <v>1</v>
      </c>
      <c r="AD282" s="1">
        <f>ROUNDDOWN(I282*(1+IF(F282=3,0.05+方案参数!$Y$10+AA282*0.12,IF(F282=4,方案参数!$BZ$10*方案参数!$AS$10,0)))+IF(AND(X282=1,F282&lt;&gt;3),方案参数!$CC$10,0)+AC282*方案参数!$CB$10,0)</f>
        <v>3034</v>
      </c>
      <c r="AE282" s="1">
        <f>IF(OR(F282=1,F282=4),配置与结果!$B$24,配置与结果!$B$25)*MAX(0,1-INDEX(配置与结果!$I$15:$I$18,F282))</f>
        <v>1200</v>
      </c>
      <c r="AF282" s="1">
        <f>方案参数!$BL$10</f>
        <v>22</v>
      </c>
      <c r="AG282" s="1">
        <f>MAX(配置与结果!$B$32,1+INDEX(配置与结果!$F$15:$F$18,F282)+0.08+方案参数!$CD$10+Q282*方案参数!$W$10+Y282*(方案参数!$AN$10+MIN(方案参数!$AO$10,P282*0.03))+AB282*方案参数!$BZ$10*0.025-配置与结果!$B$28+方案参数!$AE$10)</f>
        <v>2.6150000000000002</v>
      </c>
      <c r="AH282" s="1">
        <f>MAX(0,1+V282*方案参数!$U$10+1*方案参数!$V$10+方案参数!$AE$10-配置与结果!$B$29)</f>
        <v>1.62</v>
      </c>
      <c r="AI282" s="1">
        <f>IF(OR(INDEX(配置与结果!$K$15:$K$18,F282)=1,G282="RHI_BERRY"),1+配置与结果!$B$33+P282*方案参数!$AH$10,1)</f>
        <v>1</v>
      </c>
      <c r="AJ282" s="1">
        <f>MIN(1,MAX(0,J282+方案参数!$AB$10-配置与结果!$B$27))</f>
        <v>1</v>
      </c>
      <c r="AK282" s="1">
        <f>MAX(1,K282+IF(F282=2,0.15+方案参数!$CH$10,0)+BN282*方案参数!$X$10+R282*方案参数!$AA$10+方案参数!$BP$10-配置与结果!$B$26+Z282*(方案参数!$AP$10+MIN(方案参数!$AQ$10,P282*0.03)))</f>
        <v>2.9650000000000003</v>
      </c>
      <c r="AL282" s="7">
        <f>ROUNDDOWN(MAX(AD282*配置与结果!$B$31,AD282-AE282)*AF282*AG282*AH282*AI282,0)</f>
        <v>170926</v>
      </c>
      <c r="AM282" s="7">
        <f>ROUNDDOWN(MAX(AD282*配置与结果!$B$31,AD282-AE282)*AF282*AG282*AH282*AI282*AK282,0)</f>
        <v>506796</v>
      </c>
      <c r="AN282" s="7">
        <f t="shared" si="380"/>
        <v>506796</v>
      </c>
      <c r="AO282" s="7">
        <f>0</f>
        <v>0</v>
      </c>
      <c r="AP282" s="7">
        <f>MAX(0,1+INDEX(配置与结果!$J$15:$J$18,F282)+IF(T282&gt;0,方案参数!$BY$10,0)-配置与结果!$B$30)</f>
        <v>1</v>
      </c>
      <c r="AQ282" s="7">
        <f t="shared" si="381"/>
        <v>0</v>
      </c>
      <c r="AR282" s="7">
        <f t="shared" si="382"/>
        <v>0</v>
      </c>
      <c r="AS282" s="7">
        <f t="shared" si="383"/>
        <v>0</v>
      </c>
      <c r="AT282" s="7">
        <f>IF(U282&gt;0,ROUNDDOWN(AL282*方案参数!$AF$10,0)*(1-AJ282)+ROUNDDOWN(AM282*方案参数!$AF$10,0)*AJ282,0)</f>
        <v>0</v>
      </c>
      <c r="AU282" s="7">
        <f t="shared" si="384"/>
        <v>506796</v>
      </c>
      <c r="AV282" s="1">
        <f t="shared" si="385"/>
        <v>2</v>
      </c>
      <c r="AW282" s="1">
        <f t="shared" si="410"/>
        <v>10</v>
      </c>
      <c r="AX282" s="1">
        <f t="shared" si="386"/>
        <v>1</v>
      </c>
      <c r="AY282" s="1">
        <f>MIN(20,MAX(0,O282+0+1-0))</f>
        <v>2</v>
      </c>
      <c r="AZ282" s="1">
        <f t="shared" si="387"/>
        <v>5</v>
      </c>
      <c r="BA282" s="1">
        <f t="shared" si="401"/>
        <v>5</v>
      </c>
      <c r="BB282" s="1">
        <f t="shared" si="409"/>
        <v>20</v>
      </c>
      <c r="BC282" s="1">
        <f t="shared" si="407"/>
        <v>3</v>
      </c>
      <c r="BD282" s="1">
        <f t="shared" si="388"/>
        <v>0</v>
      </c>
      <c r="BE282" s="1">
        <f>MAX(0,U282-IF(AF282&gt;0,1,0))+0</f>
        <v>0</v>
      </c>
      <c r="BF282" s="1">
        <f t="shared" si="411"/>
        <v>4</v>
      </c>
      <c r="BG282" s="1">
        <f t="shared" si="398"/>
        <v>1</v>
      </c>
      <c r="BH282" s="1">
        <f t="shared" si="374"/>
        <v>1</v>
      </c>
      <c r="BI282" s="1">
        <f t="shared" si="399"/>
        <v>1</v>
      </c>
      <c r="BJ282" s="1">
        <f t="shared" si="402"/>
        <v>1</v>
      </c>
      <c r="BK282" s="1">
        <f t="shared" si="403"/>
        <v>1</v>
      </c>
      <c r="BL282" s="1">
        <f t="shared" si="408"/>
        <v>1</v>
      </c>
      <c r="BM282" s="1">
        <f t="shared" si="406"/>
        <v>1</v>
      </c>
      <c r="BN282" s="1">
        <f t="shared" si="375"/>
        <v>1</v>
      </c>
      <c r="BO282" s="1">
        <f t="shared" si="376"/>
        <v>1</v>
      </c>
    </row>
    <row r="283" spans="1:67" ht="30.95" customHeight="1">
      <c r="A283" s="1">
        <f>7</f>
        <v>7</v>
      </c>
      <c r="B283" s="1">
        <f>固定流程!A31</f>
        <v>26</v>
      </c>
      <c r="C283" s="1">
        <f>10</f>
        <v>10</v>
      </c>
      <c r="D283" s="1">
        <f>2</f>
        <v>2</v>
      </c>
      <c r="E283" s="1">
        <f>固定流程!C31</f>
        <v>3</v>
      </c>
      <c r="F283" s="1">
        <f>固定流程!G31</f>
        <v>2</v>
      </c>
      <c r="G283" s="1" t="str">
        <f>固定流程!H31</f>
        <v>37_WEAK</v>
      </c>
      <c r="H283" s="1">
        <f>固定流程!F31</f>
        <v>1</v>
      </c>
      <c r="I283" s="1">
        <f>INDEX(配置与结果!$B$15:$B$18,F283)</f>
        <v>2306</v>
      </c>
      <c r="J283" s="1">
        <f>INDEX(配置与结果!$D$15:$D$18,F283)</f>
        <v>0.46</v>
      </c>
      <c r="K283" s="1">
        <f>INDEX(配置与结果!$E$15:$E$18,F283)</f>
        <v>1.9279999999999999</v>
      </c>
      <c r="L283" s="1">
        <f t="shared" si="395"/>
        <v>2</v>
      </c>
      <c r="M283" s="1">
        <f t="shared" si="396"/>
        <v>10</v>
      </c>
      <c r="N283" s="1">
        <f t="shared" si="397"/>
        <v>1</v>
      </c>
      <c r="O283" s="1">
        <f t="shared" si="389"/>
        <v>2</v>
      </c>
      <c r="P283" s="1">
        <f>MIN(方案参数!$AI$10,AZ282+0+0)</f>
        <v>5</v>
      </c>
      <c r="Q283" s="1">
        <f t="shared" si="359"/>
        <v>5</v>
      </c>
      <c r="R283" s="1">
        <f t="shared" si="360"/>
        <v>20</v>
      </c>
      <c r="S283" s="1">
        <f t="shared" si="361"/>
        <v>3</v>
      </c>
      <c r="T283" s="1">
        <f t="shared" si="404"/>
        <v>0</v>
      </c>
      <c r="U283" s="1">
        <f t="shared" si="363"/>
        <v>0</v>
      </c>
      <c r="V283" s="1">
        <f t="shared" si="364"/>
        <v>4</v>
      </c>
      <c r="W283" s="1">
        <f t="shared" si="365"/>
        <v>1</v>
      </c>
      <c r="X283" s="1">
        <f t="shared" si="366"/>
        <v>1</v>
      </c>
      <c r="Y283" s="1">
        <f t="shared" si="367"/>
        <v>1</v>
      </c>
      <c r="Z283" s="1">
        <f t="shared" si="368"/>
        <v>1</v>
      </c>
      <c r="AA283" s="1">
        <f t="shared" si="400"/>
        <v>1</v>
      </c>
      <c r="AB283" s="1">
        <f t="shared" si="370"/>
        <v>1</v>
      </c>
      <c r="AC283" s="1">
        <f t="shared" si="405"/>
        <v>1</v>
      </c>
      <c r="AD283" s="1">
        <f>ROUNDDOWN(I283*(1+IF(F283=3,0.05+方案参数!$Y$10+AA283*0.12,IF(F283=4,方案参数!$BZ$10*方案参数!$AS$10,0)))+IF(AND(X283=1,F283&lt;&gt;3),方案参数!$CC$10,0)+AC283*方案参数!$CB$10,0)</f>
        <v>3044</v>
      </c>
      <c r="AE283" s="1">
        <f>IF(OR(F283=1,F283=4),配置与结果!$B$24,配置与结果!$B$25)*MAX(0,1-INDEX(配置与结果!$I$15:$I$18,F283))</f>
        <v>1000</v>
      </c>
      <c r="AF283" s="1">
        <f>方案参数!$CE$10</f>
        <v>8</v>
      </c>
      <c r="AG283" s="1">
        <f>MAX(配置与结果!$B$32,1+INDEX(配置与结果!$F$15:$F$18,F283)+0+Q283*方案参数!$W$10+Y283*(方案参数!$AN$10+MIN(方案参数!$AO$10,P283*0.03))+AB283*方案参数!$BZ$10*0.025-配置与结果!$B$28+方案参数!$AE$10)</f>
        <v>2.2800000000000002</v>
      </c>
      <c r="AH283" s="1">
        <f>MAX(0,1+V283*方案参数!$U$10+方案参数!$AE$10-配置与结果!$B$29)</f>
        <v>1.56</v>
      </c>
      <c r="AI283" s="1">
        <f>IF(OR(INDEX(配置与结果!$K$15:$K$18,F283)=1,G283="RHI_BERRY"),1+配置与结果!$B$33+P283*方案参数!$AH$10,1)</f>
        <v>1</v>
      </c>
      <c r="AJ283" s="1">
        <f>MIN(1,MAX(0,J283+方案参数!$AB$10-配置与结果!$B$27))</f>
        <v>0.76</v>
      </c>
      <c r="AK283" s="1">
        <f>MAX(1,K283+IF(F283=2,0.15+方案参数!$CH$10,0)+BN283*方案参数!$X$10+R283*方案参数!$AA$10+0-配置与结果!$B$26+Z283*(方案参数!$AP$10+MIN(方案参数!$AQ$10,P283*0.03)))</f>
        <v>2.3380000000000001</v>
      </c>
      <c r="AL283" s="7">
        <f>ROUNDDOWN(MAX(AD283*配置与结果!$B$31,AD283-AE283)*AF283*AG283*AH283*AI283,0)</f>
        <v>58160</v>
      </c>
      <c r="AM283" s="7">
        <f>ROUNDDOWN(MAX(AD283*配置与结果!$B$31,AD283-AE283)*AF283*AG283*AH283*AI283*AK283,0)</f>
        <v>135979</v>
      </c>
      <c r="AN283" s="7">
        <f t="shared" si="380"/>
        <v>117302.44</v>
      </c>
      <c r="AO283" s="7">
        <f>0</f>
        <v>0</v>
      </c>
      <c r="AP283" s="7">
        <f>MAX(0,1+INDEX(配置与结果!$J$15:$J$18,F283)+IF(T283&gt;0,方案参数!$BY$10,0)-配置与结果!$B$30)</f>
        <v>1</v>
      </c>
      <c r="AQ283" s="7">
        <f t="shared" si="381"/>
        <v>0</v>
      </c>
      <c r="AR283" s="7">
        <f t="shared" si="382"/>
        <v>0</v>
      </c>
      <c r="AS283" s="7">
        <f t="shared" si="383"/>
        <v>0</v>
      </c>
      <c r="AT283" s="7">
        <f>IF(U283&gt;0,ROUNDDOWN(AL283*方案参数!$AF$10,0)*(1-AJ283)+ROUNDDOWN(AM283*方案参数!$AF$10,0)*AJ283,0)</f>
        <v>0</v>
      </c>
      <c r="AU283" s="7">
        <f t="shared" si="384"/>
        <v>117302.44</v>
      </c>
      <c r="AV283" s="1">
        <f t="shared" si="385"/>
        <v>2</v>
      </c>
      <c r="AW283" s="1">
        <f t="shared" si="410"/>
        <v>10</v>
      </c>
      <c r="AX283" s="1">
        <f t="shared" si="386"/>
        <v>1</v>
      </c>
      <c r="AY283" s="1">
        <f>MIN(20,MAX(0,O283+0+0-0))</f>
        <v>2</v>
      </c>
      <c r="AZ283" s="1">
        <f t="shared" si="387"/>
        <v>5</v>
      </c>
      <c r="BA283" s="1">
        <f t="shared" si="401"/>
        <v>5</v>
      </c>
      <c r="BB283" s="1">
        <f t="shared" si="409"/>
        <v>20</v>
      </c>
      <c r="BC283" s="1">
        <f t="shared" si="407"/>
        <v>3</v>
      </c>
      <c r="BD283" s="1">
        <f t="shared" si="388"/>
        <v>0</v>
      </c>
      <c r="BE283" s="1">
        <f>MAX(0,U283-IF(AF283&gt;0,1,0))+1</f>
        <v>1</v>
      </c>
      <c r="BF283" s="1">
        <f t="shared" si="411"/>
        <v>4</v>
      </c>
      <c r="BG283" s="1">
        <f t="shared" si="398"/>
        <v>1</v>
      </c>
      <c r="BH283" s="1">
        <f t="shared" si="374"/>
        <v>1</v>
      </c>
      <c r="BI283" s="1">
        <f t="shared" si="399"/>
        <v>1</v>
      </c>
      <c r="BJ283" s="1">
        <f t="shared" si="402"/>
        <v>1</v>
      </c>
      <c r="BK283" s="1">
        <f t="shared" si="403"/>
        <v>1</v>
      </c>
      <c r="BL283" s="1">
        <f t="shared" si="408"/>
        <v>1</v>
      </c>
      <c r="BM283" s="1">
        <f t="shared" si="406"/>
        <v>1</v>
      </c>
      <c r="BN283" s="1">
        <f t="shared" si="375"/>
        <v>1</v>
      </c>
      <c r="BO283" s="1">
        <f t="shared" si="376"/>
        <v>1</v>
      </c>
    </row>
    <row r="284" spans="1:67" ht="30.95" customHeight="1">
      <c r="A284" s="1">
        <f>7</f>
        <v>7</v>
      </c>
      <c r="B284" s="1">
        <f>固定流程!A32</f>
        <v>27</v>
      </c>
      <c r="C284" s="1">
        <f>10</f>
        <v>10</v>
      </c>
      <c r="D284" s="1">
        <f>2</f>
        <v>2</v>
      </c>
      <c r="E284" s="1">
        <f>固定流程!C32</f>
        <v>3</v>
      </c>
      <c r="F284" s="1">
        <f>固定流程!G32</f>
        <v>1</v>
      </c>
      <c r="G284" s="1" t="str">
        <f>固定流程!H32</f>
        <v>LILYA_THIRD</v>
      </c>
      <c r="H284" s="1">
        <f>固定流程!F32</f>
        <v>1</v>
      </c>
      <c r="I284" s="1">
        <f>INDEX(配置与结果!$B$15:$B$18,F284)</f>
        <v>2296</v>
      </c>
      <c r="J284" s="1">
        <f>INDEX(配置与结果!$D$15:$D$18,F284)</f>
        <v>0.7</v>
      </c>
      <c r="K284" s="1">
        <f>INDEX(配置与结果!$E$15:$E$18,F284)</f>
        <v>2.0249999999999999</v>
      </c>
      <c r="L284" s="1">
        <f t="shared" si="395"/>
        <v>2</v>
      </c>
      <c r="M284" s="1">
        <f t="shared" si="396"/>
        <v>10</v>
      </c>
      <c r="N284" s="1">
        <f t="shared" si="397"/>
        <v>1</v>
      </c>
      <c r="O284" s="1">
        <f t="shared" si="389"/>
        <v>2</v>
      </c>
      <c r="P284" s="1">
        <f>MIN(方案参数!$AI$10,AZ283+0+0)</f>
        <v>5</v>
      </c>
      <c r="Q284" s="1">
        <f t="shared" si="359"/>
        <v>5</v>
      </c>
      <c r="R284" s="1">
        <f t="shared" si="360"/>
        <v>20</v>
      </c>
      <c r="S284" s="1">
        <f t="shared" si="361"/>
        <v>3</v>
      </c>
      <c r="T284" s="1">
        <f t="shared" si="404"/>
        <v>0</v>
      </c>
      <c r="U284" s="1">
        <f t="shared" si="363"/>
        <v>1</v>
      </c>
      <c r="V284" s="1">
        <f t="shared" si="364"/>
        <v>4</v>
      </c>
      <c r="W284" s="1">
        <f t="shared" si="365"/>
        <v>1</v>
      </c>
      <c r="X284" s="1">
        <f t="shared" si="366"/>
        <v>1</v>
      </c>
      <c r="Y284" s="1">
        <f t="shared" si="367"/>
        <v>1</v>
      </c>
      <c r="Z284" s="1">
        <f t="shared" si="368"/>
        <v>1</v>
      </c>
      <c r="AA284" s="1">
        <f t="shared" si="400"/>
        <v>1</v>
      </c>
      <c r="AB284" s="1">
        <f t="shared" si="370"/>
        <v>1</v>
      </c>
      <c r="AC284" s="1">
        <f t="shared" si="405"/>
        <v>1</v>
      </c>
      <c r="AD284" s="1">
        <f>ROUNDDOWN(I284*(1+IF(F284=3,0.05+方案参数!$Y$10+AA284*0.12,IF(F284=4,方案参数!$BZ$10*方案参数!$AS$10,0)))+IF(AND(X284=1,F284&lt;&gt;3),方案参数!$CC$10,0)+AC284*方案参数!$CB$10,0)</f>
        <v>3034</v>
      </c>
      <c r="AE284" s="1">
        <f>IF(OR(F284=1,F284=4),配置与结果!$B$24,配置与结果!$B$25)*MAX(0,1-INDEX(配置与结果!$I$15:$I$18,F284))</f>
        <v>1200</v>
      </c>
      <c r="AF284" s="1">
        <f>方案参数!$BM$10</f>
        <v>48</v>
      </c>
      <c r="AG284" s="1">
        <f>MAX(配置与结果!$B$32,1+INDEX(配置与结果!$F$15:$F$18,F284)+0.08+方案参数!$CD$10+Q284*方案参数!$W$10+Y284*(方案参数!$AN$10+MIN(方案参数!$AO$10,P284*0.03))+AB284*方案参数!$BZ$10*0.025-配置与结果!$B$28+方案参数!$AE$10)</f>
        <v>2.6150000000000002</v>
      </c>
      <c r="AH284" s="1">
        <f>MAX(0,1+V284*方案参数!$U$10+3*方案参数!$V$10+方案参数!$AE$10-配置与结果!$B$29)</f>
        <v>1.7399999999999998</v>
      </c>
      <c r="AI284" s="1">
        <f>IF(OR(INDEX(配置与结果!$K$15:$K$18,F284)=1,G284="RHI_BERRY"),1+配置与结果!$B$33+P284*方案参数!$AH$10,1)</f>
        <v>1</v>
      </c>
      <c r="AJ284" s="1">
        <f>MIN(1,MAX(0,J284+方案参数!$AB$10-配置与结果!$B$27))</f>
        <v>1</v>
      </c>
      <c r="AK284" s="1">
        <f>MAX(1,K284+IF(F284=2,0.15+方案参数!$CH$10,0)+BN284*方案参数!$X$10+R284*方案参数!$AA$10+方案参数!$BQ$10-配置与结果!$B$26+Z284*(方案参数!$AP$10+MIN(方案参数!$AQ$10,P284*0.03)))</f>
        <v>3.165</v>
      </c>
      <c r="AL284" s="7">
        <f>ROUNDDOWN(MAX(AD284*配置与结果!$B$31,AD284-AE284)*AF284*AG284*AH284*AI284,0)</f>
        <v>400554</v>
      </c>
      <c r="AM284" s="7">
        <f>ROUNDDOWN(MAX(AD284*配置与结果!$B$31,AD284-AE284)*AF284*AG284*AH284*AI284*AK284,0)</f>
        <v>1267754</v>
      </c>
      <c r="AN284" s="7">
        <f t="shared" si="380"/>
        <v>1267754</v>
      </c>
      <c r="AO284" s="7">
        <f>0</f>
        <v>0</v>
      </c>
      <c r="AP284" s="7">
        <f>MAX(0,1+INDEX(配置与结果!$J$15:$J$18,F284)+IF(T284&gt;0,方案参数!$BY$10,0)-配置与结果!$B$30)</f>
        <v>1</v>
      </c>
      <c r="AQ284" s="7">
        <f t="shared" si="381"/>
        <v>0</v>
      </c>
      <c r="AR284" s="7">
        <f t="shared" si="382"/>
        <v>0</v>
      </c>
      <c r="AS284" s="7">
        <f t="shared" si="383"/>
        <v>0</v>
      </c>
      <c r="AT284" s="7">
        <f>IF(U284&gt;0,ROUNDDOWN(AL284*方案参数!$AF$10,0)*(1-AJ284)+ROUNDDOWN(AM284*方案参数!$AF$10,0)*AJ284,0)</f>
        <v>507101</v>
      </c>
      <c r="AU284" s="7">
        <f t="shared" si="384"/>
        <v>1774855</v>
      </c>
      <c r="AV284" s="1">
        <f t="shared" si="385"/>
        <v>2</v>
      </c>
      <c r="AW284" s="1">
        <f t="shared" si="410"/>
        <v>10</v>
      </c>
      <c r="AX284" s="1">
        <f t="shared" si="386"/>
        <v>1</v>
      </c>
      <c r="AY284" s="1">
        <f>MIN(20,MAX(0,O284+0+1-0))</f>
        <v>3</v>
      </c>
      <c r="AZ284" s="1">
        <f t="shared" si="387"/>
        <v>5</v>
      </c>
      <c r="BA284" s="1">
        <f t="shared" si="401"/>
        <v>5</v>
      </c>
      <c r="BB284" s="1">
        <f t="shared" si="409"/>
        <v>20</v>
      </c>
      <c r="BC284" s="1">
        <f t="shared" si="407"/>
        <v>3</v>
      </c>
      <c r="BD284" s="1">
        <f t="shared" si="388"/>
        <v>0</v>
      </c>
      <c r="BE284" s="1">
        <f>MAX(0,U284-IF(AF284&gt;0,1,0))+0</f>
        <v>0</v>
      </c>
      <c r="BF284" s="1">
        <f t="shared" si="411"/>
        <v>4</v>
      </c>
      <c r="BG284" s="1">
        <f t="shared" si="398"/>
        <v>1</v>
      </c>
      <c r="BH284" s="1">
        <f t="shared" si="374"/>
        <v>1</v>
      </c>
      <c r="BI284" s="1">
        <f t="shared" si="399"/>
        <v>1</v>
      </c>
      <c r="BJ284" s="1">
        <f t="shared" si="402"/>
        <v>1</v>
      </c>
      <c r="BK284" s="1">
        <f t="shared" si="403"/>
        <v>1</v>
      </c>
      <c r="BL284" s="1">
        <f t="shared" si="408"/>
        <v>1</v>
      </c>
      <c r="BM284" s="1">
        <f t="shared" si="406"/>
        <v>1</v>
      </c>
      <c r="BN284" s="1">
        <f t="shared" si="375"/>
        <v>1</v>
      </c>
      <c r="BO284" s="1">
        <f t="shared" si="376"/>
        <v>1</v>
      </c>
    </row>
    <row r="285" spans="1:67" ht="30.95" customHeight="1">
      <c r="A285" s="1">
        <f>7</f>
        <v>7</v>
      </c>
      <c r="B285" s="1">
        <f>固定流程!A33</f>
        <v>28</v>
      </c>
      <c r="C285" s="1">
        <f>10</f>
        <v>10</v>
      </c>
      <c r="D285" s="1">
        <f>2</f>
        <v>2</v>
      </c>
      <c r="E285" s="1">
        <f>固定流程!C33</f>
        <v>3</v>
      </c>
      <c r="F285" s="1">
        <f>固定流程!G33</f>
        <v>1</v>
      </c>
      <c r="G285" s="1" t="str">
        <f>固定流程!H33</f>
        <v>LILYA_WEAK</v>
      </c>
      <c r="H285" s="1">
        <f>固定流程!F33</f>
        <v>1</v>
      </c>
      <c r="I285" s="1">
        <f>INDEX(配置与结果!$B$15:$B$18,F285)</f>
        <v>2296</v>
      </c>
      <c r="J285" s="1">
        <f>INDEX(配置与结果!$D$15:$D$18,F285)</f>
        <v>0.7</v>
      </c>
      <c r="K285" s="1">
        <f>INDEX(配置与结果!$E$15:$E$18,F285)</f>
        <v>2.0249999999999999</v>
      </c>
      <c r="L285" s="1">
        <f t="shared" si="395"/>
        <v>2</v>
      </c>
      <c r="M285" s="1">
        <f t="shared" si="396"/>
        <v>10</v>
      </c>
      <c r="N285" s="1">
        <f t="shared" si="397"/>
        <v>1</v>
      </c>
      <c r="O285" s="1">
        <f t="shared" si="389"/>
        <v>3</v>
      </c>
      <c r="P285" s="1">
        <f>MIN(方案参数!$AI$10,AZ284+0+0)</f>
        <v>5</v>
      </c>
      <c r="Q285" s="1">
        <f t="shared" si="359"/>
        <v>5</v>
      </c>
      <c r="R285" s="1">
        <f t="shared" si="360"/>
        <v>20</v>
      </c>
      <c r="S285" s="1">
        <f t="shared" si="361"/>
        <v>3</v>
      </c>
      <c r="T285" s="1">
        <f t="shared" si="404"/>
        <v>0</v>
      </c>
      <c r="U285" s="1">
        <f t="shared" si="363"/>
        <v>0</v>
      </c>
      <c r="V285" s="1">
        <f t="shared" si="364"/>
        <v>4</v>
      </c>
      <c r="W285" s="1">
        <f t="shared" si="365"/>
        <v>1</v>
      </c>
      <c r="X285" s="1">
        <f t="shared" si="366"/>
        <v>1</v>
      </c>
      <c r="Y285" s="1">
        <f t="shared" si="367"/>
        <v>1</v>
      </c>
      <c r="Z285" s="1">
        <f t="shared" si="368"/>
        <v>1</v>
      </c>
      <c r="AA285" s="1">
        <f t="shared" si="400"/>
        <v>1</v>
      </c>
      <c r="AB285" s="1">
        <f t="shared" si="370"/>
        <v>1</v>
      </c>
      <c r="AC285" s="1">
        <f t="shared" si="405"/>
        <v>1</v>
      </c>
      <c r="AD285" s="1">
        <f>ROUNDDOWN(I285*(1+IF(F285=3,0.05+方案参数!$Y$10+AA285*0.12,IF(F285=4,方案参数!$BZ$10*方案参数!$AS$10,0)))+IF(AND(X285=1,F285&lt;&gt;3),方案参数!$CC$10,0)+AC285*方案参数!$CB$10,0)</f>
        <v>3034</v>
      </c>
      <c r="AE285" s="1">
        <f>IF(OR(F285=1,F285=4),配置与结果!$B$24,配置与结果!$B$25)*MAX(0,1-INDEX(配置与结果!$I$15:$I$18,F285))</f>
        <v>1200</v>
      </c>
      <c r="AF285" s="1">
        <f>方案参数!$BL$10</f>
        <v>22</v>
      </c>
      <c r="AG285" s="1">
        <f>MAX(配置与结果!$B$32,1+INDEX(配置与结果!$F$15:$F$18,F285)+0.08+方案参数!$CD$10+Q285*方案参数!$W$10+Y285*(方案参数!$AN$10+MIN(方案参数!$AO$10,P285*0.03))+AB285*方案参数!$BZ$10*0.025-配置与结果!$B$28+方案参数!$AE$10)</f>
        <v>2.6150000000000002</v>
      </c>
      <c r="AH285" s="1">
        <f>MAX(0,1+V285*方案参数!$U$10+4*方案参数!$V$10+方案参数!$AE$10-配置与结果!$B$29)</f>
        <v>1.7999999999999998</v>
      </c>
      <c r="AI285" s="1">
        <f>IF(OR(INDEX(配置与结果!$K$15:$K$18,F285)=1,G285="RHI_BERRY"),1+配置与结果!$B$33+P285*方案参数!$AH$10,1)</f>
        <v>1</v>
      </c>
      <c r="AJ285" s="1">
        <f>MIN(1,MAX(0,J285+方案参数!$AB$10-配置与结果!$B$27))</f>
        <v>1</v>
      </c>
      <c r="AK285" s="1">
        <f>MAX(1,K285+IF(F285=2,0.15+方案参数!$CH$10,0)+BN285*方案参数!$X$10+R285*方案参数!$AA$10+方案参数!$BP$10-配置与结果!$B$26+Z285*(方案参数!$AP$10+MIN(方案参数!$AQ$10,P285*0.03)))</f>
        <v>2.9650000000000003</v>
      </c>
      <c r="AL285" s="7">
        <f>ROUNDDOWN(MAX(AD285*配置与结果!$B$31,AD285-AE285)*AF285*AG285*AH285*AI285,0)</f>
        <v>189918</v>
      </c>
      <c r="AM285" s="7">
        <f>ROUNDDOWN(MAX(AD285*配置与结果!$B$31,AD285-AE285)*AF285*AG285*AH285*AI285*AK285,0)</f>
        <v>563106</v>
      </c>
      <c r="AN285" s="7">
        <f t="shared" si="380"/>
        <v>563106</v>
      </c>
      <c r="AO285" s="7">
        <f>0</f>
        <v>0</v>
      </c>
      <c r="AP285" s="7">
        <f>MAX(0,1+INDEX(配置与结果!$J$15:$J$18,F285)+IF(T285&gt;0,方案参数!$BY$10,0)-配置与结果!$B$30)</f>
        <v>1</v>
      </c>
      <c r="AQ285" s="7">
        <f t="shared" si="381"/>
        <v>0</v>
      </c>
      <c r="AR285" s="7">
        <f t="shared" si="382"/>
        <v>0</v>
      </c>
      <c r="AS285" s="7">
        <f t="shared" si="383"/>
        <v>0</v>
      </c>
      <c r="AT285" s="7">
        <f>IF(U285&gt;0,ROUNDDOWN(AL285*方案参数!$AF$10,0)*(1-AJ285)+ROUNDDOWN(AM285*方案参数!$AF$10,0)*AJ285,0)</f>
        <v>0</v>
      </c>
      <c r="AU285" s="7">
        <f t="shared" si="384"/>
        <v>563106</v>
      </c>
      <c r="AV285" s="1">
        <f t="shared" si="385"/>
        <v>2</v>
      </c>
      <c r="AW285" s="1">
        <f t="shared" si="410"/>
        <v>10</v>
      </c>
      <c r="AX285" s="1">
        <f t="shared" si="386"/>
        <v>1</v>
      </c>
      <c r="AY285" s="1">
        <f>MIN(20,MAX(0,O285+0+1-0))</f>
        <v>4</v>
      </c>
      <c r="AZ285" s="1">
        <f t="shared" si="387"/>
        <v>5</v>
      </c>
      <c r="BA285" s="1">
        <f t="shared" si="401"/>
        <v>5</v>
      </c>
      <c r="BB285" s="1">
        <f t="shared" si="409"/>
        <v>20</v>
      </c>
      <c r="BC285" s="1">
        <f t="shared" si="407"/>
        <v>3</v>
      </c>
      <c r="BD285" s="1">
        <f t="shared" si="388"/>
        <v>0</v>
      </c>
      <c r="BE285" s="1">
        <f>MAX(0,U285-IF(AF285&gt;0,1,0))+0</f>
        <v>0</v>
      </c>
      <c r="BF285" s="1">
        <f t="shared" si="411"/>
        <v>4</v>
      </c>
      <c r="BG285" s="1">
        <f t="shared" si="398"/>
        <v>1</v>
      </c>
      <c r="BH285" s="1">
        <f t="shared" si="374"/>
        <v>1</v>
      </c>
      <c r="BI285" s="1">
        <f t="shared" si="399"/>
        <v>1</v>
      </c>
      <c r="BJ285" s="1">
        <f t="shared" si="402"/>
        <v>1</v>
      </c>
      <c r="BK285" s="1">
        <f t="shared" si="403"/>
        <v>1</v>
      </c>
      <c r="BL285" s="1">
        <f t="shared" si="408"/>
        <v>1</v>
      </c>
      <c r="BM285" s="1">
        <f t="shared" si="406"/>
        <v>1</v>
      </c>
      <c r="BN285" s="1">
        <f t="shared" si="375"/>
        <v>1</v>
      </c>
      <c r="BO285" s="1">
        <f t="shared" si="376"/>
        <v>1</v>
      </c>
    </row>
    <row r="286" spans="1:67" ht="30.95" customHeight="1">
      <c r="A286" s="1">
        <f>7</f>
        <v>7</v>
      </c>
      <c r="B286" s="1">
        <f>固定流程!A34</f>
        <v>29</v>
      </c>
      <c r="C286" s="1">
        <f>10</f>
        <v>10</v>
      </c>
      <c r="D286" s="1">
        <f>2</f>
        <v>2</v>
      </c>
      <c r="E286" s="1">
        <f>固定流程!C34</f>
        <v>3</v>
      </c>
      <c r="F286" s="1">
        <f>固定流程!G34</f>
        <v>1</v>
      </c>
      <c r="G286" s="1" t="str">
        <f>固定流程!H34</f>
        <v>LILYA_WEAK</v>
      </c>
      <c r="H286" s="1">
        <f>固定流程!F34</f>
        <v>1</v>
      </c>
      <c r="I286" s="1">
        <f>INDEX(配置与结果!$B$15:$B$18,F286)</f>
        <v>2296</v>
      </c>
      <c r="J286" s="1">
        <f>INDEX(配置与结果!$D$15:$D$18,F286)</f>
        <v>0.7</v>
      </c>
      <c r="K286" s="1">
        <f>INDEX(配置与结果!$E$15:$E$18,F286)</f>
        <v>2.0249999999999999</v>
      </c>
      <c r="L286" s="1">
        <f t="shared" si="395"/>
        <v>2</v>
      </c>
      <c r="M286" s="1">
        <f t="shared" si="396"/>
        <v>10</v>
      </c>
      <c r="N286" s="1">
        <f t="shared" si="397"/>
        <v>1</v>
      </c>
      <c r="O286" s="1">
        <f t="shared" si="389"/>
        <v>4</v>
      </c>
      <c r="P286" s="1">
        <f>MIN(方案参数!$AI$10,AZ285+0+0)</f>
        <v>5</v>
      </c>
      <c r="Q286" s="1">
        <f t="shared" si="359"/>
        <v>5</v>
      </c>
      <c r="R286" s="1">
        <f t="shared" si="360"/>
        <v>20</v>
      </c>
      <c r="S286" s="1">
        <f t="shared" si="361"/>
        <v>3</v>
      </c>
      <c r="T286" s="1">
        <f t="shared" si="404"/>
        <v>0</v>
      </c>
      <c r="U286" s="1">
        <f t="shared" si="363"/>
        <v>0</v>
      </c>
      <c r="V286" s="1">
        <f t="shared" si="364"/>
        <v>4</v>
      </c>
      <c r="W286" s="1">
        <f t="shared" si="365"/>
        <v>1</v>
      </c>
      <c r="X286" s="1">
        <f t="shared" si="366"/>
        <v>1</v>
      </c>
      <c r="Y286" s="1">
        <f t="shared" si="367"/>
        <v>1</v>
      </c>
      <c r="Z286" s="1">
        <f t="shared" si="368"/>
        <v>1</v>
      </c>
      <c r="AA286" s="1">
        <f t="shared" si="400"/>
        <v>1</v>
      </c>
      <c r="AB286" s="1">
        <f t="shared" si="370"/>
        <v>1</v>
      </c>
      <c r="AC286" s="1">
        <f t="shared" si="405"/>
        <v>1</v>
      </c>
      <c r="AD286" s="1">
        <f>ROUNDDOWN(I286*(1+IF(F286=3,0.05+方案参数!$Y$10+AA286*0.12,IF(F286=4,方案参数!$BZ$10*方案参数!$AS$10,0)))+IF(AND(X286=1,F286&lt;&gt;3),方案参数!$CC$10,0)+AC286*方案参数!$CB$10,0)</f>
        <v>3034</v>
      </c>
      <c r="AE286" s="1">
        <f>IF(OR(F286=1,F286=4),配置与结果!$B$24,配置与结果!$B$25)*MAX(0,1-INDEX(配置与结果!$I$15:$I$18,F286))</f>
        <v>1200</v>
      </c>
      <c r="AF286" s="1">
        <f>方案参数!$BL$10</f>
        <v>22</v>
      </c>
      <c r="AG286" s="1">
        <f>MAX(配置与结果!$B$32,1+INDEX(配置与结果!$F$15:$F$18,F286)+0.08+方案参数!$CD$10+Q286*方案参数!$W$10+Y286*(方案参数!$AN$10+MIN(方案参数!$AO$10,P286*0.03))+AB286*方案参数!$BZ$10*0.025-配置与结果!$B$28+方案参数!$AE$10)</f>
        <v>2.6150000000000002</v>
      </c>
      <c r="AH286" s="1">
        <f>MAX(0,1+V286*方案参数!$U$10+5*方案参数!$V$10+方案参数!$AE$10-配置与结果!$B$29)</f>
        <v>1.8599999999999999</v>
      </c>
      <c r="AI286" s="1">
        <f>IF(OR(INDEX(配置与结果!$K$15:$K$18,F286)=1,G286="RHI_BERRY"),1+配置与结果!$B$33+P286*方案参数!$AH$10,1)</f>
        <v>1</v>
      </c>
      <c r="AJ286" s="1">
        <f>MIN(1,MAX(0,J286+方案参数!$AB$10-配置与结果!$B$27))</f>
        <v>1</v>
      </c>
      <c r="AK286" s="1">
        <f>MAX(1,K286+IF(F286=2,0.15+方案参数!$CH$10,0)+BN286*方案参数!$X$10+R286*方案参数!$AA$10+方案参数!$BP$10-配置与结果!$B$26+Z286*(方案参数!$AP$10+MIN(方案参数!$AQ$10,P286*0.03)))</f>
        <v>2.9650000000000003</v>
      </c>
      <c r="AL286" s="7">
        <f>ROUNDDOWN(MAX(AD286*配置与结果!$B$31,AD286-AE286)*AF286*AG286*AH286*AI286,0)</f>
        <v>196248</v>
      </c>
      <c r="AM286" s="7">
        <f>ROUNDDOWN(MAX(AD286*配置与结果!$B$31,AD286-AE286)*AF286*AG286*AH286*AI286*AK286,0)</f>
        <v>581877</v>
      </c>
      <c r="AN286" s="7">
        <f t="shared" si="380"/>
        <v>581877</v>
      </c>
      <c r="AO286" s="7">
        <f>0</f>
        <v>0</v>
      </c>
      <c r="AP286" s="7">
        <f>MAX(0,1+INDEX(配置与结果!$J$15:$J$18,F286)+IF(T286&gt;0,方案参数!$BY$10,0)-配置与结果!$B$30)</f>
        <v>1</v>
      </c>
      <c r="AQ286" s="7">
        <f t="shared" si="381"/>
        <v>0</v>
      </c>
      <c r="AR286" s="7">
        <f t="shared" si="382"/>
        <v>0</v>
      </c>
      <c r="AS286" s="7">
        <f t="shared" si="383"/>
        <v>0</v>
      </c>
      <c r="AT286" s="7">
        <f>IF(U286&gt;0,ROUNDDOWN(AL286*方案参数!$AF$10,0)*(1-AJ286)+ROUNDDOWN(AM286*方案参数!$AF$10,0)*AJ286,0)</f>
        <v>0</v>
      </c>
      <c r="AU286" s="7">
        <f t="shared" si="384"/>
        <v>581877</v>
      </c>
      <c r="AV286" s="1">
        <f t="shared" si="385"/>
        <v>2</v>
      </c>
      <c r="AW286" s="1">
        <f t="shared" si="410"/>
        <v>10</v>
      </c>
      <c r="AX286" s="1">
        <f t="shared" si="386"/>
        <v>1</v>
      </c>
      <c r="AY286" s="1">
        <f>MIN(20,MAX(0,O286+0+1-0))</f>
        <v>5</v>
      </c>
      <c r="AZ286" s="1">
        <f t="shared" si="387"/>
        <v>5</v>
      </c>
      <c r="BA286" s="1">
        <f t="shared" si="401"/>
        <v>5</v>
      </c>
      <c r="BB286" s="1">
        <f t="shared" si="409"/>
        <v>20</v>
      </c>
      <c r="BC286" s="1">
        <f t="shared" si="407"/>
        <v>3</v>
      </c>
      <c r="BD286" s="1">
        <f t="shared" si="388"/>
        <v>0</v>
      </c>
      <c r="BE286" s="1">
        <f>MAX(0,U286-IF(AF286&gt;0,1,0))+0</f>
        <v>0</v>
      </c>
      <c r="BF286" s="1">
        <f t="shared" si="411"/>
        <v>4</v>
      </c>
      <c r="BG286" s="1">
        <f t="shared" si="398"/>
        <v>1</v>
      </c>
      <c r="BH286" s="1">
        <f t="shared" si="374"/>
        <v>1</v>
      </c>
      <c r="BI286" s="1">
        <f t="shared" si="399"/>
        <v>1</v>
      </c>
      <c r="BJ286" s="1">
        <f t="shared" si="402"/>
        <v>1</v>
      </c>
      <c r="BK286" s="1">
        <f t="shared" si="403"/>
        <v>1</v>
      </c>
      <c r="BL286" s="1">
        <f t="shared" si="408"/>
        <v>1</v>
      </c>
      <c r="BM286" s="1">
        <f t="shared" si="406"/>
        <v>1</v>
      </c>
      <c r="BN286" s="1">
        <f t="shared" si="375"/>
        <v>1</v>
      </c>
      <c r="BO286" s="1">
        <f t="shared" si="376"/>
        <v>1</v>
      </c>
    </row>
    <row r="287" spans="1:67" ht="30.95" customHeight="1">
      <c r="A287" s="1">
        <f>7</f>
        <v>7</v>
      </c>
      <c r="B287" s="1">
        <f>固定流程!A35</f>
        <v>30</v>
      </c>
      <c r="C287" s="1">
        <f>10</f>
        <v>10</v>
      </c>
      <c r="D287" s="1">
        <f>2</f>
        <v>2</v>
      </c>
      <c r="E287" s="1">
        <f>固定流程!C35</f>
        <v>3</v>
      </c>
      <c r="F287" s="1">
        <f>固定流程!G35</f>
        <v>2</v>
      </c>
      <c r="G287" s="1" t="str">
        <f>固定流程!H35</f>
        <v>37_WEAK</v>
      </c>
      <c r="H287" s="1">
        <f>固定流程!F35</f>
        <v>1</v>
      </c>
      <c r="I287" s="1">
        <f>INDEX(配置与结果!$B$15:$B$18,F287)</f>
        <v>2306</v>
      </c>
      <c r="J287" s="1">
        <f>INDEX(配置与结果!$D$15:$D$18,F287)</f>
        <v>0.46</v>
      </c>
      <c r="K287" s="1">
        <f>INDEX(配置与结果!$E$15:$E$18,F287)</f>
        <v>1.9279999999999999</v>
      </c>
      <c r="L287" s="1">
        <f t="shared" si="395"/>
        <v>2</v>
      </c>
      <c r="M287" s="1">
        <f t="shared" si="396"/>
        <v>10</v>
      </c>
      <c r="N287" s="1">
        <f t="shared" si="397"/>
        <v>1</v>
      </c>
      <c r="O287" s="1">
        <f t="shared" si="389"/>
        <v>5</v>
      </c>
      <c r="P287" s="1">
        <f>MIN(方案参数!$AI$10,AZ286+0+0)</f>
        <v>5</v>
      </c>
      <c r="Q287" s="1">
        <f t="shared" si="359"/>
        <v>5</v>
      </c>
      <c r="R287" s="1">
        <f t="shared" si="360"/>
        <v>20</v>
      </c>
      <c r="S287" s="1">
        <f t="shared" si="361"/>
        <v>3</v>
      </c>
      <c r="T287" s="1">
        <f t="shared" si="404"/>
        <v>0</v>
      </c>
      <c r="U287" s="1">
        <f t="shared" si="363"/>
        <v>0</v>
      </c>
      <c r="V287" s="1">
        <f t="shared" si="364"/>
        <v>4</v>
      </c>
      <c r="W287" s="1">
        <f t="shared" si="365"/>
        <v>1</v>
      </c>
      <c r="X287" s="1">
        <f t="shared" si="366"/>
        <v>1</v>
      </c>
      <c r="Y287" s="1">
        <f t="shared" si="367"/>
        <v>1</v>
      </c>
      <c r="Z287" s="1">
        <f t="shared" si="368"/>
        <v>1</v>
      </c>
      <c r="AA287" s="1">
        <f t="shared" si="400"/>
        <v>1</v>
      </c>
      <c r="AB287" s="1">
        <f t="shared" si="370"/>
        <v>1</v>
      </c>
      <c r="AC287" s="1">
        <f t="shared" si="405"/>
        <v>1</v>
      </c>
      <c r="AD287" s="1">
        <f>ROUNDDOWN(I287*(1+IF(F287=3,0.05+方案参数!$Y$10+AA287*0.12,IF(F287=4,方案参数!$BZ$10*方案参数!$AS$10,0)))+IF(AND(X287=1,F287&lt;&gt;3),方案参数!$CC$10,0)+AC287*方案参数!$CB$10,0)</f>
        <v>3044</v>
      </c>
      <c r="AE287" s="1">
        <f>IF(OR(F287=1,F287=4),配置与结果!$B$24,配置与结果!$B$25)*MAX(0,1-INDEX(配置与结果!$I$15:$I$18,F287))</f>
        <v>1000</v>
      </c>
      <c r="AF287" s="1">
        <f>方案参数!$CE$10</f>
        <v>8</v>
      </c>
      <c r="AG287" s="1">
        <f>MAX(配置与结果!$B$32,1+INDEX(配置与结果!$F$15:$F$18,F287)+0+Q287*方案参数!$W$10+Y287*(方案参数!$AN$10+MIN(方案参数!$AO$10,P287*0.03))+AB287*方案参数!$BZ$10*0.025-配置与结果!$B$28+方案参数!$AE$10)</f>
        <v>2.2800000000000002</v>
      </c>
      <c r="AH287" s="1">
        <f>MAX(0,1+V287*方案参数!$U$10+方案参数!$AE$10-配置与结果!$B$29)</f>
        <v>1.56</v>
      </c>
      <c r="AI287" s="1">
        <f>IF(OR(INDEX(配置与结果!$K$15:$K$18,F287)=1,G287="RHI_BERRY"),1+配置与结果!$B$33+P287*方案参数!$AH$10,1)</f>
        <v>1</v>
      </c>
      <c r="AJ287" s="1">
        <f>MIN(1,MAX(0,J287+方案参数!$AB$10-配置与结果!$B$27))</f>
        <v>0.76</v>
      </c>
      <c r="AK287" s="1">
        <f>MAX(1,K287+IF(F287=2,0.15+方案参数!$CH$10,0)+BN287*方案参数!$X$10+R287*方案参数!$AA$10+0-配置与结果!$B$26+Z287*(方案参数!$AP$10+MIN(方案参数!$AQ$10,P287*0.03)))</f>
        <v>2.3380000000000001</v>
      </c>
      <c r="AL287" s="7">
        <f>ROUNDDOWN(MAX(AD287*配置与结果!$B$31,AD287-AE287)*AF287*AG287*AH287*AI287,0)</f>
        <v>58160</v>
      </c>
      <c r="AM287" s="7">
        <f>ROUNDDOWN(MAX(AD287*配置与结果!$B$31,AD287-AE287)*AF287*AG287*AH287*AI287*AK287,0)</f>
        <v>135979</v>
      </c>
      <c r="AN287" s="7">
        <f t="shared" si="380"/>
        <v>117302.44</v>
      </c>
      <c r="AO287" s="7">
        <f>0</f>
        <v>0</v>
      </c>
      <c r="AP287" s="7">
        <f>MAX(0,1+INDEX(配置与结果!$J$15:$J$18,F287)+IF(T287&gt;0,方案参数!$BY$10,0)-配置与结果!$B$30)</f>
        <v>1</v>
      </c>
      <c r="AQ287" s="7">
        <f t="shared" si="381"/>
        <v>0</v>
      </c>
      <c r="AR287" s="7">
        <f t="shared" si="382"/>
        <v>0</v>
      </c>
      <c r="AS287" s="7">
        <f t="shared" si="383"/>
        <v>0</v>
      </c>
      <c r="AT287" s="7">
        <f>IF(U287&gt;0,ROUNDDOWN(AL287*方案参数!$AF$10,0)*(1-AJ287)+ROUNDDOWN(AM287*方案参数!$AF$10,0)*AJ287,0)</f>
        <v>0</v>
      </c>
      <c r="AU287" s="7">
        <f t="shared" si="384"/>
        <v>117302.44</v>
      </c>
      <c r="AV287" s="1">
        <f t="shared" si="385"/>
        <v>2</v>
      </c>
      <c r="AW287" s="1">
        <f t="shared" si="410"/>
        <v>10</v>
      </c>
      <c r="AX287" s="1">
        <f t="shared" si="386"/>
        <v>1</v>
      </c>
      <c r="AY287" s="1">
        <f>MIN(20,MAX(0,O287+0+0-0))</f>
        <v>5</v>
      </c>
      <c r="AZ287" s="1">
        <f t="shared" si="387"/>
        <v>5</v>
      </c>
      <c r="BA287" s="1">
        <f t="shared" si="401"/>
        <v>5</v>
      </c>
      <c r="BB287" s="1">
        <f t="shared" si="409"/>
        <v>20</v>
      </c>
      <c r="BC287" s="1">
        <f t="shared" si="407"/>
        <v>3</v>
      </c>
      <c r="BD287" s="1">
        <f t="shared" si="388"/>
        <v>0</v>
      </c>
      <c r="BE287" s="1">
        <f>MAX(0,U287-IF(AF287&gt;0,1,0))+1</f>
        <v>1</v>
      </c>
      <c r="BF287" s="1">
        <f t="shared" si="411"/>
        <v>4</v>
      </c>
      <c r="BG287" s="1">
        <f t="shared" si="398"/>
        <v>1</v>
      </c>
      <c r="BH287" s="1">
        <f t="shared" si="374"/>
        <v>1</v>
      </c>
      <c r="BI287" s="1">
        <f t="shared" si="399"/>
        <v>1</v>
      </c>
      <c r="BJ287" s="1">
        <f t="shared" si="402"/>
        <v>1</v>
      </c>
      <c r="BK287" s="1">
        <f t="shared" si="403"/>
        <v>1</v>
      </c>
      <c r="BL287" s="1">
        <f t="shared" si="408"/>
        <v>1</v>
      </c>
      <c r="BM287" s="1">
        <f t="shared" si="406"/>
        <v>1</v>
      </c>
      <c r="BN287" s="1">
        <f t="shared" si="375"/>
        <v>1</v>
      </c>
      <c r="BO287" s="1">
        <f t="shared" si="376"/>
        <v>1</v>
      </c>
    </row>
    <row r="288" spans="1:67" ht="30.95" customHeight="1">
      <c r="A288" s="1">
        <f>7</f>
        <v>7</v>
      </c>
      <c r="B288" s="1">
        <f>固定流程!A36</f>
        <v>31</v>
      </c>
      <c r="C288" s="1">
        <f>10</f>
        <v>10</v>
      </c>
      <c r="D288" s="1">
        <f>2</f>
        <v>2</v>
      </c>
      <c r="E288" s="1">
        <f>固定流程!C36</f>
        <v>3</v>
      </c>
      <c r="F288" s="1">
        <f>固定流程!G36</f>
        <v>1</v>
      </c>
      <c r="G288" s="1" t="str">
        <f>固定流程!H36</f>
        <v>LILYA_THIRD</v>
      </c>
      <c r="H288" s="1">
        <f>固定流程!F36</f>
        <v>1</v>
      </c>
      <c r="I288" s="1">
        <f>INDEX(配置与结果!$B$15:$B$18,F288)</f>
        <v>2296</v>
      </c>
      <c r="J288" s="1">
        <f>INDEX(配置与结果!$D$15:$D$18,F288)</f>
        <v>0.7</v>
      </c>
      <c r="K288" s="1">
        <f>INDEX(配置与结果!$E$15:$E$18,F288)</f>
        <v>2.0249999999999999</v>
      </c>
      <c r="L288" s="1">
        <f t="shared" si="395"/>
        <v>2</v>
      </c>
      <c r="M288" s="1">
        <f t="shared" si="396"/>
        <v>10</v>
      </c>
      <c r="N288" s="1">
        <f t="shared" si="397"/>
        <v>1</v>
      </c>
      <c r="O288" s="1">
        <f t="shared" si="389"/>
        <v>5</v>
      </c>
      <c r="P288" s="1">
        <f>MIN(方案参数!$AI$10,AZ287+0+0)</f>
        <v>5</v>
      </c>
      <c r="Q288" s="1">
        <f t="shared" si="359"/>
        <v>5</v>
      </c>
      <c r="R288" s="1">
        <f t="shared" si="360"/>
        <v>20</v>
      </c>
      <c r="S288" s="1">
        <f t="shared" si="361"/>
        <v>3</v>
      </c>
      <c r="T288" s="1">
        <f t="shared" si="404"/>
        <v>0</v>
      </c>
      <c r="U288" s="1">
        <f t="shared" si="363"/>
        <v>1</v>
      </c>
      <c r="V288" s="1">
        <f t="shared" si="364"/>
        <v>4</v>
      </c>
      <c r="W288" s="1">
        <f t="shared" si="365"/>
        <v>1</v>
      </c>
      <c r="X288" s="1">
        <f t="shared" si="366"/>
        <v>1</v>
      </c>
      <c r="Y288" s="1">
        <f t="shared" si="367"/>
        <v>1</v>
      </c>
      <c r="Z288" s="1">
        <f t="shared" si="368"/>
        <v>1</v>
      </c>
      <c r="AA288" s="1">
        <f t="shared" si="400"/>
        <v>1</v>
      </c>
      <c r="AB288" s="1">
        <f t="shared" si="370"/>
        <v>1</v>
      </c>
      <c r="AC288" s="1">
        <f t="shared" si="405"/>
        <v>1</v>
      </c>
      <c r="AD288" s="1">
        <f>ROUNDDOWN(I288*(1+IF(F288=3,0.05+方案参数!$Y$10+AA288*0.12,IF(F288=4,方案参数!$BZ$10*方案参数!$AS$10,0)))+IF(AND(X288=1,F288&lt;&gt;3),方案参数!$CC$10,0)+AC288*方案参数!$CB$10,0)</f>
        <v>3034</v>
      </c>
      <c r="AE288" s="1">
        <f>IF(OR(F288=1,F288=4),配置与结果!$B$24,配置与结果!$B$25)*MAX(0,1-INDEX(配置与结果!$I$15:$I$18,F288))</f>
        <v>1200</v>
      </c>
      <c r="AF288" s="1">
        <f>方案参数!$BM$10</f>
        <v>48</v>
      </c>
      <c r="AG288" s="1">
        <f>MAX(配置与结果!$B$32,1+INDEX(配置与结果!$F$15:$F$18,F288)+0.08+方案参数!$CD$10+Q288*方案参数!$W$10+Y288*(方案参数!$AN$10+MIN(方案参数!$AO$10,P288*0.03))+AB288*方案参数!$BZ$10*0.025-配置与结果!$B$28+方案参数!$AE$10)</f>
        <v>2.6150000000000002</v>
      </c>
      <c r="AH288" s="1">
        <f>MAX(0,1+V288*方案参数!$U$10+7*方案参数!$V$10+方案参数!$AE$10-配置与结果!$B$29)</f>
        <v>1.98</v>
      </c>
      <c r="AI288" s="1">
        <f>IF(OR(INDEX(配置与结果!$K$15:$K$18,F288)=1,G288="RHI_BERRY"),1+配置与结果!$B$33+P288*方案参数!$AH$10,1)</f>
        <v>1</v>
      </c>
      <c r="AJ288" s="1">
        <f>MIN(1,MAX(0,J288+方案参数!$AB$10-配置与结果!$B$27))</f>
        <v>1</v>
      </c>
      <c r="AK288" s="1">
        <f>MAX(1,K288+IF(F288=2,0.15+方案参数!$CH$10,0)+BN288*方案参数!$X$10+R288*方案参数!$AA$10+方案参数!$BQ$10-配置与结果!$B$26+Z288*(方案参数!$AP$10+MIN(方案参数!$AQ$10,P288*0.03)))</f>
        <v>3.165</v>
      </c>
      <c r="AL288" s="7">
        <f>ROUNDDOWN(MAX(AD288*配置与结果!$B$31,AD288-AE288)*AF288*AG288*AH288*AI288,0)</f>
        <v>455803</v>
      </c>
      <c r="AM288" s="7">
        <f>ROUNDDOWN(MAX(AD288*配置与结果!$B$31,AD288-AE288)*AF288*AG288*AH288*AI288*AK288,0)</f>
        <v>1442617</v>
      </c>
      <c r="AN288" s="7">
        <f t="shared" si="380"/>
        <v>1442617</v>
      </c>
      <c r="AO288" s="7">
        <f>0</f>
        <v>0</v>
      </c>
      <c r="AP288" s="7">
        <f>MAX(0,1+INDEX(配置与结果!$J$15:$J$18,F288)+IF(T288&gt;0,方案参数!$BY$10,0)-配置与结果!$B$30)</f>
        <v>1</v>
      </c>
      <c r="AQ288" s="7">
        <f t="shared" si="381"/>
        <v>0</v>
      </c>
      <c r="AR288" s="7">
        <f t="shared" si="382"/>
        <v>0</v>
      </c>
      <c r="AS288" s="7">
        <f t="shared" si="383"/>
        <v>0</v>
      </c>
      <c r="AT288" s="7">
        <f>IF(U288&gt;0,ROUNDDOWN(AL288*方案参数!$AF$10,0)*(1-AJ288)+ROUNDDOWN(AM288*方案参数!$AF$10,0)*AJ288,0)</f>
        <v>577046</v>
      </c>
      <c r="AU288" s="7">
        <f t="shared" si="384"/>
        <v>2019663</v>
      </c>
      <c r="AV288" s="1">
        <f t="shared" si="385"/>
        <v>2</v>
      </c>
      <c r="AW288" s="1">
        <f t="shared" si="410"/>
        <v>10</v>
      </c>
      <c r="AX288" s="1">
        <f t="shared" si="386"/>
        <v>1</v>
      </c>
      <c r="AY288" s="1">
        <f>MIN(20,MAX(0,O288+0+1-0))</f>
        <v>6</v>
      </c>
      <c r="AZ288" s="1">
        <f t="shared" si="387"/>
        <v>5</v>
      </c>
      <c r="BA288" s="1">
        <f t="shared" si="401"/>
        <v>5</v>
      </c>
      <c r="BB288" s="1">
        <f t="shared" si="409"/>
        <v>20</v>
      </c>
      <c r="BC288" s="1">
        <f t="shared" si="407"/>
        <v>3</v>
      </c>
      <c r="BD288" s="1">
        <f t="shared" si="388"/>
        <v>0</v>
      </c>
      <c r="BE288" s="1">
        <f>MAX(0,U288-IF(AF288&gt;0,1,0))+0</f>
        <v>0</v>
      </c>
      <c r="BF288" s="1">
        <f t="shared" si="411"/>
        <v>4</v>
      </c>
      <c r="BG288" s="1">
        <f t="shared" si="398"/>
        <v>1</v>
      </c>
      <c r="BH288" s="1">
        <f t="shared" si="374"/>
        <v>1</v>
      </c>
      <c r="BI288" s="1">
        <f t="shared" si="399"/>
        <v>1</v>
      </c>
      <c r="BJ288" s="1">
        <f t="shared" si="402"/>
        <v>1</v>
      </c>
      <c r="BK288" s="1">
        <f t="shared" si="403"/>
        <v>1</v>
      </c>
      <c r="BL288" s="1">
        <f t="shared" si="408"/>
        <v>1</v>
      </c>
      <c r="BM288" s="1">
        <f t="shared" si="406"/>
        <v>1</v>
      </c>
      <c r="BN288" s="1">
        <f t="shared" si="375"/>
        <v>1</v>
      </c>
      <c r="BO288" s="1">
        <f t="shared" si="376"/>
        <v>1</v>
      </c>
    </row>
    <row r="289" spans="1:67" ht="30.95" customHeight="1">
      <c r="A289" s="1">
        <f>7</f>
        <v>7</v>
      </c>
      <c r="B289" s="1">
        <f>固定流程!A37</f>
        <v>32</v>
      </c>
      <c r="C289" s="1">
        <f>10</f>
        <v>10</v>
      </c>
      <c r="D289" s="1">
        <f>2</f>
        <v>2</v>
      </c>
      <c r="E289" s="1">
        <f>固定流程!C37</f>
        <v>3</v>
      </c>
      <c r="F289" s="1">
        <f>固定流程!G37</f>
        <v>1</v>
      </c>
      <c r="G289" s="1" t="str">
        <f>固定流程!H37</f>
        <v>LILYA_WEAK</v>
      </c>
      <c r="H289" s="1">
        <f>固定流程!F37</f>
        <v>1</v>
      </c>
      <c r="I289" s="1">
        <f>INDEX(配置与结果!$B$15:$B$18,F289)</f>
        <v>2296</v>
      </c>
      <c r="J289" s="1">
        <f>INDEX(配置与结果!$D$15:$D$18,F289)</f>
        <v>0.7</v>
      </c>
      <c r="K289" s="1">
        <f>INDEX(配置与结果!$E$15:$E$18,F289)</f>
        <v>2.0249999999999999</v>
      </c>
      <c r="L289" s="1">
        <f t="shared" si="395"/>
        <v>2</v>
      </c>
      <c r="M289" s="1">
        <f t="shared" si="396"/>
        <v>10</v>
      </c>
      <c r="N289" s="1">
        <f t="shared" si="397"/>
        <v>1</v>
      </c>
      <c r="O289" s="1">
        <f t="shared" si="389"/>
        <v>6</v>
      </c>
      <c r="P289" s="1">
        <f>MIN(方案参数!$AI$10,AZ288+0+0)</f>
        <v>5</v>
      </c>
      <c r="Q289" s="1">
        <f t="shared" si="359"/>
        <v>5</v>
      </c>
      <c r="R289" s="1">
        <f t="shared" si="360"/>
        <v>20</v>
      </c>
      <c r="S289" s="1">
        <f t="shared" si="361"/>
        <v>3</v>
      </c>
      <c r="T289" s="1">
        <f t="shared" si="404"/>
        <v>0</v>
      </c>
      <c r="U289" s="1">
        <f t="shared" si="363"/>
        <v>0</v>
      </c>
      <c r="V289" s="1">
        <f t="shared" si="364"/>
        <v>4</v>
      </c>
      <c r="W289" s="1">
        <f t="shared" si="365"/>
        <v>1</v>
      </c>
      <c r="X289" s="1">
        <f t="shared" si="366"/>
        <v>1</v>
      </c>
      <c r="Y289" s="1">
        <f t="shared" si="367"/>
        <v>1</v>
      </c>
      <c r="Z289" s="1">
        <f t="shared" si="368"/>
        <v>1</v>
      </c>
      <c r="AA289" s="1">
        <f t="shared" si="400"/>
        <v>1</v>
      </c>
      <c r="AB289" s="1">
        <f t="shared" si="370"/>
        <v>1</v>
      </c>
      <c r="AC289" s="1">
        <f t="shared" si="405"/>
        <v>1</v>
      </c>
      <c r="AD289" s="1">
        <f>ROUNDDOWN(I289*(1+IF(F289=3,0.05+方案参数!$Y$10+AA289*0.12,IF(F289=4,方案参数!$BZ$10*方案参数!$AS$10,0)))+IF(AND(X289=1,F289&lt;&gt;3),方案参数!$CC$10,0)+AC289*方案参数!$CB$10,0)</f>
        <v>3034</v>
      </c>
      <c r="AE289" s="1">
        <f>IF(OR(F289=1,F289=4),配置与结果!$B$24,配置与结果!$B$25)*MAX(0,1-INDEX(配置与结果!$I$15:$I$18,F289))</f>
        <v>1200</v>
      </c>
      <c r="AF289" s="1">
        <f>方案参数!$BL$10</f>
        <v>22</v>
      </c>
      <c r="AG289" s="1">
        <f>MAX(配置与结果!$B$32,1+INDEX(配置与结果!$F$15:$F$18,F289)+0.08+方案参数!$CD$10+Q289*方案参数!$W$10+Y289*(方案参数!$AN$10+MIN(方案参数!$AO$10,P289*0.03))+AB289*方案参数!$BZ$10*0.025-配置与结果!$B$28+方案参数!$AE$10)</f>
        <v>2.6150000000000002</v>
      </c>
      <c r="AH289" s="1">
        <f>MAX(0,1+V289*方案参数!$U$10+8*方案参数!$V$10+方案参数!$AE$10-配置与结果!$B$29)</f>
        <v>2.04</v>
      </c>
      <c r="AI289" s="1">
        <f>IF(OR(INDEX(配置与结果!$K$15:$K$18,F289)=1,G289="RHI_BERRY"),1+配置与结果!$B$33+P289*方案参数!$AH$10,1)</f>
        <v>1</v>
      </c>
      <c r="AJ289" s="1">
        <f>MIN(1,MAX(0,J289+方案参数!$AB$10-配置与结果!$B$27))</f>
        <v>1</v>
      </c>
      <c r="AK289" s="1">
        <f>MAX(1,K289+IF(F289=2,0.15+方案参数!$CH$10,0)+BN289*方案参数!$X$10+R289*方案参数!$AA$10+方案参数!$BP$10-配置与结果!$B$26+Z289*(方案参数!$AP$10+MIN(方案参数!$AQ$10,P289*0.03)))</f>
        <v>2.9650000000000003</v>
      </c>
      <c r="AL289" s="7">
        <f>ROUNDDOWN(MAX(AD289*配置与结果!$B$31,AD289-AE289)*AF289*AG289*AH289*AI289,0)</f>
        <v>215240</v>
      </c>
      <c r="AM289" s="7">
        <f>ROUNDDOWN(MAX(AD289*配置与结果!$B$31,AD289-AE289)*AF289*AG289*AH289*AI289*AK289,0)</f>
        <v>638187</v>
      </c>
      <c r="AN289" s="7">
        <f t="shared" si="380"/>
        <v>638187</v>
      </c>
      <c r="AO289" s="7">
        <f>0</f>
        <v>0</v>
      </c>
      <c r="AP289" s="7">
        <f>MAX(0,1+INDEX(配置与结果!$J$15:$J$18,F289)+IF(T289&gt;0,方案参数!$BY$10,0)-配置与结果!$B$30)</f>
        <v>1</v>
      </c>
      <c r="AQ289" s="7">
        <f t="shared" si="381"/>
        <v>0</v>
      </c>
      <c r="AR289" s="7">
        <f t="shared" si="382"/>
        <v>0</v>
      </c>
      <c r="AS289" s="7">
        <f t="shared" si="383"/>
        <v>0</v>
      </c>
      <c r="AT289" s="7">
        <f>IF(U289&gt;0,ROUNDDOWN(AL289*方案参数!$AF$10,0)*(1-AJ289)+ROUNDDOWN(AM289*方案参数!$AF$10,0)*AJ289,0)</f>
        <v>0</v>
      </c>
      <c r="AU289" s="7">
        <f t="shared" si="384"/>
        <v>638187</v>
      </c>
      <c r="AV289" s="1">
        <f t="shared" si="385"/>
        <v>2</v>
      </c>
      <c r="AW289" s="1">
        <f t="shared" si="410"/>
        <v>10</v>
      </c>
      <c r="AX289" s="1">
        <f t="shared" si="386"/>
        <v>1</v>
      </c>
      <c r="AY289" s="1">
        <f>MIN(20,MAX(0,O289+0+1-0))</f>
        <v>7</v>
      </c>
      <c r="AZ289" s="1">
        <f t="shared" si="387"/>
        <v>5</v>
      </c>
      <c r="BA289" s="1">
        <f t="shared" si="401"/>
        <v>5</v>
      </c>
      <c r="BB289" s="1">
        <f t="shared" si="409"/>
        <v>20</v>
      </c>
      <c r="BC289" s="1">
        <f t="shared" si="407"/>
        <v>3</v>
      </c>
      <c r="BD289" s="1">
        <f t="shared" si="388"/>
        <v>0</v>
      </c>
      <c r="BE289" s="1">
        <f>MAX(0,U289-IF(AF289&gt;0,1,0))+0</f>
        <v>0</v>
      </c>
      <c r="BF289" s="1">
        <f t="shared" si="411"/>
        <v>4</v>
      </c>
      <c r="BG289" s="1">
        <f t="shared" si="398"/>
        <v>1</v>
      </c>
      <c r="BH289" s="1">
        <f t="shared" si="374"/>
        <v>1</v>
      </c>
      <c r="BI289" s="1">
        <f t="shared" si="399"/>
        <v>1</v>
      </c>
      <c r="BJ289" s="1">
        <f t="shared" si="402"/>
        <v>1</v>
      </c>
      <c r="BK289" s="1">
        <f t="shared" si="403"/>
        <v>1</v>
      </c>
      <c r="BL289" s="1">
        <f t="shared" si="408"/>
        <v>1</v>
      </c>
      <c r="BM289" s="1">
        <f t="shared" si="406"/>
        <v>1</v>
      </c>
      <c r="BN289" s="1">
        <f t="shared" si="375"/>
        <v>1</v>
      </c>
      <c r="BO289" s="1">
        <f t="shared" si="376"/>
        <v>1</v>
      </c>
    </row>
    <row r="290" spans="1:67" ht="30.95" customHeight="1">
      <c r="A290" s="1">
        <f>7</f>
        <v>7</v>
      </c>
      <c r="B290" s="1">
        <f>固定流程!A38</f>
        <v>33</v>
      </c>
      <c r="C290" s="1">
        <f>10</f>
        <v>10</v>
      </c>
      <c r="D290" s="1">
        <f>2</f>
        <v>2</v>
      </c>
      <c r="E290" s="1">
        <f>固定流程!C38</f>
        <v>3</v>
      </c>
      <c r="F290" s="1">
        <f>固定流程!G38</f>
        <v>1</v>
      </c>
      <c r="G290" s="1" t="str">
        <f>固定流程!H38</f>
        <v>LILYA_WEAK</v>
      </c>
      <c r="H290" s="1">
        <f>固定流程!F38</f>
        <v>1</v>
      </c>
      <c r="I290" s="1">
        <f>INDEX(配置与结果!$B$15:$B$18,F290)</f>
        <v>2296</v>
      </c>
      <c r="J290" s="1">
        <f>INDEX(配置与结果!$D$15:$D$18,F290)</f>
        <v>0.7</v>
      </c>
      <c r="K290" s="1">
        <f>INDEX(配置与结果!$E$15:$E$18,F290)</f>
        <v>2.0249999999999999</v>
      </c>
      <c r="L290" s="1">
        <f t="shared" si="395"/>
        <v>2</v>
      </c>
      <c r="M290" s="1">
        <f t="shared" si="396"/>
        <v>10</v>
      </c>
      <c r="N290" s="1">
        <f t="shared" si="397"/>
        <v>1</v>
      </c>
      <c r="O290" s="1">
        <f t="shared" si="389"/>
        <v>7</v>
      </c>
      <c r="P290" s="1">
        <f>MIN(方案参数!$AI$10,AZ289+0+0)</f>
        <v>5</v>
      </c>
      <c r="Q290" s="1">
        <f t="shared" si="359"/>
        <v>5</v>
      </c>
      <c r="R290" s="1">
        <f t="shared" si="360"/>
        <v>20</v>
      </c>
      <c r="S290" s="1">
        <f t="shared" si="361"/>
        <v>3</v>
      </c>
      <c r="T290" s="1">
        <f t="shared" si="404"/>
        <v>0</v>
      </c>
      <c r="U290" s="1">
        <f t="shared" si="363"/>
        <v>0</v>
      </c>
      <c r="V290" s="1">
        <f t="shared" si="364"/>
        <v>4</v>
      </c>
      <c r="W290" s="1">
        <f t="shared" si="365"/>
        <v>1</v>
      </c>
      <c r="X290" s="1">
        <f t="shared" si="366"/>
        <v>1</v>
      </c>
      <c r="Y290" s="1">
        <f t="shared" si="367"/>
        <v>1</v>
      </c>
      <c r="Z290" s="1">
        <f t="shared" si="368"/>
        <v>1</v>
      </c>
      <c r="AA290" s="1">
        <f t="shared" si="400"/>
        <v>1</v>
      </c>
      <c r="AB290" s="1">
        <f t="shared" si="370"/>
        <v>1</v>
      </c>
      <c r="AC290" s="1">
        <f t="shared" si="405"/>
        <v>1</v>
      </c>
      <c r="AD290" s="1">
        <f>ROUNDDOWN(I290*(1+IF(F290=3,0.05+方案参数!$Y$10+AA290*0.12,IF(F290=4,方案参数!$BZ$10*方案参数!$AS$10,0)))+IF(AND(X290=1,F290&lt;&gt;3),方案参数!$CC$10,0)+AC290*方案参数!$CB$10,0)</f>
        <v>3034</v>
      </c>
      <c r="AE290" s="1">
        <f>IF(OR(F290=1,F290=4),配置与结果!$B$24,配置与结果!$B$25)*MAX(0,1-INDEX(配置与结果!$I$15:$I$18,F290))</f>
        <v>1200</v>
      </c>
      <c r="AF290" s="1">
        <f>方案参数!$BL$10</f>
        <v>22</v>
      </c>
      <c r="AG290" s="1">
        <f>MAX(配置与结果!$B$32,1+INDEX(配置与结果!$F$15:$F$18,F290)+0.08+方案参数!$CD$10+Q290*方案参数!$W$10+Y290*(方案参数!$AN$10+MIN(方案参数!$AO$10,P290*0.03))+AB290*方案参数!$BZ$10*0.025-配置与结果!$B$28+方案参数!$AE$10)</f>
        <v>2.6150000000000002</v>
      </c>
      <c r="AH290" s="1">
        <f>MAX(0,1+V290*方案参数!$U$10+9*方案参数!$V$10+方案参数!$AE$10-配置与结果!$B$29)</f>
        <v>2.1</v>
      </c>
      <c r="AI290" s="1">
        <f>IF(OR(INDEX(配置与结果!$K$15:$K$18,F290)=1,G290="RHI_BERRY"),1+配置与结果!$B$33+P290*方案参数!$AH$10,1)</f>
        <v>1</v>
      </c>
      <c r="AJ290" s="1">
        <f>MIN(1,MAX(0,J290+方案参数!$AB$10-配置与结果!$B$27))</f>
        <v>1</v>
      </c>
      <c r="AK290" s="1">
        <f>MAX(1,K290+IF(F290=2,0.15+方案参数!$CH$10,0)+BN290*方案参数!$X$10+R290*方案参数!$AA$10+方案参数!$BP$10-配置与结果!$B$26+Z290*(方案参数!$AP$10+MIN(方案参数!$AQ$10,P290*0.03)))</f>
        <v>2.9650000000000003</v>
      </c>
      <c r="AL290" s="7">
        <f>ROUNDDOWN(MAX(AD290*配置与结果!$B$31,AD290-AE290)*AF290*AG290*AH290*AI290,0)</f>
        <v>221571</v>
      </c>
      <c r="AM290" s="7">
        <f>ROUNDDOWN(MAX(AD290*配置与结果!$B$31,AD290-AE290)*AF290*AG290*AH290*AI290*AK290,0)</f>
        <v>656958</v>
      </c>
      <c r="AN290" s="7">
        <f t="shared" si="380"/>
        <v>656958</v>
      </c>
      <c r="AO290" s="7">
        <f>0</f>
        <v>0</v>
      </c>
      <c r="AP290" s="7">
        <f>MAX(0,1+INDEX(配置与结果!$J$15:$J$18,F290)+IF(T290&gt;0,方案参数!$BY$10,0)-配置与结果!$B$30)</f>
        <v>1</v>
      </c>
      <c r="AQ290" s="7">
        <f t="shared" si="381"/>
        <v>0</v>
      </c>
      <c r="AR290" s="7">
        <f t="shared" si="382"/>
        <v>0</v>
      </c>
      <c r="AS290" s="7">
        <f t="shared" si="383"/>
        <v>0</v>
      </c>
      <c r="AT290" s="7">
        <f>IF(U290&gt;0,ROUNDDOWN(AL290*方案参数!$AF$10,0)*(1-AJ290)+ROUNDDOWN(AM290*方案参数!$AF$10,0)*AJ290,0)</f>
        <v>0</v>
      </c>
      <c r="AU290" s="7">
        <f t="shared" si="384"/>
        <v>656958</v>
      </c>
      <c r="AV290" s="1">
        <f t="shared" si="385"/>
        <v>2</v>
      </c>
      <c r="AW290" s="1">
        <f t="shared" si="410"/>
        <v>10</v>
      </c>
      <c r="AX290" s="1">
        <f t="shared" si="386"/>
        <v>1</v>
      </c>
      <c r="AY290" s="1">
        <f>MIN(20,MAX(0,O290+0+1-0))</f>
        <v>8</v>
      </c>
      <c r="AZ290" s="1">
        <f t="shared" si="387"/>
        <v>5</v>
      </c>
      <c r="BA290" s="1">
        <f t="shared" si="401"/>
        <v>5</v>
      </c>
      <c r="BB290" s="1">
        <f t="shared" si="409"/>
        <v>20</v>
      </c>
      <c r="BC290" s="1">
        <f t="shared" si="407"/>
        <v>3</v>
      </c>
      <c r="BD290" s="1">
        <f t="shared" si="388"/>
        <v>0</v>
      </c>
      <c r="BE290" s="1">
        <f>MAX(0,U290-IF(AF290&gt;0,1,0))+0</f>
        <v>0</v>
      </c>
      <c r="BF290" s="1">
        <f t="shared" si="411"/>
        <v>4</v>
      </c>
      <c r="BG290" s="1">
        <f t="shared" si="398"/>
        <v>1</v>
      </c>
      <c r="BH290" s="1">
        <f t="shared" si="374"/>
        <v>1</v>
      </c>
      <c r="BI290" s="1">
        <f t="shared" si="399"/>
        <v>1</v>
      </c>
      <c r="BJ290" s="1">
        <f t="shared" si="402"/>
        <v>1</v>
      </c>
      <c r="BK290" s="1">
        <f t="shared" si="403"/>
        <v>1</v>
      </c>
      <c r="BL290" s="1">
        <f t="shared" si="408"/>
        <v>1</v>
      </c>
      <c r="BM290" s="1">
        <f t="shared" si="406"/>
        <v>1</v>
      </c>
      <c r="BN290" s="1">
        <f t="shared" si="375"/>
        <v>1</v>
      </c>
      <c r="BO290" s="1">
        <f t="shared" si="376"/>
        <v>1</v>
      </c>
    </row>
    <row r="291" spans="1:67" ht="30.95" customHeight="1">
      <c r="A291" s="1">
        <f>7</f>
        <v>7</v>
      </c>
      <c r="B291" s="1">
        <f>固定流程!A39</f>
        <v>34</v>
      </c>
      <c r="C291" s="1">
        <f>10</f>
        <v>10</v>
      </c>
      <c r="D291" s="1">
        <f>2</f>
        <v>2</v>
      </c>
      <c r="E291" s="1">
        <f>固定流程!C39</f>
        <v>3</v>
      </c>
      <c r="F291" s="1">
        <f>固定流程!G39</f>
        <v>2</v>
      </c>
      <c r="G291" s="1" t="str">
        <f>固定流程!H39</f>
        <v>37_WEAK</v>
      </c>
      <c r="H291" s="1">
        <f>固定流程!F39</f>
        <v>1</v>
      </c>
      <c r="I291" s="1">
        <f>INDEX(配置与结果!$B$15:$B$18,F291)</f>
        <v>2306</v>
      </c>
      <c r="J291" s="1">
        <f>INDEX(配置与结果!$D$15:$D$18,F291)</f>
        <v>0.46</v>
      </c>
      <c r="K291" s="1">
        <f>INDEX(配置与结果!$E$15:$E$18,F291)</f>
        <v>1.9279999999999999</v>
      </c>
      <c r="L291" s="1">
        <f t="shared" si="395"/>
        <v>2</v>
      </c>
      <c r="M291" s="1">
        <f t="shared" si="396"/>
        <v>10</v>
      </c>
      <c r="N291" s="1">
        <f t="shared" si="397"/>
        <v>1</v>
      </c>
      <c r="O291" s="1">
        <f t="shared" si="389"/>
        <v>8</v>
      </c>
      <c r="P291" s="1">
        <f>MIN(方案参数!$AI$10,AZ290+0+0)</f>
        <v>5</v>
      </c>
      <c r="Q291" s="1">
        <f t="shared" si="359"/>
        <v>5</v>
      </c>
      <c r="R291" s="1">
        <f t="shared" si="360"/>
        <v>20</v>
      </c>
      <c r="S291" s="1">
        <f t="shared" si="361"/>
        <v>3</v>
      </c>
      <c r="T291" s="1">
        <f t="shared" si="404"/>
        <v>0</v>
      </c>
      <c r="U291" s="1">
        <f t="shared" si="363"/>
        <v>0</v>
      </c>
      <c r="V291" s="1">
        <f t="shared" si="364"/>
        <v>4</v>
      </c>
      <c r="W291" s="1">
        <f t="shared" si="365"/>
        <v>1</v>
      </c>
      <c r="X291" s="1">
        <f t="shared" si="366"/>
        <v>1</v>
      </c>
      <c r="Y291" s="1">
        <f t="shared" si="367"/>
        <v>1</v>
      </c>
      <c r="Z291" s="1">
        <f t="shared" si="368"/>
        <v>1</v>
      </c>
      <c r="AA291" s="1">
        <f t="shared" si="400"/>
        <v>1</v>
      </c>
      <c r="AB291" s="1">
        <f t="shared" si="370"/>
        <v>1</v>
      </c>
      <c r="AC291" s="1">
        <f t="shared" si="405"/>
        <v>1</v>
      </c>
      <c r="AD291" s="1">
        <f>ROUNDDOWN(I291*(1+IF(F291=3,0.05+方案参数!$Y$10+AA291*0.12,IF(F291=4,方案参数!$BZ$10*方案参数!$AS$10,0)))+IF(AND(X291=1,F291&lt;&gt;3),方案参数!$CC$10,0)+AC291*方案参数!$CB$10,0)</f>
        <v>3044</v>
      </c>
      <c r="AE291" s="1">
        <f>IF(OR(F291=1,F291=4),配置与结果!$B$24,配置与结果!$B$25)*MAX(0,1-INDEX(配置与结果!$I$15:$I$18,F291))</f>
        <v>1000</v>
      </c>
      <c r="AF291" s="1">
        <f>方案参数!$CE$10</f>
        <v>8</v>
      </c>
      <c r="AG291" s="1">
        <f>MAX(配置与结果!$B$32,1+INDEX(配置与结果!$F$15:$F$18,F291)+0+Q291*方案参数!$W$10+Y291*(方案参数!$AN$10+MIN(方案参数!$AO$10,P291*0.03))+AB291*方案参数!$BZ$10*0.025-配置与结果!$B$28+方案参数!$AE$10)</f>
        <v>2.2800000000000002</v>
      </c>
      <c r="AH291" s="1">
        <f>MAX(0,1+V291*方案参数!$U$10+方案参数!$AE$10-配置与结果!$B$29)</f>
        <v>1.56</v>
      </c>
      <c r="AI291" s="1">
        <f>IF(OR(INDEX(配置与结果!$K$15:$K$18,F291)=1,G291="RHI_BERRY"),1+配置与结果!$B$33+P291*方案参数!$AH$10,1)</f>
        <v>1</v>
      </c>
      <c r="AJ291" s="1">
        <f>MIN(1,MAX(0,J291+方案参数!$AB$10-配置与结果!$B$27))</f>
        <v>0.76</v>
      </c>
      <c r="AK291" s="1">
        <f>MAX(1,K291+IF(F291=2,0.15+方案参数!$CH$10,0)+BN291*方案参数!$X$10+R291*方案参数!$AA$10+0-配置与结果!$B$26+Z291*(方案参数!$AP$10+MIN(方案参数!$AQ$10,P291*0.03)))</f>
        <v>2.3380000000000001</v>
      </c>
      <c r="AL291" s="7">
        <f>ROUNDDOWN(MAX(AD291*配置与结果!$B$31,AD291-AE291)*AF291*AG291*AH291*AI291,0)</f>
        <v>58160</v>
      </c>
      <c r="AM291" s="7">
        <f>ROUNDDOWN(MAX(AD291*配置与结果!$B$31,AD291-AE291)*AF291*AG291*AH291*AI291*AK291,0)</f>
        <v>135979</v>
      </c>
      <c r="AN291" s="7">
        <f t="shared" si="380"/>
        <v>117302.44</v>
      </c>
      <c r="AO291" s="7">
        <f>0</f>
        <v>0</v>
      </c>
      <c r="AP291" s="7">
        <f>MAX(0,1+INDEX(配置与结果!$J$15:$J$18,F291)+IF(T291&gt;0,方案参数!$BY$10,0)-配置与结果!$B$30)</f>
        <v>1</v>
      </c>
      <c r="AQ291" s="7">
        <f t="shared" si="381"/>
        <v>0</v>
      </c>
      <c r="AR291" s="7">
        <f t="shared" si="382"/>
        <v>0</v>
      </c>
      <c r="AS291" s="7">
        <f t="shared" si="383"/>
        <v>0</v>
      </c>
      <c r="AT291" s="7">
        <f>IF(U291&gt;0,ROUNDDOWN(AL291*方案参数!$AF$10,0)*(1-AJ291)+ROUNDDOWN(AM291*方案参数!$AF$10,0)*AJ291,0)</f>
        <v>0</v>
      </c>
      <c r="AU291" s="7">
        <f t="shared" si="384"/>
        <v>117302.44</v>
      </c>
      <c r="AV291" s="1">
        <f t="shared" si="385"/>
        <v>2</v>
      </c>
      <c r="AW291" s="1">
        <f t="shared" si="410"/>
        <v>10</v>
      </c>
      <c r="AX291" s="1">
        <f t="shared" si="386"/>
        <v>1</v>
      </c>
      <c r="AY291" s="1">
        <f>MIN(20,MAX(0,O291+0+0-0))</f>
        <v>8</v>
      </c>
      <c r="AZ291" s="1">
        <f t="shared" si="387"/>
        <v>5</v>
      </c>
      <c r="BA291" s="1">
        <f t="shared" si="401"/>
        <v>5</v>
      </c>
      <c r="BB291" s="1">
        <f t="shared" si="409"/>
        <v>20</v>
      </c>
      <c r="BC291" s="1">
        <f t="shared" si="407"/>
        <v>3</v>
      </c>
      <c r="BD291" s="1">
        <f t="shared" si="388"/>
        <v>0</v>
      </c>
      <c r="BE291" s="1">
        <f>MAX(0,U291-IF(AF291&gt;0,1,0))+1</f>
        <v>1</v>
      </c>
      <c r="BF291" s="1">
        <f t="shared" si="411"/>
        <v>4</v>
      </c>
      <c r="BG291" s="1">
        <f t="shared" si="398"/>
        <v>1</v>
      </c>
      <c r="BH291" s="1">
        <f t="shared" si="374"/>
        <v>1</v>
      </c>
      <c r="BI291" s="1">
        <f t="shared" si="399"/>
        <v>1</v>
      </c>
      <c r="BJ291" s="1">
        <f t="shared" si="402"/>
        <v>1</v>
      </c>
      <c r="BK291" s="1">
        <f t="shared" si="403"/>
        <v>1</v>
      </c>
      <c r="BL291" s="1">
        <f t="shared" si="408"/>
        <v>1</v>
      </c>
      <c r="BM291" s="1">
        <f t="shared" si="406"/>
        <v>1</v>
      </c>
      <c r="BN291" s="1">
        <f t="shared" si="375"/>
        <v>1</v>
      </c>
      <c r="BO291" s="1">
        <f t="shared" si="376"/>
        <v>1</v>
      </c>
    </row>
    <row r="292" spans="1:67" ht="30.95" customHeight="1">
      <c r="A292" s="1">
        <f>7</f>
        <v>7</v>
      </c>
      <c r="B292" s="1">
        <f>固定流程!A40</f>
        <v>35</v>
      </c>
      <c r="C292" s="1">
        <f>10</f>
        <v>10</v>
      </c>
      <c r="D292" s="1">
        <f>2</f>
        <v>2</v>
      </c>
      <c r="E292" s="1">
        <f>固定流程!C40</f>
        <v>3</v>
      </c>
      <c r="F292" s="1">
        <f>固定流程!G40</f>
        <v>2</v>
      </c>
      <c r="G292" s="1" t="str">
        <f>固定流程!H40</f>
        <v>37_WEAK</v>
      </c>
      <c r="H292" s="1">
        <f>固定流程!F40</f>
        <v>1</v>
      </c>
      <c r="I292" s="1">
        <f>INDEX(配置与结果!$B$15:$B$18,F292)</f>
        <v>2306</v>
      </c>
      <c r="J292" s="1">
        <f>INDEX(配置与结果!$D$15:$D$18,F292)</f>
        <v>0.46</v>
      </c>
      <c r="K292" s="1">
        <f>INDEX(配置与结果!$E$15:$E$18,F292)</f>
        <v>1.9279999999999999</v>
      </c>
      <c r="L292" s="1">
        <f t="shared" si="395"/>
        <v>2</v>
      </c>
      <c r="M292" s="1">
        <f t="shared" si="396"/>
        <v>10</v>
      </c>
      <c r="N292" s="1">
        <f t="shared" si="397"/>
        <v>1</v>
      </c>
      <c r="O292" s="1">
        <f t="shared" si="389"/>
        <v>8</v>
      </c>
      <c r="P292" s="1">
        <f>MIN(方案参数!$AI$10,AZ291+0+0)</f>
        <v>5</v>
      </c>
      <c r="Q292" s="1">
        <f t="shared" si="359"/>
        <v>5</v>
      </c>
      <c r="R292" s="1">
        <f t="shared" si="360"/>
        <v>20</v>
      </c>
      <c r="S292" s="1">
        <f t="shared" si="361"/>
        <v>3</v>
      </c>
      <c r="T292" s="1">
        <f t="shared" si="404"/>
        <v>0</v>
      </c>
      <c r="U292" s="1">
        <f t="shared" si="363"/>
        <v>1</v>
      </c>
      <c r="V292" s="1">
        <f t="shared" si="364"/>
        <v>4</v>
      </c>
      <c r="W292" s="1">
        <f t="shared" si="365"/>
        <v>1</v>
      </c>
      <c r="X292" s="1">
        <f t="shared" si="366"/>
        <v>1</v>
      </c>
      <c r="Y292" s="1">
        <f t="shared" si="367"/>
        <v>1</v>
      </c>
      <c r="Z292" s="1">
        <f t="shared" si="368"/>
        <v>1</v>
      </c>
      <c r="AA292" s="1">
        <f t="shared" si="400"/>
        <v>1</v>
      </c>
      <c r="AB292" s="1">
        <f t="shared" si="370"/>
        <v>1</v>
      </c>
      <c r="AC292" s="1">
        <f t="shared" si="405"/>
        <v>1</v>
      </c>
      <c r="AD292" s="1">
        <f>ROUNDDOWN(I292*(1+IF(F292=3,0.05+方案参数!$Y$10+AA292*0.12,IF(F292=4,方案参数!$BZ$10*方案参数!$AS$10,0)))+IF(AND(X292=1,F292&lt;&gt;3),方案参数!$CC$10,0)+AC292*方案参数!$CB$10,0)</f>
        <v>3044</v>
      </c>
      <c r="AE292" s="1">
        <f>IF(OR(F292=1,F292=4),配置与结果!$B$24,配置与结果!$B$25)*MAX(0,1-INDEX(配置与结果!$I$15:$I$18,F292))</f>
        <v>1000</v>
      </c>
      <c r="AF292" s="1">
        <f>方案参数!$CE$10</f>
        <v>8</v>
      </c>
      <c r="AG292" s="1">
        <f>MAX(配置与结果!$B$32,1+INDEX(配置与结果!$F$15:$F$18,F292)+0+Q292*方案参数!$W$10+Y292*(方案参数!$AN$10+MIN(方案参数!$AO$10,P292*0.03))+AB292*方案参数!$BZ$10*0.025-配置与结果!$B$28+方案参数!$AE$10)</f>
        <v>2.2800000000000002</v>
      </c>
      <c r="AH292" s="1">
        <f>MAX(0,1+V292*方案参数!$U$10+方案参数!$AE$10-配置与结果!$B$29)</f>
        <v>1.56</v>
      </c>
      <c r="AI292" s="1">
        <f>IF(OR(INDEX(配置与结果!$K$15:$K$18,F292)=1,G292="RHI_BERRY"),1+配置与结果!$B$33+P292*方案参数!$AH$10,1)</f>
        <v>1</v>
      </c>
      <c r="AJ292" s="1">
        <f>MIN(1,MAX(0,J292+方案参数!$AB$10-配置与结果!$B$27))</f>
        <v>0.76</v>
      </c>
      <c r="AK292" s="1">
        <f>MAX(1,K292+IF(F292=2,0.15+方案参数!$CH$10,0)+BN292*方案参数!$X$10+R292*方案参数!$AA$10+0-配置与结果!$B$26+Z292*(方案参数!$AP$10+MIN(方案参数!$AQ$10,P292*0.03)))</f>
        <v>2.3380000000000001</v>
      </c>
      <c r="AL292" s="7">
        <f>ROUNDDOWN(MAX(AD292*配置与结果!$B$31,AD292-AE292)*AF292*AG292*AH292*AI292,0)</f>
        <v>58160</v>
      </c>
      <c r="AM292" s="7">
        <f>ROUNDDOWN(MAX(AD292*配置与结果!$B$31,AD292-AE292)*AF292*AG292*AH292*AI292*AK292,0)</f>
        <v>135979</v>
      </c>
      <c r="AN292" s="7">
        <f t="shared" si="380"/>
        <v>117302.44</v>
      </c>
      <c r="AO292" s="7">
        <f>0</f>
        <v>0</v>
      </c>
      <c r="AP292" s="7">
        <f>MAX(0,1+INDEX(配置与结果!$J$15:$J$18,F292)+IF(T292&gt;0,方案参数!$BY$10,0)-配置与结果!$B$30)</f>
        <v>1</v>
      </c>
      <c r="AQ292" s="7">
        <f t="shared" si="381"/>
        <v>0</v>
      </c>
      <c r="AR292" s="7">
        <f t="shared" si="382"/>
        <v>0</v>
      </c>
      <c r="AS292" s="7">
        <f t="shared" si="383"/>
        <v>0</v>
      </c>
      <c r="AT292" s="7">
        <f>IF(U292&gt;0,ROUNDDOWN(AL292*方案参数!$AF$10,0)*(1-AJ292)+ROUNDDOWN(AM292*方案参数!$AF$10,0)*AJ292,0)</f>
        <v>46920.520000000004</v>
      </c>
      <c r="AU292" s="7">
        <f t="shared" si="384"/>
        <v>164222.96000000002</v>
      </c>
      <c r="AV292" s="1">
        <f t="shared" si="385"/>
        <v>2</v>
      </c>
      <c r="AW292" s="1">
        <f t="shared" si="410"/>
        <v>10</v>
      </c>
      <c r="AX292" s="1">
        <f t="shared" si="386"/>
        <v>1</v>
      </c>
      <c r="AY292" s="1">
        <f>MIN(20,MAX(0,O292+0+0-0))</f>
        <v>8</v>
      </c>
      <c r="AZ292" s="1">
        <f t="shared" si="387"/>
        <v>5</v>
      </c>
      <c r="BA292" s="1">
        <f t="shared" si="401"/>
        <v>5</v>
      </c>
      <c r="BB292" s="1">
        <f t="shared" si="409"/>
        <v>20</v>
      </c>
      <c r="BC292" s="1">
        <f t="shared" si="407"/>
        <v>3</v>
      </c>
      <c r="BD292" s="1">
        <f t="shared" si="388"/>
        <v>0</v>
      </c>
      <c r="BE292" s="1">
        <f>MAX(0,U292-IF(AF292&gt;0,1,0))+1</f>
        <v>1</v>
      </c>
      <c r="BF292" s="1">
        <f t="shared" si="411"/>
        <v>4</v>
      </c>
      <c r="BG292" s="1">
        <f t="shared" si="398"/>
        <v>1</v>
      </c>
      <c r="BH292" s="1">
        <f t="shared" si="374"/>
        <v>1</v>
      </c>
      <c r="BI292" s="1">
        <f t="shared" si="399"/>
        <v>1</v>
      </c>
      <c r="BJ292" s="1">
        <f t="shared" si="402"/>
        <v>1</v>
      </c>
      <c r="BK292" s="1">
        <f t="shared" si="403"/>
        <v>1</v>
      </c>
      <c r="BL292" s="1">
        <f t="shared" si="408"/>
        <v>1</v>
      </c>
      <c r="BM292" s="1">
        <f t="shared" si="406"/>
        <v>1</v>
      </c>
      <c r="BN292" s="1">
        <f t="shared" si="375"/>
        <v>1</v>
      </c>
      <c r="BO292" s="1">
        <f t="shared" si="376"/>
        <v>1</v>
      </c>
    </row>
    <row r="293" spans="1:67" ht="30.95" customHeight="1">
      <c r="A293" s="1">
        <f>7</f>
        <v>7</v>
      </c>
      <c r="B293" s="1">
        <f>固定流程!A41</f>
        <v>36</v>
      </c>
      <c r="C293" s="1">
        <f>10</f>
        <v>10</v>
      </c>
      <c r="D293" s="1">
        <f>2</f>
        <v>2</v>
      </c>
      <c r="E293" s="1">
        <f>固定流程!C41</f>
        <v>3</v>
      </c>
      <c r="F293" s="1">
        <f>固定流程!G41</f>
        <v>1</v>
      </c>
      <c r="G293" s="1" t="str">
        <f>固定流程!H41</f>
        <v>LILYA_FINISH</v>
      </c>
      <c r="H293" s="1">
        <f>固定流程!F41</f>
        <v>1</v>
      </c>
      <c r="I293" s="1">
        <f>INDEX(配置与结果!$B$15:$B$18,F293)</f>
        <v>2296</v>
      </c>
      <c r="J293" s="1">
        <f>INDEX(配置与结果!$D$15:$D$18,F293)</f>
        <v>0.7</v>
      </c>
      <c r="K293" s="1">
        <f>INDEX(配置与结果!$E$15:$E$18,F293)</f>
        <v>2.0249999999999999</v>
      </c>
      <c r="L293" s="1">
        <f t="shared" si="395"/>
        <v>2</v>
      </c>
      <c r="M293" s="1">
        <f t="shared" si="396"/>
        <v>10</v>
      </c>
      <c r="N293" s="1">
        <f t="shared" si="397"/>
        <v>1</v>
      </c>
      <c r="O293" s="1">
        <f t="shared" si="389"/>
        <v>8</v>
      </c>
      <c r="P293" s="1">
        <f>MIN(方案参数!$AI$10,AZ292+0+0)</f>
        <v>5</v>
      </c>
      <c r="Q293" s="1">
        <f t="shared" si="359"/>
        <v>5</v>
      </c>
      <c r="R293" s="1">
        <f t="shared" si="360"/>
        <v>20</v>
      </c>
      <c r="S293" s="1">
        <f t="shared" si="361"/>
        <v>3</v>
      </c>
      <c r="T293" s="1">
        <f t="shared" si="404"/>
        <v>0</v>
      </c>
      <c r="U293" s="1">
        <f t="shared" si="363"/>
        <v>1</v>
      </c>
      <c r="V293" s="1">
        <f t="shared" si="364"/>
        <v>4</v>
      </c>
      <c r="W293" s="1">
        <f t="shared" si="365"/>
        <v>1</v>
      </c>
      <c r="X293" s="1">
        <f t="shared" si="366"/>
        <v>1</v>
      </c>
      <c r="Y293" s="1">
        <f t="shared" si="367"/>
        <v>1</v>
      </c>
      <c r="Z293" s="1">
        <f t="shared" si="368"/>
        <v>1</v>
      </c>
      <c r="AA293" s="1">
        <f t="shared" si="400"/>
        <v>1</v>
      </c>
      <c r="AB293" s="1">
        <f t="shared" si="370"/>
        <v>1</v>
      </c>
      <c r="AC293" s="1">
        <f t="shared" si="405"/>
        <v>1</v>
      </c>
      <c r="AD293" s="1">
        <f>ROUNDDOWN(I293*(1+IF(F293=3,0.05+方案参数!$Y$10+AA293*0.12,IF(F293=4,方案参数!$BZ$10*方案参数!$AS$10,0)))+IF(AND(X293=1,F293&lt;&gt;3),方案参数!$CC$10,0)+AC293*方案参数!$CB$10,0)</f>
        <v>3034</v>
      </c>
      <c r="AE293" s="1">
        <f>IF(OR(F293=1,F293=4),配置与结果!$B$24,配置与结果!$B$25)*MAX(0,1-INDEX(配置与结果!$I$15:$I$18,F293))</f>
        <v>1200</v>
      </c>
      <c r="AF293" s="1">
        <f>方案参数!$BN$10+12*方案参数!$BO$10</f>
        <v>112</v>
      </c>
      <c r="AG293" s="1">
        <f>MAX(配置与结果!$B$32,1+INDEX(配置与结果!$F$15:$F$18,F293)+0.08+方案参数!$CD$10+Q293*方案参数!$W$10+Y293*(方案参数!$AN$10+MIN(方案参数!$AO$10,P293*0.03))+AB293*方案参数!$BZ$10*0.025-配置与结果!$B$28+方案参数!$AE$10)</f>
        <v>2.6150000000000002</v>
      </c>
      <c r="AH293" s="1">
        <f>MAX(0,1+V293*方案参数!$U$10+12*方案参数!$V$10+方案参数!$AE$10-配置与结果!$B$29)</f>
        <v>2.2799999999999998</v>
      </c>
      <c r="AI293" s="1">
        <f>IF(OR(INDEX(配置与结果!$K$15:$K$18,F293)=1,G293="RHI_BERRY"),1+配置与结果!$B$33+P293*方案参数!$AH$10,1)</f>
        <v>1</v>
      </c>
      <c r="AJ293" s="1">
        <f>MIN(1,MAX(0,J293+方案参数!$AB$10-配置与结果!$B$27))</f>
        <v>1</v>
      </c>
      <c r="AK293" s="1">
        <f>MAX(1,K293+IF(F293=2,0.15+方案参数!$CH$10,0)+BN293*方案参数!$X$10+R293*方案参数!$AA$10+方案参数!$BR$10-配置与结果!$B$26+Z293*(方案参数!$AP$10+MIN(方案参数!$AQ$10,P293*0.03)))</f>
        <v>3.415</v>
      </c>
      <c r="AL293" s="7">
        <f>ROUNDDOWN(MAX(AD293*配置与结果!$B$31,AD293-AE293)*AF293*AG293*AH293*AI293,0)</f>
        <v>1224683</v>
      </c>
      <c r="AM293" s="7">
        <f>ROUNDDOWN(MAX(AD293*配置与结果!$B$31,AD293-AE293)*AF293*AG293*AH293*AI293*AK293,0)</f>
        <v>4182294</v>
      </c>
      <c r="AN293" s="7">
        <f t="shared" si="380"/>
        <v>4182294</v>
      </c>
      <c r="AO293" s="7">
        <f>0</f>
        <v>0</v>
      </c>
      <c r="AP293" s="7">
        <f>MAX(0,1+INDEX(配置与结果!$J$15:$J$18,F293)+IF(T293&gt;0,方案参数!$BY$10,0)-配置与结果!$B$30)</f>
        <v>1</v>
      </c>
      <c r="AQ293" s="7">
        <f t="shared" si="381"/>
        <v>0</v>
      </c>
      <c r="AR293" s="7">
        <f t="shared" si="382"/>
        <v>0</v>
      </c>
      <c r="AS293" s="7">
        <f t="shared" si="383"/>
        <v>0</v>
      </c>
      <c r="AT293" s="7">
        <f>IF(U293&gt;0,ROUNDDOWN(AL293*方案参数!$AF$10,0)*(1-AJ293)+ROUNDDOWN(AM293*方案参数!$AF$10,0)*AJ293,0)</f>
        <v>1672917</v>
      </c>
      <c r="AU293" s="7">
        <f t="shared" si="384"/>
        <v>5855211</v>
      </c>
      <c r="AV293" s="1">
        <f t="shared" si="385"/>
        <v>2</v>
      </c>
      <c r="AW293" s="1">
        <f t="shared" si="410"/>
        <v>10</v>
      </c>
      <c r="AX293" s="1">
        <f t="shared" si="386"/>
        <v>1</v>
      </c>
      <c r="AY293" s="1">
        <f>MIN(20,MAX(0,O293+0+1-0))</f>
        <v>9</v>
      </c>
      <c r="AZ293" s="1">
        <f t="shared" si="387"/>
        <v>5</v>
      </c>
      <c r="BA293" s="1">
        <f t="shared" si="401"/>
        <v>5</v>
      </c>
      <c r="BB293" s="1">
        <f t="shared" si="409"/>
        <v>20</v>
      </c>
      <c r="BC293" s="1">
        <f t="shared" si="407"/>
        <v>3</v>
      </c>
      <c r="BD293" s="1">
        <f t="shared" si="388"/>
        <v>0</v>
      </c>
      <c r="BE293" s="1">
        <f>MAX(0,U293-IF(AF293&gt;0,1,0))+0</f>
        <v>0</v>
      </c>
      <c r="BF293" s="1">
        <f t="shared" si="411"/>
        <v>4</v>
      </c>
      <c r="BG293" s="1">
        <f t="shared" si="398"/>
        <v>1</v>
      </c>
      <c r="BH293" s="1">
        <f t="shared" si="374"/>
        <v>1</v>
      </c>
      <c r="BI293" s="1">
        <f t="shared" si="399"/>
        <v>1</v>
      </c>
      <c r="BJ293" s="1">
        <f t="shared" si="402"/>
        <v>1</v>
      </c>
      <c r="BK293" s="1">
        <f t="shared" si="403"/>
        <v>1</v>
      </c>
      <c r="BL293" s="1">
        <f t="shared" si="408"/>
        <v>1</v>
      </c>
      <c r="BM293" s="1">
        <f t="shared" si="406"/>
        <v>1</v>
      </c>
      <c r="BN293" s="1">
        <f t="shared" si="375"/>
        <v>1</v>
      </c>
      <c r="BO293" s="1">
        <f t="shared" si="376"/>
        <v>1</v>
      </c>
    </row>
    <row r="294" spans="1:67" ht="30.95" customHeight="1">
      <c r="A294" s="1">
        <f>8</f>
        <v>8</v>
      </c>
      <c r="B294" s="1">
        <f>固定流程!A6</f>
        <v>1</v>
      </c>
      <c r="C294" s="1">
        <f>11</f>
        <v>11</v>
      </c>
      <c r="D294" s="1">
        <f>1</f>
        <v>1</v>
      </c>
      <c r="E294" s="1">
        <f>固定流程!C6</f>
        <v>1</v>
      </c>
      <c r="F294" s="1">
        <f>固定流程!G6</f>
        <v>3</v>
      </c>
      <c r="G294" s="1" t="str">
        <f>固定流程!H6</f>
        <v>RHI_ULT</v>
      </c>
      <c r="H294" s="1">
        <f>固定流程!F6</f>
        <v>1</v>
      </c>
      <c r="I294" s="1">
        <f>INDEX(配置与结果!$B$15:$B$18,F294)</f>
        <v>2597</v>
      </c>
      <c r="J294" s="1">
        <f>INDEX(配置与结果!$D$15:$D$18,F294)</f>
        <v>0.255</v>
      </c>
      <c r="K294" s="1">
        <f>INDEX(配置与结果!$E$15:$E$18,F294)</f>
        <v>1.55</v>
      </c>
      <c r="L294" s="1">
        <f>0</f>
        <v>0</v>
      </c>
      <c r="M294" s="1">
        <f>0</f>
        <v>0</v>
      </c>
      <c r="N294" s="1">
        <f>0</f>
        <v>0</v>
      </c>
      <c r="O294" s="1">
        <f>0</f>
        <v>0</v>
      </c>
      <c r="P294" s="1">
        <f>MIN(方案参数!$AI$11,0+方案参数!$AJ$11+0)</f>
        <v>1</v>
      </c>
      <c r="Q294" s="1">
        <f>0</f>
        <v>0</v>
      </c>
      <c r="R294" s="1">
        <f>0</f>
        <v>0</v>
      </c>
      <c r="S294" s="1">
        <f>0</f>
        <v>0</v>
      </c>
      <c r="T294" s="1">
        <f>0+0</f>
        <v>0</v>
      </c>
      <c r="U294" s="1">
        <f>0</f>
        <v>0</v>
      </c>
      <c r="V294" s="1">
        <f>0</f>
        <v>0</v>
      </c>
      <c r="W294" s="1">
        <f>0</f>
        <v>0</v>
      </c>
      <c r="X294" s="1">
        <f>0</f>
        <v>0</v>
      </c>
      <c r="Y294" s="1">
        <f>0</f>
        <v>0</v>
      </c>
      <c r="Z294" s="1">
        <f>0</f>
        <v>0</v>
      </c>
      <c r="AA294" s="1">
        <f>MAX(0,0)</f>
        <v>0</v>
      </c>
      <c r="AB294" s="1">
        <f>0</f>
        <v>0</v>
      </c>
      <c r="AC294" s="1">
        <f>MAX(0,0)</f>
        <v>0</v>
      </c>
      <c r="AD294" s="1">
        <f>ROUNDDOWN(I294*(1+IF(F294=3,0.05+方案参数!$Y$11+AA294*0.12,IF(F294=4,方案参数!$BZ$11*方案参数!$AS$11,0)))+IF(AND(X294=1,F294&lt;&gt;3),方案参数!$CC$11,0)+AC294*方案参数!$CB$11,0)</f>
        <v>2986</v>
      </c>
      <c r="AE294" s="1">
        <f>IF(OR(F294=1,F294=4),配置与结果!$B$24,配置与结果!$B$25)*MAX(0,1-INDEX(配置与结果!$I$15:$I$18,F294))</f>
        <v>1000</v>
      </c>
      <c r="AF294" s="1">
        <f>0</f>
        <v>0</v>
      </c>
      <c r="AG294" s="1">
        <f>MAX(配置与结果!$B$32,1+INDEX(配置与结果!$F$15:$F$18,F294)+0+Q294*方案参数!$W$11+Y294*(方案参数!$AN$11+MIN(方案参数!$AO$11,P294*0.03))+AB294*方案参数!$BZ$11*0.025-配置与结果!$B$28)</f>
        <v>0.6349999999999999</v>
      </c>
      <c r="AH294" s="1">
        <f>MAX(0,1+INDEX(配置与结果!$G$15:$G$18,F294)+W294*方案参数!$AG$11)</f>
        <v>1</v>
      </c>
      <c r="AI294" s="1">
        <f>IF(OR(INDEX(配置与结果!$K$15:$K$18,F294)=1,G294="RHI_BERRY"),1+配置与结果!$B$33+P294*方案参数!$AH$11,1)</f>
        <v>1</v>
      </c>
      <c r="AJ294" s="1">
        <f>MIN(1,MAX(0,J294+方案参数!$AB$11-配置与结果!$B$27))</f>
        <v>0.55499999999999994</v>
      </c>
      <c r="AK294" s="1">
        <f>MAX(1,K294+IF(F294=2,0.15+方案参数!$CH$11,0)+BN294*方案参数!$X$11+R294*方案参数!$AA$11+0-配置与结果!$B$26+Z294*(方案参数!$AP$11+MIN(方案参数!$AQ$11,P294*0.03)))</f>
        <v>1.1499999999999999</v>
      </c>
      <c r="AL294" s="7">
        <f>ROUNDDOWN(MAX(AD294*配置与结果!$B$31,AD294-AE294)*AF294*AG294*AH294*AI294,0)</f>
        <v>0</v>
      </c>
      <c r="AM294" s="7">
        <f>ROUNDDOWN(MAX(AD294*配置与结果!$B$31,AD294-AE294)*AF294*AG294*AH294*AI294*AK294,0)</f>
        <v>0</v>
      </c>
      <c r="AN294" s="7">
        <f t="shared" si="380"/>
        <v>0</v>
      </c>
      <c r="AO294" s="7">
        <f>0</f>
        <v>0</v>
      </c>
      <c r="AP294" s="7">
        <f>MAX(0,1+INDEX(配置与结果!$J$15:$J$18,F294)+IF(T294&gt;0,方案参数!$BY$11,0)-配置与结果!$B$30)</f>
        <v>1</v>
      </c>
      <c r="AQ294" s="7">
        <f t="shared" si="381"/>
        <v>0</v>
      </c>
      <c r="AR294" s="7">
        <f t="shared" si="382"/>
        <v>0</v>
      </c>
      <c r="AS294" s="7">
        <f t="shared" si="383"/>
        <v>0</v>
      </c>
      <c r="AT294" s="7">
        <f>0</f>
        <v>0</v>
      </c>
      <c r="AU294" s="7">
        <f t="shared" si="384"/>
        <v>0</v>
      </c>
      <c r="AV294" s="1">
        <f t="shared" si="385"/>
        <v>0</v>
      </c>
      <c r="AW294" s="1">
        <f t="shared" si="410"/>
        <v>0</v>
      </c>
      <c r="AX294" s="1">
        <f t="shared" si="386"/>
        <v>0</v>
      </c>
      <c r="AY294" s="1">
        <f>MIN(20,MAX(0,O294+0+0-0))</f>
        <v>0</v>
      </c>
      <c r="AZ294" s="1">
        <f t="shared" si="387"/>
        <v>1</v>
      </c>
      <c r="BA294" s="1">
        <f>MIN(6,Q294+1)</f>
        <v>1</v>
      </c>
      <c r="BB294" s="1">
        <f>MIN(30,R294+5)</f>
        <v>5</v>
      </c>
      <c r="BC294" s="1">
        <f t="shared" si="407"/>
        <v>0</v>
      </c>
      <c r="BD294" s="1">
        <f t="shared" si="388"/>
        <v>0</v>
      </c>
      <c r="BE294" s="1">
        <f>0</f>
        <v>0</v>
      </c>
      <c r="BF294" s="1">
        <f t="shared" si="411"/>
        <v>0</v>
      </c>
      <c r="BG294" s="1">
        <f t="shared" si="398"/>
        <v>0</v>
      </c>
      <c r="BH294" s="1">
        <f>MAX(X294,1)</f>
        <v>1</v>
      </c>
      <c r="BI294" s="1">
        <f t="shared" si="399"/>
        <v>0</v>
      </c>
      <c r="BJ294" s="1">
        <f t="shared" si="402"/>
        <v>0</v>
      </c>
      <c r="BK294" s="1">
        <f t="shared" si="403"/>
        <v>0</v>
      </c>
      <c r="BL294" s="1">
        <f t="shared" si="408"/>
        <v>0</v>
      </c>
      <c r="BM294" s="1">
        <f t="shared" si="406"/>
        <v>0</v>
      </c>
      <c r="BN294" s="1">
        <f>0</f>
        <v>0</v>
      </c>
      <c r="BO294" s="1">
        <f>MAX(BN294,1)</f>
        <v>1</v>
      </c>
    </row>
    <row r="295" spans="1:67" ht="30.95" customHeight="1">
      <c r="A295" s="1">
        <f>8</f>
        <v>8</v>
      </c>
      <c r="B295" s="1">
        <f>固定流程!A7</f>
        <v>2</v>
      </c>
      <c r="C295" s="1">
        <f>11</f>
        <v>11</v>
      </c>
      <c r="D295" s="1">
        <f>1</f>
        <v>1</v>
      </c>
      <c r="E295" s="1">
        <f>固定流程!C7</f>
        <v>1</v>
      </c>
      <c r="F295" s="1">
        <f>固定流程!G7</f>
        <v>3</v>
      </c>
      <c r="G295" s="1" t="str">
        <f>固定流程!H7</f>
        <v>RHI_BUFF</v>
      </c>
      <c r="H295" s="1">
        <f>固定流程!F7</f>
        <v>1</v>
      </c>
      <c r="I295" s="1">
        <f>INDEX(配置与结果!$B$15:$B$18,F295)</f>
        <v>2597</v>
      </c>
      <c r="J295" s="1">
        <f>INDEX(配置与结果!$D$15:$D$18,F295)</f>
        <v>0.255</v>
      </c>
      <c r="K295" s="1">
        <f>INDEX(配置与结果!$E$15:$E$18,F295)</f>
        <v>1.55</v>
      </c>
      <c r="L295" s="1">
        <f t="shared" ref="L295:O300" si="412">AV294</f>
        <v>0</v>
      </c>
      <c r="M295" s="1">
        <f t="shared" si="412"/>
        <v>0</v>
      </c>
      <c r="N295" s="1">
        <f t="shared" si="412"/>
        <v>0</v>
      </c>
      <c r="O295" s="1">
        <f t="shared" si="412"/>
        <v>0</v>
      </c>
      <c r="P295" s="1">
        <f>MIN(方案参数!$AI$11,AZ294+0+方案参数!$AK$11)</f>
        <v>3</v>
      </c>
      <c r="Q295" s="1">
        <f t="shared" ref="Q295:Q329" si="413">BA294</f>
        <v>1</v>
      </c>
      <c r="R295" s="1">
        <f t="shared" ref="R295:R329" si="414">BB294</f>
        <v>5</v>
      </c>
      <c r="S295" s="1">
        <f t="shared" ref="S295:S329" si="415">BC294</f>
        <v>0</v>
      </c>
      <c r="T295" s="1">
        <f t="shared" ref="T295:T308" si="416">BD294+0</f>
        <v>0</v>
      </c>
      <c r="U295" s="1">
        <f t="shared" ref="U295:U329" si="417">BE294</f>
        <v>0</v>
      </c>
      <c r="V295" s="1">
        <f t="shared" ref="V295:V329" si="418">BF294</f>
        <v>0</v>
      </c>
      <c r="W295" s="1">
        <f t="shared" ref="W295:W329" si="419">BG294</f>
        <v>0</v>
      </c>
      <c r="X295" s="1">
        <f t="shared" ref="X295:X329" si="420">BH294</f>
        <v>1</v>
      </c>
      <c r="Y295" s="1">
        <f t="shared" ref="Y295:Y329" si="421">BI294</f>
        <v>0</v>
      </c>
      <c r="Z295" s="1">
        <f t="shared" ref="Z295:Z329" si="422">BJ294</f>
        <v>0</v>
      </c>
      <c r="AA295" s="1">
        <f t="shared" ref="AA295:AA300" si="423">MAX(BK294,0)</f>
        <v>0</v>
      </c>
      <c r="AB295" s="1">
        <f t="shared" ref="AB295:AB329" si="424">BL294</f>
        <v>0</v>
      </c>
      <c r="AC295" s="1">
        <f t="shared" ref="AC295:AC308" si="425">MAX(BM294,0)</f>
        <v>0</v>
      </c>
      <c r="AD295" s="1">
        <f>ROUNDDOWN(I295*(1+IF(F295=3,0.05+方案参数!$Y$11+AA295*0.12,IF(F295=4,方案参数!$BZ$11*方案参数!$AS$11,0)))+IF(AND(X295=1,F295&lt;&gt;3),方案参数!$CC$11,0)+AC295*方案参数!$CB$11,0)</f>
        <v>2986</v>
      </c>
      <c r="AE295" s="1">
        <f>IF(OR(F295=1,F295=4),配置与结果!$B$24,配置与结果!$B$25)*MAX(0,1-INDEX(配置与结果!$I$15:$I$18,F295))</f>
        <v>1000</v>
      </c>
      <c r="AF295" s="1">
        <f>0</f>
        <v>0</v>
      </c>
      <c r="AG295" s="1">
        <f>MAX(配置与结果!$B$32,1+INDEX(配置与结果!$F$15:$F$18,F295)+0+Q295*方案参数!$W$11+Y295*(方案参数!$AN$11+MIN(方案参数!$AO$11,P295*0.03))+AB295*方案参数!$BZ$11*0.025-配置与结果!$B$28)</f>
        <v>0.65499999999999992</v>
      </c>
      <c r="AH295" s="1">
        <f>MAX(0,1+INDEX(配置与结果!$G$15:$G$18,F295)+W295*方案参数!$AG$11)</f>
        <v>1</v>
      </c>
      <c r="AI295" s="1">
        <f>IF(OR(INDEX(配置与结果!$K$15:$K$18,F295)=1,G295="RHI_BERRY"),1+配置与结果!$B$33+P295*方案参数!$AH$11,1)</f>
        <v>1</v>
      </c>
      <c r="AJ295" s="1">
        <f>MIN(1,MAX(0,J295+方案参数!$AB$11-配置与结果!$B$27))</f>
        <v>0.55499999999999994</v>
      </c>
      <c r="AK295" s="1">
        <f>MAX(1,K295+IF(F295=2,0.15+方案参数!$CH$11,0)+BN295*方案参数!$X$11+R295*方案参数!$AA$11+0-配置与结果!$B$26+Z295*(方案参数!$AP$11+MIN(方案参数!$AQ$11,P295*0.03)))</f>
        <v>1.33</v>
      </c>
      <c r="AL295" s="7">
        <f>ROUNDDOWN(MAX(AD295*配置与结果!$B$31,AD295-AE295)*AF295*AG295*AH295*AI295,0)</f>
        <v>0</v>
      </c>
      <c r="AM295" s="7">
        <f>ROUNDDOWN(MAX(AD295*配置与结果!$B$31,AD295-AE295)*AF295*AG295*AH295*AI295*AK295,0)</f>
        <v>0</v>
      </c>
      <c r="AN295" s="7">
        <f t="shared" si="380"/>
        <v>0</v>
      </c>
      <c r="AO295" s="7">
        <f>0</f>
        <v>0</v>
      </c>
      <c r="AP295" s="7">
        <f>MAX(0,1+INDEX(配置与结果!$J$15:$J$18,F295)+IF(T295&gt;0,方案参数!$BY$11,0)-配置与结果!$B$30)</f>
        <v>1</v>
      </c>
      <c r="AQ295" s="7">
        <f t="shared" si="381"/>
        <v>0</v>
      </c>
      <c r="AR295" s="7">
        <f t="shared" si="382"/>
        <v>0</v>
      </c>
      <c r="AS295" s="7">
        <f t="shared" si="383"/>
        <v>0</v>
      </c>
      <c r="AT295" s="7">
        <f>0</f>
        <v>0</v>
      </c>
      <c r="AU295" s="7">
        <f t="shared" si="384"/>
        <v>0</v>
      </c>
      <c r="AV295" s="1">
        <f t="shared" si="385"/>
        <v>0</v>
      </c>
      <c r="AW295" s="1">
        <f t="shared" si="410"/>
        <v>0</v>
      </c>
      <c r="AX295" s="1">
        <f t="shared" si="386"/>
        <v>0</v>
      </c>
      <c r="AY295" s="1">
        <f>MIN(20,MAX(0,O295+0+0-0))</f>
        <v>0</v>
      </c>
      <c r="AZ295" s="1">
        <f t="shared" si="387"/>
        <v>3</v>
      </c>
      <c r="BA295" s="1">
        <f>MIN(6,Q295+1)</f>
        <v>2</v>
      </c>
      <c r="BB295" s="1">
        <f t="shared" ref="BB295:BB308" si="426">MIN(30,R295+0)</f>
        <v>5</v>
      </c>
      <c r="BC295" s="1">
        <f t="shared" si="407"/>
        <v>0</v>
      </c>
      <c r="BD295" s="1">
        <f t="shared" si="388"/>
        <v>0</v>
      </c>
      <c r="BE295" s="1">
        <f t="shared" ref="BE295:BE316" si="427">BE294</f>
        <v>0</v>
      </c>
      <c r="BF295" s="1">
        <f t="shared" si="411"/>
        <v>0</v>
      </c>
      <c r="BG295" s="1">
        <f>MAX(W295,1)</f>
        <v>1</v>
      </c>
      <c r="BH295" s="1">
        <f t="shared" ref="BH295:BH329" si="428">MAX(X295,0)</f>
        <v>1</v>
      </c>
      <c r="BI295" s="1">
        <f>MAX(Y295,1)</f>
        <v>1</v>
      </c>
      <c r="BJ295" s="1">
        <f t="shared" si="402"/>
        <v>0</v>
      </c>
      <c r="BK295" s="1">
        <f t="shared" si="403"/>
        <v>0</v>
      </c>
      <c r="BL295" s="1">
        <f t="shared" si="408"/>
        <v>0</v>
      </c>
      <c r="BM295" s="1">
        <f t="shared" si="406"/>
        <v>0</v>
      </c>
      <c r="BN295" s="1">
        <f t="shared" ref="BN295:BN329" si="429">BO294</f>
        <v>1</v>
      </c>
      <c r="BO295" s="1">
        <f t="shared" ref="BO295:BO329" si="430">MAX(BN295,0)</f>
        <v>1</v>
      </c>
    </row>
    <row r="296" spans="1:67" ht="30.95" customHeight="1">
      <c r="A296" s="1">
        <f>8</f>
        <v>8</v>
      </c>
      <c r="B296" s="1">
        <f>固定流程!A8</f>
        <v>3</v>
      </c>
      <c r="C296" s="1">
        <f>11</f>
        <v>11</v>
      </c>
      <c r="D296" s="1">
        <f>1</f>
        <v>1</v>
      </c>
      <c r="E296" s="1">
        <f>固定流程!C8</f>
        <v>1</v>
      </c>
      <c r="F296" s="1">
        <f>固定流程!G8</f>
        <v>1</v>
      </c>
      <c r="G296" s="1" t="str">
        <f>固定流程!H8</f>
        <v>LILYA_COBRA</v>
      </c>
      <c r="H296" s="1">
        <f>固定流程!F8</f>
        <v>1</v>
      </c>
      <c r="I296" s="1">
        <f>INDEX(配置与结果!$B$15:$B$18,F296)</f>
        <v>2296</v>
      </c>
      <c r="J296" s="1">
        <f>INDEX(配置与结果!$D$15:$D$18,F296)</f>
        <v>0.7</v>
      </c>
      <c r="K296" s="1">
        <f>INDEX(配置与结果!$E$15:$E$18,F296)</f>
        <v>2.0249999999999999</v>
      </c>
      <c r="L296" s="1">
        <f t="shared" si="412"/>
        <v>0</v>
      </c>
      <c r="M296" s="1">
        <f t="shared" si="412"/>
        <v>0</v>
      </c>
      <c r="N296" s="1">
        <f t="shared" si="412"/>
        <v>0</v>
      </c>
      <c r="O296" s="1">
        <f t="shared" si="412"/>
        <v>0</v>
      </c>
      <c r="P296" s="1">
        <f>MIN(方案参数!$AI$11,AZ295+0+0)</f>
        <v>3</v>
      </c>
      <c r="Q296" s="1">
        <f t="shared" si="413"/>
        <v>2</v>
      </c>
      <c r="R296" s="1">
        <f t="shared" si="414"/>
        <v>5</v>
      </c>
      <c r="S296" s="1">
        <f t="shared" si="415"/>
        <v>0</v>
      </c>
      <c r="T296" s="1">
        <f t="shared" si="416"/>
        <v>0</v>
      </c>
      <c r="U296" s="1">
        <f t="shared" si="417"/>
        <v>0</v>
      </c>
      <c r="V296" s="1">
        <f t="shared" si="418"/>
        <v>0</v>
      </c>
      <c r="W296" s="1">
        <f t="shared" si="419"/>
        <v>1</v>
      </c>
      <c r="X296" s="1">
        <f t="shared" si="420"/>
        <v>1</v>
      </c>
      <c r="Y296" s="1">
        <f t="shared" si="421"/>
        <v>1</v>
      </c>
      <c r="Z296" s="1">
        <f t="shared" si="422"/>
        <v>0</v>
      </c>
      <c r="AA296" s="1">
        <f t="shared" si="423"/>
        <v>0</v>
      </c>
      <c r="AB296" s="1">
        <f t="shared" si="424"/>
        <v>0</v>
      </c>
      <c r="AC296" s="1">
        <f t="shared" si="425"/>
        <v>0</v>
      </c>
      <c r="AD296" s="1">
        <f>ROUNDDOWN(I296*(1+IF(F296=3,0.05+方案参数!$Y$11+AA296*0.12,IF(F296=4,方案参数!$BZ$11*方案参数!$AS$11,0)))+IF(AND(X296=1,F296&lt;&gt;3),方案参数!$CC$11,0)+AC296*方案参数!$CB$11,0)</f>
        <v>2534</v>
      </c>
      <c r="AE296" s="1">
        <f>IF(OR(F296=1,F296=4),配置与结果!$B$24,配置与结果!$B$25)*MAX(0,1-INDEX(配置与结果!$I$15:$I$18,F296))</f>
        <v>1200</v>
      </c>
      <c r="AF296" s="1">
        <f>0</f>
        <v>0</v>
      </c>
      <c r="AG296" s="1">
        <f>MAX(配置与结果!$B$32,1+INDEX(配置与结果!$F$15:$F$18,F296)+0.08+方案参数!$CD$11+Q296*方案参数!$W$11+Y296*(方案参数!$AN$11+MIN(方案参数!$AO$11,P296*0.03))+AB296*方案参数!$BZ$11*0.025-配置与结果!$B$28)</f>
        <v>1.2200000000000002</v>
      </c>
      <c r="AH296" s="1">
        <f>MAX(0,1+INDEX(配置与结果!$G$15:$G$18,F296)+W296*方案参数!$AG$11)</f>
        <v>1.3</v>
      </c>
      <c r="AI296" s="1">
        <f>IF(OR(INDEX(配置与结果!$K$15:$K$18,F296)=1,G296="RHI_BERRY"),1+配置与结果!$B$33+P296*方案参数!$AH$11,1)</f>
        <v>1</v>
      </c>
      <c r="AJ296" s="1">
        <f>MIN(1,MAX(0,J296+方案参数!$AB$11-配置与结果!$B$27))</f>
        <v>1</v>
      </c>
      <c r="AK296" s="1">
        <f>MAX(1,K296+IF(F296=2,0.15+方案参数!$CH$11,0)+BN296*方案参数!$X$11+R296*方案参数!$AA$11+0-配置与结果!$B$26+Z296*(方案参数!$AP$11+MIN(方案参数!$AQ$11,P296*0.03)))</f>
        <v>1.8050000000000002</v>
      </c>
      <c r="AL296" s="7">
        <f>ROUNDDOWN(MAX(AD296*配置与结果!$B$31,AD296-AE296)*AF296*AG296*AH296*AI296,0)</f>
        <v>0</v>
      </c>
      <c r="AM296" s="7">
        <f>ROUNDDOWN(MAX(AD296*配置与结果!$B$31,AD296-AE296)*AF296*AG296*AH296*AI296*AK296,0)</f>
        <v>0</v>
      </c>
      <c r="AN296" s="7">
        <f t="shared" si="380"/>
        <v>0</v>
      </c>
      <c r="AO296" s="7">
        <f>0</f>
        <v>0</v>
      </c>
      <c r="AP296" s="7">
        <f>MAX(0,1+INDEX(配置与结果!$J$15:$J$18,F296)+IF(T296&gt;0,方案参数!$BY$11,0)-配置与结果!$B$30)</f>
        <v>1</v>
      </c>
      <c r="AQ296" s="7">
        <f t="shared" si="381"/>
        <v>0</v>
      </c>
      <c r="AR296" s="7">
        <f t="shared" si="382"/>
        <v>0</v>
      </c>
      <c r="AS296" s="7">
        <f t="shared" si="383"/>
        <v>0</v>
      </c>
      <c r="AT296" s="7">
        <f>0</f>
        <v>0</v>
      </c>
      <c r="AU296" s="7">
        <f t="shared" si="384"/>
        <v>0</v>
      </c>
      <c r="AV296" s="1">
        <f t="shared" si="385"/>
        <v>1</v>
      </c>
      <c r="AW296" s="1">
        <f>MIN(10,M296+方案参数!$BD$11+0)</f>
        <v>3</v>
      </c>
      <c r="AX296" s="1">
        <f t="shared" si="386"/>
        <v>0</v>
      </c>
      <c r="AY296" s="1">
        <f>MIN(20,MAX(0,O296+6+0-0))</f>
        <v>6</v>
      </c>
      <c r="AZ296" s="1">
        <f t="shared" si="387"/>
        <v>3</v>
      </c>
      <c r="BA296" s="1">
        <f>MIN(6,Q296+0)</f>
        <v>2</v>
      </c>
      <c r="BB296" s="1">
        <f t="shared" si="426"/>
        <v>5</v>
      </c>
      <c r="BC296" s="1">
        <f t="shared" si="407"/>
        <v>0</v>
      </c>
      <c r="BD296" s="1">
        <f t="shared" si="388"/>
        <v>0</v>
      </c>
      <c r="BE296" s="1">
        <f t="shared" si="427"/>
        <v>0</v>
      </c>
      <c r="BF296" s="1">
        <f t="shared" si="411"/>
        <v>0</v>
      </c>
      <c r="BG296" s="1">
        <f t="shared" ref="BG296:BG306" si="431">MAX(W296,0)</f>
        <v>1</v>
      </c>
      <c r="BH296" s="1">
        <f t="shared" si="428"/>
        <v>1</v>
      </c>
      <c r="BI296" s="1">
        <f t="shared" ref="BI296:BI306" si="432">MAX(Y296,0)</f>
        <v>1</v>
      </c>
      <c r="BJ296" s="1">
        <f t="shared" si="402"/>
        <v>0</v>
      </c>
      <c r="BK296" s="1">
        <f t="shared" si="403"/>
        <v>0</v>
      </c>
      <c r="BL296" s="1">
        <f t="shared" si="408"/>
        <v>0</v>
      </c>
      <c r="BM296" s="1">
        <f t="shared" si="406"/>
        <v>0</v>
      </c>
      <c r="BN296" s="1">
        <f t="shared" si="429"/>
        <v>1</v>
      </c>
      <c r="BO296" s="1">
        <f t="shared" si="430"/>
        <v>1</v>
      </c>
    </row>
    <row r="297" spans="1:67" ht="30.95" customHeight="1">
      <c r="A297" s="1">
        <f>8</f>
        <v>8</v>
      </c>
      <c r="B297" s="1">
        <f>固定流程!A9</f>
        <v>4</v>
      </c>
      <c r="C297" s="1">
        <f>11</f>
        <v>11</v>
      </c>
      <c r="D297" s="1">
        <f>1</f>
        <v>1</v>
      </c>
      <c r="E297" s="1">
        <f>固定流程!C9</f>
        <v>1</v>
      </c>
      <c r="F297" s="1">
        <f>固定流程!G9</f>
        <v>1</v>
      </c>
      <c r="G297" s="1" t="str">
        <f>固定流程!H9</f>
        <v>LILYA_DIVE</v>
      </c>
      <c r="H297" s="1">
        <f>固定流程!F9</f>
        <v>1</v>
      </c>
      <c r="I297" s="1">
        <f>INDEX(配置与结果!$B$15:$B$18,F297)</f>
        <v>2296</v>
      </c>
      <c r="J297" s="1">
        <f>INDEX(配置与结果!$D$15:$D$18,F297)</f>
        <v>0.7</v>
      </c>
      <c r="K297" s="1">
        <f>INDEX(配置与结果!$E$15:$E$18,F297)</f>
        <v>2.0249999999999999</v>
      </c>
      <c r="L297" s="1">
        <f t="shared" si="412"/>
        <v>1</v>
      </c>
      <c r="M297" s="1">
        <f t="shared" si="412"/>
        <v>3</v>
      </c>
      <c r="N297" s="1">
        <f t="shared" si="412"/>
        <v>0</v>
      </c>
      <c r="O297" s="1">
        <f t="shared" si="412"/>
        <v>6</v>
      </c>
      <c r="P297" s="1">
        <f>MIN(方案参数!$AI$11,AZ296+0+0)</f>
        <v>3</v>
      </c>
      <c r="Q297" s="1">
        <f t="shared" si="413"/>
        <v>2</v>
      </c>
      <c r="R297" s="1">
        <f t="shared" si="414"/>
        <v>5</v>
      </c>
      <c r="S297" s="1">
        <f t="shared" si="415"/>
        <v>0</v>
      </c>
      <c r="T297" s="1">
        <f t="shared" si="416"/>
        <v>0</v>
      </c>
      <c r="U297" s="1">
        <f t="shared" si="417"/>
        <v>0</v>
      </c>
      <c r="V297" s="1">
        <f t="shared" si="418"/>
        <v>0</v>
      </c>
      <c r="W297" s="1">
        <f t="shared" si="419"/>
        <v>1</v>
      </c>
      <c r="X297" s="1">
        <f t="shared" si="420"/>
        <v>1</v>
      </c>
      <c r="Y297" s="1">
        <f t="shared" si="421"/>
        <v>1</v>
      </c>
      <c r="Z297" s="1">
        <f t="shared" si="422"/>
        <v>0</v>
      </c>
      <c r="AA297" s="1">
        <f t="shared" si="423"/>
        <v>0</v>
      </c>
      <c r="AB297" s="1">
        <f t="shared" si="424"/>
        <v>0</v>
      </c>
      <c r="AC297" s="1">
        <f t="shared" si="425"/>
        <v>0</v>
      </c>
      <c r="AD297" s="1">
        <f>ROUNDDOWN(I297*(1+IF(F297=3,0.05+方案参数!$Y$11+AA297*0.12,IF(F297=4,方案参数!$BZ$11*方案参数!$AS$11,0)))+IF(AND(X297=1,F297&lt;&gt;3),方案参数!$CC$11,0)+AC297*方案参数!$CB$11,0)</f>
        <v>2534</v>
      </c>
      <c r="AE297" s="1">
        <f>IF(OR(F297=1,F297=4),配置与结果!$B$24,配置与结果!$B$25)*MAX(0,1-INDEX(配置与结果!$I$15:$I$18,F297))</f>
        <v>1200</v>
      </c>
      <c r="AF297" s="1">
        <f>(IF(L297=1,方案参数!$AW$11,IF(L297=2,方案参数!$AX$11,0))+方案参数!$AV$11)*H297</f>
        <v>6</v>
      </c>
      <c r="AG297" s="1">
        <f>MAX(配置与结果!$B$32,1+INDEX(配置与结果!$F$15:$F$18,F297)+0.08+方案参数!$CD$11+Q297*方案参数!$W$11+Y297*(方案参数!$AN$11+MIN(方案参数!$AO$11,P297*0.03))+AB297*方案参数!$BZ$11*0.025+IF(L297=1,方案参数!$AY$11+(H297-1)*0.1,IF(L297=2,方案参数!$AZ$11+(H297-1)*0.2,0))-配置与结果!$B$28)</f>
        <v>1.3200000000000003</v>
      </c>
      <c r="AH297" s="1">
        <f>MAX(0,1+INDEX(配置与结果!$G$15:$G$18,F297)+W297*方案参数!$AG$11+IF(L297=1,方案参数!$BA$11,IF(L297=2,方案参数!$BB$11,0))+M297*方案参数!$BC$11)</f>
        <v>2.08</v>
      </c>
      <c r="AI297" s="1">
        <f>IF(OR(INDEX(配置与结果!$K$15:$K$18,F297)=1,G297="RHI_BERRY"),1+配置与结果!$B$33+P297*方案参数!$AH$11,1)</f>
        <v>1</v>
      </c>
      <c r="AJ297" s="1">
        <f>MIN(1,MAX(0,J297+方案参数!$AB$11-配置与结果!$B$27))</f>
        <v>1</v>
      </c>
      <c r="AK297" s="1">
        <f>MAX(1,K297+IF(F297=2,0.15+方案参数!$CH$11,0)+BN297*方案参数!$X$11+R297*方案参数!$AA$11+0-配置与结果!$B$26+Z297*(方案参数!$AP$11+MIN(方案参数!$AQ$11,P297*0.03)))</f>
        <v>1.8050000000000002</v>
      </c>
      <c r="AL297" s="7">
        <f>ROUNDDOWN(MAX(AD297*配置与结果!$B$31,AD297-AE297)*AF297*AG297*AH297*AI297,0)</f>
        <v>21975</v>
      </c>
      <c r="AM297" s="7">
        <f>ROUNDDOWN(MAX(AD297*配置与结果!$B$31,AD297-AE297)*AF297*AG297*AH297*AI297*AK297,0)</f>
        <v>39666</v>
      </c>
      <c r="AN297" s="7">
        <f t="shared" si="380"/>
        <v>39666</v>
      </c>
      <c r="AO297" s="7">
        <f>0</f>
        <v>0</v>
      </c>
      <c r="AP297" s="7">
        <f>MAX(0,1+INDEX(配置与结果!$J$15:$J$18,F297)+IF(T297&gt;0,方案参数!$BY$11,0)-配置与结果!$B$30)</f>
        <v>1</v>
      </c>
      <c r="AQ297" s="7">
        <f t="shared" si="381"/>
        <v>0</v>
      </c>
      <c r="AR297" s="7">
        <f t="shared" si="382"/>
        <v>0</v>
      </c>
      <c r="AS297" s="7">
        <f t="shared" si="383"/>
        <v>0</v>
      </c>
      <c r="AT297" s="7">
        <f>0</f>
        <v>0</v>
      </c>
      <c r="AU297" s="7">
        <f t="shared" si="384"/>
        <v>39666</v>
      </c>
      <c r="AV297" s="1">
        <f t="shared" si="385"/>
        <v>1</v>
      </c>
      <c r="AW297" s="1">
        <f>MIN(10,M297+0+IF(L297=1,方案参数!$BE$11,0))</f>
        <v>4</v>
      </c>
      <c r="AX297" s="1">
        <f t="shared" si="386"/>
        <v>0</v>
      </c>
      <c r="AY297" s="1">
        <f t="shared" ref="AY297:AY312" si="433">MIN(20,MAX(0,O297+0+0-0))</f>
        <v>6</v>
      </c>
      <c r="AZ297" s="1">
        <f t="shared" si="387"/>
        <v>3</v>
      </c>
      <c r="BA297" s="1">
        <f>MIN(6,Q297+0)</f>
        <v>2</v>
      </c>
      <c r="BB297" s="1">
        <f t="shared" si="426"/>
        <v>5</v>
      </c>
      <c r="BC297" s="1">
        <f t="shared" si="407"/>
        <v>0</v>
      </c>
      <c r="BD297" s="1">
        <f t="shared" si="388"/>
        <v>0</v>
      </c>
      <c r="BE297" s="1">
        <f t="shared" si="427"/>
        <v>0</v>
      </c>
      <c r="BF297" s="1">
        <f t="shared" si="411"/>
        <v>0</v>
      </c>
      <c r="BG297" s="1">
        <f t="shared" si="431"/>
        <v>1</v>
      </c>
      <c r="BH297" s="1">
        <f t="shared" si="428"/>
        <v>1</v>
      </c>
      <c r="BI297" s="1">
        <f t="shared" si="432"/>
        <v>1</v>
      </c>
      <c r="BJ297" s="1">
        <f t="shared" si="402"/>
        <v>0</v>
      </c>
      <c r="BK297" s="1">
        <f t="shared" si="403"/>
        <v>0</v>
      </c>
      <c r="BL297" s="1">
        <f t="shared" si="408"/>
        <v>0</v>
      </c>
      <c r="BM297" s="1">
        <f t="shared" si="406"/>
        <v>0</v>
      </c>
      <c r="BN297" s="1">
        <f t="shared" si="429"/>
        <v>1</v>
      </c>
      <c r="BO297" s="1">
        <f t="shared" si="430"/>
        <v>1</v>
      </c>
    </row>
    <row r="298" spans="1:67" ht="30.95" customHeight="1">
      <c r="A298" s="1">
        <f>8</f>
        <v>8</v>
      </c>
      <c r="B298" s="1">
        <f>固定流程!A10</f>
        <v>5</v>
      </c>
      <c r="C298" s="1">
        <f>11</f>
        <v>11</v>
      </c>
      <c r="D298" s="1">
        <f>1</f>
        <v>1</v>
      </c>
      <c r="E298" s="1">
        <f>固定流程!C10</f>
        <v>1</v>
      </c>
      <c r="F298" s="1">
        <f>固定流程!G10</f>
        <v>2</v>
      </c>
      <c r="G298" s="1" t="str">
        <f>固定流程!H10</f>
        <v>37_TRIANGLE</v>
      </c>
      <c r="H298" s="1">
        <f>固定流程!F10</f>
        <v>1</v>
      </c>
      <c r="I298" s="1">
        <f>INDEX(配置与结果!$B$15:$B$18,F298)</f>
        <v>2306</v>
      </c>
      <c r="J298" s="1">
        <f>INDEX(配置与结果!$D$15:$D$18,F298)</f>
        <v>0.46</v>
      </c>
      <c r="K298" s="1">
        <f>INDEX(配置与结果!$E$15:$E$18,F298)</f>
        <v>1.9279999999999999</v>
      </c>
      <c r="L298" s="1">
        <f t="shared" si="412"/>
        <v>1</v>
      </c>
      <c r="M298" s="1">
        <f t="shared" si="412"/>
        <v>4</v>
      </c>
      <c r="N298" s="1">
        <f t="shared" si="412"/>
        <v>0</v>
      </c>
      <c r="O298" s="1">
        <f t="shared" si="412"/>
        <v>6</v>
      </c>
      <c r="P298" s="1">
        <f>MIN(方案参数!$AI$11,AZ297+0+0)</f>
        <v>3</v>
      </c>
      <c r="Q298" s="1">
        <f t="shared" si="413"/>
        <v>2</v>
      </c>
      <c r="R298" s="1">
        <f t="shared" si="414"/>
        <v>5</v>
      </c>
      <c r="S298" s="1">
        <f t="shared" si="415"/>
        <v>0</v>
      </c>
      <c r="T298" s="1">
        <f t="shared" si="416"/>
        <v>0</v>
      </c>
      <c r="U298" s="1">
        <f t="shared" si="417"/>
        <v>0</v>
      </c>
      <c r="V298" s="1">
        <f t="shared" si="418"/>
        <v>0</v>
      </c>
      <c r="W298" s="1">
        <f t="shared" si="419"/>
        <v>1</v>
      </c>
      <c r="X298" s="1">
        <f t="shared" si="420"/>
        <v>1</v>
      </c>
      <c r="Y298" s="1">
        <f t="shared" si="421"/>
        <v>1</v>
      </c>
      <c r="Z298" s="1">
        <f t="shared" si="422"/>
        <v>0</v>
      </c>
      <c r="AA298" s="1">
        <f t="shared" si="423"/>
        <v>0</v>
      </c>
      <c r="AB298" s="1">
        <f t="shared" si="424"/>
        <v>0</v>
      </c>
      <c r="AC298" s="1">
        <f t="shared" si="425"/>
        <v>0</v>
      </c>
      <c r="AD298" s="1">
        <f>ROUNDDOWN(I298*(1+IF(F298=3,0.05+方案参数!$Y$11+AA298*0.12,IF(F298=4,方案参数!$BZ$11*方案参数!$AS$11,0)))+IF(AND(X298=1,F298&lt;&gt;3),方案参数!$CC$11,0)+AC298*方案参数!$CB$11,0)</f>
        <v>2544</v>
      </c>
      <c r="AE298" s="1">
        <f>IF(OR(F298=1,F298=4),配置与结果!$B$24,配置与结果!$B$25)*MAX(0,1-INDEX(配置与结果!$I$15:$I$18,F298))</f>
        <v>1000</v>
      </c>
      <c r="AF298" s="1">
        <f>方案参数!$BS$11*IF(H298=1,1,IF(H298=2,1.5,2.5))</f>
        <v>2.8</v>
      </c>
      <c r="AG298" s="1">
        <f>MAX(配置与结果!$B$32,1+INDEX(配置与结果!$F$15:$F$18,F298)+0+Q298*方案参数!$W$11+Y298*(方案参数!$AN$11+MIN(方案参数!$AO$11,P298*0.03))+AB298*方案参数!$BZ$11*0.025-配置与结果!$B$28)</f>
        <v>0.8849999999999999</v>
      </c>
      <c r="AH298" s="1">
        <f>MAX(0,1+INDEX(配置与结果!$G$15:$G$18,F298)+W298*方案参数!$AG$11)</f>
        <v>1.3</v>
      </c>
      <c r="AI298" s="1">
        <f>IF(OR(INDEX(配置与结果!$K$15:$K$18,F298)=1,G298="RHI_BERRY"),1+配置与结果!$B$33+P298*方案参数!$AH$11,1)</f>
        <v>1</v>
      </c>
      <c r="AJ298" s="1">
        <f>MIN(1,MAX(0,J298+方案参数!$AB$11-配置与结果!$B$27))</f>
        <v>0.76</v>
      </c>
      <c r="AK298" s="1">
        <f>MAX(1,K298+IF(F298=2,0.15+方案参数!$CH$11,0)+BN298*方案参数!$X$11+R298*方案参数!$AA$11+0-配置与结果!$B$26+Z298*(方案参数!$AP$11+MIN(方案参数!$AQ$11,P298*0.03)))</f>
        <v>1.9780000000000002</v>
      </c>
      <c r="AL298" s="7">
        <f>ROUNDDOWN(MAX(AD298*配置与结果!$B$31,AD298-AE298)*AF298*AG298*AH298*AI298,0)</f>
        <v>4973</v>
      </c>
      <c r="AM298" s="7">
        <f>ROUNDDOWN(MAX(AD298*配置与结果!$B$31,AD298-AE298)*AF298*AG298*AH298*AI298*AK298,0)</f>
        <v>9838</v>
      </c>
      <c r="AN298" s="7">
        <f t="shared" si="380"/>
        <v>8670.4</v>
      </c>
      <c r="AO298" s="7">
        <f>方案参数!$BU$11*IF(H298=1,1,IF(H298=2,1.5,2.5))</f>
        <v>0.8</v>
      </c>
      <c r="AP298" s="7">
        <f>MAX(0,1+INDEX(配置与结果!$J$15:$J$18,F298)+IF(T298&gt;0,方案参数!$BY$11,0)-配置与结果!$B$30)</f>
        <v>1</v>
      </c>
      <c r="AQ298" s="7">
        <f t="shared" si="381"/>
        <v>2035</v>
      </c>
      <c r="AR298" s="7">
        <f t="shared" si="382"/>
        <v>4025</v>
      </c>
      <c r="AS298" s="7">
        <f t="shared" si="383"/>
        <v>3547.4</v>
      </c>
      <c r="AT298" s="7">
        <f>0</f>
        <v>0</v>
      </c>
      <c r="AU298" s="7">
        <f t="shared" si="384"/>
        <v>12217.8</v>
      </c>
      <c r="AV298" s="1">
        <f t="shared" si="385"/>
        <v>1</v>
      </c>
      <c r="AW298" s="1">
        <f>MIN(10,M298+0+0)</f>
        <v>4</v>
      </c>
      <c r="AX298" s="1">
        <f t="shared" si="386"/>
        <v>0</v>
      </c>
      <c r="AY298" s="1">
        <f t="shared" si="433"/>
        <v>6</v>
      </c>
      <c r="AZ298" s="1">
        <f t="shared" si="387"/>
        <v>3</v>
      </c>
      <c r="BA298" s="1">
        <f>MIN(6,Q298+0)</f>
        <v>2</v>
      </c>
      <c r="BB298" s="1">
        <f t="shared" si="426"/>
        <v>5</v>
      </c>
      <c r="BC298" s="1">
        <f t="shared" si="407"/>
        <v>0</v>
      </c>
      <c r="BD298" s="1">
        <f>MAX(0,T298-IF(AO298&gt;0,1,0))+1</f>
        <v>1</v>
      </c>
      <c r="BE298" s="1">
        <f t="shared" si="427"/>
        <v>0</v>
      </c>
      <c r="BF298" s="1">
        <f t="shared" si="411"/>
        <v>0</v>
      </c>
      <c r="BG298" s="1">
        <f t="shared" si="431"/>
        <v>1</v>
      </c>
      <c r="BH298" s="1">
        <f t="shared" si="428"/>
        <v>1</v>
      </c>
      <c r="BI298" s="1">
        <f t="shared" si="432"/>
        <v>1</v>
      </c>
      <c r="BJ298" s="1">
        <f t="shared" si="402"/>
        <v>0</v>
      </c>
      <c r="BK298" s="1">
        <f t="shared" si="403"/>
        <v>0</v>
      </c>
      <c r="BL298" s="1">
        <f t="shared" si="408"/>
        <v>0</v>
      </c>
      <c r="BM298" s="1">
        <f t="shared" si="406"/>
        <v>0</v>
      </c>
      <c r="BN298" s="1">
        <f t="shared" si="429"/>
        <v>1</v>
      </c>
      <c r="BO298" s="1">
        <f t="shared" si="430"/>
        <v>1</v>
      </c>
    </row>
    <row r="299" spans="1:67" ht="30.95" customHeight="1">
      <c r="A299" s="1">
        <f>8</f>
        <v>8</v>
      </c>
      <c r="B299" s="1">
        <f>固定流程!A11</f>
        <v>6</v>
      </c>
      <c r="C299" s="1">
        <f>11</f>
        <v>11</v>
      </c>
      <c r="D299" s="1">
        <f>1</f>
        <v>1</v>
      </c>
      <c r="E299" s="1">
        <f>固定流程!C11</f>
        <v>1</v>
      </c>
      <c r="F299" s="1">
        <f>固定流程!G11</f>
        <v>2</v>
      </c>
      <c r="G299" s="1" t="str">
        <f>固定流程!H11</f>
        <v>37_FOLLOW</v>
      </c>
      <c r="H299" s="1">
        <f>固定流程!F11</f>
        <v>1</v>
      </c>
      <c r="I299" s="1">
        <f>INDEX(配置与结果!$B$15:$B$18,F299)</f>
        <v>2306</v>
      </c>
      <c r="J299" s="1">
        <f>INDEX(配置与结果!$D$15:$D$18,F299)</f>
        <v>0.46</v>
      </c>
      <c r="K299" s="1">
        <f>INDEX(配置与结果!$E$15:$E$18,F299)</f>
        <v>1.9279999999999999</v>
      </c>
      <c r="L299" s="1">
        <f t="shared" si="412"/>
        <v>1</v>
      </c>
      <c r="M299" s="1">
        <f t="shared" si="412"/>
        <v>4</v>
      </c>
      <c r="N299" s="1">
        <f t="shared" si="412"/>
        <v>0</v>
      </c>
      <c r="O299" s="1">
        <f t="shared" si="412"/>
        <v>6</v>
      </c>
      <c r="P299" s="1">
        <f>MIN(方案参数!$AI$11,AZ298+0+0)</f>
        <v>3</v>
      </c>
      <c r="Q299" s="1">
        <f t="shared" si="413"/>
        <v>2</v>
      </c>
      <c r="R299" s="1">
        <f t="shared" si="414"/>
        <v>5</v>
      </c>
      <c r="S299" s="1">
        <f t="shared" si="415"/>
        <v>0</v>
      </c>
      <c r="T299" s="1">
        <f t="shared" si="416"/>
        <v>1</v>
      </c>
      <c r="U299" s="1">
        <f t="shared" si="417"/>
        <v>0</v>
      </c>
      <c r="V299" s="1">
        <f t="shared" si="418"/>
        <v>0</v>
      </c>
      <c r="W299" s="1">
        <f t="shared" si="419"/>
        <v>1</v>
      </c>
      <c r="X299" s="1">
        <f t="shared" si="420"/>
        <v>1</v>
      </c>
      <c r="Y299" s="1">
        <f t="shared" si="421"/>
        <v>1</v>
      </c>
      <c r="Z299" s="1">
        <f t="shared" si="422"/>
        <v>0</v>
      </c>
      <c r="AA299" s="1">
        <f t="shared" si="423"/>
        <v>0</v>
      </c>
      <c r="AB299" s="1">
        <f t="shared" si="424"/>
        <v>0</v>
      </c>
      <c r="AC299" s="1">
        <f t="shared" si="425"/>
        <v>0</v>
      </c>
      <c r="AD299" s="1">
        <f>ROUNDDOWN(I299*(1+IF(F299=3,0.05+方案参数!$Y$11+AA299*0.12,IF(F299=4,方案参数!$BZ$11*方案参数!$AS$11,0)))+IF(AND(X299=1,F299&lt;&gt;3),方案参数!$CC$11,0)+AC299*方案参数!$CB$11,0)</f>
        <v>2544</v>
      </c>
      <c r="AE299" s="1">
        <f>IF(OR(F299=1,F299=4),配置与结果!$B$24,配置与结果!$B$25)*MAX(0,1-INDEX(配置与结果!$I$15:$I$18,F299))</f>
        <v>1000</v>
      </c>
      <c r="AF299" s="1">
        <f>方案参数!$BV$11</f>
        <v>3</v>
      </c>
      <c r="AG299" s="1">
        <f>MAX(配置与结果!$B$32,1+INDEX(配置与结果!$F$15:$F$18,F299)+0+Q299*方案参数!$W$11+Y299*(方案参数!$AN$11+MIN(方案参数!$AO$11,P299*0.03))+AB299*方案参数!$BZ$11*0.025-配置与结果!$B$28)</f>
        <v>0.8849999999999999</v>
      </c>
      <c r="AH299" s="1">
        <f>MAX(0,1+INDEX(配置与结果!$G$15:$G$18,F299)+W299*方案参数!$AG$11)</f>
        <v>1.3</v>
      </c>
      <c r="AI299" s="1">
        <f>IF(OR(INDEX(配置与结果!$K$15:$K$18,F299)=1,G299="RHI_BERRY"),1+配置与结果!$B$33+P299*方案参数!$AH$11,1)</f>
        <v>1</v>
      </c>
      <c r="AJ299" s="1">
        <f>MIN(1,MAX(0,J299+方案参数!$AB$11-配置与结果!$B$27))</f>
        <v>0.76</v>
      </c>
      <c r="AK299" s="1">
        <f>MAX(1,K299+IF(F299=2,0.15+方案参数!$CH$11,0)+BN299*方案参数!$X$11+R299*方案参数!$AA$11+0-配置与结果!$B$26+Z299*(方案参数!$AP$11+MIN(方案参数!$AQ$11,P299*0.03)))</f>
        <v>1.9780000000000002</v>
      </c>
      <c r="AL299" s="7">
        <f>ROUNDDOWN(MAX(AD299*配置与结果!$B$31,AD299-AE299)*AF299*AG299*AH299*AI299,0)</f>
        <v>5329</v>
      </c>
      <c r="AM299" s="7">
        <f>ROUNDDOWN(MAX(AD299*配置与结果!$B$31,AD299-AE299)*AF299*AG299*AH299*AI299*AK299,0)</f>
        <v>10540</v>
      </c>
      <c r="AN299" s="7">
        <f t="shared" si="380"/>
        <v>9289.36</v>
      </c>
      <c r="AO299" s="7">
        <f>方案参数!$BW$11</f>
        <v>1</v>
      </c>
      <c r="AP299" s="7">
        <f>MAX(0,1+INDEX(配置与结果!$J$15:$J$18,F299)+IF(T299&gt;0,方案参数!$BY$11,0)-配置与结果!$B$30)</f>
        <v>2</v>
      </c>
      <c r="AQ299" s="7">
        <f t="shared" si="381"/>
        <v>5088</v>
      </c>
      <c r="AR299" s="7">
        <f t="shared" si="382"/>
        <v>10064</v>
      </c>
      <c r="AS299" s="7">
        <f t="shared" si="383"/>
        <v>8869.76</v>
      </c>
      <c r="AT299" s="7">
        <f>0</f>
        <v>0</v>
      </c>
      <c r="AU299" s="7">
        <f t="shared" si="384"/>
        <v>18159.120000000003</v>
      </c>
      <c r="AV299" s="1">
        <f t="shared" si="385"/>
        <v>1</v>
      </c>
      <c r="AW299" s="1">
        <f>MIN(10,M299+0+0)</f>
        <v>4</v>
      </c>
      <c r="AX299" s="1">
        <f t="shared" si="386"/>
        <v>0</v>
      </c>
      <c r="AY299" s="1">
        <f t="shared" si="433"/>
        <v>6</v>
      </c>
      <c r="AZ299" s="1">
        <f t="shared" si="387"/>
        <v>3</v>
      </c>
      <c r="BA299" s="1">
        <f>MIN(6,Q299+0)</f>
        <v>2</v>
      </c>
      <c r="BB299" s="1">
        <f t="shared" si="426"/>
        <v>5</v>
      </c>
      <c r="BC299" s="1">
        <f t="shared" si="407"/>
        <v>0</v>
      </c>
      <c r="BD299" s="1">
        <f t="shared" ref="BD299:BD333" si="434">MAX(0,T299-IF(AO299&gt;0,1,0))+0</f>
        <v>0</v>
      </c>
      <c r="BE299" s="1">
        <f t="shared" si="427"/>
        <v>0</v>
      </c>
      <c r="BF299" s="1">
        <f>MIN(4,V299+1)</f>
        <v>1</v>
      </c>
      <c r="BG299" s="1">
        <f t="shared" si="431"/>
        <v>1</v>
      </c>
      <c r="BH299" s="1">
        <f t="shared" si="428"/>
        <v>1</v>
      </c>
      <c r="BI299" s="1">
        <f t="shared" si="432"/>
        <v>1</v>
      </c>
      <c r="BJ299" s="1">
        <f t="shared" si="402"/>
        <v>0</v>
      </c>
      <c r="BK299" s="1">
        <f t="shared" si="403"/>
        <v>0</v>
      </c>
      <c r="BL299" s="1">
        <f t="shared" si="408"/>
        <v>0</v>
      </c>
      <c r="BM299" s="1">
        <f t="shared" si="406"/>
        <v>0</v>
      </c>
      <c r="BN299" s="1">
        <f t="shared" si="429"/>
        <v>1</v>
      </c>
      <c r="BO299" s="1">
        <f t="shared" si="430"/>
        <v>1</v>
      </c>
    </row>
    <row r="300" spans="1:67" ht="30.95" customHeight="1">
      <c r="A300" s="1">
        <f>8</f>
        <v>8</v>
      </c>
      <c r="B300" s="1">
        <f>固定流程!A12</f>
        <v>7</v>
      </c>
      <c r="C300" s="1">
        <f>11</f>
        <v>11</v>
      </c>
      <c r="D300" s="1">
        <f>1</f>
        <v>1</v>
      </c>
      <c r="E300" s="1">
        <f>固定流程!C12</f>
        <v>1</v>
      </c>
      <c r="F300" s="1">
        <f>固定流程!G12</f>
        <v>4</v>
      </c>
      <c r="G300" s="1" t="str">
        <f>固定流程!H12</f>
        <v>J_HARD</v>
      </c>
      <c r="H300" s="1">
        <f>固定流程!F12</f>
        <v>1</v>
      </c>
      <c r="I300" s="1">
        <f>INDEX(配置与结果!$B$15:$B$18,F300)</f>
        <v>1906</v>
      </c>
      <c r="J300" s="1">
        <f>INDEX(配置与结果!$D$15:$D$18,F300)</f>
        <v>0.36699999999999999</v>
      </c>
      <c r="K300" s="1">
        <f>INDEX(配置与结果!$E$15:$E$18,F300)</f>
        <v>1.7170000000000001</v>
      </c>
      <c r="L300" s="1">
        <f t="shared" si="412"/>
        <v>1</v>
      </c>
      <c r="M300" s="1">
        <f t="shared" si="412"/>
        <v>4</v>
      </c>
      <c r="N300" s="1">
        <f t="shared" si="412"/>
        <v>0</v>
      </c>
      <c r="O300" s="1">
        <f t="shared" si="412"/>
        <v>6</v>
      </c>
      <c r="P300" s="1">
        <f>MIN(方案参数!$AI$11,AZ299+0+0)</f>
        <v>3</v>
      </c>
      <c r="Q300" s="1">
        <f t="shared" si="413"/>
        <v>2</v>
      </c>
      <c r="R300" s="1">
        <f t="shared" si="414"/>
        <v>5</v>
      </c>
      <c r="S300" s="1">
        <f t="shared" si="415"/>
        <v>0</v>
      </c>
      <c r="T300" s="1">
        <f t="shared" si="416"/>
        <v>0</v>
      </c>
      <c r="U300" s="1">
        <f t="shared" si="417"/>
        <v>0</v>
      </c>
      <c r="V300" s="1">
        <f t="shared" si="418"/>
        <v>1</v>
      </c>
      <c r="W300" s="1">
        <f t="shared" si="419"/>
        <v>1</v>
      </c>
      <c r="X300" s="1">
        <f t="shared" si="420"/>
        <v>1</v>
      </c>
      <c r="Y300" s="1">
        <f t="shared" si="421"/>
        <v>1</v>
      </c>
      <c r="Z300" s="1">
        <f t="shared" si="422"/>
        <v>0</v>
      </c>
      <c r="AA300" s="1">
        <f t="shared" si="423"/>
        <v>0</v>
      </c>
      <c r="AB300" s="1">
        <f t="shared" si="424"/>
        <v>0</v>
      </c>
      <c r="AC300" s="1">
        <f t="shared" si="425"/>
        <v>0</v>
      </c>
      <c r="AD300" s="1">
        <f>ROUNDDOWN(I300*(1+IF(F300=3,0.05+方案参数!$Y$11+AA300*0.12,IF(F300=4,方案参数!$BZ$11*方案参数!$AS$11,0)))+IF(AND(X300=1,F300&lt;&gt;3),方案参数!$CC$11,0)+AC300*方案参数!$CB$11,0)</f>
        <v>2811</v>
      </c>
      <c r="AE300" s="1">
        <f>IF(OR(F300=1,F300=4),配置与结果!$B$24,配置与结果!$B$25)*MAX(0,1-INDEX(配置与结果!$I$15:$I$18,F300))</f>
        <v>1200</v>
      </c>
      <c r="AF300" s="1">
        <f>3.6*IF(H300=1,1,IF(H300=2,1.5,2.5))</f>
        <v>3.6</v>
      </c>
      <c r="AG300" s="1">
        <f>MAX(配置与结果!$B$32,1+INDEX(配置与结果!$F$15:$F$18,F300)+0.08+Q300*方案参数!$W$11+Y300*(方案参数!$AN$11+MIN(方案参数!$AO$11,P300*0.03))+AB300*方案参数!$BZ$11*0.025+0.1+IF(方案参数!$BZ$11&gt;=30,方案参数!$BZ$11*0.01,0)-配置与结果!$B$28)</f>
        <v>1.4350000000000001</v>
      </c>
      <c r="AH300" s="1">
        <f>MAX(0,1+INDEX(配置与结果!$G$15:$G$18,F300)+W300*方案参数!$AG$11)</f>
        <v>1.3</v>
      </c>
      <c r="AI300" s="1">
        <f>IF(OR(INDEX(配置与结果!$K$15:$K$18,F300)=1,G300="RHI_BERRY"),1+配置与结果!$B$33+P300*方案参数!$AH$11,1)</f>
        <v>1</v>
      </c>
      <c r="AJ300" s="1">
        <f>MIN(1,MAX(0,J300+方案参数!$AB$11-配置与结果!$B$27))</f>
        <v>0.66700000000000004</v>
      </c>
      <c r="AK300" s="1">
        <f>MAX(1,K300+IF(F300=2,0.15+方案参数!$CH$11,0)+BN300*方案参数!$X$11+R300*方案参数!$AA$11+0-配置与结果!$B$26+Z300*(方案参数!$AP$11+MIN(方案参数!$AQ$11,P300*0.03)))</f>
        <v>1.4969999999999999</v>
      </c>
      <c r="AL300" s="7">
        <f>ROUNDDOWN(MAX(AD300*配置与结果!$B$31,AD300-AE300)*AF300*AG300*AH300*AI300,0)</f>
        <v>10819</v>
      </c>
      <c r="AM300" s="7">
        <f>ROUNDDOWN(MAX(AD300*配置与结果!$B$31,AD300-AE300)*AF300*AG300*AH300*AI300*AK300,0)</f>
        <v>16196</v>
      </c>
      <c r="AN300" s="7">
        <f t="shared" si="380"/>
        <v>14405.458999999999</v>
      </c>
      <c r="AO300" s="7">
        <f>0</f>
        <v>0</v>
      </c>
      <c r="AP300" s="7">
        <f>MAX(0,1+INDEX(配置与结果!$J$15:$J$18,F300)+IF(T300&gt;0,方案参数!$BY$11,0)-配置与结果!$B$30)</f>
        <v>1</v>
      </c>
      <c r="AQ300" s="7">
        <f t="shared" si="381"/>
        <v>0</v>
      </c>
      <c r="AR300" s="7">
        <f t="shared" si="382"/>
        <v>0</v>
      </c>
      <c r="AS300" s="7">
        <f t="shared" si="383"/>
        <v>0</v>
      </c>
      <c r="AT300" s="7">
        <f>0</f>
        <v>0</v>
      </c>
      <c r="AU300" s="7">
        <f t="shared" si="384"/>
        <v>14405.458999999999</v>
      </c>
      <c r="AV300" s="1">
        <f t="shared" si="385"/>
        <v>1</v>
      </c>
      <c r="AW300" s="1">
        <f>MIN(10,M300+0+0)</f>
        <v>4</v>
      </c>
      <c r="AX300" s="1">
        <f t="shared" si="386"/>
        <v>0</v>
      </c>
      <c r="AY300" s="1">
        <f t="shared" si="433"/>
        <v>6</v>
      </c>
      <c r="AZ300" s="1">
        <f t="shared" si="387"/>
        <v>3</v>
      </c>
      <c r="BA300" s="1">
        <f>MIN(6,Q300+0)</f>
        <v>2</v>
      </c>
      <c r="BB300" s="1">
        <f t="shared" si="426"/>
        <v>5</v>
      </c>
      <c r="BC300" s="1">
        <f>MIN(3,S300+1)</f>
        <v>1</v>
      </c>
      <c r="BD300" s="1">
        <f t="shared" si="434"/>
        <v>0</v>
      </c>
      <c r="BE300" s="1">
        <f t="shared" si="427"/>
        <v>0</v>
      </c>
      <c r="BF300" s="1">
        <f>MIN(4,V300+0)</f>
        <v>1</v>
      </c>
      <c r="BG300" s="1">
        <f t="shared" si="431"/>
        <v>1</v>
      </c>
      <c r="BH300" s="1">
        <f t="shared" si="428"/>
        <v>1</v>
      </c>
      <c r="BI300" s="1">
        <f t="shared" si="432"/>
        <v>1</v>
      </c>
      <c r="BJ300" s="1">
        <f t="shared" si="402"/>
        <v>0</v>
      </c>
      <c r="BK300" s="1">
        <f t="shared" si="403"/>
        <v>0</v>
      </c>
      <c r="BL300" s="1">
        <f t="shared" si="408"/>
        <v>0</v>
      </c>
      <c r="BM300" s="1">
        <f t="shared" si="406"/>
        <v>0</v>
      </c>
      <c r="BN300" s="1">
        <f t="shared" si="429"/>
        <v>1</v>
      </c>
      <c r="BO300" s="1">
        <f t="shared" si="430"/>
        <v>1</v>
      </c>
    </row>
    <row r="301" spans="1:67" ht="30.95" customHeight="1">
      <c r="A301" s="1">
        <f>8</f>
        <v>8</v>
      </c>
      <c r="B301" s="1">
        <f>固定流程!A13</f>
        <v>8</v>
      </c>
      <c r="C301" s="1">
        <f>11</f>
        <v>11</v>
      </c>
      <c r="D301" s="1">
        <f>1</f>
        <v>1</v>
      </c>
      <c r="E301" s="1">
        <f>固定流程!C13</f>
        <v>2</v>
      </c>
      <c r="F301" s="1">
        <f>固定流程!G13</f>
        <v>3</v>
      </c>
      <c r="G301" s="1" t="str">
        <f>固定流程!H13</f>
        <v>RHI_ATTACK</v>
      </c>
      <c r="H301" s="1">
        <f>固定流程!F13</f>
        <v>1</v>
      </c>
      <c r="I301" s="1">
        <f>INDEX(配置与结果!$B$15:$B$18,F301)</f>
        <v>2597</v>
      </c>
      <c r="J301" s="1">
        <f>INDEX(配置与结果!$D$15:$D$18,F301)</f>
        <v>0.255</v>
      </c>
      <c r="K301" s="1">
        <f>INDEX(配置与结果!$E$15:$E$18,F301)</f>
        <v>1.55</v>
      </c>
      <c r="L301" s="1">
        <f>IF(AV300=1,IF(M301&gt;=10,2,1),IF(AV300=2,IF(AX300&lt;=1,0,2),0))</f>
        <v>1</v>
      </c>
      <c r="M301" s="1">
        <f>IF(AND(AV300=2,AX300&lt;=1),0,MIN(10,AW300+IF(AV300=1,3,0)))</f>
        <v>7</v>
      </c>
      <c r="N301" s="1">
        <f>IF(AND(AV300=1,M301&gt;=10),2,IF(AV300=2,MAX(0,AX300-1),0))</f>
        <v>0</v>
      </c>
      <c r="O301" s="1">
        <f t="shared" ref="O301:O329" si="435">AY300</f>
        <v>6</v>
      </c>
      <c r="P301" s="1">
        <f>MIN(方案参数!$AI$11,AZ300+方案参数!$AJ$11+方案参数!$AK$11)</f>
        <v>5</v>
      </c>
      <c r="Q301" s="1">
        <f t="shared" si="413"/>
        <v>2</v>
      </c>
      <c r="R301" s="1">
        <f t="shared" si="414"/>
        <v>5</v>
      </c>
      <c r="S301" s="1">
        <f t="shared" si="415"/>
        <v>1</v>
      </c>
      <c r="T301" s="1">
        <f t="shared" si="416"/>
        <v>0</v>
      </c>
      <c r="U301" s="1">
        <f t="shared" si="417"/>
        <v>0</v>
      </c>
      <c r="V301" s="1">
        <f t="shared" si="418"/>
        <v>1</v>
      </c>
      <c r="W301" s="1">
        <f t="shared" si="419"/>
        <v>1</v>
      </c>
      <c r="X301" s="1">
        <f t="shared" si="420"/>
        <v>1</v>
      </c>
      <c r="Y301" s="1">
        <f t="shared" si="421"/>
        <v>1</v>
      </c>
      <c r="Z301" s="1">
        <f t="shared" si="422"/>
        <v>0</v>
      </c>
      <c r="AA301" s="1">
        <f>MAX(BK300,1)</f>
        <v>1</v>
      </c>
      <c r="AB301" s="1">
        <f t="shared" si="424"/>
        <v>0</v>
      </c>
      <c r="AC301" s="1">
        <f t="shared" si="425"/>
        <v>0</v>
      </c>
      <c r="AD301" s="1">
        <f>ROUNDDOWN(I301*(1+IF(F301=3,0.05+方案参数!$Y$11+AA301*0.12,IF(F301=4,方案参数!$BZ$11*方案参数!$AS$11,0)))+IF(AND(X301=1,F301&lt;&gt;3),方案参数!$CC$11,0)+AC301*方案参数!$CB$11,0)</f>
        <v>3298</v>
      </c>
      <c r="AE301" s="1">
        <f>IF(OR(F301=1,F301=4),配置与结果!$B$24,配置与结果!$B$25)*MAX(0,1-INDEX(配置与结果!$I$15:$I$18,F301))</f>
        <v>1000</v>
      </c>
      <c r="AF301" s="1">
        <f>4</f>
        <v>4</v>
      </c>
      <c r="AG301" s="1">
        <f>MAX(配置与结果!$B$32,1+INDEX(配置与结果!$F$15:$F$18,F301)+0+Q301*方案参数!$W$11+Y301*(方案参数!$AN$11+MIN(方案参数!$AO$11,P301*0.03))+AB301*方案参数!$BZ$11*0.025-配置与结果!$B$28)</f>
        <v>0.97499999999999998</v>
      </c>
      <c r="AH301" s="1">
        <f>MAX(0,1+INDEX(配置与结果!$G$15:$G$18,F301)+W301*方案参数!$AG$11)</f>
        <v>1.3</v>
      </c>
      <c r="AI301" s="1">
        <f>IF(OR(INDEX(配置与结果!$K$15:$K$18,F301)=1,G301="RHI_BERRY"),1+配置与结果!$B$33+P301*方案参数!$AH$11,1)</f>
        <v>1</v>
      </c>
      <c r="AJ301" s="1">
        <f>MIN(1,MAX(0,J301+方案参数!$AB$11-配置与结果!$B$27))</f>
        <v>0.55499999999999994</v>
      </c>
      <c r="AK301" s="1">
        <f>MAX(1,K301+IF(F301=2,0.15+方案参数!$CH$11,0)+BN301*方案参数!$X$11+R301*方案参数!$AA$11+0-配置与结果!$B$26+Z301*(方案参数!$AP$11+MIN(方案参数!$AQ$11,P301*0.03)))</f>
        <v>1.33</v>
      </c>
      <c r="AL301" s="7">
        <f>ROUNDDOWN(MAX(AD301*配置与结果!$B$31,AD301-AE301)*AF301*AG301*AH301*AI301,0)</f>
        <v>11650</v>
      </c>
      <c r="AM301" s="7">
        <f>ROUNDDOWN(MAX(AD301*配置与结果!$B$31,AD301-AE301)*AF301*AG301*AH301*AI301*AK301,0)</f>
        <v>15495</v>
      </c>
      <c r="AN301" s="7">
        <f t="shared" si="380"/>
        <v>13783.974999999999</v>
      </c>
      <c r="AO301" s="7">
        <f>0</f>
        <v>0</v>
      </c>
      <c r="AP301" s="7">
        <f>MAX(0,1+INDEX(配置与结果!$J$15:$J$18,F301)+IF(T301&gt;0,方案参数!$BY$11,0)-配置与结果!$B$30)</f>
        <v>1</v>
      </c>
      <c r="AQ301" s="7">
        <f t="shared" si="381"/>
        <v>0</v>
      </c>
      <c r="AR301" s="7">
        <f t="shared" si="382"/>
        <v>0</v>
      </c>
      <c r="AS301" s="7">
        <f t="shared" si="383"/>
        <v>0</v>
      </c>
      <c r="AT301" s="7">
        <f>0</f>
        <v>0</v>
      </c>
      <c r="AU301" s="7">
        <f t="shared" si="384"/>
        <v>13783.974999999999</v>
      </c>
      <c r="AV301" s="1">
        <f t="shared" si="385"/>
        <v>1</v>
      </c>
      <c r="AW301" s="1">
        <f>MIN(10,M301+0+0)</f>
        <v>7</v>
      </c>
      <c r="AX301" s="1">
        <f t="shared" si="386"/>
        <v>0</v>
      </c>
      <c r="AY301" s="1">
        <f t="shared" si="433"/>
        <v>6</v>
      </c>
      <c r="AZ301" s="1">
        <f t="shared" si="387"/>
        <v>5</v>
      </c>
      <c r="BA301" s="1">
        <f>MIN(6,Q301+1)</f>
        <v>3</v>
      </c>
      <c r="BB301" s="1">
        <f t="shared" si="426"/>
        <v>5</v>
      </c>
      <c r="BC301" s="1">
        <f>MIN(3,S301+0)</f>
        <v>1</v>
      </c>
      <c r="BD301" s="1">
        <f t="shared" si="434"/>
        <v>0</v>
      </c>
      <c r="BE301" s="1">
        <f t="shared" si="427"/>
        <v>0</v>
      </c>
      <c r="BF301" s="1">
        <f>MIN(4,V301+0)</f>
        <v>1</v>
      </c>
      <c r="BG301" s="1">
        <f t="shared" si="431"/>
        <v>1</v>
      </c>
      <c r="BH301" s="1">
        <f t="shared" si="428"/>
        <v>1</v>
      </c>
      <c r="BI301" s="1">
        <f t="shared" si="432"/>
        <v>1</v>
      </c>
      <c r="BJ301" s="1">
        <f>MAX(Z301,1)</f>
        <v>1</v>
      </c>
      <c r="BK301" s="1">
        <f>MAX(AA301,1)</f>
        <v>1</v>
      </c>
      <c r="BL301" s="1">
        <f t="shared" si="408"/>
        <v>0</v>
      </c>
      <c r="BM301" s="1">
        <f t="shared" si="406"/>
        <v>0</v>
      </c>
      <c r="BN301" s="1">
        <f t="shared" si="429"/>
        <v>1</v>
      </c>
      <c r="BO301" s="1">
        <f t="shared" si="430"/>
        <v>1</v>
      </c>
    </row>
    <row r="302" spans="1:67" ht="30.95" customHeight="1">
      <c r="A302" s="1">
        <f>8</f>
        <v>8</v>
      </c>
      <c r="B302" s="1">
        <f>固定流程!A14</f>
        <v>9</v>
      </c>
      <c r="C302" s="1">
        <f>11</f>
        <v>11</v>
      </c>
      <c r="D302" s="1">
        <f>1</f>
        <v>1</v>
      </c>
      <c r="E302" s="1">
        <f>固定流程!C14</f>
        <v>2</v>
      </c>
      <c r="F302" s="1">
        <f>固定流程!G14</f>
        <v>1</v>
      </c>
      <c r="G302" s="1" t="str">
        <f>固定流程!H14</f>
        <v>LILYA_DIVE</v>
      </c>
      <c r="H302" s="1">
        <f>固定流程!F14</f>
        <v>3</v>
      </c>
      <c r="I302" s="1">
        <f>INDEX(配置与结果!$B$15:$B$18,F302)</f>
        <v>2296</v>
      </c>
      <c r="J302" s="1">
        <f>INDEX(配置与结果!$D$15:$D$18,F302)</f>
        <v>0.7</v>
      </c>
      <c r="K302" s="1">
        <f>INDEX(配置与结果!$E$15:$E$18,F302)</f>
        <v>2.0249999999999999</v>
      </c>
      <c r="L302" s="1">
        <f t="shared" ref="L302:N306" si="436">AV301</f>
        <v>1</v>
      </c>
      <c r="M302" s="1">
        <f t="shared" si="436"/>
        <v>7</v>
      </c>
      <c r="N302" s="1">
        <f t="shared" si="436"/>
        <v>0</v>
      </c>
      <c r="O302" s="1">
        <f t="shared" si="435"/>
        <v>6</v>
      </c>
      <c r="P302" s="1">
        <f>MIN(方案参数!$AI$11,AZ301+0+0)</f>
        <v>5</v>
      </c>
      <c r="Q302" s="1">
        <f t="shared" si="413"/>
        <v>3</v>
      </c>
      <c r="R302" s="1">
        <f t="shared" si="414"/>
        <v>5</v>
      </c>
      <c r="S302" s="1">
        <f t="shared" si="415"/>
        <v>1</v>
      </c>
      <c r="T302" s="1">
        <f t="shared" si="416"/>
        <v>0</v>
      </c>
      <c r="U302" s="1">
        <f t="shared" si="417"/>
        <v>0</v>
      </c>
      <c r="V302" s="1">
        <f t="shared" si="418"/>
        <v>1</v>
      </c>
      <c r="W302" s="1">
        <f t="shared" si="419"/>
        <v>1</v>
      </c>
      <c r="X302" s="1">
        <f t="shared" si="420"/>
        <v>1</v>
      </c>
      <c r="Y302" s="1">
        <f t="shared" si="421"/>
        <v>1</v>
      </c>
      <c r="Z302" s="1">
        <f t="shared" si="422"/>
        <v>1</v>
      </c>
      <c r="AA302" s="1">
        <f t="shared" ref="AA302:AA307" si="437">MAX(BK301,0)</f>
        <v>1</v>
      </c>
      <c r="AB302" s="1">
        <f t="shared" si="424"/>
        <v>0</v>
      </c>
      <c r="AC302" s="1">
        <f t="shared" si="425"/>
        <v>0</v>
      </c>
      <c r="AD302" s="1">
        <f>ROUNDDOWN(I302*(1+IF(F302=3,0.05+方案参数!$Y$11+AA302*0.12,IF(F302=4,方案参数!$BZ$11*方案参数!$AS$11,0)))+IF(AND(X302=1,F302&lt;&gt;3),方案参数!$CC$11,0)+AC302*方案参数!$CB$11,0)</f>
        <v>2534</v>
      </c>
      <c r="AE302" s="1">
        <f>IF(OR(F302=1,F302=4),配置与结果!$B$24,配置与结果!$B$25)*MAX(0,1-INDEX(配置与结果!$I$15:$I$18,F302))</f>
        <v>1200</v>
      </c>
      <c r="AF302" s="1">
        <f>(IF(L302=1,方案参数!$AW$11,IF(L302=2,方案参数!$AX$11,0))+方案参数!$AV$11)*H302</f>
        <v>18</v>
      </c>
      <c r="AG302" s="1">
        <f>MAX(配置与结果!$B$32,1+INDEX(配置与结果!$F$15:$F$18,F302)+0.08+方案参数!$CD$11+Q302*方案参数!$W$11+Y302*(方案参数!$AN$11+MIN(方案参数!$AO$11,P302*0.03))+AB302*方案参数!$BZ$11*0.025+IF(L302=1,方案参数!$AY$11+(H302-1)*0.1,IF(L302=2,方案参数!$AZ$11+(H302-1)*0.2,0))-配置与结果!$B$28)</f>
        <v>1.6</v>
      </c>
      <c r="AH302" s="1">
        <f>MAX(0,1+INDEX(配置与结果!$G$15:$G$18,F302)+W302*方案参数!$AG$11+IF(L302=1,方案参数!$BA$11,IF(L302=2,方案参数!$BB$11,0))+M302*方案参数!$BC$11)</f>
        <v>2.3199999999999998</v>
      </c>
      <c r="AI302" s="1">
        <f>IF(OR(INDEX(配置与结果!$K$15:$K$18,F302)=1,G302="RHI_BERRY"),1+配置与结果!$B$33+P302*方案参数!$AH$11,1)</f>
        <v>1</v>
      </c>
      <c r="AJ302" s="1">
        <f>MIN(1,MAX(0,J302+方案参数!$AB$11-配置与结果!$B$27))</f>
        <v>1</v>
      </c>
      <c r="AK302" s="1">
        <f>MAX(1,K302+IF(F302=2,0.15+方案参数!$CH$11,0)+BN302*方案参数!$X$11+R302*方案参数!$AA$11+0-配置与结果!$B$26+Z302*(方案参数!$AP$11+MIN(方案参数!$AQ$11,P302*0.03)))</f>
        <v>2.105</v>
      </c>
      <c r="AL302" s="7">
        <f>ROUNDDOWN(MAX(AD302*配置与结果!$B$31,AD302-AE302)*AF302*AG302*AH302*AI302,0)</f>
        <v>89132</v>
      </c>
      <c r="AM302" s="7">
        <f>ROUNDDOWN(MAX(AD302*配置与结果!$B$31,AD302-AE302)*AF302*AG302*AH302*AI302*AK302,0)</f>
        <v>187624</v>
      </c>
      <c r="AN302" s="7">
        <f t="shared" si="380"/>
        <v>187624</v>
      </c>
      <c r="AO302" s="7">
        <f>0</f>
        <v>0</v>
      </c>
      <c r="AP302" s="7">
        <f>MAX(0,1+INDEX(配置与结果!$J$15:$J$18,F302)+IF(T302&gt;0,方案参数!$BY$11,0)-配置与结果!$B$30)</f>
        <v>1</v>
      </c>
      <c r="AQ302" s="7">
        <f t="shared" si="381"/>
        <v>0</v>
      </c>
      <c r="AR302" s="7">
        <f t="shared" si="382"/>
        <v>0</v>
      </c>
      <c r="AS302" s="7">
        <f t="shared" si="383"/>
        <v>0</v>
      </c>
      <c r="AT302" s="7">
        <f>0</f>
        <v>0</v>
      </c>
      <c r="AU302" s="7">
        <f t="shared" si="384"/>
        <v>187624</v>
      </c>
      <c r="AV302" s="1">
        <f t="shared" si="385"/>
        <v>1</v>
      </c>
      <c r="AW302" s="1">
        <f>MIN(10,M302+0+IF(L302=1,方案参数!$BE$11,0))</f>
        <v>8</v>
      </c>
      <c r="AX302" s="1">
        <f t="shared" si="386"/>
        <v>0</v>
      </c>
      <c r="AY302" s="1">
        <f t="shared" si="433"/>
        <v>6</v>
      </c>
      <c r="AZ302" s="1">
        <f t="shared" si="387"/>
        <v>5</v>
      </c>
      <c r="BA302" s="1">
        <f>MIN(6,Q302+0)</f>
        <v>3</v>
      </c>
      <c r="BB302" s="1">
        <f t="shared" si="426"/>
        <v>5</v>
      </c>
      <c r="BC302" s="1">
        <f>MIN(3,S302+0)</f>
        <v>1</v>
      </c>
      <c r="BD302" s="1">
        <f t="shared" si="434"/>
        <v>0</v>
      </c>
      <c r="BE302" s="1">
        <f t="shared" si="427"/>
        <v>0</v>
      </c>
      <c r="BF302" s="1">
        <f>MIN(4,V302+0)</f>
        <v>1</v>
      </c>
      <c r="BG302" s="1">
        <f t="shared" si="431"/>
        <v>1</v>
      </c>
      <c r="BH302" s="1">
        <f t="shared" si="428"/>
        <v>1</v>
      </c>
      <c r="BI302" s="1">
        <f t="shared" si="432"/>
        <v>1</v>
      </c>
      <c r="BJ302" s="1">
        <f t="shared" ref="BJ302:BK307" si="438">MAX(Z302,0)</f>
        <v>1</v>
      </c>
      <c r="BK302" s="1">
        <f t="shared" si="438"/>
        <v>1</v>
      </c>
      <c r="BL302" s="1">
        <f t="shared" si="408"/>
        <v>0</v>
      </c>
      <c r="BM302" s="1">
        <f t="shared" si="406"/>
        <v>0</v>
      </c>
      <c r="BN302" s="1">
        <f t="shared" si="429"/>
        <v>1</v>
      </c>
      <c r="BO302" s="1">
        <f t="shared" si="430"/>
        <v>1</v>
      </c>
    </row>
    <row r="303" spans="1:67" ht="30.95" customHeight="1">
      <c r="A303" s="1">
        <f>8</f>
        <v>8</v>
      </c>
      <c r="B303" s="1">
        <f>固定流程!A15</f>
        <v>10</v>
      </c>
      <c r="C303" s="1">
        <f>11</f>
        <v>11</v>
      </c>
      <c r="D303" s="1">
        <f>1</f>
        <v>1</v>
      </c>
      <c r="E303" s="1">
        <f>固定流程!C15</f>
        <v>2</v>
      </c>
      <c r="F303" s="1">
        <f>固定流程!G15</f>
        <v>4</v>
      </c>
      <c r="G303" s="1" t="str">
        <f>固定流程!H15</f>
        <v>J_HARD</v>
      </c>
      <c r="H303" s="1">
        <f>固定流程!F15</f>
        <v>1</v>
      </c>
      <c r="I303" s="1">
        <f>INDEX(配置与结果!$B$15:$B$18,F303)</f>
        <v>1906</v>
      </c>
      <c r="J303" s="1">
        <f>INDEX(配置与结果!$D$15:$D$18,F303)</f>
        <v>0.36699999999999999</v>
      </c>
      <c r="K303" s="1">
        <f>INDEX(配置与结果!$E$15:$E$18,F303)</f>
        <v>1.7170000000000001</v>
      </c>
      <c r="L303" s="1">
        <f t="shared" si="436"/>
        <v>1</v>
      </c>
      <c r="M303" s="1">
        <f t="shared" si="436"/>
        <v>8</v>
      </c>
      <c r="N303" s="1">
        <f t="shared" si="436"/>
        <v>0</v>
      </c>
      <c r="O303" s="1">
        <f t="shared" si="435"/>
        <v>6</v>
      </c>
      <c r="P303" s="1">
        <f>MIN(方案参数!$AI$11,AZ302+0+0)</f>
        <v>5</v>
      </c>
      <c r="Q303" s="1">
        <f t="shared" si="413"/>
        <v>3</v>
      </c>
      <c r="R303" s="1">
        <f t="shared" si="414"/>
        <v>5</v>
      </c>
      <c r="S303" s="1">
        <f t="shared" si="415"/>
        <v>1</v>
      </c>
      <c r="T303" s="1">
        <f t="shared" si="416"/>
        <v>0</v>
      </c>
      <c r="U303" s="1">
        <f t="shared" si="417"/>
        <v>0</v>
      </c>
      <c r="V303" s="1">
        <f t="shared" si="418"/>
        <v>1</v>
      </c>
      <c r="W303" s="1">
        <f t="shared" si="419"/>
        <v>1</v>
      </c>
      <c r="X303" s="1">
        <f t="shared" si="420"/>
        <v>1</v>
      </c>
      <c r="Y303" s="1">
        <f t="shared" si="421"/>
        <v>1</v>
      </c>
      <c r="Z303" s="1">
        <f t="shared" si="422"/>
        <v>1</v>
      </c>
      <c r="AA303" s="1">
        <f t="shared" si="437"/>
        <v>1</v>
      </c>
      <c r="AB303" s="1">
        <f t="shared" si="424"/>
        <v>0</v>
      </c>
      <c r="AC303" s="1">
        <f t="shared" si="425"/>
        <v>0</v>
      </c>
      <c r="AD303" s="1">
        <f>ROUNDDOWN(I303*(1+IF(F303=3,0.05+方案参数!$Y$11+AA303*0.12,IF(F303=4,方案参数!$BZ$11*方案参数!$AS$11,0)))+IF(AND(X303=1,F303&lt;&gt;3),方案参数!$CC$11,0)+AC303*方案参数!$CB$11,0)</f>
        <v>2811</v>
      </c>
      <c r="AE303" s="1">
        <f>IF(OR(F303=1,F303=4),配置与结果!$B$24,配置与结果!$B$25)*MAX(0,1-INDEX(配置与结果!$I$15:$I$18,F303))</f>
        <v>1200</v>
      </c>
      <c r="AF303" s="1">
        <f>3.6*IF(H303=1,1,IF(H303=2,1.5,2.5))</f>
        <v>3.6</v>
      </c>
      <c r="AG303" s="1">
        <f>MAX(配置与结果!$B$32,1+INDEX(配置与结果!$F$15:$F$18,F303)+0.08+Q303*方案参数!$W$11+Y303*(方案参数!$AN$11+MIN(方案参数!$AO$11,P303*0.03))+AB303*方案参数!$BZ$11*0.025+0.1+IF(方案参数!$BZ$11&gt;=30,方案参数!$BZ$11*0.01,0)-配置与结果!$B$28)</f>
        <v>1.5150000000000001</v>
      </c>
      <c r="AH303" s="1">
        <f>MAX(0,1+INDEX(配置与结果!$G$15:$G$18,F303)+W303*方案参数!$AG$11)</f>
        <v>1.3</v>
      </c>
      <c r="AI303" s="1">
        <f>IF(OR(INDEX(配置与结果!$K$15:$K$18,F303)=1,G303="RHI_BERRY"),1+配置与结果!$B$33+P303*方案参数!$AH$11,1)</f>
        <v>1</v>
      </c>
      <c r="AJ303" s="1">
        <f>MIN(1,MAX(0,J303+方案参数!$AB$11-配置与结果!$B$27))</f>
        <v>0.66700000000000004</v>
      </c>
      <c r="AK303" s="1">
        <f>MAX(1,K303+IF(F303=2,0.15+方案参数!$CH$11,0)+BN303*方案参数!$X$11+R303*方案参数!$AA$11+0-配置与结果!$B$26+Z303*(方案参数!$AP$11+MIN(方案参数!$AQ$11,P303*0.03)))</f>
        <v>1.7969999999999999</v>
      </c>
      <c r="AL303" s="7">
        <f>ROUNDDOWN(MAX(AD303*配置与结果!$B$31,AD303-AE303)*AF303*AG303*AH303*AI303,0)</f>
        <v>11422</v>
      </c>
      <c r="AM303" s="7">
        <f>ROUNDDOWN(MAX(AD303*配置与结果!$B$31,AD303-AE303)*AF303*AG303*AH303*AI303*AK303,0)</f>
        <v>20525</v>
      </c>
      <c r="AN303" s="7">
        <f t="shared" si="380"/>
        <v>17493.701000000001</v>
      </c>
      <c r="AO303" s="7">
        <f>0</f>
        <v>0</v>
      </c>
      <c r="AP303" s="7">
        <f>MAX(0,1+INDEX(配置与结果!$J$15:$J$18,F303)+IF(T303&gt;0,方案参数!$BY$11,0)-配置与结果!$B$30)</f>
        <v>1</v>
      </c>
      <c r="AQ303" s="7">
        <f t="shared" si="381"/>
        <v>0</v>
      </c>
      <c r="AR303" s="7">
        <f t="shared" si="382"/>
        <v>0</v>
      </c>
      <c r="AS303" s="7">
        <f t="shared" si="383"/>
        <v>0</v>
      </c>
      <c r="AT303" s="7">
        <f>0</f>
        <v>0</v>
      </c>
      <c r="AU303" s="7">
        <f t="shared" si="384"/>
        <v>17493.701000000001</v>
      </c>
      <c r="AV303" s="1">
        <f t="shared" si="385"/>
        <v>1</v>
      </c>
      <c r="AW303" s="1">
        <f t="shared" ref="AW303:AW313" si="439">MIN(10,M303+0+0)</f>
        <v>8</v>
      </c>
      <c r="AX303" s="1">
        <f t="shared" si="386"/>
        <v>0</v>
      </c>
      <c r="AY303" s="1">
        <f t="shared" si="433"/>
        <v>6</v>
      </c>
      <c r="AZ303" s="1">
        <f t="shared" si="387"/>
        <v>5</v>
      </c>
      <c r="BA303" s="1">
        <f>MIN(6,Q303+0)</f>
        <v>3</v>
      </c>
      <c r="BB303" s="1">
        <f t="shared" si="426"/>
        <v>5</v>
      </c>
      <c r="BC303" s="1">
        <f>MIN(3,S303+1)</f>
        <v>2</v>
      </c>
      <c r="BD303" s="1">
        <f t="shared" si="434"/>
        <v>0</v>
      </c>
      <c r="BE303" s="1">
        <f t="shared" si="427"/>
        <v>0</v>
      </c>
      <c r="BF303" s="1">
        <f>MIN(4,V303+0)</f>
        <v>1</v>
      </c>
      <c r="BG303" s="1">
        <f t="shared" si="431"/>
        <v>1</v>
      </c>
      <c r="BH303" s="1">
        <f t="shared" si="428"/>
        <v>1</v>
      </c>
      <c r="BI303" s="1">
        <f t="shared" si="432"/>
        <v>1</v>
      </c>
      <c r="BJ303" s="1">
        <f t="shared" si="438"/>
        <v>1</v>
      </c>
      <c r="BK303" s="1">
        <f t="shared" si="438"/>
        <v>1</v>
      </c>
      <c r="BL303" s="1">
        <f t="shared" si="408"/>
        <v>0</v>
      </c>
      <c r="BM303" s="1">
        <f t="shared" si="406"/>
        <v>0</v>
      </c>
      <c r="BN303" s="1">
        <f t="shared" si="429"/>
        <v>1</v>
      </c>
      <c r="BO303" s="1">
        <f t="shared" si="430"/>
        <v>1</v>
      </c>
    </row>
    <row r="304" spans="1:67" ht="30.95" customHeight="1">
      <c r="A304" s="1">
        <f>8</f>
        <v>8</v>
      </c>
      <c r="B304" s="1">
        <f>固定流程!A16</f>
        <v>11</v>
      </c>
      <c r="C304" s="1">
        <f>11</f>
        <v>11</v>
      </c>
      <c r="D304" s="1">
        <f>1</f>
        <v>1</v>
      </c>
      <c r="E304" s="1">
        <f>固定流程!C16</f>
        <v>2</v>
      </c>
      <c r="F304" s="1">
        <f>固定流程!G16</f>
        <v>2</v>
      </c>
      <c r="G304" s="1" t="str">
        <f>固定流程!H16</f>
        <v>37_CURVE</v>
      </c>
      <c r="H304" s="1">
        <f>固定流程!F16</f>
        <v>1</v>
      </c>
      <c r="I304" s="1">
        <f>INDEX(配置与结果!$B$15:$B$18,F304)</f>
        <v>2306</v>
      </c>
      <c r="J304" s="1">
        <f>INDEX(配置与结果!$D$15:$D$18,F304)</f>
        <v>0.46</v>
      </c>
      <c r="K304" s="1">
        <f>INDEX(配置与结果!$E$15:$E$18,F304)</f>
        <v>1.9279999999999999</v>
      </c>
      <c r="L304" s="1">
        <f t="shared" si="436"/>
        <v>1</v>
      </c>
      <c r="M304" s="1">
        <f t="shared" si="436"/>
        <v>8</v>
      </c>
      <c r="N304" s="1">
        <f t="shared" si="436"/>
        <v>0</v>
      </c>
      <c r="O304" s="1">
        <f t="shared" si="435"/>
        <v>6</v>
      </c>
      <c r="P304" s="1">
        <f>MIN(方案参数!$AI$11,AZ303+0+0)</f>
        <v>5</v>
      </c>
      <c r="Q304" s="1">
        <f t="shared" si="413"/>
        <v>3</v>
      </c>
      <c r="R304" s="1">
        <f t="shared" si="414"/>
        <v>5</v>
      </c>
      <c r="S304" s="1">
        <f t="shared" si="415"/>
        <v>2</v>
      </c>
      <c r="T304" s="1">
        <f t="shared" si="416"/>
        <v>0</v>
      </c>
      <c r="U304" s="1">
        <f t="shared" si="417"/>
        <v>0</v>
      </c>
      <c r="V304" s="1">
        <f t="shared" si="418"/>
        <v>1</v>
      </c>
      <c r="W304" s="1">
        <f t="shared" si="419"/>
        <v>1</v>
      </c>
      <c r="X304" s="1">
        <f t="shared" si="420"/>
        <v>1</v>
      </c>
      <c r="Y304" s="1">
        <f t="shared" si="421"/>
        <v>1</v>
      </c>
      <c r="Z304" s="1">
        <f t="shared" si="422"/>
        <v>1</v>
      </c>
      <c r="AA304" s="1">
        <f t="shared" si="437"/>
        <v>1</v>
      </c>
      <c r="AB304" s="1">
        <f t="shared" si="424"/>
        <v>0</v>
      </c>
      <c r="AC304" s="1">
        <f t="shared" si="425"/>
        <v>0</v>
      </c>
      <c r="AD304" s="1">
        <f>ROUNDDOWN(I304*(1+IF(F304=3,0.05+方案参数!$Y$11+AA304*0.12,IF(F304=4,方案参数!$BZ$11*方案参数!$AS$11,0)))+IF(AND(X304=1,F304&lt;&gt;3),方案参数!$CC$11,0)+AC304*方案参数!$CB$11,0)</f>
        <v>2544</v>
      </c>
      <c r="AE304" s="1">
        <f>IF(OR(F304=1,F304=4),配置与结果!$B$24,配置与结果!$B$25)*MAX(0,1-INDEX(配置与结果!$I$15:$I$18,F304))</f>
        <v>1000</v>
      </c>
      <c r="AF304" s="1">
        <f>方案参数!$BT$11*IF(H304=1,1,IF(H304=2,1.5,2.5))</f>
        <v>1.4</v>
      </c>
      <c r="AG304" s="1">
        <f>MAX(配置与结果!$B$32,1+INDEX(配置与结果!$F$15:$F$18,F304)+0+Q304*方案参数!$W$11+Y304*(方案参数!$AN$11+MIN(方案参数!$AO$11,P304*0.03))+AB304*方案参数!$BZ$11*0.025-配置与结果!$B$28)</f>
        <v>0.96499999999999997</v>
      </c>
      <c r="AH304" s="1">
        <f>MAX(0,1+INDEX(配置与结果!$G$15:$G$18,F304)+W304*方案参数!$AG$11)</f>
        <v>1.3</v>
      </c>
      <c r="AI304" s="1">
        <f>IF(OR(INDEX(配置与结果!$K$15:$K$18,F304)=1,G304="RHI_BERRY"),1+配置与结果!$B$33+P304*方案参数!$AH$11,1)</f>
        <v>1</v>
      </c>
      <c r="AJ304" s="1">
        <f>MIN(1,MAX(0,J304+方案参数!$AB$11-配置与结果!$B$27))</f>
        <v>0.76</v>
      </c>
      <c r="AK304" s="1">
        <f>MAX(1,K304+IF(F304=2,0.15+方案参数!$CH$11,0)+BN304*方案参数!$X$11+R304*方案参数!$AA$11+0-配置与结果!$B$26+Z304*(方案参数!$AP$11+MIN(方案参数!$AQ$11,P304*0.03)))</f>
        <v>2.278</v>
      </c>
      <c r="AL304" s="7">
        <f>ROUNDDOWN(MAX(AD304*配置与结果!$B$31,AD304-AE304)*AF304*AG304*AH304*AI304,0)</f>
        <v>2711</v>
      </c>
      <c r="AM304" s="7">
        <f>ROUNDDOWN(MAX(AD304*配置与结果!$B$31,AD304-AE304)*AF304*AG304*AH304*AI304*AK304,0)</f>
        <v>6177</v>
      </c>
      <c r="AN304" s="7">
        <f t="shared" si="380"/>
        <v>5345.1600000000008</v>
      </c>
      <c r="AO304" s="7">
        <f>方案参数!$BU$11*IF(H304=1,1,IF(H304=2,1.5,2.5))</f>
        <v>0.8</v>
      </c>
      <c r="AP304" s="7">
        <f>MAX(0,1+INDEX(配置与结果!$J$15:$J$18,F304)+IF(T304&gt;0,方案参数!$BY$11,0)-配置与结果!$B$30)</f>
        <v>1</v>
      </c>
      <c r="AQ304" s="7">
        <f t="shared" si="381"/>
        <v>2035</v>
      </c>
      <c r="AR304" s="7">
        <f t="shared" si="382"/>
        <v>4635</v>
      </c>
      <c r="AS304" s="7">
        <f t="shared" si="383"/>
        <v>4011</v>
      </c>
      <c r="AT304" s="7">
        <f>0</f>
        <v>0</v>
      </c>
      <c r="AU304" s="7">
        <f t="shared" si="384"/>
        <v>9356.16</v>
      </c>
      <c r="AV304" s="1">
        <f t="shared" si="385"/>
        <v>1</v>
      </c>
      <c r="AW304" s="1">
        <f t="shared" si="439"/>
        <v>8</v>
      </c>
      <c r="AX304" s="1">
        <f t="shared" si="386"/>
        <v>0</v>
      </c>
      <c r="AY304" s="1">
        <f t="shared" si="433"/>
        <v>6</v>
      </c>
      <c r="AZ304" s="1">
        <f t="shared" si="387"/>
        <v>5</v>
      </c>
      <c r="BA304" s="1">
        <f>MIN(6,Q304+0)</f>
        <v>3</v>
      </c>
      <c r="BB304" s="1">
        <f t="shared" si="426"/>
        <v>5</v>
      </c>
      <c r="BC304" s="1">
        <f t="shared" ref="BC304:BC310" si="440">MIN(3,S304+0)</f>
        <v>2</v>
      </c>
      <c r="BD304" s="1">
        <f t="shared" si="434"/>
        <v>0</v>
      </c>
      <c r="BE304" s="1">
        <f t="shared" si="427"/>
        <v>0</v>
      </c>
      <c r="BF304" s="1">
        <f>MIN(4,V304+0)</f>
        <v>1</v>
      </c>
      <c r="BG304" s="1">
        <f t="shared" si="431"/>
        <v>1</v>
      </c>
      <c r="BH304" s="1">
        <f t="shared" si="428"/>
        <v>1</v>
      </c>
      <c r="BI304" s="1">
        <f t="shared" si="432"/>
        <v>1</v>
      </c>
      <c r="BJ304" s="1">
        <f t="shared" si="438"/>
        <v>1</v>
      </c>
      <c r="BK304" s="1">
        <f t="shared" si="438"/>
        <v>1</v>
      </c>
      <c r="BL304" s="1">
        <f t="shared" si="408"/>
        <v>0</v>
      </c>
      <c r="BM304" s="1">
        <f t="shared" si="406"/>
        <v>0</v>
      </c>
      <c r="BN304" s="1">
        <f t="shared" si="429"/>
        <v>1</v>
      </c>
      <c r="BO304" s="1">
        <f t="shared" si="430"/>
        <v>1</v>
      </c>
    </row>
    <row r="305" spans="1:67" ht="30.95" customHeight="1">
      <c r="A305" s="1">
        <f>8</f>
        <v>8</v>
      </c>
      <c r="B305" s="1">
        <f>固定流程!A17</f>
        <v>12</v>
      </c>
      <c r="C305" s="1">
        <f>11</f>
        <v>11</v>
      </c>
      <c r="D305" s="1">
        <f>1</f>
        <v>1</v>
      </c>
      <c r="E305" s="1">
        <f>固定流程!C17</f>
        <v>2</v>
      </c>
      <c r="F305" s="1">
        <f>固定流程!G17</f>
        <v>2</v>
      </c>
      <c r="G305" s="1" t="str">
        <f>固定流程!H17</f>
        <v>37_FOLLOW</v>
      </c>
      <c r="H305" s="1">
        <f>固定流程!F17</f>
        <v>1</v>
      </c>
      <c r="I305" s="1">
        <f>INDEX(配置与结果!$B$15:$B$18,F305)</f>
        <v>2306</v>
      </c>
      <c r="J305" s="1">
        <f>INDEX(配置与结果!$D$15:$D$18,F305)</f>
        <v>0.46</v>
      </c>
      <c r="K305" s="1">
        <f>INDEX(配置与结果!$E$15:$E$18,F305)</f>
        <v>1.9279999999999999</v>
      </c>
      <c r="L305" s="1">
        <f t="shared" si="436"/>
        <v>1</v>
      </c>
      <c r="M305" s="1">
        <f t="shared" si="436"/>
        <v>8</v>
      </c>
      <c r="N305" s="1">
        <f t="shared" si="436"/>
        <v>0</v>
      </c>
      <c r="O305" s="1">
        <f t="shared" si="435"/>
        <v>6</v>
      </c>
      <c r="P305" s="1">
        <f>MIN(方案参数!$AI$11,AZ304+0+0)</f>
        <v>5</v>
      </c>
      <c r="Q305" s="1">
        <f t="shared" si="413"/>
        <v>3</v>
      </c>
      <c r="R305" s="1">
        <f t="shared" si="414"/>
        <v>5</v>
      </c>
      <c r="S305" s="1">
        <f t="shared" si="415"/>
        <v>2</v>
      </c>
      <c r="T305" s="1">
        <f t="shared" si="416"/>
        <v>0</v>
      </c>
      <c r="U305" s="1">
        <f t="shared" si="417"/>
        <v>0</v>
      </c>
      <c r="V305" s="1">
        <f t="shared" si="418"/>
        <v>1</v>
      </c>
      <c r="W305" s="1">
        <f t="shared" si="419"/>
        <v>1</v>
      </c>
      <c r="X305" s="1">
        <f t="shared" si="420"/>
        <v>1</v>
      </c>
      <c r="Y305" s="1">
        <f t="shared" si="421"/>
        <v>1</v>
      </c>
      <c r="Z305" s="1">
        <f t="shared" si="422"/>
        <v>1</v>
      </c>
      <c r="AA305" s="1">
        <f t="shared" si="437"/>
        <v>1</v>
      </c>
      <c r="AB305" s="1">
        <f t="shared" si="424"/>
        <v>0</v>
      </c>
      <c r="AC305" s="1">
        <f t="shared" si="425"/>
        <v>0</v>
      </c>
      <c r="AD305" s="1">
        <f>ROUNDDOWN(I305*(1+IF(F305=3,0.05+方案参数!$Y$11+AA305*0.12,IF(F305=4,方案参数!$BZ$11*方案参数!$AS$11,0)))+IF(AND(X305=1,F305&lt;&gt;3),方案参数!$CC$11,0)+AC305*方案参数!$CB$11,0)</f>
        <v>2544</v>
      </c>
      <c r="AE305" s="1">
        <f>IF(OR(F305=1,F305=4),配置与结果!$B$24,配置与结果!$B$25)*MAX(0,1-INDEX(配置与结果!$I$15:$I$18,F305))</f>
        <v>1000</v>
      </c>
      <c r="AF305" s="1">
        <f>方案参数!$BV$11</f>
        <v>3</v>
      </c>
      <c r="AG305" s="1">
        <f>MAX(配置与结果!$B$32,1+INDEX(配置与结果!$F$15:$F$18,F305)+0+Q305*方案参数!$W$11+Y305*(方案参数!$AN$11+MIN(方案参数!$AO$11,P305*0.03))+AB305*方案参数!$BZ$11*0.025-配置与结果!$B$28)</f>
        <v>0.96499999999999997</v>
      </c>
      <c r="AH305" s="1">
        <f>MAX(0,1+INDEX(配置与结果!$G$15:$G$18,F305)+W305*方案参数!$AG$11)</f>
        <v>1.3</v>
      </c>
      <c r="AI305" s="1">
        <f>IF(OR(INDEX(配置与结果!$K$15:$K$18,F305)=1,G305="RHI_BERRY"),1+配置与结果!$B$33+P305*方案参数!$AH$11,1)</f>
        <v>1</v>
      </c>
      <c r="AJ305" s="1">
        <f>MIN(1,MAX(0,J305+方案参数!$AB$11-配置与结果!$B$27))</f>
        <v>0.76</v>
      </c>
      <c r="AK305" s="1">
        <f>MAX(1,K305+IF(F305=2,0.15+方案参数!$CH$11,0)+BN305*方案参数!$X$11+R305*方案参数!$AA$11+0-配置与结果!$B$26+Z305*(方案参数!$AP$11+MIN(方案参数!$AQ$11,P305*0.03)))</f>
        <v>2.278</v>
      </c>
      <c r="AL305" s="7">
        <f>ROUNDDOWN(MAX(AD305*配置与结果!$B$31,AD305-AE305)*AF305*AG305*AH305*AI305,0)</f>
        <v>5810</v>
      </c>
      <c r="AM305" s="7">
        <f>ROUNDDOWN(MAX(AD305*配置与结果!$B$31,AD305-AE305)*AF305*AG305*AH305*AI305*AK305,0)</f>
        <v>13237</v>
      </c>
      <c r="AN305" s="7">
        <f t="shared" si="380"/>
        <v>11454.52</v>
      </c>
      <c r="AO305" s="7">
        <f>方案参数!$BW$11</f>
        <v>1</v>
      </c>
      <c r="AP305" s="7">
        <f>MAX(0,1+INDEX(配置与结果!$J$15:$J$18,F305)+IF(T305&gt;0,方案参数!$BY$11,0)-配置与结果!$B$30)</f>
        <v>1</v>
      </c>
      <c r="AQ305" s="7">
        <f t="shared" si="381"/>
        <v>2544</v>
      </c>
      <c r="AR305" s="7">
        <f t="shared" si="382"/>
        <v>5795</v>
      </c>
      <c r="AS305" s="7">
        <f t="shared" si="383"/>
        <v>5014.76</v>
      </c>
      <c r="AT305" s="7">
        <f>0</f>
        <v>0</v>
      </c>
      <c r="AU305" s="7">
        <f t="shared" si="384"/>
        <v>16469.28</v>
      </c>
      <c r="AV305" s="1">
        <f t="shared" si="385"/>
        <v>1</v>
      </c>
      <c r="AW305" s="1">
        <f t="shared" si="439"/>
        <v>8</v>
      </c>
      <c r="AX305" s="1">
        <f t="shared" si="386"/>
        <v>0</v>
      </c>
      <c r="AY305" s="1">
        <f t="shared" si="433"/>
        <v>6</v>
      </c>
      <c r="AZ305" s="1">
        <f t="shared" si="387"/>
        <v>5</v>
      </c>
      <c r="BA305" s="1">
        <f>MIN(6,Q305+0)</f>
        <v>3</v>
      </c>
      <c r="BB305" s="1">
        <f t="shared" si="426"/>
        <v>5</v>
      </c>
      <c r="BC305" s="1">
        <f t="shared" si="440"/>
        <v>2</v>
      </c>
      <c r="BD305" s="1">
        <f t="shared" si="434"/>
        <v>0</v>
      </c>
      <c r="BE305" s="1">
        <f t="shared" si="427"/>
        <v>0</v>
      </c>
      <c r="BF305" s="1">
        <f>MIN(4,V305+1)</f>
        <v>2</v>
      </c>
      <c r="BG305" s="1">
        <f t="shared" si="431"/>
        <v>1</v>
      </c>
      <c r="BH305" s="1">
        <f t="shared" si="428"/>
        <v>1</v>
      </c>
      <c r="BI305" s="1">
        <f t="shared" si="432"/>
        <v>1</v>
      </c>
      <c r="BJ305" s="1">
        <f t="shared" si="438"/>
        <v>1</v>
      </c>
      <c r="BK305" s="1">
        <f t="shared" si="438"/>
        <v>1</v>
      </c>
      <c r="BL305" s="1">
        <f t="shared" si="408"/>
        <v>0</v>
      </c>
      <c r="BM305" s="1">
        <f t="shared" si="406"/>
        <v>0</v>
      </c>
      <c r="BN305" s="1">
        <f t="shared" si="429"/>
        <v>1</v>
      </c>
      <c r="BO305" s="1">
        <f t="shared" si="430"/>
        <v>1</v>
      </c>
    </row>
    <row r="306" spans="1:67" ht="30.95" customHeight="1">
      <c r="A306" s="1">
        <f>8</f>
        <v>8</v>
      </c>
      <c r="B306" s="1">
        <f>固定流程!A18</f>
        <v>13</v>
      </c>
      <c r="C306" s="1">
        <f>11</f>
        <v>11</v>
      </c>
      <c r="D306" s="1">
        <f>1</f>
        <v>1</v>
      </c>
      <c r="E306" s="1">
        <f>固定流程!C18</f>
        <v>2</v>
      </c>
      <c r="F306" s="1">
        <f>固定流程!G18</f>
        <v>3</v>
      </c>
      <c r="G306" s="1" t="str">
        <f>固定流程!H18</f>
        <v>RHI_BERRY</v>
      </c>
      <c r="H306" s="1">
        <f>固定流程!F18</f>
        <v>1</v>
      </c>
      <c r="I306" s="1">
        <f>INDEX(配置与结果!$B$15:$B$18,F306)</f>
        <v>2597</v>
      </c>
      <c r="J306" s="1">
        <f>INDEX(配置与结果!$D$15:$D$18,F306)</f>
        <v>0.255</v>
      </c>
      <c r="K306" s="1">
        <f>INDEX(配置与结果!$E$15:$E$18,F306)</f>
        <v>1.55</v>
      </c>
      <c r="L306" s="1">
        <f t="shared" si="436"/>
        <v>1</v>
      </c>
      <c r="M306" s="1">
        <f t="shared" si="436"/>
        <v>8</v>
      </c>
      <c r="N306" s="1">
        <f t="shared" si="436"/>
        <v>0</v>
      </c>
      <c r="O306" s="1">
        <f t="shared" si="435"/>
        <v>6</v>
      </c>
      <c r="P306" s="1">
        <f>MIN(方案参数!$AI$11,AZ305+0+0)</f>
        <v>5</v>
      </c>
      <c r="Q306" s="1">
        <f t="shared" si="413"/>
        <v>3</v>
      </c>
      <c r="R306" s="1">
        <f t="shared" si="414"/>
        <v>5</v>
      </c>
      <c r="S306" s="1">
        <f t="shared" si="415"/>
        <v>2</v>
      </c>
      <c r="T306" s="1">
        <f t="shared" si="416"/>
        <v>0</v>
      </c>
      <c r="U306" s="1">
        <f t="shared" si="417"/>
        <v>0</v>
      </c>
      <c r="V306" s="1">
        <f t="shared" si="418"/>
        <v>2</v>
      </c>
      <c r="W306" s="1">
        <f t="shared" si="419"/>
        <v>1</v>
      </c>
      <c r="X306" s="1">
        <f t="shared" si="420"/>
        <v>1</v>
      </c>
      <c r="Y306" s="1">
        <f t="shared" si="421"/>
        <v>1</v>
      </c>
      <c r="Z306" s="1">
        <f t="shared" si="422"/>
        <v>1</v>
      </c>
      <c r="AA306" s="1">
        <f t="shared" si="437"/>
        <v>1</v>
      </c>
      <c r="AB306" s="1">
        <f t="shared" si="424"/>
        <v>0</v>
      </c>
      <c r="AC306" s="1">
        <f t="shared" si="425"/>
        <v>0</v>
      </c>
      <c r="AD306" s="1">
        <f>ROUNDDOWN(I306*(1+IF(F306=3,0.05+方案参数!$Y$11+AA306*0.12,IF(F306=4,方案参数!$BZ$11*方案参数!$AS$11,0)))+IF(AND(X306=1,F306&lt;&gt;3),方案参数!$CC$11,0)+AC306*方案参数!$CB$11,0)</f>
        <v>3298</v>
      </c>
      <c r="AE306" s="1">
        <f>IF(OR(F306=1,F306=4),配置与结果!$B$24,配置与结果!$B$25)*MAX(0,1-INDEX(配置与结果!$I$15:$I$18,F306))</f>
        <v>1000</v>
      </c>
      <c r="AF306" s="1">
        <f>方案参数!$CF$11+P306*方案参数!$CG$11</f>
        <v>22.5</v>
      </c>
      <c r="AG306" s="1">
        <f>MAX(配置与结果!$B$32,1+INDEX(配置与结果!$F$15:$F$18,F306)+0+Q306*方案参数!$W$11+Y306*(方案参数!$AN$11+MIN(方案参数!$AO$11,P306*0.03))+AB306*方案参数!$BZ$11*0.025-配置与结果!$B$28)</f>
        <v>0.995</v>
      </c>
      <c r="AH306" s="1">
        <f>MAX(0,1+INDEX(配置与结果!$G$15:$G$18,F306)+W306*方案参数!$AG$11)</f>
        <v>1.3</v>
      </c>
      <c r="AI306" s="1">
        <f>IF(OR(INDEX(配置与结果!$K$15:$K$18,F306)=1,G306="RHI_BERRY"),1+配置与结果!$B$33+P306*方案参数!$AH$11,1)</f>
        <v>1.5</v>
      </c>
      <c r="AJ306" s="1">
        <f>MIN(1,MAX(0,J306+方案参数!$AB$11-配置与结果!$B$27))</f>
        <v>0.55499999999999994</v>
      </c>
      <c r="AK306" s="1">
        <f>MAX(1,K306+IF(F306=2,0.15+方案参数!$CH$11,0)+BN306*方案参数!$X$11+R306*方案参数!$AA$11+0-配置与结果!$B$26+Z306*(方案参数!$AP$11+MIN(方案参数!$AQ$11,P306*0.03)))</f>
        <v>1.6300000000000001</v>
      </c>
      <c r="AL306" s="7">
        <f>ROUNDDOWN(MAX(AD306*配置与结果!$B$31,AD306-AE306)*AF306*AG306*AH306*AI306,0)</f>
        <v>100320</v>
      </c>
      <c r="AM306" s="7">
        <f>ROUNDDOWN(MAX(AD306*配置与结果!$B$31,AD306-AE306)*AF306*AG306*AH306*AI306*AK306,0)</f>
        <v>163522</v>
      </c>
      <c r="AN306" s="7">
        <f t="shared" si="380"/>
        <v>135397.10999999999</v>
      </c>
      <c r="AO306" s="7">
        <f>0</f>
        <v>0</v>
      </c>
      <c r="AP306" s="7">
        <f>MAX(0,1+INDEX(配置与结果!$J$15:$J$18,F306)+IF(T306&gt;0,方案参数!$BY$11,0)-配置与结果!$B$30)</f>
        <v>1</v>
      </c>
      <c r="AQ306" s="7">
        <f t="shared" si="381"/>
        <v>0</v>
      </c>
      <c r="AR306" s="7">
        <f t="shared" si="382"/>
        <v>0</v>
      </c>
      <c r="AS306" s="7">
        <f t="shared" si="383"/>
        <v>0</v>
      </c>
      <c r="AT306" s="7">
        <f>0</f>
        <v>0</v>
      </c>
      <c r="AU306" s="7">
        <f t="shared" si="384"/>
        <v>135397.10999999999</v>
      </c>
      <c r="AV306" s="1">
        <f t="shared" si="385"/>
        <v>1</v>
      </c>
      <c r="AW306" s="1">
        <f t="shared" si="439"/>
        <v>8</v>
      </c>
      <c r="AX306" s="1">
        <f t="shared" si="386"/>
        <v>0</v>
      </c>
      <c r="AY306" s="1">
        <f t="shared" si="433"/>
        <v>6</v>
      </c>
      <c r="AZ306" s="1">
        <f t="shared" si="387"/>
        <v>5</v>
      </c>
      <c r="BA306" s="1">
        <f>MIN(6,Q306+0)</f>
        <v>3</v>
      </c>
      <c r="BB306" s="1">
        <f t="shared" si="426"/>
        <v>5</v>
      </c>
      <c r="BC306" s="1">
        <f t="shared" si="440"/>
        <v>2</v>
      </c>
      <c r="BD306" s="1">
        <f t="shared" si="434"/>
        <v>0</v>
      </c>
      <c r="BE306" s="1">
        <f t="shared" si="427"/>
        <v>0</v>
      </c>
      <c r="BF306" s="1">
        <f>MIN(4,V306+0)</f>
        <v>2</v>
      </c>
      <c r="BG306" s="1">
        <f t="shared" si="431"/>
        <v>1</v>
      </c>
      <c r="BH306" s="1">
        <f t="shared" si="428"/>
        <v>1</v>
      </c>
      <c r="BI306" s="1">
        <f t="shared" si="432"/>
        <v>1</v>
      </c>
      <c r="BJ306" s="1">
        <f t="shared" si="438"/>
        <v>1</v>
      </c>
      <c r="BK306" s="1">
        <f t="shared" si="438"/>
        <v>1</v>
      </c>
      <c r="BL306" s="1">
        <f t="shared" si="408"/>
        <v>0</v>
      </c>
      <c r="BM306" s="1">
        <f t="shared" si="406"/>
        <v>0</v>
      </c>
      <c r="BN306" s="1">
        <f t="shared" si="429"/>
        <v>1</v>
      </c>
      <c r="BO306" s="1">
        <f t="shared" si="430"/>
        <v>1</v>
      </c>
    </row>
    <row r="307" spans="1:67" ht="30.95" customHeight="1">
      <c r="A307" s="1">
        <f>8</f>
        <v>8</v>
      </c>
      <c r="B307" s="1">
        <f>固定流程!A19</f>
        <v>14</v>
      </c>
      <c r="C307" s="1">
        <f>11</f>
        <v>11</v>
      </c>
      <c r="D307" s="1">
        <f>1</f>
        <v>1</v>
      </c>
      <c r="E307" s="1">
        <f>固定流程!C19</f>
        <v>3</v>
      </c>
      <c r="F307" s="1">
        <f>固定流程!G19</f>
        <v>3</v>
      </c>
      <c r="G307" s="1" t="str">
        <f>固定流程!H19</f>
        <v>RHI_BUFF</v>
      </c>
      <c r="H307" s="1">
        <f>固定流程!F19</f>
        <v>1</v>
      </c>
      <c r="I307" s="1">
        <f>INDEX(配置与结果!$B$15:$B$18,F307)</f>
        <v>2597</v>
      </c>
      <c r="J307" s="1">
        <f>INDEX(配置与结果!$D$15:$D$18,F307)</f>
        <v>0.255</v>
      </c>
      <c r="K307" s="1">
        <f>INDEX(配置与结果!$E$15:$E$18,F307)</f>
        <v>1.55</v>
      </c>
      <c r="L307" s="1">
        <f>IF(AV306=1,IF(M307&gt;=10,2,1),IF(AV306=2,IF(AX306&lt;=1,0,2),0))</f>
        <v>2</v>
      </c>
      <c r="M307" s="1">
        <f>IF(AND(AV306=2,AX306&lt;=1),0,MIN(10,AW306+IF(AV306=1,3,0)))</f>
        <v>10</v>
      </c>
      <c r="N307" s="1">
        <f>IF(AND(AV306=1,M307&gt;=10),2,IF(AV306=2,MAX(0,AX306-1),0))</f>
        <v>2</v>
      </c>
      <c r="O307" s="1">
        <f t="shared" si="435"/>
        <v>6</v>
      </c>
      <c r="P307" s="1">
        <f>MIN(方案参数!$AI$11,AZ306+方案参数!$AJ$11+方案参数!$AK$11)</f>
        <v>5</v>
      </c>
      <c r="Q307" s="1">
        <f t="shared" si="413"/>
        <v>3</v>
      </c>
      <c r="R307" s="1">
        <f t="shared" si="414"/>
        <v>5</v>
      </c>
      <c r="S307" s="1">
        <f t="shared" si="415"/>
        <v>2</v>
      </c>
      <c r="T307" s="1">
        <f t="shared" si="416"/>
        <v>0</v>
      </c>
      <c r="U307" s="1">
        <f t="shared" si="417"/>
        <v>0</v>
      </c>
      <c r="V307" s="1">
        <f t="shared" si="418"/>
        <v>2</v>
      </c>
      <c r="W307" s="1">
        <f t="shared" si="419"/>
        <v>1</v>
      </c>
      <c r="X307" s="1">
        <f t="shared" si="420"/>
        <v>1</v>
      </c>
      <c r="Y307" s="1">
        <f t="shared" si="421"/>
        <v>1</v>
      </c>
      <c r="Z307" s="1">
        <f t="shared" si="422"/>
        <v>1</v>
      </c>
      <c r="AA307" s="1">
        <f t="shared" si="437"/>
        <v>1</v>
      </c>
      <c r="AB307" s="1">
        <f t="shared" si="424"/>
        <v>0</v>
      </c>
      <c r="AC307" s="1">
        <f t="shared" si="425"/>
        <v>0</v>
      </c>
      <c r="AD307" s="1">
        <f>ROUNDDOWN(I307*(1+IF(F307=3,0.05+方案参数!$Y$11+AA307*0.12,IF(F307=4,方案参数!$BZ$11*方案参数!$AS$11,0)))+IF(AND(X307=1,F307&lt;&gt;3),方案参数!$CC$11,0)+AC307*方案参数!$CB$11,0)</f>
        <v>3298</v>
      </c>
      <c r="AE307" s="1">
        <f>IF(OR(F307=1,F307=4),配置与结果!$B$24,配置与结果!$B$25)*MAX(0,1-INDEX(配置与结果!$I$15:$I$18,F307))</f>
        <v>1000</v>
      </c>
      <c r="AF307" s="1">
        <f>0</f>
        <v>0</v>
      </c>
      <c r="AG307" s="1">
        <f>MAX(配置与结果!$B$32,1+INDEX(配置与结果!$F$15:$F$18,F307)+0+Q307*方案参数!$W$11+Y307*(方案参数!$AN$11+MIN(方案参数!$AO$11,P307*0.03))+AB307*方案参数!$BZ$11*0.025-配置与结果!$B$28)</f>
        <v>0.995</v>
      </c>
      <c r="AH307" s="1">
        <f>MAX(0,1+INDEX(配置与结果!$G$15:$G$18,F307)+W307*方案参数!$AG$11)</f>
        <v>1.3</v>
      </c>
      <c r="AI307" s="1">
        <f>IF(OR(INDEX(配置与结果!$K$15:$K$18,F307)=1,G307="RHI_BERRY"),1+配置与结果!$B$33+P307*方案参数!$AH$11,1)</f>
        <v>1</v>
      </c>
      <c r="AJ307" s="1">
        <f>MIN(1,MAX(0,J307+方案参数!$AB$11-配置与结果!$B$27))</f>
        <v>0.55499999999999994</v>
      </c>
      <c r="AK307" s="1">
        <f>MAX(1,K307+IF(F307=2,0.15+方案参数!$CH$11,0)+BN307*方案参数!$X$11+R307*方案参数!$AA$11+0-配置与结果!$B$26+Z307*(方案参数!$AP$11+MIN(方案参数!$AQ$11,P307*0.03)))</f>
        <v>1.6300000000000001</v>
      </c>
      <c r="AL307" s="7">
        <f>ROUNDDOWN(MAX(AD307*配置与结果!$B$31,AD307-AE307)*AF307*AG307*AH307*AI307,0)</f>
        <v>0</v>
      </c>
      <c r="AM307" s="7">
        <f>ROUNDDOWN(MAX(AD307*配置与结果!$B$31,AD307-AE307)*AF307*AG307*AH307*AI307*AK307,0)</f>
        <v>0</v>
      </c>
      <c r="AN307" s="7">
        <f t="shared" si="380"/>
        <v>0</v>
      </c>
      <c r="AO307" s="7">
        <f>0</f>
        <v>0</v>
      </c>
      <c r="AP307" s="7">
        <f>MAX(0,1+INDEX(配置与结果!$J$15:$J$18,F307)+IF(T307&gt;0,方案参数!$BY$11,0)-配置与结果!$B$30)</f>
        <v>1</v>
      </c>
      <c r="AQ307" s="7">
        <f t="shared" si="381"/>
        <v>0</v>
      </c>
      <c r="AR307" s="7">
        <f t="shared" si="382"/>
        <v>0</v>
      </c>
      <c r="AS307" s="7">
        <f t="shared" si="383"/>
        <v>0</v>
      </c>
      <c r="AT307" s="7">
        <f>0</f>
        <v>0</v>
      </c>
      <c r="AU307" s="7">
        <f t="shared" si="384"/>
        <v>0</v>
      </c>
      <c r="AV307" s="1">
        <f t="shared" si="385"/>
        <v>2</v>
      </c>
      <c r="AW307" s="1">
        <f t="shared" si="439"/>
        <v>10</v>
      </c>
      <c r="AX307" s="1">
        <f t="shared" si="386"/>
        <v>2</v>
      </c>
      <c r="AY307" s="1">
        <f t="shared" si="433"/>
        <v>6</v>
      </c>
      <c r="AZ307" s="1">
        <f t="shared" si="387"/>
        <v>5</v>
      </c>
      <c r="BA307" s="1">
        <f>MIN(6,Q307+1)</f>
        <v>4</v>
      </c>
      <c r="BB307" s="1">
        <f t="shared" si="426"/>
        <v>5</v>
      </c>
      <c r="BC307" s="1">
        <f t="shared" si="440"/>
        <v>2</v>
      </c>
      <c r="BD307" s="1">
        <f t="shared" si="434"/>
        <v>0</v>
      </c>
      <c r="BE307" s="1">
        <f t="shared" si="427"/>
        <v>0</v>
      </c>
      <c r="BF307" s="1">
        <f>MIN(4,V307+0)</f>
        <v>2</v>
      </c>
      <c r="BG307" s="1">
        <f>MAX(W307,1)</f>
        <v>1</v>
      </c>
      <c r="BH307" s="1">
        <f t="shared" si="428"/>
        <v>1</v>
      </c>
      <c r="BI307" s="1">
        <f>MAX(Y307,1)</f>
        <v>1</v>
      </c>
      <c r="BJ307" s="1">
        <f t="shared" si="438"/>
        <v>1</v>
      </c>
      <c r="BK307" s="1">
        <f t="shared" si="438"/>
        <v>1</v>
      </c>
      <c r="BL307" s="1">
        <f t="shared" si="408"/>
        <v>0</v>
      </c>
      <c r="BM307" s="1">
        <f t="shared" si="406"/>
        <v>0</v>
      </c>
      <c r="BN307" s="1">
        <f t="shared" si="429"/>
        <v>1</v>
      </c>
      <c r="BO307" s="1">
        <f t="shared" si="430"/>
        <v>1</v>
      </c>
    </row>
    <row r="308" spans="1:67" ht="30.95" customHeight="1">
      <c r="A308" s="1">
        <f>8</f>
        <v>8</v>
      </c>
      <c r="B308" s="1">
        <f>固定流程!A20</f>
        <v>15</v>
      </c>
      <c r="C308" s="1">
        <f>11</f>
        <v>11</v>
      </c>
      <c r="D308" s="1">
        <f>1</f>
        <v>1</v>
      </c>
      <c r="E308" s="1">
        <f>固定流程!C20</f>
        <v>3</v>
      </c>
      <c r="F308" s="1">
        <f>固定流程!G20</f>
        <v>3</v>
      </c>
      <c r="G308" s="1" t="str">
        <f>固定流程!H20</f>
        <v>RHI_ATTACK</v>
      </c>
      <c r="H308" s="1">
        <f>固定流程!F20</f>
        <v>1</v>
      </c>
      <c r="I308" s="1">
        <f>INDEX(配置与结果!$B$15:$B$18,F308)</f>
        <v>2597</v>
      </c>
      <c r="J308" s="1">
        <f>INDEX(配置与结果!$D$15:$D$18,F308)</f>
        <v>0.255</v>
      </c>
      <c r="K308" s="1">
        <f>INDEX(配置与结果!$E$15:$E$18,F308)</f>
        <v>1.55</v>
      </c>
      <c r="L308" s="1">
        <f t="shared" ref="L308:L329" si="441">AV307</f>
        <v>2</v>
      </c>
      <c r="M308" s="1">
        <f t="shared" ref="M308:M329" si="442">AW307</f>
        <v>10</v>
      </c>
      <c r="N308" s="1">
        <f t="shared" ref="N308:N329" si="443">AX307</f>
        <v>2</v>
      </c>
      <c r="O308" s="1">
        <f t="shared" si="435"/>
        <v>6</v>
      </c>
      <c r="P308" s="1">
        <f>MIN(方案参数!$AI$11,AZ307+0+方案参数!$AK$11)</f>
        <v>5</v>
      </c>
      <c r="Q308" s="1">
        <f t="shared" si="413"/>
        <v>4</v>
      </c>
      <c r="R308" s="1">
        <f t="shared" si="414"/>
        <v>5</v>
      </c>
      <c r="S308" s="1">
        <f t="shared" si="415"/>
        <v>2</v>
      </c>
      <c r="T308" s="1">
        <f t="shared" si="416"/>
        <v>0</v>
      </c>
      <c r="U308" s="1">
        <f t="shared" si="417"/>
        <v>0</v>
      </c>
      <c r="V308" s="1">
        <f t="shared" si="418"/>
        <v>2</v>
      </c>
      <c r="W308" s="1">
        <f t="shared" si="419"/>
        <v>1</v>
      </c>
      <c r="X308" s="1">
        <f t="shared" si="420"/>
        <v>1</v>
      </c>
      <c r="Y308" s="1">
        <f t="shared" si="421"/>
        <v>1</v>
      </c>
      <c r="Z308" s="1">
        <f t="shared" si="422"/>
        <v>1</v>
      </c>
      <c r="AA308" s="1">
        <f>MAX(BK307,1)</f>
        <v>1</v>
      </c>
      <c r="AB308" s="1">
        <f t="shared" si="424"/>
        <v>0</v>
      </c>
      <c r="AC308" s="1">
        <f t="shared" si="425"/>
        <v>0</v>
      </c>
      <c r="AD308" s="1">
        <f>ROUNDDOWN(I308*(1+IF(F308=3,0.05+方案参数!$Y$11+AA308*0.12,IF(F308=4,方案参数!$BZ$11*方案参数!$AS$11,0)))+IF(AND(X308=1,F308&lt;&gt;3),方案参数!$CC$11,0)+AC308*方案参数!$CB$11,0)</f>
        <v>3298</v>
      </c>
      <c r="AE308" s="1">
        <f>IF(OR(F308=1,F308=4),配置与结果!$B$24,配置与结果!$B$25)*MAX(0,1-INDEX(配置与结果!$I$15:$I$18,F308))</f>
        <v>1000</v>
      </c>
      <c r="AF308" s="1">
        <f>4</f>
        <v>4</v>
      </c>
      <c r="AG308" s="1">
        <f>MAX(配置与结果!$B$32,1+INDEX(配置与结果!$F$15:$F$18,F308)+0+Q308*方案参数!$W$11+Y308*(方案参数!$AN$11+MIN(方案参数!$AO$11,P308*0.03))+AB308*方案参数!$BZ$11*0.025-配置与结果!$B$28)</f>
        <v>1.0150000000000001</v>
      </c>
      <c r="AH308" s="1">
        <f>MAX(0,1+INDEX(配置与结果!$G$15:$G$18,F308)+W308*方案参数!$AG$11)</f>
        <v>1.3</v>
      </c>
      <c r="AI308" s="1">
        <f>IF(OR(INDEX(配置与结果!$K$15:$K$18,F308)=1,G308="RHI_BERRY"),1+配置与结果!$B$33+P308*方案参数!$AH$11,1)</f>
        <v>1</v>
      </c>
      <c r="AJ308" s="1">
        <f>MIN(1,MAX(0,J308+方案参数!$AB$11-配置与结果!$B$27))</f>
        <v>0.55499999999999994</v>
      </c>
      <c r="AK308" s="1">
        <f>MAX(1,K308+IF(F308=2,0.15+方案参数!$CH$11,0)+BN308*方案参数!$X$11+R308*方案参数!$AA$11+0-配置与结果!$B$26+Z308*(方案参数!$AP$11+MIN(方案参数!$AQ$11,P308*0.03)))</f>
        <v>1.6300000000000001</v>
      </c>
      <c r="AL308" s="7">
        <f>ROUNDDOWN(MAX(AD308*配置与结果!$B$31,AD308-AE308)*AF308*AG308*AH308*AI308,0)</f>
        <v>12128</v>
      </c>
      <c r="AM308" s="7">
        <f>ROUNDDOWN(MAX(AD308*配置与结果!$B$31,AD308-AE308)*AF308*AG308*AH308*AI308*AK308,0)</f>
        <v>19770</v>
      </c>
      <c r="AN308" s="7">
        <f t="shared" si="380"/>
        <v>16369.31</v>
      </c>
      <c r="AO308" s="7">
        <f>0</f>
        <v>0</v>
      </c>
      <c r="AP308" s="7">
        <f>MAX(0,1+INDEX(配置与结果!$J$15:$J$18,F308)+IF(T308&gt;0,方案参数!$BY$11,0)-配置与结果!$B$30)</f>
        <v>1</v>
      </c>
      <c r="AQ308" s="7">
        <f t="shared" si="381"/>
        <v>0</v>
      </c>
      <c r="AR308" s="7">
        <f t="shared" si="382"/>
        <v>0</v>
      </c>
      <c r="AS308" s="7">
        <f t="shared" si="383"/>
        <v>0</v>
      </c>
      <c r="AT308" s="7">
        <f>0</f>
        <v>0</v>
      </c>
      <c r="AU308" s="7">
        <f t="shared" si="384"/>
        <v>16369.31</v>
      </c>
      <c r="AV308" s="1">
        <f t="shared" si="385"/>
        <v>2</v>
      </c>
      <c r="AW308" s="1">
        <f t="shared" si="439"/>
        <v>10</v>
      </c>
      <c r="AX308" s="1">
        <f t="shared" si="386"/>
        <v>2</v>
      </c>
      <c r="AY308" s="1">
        <f t="shared" si="433"/>
        <v>6</v>
      </c>
      <c r="AZ308" s="1">
        <f t="shared" si="387"/>
        <v>5</v>
      </c>
      <c r="BA308" s="1">
        <f>MIN(6,Q308+1)</f>
        <v>5</v>
      </c>
      <c r="BB308" s="1">
        <f t="shared" si="426"/>
        <v>5</v>
      </c>
      <c r="BC308" s="1">
        <f t="shared" si="440"/>
        <v>2</v>
      </c>
      <c r="BD308" s="1">
        <f t="shared" si="434"/>
        <v>0</v>
      </c>
      <c r="BE308" s="1">
        <f t="shared" si="427"/>
        <v>0</v>
      </c>
      <c r="BF308" s="1">
        <f>MIN(4,V308+0)</f>
        <v>2</v>
      </c>
      <c r="BG308" s="1">
        <f t="shared" ref="BG308:BG330" si="444">MAX(W308,0)</f>
        <v>1</v>
      </c>
      <c r="BH308" s="1">
        <f t="shared" si="428"/>
        <v>1</v>
      </c>
      <c r="BI308" s="1">
        <f t="shared" ref="BI308:BI330" si="445">MAX(Y308,0)</f>
        <v>1</v>
      </c>
      <c r="BJ308" s="1">
        <f>MAX(Z308,1)</f>
        <v>1</v>
      </c>
      <c r="BK308" s="1">
        <f>MAX(AA308,1)</f>
        <v>1</v>
      </c>
      <c r="BL308" s="1">
        <f t="shared" si="408"/>
        <v>0</v>
      </c>
      <c r="BM308" s="1">
        <f t="shared" si="406"/>
        <v>0</v>
      </c>
      <c r="BN308" s="1">
        <f t="shared" si="429"/>
        <v>1</v>
      </c>
      <c r="BO308" s="1">
        <f t="shared" si="430"/>
        <v>1</v>
      </c>
    </row>
    <row r="309" spans="1:67" ht="30.95" customHeight="1">
      <c r="A309" s="1">
        <f>8</f>
        <v>8</v>
      </c>
      <c r="B309" s="1">
        <f>固定流程!A21</f>
        <v>16</v>
      </c>
      <c r="C309" s="1">
        <f>11</f>
        <v>11</v>
      </c>
      <c r="D309" s="1">
        <f>1</f>
        <v>1</v>
      </c>
      <c r="E309" s="1">
        <f>固定流程!C21</f>
        <v>3</v>
      </c>
      <c r="F309" s="1">
        <f>固定流程!G21</f>
        <v>2</v>
      </c>
      <c r="G309" s="1" t="str">
        <f>固定流程!H21</f>
        <v>37_ULT</v>
      </c>
      <c r="H309" s="1">
        <f>固定流程!F21</f>
        <v>1</v>
      </c>
      <c r="I309" s="1">
        <f>INDEX(配置与结果!$B$15:$B$18,F309)</f>
        <v>2306</v>
      </c>
      <c r="J309" s="1">
        <f>INDEX(配置与结果!$D$15:$D$18,F309)</f>
        <v>0.46</v>
      </c>
      <c r="K309" s="1">
        <f>INDEX(配置与结果!$E$15:$E$18,F309)</f>
        <v>1.9279999999999999</v>
      </c>
      <c r="L309" s="1">
        <f t="shared" si="441"/>
        <v>2</v>
      </c>
      <c r="M309" s="1">
        <f t="shared" si="442"/>
        <v>10</v>
      </c>
      <c r="N309" s="1">
        <f t="shared" si="443"/>
        <v>2</v>
      </c>
      <c r="O309" s="1">
        <f t="shared" si="435"/>
        <v>6</v>
      </c>
      <c r="P309" s="1">
        <f>MIN(方案参数!$AI$11,AZ308+0+0)</f>
        <v>5</v>
      </c>
      <c r="Q309" s="1">
        <f t="shared" si="413"/>
        <v>5</v>
      </c>
      <c r="R309" s="1">
        <f t="shared" si="414"/>
        <v>5</v>
      </c>
      <c r="S309" s="1">
        <f t="shared" si="415"/>
        <v>2</v>
      </c>
      <c r="T309" s="1">
        <f>BD308+方案参数!$BX$11</f>
        <v>2</v>
      </c>
      <c r="U309" s="1">
        <f t="shared" si="417"/>
        <v>0</v>
      </c>
      <c r="V309" s="1">
        <f t="shared" si="418"/>
        <v>2</v>
      </c>
      <c r="W309" s="1">
        <f t="shared" si="419"/>
        <v>1</v>
      </c>
      <c r="X309" s="1">
        <f t="shared" si="420"/>
        <v>1</v>
      </c>
      <c r="Y309" s="1">
        <f t="shared" si="421"/>
        <v>1</v>
      </c>
      <c r="Z309" s="1">
        <f t="shared" si="422"/>
        <v>1</v>
      </c>
      <c r="AA309" s="1">
        <f t="shared" ref="AA309:AA329" si="446">MAX(BK308,0)</f>
        <v>1</v>
      </c>
      <c r="AB309" s="1">
        <f t="shared" si="424"/>
        <v>0</v>
      </c>
      <c r="AC309" s="1">
        <f>MAX(BM308,1)</f>
        <v>1</v>
      </c>
      <c r="AD309" s="1">
        <f>ROUNDDOWN(I309*(1+IF(F309=3,0.05+方案参数!$Y$11+AA309*0.12,IF(F309=4,方案参数!$BZ$11*方案参数!$AS$11,0)))+IF(AND(X309=1,F309&lt;&gt;3),方案参数!$CC$11,0)+AC309*方案参数!$CB$11,0)</f>
        <v>3044</v>
      </c>
      <c r="AE309" s="1">
        <f>IF(OR(F309=1,F309=4),配置与结果!$B$24,配置与结果!$B$25)*MAX(0,1-INDEX(配置与结果!$I$15:$I$18,F309))</f>
        <v>1000</v>
      </c>
      <c r="AF309" s="1">
        <f>0</f>
        <v>0</v>
      </c>
      <c r="AG309" s="1">
        <f>MAX(配置与结果!$B$32,1+INDEX(配置与结果!$F$15:$F$18,F309)+0+Q309*方案参数!$W$11+Y309*(方案参数!$AN$11+MIN(方案参数!$AO$11,P309*0.03))+AB309*方案参数!$BZ$11*0.025-配置与结果!$B$28)</f>
        <v>1.0049999999999999</v>
      </c>
      <c r="AH309" s="1">
        <f>MAX(0,1+INDEX(配置与结果!$G$15:$G$18,F309)+W309*方案参数!$AG$11)</f>
        <v>1.3</v>
      </c>
      <c r="AI309" s="1">
        <f>IF(OR(INDEX(配置与结果!$K$15:$K$18,F309)=1,G309="RHI_BERRY"),1+配置与结果!$B$33+P309*方案参数!$AH$11,1)</f>
        <v>1</v>
      </c>
      <c r="AJ309" s="1">
        <f>MIN(1,MAX(0,J309+方案参数!$AB$11-配置与结果!$B$27))</f>
        <v>0.76</v>
      </c>
      <c r="AK309" s="1">
        <f>MAX(1,K309+IF(F309=2,0.15+方案参数!$CH$11,0)+BN309*方案参数!$X$11+R309*方案参数!$AA$11+0-配置与结果!$B$26+Z309*(方案参数!$AP$11+MIN(方案参数!$AQ$11,P309*0.03)))</f>
        <v>2.278</v>
      </c>
      <c r="AL309" s="7">
        <f>ROUNDDOWN(MAX(AD309*配置与结果!$B$31,AD309-AE309)*AF309*AG309*AH309*AI309,0)</f>
        <v>0</v>
      </c>
      <c r="AM309" s="7">
        <f>ROUNDDOWN(MAX(AD309*配置与结果!$B$31,AD309-AE309)*AF309*AG309*AH309*AI309*AK309,0)</f>
        <v>0</v>
      </c>
      <c r="AN309" s="7">
        <f t="shared" si="380"/>
        <v>0</v>
      </c>
      <c r="AO309" s="7">
        <f>0</f>
        <v>0</v>
      </c>
      <c r="AP309" s="7">
        <f>MAX(0,1+INDEX(配置与结果!$J$15:$J$18,F309)+IF(T309&gt;0,方案参数!$BY$11,0)-配置与结果!$B$30)</f>
        <v>2</v>
      </c>
      <c r="AQ309" s="7">
        <f t="shared" si="381"/>
        <v>0</v>
      </c>
      <c r="AR309" s="7">
        <f t="shared" si="382"/>
        <v>0</v>
      </c>
      <c r="AS309" s="7">
        <f t="shared" si="383"/>
        <v>0</v>
      </c>
      <c r="AT309" s="7">
        <f>0</f>
        <v>0</v>
      </c>
      <c r="AU309" s="7">
        <f t="shared" si="384"/>
        <v>0</v>
      </c>
      <c r="AV309" s="1">
        <f t="shared" si="385"/>
        <v>2</v>
      </c>
      <c r="AW309" s="1">
        <f t="shared" si="439"/>
        <v>10</v>
      </c>
      <c r="AX309" s="1">
        <f t="shared" si="386"/>
        <v>2</v>
      </c>
      <c r="AY309" s="1">
        <f t="shared" si="433"/>
        <v>6</v>
      </c>
      <c r="AZ309" s="1">
        <f t="shared" si="387"/>
        <v>5</v>
      </c>
      <c r="BA309" s="1">
        <f t="shared" ref="BA309:BA329" si="447">MIN(6,Q309+0)</f>
        <v>5</v>
      </c>
      <c r="BB309" s="1">
        <f>MIN(30,R309+5)</f>
        <v>10</v>
      </c>
      <c r="BC309" s="1">
        <f t="shared" si="440"/>
        <v>2</v>
      </c>
      <c r="BD309" s="1">
        <f t="shared" si="434"/>
        <v>2</v>
      </c>
      <c r="BE309" s="1">
        <f t="shared" si="427"/>
        <v>0</v>
      </c>
      <c r="BF309" s="1">
        <f>MIN(4,V309+0)</f>
        <v>2</v>
      </c>
      <c r="BG309" s="1">
        <f t="shared" si="444"/>
        <v>1</v>
      </c>
      <c r="BH309" s="1">
        <f t="shared" si="428"/>
        <v>1</v>
      </c>
      <c r="BI309" s="1">
        <f t="shared" si="445"/>
        <v>1</v>
      </c>
      <c r="BJ309" s="1">
        <f t="shared" ref="BJ309:BJ336" si="448">MAX(Z309,0)</f>
        <v>1</v>
      </c>
      <c r="BK309" s="1">
        <f t="shared" ref="BK309:BK336" si="449">MAX(AA309,0)</f>
        <v>1</v>
      </c>
      <c r="BL309" s="1">
        <f t="shared" si="408"/>
        <v>0</v>
      </c>
      <c r="BM309" s="1">
        <f>MAX(AC309,1)</f>
        <v>1</v>
      </c>
      <c r="BN309" s="1">
        <f t="shared" si="429"/>
        <v>1</v>
      </c>
      <c r="BO309" s="1">
        <f t="shared" si="430"/>
        <v>1</v>
      </c>
    </row>
    <row r="310" spans="1:67" ht="30.95" customHeight="1">
      <c r="A310" s="1">
        <f>8</f>
        <v>8</v>
      </c>
      <c r="B310" s="1">
        <f>固定流程!A22</f>
        <v>17</v>
      </c>
      <c r="C310" s="1">
        <f>11</f>
        <v>11</v>
      </c>
      <c r="D310" s="1">
        <f>1</f>
        <v>1</v>
      </c>
      <c r="E310" s="1">
        <f>固定流程!C22</f>
        <v>3</v>
      </c>
      <c r="F310" s="1">
        <f>固定流程!G22</f>
        <v>2</v>
      </c>
      <c r="G310" s="1" t="str">
        <f>固定流程!H22</f>
        <v>37_FOLLOW</v>
      </c>
      <c r="H310" s="1">
        <f>固定流程!F22</f>
        <v>1</v>
      </c>
      <c r="I310" s="1">
        <f>INDEX(配置与结果!$B$15:$B$18,F310)</f>
        <v>2306</v>
      </c>
      <c r="J310" s="1">
        <f>INDEX(配置与结果!$D$15:$D$18,F310)</f>
        <v>0.46</v>
      </c>
      <c r="K310" s="1">
        <f>INDEX(配置与结果!$E$15:$E$18,F310)</f>
        <v>1.9279999999999999</v>
      </c>
      <c r="L310" s="1">
        <f t="shared" si="441"/>
        <v>2</v>
      </c>
      <c r="M310" s="1">
        <f t="shared" si="442"/>
        <v>10</v>
      </c>
      <c r="N310" s="1">
        <f t="shared" si="443"/>
        <v>2</v>
      </c>
      <c r="O310" s="1">
        <f t="shared" si="435"/>
        <v>6</v>
      </c>
      <c r="P310" s="1">
        <f>MIN(方案参数!$AI$11,AZ309+0+0)</f>
        <v>5</v>
      </c>
      <c r="Q310" s="1">
        <f t="shared" si="413"/>
        <v>5</v>
      </c>
      <c r="R310" s="1">
        <f t="shared" si="414"/>
        <v>10</v>
      </c>
      <c r="S310" s="1">
        <f t="shared" si="415"/>
        <v>2</v>
      </c>
      <c r="T310" s="1">
        <f t="shared" ref="T310:T329" si="450">BD309+0</f>
        <v>2</v>
      </c>
      <c r="U310" s="1">
        <f t="shared" si="417"/>
        <v>0</v>
      </c>
      <c r="V310" s="1">
        <f t="shared" si="418"/>
        <v>2</v>
      </c>
      <c r="W310" s="1">
        <f t="shared" si="419"/>
        <v>1</v>
      </c>
      <c r="X310" s="1">
        <f t="shared" si="420"/>
        <v>1</v>
      </c>
      <c r="Y310" s="1">
        <f t="shared" si="421"/>
        <v>1</v>
      </c>
      <c r="Z310" s="1">
        <f t="shared" si="422"/>
        <v>1</v>
      </c>
      <c r="AA310" s="1">
        <f t="shared" si="446"/>
        <v>1</v>
      </c>
      <c r="AB310" s="1">
        <f t="shared" si="424"/>
        <v>0</v>
      </c>
      <c r="AC310" s="1">
        <f t="shared" ref="AC310:AC329" si="451">MAX(BM309,0)</f>
        <v>1</v>
      </c>
      <c r="AD310" s="1">
        <f>ROUNDDOWN(I310*(1+IF(F310=3,0.05+方案参数!$Y$11+AA310*0.12,IF(F310=4,方案参数!$BZ$11*方案参数!$AS$11,0)))+IF(AND(X310=1,F310&lt;&gt;3),方案参数!$CC$11,0)+AC310*方案参数!$CB$11,0)</f>
        <v>3044</v>
      </c>
      <c r="AE310" s="1">
        <f>IF(OR(F310=1,F310=4),配置与结果!$B$24,配置与结果!$B$25)*MAX(0,1-INDEX(配置与结果!$I$15:$I$18,F310))</f>
        <v>1000</v>
      </c>
      <c r="AF310" s="1">
        <f>方案参数!$BV$11</f>
        <v>3</v>
      </c>
      <c r="AG310" s="1">
        <f>MAX(配置与结果!$B$32,1+INDEX(配置与结果!$F$15:$F$18,F310)+0+Q310*方案参数!$W$11+Y310*(方案参数!$AN$11+MIN(方案参数!$AO$11,P310*0.03))+AB310*方案参数!$BZ$11*0.025-配置与结果!$B$28)</f>
        <v>1.0049999999999999</v>
      </c>
      <c r="AH310" s="1">
        <f>MAX(0,1+INDEX(配置与结果!$G$15:$G$18,F310)+W310*方案参数!$AG$11)</f>
        <v>1.3</v>
      </c>
      <c r="AI310" s="1">
        <f>IF(OR(INDEX(配置与结果!$K$15:$K$18,F310)=1,G310="RHI_BERRY"),1+配置与结果!$B$33+P310*方案参数!$AH$11,1)</f>
        <v>1</v>
      </c>
      <c r="AJ310" s="1">
        <f>MIN(1,MAX(0,J310+方案参数!$AB$11-配置与结果!$B$27))</f>
        <v>0.76</v>
      </c>
      <c r="AK310" s="1">
        <f>MAX(1,K310+IF(F310=2,0.15+方案参数!$CH$11,0)+BN310*方案参数!$X$11+R310*方案参数!$AA$11+0-配置与结果!$B$26+Z310*(方案参数!$AP$11+MIN(方案参数!$AQ$11,P310*0.03)))</f>
        <v>2.298</v>
      </c>
      <c r="AL310" s="7">
        <f>ROUNDDOWN(MAX(AD310*配置与结果!$B$31,AD310-AE310)*AF310*AG310*AH310*AI310,0)</f>
        <v>8011</v>
      </c>
      <c r="AM310" s="7">
        <f>ROUNDDOWN(MAX(AD310*配置与结果!$B$31,AD310-AE310)*AF310*AG310*AH310*AI310*AK310,0)</f>
        <v>18410</v>
      </c>
      <c r="AN310" s="7">
        <f t="shared" si="380"/>
        <v>15914.24</v>
      </c>
      <c r="AO310" s="7">
        <f>方案参数!$BW$11</f>
        <v>1</v>
      </c>
      <c r="AP310" s="7">
        <f>MAX(0,1+INDEX(配置与结果!$J$15:$J$18,F310)+IF(T310&gt;0,方案参数!$BY$11,0)-配置与结果!$B$30)</f>
        <v>2</v>
      </c>
      <c r="AQ310" s="7">
        <f t="shared" si="381"/>
        <v>6088</v>
      </c>
      <c r="AR310" s="7">
        <f t="shared" si="382"/>
        <v>13990</v>
      </c>
      <c r="AS310" s="7">
        <f t="shared" si="383"/>
        <v>12093.52</v>
      </c>
      <c r="AT310" s="7">
        <f>0</f>
        <v>0</v>
      </c>
      <c r="AU310" s="7">
        <f t="shared" si="384"/>
        <v>28007.760000000002</v>
      </c>
      <c r="AV310" s="1">
        <f t="shared" si="385"/>
        <v>2</v>
      </c>
      <c r="AW310" s="1">
        <f t="shared" si="439"/>
        <v>10</v>
      </c>
      <c r="AX310" s="1">
        <f t="shared" si="386"/>
        <v>2</v>
      </c>
      <c r="AY310" s="1">
        <f t="shared" si="433"/>
        <v>6</v>
      </c>
      <c r="AZ310" s="1">
        <f t="shared" si="387"/>
        <v>5</v>
      </c>
      <c r="BA310" s="1">
        <f t="shared" si="447"/>
        <v>5</v>
      </c>
      <c r="BB310" s="1">
        <f>MIN(30,R310+0)</f>
        <v>10</v>
      </c>
      <c r="BC310" s="1">
        <f t="shared" si="440"/>
        <v>2</v>
      </c>
      <c r="BD310" s="1">
        <f t="shared" si="434"/>
        <v>1</v>
      </c>
      <c r="BE310" s="1">
        <f t="shared" si="427"/>
        <v>0</v>
      </c>
      <c r="BF310" s="1">
        <f>MIN(4,V310+1)</f>
        <v>3</v>
      </c>
      <c r="BG310" s="1">
        <f t="shared" si="444"/>
        <v>1</v>
      </c>
      <c r="BH310" s="1">
        <f t="shared" si="428"/>
        <v>1</v>
      </c>
      <c r="BI310" s="1">
        <f t="shared" si="445"/>
        <v>1</v>
      </c>
      <c r="BJ310" s="1">
        <f t="shared" si="448"/>
        <v>1</v>
      </c>
      <c r="BK310" s="1">
        <f t="shared" si="449"/>
        <v>1</v>
      </c>
      <c r="BL310" s="1">
        <f t="shared" si="408"/>
        <v>0</v>
      </c>
      <c r="BM310" s="1">
        <f t="shared" ref="BM310:BM344" si="452">MAX(AC310,0)</f>
        <v>1</v>
      </c>
      <c r="BN310" s="1">
        <f t="shared" si="429"/>
        <v>1</v>
      </c>
      <c r="BO310" s="1">
        <f t="shared" si="430"/>
        <v>1</v>
      </c>
    </row>
    <row r="311" spans="1:67" ht="30.95" customHeight="1">
      <c r="A311" s="1">
        <f>8</f>
        <v>8</v>
      </c>
      <c r="B311" s="1">
        <f>固定流程!A23</f>
        <v>18</v>
      </c>
      <c r="C311" s="1">
        <f>11</f>
        <v>11</v>
      </c>
      <c r="D311" s="1">
        <f>1</f>
        <v>1</v>
      </c>
      <c r="E311" s="1">
        <f>固定流程!C23</f>
        <v>3</v>
      </c>
      <c r="F311" s="1">
        <f>固定流程!G23</f>
        <v>4</v>
      </c>
      <c r="G311" s="1" t="str">
        <f>固定流程!H23</f>
        <v>J_HARD</v>
      </c>
      <c r="H311" s="1">
        <f>固定流程!F23</f>
        <v>1</v>
      </c>
      <c r="I311" s="1">
        <f>INDEX(配置与结果!$B$15:$B$18,F311)</f>
        <v>1906</v>
      </c>
      <c r="J311" s="1">
        <f>INDEX(配置与结果!$D$15:$D$18,F311)</f>
        <v>0.36699999999999999</v>
      </c>
      <c r="K311" s="1">
        <f>INDEX(配置与结果!$E$15:$E$18,F311)</f>
        <v>1.7170000000000001</v>
      </c>
      <c r="L311" s="1">
        <f t="shared" si="441"/>
        <v>2</v>
      </c>
      <c r="M311" s="1">
        <f t="shared" si="442"/>
        <v>10</v>
      </c>
      <c r="N311" s="1">
        <f t="shared" si="443"/>
        <v>2</v>
      </c>
      <c r="O311" s="1">
        <f t="shared" si="435"/>
        <v>6</v>
      </c>
      <c r="P311" s="1">
        <f>MIN(方案参数!$AI$11,AZ310+0+0)</f>
        <v>5</v>
      </c>
      <c r="Q311" s="1">
        <f t="shared" si="413"/>
        <v>5</v>
      </c>
      <c r="R311" s="1">
        <f t="shared" si="414"/>
        <v>10</v>
      </c>
      <c r="S311" s="1">
        <f t="shared" si="415"/>
        <v>2</v>
      </c>
      <c r="T311" s="1">
        <f t="shared" si="450"/>
        <v>1</v>
      </c>
      <c r="U311" s="1">
        <f t="shared" si="417"/>
        <v>0</v>
      </c>
      <c r="V311" s="1">
        <f t="shared" si="418"/>
        <v>3</v>
      </c>
      <c r="W311" s="1">
        <f t="shared" si="419"/>
        <v>1</v>
      </c>
      <c r="X311" s="1">
        <f t="shared" si="420"/>
        <v>1</v>
      </c>
      <c r="Y311" s="1">
        <f t="shared" si="421"/>
        <v>1</v>
      </c>
      <c r="Z311" s="1">
        <f t="shared" si="422"/>
        <v>1</v>
      </c>
      <c r="AA311" s="1">
        <f t="shared" si="446"/>
        <v>1</v>
      </c>
      <c r="AB311" s="1">
        <f t="shared" si="424"/>
        <v>0</v>
      </c>
      <c r="AC311" s="1">
        <f t="shared" si="451"/>
        <v>1</v>
      </c>
      <c r="AD311" s="1">
        <f>ROUNDDOWN(I311*(1+IF(F311=3,0.05+方案参数!$Y$11+AA311*0.12,IF(F311=4,方案参数!$BZ$11*方案参数!$AS$11,0)))+IF(AND(X311=1,F311&lt;&gt;3),方案参数!$CC$11,0)+AC311*方案参数!$CB$11,0)</f>
        <v>3311</v>
      </c>
      <c r="AE311" s="1">
        <f>IF(OR(F311=1,F311=4),配置与结果!$B$24,配置与结果!$B$25)*MAX(0,1-INDEX(配置与结果!$I$15:$I$18,F311))</f>
        <v>1200</v>
      </c>
      <c r="AF311" s="1">
        <f>3.6*IF(H311=1,1,IF(H311=2,1.5,2.5))</f>
        <v>3.6</v>
      </c>
      <c r="AG311" s="1">
        <f>MAX(配置与结果!$B$32,1+INDEX(配置与结果!$F$15:$F$18,F311)+0.08+Q311*方案参数!$W$11+Y311*(方案参数!$AN$11+MIN(方案参数!$AO$11,P311*0.03))+AB311*方案参数!$BZ$11*0.025+0.1+IF(方案参数!$BZ$11&gt;=30,方案参数!$BZ$11*0.01,0)-配置与结果!$B$28)</f>
        <v>1.5550000000000002</v>
      </c>
      <c r="AH311" s="1">
        <f>MAX(0,1+INDEX(配置与结果!$G$15:$G$18,F311)+W311*方案参数!$AG$11)</f>
        <v>1.3</v>
      </c>
      <c r="AI311" s="1">
        <f>IF(OR(INDEX(配置与结果!$K$15:$K$18,F311)=1,G311="RHI_BERRY"),1+配置与结果!$B$33+P311*方案参数!$AH$11,1)</f>
        <v>1</v>
      </c>
      <c r="AJ311" s="1">
        <f>MIN(1,MAX(0,J311+方案参数!$AB$11-配置与结果!$B$27))</f>
        <v>0.66700000000000004</v>
      </c>
      <c r="AK311" s="1">
        <f>MAX(1,K311+IF(F311=2,0.15+方案参数!$CH$11,0)+BN311*方案参数!$X$11+R311*方案参数!$AA$11+0-配置与结果!$B$26+Z311*(方案参数!$AP$11+MIN(方案参数!$AQ$11,P311*0.03)))</f>
        <v>1.8169999999999999</v>
      </c>
      <c r="AL311" s="7">
        <f>ROUNDDOWN(MAX(AD311*配置与结果!$B$31,AD311-AE311)*AF311*AG311*AH311*AI311,0)</f>
        <v>15362</v>
      </c>
      <c r="AM311" s="7">
        <f>ROUNDDOWN(MAX(AD311*配置与结果!$B$31,AD311-AE311)*AF311*AG311*AH311*AI311*AK311,0)</f>
        <v>27913</v>
      </c>
      <c r="AN311" s="7">
        <f t="shared" si="380"/>
        <v>23733.517</v>
      </c>
      <c r="AO311" s="7">
        <f>0</f>
        <v>0</v>
      </c>
      <c r="AP311" s="7">
        <f>MAX(0,1+INDEX(配置与结果!$J$15:$J$18,F311)+IF(T311&gt;0,方案参数!$BY$11,0)-配置与结果!$B$30)</f>
        <v>2</v>
      </c>
      <c r="AQ311" s="7">
        <f t="shared" si="381"/>
        <v>0</v>
      </c>
      <c r="AR311" s="7">
        <f t="shared" si="382"/>
        <v>0</v>
      </c>
      <c r="AS311" s="7">
        <f t="shared" si="383"/>
        <v>0</v>
      </c>
      <c r="AT311" s="7">
        <f>0</f>
        <v>0</v>
      </c>
      <c r="AU311" s="7">
        <f t="shared" si="384"/>
        <v>23733.517</v>
      </c>
      <c r="AV311" s="1">
        <f t="shared" si="385"/>
        <v>2</v>
      </c>
      <c r="AW311" s="1">
        <f t="shared" si="439"/>
        <v>10</v>
      </c>
      <c r="AX311" s="1">
        <f t="shared" si="386"/>
        <v>2</v>
      </c>
      <c r="AY311" s="1">
        <f t="shared" si="433"/>
        <v>6</v>
      </c>
      <c r="AZ311" s="1">
        <f t="shared" si="387"/>
        <v>5</v>
      </c>
      <c r="BA311" s="1">
        <f t="shared" si="447"/>
        <v>5</v>
      </c>
      <c r="BB311" s="1">
        <f>MIN(30,R311+0)</f>
        <v>10</v>
      </c>
      <c r="BC311" s="1">
        <f>MIN(3,S311+1)</f>
        <v>3</v>
      </c>
      <c r="BD311" s="1">
        <f t="shared" si="434"/>
        <v>1</v>
      </c>
      <c r="BE311" s="1">
        <f t="shared" si="427"/>
        <v>0</v>
      </c>
      <c r="BF311" s="1">
        <f>MIN(4,V311+0)</f>
        <v>3</v>
      </c>
      <c r="BG311" s="1">
        <f t="shared" si="444"/>
        <v>1</v>
      </c>
      <c r="BH311" s="1">
        <f t="shared" si="428"/>
        <v>1</v>
      </c>
      <c r="BI311" s="1">
        <f t="shared" si="445"/>
        <v>1</v>
      </c>
      <c r="BJ311" s="1">
        <f t="shared" si="448"/>
        <v>1</v>
      </c>
      <c r="BK311" s="1">
        <f t="shared" si="449"/>
        <v>1</v>
      </c>
      <c r="BL311" s="1">
        <f t="shared" si="408"/>
        <v>0</v>
      </c>
      <c r="BM311" s="1">
        <f t="shared" si="452"/>
        <v>1</v>
      </c>
      <c r="BN311" s="1">
        <f t="shared" si="429"/>
        <v>1</v>
      </c>
      <c r="BO311" s="1">
        <f t="shared" si="430"/>
        <v>1</v>
      </c>
    </row>
    <row r="312" spans="1:67" ht="30.95" customHeight="1">
      <c r="A312" s="1">
        <f>8</f>
        <v>8</v>
      </c>
      <c r="B312" s="1">
        <f>固定流程!A24</f>
        <v>19</v>
      </c>
      <c r="C312" s="1">
        <f>11</f>
        <v>11</v>
      </c>
      <c r="D312" s="1">
        <f>1</f>
        <v>1</v>
      </c>
      <c r="E312" s="1">
        <f>固定流程!C24</f>
        <v>3</v>
      </c>
      <c r="F312" s="1">
        <f>固定流程!G24</f>
        <v>4</v>
      </c>
      <c r="G312" s="1" t="str">
        <f>固定流程!H24</f>
        <v>J_ULT</v>
      </c>
      <c r="H312" s="1">
        <f>固定流程!F24</f>
        <v>1</v>
      </c>
      <c r="I312" s="1">
        <f>INDEX(配置与结果!$B$15:$B$18,F312)</f>
        <v>1906</v>
      </c>
      <c r="J312" s="1">
        <f>INDEX(配置与结果!$D$15:$D$18,F312)</f>
        <v>0.36699999999999999</v>
      </c>
      <c r="K312" s="1">
        <f>INDEX(配置与结果!$E$15:$E$18,F312)</f>
        <v>1.7170000000000001</v>
      </c>
      <c r="L312" s="1">
        <f t="shared" si="441"/>
        <v>2</v>
      </c>
      <c r="M312" s="1">
        <f t="shared" si="442"/>
        <v>10</v>
      </c>
      <c r="N312" s="1">
        <f t="shared" si="443"/>
        <v>2</v>
      </c>
      <c r="O312" s="1">
        <f t="shared" si="435"/>
        <v>6</v>
      </c>
      <c r="P312" s="1">
        <f>MIN(方案参数!$AI$11,AZ311+0+0)</f>
        <v>5</v>
      </c>
      <c r="Q312" s="1">
        <f t="shared" si="413"/>
        <v>5</v>
      </c>
      <c r="R312" s="1">
        <f t="shared" si="414"/>
        <v>10</v>
      </c>
      <c r="S312" s="1">
        <f t="shared" si="415"/>
        <v>3</v>
      </c>
      <c r="T312" s="1">
        <f t="shared" si="450"/>
        <v>1</v>
      </c>
      <c r="U312" s="1">
        <f t="shared" si="417"/>
        <v>0</v>
      </c>
      <c r="V312" s="1">
        <f t="shared" si="418"/>
        <v>3</v>
      </c>
      <c r="W312" s="1">
        <f t="shared" si="419"/>
        <v>1</v>
      </c>
      <c r="X312" s="1">
        <f t="shared" si="420"/>
        <v>1</v>
      </c>
      <c r="Y312" s="1">
        <f t="shared" si="421"/>
        <v>1</v>
      </c>
      <c r="Z312" s="1">
        <f t="shared" si="422"/>
        <v>1</v>
      </c>
      <c r="AA312" s="1">
        <f t="shared" si="446"/>
        <v>1</v>
      </c>
      <c r="AB312" s="1">
        <f t="shared" si="424"/>
        <v>0</v>
      </c>
      <c r="AC312" s="1">
        <f t="shared" si="451"/>
        <v>1</v>
      </c>
      <c r="AD312" s="1">
        <f>ROUNDDOWN(I312*(1+IF(F312=3,0.05+方案参数!$Y$11+AA312*0.12,IF(F312=4,方案参数!$BZ$11*方案参数!$AS$11,0)))+IF(AND(X312=1,F312&lt;&gt;3),方案参数!$CC$11,0)+AC312*方案参数!$CB$11,0)</f>
        <v>3311</v>
      </c>
      <c r="AE312" s="1">
        <f>IF(OR(F312=1,F312=4),配置与结果!$B$24,配置与结果!$B$25)*MAX(0,1-INDEX(配置与结果!$I$15:$I$18,F312))</f>
        <v>1200</v>
      </c>
      <c r="AF312" s="1">
        <f>方案参数!$AT$11+MAX(0,配置与结果!$H$26+方案参数!$BZ$11-30)*方案参数!$AU$11*配置与结果!$H$27</f>
        <v>42</v>
      </c>
      <c r="AG312" s="1">
        <f>MAX(配置与结果!$B$32,1+INDEX(配置与结果!$F$15:$F$18,F312)+0.08+Q312*方案参数!$W$11+Y312*(方案参数!$AN$11+MIN(方案参数!$AO$11,P312*0.03))+AB312*方案参数!$BZ$11*0.025-配置与结果!$B$28)</f>
        <v>1.105</v>
      </c>
      <c r="AH312" s="1">
        <f>MAX(0,1+INDEX(配置与结果!$H$15:$H$18,F312)+W312*方案参数!$AG$11+S312*方案参数!$Z$11)</f>
        <v>1.42</v>
      </c>
      <c r="AI312" s="1">
        <f>IF(OR(INDEX(配置与结果!$K$15:$K$18,F312)=1,G312="RHI_BERRY"),1+配置与结果!$B$33+P312*方案参数!$AH$11,1)</f>
        <v>1</v>
      </c>
      <c r="AJ312" s="1">
        <f>MIN(1,MAX(0,J312+方案参数!$AB$11-配置与结果!$B$27))</f>
        <v>0.66700000000000004</v>
      </c>
      <c r="AK312" s="1">
        <f>MAX(1,K312+IF(F312=2,0.15+方案参数!$CH$11,0)+BN312*方案参数!$X$11+R312*方案参数!$AA$11+0-配置与结果!$B$26+Z312*(方案参数!$AP$11+MIN(方案参数!$AQ$11,P312*0.03)))</f>
        <v>1.8169999999999999</v>
      </c>
      <c r="AL312" s="7">
        <f>ROUNDDOWN(MAX(AD312*配置与结果!$B$31,AD312-AE312)*AF312*AG312*AH312*AI312,0)</f>
        <v>139119</v>
      </c>
      <c r="AM312" s="7">
        <f>ROUNDDOWN(MAX(AD312*配置与结果!$B$31,AD312-AE312)*AF312*AG312*AH312*AI312*AK312,0)</f>
        <v>252780</v>
      </c>
      <c r="AN312" s="7">
        <f t="shared" si="380"/>
        <v>214930.88699999999</v>
      </c>
      <c r="AO312" s="7">
        <f>0</f>
        <v>0</v>
      </c>
      <c r="AP312" s="7">
        <f>MAX(0,1+INDEX(配置与结果!$J$15:$J$18,F312)+IF(T312&gt;0,方案参数!$BY$11,0)-配置与结果!$B$30)</f>
        <v>2</v>
      </c>
      <c r="AQ312" s="7">
        <f t="shared" si="381"/>
        <v>0</v>
      </c>
      <c r="AR312" s="7">
        <f t="shared" si="382"/>
        <v>0</v>
      </c>
      <c r="AS312" s="7">
        <f t="shared" si="383"/>
        <v>0</v>
      </c>
      <c r="AT312" s="7">
        <f>0</f>
        <v>0</v>
      </c>
      <c r="AU312" s="7">
        <f t="shared" si="384"/>
        <v>214930.88699999999</v>
      </c>
      <c r="AV312" s="1">
        <f t="shared" si="385"/>
        <v>2</v>
      </c>
      <c r="AW312" s="1">
        <f t="shared" si="439"/>
        <v>10</v>
      </c>
      <c r="AX312" s="1">
        <f t="shared" si="386"/>
        <v>2</v>
      </c>
      <c r="AY312" s="1">
        <f t="shared" si="433"/>
        <v>6</v>
      </c>
      <c r="AZ312" s="1">
        <f t="shared" si="387"/>
        <v>5</v>
      </c>
      <c r="BA312" s="1">
        <f t="shared" si="447"/>
        <v>5</v>
      </c>
      <c r="BB312" s="1">
        <f>MIN(30,R312+5)</f>
        <v>15</v>
      </c>
      <c r="BC312" s="1">
        <f t="shared" ref="BC312:BC335" si="453">MIN(3,S312+0)</f>
        <v>3</v>
      </c>
      <c r="BD312" s="1">
        <f t="shared" si="434"/>
        <v>1</v>
      </c>
      <c r="BE312" s="1">
        <f t="shared" si="427"/>
        <v>0</v>
      </c>
      <c r="BF312" s="1">
        <f>MIN(4,V312+0)</f>
        <v>3</v>
      </c>
      <c r="BG312" s="1">
        <f t="shared" si="444"/>
        <v>1</v>
      </c>
      <c r="BH312" s="1">
        <f t="shared" si="428"/>
        <v>1</v>
      </c>
      <c r="BI312" s="1">
        <f t="shared" si="445"/>
        <v>1</v>
      </c>
      <c r="BJ312" s="1">
        <f t="shared" si="448"/>
        <v>1</v>
      </c>
      <c r="BK312" s="1">
        <f t="shared" si="449"/>
        <v>1</v>
      </c>
      <c r="BL312" s="1">
        <f>MAX(AB312,1)</f>
        <v>1</v>
      </c>
      <c r="BM312" s="1">
        <f t="shared" si="452"/>
        <v>1</v>
      </c>
      <c r="BN312" s="1">
        <f t="shared" si="429"/>
        <v>1</v>
      </c>
      <c r="BO312" s="1">
        <f t="shared" si="430"/>
        <v>1</v>
      </c>
    </row>
    <row r="313" spans="1:67" ht="30.95" customHeight="1">
      <c r="A313" s="1">
        <f>8</f>
        <v>8</v>
      </c>
      <c r="B313" s="1">
        <f>固定流程!A25</f>
        <v>20</v>
      </c>
      <c r="C313" s="1">
        <f>11</f>
        <v>11</v>
      </c>
      <c r="D313" s="1">
        <f>1</f>
        <v>1</v>
      </c>
      <c r="E313" s="1">
        <f>固定流程!C25</f>
        <v>3</v>
      </c>
      <c r="F313" s="1">
        <f>固定流程!G25</f>
        <v>1</v>
      </c>
      <c r="G313" s="1" t="str">
        <f>固定流程!H25</f>
        <v>LILYA_ULT</v>
      </c>
      <c r="H313" s="1">
        <f>固定流程!F25</f>
        <v>1</v>
      </c>
      <c r="I313" s="1">
        <f>INDEX(配置与结果!$B$15:$B$18,F313)</f>
        <v>2296</v>
      </c>
      <c r="J313" s="1">
        <f>INDEX(配置与结果!$D$15:$D$18,F313)</f>
        <v>0.7</v>
      </c>
      <c r="K313" s="1">
        <f>INDEX(配置与结果!$E$15:$E$18,F313)</f>
        <v>2.0249999999999999</v>
      </c>
      <c r="L313" s="1">
        <f t="shared" si="441"/>
        <v>2</v>
      </c>
      <c r="M313" s="1">
        <f t="shared" si="442"/>
        <v>10</v>
      </c>
      <c r="N313" s="1">
        <f t="shared" si="443"/>
        <v>2</v>
      </c>
      <c r="O313" s="1">
        <f t="shared" si="435"/>
        <v>6</v>
      </c>
      <c r="P313" s="1">
        <f>MIN(方案参数!$AI$11,AZ312+0+0)</f>
        <v>5</v>
      </c>
      <c r="Q313" s="1">
        <f t="shared" si="413"/>
        <v>5</v>
      </c>
      <c r="R313" s="1">
        <f t="shared" si="414"/>
        <v>15</v>
      </c>
      <c r="S313" s="1">
        <f t="shared" si="415"/>
        <v>3</v>
      </c>
      <c r="T313" s="1">
        <f t="shared" si="450"/>
        <v>1</v>
      </c>
      <c r="U313" s="1">
        <f t="shared" si="417"/>
        <v>0</v>
      </c>
      <c r="V313" s="1">
        <f t="shared" si="418"/>
        <v>3</v>
      </c>
      <c r="W313" s="1">
        <f t="shared" si="419"/>
        <v>1</v>
      </c>
      <c r="X313" s="1">
        <f t="shared" si="420"/>
        <v>1</v>
      </c>
      <c r="Y313" s="1">
        <f t="shared" si="421"/>
        <v>1</v>
      </c>
      <c r="Z313" s="1">
        <f t="shared" si="422"/>
        <v>1</v>
      </c>
      <c r="AA313" s="1">
        <f t="shared" si="446"/>
        <v>1</v>
      </c>
      <c r="AB313" s="1">
        <f t="shared" si="424"/>
        <v>1</v>
      </c>
      <c r="AC313" s="1">
        <f t="shared" si="451"/>
        <v>1</v>
      </c>
      <c r="AD313" s="1">
        <f>ROUNDDOWN(I313*(1+IF(F313=3,0.05+方案参数!$Y$11+AA313*0.12,IF(F313=4,方案参数!$BZ$11*方案参数!$AS$11,0)))+IF(AND(X313=1,F313&lt;&gt;3),方案参数!$CC$11,0)+AC313*方案参数!$CB$11,0)</f>
        <v>3034</v>
      </c>
      <c r="AE313" s="1">
        <f>IF(OR(F313=1,F313=4),配置与结果!$B$24,配置与结果!$B$25)*MAX(0,1-INDEX(配置与结果!$I$15:$I$18,F313)+IF(O313&gt;=6,方案参数!$BK$11,0))</f>
        <v>1440</v>
      </c>
      <c r="AF313" s="1">
        <f>方案参数!$BG$11+IF(O313&gt;=6,方案参数!$BH$11,0)</f>
        <v>36</v>
      </c>
      <c r="AG313" s="1">
        <f>MAX(配置与结果!$B$32,1+INDEX(配置与结果!$F$15:$F$18,F313)+0.08+方案参数!$CD$11+Q313*方案参数!$W$11+Y313*(方案参数!$AN$11+MIN(方案参数!$AO$11,P313*0.03))+AB313*方案参数!$BZ$11*0.025-配置与结果!$B$28)</f>
        <v>2.2150000000000003</v>
      </c>
      <c r="AH313" s="1">
        <f>MAX(0,1+INDEX(配置与结果!$H$15:$H$18,F313)+W313*方案参数!$AG$11+O313*方案参数!$BF$11+IF(O313&gt;=6,方案参数!$BI$11,0))</f>
        <v>2.4500000000000002</v>
      </c>
      <c r="AI313" s="1">
        <f>IF(OR(INDEX(配置与结果!$K$15:$K$18,F313)=1,G313="RHI_BERRY"),1+配置与结果!$B$33+P313*方案参数!$AH$11,1)</f>
        <v>1</v>
      </c>
      <c r="AJ313" s="1">
        <f>MIN(1,MAX(0,J313+方案参数!$AB$11-配置与结果!$B$27))</f>
        <v>1</v>
      </c>
      <c r="AK313" s="1">
        <f>MAX(1,K313+IF(F313=2,0.15+方案参数!$CH$11,0)+BN313*方案参数!$X$11+R313*方案参数!$AA$11+IF(O313&gt;=6,方案参数!$BJ$11,0)-配置与结果!$B$26+Z313*(方案参数!$AP$11+MIN(方案参数!$AQ$11,P313*0.03)))</f>
        <v>3.145</v>
      </c>
      <c r="AL313" s="7">
        <f>ROUNDDOWN(MAX(AD313*配置与结果!$B$31,AD313-AE313)*AF313*AG313*AH313*AI313,0)</f>
        <v>311408</v>
      </c>
      <c r="AM313" s="7">
        <f>ROUNDDOWN(MAX(AD313*配置与结果!$B$31,AD313-AE313)*AF313*AG313*AH313*AI313*AK313,0)</f>
        <v>979380</v>
      </c>
      <c r="AN313" s="7">
        <f t="shared" si="380"/>
        <v>979380</v>
      </c>
      <c r="AO313" s="7">
        <f>0</f>
        <v>0</v>
      </c>
      <c r="AP313" s="7">
        <f>MAX(0,1+INDEX(配置与结果!$J$15:$J$18,F313)+IF(T313&gt;0,方案参数!$BY$11,0)-配置与结果!$B$30)</f>
        <v>2</v>
      </c>
      <c r="AQ313" s="7">
        <f t="shared" si="381"/>
        <v>0</v>
      </c>
      <c r="AR313" s="7">
        <f t="shared" si="382"/>
        <v>0</v>
      </c>
      <c r="AS313" s="7">
        <f t="shared" si="383"/>
        <v>0</v>
      </c>
      <c r="AT313" s="7">
        <f>0</f>
        <v>0</v>
      </c>
      <c r="AU313" s="7">
        <f t="shared" si="384"/>
        <v>979380</v>
      </c>
      <c r="AV313" s="1">
        <f t="shared" si="385"/>
        <v>2</v>
      </c>
      <c r="AW313" s="1">
        <f t="shared" si="439"/>
        <v>10</v>
      </c>
      <c r="AX313" s="1">
        <f t="shared" si="386"/>
        <v>2</v>
      </c>
      <c r="AY313" s="1">
        <f>MIN(20,MAX(0,O313+0+0-IF(O313&gt;=6,6,0)))</f>
        <v>0</v>
      </c>
      <c r="AZ313" s="1">
        <f t="shared" si="387"/>
        <v>5</v>
      </c>
      <c r="BA313" s="1">
        <f t="shared" si="447"/>
        <v>5</v>
      </c>
      <c r="BB313" s="1">
        <f>MIN(30,R313+5)</f>
        <v>20</v>
      </c>
      <c r="BC313" s="1">
        <f t="shared" si="453"/>
        <v>3</v>
      </c>
      <c r="BD313" s="1">
        <f t="shared" si="434"/>
        <v>1</v>
      </c>
      <c r="BE313" s="1">
        <f t="shared" si="427"/>
        <v>0</v>
      </c>
      <c r="BF313" s="1">
        <f>MIN(4,V313+0)</f>
        <v>3</v>
      </c>
      <c r="BG313" s="1">
        <f t="shared" si="444"/>
        <v>1</v>
      </c>
      <c r="BH313" s="1">
        <f t="shared" si="428"/>
        <v>1</v>
      </c>
      <c r="BI313" s="1">
        <f t="shared" si="445"/>
        <v>1</v>
      </c>
      <c r="BJ313" s="1">
        <f t="shared" si="448"/>
        <v>1</v>
      </c>
      <c r="BK313" s="1">
        <f t="shared" si="449"/>
        <v>1</v>
      </c>
      <c r="BL313" s="1">
        <f t="shared" ref="BL313:BL347" si="454">MAX(AB313,0)</f>
        <v>1</v>
      </c>
      <c r="BM313" s="1">
        <f t="shared" si="452"/>
        <v>1</v>
      </c>
      <c r="BN313" s="1">
        <f t="shared" si="429"/>
        <v>1</v>
      </c>
      <c r="BO313" s="1">
        <f t="shared" si="430"/>
        <v>1</v>
      </c>
    </row>
    <row r="314" spans="1:67" ht="30.95" customHeight="1">
      <c r="A314" s="1">
        <f>8</f>
        <v>8</v>
      </c>
      <c r="B314" s="1">
        <f>固定流程!A26</f>
        <v>21</v>
      </c>
      <c r="C314" s="1">
        <f>11</f>
        <v>11</v>
      </c>
      <c r="D314" s="1">
        <f>1</f>
        <v>1</v>
      </c>
      <c r="E314" s="1">
        <f>固定流程!C26</f>
        <v>3</v>
      </c>
      <c r="F314" s="1">
        <f>固定流程!G26</f>
        <v>1</v>
      </c>
      <c r="G314" s="1" t="str">
        <f>固定流程!H26</f>
        <v>LILYA_DIVE</v>
      </c>
      <c r="H314" s="1">
        <f>固定流程!F26</f>
        <v>3</v>
      </c>
      <c r="I314" s="1">
        <f>INDEX(配置与结果!$B$15:$B$18,F314)</f>
        <v>2296</v>
      </c>
      <c r="J314" s="1">
        <f>INDEX(配置与结果!$D$15:$D$18,F314)</f>
        <v>0.7</v>
      </c>
      <c r="K314" s="1">
        <f>INDEX(配置与结果!$E$15:$E$18,F314)</f>
        <v>2.0249999999999999</v>
      </c>
      <c r="L314" s="1">
        <f t="shared" si="441"/>
        <v>2</v>
      </c>
      <c r="M314" s="1">
        <f t="shared" si="442"/>
        <v>10</v>
      </c>
      <c r="N314" s="1">
        <f t="shared" si="443"/>
        <v>2</v>
      </c>
      <c r="O314" s="1">
        <f t="shared" si="435"/>
        <v>0</v>
      </c>
      <c r="P314" s="1">
        <f>MIN(方案参数!$AI$11,AZ313+0+0)</f>
        <v>5</v>
      </c>
      <c r="Q314" s="1">
        <f t="shared" si="413"/>
        <v>5</v>
      </c>
      <c r="R314" s="1">
        <f t="shared" si="414"/>
        <v>20</v>
      </c>
      <c r="S314" s="1">
        <f t="shared" si="415"/>
        <v>3</v>
      </c>
      <c r="T314" s="1">
        <f t="shared" si="450"/>
        <v>1</v>
      </c>
      <c r="U314" s="1">
        <f t="shared" si="417"/>
        <v>0</v>
      </c>
      <c r="V314" s="1">
        <f t="shared" si="418"/>
        <v>3</v>
      </c>
      <c r="W314" s="1">
        <f t="shared" si="419"/>
        <v>1</v>
      </c>
      <c r="X314" s="1">
        <f t="shared" si="420"/>
        <v>1</v>
      </c>
      <c r="Y314" s="1">
        <f t="shared" si="421"/>
        <v>1</v>
      </c>
      <c r="Z314" s="1">
        <f t="shared" si="422"/>
        <v>1</v>
      </c>
      <c r="AA314" s="1">
        <f t="shared" si="446"/>
        <v>1</v>
      </c>
      <c r="AB314" s="1">
        <f t="shared" si="424"/>
        <v>1</v>
      </c>
      <c r="AC314" s="1">
        <f t="shared" si="451"/>
        <v>1</v>
      </c>
      <c r="AD314" s="1">
        <f>ROUNDDOWN(I314*(1+IF(F314=3,0.05+方案参数!$Y$11+AA314*0.12,IF(F314=4,方案参数!$BZ$11*方案参数!$AS$11,0)))+IF(AND(X314=1,F314&lt;&gt;3),方案参数!$CC$11,0)+AC314*方案参数!$CB$11,0)</f>
        <v>3034</v>
      </c>
      <c r="AE314" s="1">
        <f>IF(OR(F314=1,F314=4),配置与结果!$B$24,配置与结果!$B$25)*MAX(0,1-INDEX(配置与结果!$I$15:$I$18,F314))</f>
        <v>1200</v>
      </c>
      <c r="AF314" s="1">
        <f>(IF(L314=1,方案参数!$AW$11,IF(L314=2,方案参数!$AX$11,0))+方案参数!$AV$11)*H314</f>
        <v>30</v>
      </c>
      <c r="AG314" s="1">
        <f>MAX(配置与结果!$B$32,1+INDEX(配置与结果!$F$15:$F$18,F314)+0.08+方案参数!$CD$11+Q314*方案参数!$W$11+Y314*(方案参数!$AN$11+MIN(方案参数!$AO$11,P314*0.03))+AB314*方案参数!$BZ$11*0.025+IF(L314=1,方案参数!$AY$11+(H314-1)*0.1,IF(L314=2,方案参数!$AZ$11+(H314-1)*0.2,0))-配置与结果!$B$28)</f>
        <v>2.8150000000000004</v>
      </c>
      <c r="AH314" s="1">
        <f>MAX(0,1+INDEX(配置与结果!$G$15:$G$18,F314)+W314*方案参数!$AG$11+IF(L314=1,方案参数!$BA$11,IF(L314=2,方案参数!$BB$11,0))+M314*方案参数!$BC$11)</f>
        <v>3.1</v>
      </c>
      <c r="AI314" s="1">
        <f>IF(OR(INDEX(配置与结果!$K$15:$K$18,F314)=1,G314="RHI_BERRY"),1+配置与结果!$B$33+P314*方案参数!$AH$11,1)</f>
        <v>1</v>
      </c>
      <c r="AJ314" s="1">
        <f>MIN(1,MAX(0,J314+方案参数!$AB$11-配置与结果!$B$27))</f>
        <v>1</v>
      </c>
      <c r="AK314" s="1">
        <f>MAX(1,K314+IF(F314=2,0.15+方案参数!$CH$11,0)+BN314*方案参数!$X$11+R314*方案参数!$AA$11+0-配置与结果!$B$26+Z314*(方案参数!$AP$11+MIN(方案参数!$AQ$11,P314*0.03)))</f>
        <v>2.165</v>
      </c>
      <c r="AL314" s="7">
        <f>ROUNDDOWN(MAX(AD314*配置与结果!$B$31,AD314-AE314)*AF314*AG314*AH314*AI314,0)</f>
        <v>480132</v>
      </c>
      <c r="AM314" s="7">
        <f>ROUNDDOWN(MAX(AD314*配置与结果!$B$31,AD314-AE314)*AF314*AG314*AH314*AI314*AK314,0)</f>
        <v>1039485</v>
      </c>
      <c r="AN314" s="7">
        <f t="shared" si="380"/>
        <v>1039485</v>
      </c>
      <c r="AO314" s="7">
        <f>0</f>
        <v>0</v>
      </c>
      <c r="AP314" s="7">
        <f>MAX(0,1+INDEX(配置与结果!$J$15:$J$18,F314)+IF(T314&gt;0,方案参数!$BY$11,0)-配置与结果!$B$30)</f>
        <v>2</v>
      </c>
      <c r="AQ314" s="7">
        <f t="shared" si="381"/>
        <v>0</v>
      </c>
      <c r="AR314" s="7">
        <f t="shared" si="382"/>
        <v>0</v>
      </c>
      <c r="AS314" s="7">
        <f t="shared" si="383"/>
        <v>0</v>
      </c>
      <c r="AT314" s="7">
        <f>0</f>
        <v>0</v>
      </c>
      <c r="AU314" s="7">
        <f t="shared" si="384"/>
        <v>1039485</v>
      </c>
      <c r="AV314" s="1">
        <f t="shared" si="385"/>
        <v>2</v>
      </c>
      <c r="AW314" s="1">
        <f>MIN(10,M314+0+IF(L314=1,方案参数!$BE$11,0))</f>
        <v>10</v>
      </c>
      <c r="AX314" s="1">
        <f t="shared" si="386"/>
        <v>2</v>
      </c>
      <c r="AY314" s="1">
        <f>MIN(20,MAX(0,O314+0+0-0))</f>
        <v>0</v>
      </c>
      <c r="AZ314" s="1">
        <f t="shared" si="387"/>
        <v>5</v>
      </c>
      <c r="BA314" s="1">
        <f t="shared" si="447"/>
        <v>5</v>
      </c>
      <c r="BB314" s="1">
        <f t="shared" ref="BB314:BB329" si="455">MIN(30,R314+0)</f>
        <v>20</v>
      </c>
      <c r="BC314" s="1">
        <f t="shared" si="453"/>
        <v>3</v>
      </c>
      <c r="BD314" s="1">
        <f t="shared" si="434"/>
        <v>1</v>
      </c>
      <c r="BE314" s="1">
        <f t="shared" si="427"/>
        <v>0</v>
      </c>
      <c r="BF314" s="1">
        <f>MIN(4,V314+0)</f>
        <v>3</v>
      </c>
      <c r="BG314" s="1">
        <f t="shared" si="444"/>
        <v>1</v>
      </c>
      <c r="BH314" s="1">
        <f t="shared" si="428"/>
        <v>1</v>
      </c>
      <c r="BI314" s="1">
        <f t="shared" si="445"/>
        <v>1</v>
      </c>
      <c r="BJ314" s="1">
        <f t="shared" si="448"/>
        <v>1</v>
      </c>
      <c r="BK314" s="1">
        <f t="shared" si="449"/>
        <v>1</v>
      </c>
      <c r="BL314" s="1">
        <f t="shared" si="454"/>
        <v>1</v>
      </c>
      <c r="BM314" s="1">
        <f t="shared" si="452"/>
        <v>1</v>
      </c>
      <c r="BN314" s="1">
        <f t="shared" si="429"/>
        <v>1</v>
      </c>
      <c r="BO314" s="1">
        <f t="shared" si="430"/>
        <v>1</v>
      </c>
    </row>
    <row r="315" spans="1:67" ht="30.95" customHeight="1">
      <c r="A315" s="1">
        <f>8</f>
        <v>8</v>
      </c>
      <c r="B315" s="1">
        <f>固定流程!A27</f>
        <v>22</v>
      </c>
      <c r="C315" s="1">
        <f>11</f>
        <v>11</v>
      </c>
      <c r="D315" s="1">
        <f>1</f>
        <v>1</v>
      </c>
      <c r="E315" s="1">
        <f>固定流程!C27</f>
        <v>3</v>
      </c>
      <c r="F315" s="1">
        <f>固定流程!G27</f>
        <v>3</v>
      </c>
      <c r="G315" s="1" t="str">
        <f>固定流程!H27</f>
        <v>RHI_BERRY</v>
      </c>
      <c r="H315" s="1">
        <f>固定流程!F27</f>
        <v>1</v>
      </c>
      <c r="I315" s="1">
        <f>INDEX(配置与结果!$B$15:$B$18,F315)</f>
        <v>2597</v>
      </c>
      <c r="J315" s="1">
        <f>INDEX(配置与结果!$D$15:$D$18,F315)</f>
        <v>0.255</v>
      </c>
      <c r="K315" s="1">
        <f>INDEX(配置与结果!$E$15:$E$18,F315)</f>
        <v>1.55</v>
      </c>
      <c r="L315" s="1">
        <f t="shared" si="441"/>
        <v>2</v>
      </c>
      <c r="M315" s="1">
        <f t="shared" si="442"/>
        <v>10</v>
      </c>
      <c r="N315" s="1">
        <f t="shared" si="443"/>
        <v>2</v>
      </c>
      <c r="O315" s="1">
        <f t="shared" si="435"/>
        <v>0</v>
      </c>
      <c r="P315" s="1">
        <f>MIN(方案参数!$AI$11,AZ314+0+0)</f>
        <v>5</v>
      </c>
      <c r="Q315" s="1">
        <f t="shared" si="413"/>
        <v>5</v>
      </c>
      <c r="R315" s="1">
        <f t="shared" si="414"/>
        <v>20</v>
      </c>
      <c r="S315" s="1">
        <f t="shared" si="415"/>
        <v>3</v>
      </c>
      <c r="T315" s="1">
        <f t="shared" si="450"/>
        <v>1</v>
      </c>
      <c r="U315" s="1">
        <f t="shared" si="417"/>
        <v>0</v>
      </c>
      <c r="V315" s="1">
        <f t="shared" si="418"/>
        <v>3</v>
      </c>
      <c r="W315" s="1">
        <f t="shared" si="419"/>
        <v>1</v>
      </c>
      <c r="X315" s="1">
        <f t="shared" si="420"/>
        <v>1</v>
      </c>
      <c r="Y315" s="1">
        <f t="shared" si="421"/>
        <v>1</v>
      </c>
      <c r="Z315" s="1">
        <f t="shared" si="422"/>
        <v>1</v>
      </c>
      <c r="AA315" s="1">
        <f t="shared" si="446"/>
        <v>1</v>
      </c>
      <c r="AB315" s="1">
        <f t="shared" si="424"/>
        <v>1</v>
      </c>
      <c r="AC315" s="1">
        <f t="shared" si="451"/>
        <v>1</v>
      </c>
      <c r="AD315" s="1">
        <f>ROUNDDOWN(I315*(1+IF(F315=3,0.05+方案参数!$Y$11+AA315*0.12,IF(F315=4,方案参数!$BZ$11*方案参数!$AS$11,0)))+IF(AND(X315=1,F315&lt;&gt;3),方案参数!$CC$11,0)+AC315*方案参数!$CB$11,0)</f>
        <v>3798</v>
      </c>
      <c r="AE315" s="1">
        <f>IF(OR(F315=1,F315=4),配置与结果!$B$24,配置与结果!$B$25)*MAX(0,1-INDEX(配置与结果!$I$15:$I$18,F315))</f>
        <v>1000</v>
      </c>
      <c r="AF315" s="1">
        <f>方案参数!$CF$11+P315*方案参数!$CG$11</f>
        <v>22.5</v>
      </c>
      <c r="AG315" s="1">
        <f>MAX(配置与结果!$B$32,1+INDEX(配置与结果!$F$15:$F$18,F315)+0+Q315*方案参数!$W$11+Y315*(方案参数!$AN$11+MIN(方案参数!$AO$11,P315*0.03))+AB315*方案参数!$BZ$11*0.025-配置与结果!$B$28)</f>
        <v>1.9100000000000001</v>
      </c>
      <c r="AH315" s="1">
        <f>MAX(0,1+INDEX(配置与结果!$G$15:$G$18,F315)+W315*方案参数!$AG$11)</f>
        <v>1.3</v>
      </c>
      <c r="AI315" s="1">
        <f>IF(OR(INDEX(配置与结果!$K$15:$K$18,F315)=1,G315="RHI_BERRY"),1+配置与结果!$B$33+P315*方案参数!$AH$11,1)</f>
        <v>1.5</v>
      </c>
      <c r="AJ315" s="1">
        <f>MIN(1,MAX(0,J315+方案参数!$AB$11-配置与结果!$B$27))</f>
        <v>0.55499999999999994</v>
      </c>
      <c r="AK315" s="1">
        <f>MAX(1,K315+IF(F315=2,0.15+方案参数!$CH$11,0)+BN315*方案参数!$X$11+R315*方案参数!$AA$11+0-配置与结果!$B$26+Z315*(方案参数!$AP$11+MIN(方案参数!$AQ$11,P315*0.03)))</f>
        <v>1.6900000000000002</v>
      </c>
      <c r="AL315" s="7">
        <f>ROUNDDOWN(MAX(AD315*配置与结果!$B$31,AD315-AE315)*AF315*AG315*AH315*AI315,0)</f>
        <v>234475</v>
      </c>
      <c r="AM315" s="7">
        <f>ROUNDDOWN(MAX(AD315*配置与结果!$B$31,AD315-AE315)*AF315*AG315*AH315*AI315*AK315,0)</f>
        <v>396264</v>
      </c>
      <c r="AN315" s="7">
        <f t="shared" si="380"/>
        <v>324267.89500000002</v>
      </c>
      <c r="AO315" s="7">
        <f>0</f>
        <v>0</v>
      </c>
      <c r="AP315" s="7">
        <f>MAX(0,1+INDEX(配置与结果!$J$15:$J$18,F315)+IF(T315&gt;0,方案参数!$BY$11,0)-配置与结果!$B$30)</f>
        <v>2</v>
      </c>
      <c r="AQ315" s="7">
        <f t="shared" si="381"/>
        <v>0</v>
      </c>
      <c r="AR315" s="7">
        <f t="shared" si="382"/>
        <v>0</v>
      </c>
      <c r="AS315" s="7">
        <f t="shared" si="383"/>
        <v>0</v>
      </c>
      <c r="AT315" s="7">
        <f>0</f>
        <v>0</v>
      </c>
      <c r="AU315" s="7">
        <f t="shared" si="384"/>
        <v>324267.89500000002</v>
      </c>
      <c r="AV315" s="1">
        <f t="shared" si="385"/>
        <v>2</v>
      </c>
      <c r="AW315" s="1">
        <f t="shared" ref="AW315:AW331" si="456">MIN(10,M315+0+0)</f>
        <v>10</v>
      </c>
      <c r="AX315" s="1">
        <f t="shared" si="386"/>
        <v>2</v>
      </c>
      <c r="AY315" s="1">
        <f>MIN(20,MAX(0,O315+0+0-0))</f>
        <v>0</v>
      </c>
      <c r="AZ315" s="1">
        <f t="shared" si="387"/>
        <v>5</v>
      </c>
      <c r="BA315" s="1">
        <f t="shared" si="447"/>
        <v>5</v>
      </c>
      <c r="BB315" s="1">
        <f t="shared" si="455"/>
        <v>20</v>
      </c>
      <c r="BC315" s="1">
        <f t="shared" si="453"/>
        <v>3</v>
      </c>
      <c r="BD315" s="1">
        <f t="shared" si="434"/>
        <v>1</v>
      </c>
      <c r="BE315" s="1">
        <f t="shared" si="427"/>
        <v>0</v>
      </c>
      <c r="BF315" s="1">
        <f>MIN(4,V315+0)</f>
        <v>3</v>
      </c>
      <c r="BG315" s="1">
        <f t="shared" si="444"/>
        <v>1</v>
      </c>
      <c r="BH315" s="1">
        <f t="shared" si="428"/>
        <v>1</v>
      </c>
      <c r="BI315" s="1">
        <f t="shared" si="445"/>
        <v>1</v>
      </c>
      <c r="BJ315" s="1">
        <f t="shared" si="448"/>
        <v>1</v>
      </c>
      <c r="BK315" s="1">
        <f t="shared" si="449"/>
        <v>1</v>
      </c>
      <c r="BL315" s="1">
        <f t="shared" si="454"/>
        <v>1</v>
      </c>
      <c r="BM315" s="1">
        <f t="shared" si="452"/>
        <v>1</v>
      </c>
      <c r="BN315" s="1">
        <f t="shared" si="429"/>
        <v>1</v>
      </c>
      <c r="BO315" s="1">
        <f t="shared" si="430"/>
        <v>1</v>
      </c>
    </row>
    <row r="316" spans="1:67" ht="30.95" customHeight="1">
      <c r="A316" s="1">
        <f>8</f>
        <v>8</v>
      </c>
      <c r="B316" s="1">
        <f>固定流程!A28</f>
        <v>23</v>
      </c>
      <c r="C316" s="1">
        <f>11</f>
        <v>11</v>
      </c>
      <c r="D316" s="1">
        <f>1</f>
        <v>1</v>
      </c>
      <c r="E316" s="1">
        <f>固定流程!C28</f>
        <v>3</v>
      </c>
      <c r="F316" s="1">
        <f>固定流程!G28</f>
        <v>2</v>
      </c>
      <c r="G316" s="1" t="str">
        <f>固定流程!H28</f>
        <v>37_FOLLOW</v>
      </c>
      <c r="H316" s="1">
        <f>固定流程!F28</f>
        <v>1</v>
      </c>
      <c r="I316" s="1">
        <f>INDEX(配置与结果!$B$15:$B$18,F316)</f>
        <v>2306</v>
      </c>
      <c r="J316" s="1">
        <f>INDEX(配置与结果!$D$15:$D$18,F316)</f>
        <v>0.46</v>
      </c>
      <c r="K316" s="1">
        <f>INDEX(配置与结果!$E$15:$E$18,F316)</f>
        <v>1.9279999999999999</v>
      </c>
      <c r="L316" s="1">
        <f t="shared" si="441"/>
        <v>2</v>
      </c>
      <c r="M316" s="1">
        <f t="shared" si="442"/>
        <v>10</v>
      </c>
      <c r="N316" s="1">
        <f t="shared" si="443"/>
        <v>2</v>
      </c>
      <c r="O316" s="1">
        <f t="shared" si="435"/>
        <v>0</v>
      </c>
      <c r="P316" s="1">
        <f>MIN(方案参数!$AI$11,AZ315+0+0)</f>
        <v>5</v>
      </c>
      <c r="Q316" s="1">
        <f t="shared" si="413"/>
        <v>5</v>
      </c>
      <c r="R316" s="1">
        <f t="shared" si="414"/>
        <v>20</v>
      </c>
      <c r="S316" s="1">
        <f t="shared" si="415"/>
        <v>3</v>
      </c>
      <c r="T316" s="1">
        <f t="shared" si="450"/>
        <v>1</v>
      </c>
      <c r="U316" s="1">
        <f t="shared" si="417"/>
        <v>0</v>
      </c>
      <c r="V316" s="1">
        <f t="shared" si="418"/>
        <v>3</v>
      </c>
      <c r="W316" s="1">
        <f t="shared" si="419"/>
        <v>1</v>
      </c>
      <c r="X316" s="1">
        <f t="shared" si="420"/>
        <v>1</v>
      </c>
      <c r="Y316" s="1">
        <f t="shared" si="421"/>
        <v>1</v>
      </c>
      <c r="Z316" s="1">
        <f t="shared" si="422"/>
        <v>1</v>
      </c>
      <c r="AA316" s="1">
        <f t="shared" si="446"/>
        <v>1</v>
      </c>
      <c r="AB316" s="1">
        <f t="shared" si="424"/>
        <v>1</v>
      </c>
      <c r="AC316" s="1">
        <f t="shared" si="451"/>
        <v>1</v>
      </c>
      <c r="AD316" s="1">
        <f>ROUNDDOWN(I316*(1+IF(F316=3,0.05+方案参数!$Y$11+AA316*0.12,IF(F316=4,方案参数!$BZ$11*方案参数!$AS$11,0)))+IF(AND(X316=1,F316&lt;&gt;3),方案参数!$CC$11,0)+AC316*方案参数!$CB$11,0)</f>
        <v>3044</v>
      </c>
      <c r="AE316" s="1">
        <f>IF(OR(F316=1,F316=4),配置与结果!$B$24,配置与结果!$B$25)*MAX(0,1-INDEX(配置与结果!$I$15:$I$18,F316))</f>
        <v>1000</v>
      </c>
      <c r="AF316" s="1">
        <f>方案参数!$BV$11</f>
        <v>3</v>
      </c>
      <c r="AG316" s="1">
        <f>MAX(配置与结果!$B$32,1+INDEX(配置与结果!$F$15:$F$18,F316)+0+Q316*方案参数!$W$11+Y316*(方案参数!$AN$11+MIN(方案参数!$AO$11,P316*0.03))+AB316*方案参数!$BZ$11*0.025-配置与结果!$B$28)</f>
        <v>1.8800000000000003</v>
      </c>
      <c r="AH316" s="1">
        <f>MAX(0,1+INDEX(配置与结果!$G$15:$G$18,F316)+W316*方案参数!$AG$11)</f>
        <v>1.3</v>
      </c>
      <c r="AI316" s="1">
        <f>IF(OR(INDEX(配置与结果!$K$15:$K$18,F316)=1,G316="RHI_BERRY"),1+配置与结果!$B$33+P316*方案参数!$AH$11,1)</f>
        <v>1</v>
      </c>
      <c r="AJ316" s="1">
        <f>MIN(1,MAX(0,J316+方案参数!$AB$11-配置与结果!$B$27))</f>
        <v>0.76</v>
      </c>
      <c r="AK316" s="1">
        <f>MAX(1,K316+IF(F316=2,0.15+方案参数!$CH$11,0)+BN316*方案参数!$X$11+R316*方案参数!$AA$11+0-配置与结果!$B$26+Z316*(方案参数!$AP$11+MIN(方案参数!$AQ$11,P316*0.03)))</f>
        <v>2.3380000000000001</v>
      </c>
      <c r="AL316" s="7">
        <f>ROUNDDOWN(MAX(AD316*配置与结果!$B$31,AD316-AE316)*AF316*AG316*AH316*AI316,0)</f>
        <v>14986</v>
      </c>
      <c r="AM316" s="7">
        <f>ROUNDDOWN(MAX(AD316*配置与结果!$B$31,AD316-AE316)*AF316*AG316*AH316*AI316*AK316,0)</f>
        <v>35038</v>
      </c>
      <c r="AN316" s="7">
        <f t="shared" si="380"/>
        <v>30225.52</v>
      </c>
      <c r="AO316" s="7">
        <f>方案参数!$BW$11</f>
        <v>1</v>
      </c>
      <c r="AP316" s="7">
        <f>MAX(0,1+INDEX(配置与结果!$J$15:$J$18,F316)+IF(T316&gt;0,方案参数!$BY$11,0)-配置与结果!$B$30)</f>
        <v>2</v>
      </c>
      <c r="AQ316" s="7">
        <f t="shared" si="381"/>
        <v>6088</v>
      </c>
      <c r="AR316" s="7">
        <f t="shared" si="382"/>
        <v>14233</v>
      </c>
      <c r="AS316" s="7">
        <f t="shared" si="383"/>
        <v>12278.2</v>
      </c>
      <c r="AT316" s="7">
        <f>0</f>
        <v>0</v>
      </c>
      <c r="AU316" s="7">
        <f t="shared" si="384"/>
        <v>42503.72</v>
      </c>
      <c r="AV316" s="1">
        <f t="shared" si="385"/>
        <v>2</v>
      </c>
      <c r="AW316" s="1">
        <f t="shared" si="456"/>
        <v>10</v>
      </c>
      <c r="AX316" s="1">
        <f t="shared" si="386"/>
        <v>2</v>
      </c>
      <c r="AY316" s="1">
        <f>MIN(20,MAX(0,O316+0+0-0))</f>
        <v>0</v>
      </c>
      <c r="AZ316" s="1">
        <f t="shared" si="387"/>
        <v>5</v>
      </c>
      <c r="BA316" s="1">
        <f t="shared" si="447"/>
        <v>5</v>
      </c>
      <c r="BB316" s="1">
        <f t="shared" si="455"/>
        <v>20</v>
      </c>
      <c r="BC316" s="1">
        <f t="shared" si="453"/>
        <v>3</v>
      </c>
      <c r="BD316" s="1">
        <f t="shared" si="434"/>
        <v>0</v>
      </c>
      <c r="BE316" s="1">
        <f t="shared" si="427"/>
        <v>0</v>
      </c>
      <c r="BF316" s="1">
        <f>MIN(4,V316+1)</f>
        <v>4</v>
      </c>
      <c r="BG316" s="1">
        <f t="shared" si="444"/>
        <v>1</v>
      </c>
      <c r="BH316" s="1">
        <f t="shared" si="428"/>
        <v>1</v>
      </c>
      <c r="BI316" s="1">
        <f t="shared" si="445"/>
        <v>1</v>
      </c>
      <c r="BJ316" s="1">
        <f t="shared" si="448"/>
        <v>1</v>
      </c>
      <c r="BK316" s="1">
        <f t="shared" si="449"/>
        <v>1</v>
      </c>
      <c r="BL316" s="1">
        <f t="shared" si="454"/>
        <v>1</v>
      </c>
      <c r="BM316" s="1">
        <f t="shared" si="452"/>
        <v>1</v>
      </c>
      <c r="BN316" s="1">
        <f t="shared" si="429"/>
        <v>1</v>
      </c>
      <c r="BO316" s="1">
        <f t="shared" si="430"/>
        <v>1</v>
      </c>
    </row>
    <row r="317" spans="1:67" ht="30.95" customHeight="1">
      <c r="A317" s="1">
        <f>8</f>
        <v>8</v>
      </c>
      <c r="B317" s="1">
        <f>固定流程!A29</f>
        <v>24</v>
      </c>
      <c r="C317" s="1">
        <f>11</f>
        <v>11</v>
      </c>
      <c r="D317" s="1">
        <f>2</f>
        <v>2</v>
      </c>
      <c r="E317" s="1">
        <f>固定流程!C29</f>
        <v>3</v>
      </c>
      <c r="F317" s="1">
        <f>固定流程!G29</f>
        <v>1</v>
      </c>
      <c r="G317" s="1" t="str">
        <f>固定流程!H29</f>
        <v>LILYA_WEAK</v>
      </c>
      <c r="H317" s="1">
        <f>固定流程!F29</f>
        <v>1</v>
      </c>
      <c r="I317" s="1">
        <f>INDEX(配置与结果!$B$15:$B$18,F317)</f>
        <v>2296</v>
      </c>
      <c r="J317" s="1">
        <f>INDEX(配置与结果!$D$15:$D$18,F317)</f>
        <v>0.7</v>
      </c>
      <c r="K317" s="1">
        <f>INDEX(配置与结果!$E$15:$E$18,F317)</f>
        <v>2.0249999999999999</v>
      </c>
      <c r="L317" s="1">
        <f t="shared" si="441"/>
        <v>2</v>
      </c>
      <c r="M317" s="1">
        <f t="shared" si="442"/>
        <v>10</v>
      </c>
      <c r="N317" s="1">
        <f t="shared" si="443"/>
        <v>2</v>
      </c>
      <c r="O317" s="1">
        <f t="shared" si="435"/>
        <v>0</v>
      </c>
      <c r="P317" s="1">
        <f>MIN(方案参数!$AI$11,AZ316+0+0)</f>
        <v>5</v>
      </c>
      <c r="Q317" s="1">
        <f t="shared" si="413"/>
        <v>5</v>
      </c>
      <c r="R317" s="1">
        <f t="shared" si="414"/>
        <v>20</v>
      </c>
      <c r="S317" s="1">
        <f t="shared" si="415"/>
        <v>3</v>
      </c>
      <c r="T317" s="1">
        <f t="shared" si="450"/>
        <v>0</v>
      </c>
      <c r="U317" s="1">
        <f t="shared" si="417"/>
        <v>0</v>
      </c>
      <c r="V317" s="1">
        <f t="shared" si="418"/>
        <v>4</v>
      </c>
      <c r="W317" s="1">
        <f t="shared" si="419"/>
        <v>1</v>
      </c>
      <c r="X317" s="1">
        <f t="shared" si="420"/>
        <v>1</v>
      </c>
      <c r="Y317" s="1">
        <f t="shared" si="421"/>
        <v>1</v>
      </c>
      <c r="Z317" s="1">
        <f t="shared" si="422"/>
        <v>1</v>
      </c>
      <c r="AA317" s="1">
        <f t="shared" si="446"/>
        <v>1</v>
      </c>
      <c r="AB317" s="1">
        <f t="shared" si="424"/>
        <v>1</v>
      </c>
      <c r="AC317" s="1">
        <f t="shared" si="451"/>
        <v>1</v>
      </c>
      <c r="AD317" s="1">
        <f>ROUNDDOWN(I317*(1+IF(F317=3,0.05+方案参数!$Y$11+AA317*0.12,IF(F317=4,方案参数!$BZ$11*方案参数!$AS$11,0)))+IF(AND(X317=1,F317&lt;&gt;3),方案参数!$CC$11,0)+AC317*方案参数!$CB$11,0)</f>
        <v>3034</v>
      </c>
      <c r="AE317" s="1">
        <f>IF(OR(F317=1,F317=4),配置与结果!$B$24,配置与结果!$B$25)*MAX(0,1-INDEX(配置与结果!$I$15:$I$18,F317))</f>
        <v>1200</v>
      </c>
      <c r="AF317" s="1">
        <f>方案参数!$BL$11</f>
        <v>9</v>
      </c>
      <c r="AG317" s="1">
        <f>MAX(配置与结果!$B$32,1+INDEX(配置与结果!$F$15:$F$18,F317)+0.08+方案参数!$CD$11+Q317*方案参数!$W$11+Y317*(方案参数!$AN$11+MIN(方案参数!$AO$11,P317*0.03))+AB317*方案参数!$BZ$11*0.025-配置与结果!$B$28+方案参数!$AE$11)</f>
        <v>2.6150000000000002</v>
      </c>
      <c r="AH317" s="1">
        <f>MAX(0,1+V317*方案参数!$U$11+0*方案参数!$V$11+方案参数!$AE$11-配置与结果!$B$29)</f>
        <v>1.56</v>
      </c>
      <c r="AI317" s="1">
        <f>IF(OR(INDEX(配置与结果!$K$15:$K$18,F317)=1,G317="RHI_BERRY"),1+配置与结果!$B$33+P317*方案参数!$AH$11,1)</f>
        <v>1</v>
      </c>
      <c r="AJ317" s="1">
        <f>MIN(1,MAX(0,J317+方案参数!$AB$11-配置与结果!$B$27))</f>
        <v>1</v>
      </c>
      <c r="AK317" s="1">
        <f>MAX(1,K317+IF(F317=2,0.15+方案参数!$CH$11,0)+BN317*方案参数!$X$11+R317*方案参数!$AA$11+方案参数!$BP$11-配置与结果!$B$26+Z317*(方案参数!$AP$11+MIN(方案参数!$AQ$11,P317*0.03)))</f>
        <v>2.7650000000000001</v>
      </c>
      <c r="AL317" s="7">
        <f>ROUNDDOWN(MAX(AD317*配置与结果!$B$31,AD317-AE317)*AF317*AG317*AH317*AI317,0)</f>
        <v>67334</v>
      </c>
      <c r="AM317" s="7">
        <f>ROUNDDOWN(MAX(AD317*配置与结果!$B$31,AD317-AE317)*AF317*AG317*AH317*AI317*AK317,0)</f>
        <v>186180</v>
      </c>
      <c r="AN317" s="7">
        <f t="shared" si="380"/>
        <v>186180</v>
      </c>
      <c r="AO317" s="7">
        <f>0</f>
        <v>0</v>
      </c>
      <c r="AP317" s="7">
        <f>MAX(0,1+INDEX(配置与结果!$J$15:$J$18,F317)+IF(T317&gt;0,方案参数!$BY$11,0)-配置与结果!$B$30)</f>
        <v>1</v>
      </c>
      <c r="AQ317" s="7">
        <f t="shared" si="381"/>
        <v>0</v>
      </c>
      <c r="AR317" s="7">
        <f t="shared" si="382"/>
        <v>0</v>
      </c>
      <c r="AS317" s="7">
        <f t="shared" si="383"/>
        <v>0</v>
      </c>
      <c r="AT317" s="7">
        <f>IF(U317&gt;0,ROUNDDOWN(AL317*方案参数!$AF$11,0)*(1-AJ317)+ROUNDDOWN(AM317*方案参数!$AF$11,0)*AJ317,0)</f>
        <v>0</v>
      </c>
      <c r="AU317" s="7">
        <f t="shared" si="384"/>
        <v>186180</v>
      </c>
      <c r="AV317" s="1">
        <f t="shared" si="385"/>
        <v>2</v>
      </c>
      <c r="AW317" s="1">
        <f t="shared" si="456"/>
        <v>10</v>
      </c>
      <c r="AX317" s="1">
        <f t="shared" si="386"/>
        <v>2</v>
      </c>
      <c r="AY317" s="1">
        <f>MIN(20,MAX(0,O317+0+1-0))</f>
        <v>1</v>
      </c>
      <c r="AZ317" s="1">
        <f t="shared" si="387"/>
        <v>5</v>
      </c>
      <c r="BA317" s="1">
        <f t="shared" si="447"/>
        <v>5</v>
      </c>
      <c r="BB317" s="1">
        <f t="shared" si="455"/>
        <v>20</v>
      </c>
      <c r="BC317" s="1">
        <f t="shared" si="453"/>
        <v>3</v>
      </c>
      <c r="BD317" s="1">
        <f t="shared" si="434"/>
        <v>0</v>
      </c>
      <c r="BE317" s="1">
        <f>MAX(0,U317-IF(AF317&gt;0,1,0))+0</f>
        <v>0</v>
      </c>
      <c r="BF317" s="1">
        <f t="shared" ref="BF317:BF334" si="457">MIN(4,V317+0)</f>
        <v>4</v>
      </c>
      <c r="BG317" s="1">
        <f t="shared" si="444"/>
        <v>1</v>
      </c>
      <c r="BH317" s="1">
        <f t="shared" si="428"/>
        <v>1</v>
      </c>
      <c r="BI317" s="1">
        <f t="shared" si="445"/>
        <v>1</v>
      </c>
      <c r="BJ317" s="1">
        <f t="shared" si="448"/>
        <v>1</v>
      </c>
      <c r="BK317" s="1">
        <f t="shared" si="449"/>
        <v>1</v>
      </c>
      <c r="BL317" s="1">
        <f t="shared" si="454"/>
        <v>1</v>
      </c>
      <c r="BM317" s="1">
        <f t="shared" si="452"/>
        <v>1</v>
      </c>
      <c r="BN317" s="1">
        <f t="shared" si="429"/>
        <v>1</v>
      </c>
      <c r="BO317" s="1">
        <f t="shared" si="430"/>
        <v>1</v>
      </c>
    </row>
    <row r="318" spans="1:67" ht="30.95" customHeight="1">
      <c r="A318" s="1">
        <f>8</f>
        <v>8</v>
      </c>
      <c r="B318" s="1">
        <f>固定流程!A30</f>
        <v>25</v>
      </c>
      <c r="C318" s="1">
        <f>11</f>
        <v>11</v>
      </c>
      <c r="D318" s="1">
        <f>2</f>
        <v>2</v>
      </c>
      <c r="E318" s="1">
        <f>固定流程!C30</f>
        <v>3</v>
      </c>
      <c r="F318" s="1">
        <f>固定流程!G30</f>
        <v>1</v>
      </c>
      <c r="G318" s="1" t="str">
        <f>固定流程!H30</f>
        <v>LILYA_WEAK</v>
      </c>
      <c r="H318" s="1">
        <f>固定流程!F30</f>
        <v>1</v>
      </c>
      <c r="I318" s="1">
        <f>INDEX(配置与结果!$B$15:$B$18,F318)</f>
        <v>2296</v>
      </c>
      <c r="J318" s="1">
        <f>INDEX(配置与结果!$D$15:$D$18,F318)</f>
        <v>0.7</v>
      </c>
      <c r="K318" s="1">
        <f>INDEX(配置与结果!$E$15:$E$18,F318)</f>
        <v>2.0249999999999999</v>
      </c>
      <c r="L318" s="1">
        <f t="shared" si="441"/>
        <v>2</v>
      </c>
      <c r="M318" s="1">
        <f t="shared" si="442"/>
        <v>10</v>
      </c>
      <c r="N318" s="1">
        <f t="shared" si="443"/>
        <v>2</v>
      </c>
      <c r="O318" s="1">
        <f t="shared" si="435"/>
        <v>1</v>
      </c>
      <c r="P318" s="1">
        <f>MIN(方案参数!$AI$11,AZ317+0+0)</f>
        <v>5</v>
      </c>
      <c r="Q318" s="1">
        <f t="shared" si="413"/>
        <v>5</v>
      </c>
      <c r="R318" s="1">
        <f t="shared" si="414"/>
        <v>20</v>
      </c>
      <c r="S318" s="1">
        <f t="shared" si="415"/>
        <v>3</v>
      </c>
      <c r="T318" s="1">
        <f t="shared" si="450"/>
        <v>0</v>
      </c>
      <c r="U318" s="1">
        <f t="shared" si="417"/>
        <v>0</v>
      </c>
      <c r="V318" s="1">
        <f t="shared" si="418"/>
        <v>4</v>
      </c>
      <c r="W318" s="1">
        <f t="shared" si="419"/>
        <v>1</v>
      </c>
      <c r="X318" s="1">
        <f t="shared" si="420"/>
        <v>1</v>
      </c>
      <c r="Y318" s="1">
        <f t="shared" si="421"/>
        <v>1</v>
      </c>
      <c r="Z318" s="1">
        <f t="shared" si="422"/>
        <v>1</v>
      </c>
      <c r="AA318" s="1">
        <f t="shared" si="446"/>
        <v>1</v>
      </c>
      <c r="AB318" s="1">
        <f t="shared" si="424"/>
        <v>1</v>
      </c>
      <c r="AC318" s="1">
        <f t="shared" si="451"/>
        <v>1</v>
      </c>
      <c r="AD318" s="1">
        <f>ROUNDDOWN(I318*(1+IF(F318=3,0.05+方案参数!$Y$11+AA318*0.12,IF(F318=4,方案参数!$BZ$11*方案参数!$AS$11,0)))+IF(AND(X318=1,F318&lt;&gt;3),方案参数!$CC$11,0)+AC318*方案参数!$CB$11,0)</f>
        <v>3034</v>
      </c>
      <c r="AE318" s="1">
        <f>IF(OR(F318=1,F318=4),配置与结果!$B$24,配置与结果!$B$25)*MAX(0,1-INDEX(配置与结果!$I$15:$I$18,F318))</f>
        <v>1200</v>
      </c>
      <c r="AF318" s="1">
        <f>方案参数!$BL$11</f>
        <v>9</v>
      </c>
      <c r="AG318" s="1">
        <f>MAX(配置与结果!$B$32,1+INDEX(配置与结果!$F$15:$F$18,F318)+0.08+方案参数!$CD$11+Q318*方案参数!$W$11+Y318*(方案参数!$AN$11+MIN(方案参数!$AO$11,P318*0.03))+AB318*方案参数!$BZ$11*0.025-配置与结果!$B$28+方案参数!$AE$11)</f>
        <v>2.6150000000000002</v>
      </c>
      <c r="AH318" s="1">
        <f>MAX(0,1+V318*方案参数!$U$11+1*方案参数!$V$11+方案参数!$AE$11-配置与结果!$B$29)</f>
        <v>1.62</v>
      </c>
      <c r="AI318" s="1">
        <f>IF(OR(INDEX(配置与结果!$K$15:$K$18,F318)=1,G318="RHI_BERRY"),1+配置与结果!$B$33+P318*方案参数!$AH$11,1)</f>
        <v>1</v>
      </c>
      <c r="AJ318" s="1">
        <f>MIN(1,MAX(0,J318+方案参数!$AB$11-配置与结果!$B$27))</f>
        <v>1</v>
      </c>
      <c r="AK318" s="1">
        <f>MAX(1,K318+IF(F318=2,0.15+方案参数!$CH$11,0)+BN318*方案参数!$X$11+R318*方案参数!$AA$11+方案参数!$BP$11-配置与结果!$B$26+Z318*(方案参数!$AP$11+MIN(方案参数!$AQ$11,P318*0.03)))</f>
        <v>2.7650000000000001</v>
      </c>
      <c r="AL318" s="7">
        <f>ROUNDDOWN(MAX(AD318*配置与结果!$B$31,AD318-AE318)*AF318*AG318*AH318*AI318,0)</f>
        <v>69924</v>
      </c>
      <c r="AM318" s="7">
        <f>ROUNDDOWN(MAX(AD318*配置与结果!$B$31,AD318-AE318)*AF318*AG318*AH318*AI318*AK318,0)</f>
        <v>193340</v>
      </c>
      <c r="AN318" s="7">
        <f t="shared" si="380"/>
        <v>193340</v>
      </c>
      <c r="AO318" s="7">
        <f>0</f>
        <v>0</v>
      </c>
      <c r="AP318" s="7">
        <f>MAX(0,1+INDEX(配置与结果!$J$15:$J$18,F318)+IF(T318&gt;0,方案参数!$BY$11,0)-配置与结果!$B$30)</f>
        <v>1</v>
      </c>
      <c r="AQ318" s="7">
        <f t="shared" si="381"/>
        <v>0</v>
      </c>
      <c r="AR318" s="7">
        <f t="shared" si="382"/>
        <v>0</v>
      </c>
      <c r="AS318" s="7">
        <f t="shared" si="383"/>
        <v>0</v>
      </c>
      <c r="AT318" s="7">
        <f>IF(U318&gt;0,ROUNDDOWN(AL318*方案参数!$AF$11,0)*(1-AJ318)+ROUNDDOWN(AM318*方案参数!$AF$11,0)*AJ318,0)</f>
        <v>0</v>
      </c>
      <c r="AU318" s="7">
        <f t="shared" si="384"/>
        <v>193340</v>
      </c>
      <c r="AV318" s="1">
        <f t="shared" si="385"/>
        <v>2</v>
      </c>
      <c r="AW318" s="1">
        <f t="shared" si="456"/>
        <v>10</v>
      </c>
      <c r="AX318" s="1">
        <f t="shared" si="386"/>
        <v>2</v>
      </c>
      <c r="AY318" s="1">
        <f>MIN(20,MAX(0,O318+0+1-0))</f>
        <v>2</v>
      </c>
      <c r="AZ318" s="1">
        <f t="shared" si="387"/>
        <v>5</v>
      </c>
      <c r="BA318" s="1">
        <f t="shared" si="447"/>
        <v>5</v>
      </c>
      <c r="BB318" s="1">
        <f t="shared" si="455"/>
        <v>20</v>
      </c>
      <c r="BC318" s="1">
        <f t="shared" si="453"/>
        <v>3</v>
      </c>
      <c r="BD318" s="1">
        <f t="shared" si="434"/>
        <v>0</v>
      </c>
      <c r="BE318" s="1">
        <f>MAX(0,U318-IF(AF318&gt;0,1,0))+0</f>
        <v>0</v>
      </c>
      <c r="BF318" s="1">
        <f t="shared" si="457"/>
        <v>4</v>
      </c>
      <c r="BG318" s="1">
        <f t="shared" si="444"/>
        <v>1</v>
      </c>
      <c r="BH318" s="1">
        <f t="shared" si="428"/>
        <v>1</v>
      </c>
      <c r="BI318" s="1">
        <f t="shared" si="445"/>
        <v>1</v>
      </c>
      <c r="BJ318" s="1">
        <f t="shared" si="448"/>
        <v>1</v>
      </c>
      <c r="BK318" s="1">
        <f t="shared" si="449"/>
        <v>1</v>
      </c>
      <c r="BL318" s="1">
        <f t="shared" si="454"/>
        <v>1</v>
      </c>
      <c r="BM318" s="1">
        <f t="shared" si="452"/>
        <v>1</v>
      </c>
      <c r="BN318" s="1">
        <f t="shared" si="429"/>
        <v>1</v>
      </c>
      <c r="BO318" s="1">
        <f t="shared" si="430"/>
        <v>1</v>
      </c>
    </row>
    <row r="319" spans="1:67" ht="30.95" customHeight="1">
      <c r="A319" s="1">
        <f>8</f>
        <v>8</v>
      </c>
      <c r="B319" s="1">
        <f>固定流程!A31</f>
        <v>26</v>
      </c>
      <c r="C319" s="1">
        <f>11</f>
        <v>11</v>
      </c>
      <c r="D319" s="1">
        <f>2</f>
        <v>2</v>
      </c>
      <c r="E319" s="1">
        <f>固定流程!C31</f>
        <v>3</v>
      </c>
      <c r="F319" s="1">
        <f>固定流程!G31</f>
        <v>2</v>
      </c>
      <c r="G319" s="1" t="str">
        <f>固定流程!H31</f>
        <v>37_WEAK</v>
      </c>
      <c r="H319" s="1">
        <f>固定流程!F31</f>
        <v>1</v>
      </c>
      <c r="I319" s="1">
        <f>INDEX(配置与结果!$B$15:$B$18,F319)</f>
        <v>2306</v>
      </c>
      <c r="J319" s="1">
        <f>INDEX(配置与结果!$D$15:$D$18,F319)</f>
        <v>0.46</v>
      </c>
      <c r="K319" s="1">
        <f>INDEX(配置与结果!$E$15:$E$18,F319)</f>
        <v>1.9279999999999999</v>
      </c>
      <c r="L319" s="1">
        <f t="shared" si="441"/>
        <v>2</v>
      </c>
      <c r="M319" s="1">
        <f t="shared" si="442"/>
        <v>10</v>
      </c>
      <c r="N319" s="1">
        <f t="shared" si="443"/>
        <v>2</v>
      </c>
      <c r="O319" s="1">
        <f t="shared" si="435"/>
        <v>2</v>
      </c>
      <c r="P319" s="1">
        <f>MIN(方案参数!$AI$11,AZ318+0+0)</f>
        <v>5</v>
      </c>
      <c r="Q319" s="1">
        <f t="shared" si="413"/>
        <v>5</v>
      </c>
      <c r="R319" s="1">
        <f t="shared" si="414"/>
        <v>20</v>
      </c>
      <c r="S319" s="1">
        <f t="shared" si="415"/>
        <v>3</v>
      </c>
      <c r="T319" s="1">
        <f t="shared" si="450"/>
        <v>0</v>
      </c>
      <c r="U319" s="1">
        <f t="shared" si="417"/>
        <v>0</v>
      </c>
      <c r="V319" s="1">
        <f t="shared" si="418"/>
        <v>4</v>
      </c>
      <c r="W319" s="1">
        <f t="shared" si="419"/>
        <v>1</v>
      </c>
      <c r="X319" s="1">
        <f t="shared" si="420"/>
        <v>1</v>
      </c>
      <c r="Y319" s="1">
        <f t="shared" si="421"/>
        <v>1</v>
      </c>
      <c r="Z319" s="1">
        <f t="shared" si="422"/>
        <v>1</v>
      </c>
      <c r="AA319" s="1">
        <f t="shared" si="446"/>
        <v>1</v>
      </c>
      <c r="AB319" s="1">
        <f t="shared" si="424"/>
        <v>1</v>
      </c>
      <c r="AC319" s="1">
        <f t="shared" si="451"/>
        <v>1</v>
      </c>
      <c r="AD319" s="1">
        <f>ROUNDDOWN(I319*(1+IF(F319=3,0.05+方案参数!$Y$11+AA319*0.12,IF(F319=4,方案参数!$BZ$11*方案参数!$AS$11,0)))+IF(AND(X319=1,F319&lt;&gt;3),方案参数!$CC$11,0)+AC319*方案参数!$CB$11,0)</f>
        <v>3044</v>
      </c>
      <c r="AE319" s="1">
        <f>IF(OR(F319=1,F319=4),配置与结果!$B$24,配置与结果!$B$25)*MAX(0,1-INDEX(配置与结果!$I$15:$I$18,F319))</f>
        <v>1000</v>
      </c>
      <c r="AF319" s="1">
        <f>方案参数!$CE$11</f>
        <v>8</v>
      </c>
      <c r="AG319" s="1">
        <f>MAX(配置与结果!$B$32,1+INDEX(配置与结果!$F$15:$F$18,F319)+0+Q319*方案参数!$W$11+Y319*(方案参数!$AN$11+MIN(方案参数!$AO$11,P319*0.03))+AB319*方案参数!$BZ$11*0.025-配置与结果!$B$28+方案参数!$AE$11)</f>
        <v>2.2800000000000002</v>
      </c>
      <c r="AH319" s="1">
        <f>MAX(0,1+V319*方案参数!$U$11+方案参数!$AE$11-配置与结果!$B$29)</f>
        <v>1.56</v>
      </c>
      <c r="AI319" s="1">
        <f>IF(OR(INDEX(配置与结果!$K$15:$K$18,F319)=1,G319="RHI_BERRY"),1+配置与结果!$B$33+P319*方案参数!$AH$11,1)</f>
        <v>1</v>
      </c>
      <c r="AJ319" s="1">
        <f>MIN(1,MAX(0,J319+方案参数!$AB$11-配置与结果!$B$27))</f>
        <v>0.76</v>
      </c>
      <c r="AK319" s="1">
        <f>MAX(1,K319+IF(F319=2,0.15+方案参数!$CH$11,0)+BN319*方案参数!$X$11+R319*方案参数!$AA$11+0-配置与结果!$B$26+Z319*(方案参数!$AP$11+MIN(方案参数!$AQ$11,P319*0.03)))</f>
        <v>2.3380000000000001</v>
      </c>
      <c r="AL319" s="7">
        <f>ROUNDDOWN(MAX(AD319*配置与结果!$B$31,AD319-AE319)*AF319*AG319*AH319*AI319,0)</f>
        <v>58160</v>
      </c>
      <c r="AM319" s="7">
        <f>ROUNDDOWN(MAX(AD319*配置与结果!$B$31,AD319-AE319)*AF319*AG319*AH319*AI319*AK319,0)</f>
        <v>135979</v>
      </c>
      <c r="AN319" s="7">
        <f t="shared" si="380"/>
        <v>117302.44</v>
      </c>
      <c r="AO319" s="7">
        <f>0</f>
        <v>0</v>
      </c>
      <c r="AP319" s="7">
        <f>MAX(0,1+INDEX(配置与结果!$J$15:$J$18,F319)+IF(T319&gt;0,方案参数!$BY$11,0)-配置与结果!$B$30)</f>
        <v>1</v>
      </c>
      <c r="AQ319" s="7">
        <f t="shared" si="381"/>
        <v>0</v>
      </c>
      <c r="AR319" s="7">
        <f t="shared" si="382"/>
        <v>0</v>
      </c>
      <c r="AS319" s="7">
        <f t="shared" si="383"/>
        <v>0</v>
      </c>
      <c r="AT319" s="7">
        <f>IF(U319&gt;0,ROUNDDOWN(AL319*方案参数!$AF$11,0)*(1-AJ319)+ROUNDDOWN(AM319*方案参数!$AF$11,0)*AJ319,0)</f>
        <v>0</v>
      </c>
      <c r="AU319" s="7">
        <f t="shared" si="384"/>
        <v>117302.44</v>
      </c>
      <c r="AV319" s="1">
        <f t="shared" si="385"/>
        <v>2</v>
      </c>
      <c r="AW319" s="1">
        <f t="shared" si="456"/>
        <v>10</v>
      </c>
      <c r="AX319" s="1">
        <f t="shared" si="386"/>
        <v>2</v>
      </c>
      <c r="AY319" s="1">
        <f>MIN(20,MAX(0,O319+0+0-0))</f>
        <v>2</v>
      </c>
      <c r="AZ319" s="1">
        <f t="shared" si="387"/>
        <v>5</v>
      </c>
      <c r="BA319" s="1">
        <f t="shared" si="447"/>
        <v>5</v>
      </c>
      <c r="BB319" s="1">
        <f t="shared" si="455"/>
        <v>20</v>
      </c>
      <c r="BC319" s="1">
        <f t="shared" si="453"/>
        <v>3</v>
      </c>
      <c r="BD319" s="1">
        <f t="shared" si="434"/>
        <v>0</v>
      </c>
      <c r="BE319" s="1">
        <f>MAX(0,U319-IF(AF319&gt;0,1,0))+1</f>
        <v>1</v>
      </c>
      <c r="BF319" s="1">
        <f t="shared" si="457"/>
        <v>4</v>
      </c>
      <c r="BG319" s="1">
        <f t="shared" si="444"/>
        <v>1</v>
      </c>
      <c r="BH319" s="1">
        <f t="shared" si="428"/>
        <v>1</v>
      </c>
      <c r="BI319" s="1">
        <f t="shared" si="445"/>
        <v>1</v>
      </c>
      <c r="BJ319" s="1">
        <f t="shared" si="448"/>
        <v>1</v>
      </c>
      <c r="BK319" s="1">
        <f t="shared" si="449"/>
        <v>1</v>
      </c>
      <c r="BL319" s="1">
        <f t="shared" si="454"/>
        <v>1</v>
      </c>
      <c r="BM319" s="1">
        <f t="shared" si="452"/>
        <v>1</v>
      </c>
      <c r="BN319" s="1">
        <f t="shared" si="429"/>
        <v>1</v>
      </c>
      <c r="BO319" s="1">
        <f t="shared" si="430"/>
        <v>1</v>
      </c>
    </row>
    <row r="320" spans="1:67" ht="30.95" customHeight="1">
      <c r="A320" s="1">
        <f>8</f>
        <v>8</v>
      </c>
      <c r="B320" s="1">
        <f>固定流程!A32</f>
        <v>27</v>
      </c>
      <c r="C320" s="1">
        <f>11</f>
        <v>11</v>
      </c>
      <c r="D320" s="1">
        <f>2</f>
        <v>2</v>
      </c>
      <c r="E320" s="1">
        <f>固定流程!C32</f>
        <v>3</v>
      </c>
      <c r="F320" s="1">
        <f>固定流程!G32</f>
        <v>1</v>
      </c>
      <c r="G320" s="1" t="str">
        <f>固定流程!H32</f>
        <v>LILYA_THIRD</v>
      </c>
      <c r="H320" s="1">
        <f>固定流程!F32</f>
        <v>1</v>
      </c>
      <c r="I320" s="1">
        <f>INDEX(配置与结果!$B$15:$B$18,F320)</f>
        <v>2296</v>
      </c>
      <c r="J320" s="1">
        <f>INDEX(配置与结果!$D$15:$D$18,F320)</f>
        <v>0.7</v>
      </c>
      <c r="K320" s="1">
        <f>INDEX(配置与结果!$E$15:$E$18,F320)</f>
        <v>2.0249999999999999</v>
      </c>
      <c r="L320" s="1">
        <f t="shared" si="441"/>
        <v>2</v>
      </c>
      <c r="M320" s="1">
        <f t="shared" si="442"/>
        <v>10</v>
      </c>
      <c r="N320" s="1">
        <f t="shared" si="443"/>
        <v>2</v>
      </c>
      <c r="O320" s="1">
        <f t="shared" si="435"/>
        <v>2</v>
      </c>
      <c r="P320" s="1">
        <f>MIN(方案参数!$AI$11,AZ319+0+0)</f>
        <v>5</v>
      </c>
      <c r="Q320" s="1">
        <f t="shared" si="413"/>
        <v>5</v>
      </c>
      <c r="R320" s="1">
        <f t="shared" si="414"/>
        <v>20</v>
      </c>
      <c r="S320" s="1">
        <f t="shared" si="415"/>
        <v>3</v>
      </c>
      <c r="T320" s="1">
        <f t="shared" si="450"/>
        <v>0</v>
      </c>
      <c r="U320" s="1">
        <f t="shared" si="417"/>
        <v>1</v>
      </c>
      <c r="V320" s="1">
        <f t="shared" si="418"/>
        <v>4</v>
      </c>
      <c r="W320" s="1">
        <f t="shared" si="419"/>
        <v>1</v>
      </c>
      <c r="X320" s="1">
        <f t="shared" si="420"/>
        <v>1</v>
      </c>
      <c r="Y320" s="1">
        <f t="shared" si="421"/>
        <v>1</v>
      </c>
      <c r="Z320" s="1">
        <f t="shared" si="422"/>
        <v>1</v>
      </c>
      <c r="AA320" s="1">
        <f t="shared" si="446"/>
        <v>1</v>
      </c>
      <c r="AB320" s="1">
        <f t="shared" si="424"/>
        <v>1</v>
      </c>
      <c r="AC320" s="1">
        <f t="shared" si="451"/>
        <v>1</v>
      </c>
      <c r="AD320" s="1">
        <f>ROUNDDOWN(I320*(1+IF(F320=3,0.05+方案参数!$Y$11+AA320*0.12,IF(F320=4,方案参数!$BZ$11*方案参数!$AS$11,0)))+IF(AND(X320=1,F320&lt;&gt;3),方案参数!$CC$11,0)+AC320*方案参数!$CB$11,0)</f>
        <v>3034</v>
      </c>
      <c r="AE320" s="1">
        <f>IF(OR(F320=1,F320=4),配置与结果!$B$24,配置与结果!$B$25)*MAX(0,1-INDEX(配置与结果!$I$15:$I$18,F320))</f>
        <v>1200</v>
      </c>
      <c r="AF320" s="1">
        <f>方案参数!$BM$11</f>
        <v>20</v>
      </c>
      <c r="AG320" s="1">
        <f>MAX(配置与结果!$B$32,1+INDEX(配置与结果!$F$15:$F$18,F320)+0.08+方案参数!$CD$11+Q320*方案参数!$W$11+Y320*(方案参数!$AN$11+MIN(方案参数!$AO$11,P320*0.03))+AB320*方案参数!$BZ$11*0.025-配置与结果!$B$28+方案参数!$AE$11)</f>
        <v>2.6150000000000002</v>
      </c>
      <c r="AH320" s="1">
        <f>MAX(0,1+V320*方案参数!$U$11+3*方案参数!$V$11+方案参数!$AE$11-配置与结果!$B$29)</f>
        <v>1.7399999999999998</v>
      </c>
      <c r="AI320" s="1">
        <f>IF(OR(INDEX(配置与结果!$K$15:$K$18,F320)=1,G320="RHI_BERRY"),1+配置与结果!$B$33+P320*方案参数!$AH$11,1)</f>
        <v>1</v>
      </c>
      <c r="AJ320" s="1">
        <f>MIN(1,MAX(0,J320+方案参数!$AB$11-配置与结果!$B$27))</f>
        <v>1</v>
      </c>
      <c r="AK320" s="1">
        <f>MAX(1,K320+IF(F320=2,0.15+方案参数!$CH$11,0)+BN320*方案参数!$X$11+R320*方案参数!$AA$11+方案参数!$BQ$11-配置与结果!$B$26+Z320*(方案参数!$AP$11+MIN(方案参数!$AQ$11,P320*0.03)))</f>
        <v>2.9650000000000003</v>
      </c>
      <c r="AL320" s="7">
        <f>ROUNDDOWN(MAX(AD320*配置与结果!$B$31,AD320-AE320)*AF320*AG320*AH320*AI320,0)</f>
        <v>166897</v>
      </c>
      <c r="AM320" s="7">
        <f>ROUNDDOWN(MAX(AD320*配置与结果!$B$31,AD320-AE320)*AF320*AG320*AH320*AI320*AK320,0)</f>
        <v>494851</v>
      </c>
      <c r="AN320" s="7">
        <f t="shared" si="380"/>
        <v>494851</v>
      </c>
      <c r="AO320" s="7">
        <f>0</f>
        <v>0</v>
      </c>
      <c r="AP320" s="7">
        <f>MAX(0,1+INDEX(配置与结果!$J$15:$J$18,F320)+IF(T320&gt;0,方案参数!$BY$11,0)-配置与结果!$B$30)</f>
        <v>1</v>
      </c>
      <c r="AQ320" s="7">
        <f t="shared" si="381"/>
        <v>0</v>
      </c>
      <c r="AR320" s="7">
        <f t="shared" si="382"/>
        <v>0</v>
      </c>
      <c r="AS320" s="7">
        <f t="shared" si="383"/>
        <v>0</v>
      </c>
      <c r="AT320" s="7">
        <f>IF(U320&gt;0,ROUNDDOWN(AL320*方案参数!$AF$11,0)*(1-AJ320)+ROUNDDOWN(AM320*方案参数!$AF$11,0)*AJ320,0)</f>
        <v>197940</v>
      </c>
      <c r="AU320" s="7">
        <f t="shared" si="384"/>
        <v>692791</v>
      </c>
      <c r="AV320" s="1">
        <f t="shared" si="385"/>
        <v>2</v>
      </c>
      <c r="AW320" s="1">
        <f t="shared" si="456"/>
        <v>10</v>
      </c>
      <c r="AX320" s="1">
        <f t="shared" si="386"/>
        <v>2</v>
      </c>
      <c r="AY320" s="1">
        <f>MIN(20,MAX(0,O320+0+1-0))</f>
        <v>3</v>
      </c>
      <c r="AZ320" s="1">
        <f t="shared" si="387"/>
        <v>5</v>
      </c>
      <c r="BA320" s="1">
        <f t="shared" si="447"/>
        <v>5</v>
      </c>
      <c r="BB320" s="1">
        <f t="shared" si="455"/>
        <v>20</v>
      </c>
      <c r="BC320" s="1">
        <f t="shared" si="453"/>
        <v>3</v>
      </c>
      <c r="BD320" s="1">
        <f t="shared" si="434"/>
        <v>0</v>
      </c>
      <c r="BE320" s="1">
        <f>MAX(0,U320-IF(AF320&gt;0,1,0))+0</f>
        <v>0</v>
      </c>
      <c r="BF320" s="1">
        <f t="shared" si="457"/>
        <v>4</v>
      </c>
      <c r="BG320" s="1">
        <f t="shared" si="444"/>
        <v>1</v>
      </c>
      <c r="BH320" s="1">
        <f t="shared" si="428"/>
        <v>1</v>
      </c>
      <c r="BI320" s="1">
        <f t="shared" si="445"/>
        <v>1</v>
      </c>
      <c r="BJ320" s="1">
        <f t="shared" si="448"/>
        <v>1</v>
      </c>
      <c r="BK320" s="1">
        <f t="shared" si="449"/>
        <v>1</v>
      </c>
      <c r="BL320" s="1">
        <f t="shared" si="454"/>
        <v>1</v>
      </c>
      <c r="BM320" s="1">
        <f t="shared" si="452"/>
        <v>1</v>
      </c>
      <c r="BN320" s="1">
        <f t="shared" si="429"/>
        <v>1</v>
      </c>
      <c r="BO320" s="1">
        <f t="shared" si="430"/>
        <v>1</v>
      </c>
    </row>
    <row r="321" spans="1:67" ht="30.95" customHeight="1">
      <c r="A321" s="1">
        <f>8</f>
        <v>8</v>
      </c>
      <c r="B321" s="1">
        <f>固定流程!A33</f>
        <v>28</v>
      </c>
      <c r="C321" s="1">
        <f>11</f>
        <v>11</v>
      </c>
      <c r="D321" s="1">
        <f>2</f>
        <v>2</v>
      </c>
      <c r="E321" s="1">
        <f>固定流程!C33</f>
        <v>3</v>
      </c>
      <c r="F321" s="1">
        <f>固定流程!G33</f>
        <v>1</v>
      </c>
      <c r="G321" s="1" t="str">
        <f>固定流程!H33</f>
        <v>LILYA_WEAK</v>
      </c>
      <c r="H321" s="1">
        <f>固定流程!F33</f>
        <v>1</v>
      </c>
      <c r="I321" s="1">
        <f>INDEX(配置与结果!$B$15:$B$18,F321)</f>
        <v>2296</v>
      </c>
      <c r="J321" s="1">
        <f>INDEX(配置与结果!$D$15:$D$18,F321)</f>
        <v>0.7</v>
      </c>
      <c r="K321" s="1">
        <f>INDEX(配置与结果!$E$15:$E$18,F321)</f>
        <v>2.0249999999999999</v>
      </c>
      <c r="L321" s="1">
        <f t="shared" si="441"/>
        <v>2</v>
      </c>
      <c r="M321" s="1">
        <f t="shared" si="442"/>
        <v>10</v>
      </c>
      <c r="N321" s="1">
        <f t="shared" si="443"/>
        <v>2</v>
      </c>
      <c r="O321" s="1">
        <f t="shared" si="435"/>
        <v>3</v>
      </c>
      <c r="P321" s="1">
        <f>MIN(方案参数!$AI$11,AZ320+0+0)</f>
        <v>5</v>
      </c>
      <c r="Q321" s="1">
        <f t="shared" si="413"/>
        <v>5</v>
      </c>
      <c r="R321" s="1">
        <f t="shared" si="414"/>
        <v>20</v>
      </c>
      <c r="S321" s="1">
        <f t="shared" si="415"/>
        <v>3</v>
      </c>
      <c r="T321" s="1">
        <f t="shared" si="450"/>
        <v>0</v>
      </c>
      <c r="U321" s="1">
        <f t="shared" si="417"/>
        <v>0</v>
      </c>
      <c r="V321" s="1">
        <f t="shared" si="418"/>
        <v>4</v>
      </c>
      <c r="W321" s="1">
        <f t="shared" si="419"/>
        <v>1</v>
      </c>
      <c r="X321" s="1">
        <f t="shared" si="420"/>
        <v>1</v>
      </c>
      <c r="Y321" s="1">
        <f t="shared" si="421"/>
        <v>1</v>
      </c>
      <c r="Z321" s="1">
        <f t="shared" si="422"/>
        <v>1</v>
      </c>
      <c r="AA321" s="1">
        <f t="shared" si="446"/>
        <v>1</v>
      </c>
      <c r="AB321" s="1">
        <f t="shared" si="424"/>
        <v>1</v>
      </c>
      <c r="AC321" s="1">
        <f t="shared" si="451"/>
        <v>1</v>
      </c>
      <c r="AD321" s="1">
        <f>ROUNDDOWN(I321*(1+IF(F321=3,0.05+方案参数!$Y$11+AA321*0.12,IF(F321=4,方案参数!$BZ$11*方案参数!$AS$11,0)))+IF(AND(X321=1,F321&lt;&gt;3),方案参数!$CC$11,0)+AC321*方案参数!$CB$11,0)</f>
        <v>3034</v>
      </c>
      <c r="AE321" s="1">
        <f>IF(OR(F321=1,F321=4),配置与结果!$B$24,配置与结果!$B$25)*MAX(0,1-INDEX(配置与结果!$I$15:$I$18,F321))</f>
        <v>1200</v>
      </c>
      <c r="AF321" s="1">
        <f>方案参数!$BL$11</f>
        <v>9</v>
      </c>
      <c r="AG321" s="1">
        <f>MAX(配置与结果!$B$32,1+INDEX(配置与结果!$F$15:$F$18,F321)+0.08+方案参数!$CD$11+Q321*方案参数!$W$11+Y321*(方案参数!$AN$11+MIN(方案参数!$AO$11,P321*0.03))+AB321*方案参数!$BZ$11*0.025-配置与结果!$B$28+方案参数!$AE$11)</f>
        <v>2.6150000000000002</v>
      </c>
      <c r="AH321" s="1">
        <f>MAX(0,1+V321*方案参数!$U$11+4*方案参数!$V$11+方案参数!$AE$11-配置与结果!$B$29)</f>
        <v>1.7999999999999998</v>
      </c>
      <c r="AI321" s="1">
        <f>IF(OR(INDEX(配置与结果!$K$15:$K$18,F321)=1,G321="RHI_BERRY"),1+配置与结果!$B$33+P321*方案参数!$AH$11,1)</f>
        <v>1</v>
      </c>
      <c r="AJ321" s="1">
        <f>MIN(1,MAX(0,J321+方案参数!$AB$11-配置与结果!$B$27))</f>
        <v>1</v>
      </c>
      <c r="AK321" s="1">
        <f>MAX(1,K321+IF(F321=2,0.15+方案参数!$CH$11,0)+BN321*方案参数!$X$11+R321*方案参数!$AA$11+方案参数!$BP$11-配置与结果!$B$26+Z321*(方案参数!$AP$11+MIN(方案参数!$AQ$11,P321*0.03)))</f>
        <v>2.7650000000000001</v>
      </c>
      <c r="AL321" s="7">
        <f>ROUNDDOWN(MAX(AD321*配置与结果!$B$31,AD321-AE321)*AF321*AG321*AH321*AI321,0)</f>
        <v>77693</v>
      </c>
      <c r="AM321" s="7">
        <f>ROUNDDOWN(MAX(AD321*配置与结果!$B$31,AD321-AE321)*AF321*AG321*AH321*AI321*AK321,0)</f>
        <v>214823</v>
      </c>
      <c r="AN321" s="7">
        <f t="shared" si="380"/>
        <v>214823</v>
      </c>
      <c r="AO321" s="7">
        <f>0</f>
        <v>0</v>
      </c>
      <c r="AP321" s="7">
        <f>MAX(0,1+INDEX(配置与结果!$J$15:$J$18,F321)+IF(T321&gt;0,方案参数!$BY$11,0)-配置与结果!$B$30)</f>
        <v>1</v>
      </c>
      <c r="AQ321" s="7">
        <f t="shared" si="381"/>
        <v>0</v>
      </c>
      <c r="AR321" s="7">
        <f t="shared" si="382"/>
        <v>0</v>
      </c>
      <c r="AS321" s="7">
        <f t="shared" si="383"/>
        <v>0</v>
      </c>
      <c r="AT321" s="7">
        <f>IF(U321&gt;0,ROUNDDOWN(AL321*方案参数!$AF$11,0)*(1-AJ321)+ROUNDDOWN(AM321*方案参数!$AF$11,0)*AJ321,0)</f>
        <v>0</v>
      </c>
      <c r="AU321" s="7">
        <f t="shared" si="384"/>
        <v>214823</v>
      </c>
      <c r="AV321" s="1">
        <f t="shared" si="385"/>
        <v>2</v>
      </c>
      <c r="AW321" s="1">
        <f t="shared" si="456"/>
        <v>10</v>
      </c>
      <c r="AX321" s="1">
        <f t="shared" si="386"/>
        <v>2</v>
      </c>
      <c r="AY321" s="1">
        <f>MIN(20,MAX(0,O321+0+1-0))</f>
        <v>4</v>
      </c>
      <c r="AZ321" s="1">
        <f t="shared" si="387"/>
        <v>5</v>
      </c>
      <c r="BA321" s="1">
        <f t="shared" si="447"/>
        <v>5</v>
      </c>
      <c r="BB321" s="1">
        <f t="shared" si="455"/>
        <v>20</v>
      </c>
      <c r="BC321" s="1">
        <f t="shared" si="453"/>
        <v>3</v>
      </c>
      <c r="BD321" s="1">
        <f t="shared" si="434"/>
        <v>0</v>
      </c>
      <c r="BE321" s="1">
        <f>MAX(0,U321-IF(AF321&gt;0,1,0))+0</f>
        <v>0</v>
      </c>
      <c r="BF321" s="1">
        <f t="shared" si="457"/>
        <v>4</v>
      </c>
      <c r="BG321" s="1">
        <f t="shared" si="444"/>
        <v>1</v>
      </c>
      <c r="BH321" s="1">
        <f t="shared" si="428"/>
        <v>1</v>
      </c>
      <c r="BI321" s="1">
        <f t="shared" si="445"/>
        <v>1</v>
      </c>
      <c r="BJ321" s="1">
        <f t="shared" si="448"/>
        <v>1</v>
      </c>
      <c r="BK321" s="1">
        <f t="shared" si="449"/>
        <v>1</v>
      </c>
      <c r="BL321" s="1">
        <f t="shared" si="454"/>
        <v>1</v>
      </c>
      <c r="BM321" s="1">
        <f t="shared" si="452"/>
        <v>1</v>
      </c>
      <c r="BN321" s="1">
        <f t="shared" si="429"/>
        <v>1</v>
      </c>
      <c r="BO321" s="1">
        <f t="shared" si="430"/>
        <v>1</v>
      </c>
    </row>
    <row r="322" spans="1:67" ht="30.95" customHeight="1">
      <c r="A322" s="1">
        <f>8</f>
        <v>8</v>
      </c>
      <c r="B322" s="1">
        <f>固定流程!A34</f>
        <v>29</v>
      </c>
      <c r="C322" s="1">
        <f>11</f>
        <v>11</v>
      </c>
      <c r="D322" s="1">
        <f>2</f>
        <v>2</v>
      </c>
      <c r="E322" s="1">
        <f>固定流程!C34</f>
        <v>3</v>
      </c>
      <c r="F322" s="1">
        <f>固定流程!G34</f>
        <v>1</v>
      </c>
      <c r="G322" s="1" t="str">
        <f>固定流程!H34</f>
        <v>LILYA_WEAK</v>
      </c>
      <c r="H322" s="1">
        <f>固定流程!F34</f>
        <v>1</v>
      </c>
      <c r="I322" s="1">
        <f>INDEX(配置与结果!$B$15:$B$18,F322)</f>
        <v>2296</v>
      </c>
      <c r="J322" s="1">
        <f>INDEX(配置与结果!$D$15:$D$18,F322)</f>
        <v>0.7</v>
      </c>
      <c r="K322" s="1">
        <f>INDEX(配置与结果!$E$15:$E$18,F322)</f>
        <v>2.0249999999999999</v>
      </c>
      <c r="L322" s="1">
        <f t="shared" si="441"/>
        <v>2</v>
      </c>
      <c r="M322" s="1">
        <f t="shared" si="442"/>
        <v>10</v>
      </c>
      <c r="N322" s="1">
        <f t="shared" si="443"/>
        <v>2</v>
      </c>
      <c r="O322" s="1">
        <f t="shared" si="435"/>
        <v>4</v>
      </c>
      <c r="P322" s="1">
        <f>MIN(方案参数!$AI$11,AZ321+0+0)</f>
        <v>5</v>
      </c>
      <c r="Q322" s="1">
        <f t="shared" si="413"/>
        <v>5</v>
      </c>
      <c r="R322" s="1">
        <f t="shared" si="414"/>
        <v>20</v>
      </c>
      <c r="S322" s="1">
        <f t="shared" si="415"/>
        <v>3</v>
      </c>
      <c r="T322" s="1">
        <f t="shared" si="450"/>
        <v>0</v>
      </c>
      <c r="U322" s="1">
        <f t="shared" si="417"/>
        <v>0</v>
      </c>
      <c r="V322" s="1">
        <f t="shared" si="418"/>
        <v>4</v>
      </c>
      <c r="W322" s="1">
        <f t="shared" si="419"/>
        <v>1</v>
      </c>
      <c r="X322" s="1">
        <f t="shared" si="420"/>
        <v>1</v>
      </c>
      <c r="Y322" s="1">
        <f t="shared" si="421"/>
        <v>1</v>
      </c>
      <c r="Z322" s="1">
        <f t="shared" si="422"/>
        <v>1</v>
      </c>
      <c r="AA322" s="1">
        <f t="shared" si="446"/>
        <v>1</v>
      </c>
      <c r="AB322" s="1">
        <f t="shared" si="424"/>
        <v>1</v>
      </c>
      <c r="AC322" s="1">
        <f t="shared" si="451"/>
        <v>1</v>
      </c>
      <c r="AD322" s="1">
        <f>ROUNDDOWN(I322*(1+IF(F322=3,0.05+方案参数!$Y$11+AA322*0.12,IF(F322=4,方案参数!$BZ$11*方案参数!$AS$11,0)))+IF(AND(X322=1,F322&lt;&gt;3),方案参数!$CC$11,0)+AC322*方案参数!$CB$11,0)</f>
        <v>3034</v>
      </c>
      <c r="AE322" s="1">
        <f>IF(OR(F322=1,F322=4),配置与结果!$B$24,配置与结果!$B$25)*MAX(0,1-INDEX(配置与结果!$I$15:$I$18,F322))</f>
        <v>1200</v>
      </c>
      <c r="AF322" s="1">
        <f>方案参数!$BL$11</f>
        <v>9</v>
      </c>
      <c r="AG322" s="1">
        <f>MAX(配置与结果!$B$32,1+INDEX(配置与结果!$F$15:$F$18,F322)+0.08+方案参数!$CD$11+Q322*方案参数!$W$11+Y322*(方案参数!$AN$11+MIN(方案参数!$AO$11,P322*0.03))+AB322*方案参数!$BZ$11*0.025-配置与结果!$B$28+方案参数!$AE$11)</f>
        <v>2.6150000000000002</v>
      </c>
      <c r="AH322" s="1">
        <f>MAX(0,1+V322*方案参数!$U$11+5*方案参数!$V$11+方案参数!$AE$11-配置与结果!$B$29)</f>
        <v>1.8599999999999999</v>
      </c>
      <c r="AI322" s="1">
        <f>IF(OR(INDEX(配置与结果!$K$15:$K$18,F322)=1,G322="RHI_BERRY"),1+配置与结果!$B$33+P322*方案参数!$AH$11,1)</f>
        <v>1</v>
      </c>
      <c r="AJ322" s="1">
        <f>MIN(1,MAX(0,J322+方案参数!$AB$11-配置与结果!$B$27))</f>
        <v>1</v>
      </c>
      <c r="AK322" s="1">
        <f>MAX(1,K322+IF(F322=2,0.15+方案参数!$CH$11,0)+BN322*方案参数!$X$11+R322*方案参数!$AA$11+方案参数!$BP$11-配置与结果!$B$26+Z322*(方案参数!$AP$11+MIN(方案参数!$AQ$11,P322*0.03)))</f>
        <v>2.7650000000000001</v>
      </c>
      <c r="AL322" s="7">
        <f>ROUNDDOWN(MAX(AD322*配置与结果!$B$31,AD322-AE322)*AF322*AG322*AH322*AI322,0)</f>
        <v>80283</v>
      </c>
      <c r="AM322" s="7">
        <f>ROUNDDOWN(MAX(AD322*配置与结果!$B$31,AD322-AE322)*AF322*AG322*AH322*AI322*AK322,0)</f>
        <v>221983</v>
      </c>
      <c r="AN322" s="7">
        <f t="shared" si="380"/>
        <v>221983</v>
      </c>
      <c r="AO322" s="7">
        <f>0</f>
        <v>0</v>
      </c>
      <c r="AP322" s="7">
        <f>MAX(0,1+INDEX(配置与结果!$J$15:$J$18,F322)+IF(T322&gt;0,方案参数!$BY$11,0)-配置与结果!$B$30)</f>
        <v>1</v>
      </c>
      <c r="AQ322" s="7">
        <f t="shared" si="381"/>
        <v>0</v>
      </c>
      <c r="AR322" s="7">
        <f t="shared" si="382"/>
        <v>0</v>
      </c>
      <c r="AS322" s="7">
        <f t="shared" si="383"/>
        <v>0</v>
      </c>
      <c r="AT322" s="7">
        <f>IF(U322&gt;0,ROUNDDOWN(AL322*方案参数!$AF$11,0)*(1-AJ322)+ROUNDDOWN(AM322*方案参数!$AF$11,0)*AJ322,0)</f>
        <v>0</v>
      </c>
      <c r="AU322" s="7">
        <f t="shared" si="384"/>
        <v>221983</v>
      </c>
      <c r="AV322" s="1">
        <f t="shared" si="385"/>
        <v>2</v>
      </c>
      <c r="AW322" s="1">
        <f t="shared" si="456"/>
        <v>10</v>
      </c>
      <c r="AX322" s="1">
        <f t="shared" si="386"/>
        <v>2</v>
      </c>
      <c r="AY322" s="1">
        <f>MIN(20,MAX(0,O322+0+1-0))</f>
        <v>5</v>
      </c>
      <c r="AZ322" s="1">
        <f t="shared" si="387"/>
        <v>5</v>
      </c>
      <c r="BA322" s="1">
        <f t="shared" si="447"/>
        <v>5</v>
      </c>
      <c r="BB322" s="1">
        <f t="shared" si="455"/>
        <v>20</v>
      </c>
      <c r="BC322" s="1">
        <f t="shared" si="453"/>
        <v>3</v>
      </c>
      <c r="BD322" s="1">
        <f t="shared" si="434"/>
        <v>0</v>
      </c>
      <c r="BE322" s="1">
        <f>MAX(0,U322-IF(AF322&gt;0,1,0))+0</f>
        <v>0</v>
      </c>
      <c r="BF322" s="1">
        <f t="shared" si="457"/>
        <v>4</v>
      </c>
      <c r="BG322" s="1">
        <f t="shared" si="444"/>
        <v>1</v>
      </c>
      <c r="BH322" s="1">
        <f t="shared" si="428"/>
        <v>1</v>
      </c>
      <c r="BI322" s="1">
        <f t="shared" si="445"/>
        <v>1</v>
      </c>
      <c r="BJ322" s="1">
        <f t="shared" si="448"/>
        <v>1</v>
      </c>
      <c r="BK322" s="1">
        <f t="shared" si="449"/>
        <v>1</v>
      </c>
      <c r="BL322" s="1">
        <f t="shared" si="454"/>
        <v>1</v>
      </c>
      <c r="BM322" s="1">
        <f t="shared" si="452"/>
        <v>1</v>
      </c>
      <c r="BN322" s="1">
        <f t="shared" si="429"/>
        <v>1</v>
      </c>
      <c r="BO322" s="1">
        <f t="shared" si="430"/>
        <v>1</v>
      </c>
    </row>
    <row r="323" spans="1:67" ht="30.95" customHeight="1">
      <c r="A323" s="1">
        <f>8</f>
        <v>8</v>
      </c>
      <c r="B323" s="1">
        <f>固定流程!A35</f>
        <v>30</v>
      </c>
      <c r="C323" s="1">
        <f>11</f>
        <v>11</v>
      </c>
      <c r="D323" s="1">
        <f>2</f>
        <v>2</v>
      </c>
      <c r="E323" s="1">
        <f>固定流程!C35</f>
        <v>3</v>
      </c>
      <c r="F323" s="1">
        <f>固定流程!G35</f>
        <v>2</v>
      </c>
      <c r="G323" s="1" t="str">
        <f>固定流程!H35</f>
        <v>37_WEAK</v>
      </c>
      <c r="H323" s="1">
        <f>固定流程!F35</f>
        <v>1</v>
      </c>
      <c r="I323" s="1">
        <f>INDEX(配置与结果!$B$15:$B$18,F323)</f>
        <v>2306</v>
      </c>
      <c r="J323" s="1">
        <f>INDEX(配置与结果!$D$15:$D$18,F323)</f>
        <v>0.46</v>
      </c>
      <c r="K323" s="1">
        <f>INDEX(配置与结果!$E$15:$E$18,F323)</f>
        <v>1.9279999999999999</v>
      </c>
      <c r="L323" s="1">
        <f t="shared" si="441"/>
        <v>2</v>
      </c>
      <c r="M323" s="1">
        <f t="shared" si="442"/>
        <v>10</v>
      </c>
      <c r="N323" s="1">
        <f t="shared" si="443"/>
        <v>2</v>
      </c>
      <c r="O323" s="1">
        <f t="shared" si="435"/>
        <v>5</v>
      </c>
      <c r="P323" s="1">
        <f>MIN(方案参数!$AI$11,AZ322+0+0)</f>
        <v>5</v>
      </c>
      <c r="Q323" s="1">
        <f t="shared" si="413"/>
        <v>5</v>
      </c>
      <c r="R323" s="1">
        <f t="shared" si="414"/>
        <v>20</v>
      </c>
      <c r="S323" s="1">
        <f t="shared" si="415"/>
        <v>3</v>
      </c>
      <c r="T323" s="1">
        <f t="shared" si="450"/>
        <v>0</v>
      </c>
      <c r="U323" s="1">
        <f t="shared" si="417"/>
        <v>0</v>
      </c>
      <c r="V323" s="1">
        <f t="shared" si="418"/>
        <v>4</v>
      </c>
      <c r="W323" s="1">
        <f t="shared" si="419"/>
        <v>1</v>
      </c>
      <c r="X323" s="1">
        <f t="shared" si="420"/>
        <v>1</v>
      </c>
      <c r="Y323" s="1">
        <f t="shared" si="421"/>
        <v>1</v>
      </c>
      <c r="Z323" s="1">
        <f t="shared" si="422"/>
        <v>1</v>
      </c>
      <c r="AA323" s="1">
        <f t="shared" si="446"/>
        <v>1</v>
      </c>
      <c r="AB323" s="1">
        <f t="shared" si="424"/>
        <v>1</v>
      </c>
      <c r="AC323" s="1">
        <f t="shared" si="451"/>
        <v>1</v>
      </c>
      <c r="AD323" s="1">
        <f>ROUNDDOWN(I323*(1+IF(F323=3,0.05+方案参数!$Y$11+AA323*0.12,IF(F323=4,方案参数!$BZ$11*方案参数!$AS$11,0)))+IF(AND(X323=1,F323&lt;&gt;3),方案参数!$CC$11,0)+AC323*方案参数!$CB$11,0)</f>
        <v>3044</v>
      </c>
      <c r="AE323" s="1">
        <f>IF(OR(F323=1,F323=4),配置与结果!$B$24,配置与结果!$B$25)*MAX(0,1-INDEX(配置与结果!$I$15:$I$18,F323))</f>
        <v>1000</v>
      </c>
      <c r="AF323" s="1">
        <f>方案参数!$CE$11</f>
        <v>8</v>
      </c>
      <c r="AG323" s="1">
        <f>MAX(配置与结果!$B$32,1+INDEX(配置与结果!$F$15:$F$18,F323)+0+Q323*方案参数!$W$11+Y323*(方案参数!$AN$11+MIN(方案参数!$AO$11,P323*0.03))+AB323*方案参数!$BZ$11*0.025-配置与结果!$B$28+方案参数!$AE$11)</f>
        <v>2.2800000000000002</v>
      </c>
      <c r="AH323" s="1">
        <f>MAX(0,1+V323*方案参数!$U$11+方案参数!$AE$11-配置与结果!$B$29)</f>
        <v>1.56</v>
      </c>
      <c r="AI323" s="1">
        <f>IF(OR(INDEX(配置与结果!$K$15:$K$18,F323)=1,G323="RHI_BERRY"),1+配置与结果!$B$33+P323*方案参数!$AH$11,1)</f>
        <v>1</v>
      </c>
      <c r="AJ323" s="1">
        <f>MIN(1,MAX(0,J323+方案参数!$AB$11-配置与结果!$B$27))</f>
        <v>0.76</v>
      </c>
      <c r="AK323" s="1">
        <f>MAX(1,K323+IF(F323=2,0.15+方案参数!$CH$11,0)+BN323*方案参数!$X$11+R323*方案参数!$AA$11+0-配置与结果!$B$26+Z323*(方案参数!$AP$11+MIN(方案参数!$AQ$11,P323*0.03)))</f>
        <v>2.3380000000000001</v>
      </c>
      <c r="AL323" s="7">
        <f>ROUNDDOWN(MAX(AD323*配置与结果!$B$31,AD323-AE323)*AF323*AG323*AH323*AI323,0)</f>
        <v>58160</v>
      </c>
      <c r="AM323" s="7">
        <f>ROUNDDOWN(MAX(AD323*配置与结果!$B$31,AD323-AE323)*AF323*AG323*AH323*AI323*AK323,0)</f>
        <v>135979</v>
      </c>
      <c r="AN323" s="7">
        <f t="shared" si="380"/>
        <v>117302.44</v>
      </c>
      <c r="AO323" s="7">
        <f>0</f>
        <v>0</v>
      </c>
      <c r="AP323" s="7">
        <f>MAX(0,1+INDEX(配置与结果!$J$15:$J$18,F323)+IF(T323&gt;0,方案参数!$BY$11,0)-配置与结果!$B$30)</f>
        <v>1</v>
      </c>
      <c r="AQ323" s="7">
        <f t="shared" si="381"/>
        <v>0</v>
      </c>
      <c r="AR323" s="7">
        <f t="shared" si="382"/>
        <v>0</v>
      </c>
      <c r="AS323" s="7">
        <f t="shared" si="383"/>
        <v>0</v>
      </c>
      <c r="AT323" s="7">
        <f>IF(U323&gt;0,ROUNDDOWN(AL323*方案参数!$AF$11,0)*(1-AJ323)+ROUNDDOWN(AM323*方案参数!$AF$11,0)*AJ323,0)</f>
        <v>0</v>
      </c>
      <c r="AU323" s="7">
        <f t="shared" si="384"/>
        <v>117302.44</v>
      </c>
      <c r="AV323" s="1">
        <f t="shared" si="385"/>
        <v>2</v>
      </c>
      <c r="AW323" s="1">
        <f t="shared" si="456"/>
        <v>10</v>
      </c>
      <c r="AX323" s="1">
        <f t="shared" si="386"/>
        <v>2</v>
      </c>
      <c r="AY323" s="1">
        <f>MIN(20,MAX(0,O323+0+0-0))</f>
        <v>5</v>
      </c>
      <c r="AZ323" s="1">
        <f t="shared" si="387"/>
        <v>5</v>
      </c>
      <c r="BA323" s="1">
        <f t="shared" si="447"/>
        <v>5</v>
      </c>
      <c r="BB323" s="1">
        <f t="shared" si="455"/>
        <v>20</v>
      </c>
      <c r="BC323" s="1">
        <f t="shared" si="453"/>
        <v>3</v>
      </c>
      <c r="BD323" s="1">
        <f t="shared" si="434"/>
        <v>0</v>
      </c>
      <c r="BE323" s="1">
        <f>MAX(0,U323-IF(AF323&gt;0,1,0))+1</f>
        <v>1</v>
      </c>
      <c r="BF323" s="1">
        <f t="shared" si="457"/>
        <v>4</v>
      </c>
      <c r="BG323" s="1">
        <f t="shared" si="444"/>
        <v>1</v>
      </c>
      <c r="BH323" s="1">
        <f t="shared" si="428"/>
        <v>1</v>
      </c>
      <c r="BI323" s="1">
        <f t="shared" si="445"/>
        <v>1</v>
      </c>
      <c r="BJ323" s="1">
        <f t="shared" si="448"/>
        <v>1</v>
      </c>
      <c r="BK323" s="1">
        <f t="shared" si="449"/>
        <v>1</v>
      </c>
      <c r="BL323" s="1">
        <f t="shared" si="454"/>
        <v>1</v>
      </c>
      <c r="BM323" s="1">
        <f t="shared" si="452"/>
        <v>1</v>
      </c>
      <c r="BN323" s="1">
        <f t="shared" si="429"/>
        <v>1</v>
      </c>
      <c r="BO323" s="1">
        <f t="shared" si="430"/>
        <v>1</v>
      </c>
    </row>
    <row r="324" spans="1:67" ht="30.95" customHeight="1">
      <c r="A324" s="1">
        <f>8</f>
        <v>8</v>
      </c>
      <c r="B324" s="1">
        <f>固定流程!A36</f>
        <v>31</v>
      </c>
      <c r="C324" s="1">
        <f>11</f>
        <v>11</v>
      </c>
      <c r="D324" s="1">
        <f>2</f>
        <v>2</v>
      </c>
      <c r="E324" s="1">
        <f>固定流程!C36</f>
        <v>3</v>
      </c>
      <c r="F324" s="1">
        <f>固定流程!G36</f>
        <v>1</v>
      </c>
      <c r="G324" s="1" t="str">
        <f>固定流程!H36</f>
        <v>LILYA_THIRD</v>
      </c>
      <c r="H324" s="1">
        <f>固定流程!F36</f>
        <v>1</v>
      </c>
      <c r="I324" s="1">
        <f>INDEX(配置与结果!$B$15:$B$18,F324)</f>
        <v>2296</v>
      </c>
      <c r="J324" s="1">
        <f>INDEX(配置与结果!$D$15:$D$18,F324)</f>
        <v>0.7</v>
      </c>
      <c r="K324" s="1">
        <f>INDEX(配置与结果!$E$15:$E$18,F324)</f>
        <v>2.0249999999999999</v>
      </c>
      <c r="L324" s="1">
        <f t="shared" si="441"/>
        <v>2</v>
      </c>
      <c r="M324" s="1">
        <f t="shared" si="442"/>
        <v>10</v>
      </c>
      <c r="N324" s="1">
        <f t="shared" si="443"/>
        <v>2</v>
      </c>
      <c r="O324" s="1">
        <f t="shared" si="435"/>
        <v>5</v>
      </c>
      <c r="P324" s="1">
        <f>MIN(方案参数!$AI$11,AZ323+0+0)</f>
        <v>5</v>
      </c>
      <c r="Q324" s="1">
        <f t="shared" si="413"/>
        <v>5</v>
      </c>
      <c r="R324" s="1">
        <f t="shared" si="414"/>
        <v>20</v>
      </c>
      <c r="S324" s="1">
        <f t="shared" si="415"/>
        <v>3</v>
      </c>
      <c r="T324" s="1">
        <f t="shared" si="450"/>
        <v>0</v>
      </c>
      <c r="U324" s="1">
        <f t="shared" si="417"/>
        <v>1</v>
      </c>
      <c r="V324" s="1">
        <f t="shared" si="418"/>
        <v>4</v>
      </c>
      <c r="W324" s="1">
        <f t="shared" si="419"/>
        <v>1</v>
      </c>
      <c r="X324" s="1">
        <f t="shared" si="420"/>
        <v>1</v>
      </c>
      <c r="Y324" s="1">
        <f t="shared" si="421"/>
        <v>1</v>
      </c>
      <c r="Z324" s="1">
        <f t="shared" si="422"/>
        <v>1</v>
      </c>
      <c r="AA324" s="1">
        <f t="shared" si="446"/>
        <v>1</v>
      </c>
      <c r="AB324" s="1">
        <f t="shared" si="424"/>
        <v>1</v>
      </c>
      <c r="AC324" s="1">
        <f t="shared" si="451"/>
        <v>1</v>
      </c>
      <c r="AD324" s="1">
        <f>ROUNDDOWN(I324*(1+IF(F324=3,0.05+方案参数!$Y$11+AA324*0.12,IF(F324=4,方案参数!$BZ$11*方案参数!$AS$11,0)))+IF(AND(X324=1,F324&lt;&gt;3),方案参数!$CC$11,0)+AC324*方案参数!$CB$11,0)</f>
        <v>3034</v>
      </c>
      <c r="AE324" s="1">
        <f>IF(OR(F324=1,F324=4),配置与结果!$B$24,配置与结果!$B$25)*MAX(0,1-INDEX(配置与结果!$I$15:$I$18,F324))</f>
        <v>1200</v>
      </c>
      <c r="AF324" s="1">
        <f>方案参数!$BM$11</f>
        <v>20</v>
      </c>
      <c r="AG324" s="1">
        <f>MAX(配置与结果!$B$32,1+INDEX(配置与结果!$F$15:$F$18,F324)+0.08+方案参数!$CD$11+Q324*方案参数!$W$11+Y324*(方案参数!$AN$11+MIN(方案参数!$AO$11,P324*0.03))+AB324*方案参数!$BZ$11*0.025-配置与结果!$B$28+方案参数!$AE$11)</f>
        <v>2.6150000000000002</v>
      </c>
      <c r="AH324" s="1">
        <f>MAX(0,1+V324*方案参数!$U$11+7*方案参数!$V$11+方案参数!$AE$11-配置与结果!$B$29)</f>
        <v>1.98</v>
      </c>
      <c r="AI324" s="1">
        <f>IF(OR(INDEX(配置与结果!$K$15:$K$18,F324)=1,G324="RHI_BERRY"),1+配置与结果!$B$33+P324*方案参数!$AH$11,1)</f>
        <v>1</v>
      </c>
      <c r="AJ324" s="1">
        <f>MIN(1,MAX(0,J324+方案参数!$AB$11-配置与结果!$B$27))</f>
        <v>1</v>
      </c>
      <c r="AK324" s="1">
        <f>MAX(1,K324+IF(F324=2,0.15+方案参数!$CH$11,0)+BN324*方案参数!$X$11+R324*方案参数!$AA$11+方案参数!$BQ$11-配置与结果!$B$26+Z324*(方案参数!$AP$11+MIN(方案参数!$AQ$11,P324*0.03)))</f>
        <v>2.9650000000000003</v>
      </c>
      <c r="AL324" s="7">
        <f>ROUNDDOWN(MAX(AD324*配置与结果!$B$31,AD324-AE324)*AF324*AG324*AH324*AI324,0)</f>
        <v>189918</v>
      </c>
      <c r="AM324" s="7">
        <f>ROUNDDOWN(MAX(AD324*配置与结果!$B$31,AD324-AE324)*AF324*AG324*AH324*AI324*AK324,0)</f>
        <v>563106</v>
      </c>
      <c r="AN324" s="7">
        <f t="shared" si="380"/>
        <v>563106</v>
      </c>
      <c r="AO324" s="7">
        <f>0</f>
        <v>0</v>
      </c>
      <c r="AP324" s="7">
        <f>MAX(0,1+INDEX(配置与结果!$J$15:$J$18,F324)+IF(T324&gt;0,方案参数!$BY$11,0)-配置与结果!$B$30)</f>
        <v>1</v>
      </c>
      <c r="AQ324" s="7">
        <f t="shared" si="381"/>
        <v>0</v>
      </c>
      <c r="AR324" s="7">
        <f t="shared" si="382"/>
        <v>0</v>
      </c>
      <c r="AS324" s="7">
        <f t="shared" si="383"/>
        <v>0</v>
      </c>
      <c r="AT324" s="7">
        <f>IF(U324&gt;0,ROUNDDOWN(AL324*方案参数!$AF$11,0)*(1-AJ324)+ROUNDDOWN(AM324*方案参数!$AF$11,0)*AJ324,0)</f>
        <v>225242</v>
      </c>
      <c r="AU324" s="7">
        <f t="shared" si="384"/>
        <v>788348</v>
      </c>
      <c r="AV324" s="1">
        <f t="shared" si="385"/>
        <v>2</v>
      </c>
      <c r="AW324" s="1">
        <f t="shared" si="456"/>
        <v>10</v>
      </c>
      <c r="AX324" s="1">
        <f t="shared" si="386"/>
        <v>2</v>
      </c>
      <c r="AY324" s="1">
        <f>MIN(20,MAX(0,O324+0+1-0))</f>
        <v>6</v>
      </c>
      <c r="AZ324" s="1">
        <f t="shared" si="387"/>
        <v>5</v>
      </c>
      <c r="BA324" s="1">
        <f t="shared" si="447"/>
        <v>5</v>
      </c>
      <c r="BB324" s="1">
        <f t="shared" si="455"/>
        <v>20</v>
      </c>
      <c r="BC324" s="1">
        <f t="shared" si="453"/>
        <v>3</v>
      </c>
      <c r="BD324" s="1">
        <f t="shared" si="434"/>
        <v>0</v>
      </c>
      <c r="BE324" s="1">
        <f>MAX(0,U324-IF(AF324&gt;0,1,0))+0</f>
        <v>0</v>
      </c>
      <c r="BF324" s="1">
        <f t="shared" si="457"/>
        <v>4</v>
      </c>
      <c r="BG324" s="1">
        <f t="shared" si="444"/>
        <v>1</v>
      </c>
      <c r="BH324" s="1">
        <f t="shared" si="428"/>
        <v>1</v>
      </c>
      <c r="BI324" s="1">
        <f t="shared" si="445"/>
        <v>1</v>
      </c>
      <c r="BJ324" s="1">
        <f t="shared" si="448"/>
        <v>1</v>
      </c>
      <c r="BK324" s="1">
        <f t="shared" si="449"/>
        <v>1</v>
      </c>
      <c r="BL324" s="1">
        <f t="shared" si="454"/>
        <v>1</v>
      </c>
      <c r="BM324" s="1">
        <f t="shared" si="452"/>
        <v>1</v>
      </c>
      <c r="BN324" s="1">
        <f t="shared" si="429"/>
        <v>1</v>
      </c>
      <c r="BO324" s="1">
        <f t="shared" si="430"/>
        <v>1</v>
      </c>
    </row>
    <row r="325" spans="1:67" ht="30.95" customHeight="1">
      <c r="A325" s="1">
        <f>8</f>
        <v>8</v>
      </c>
      <c r="B325" s="1">
        <f>固定流程!A37</f>
        <v>32</v>
      </c>
      <c r="C325" s="1">
        <f>11</f>
        <v>11</v>
      </c>
      <c r="D325" s="1">
        <f>2</f>
        <v>2</v>
      </c>
      <c r="E325" s="1">
        <f>固定流程!C37</f>
        <v>3</v>
      </c>
      <c r="F325" s="1">
        <f>固定流程!G37</f>
        <v>1</v>
      </c>
      <c r="G325" s="1" t="str">
        <f>固定流程!H37</f>
        <v>LILYA_WEAK</v>
      </c>
      <c r="H325" s="1">
        <f>固定流程!F37</f>
        <v>1</v>
      </c>
      <c r="I325" s="1">
        <f>INDEX(配置与结果!$B$15:$B$18,F325)</f>
        <v>2296</v>
      </c>
      <c r="J325" s="1">
        <f>INDEX(配置与结果!$D$15:$D$18,F325)</f>
        <v>0.7</v>
      </c>
      <c r="K325" s="1">
        <f>INDEX(配置与结果!$E$15:$E$18,F325)</f>
        <v>2.0249999999999999</v>
      </c>
      <c r="L325" s="1">
        <f t="shared" si="441"/>
        <v>2</v>
      </c>
      <c r="M325" s="1">
        <f t="shared" si="442"/>
        <v>10</v>
      </c>
      <c r="N325" s="1">
        <f t="shared" si="443"/>
        <v>2</v>
      </c>
      <c r="O325" s="1">
        <f t="shared" si="435"/>
        <v>6</v>
      </c>
      <c r="P325" s="1">
        <f>MIN(方案参数!$AI$11,AZ324+0+0)</f>
        <v>5</v>
      </c>
      <c r="Q325" s="1">
        <f t="shared" si="413"/>
        <v>5</v>
      </c>
      <c r="R325" s="1">
        <f t="shared" si="414"/>
        <v>20</v>
      </c>
      <c r="S325" s="1">
        <f t="shared" si="415"/>
        <v>3</v>
      </c>
      <c r="T325" s="1">
        <f t="shared" si="450"/>
        <v>0</v>
      </c>
      <c r="U325" s="1">
        <f t="shared" si="417"/>
        <v>0</v>
      </c>
      <c r="V325" s="1">
        <f t="shared" si="418"/>
        <v>4</v>
      </c>
      <c r="W325" s="1">
        <f t="shared" si="419"/>
        <v>1</v>
      </c>
      <c r="X325" s="1">
        <f t="shared" si="420"/>
        <v>1</v>
      </c>
      <c r="Y325" s="1">
        <f t="shared" si="421"/>
        <v>1</v>
      </c>
      <c r="Z325" s="1">
        <f t="shared" si="422"/>
        <v>1</v>
      </c>
      <c r="AA325" s="1">
        <f t="shared" si="446"/>
        <v>1</v>
      </c>
      <c r="AB325" s="1">
        <f t="shared" si="424"/>
        <v>1</v>
      </c>
      <c r="AC325" s="1">
        <f t="shared" si="451"/>
        <v>1</v>
      </c>
      <c r="AD325" s="1">
        <f>ROUNDDOWN(I325*(1+IF(F325=3,0.05+方案参数!$Y$11+AA325*0.12,IF(F325=4,方案参数!$BZ$11*方案参数!$AS$11,0)))+IF(AND(X325=1,F325&lt;&gt;3),方案参数!$CC$11,0)+AC325*方案参数!$CB$11,0)</f>
        <v>3034</v>
      </c>
      <c r="AE325" s="1">
        <f>IF(OR(F325=1,F325=4),配置与结果!$B$24,配置与结果!$B$25)*MAX(0,1-INDEX(配置与结果!$I$15:$I$18,F325))</f>
        <v>1200</v>
      </c>
      <c r="AF325" s="1">
        <f>方案参数!$BL$11</f>
        <v>9</v>
      </c>
      <c r="AG325" s="1">
        <f>MAX(配置与结果!$B$32,1+INDEX(配置与结果!$F$15:$F$18,F325)+0.08+方案参数!$CD$11+Q325*方案参数!$W$11+Y325*(方案参数!$AN$11+MIN(方案参数!$AO$11,P325*0.03))+AB325*方案参数!$BZ$11*0.025-配置与结果!$B$28+方案参数!$AE$11)</f>
        <v>2.6150000000000002</v>
      </c>
      <c r="AH325" s="1">
        <f>MAX(0,1+V325*方案参数!$U$11+8*方案参数!$V$11+方案参数!$AE$11-配置与结果!$B$29)</f>
        <v>2.04</v>
      </c>
      <c r="AI325" s="1">
        <f>IF(OR(INDEX(配置与结果!$K$15:$K$18,F325)=1,G325="RHI_BERRY"),1+配置与结果!$B$33+P325*方案参数!$AH$11,1)</f>
        <v>1</v>
      </c>
      <c r="AJ325" s="1">
        <f>MIN(1,MAX(0,J325+方案参数!$AB$11-配置与结果!$B$27))</f>
        <v>1</v>
      </c>
      <c r="AK325" s="1">
        <f>MAX(1,K325+IF(F325=2,0.15+方案参数!$CH$11,0)+BN325*方案参数!$X$11+R325*方案参数!$AA$11+方案参数!$BP$11-配置与结果!$B$26+Z325*(方案参数!$AP$11+MIN(方案参数!$AQ$11,P325*0.03)))</f>
        <v>2.7650000000000001</v>
      </c>
      <c r="AL325" s="7">
        <f>ROUNDDOWN(MAX(AD325*配置与结果!$B$31,AD325-AE325)*AF325*AG325*AH325*AI325,0)</f>
        <v>88052</v>
      </c>
      <c r="AM325" s="7">
        <f>ROUNDDOWN(MAX(AD325*配置与结果!$B$31,AD325-AE325)*AF325*AG325*AH325*AI325*AK325,0)</f>
        <v>243466</v>
      </c>
      <c r="AN325" s="7">
        <f t="shared" si="380"/>
        <v>243466</v>
      </c>
      <c r="AO325" s="7">
        <f>0</f>
        <v>0</v>
      </c>
      <c r="AP325" s="7">
        <f>MAX(0,1+INDEX(配置与结果!$J$15:$J$18,F325)+IF(T325&gt;0,方案参数!$BY$11,0)-配置与结果!$B$30)</f>
        <v>1</v>
      </c>
      <c r="AQ325" s="7">
        <f t="shared" si="381"/>
        <v>0</v>
      </c>
      <c r="AR325" s="7">
        <f t="shared" si="382"/>
        <v>0</v>
      </c>
      <c r="AS325" s="7">
        <f t="shared" si="383"/>
        <v>0</v>
      </c>
      <c r="AT325" s="7">
        <f>IF(U325&gt;0,ROUNDDOWN(AL325*方案参数!$AF$11,0)*(1-AJ325)+ROUNDDOWN(AM325*方案参数!$AF$11,0)*AJ325,0)</f>
        <v>0</v>
      </c>
      <c r="AU325" s="7">
        <f t="shared" si="384"/>
        <v>243466</v>
      </c>
      <c r="AV325" s="1">
        <f t="shared" si="385"/>
        <v>2</v>
      </c>
      <c r="AW325" s="1">
        <f t="shared" si="456"/>
        <v>10</v>
      </c>
      <c r="AX325" s="1">
        <f t="shared" si="386"/>
        <v>2</v>
      </c>
      <c r="AY325" s="1">
        <f>MIN(20,MAX(0,O325+0+1-0))</f>
        <v>7</v>
      </c>
      <c r="AZ325" s="1">
        <f t="shared" si="387"/>
        <v>5</v>
      </c>
      <c r="BA325" s="1">
        <f t="shared" si="447"/>
        <v>5</v>
      </c>
      <c r="BB325" s="1">
        <f t="shared" si="455"/>
        <v>20</v>
      </c>
      <c r="BC325" s="1">
        <f t="shared" si="453"/>
        <v>3</v>
      </c>
      <c r="BD325" s="1">
        <f t="shared" si="434"/>
        <v>0</v>
      </c>
      <c r="BE325" s="1">
        <f>MAX(0,U325-IF(AF325&gt;0,1,0))+0</f>
        <v>0</v>
      </c>
      <c r="BF325" s="1">
        <f t="shared" si="457"/>
        <v>4</v>
      </c>
      <c r="BG325" s="1">
        <f t="shared" si="444"/>
        <v>1</v>
      </c>
      <c r="BH325" s="1">
        <f t="shared" si="428"/>
        <v>1</v>
      </c>
      <c r="BI325" s="1">
        <f t="shared" si="445"/>
        <v>1</v>
      </c>
      <c r="BJ325" s="1">
        <f t="shared" si="448"/>
        <v>1</v>
      </c>
      <c r="BK325" s="1">
        <f t="shared" si="449"/>
        <v>1</v>
      </c>
      <c r="BL325" s="1">
        <f t="shared" si="454"/>
        <v>1</v>
      </c>
      <c r="BM325" s="1">
        <f t="shared" si="452"/>
        <v>1</v>
      </c>
      <c r="BN325" s="1">
        <f t="shared" si="429"/>
        <v>1</v>
      </c>
      <c r="BO325" s="1">
        <f t="shared" si="430"/>
        <v>1</v>
      </c>
    </row>
    <row r="326" spans="1:67" ht="30.95" customHeight="1">
      <c r="A326" s="1">
        <f>8</f>
        <v>8</v>
      </c>
      <c r="B326" s="1">
        <f>固定流程!A38</f>
        <v>33</v>
      </c>
      <c r="C326" s="1">
        <f>11</f>
        <v>11</v>
      </c>
      <c r="D326" s="1">
        <f>2</f>
        <v>2</v>
      </c>
      <c r="E326" s="1">
        <f>固定流程!C38</f>
        <v>3</v>
      </c>
      <c r="F326" s="1">
        <f>固定流程!G38</f>
        <v>1</v>
      </c>
      <c r="G326" s="1" t="str">
        <f>固定流程!H38</f>
        <v>LILYA_WEAK</v>
      </c>
      <c r="H326" s="1">
        <f>固定流程!F38</f>
        <v>1</v>
      </c>
      <c r="I326" s="1">
        <f>INDEX(配置与结果!$B$15:$B$18,F326)</f>
        <v>2296</v>
      </c>
      <c r="J326" s="1">
        <f>INDEX(配置与结果!$D$15:$D$18,F326)</f>
        <v>0.7</v>
      </c>
      <c r="K326" s="1">
        <f>INDEX(配置与结果!$E$15:$E$18,F326)</f>
        <v>2.0249999999999999</v>
      </c>
      <c r="L326" s="1">
        <f t="shared" si="441"/>
        <v>2</v>
      </c>
      <c r="M326" s="1">
        <f t="shared" si="442"/>
        <v>10</v>
      </c>
      <c r="N326" s="1">
        <f t="shared" si="443"/>
        <v>2</v>
      </c>
      <c r="O326" s="1">
        <f t="shared" si="435"/>
        <v>7</v>
      </c>
      <c r="P326" s="1">
        <f>MIN(方案参数!$AI$11,AZ325+0+0)</f>
        <v>5</v>
      </c>
      <c r="Q326" s="1">
        <f t="shared" si="413"/>
        <v>5</v>
      </c>
      <c r="R326" s="1">
        <f t="shared" si="414"/>
        <v>20</v>
      </c>
      <c r="S326" s="1">
        <f t="shared" si="415"/>
        <v>3</v>
      </c>
      <c r="T326" s="1">
        <f t="shared" si="450"/>
        <v>0</v>
      </c>
      <c r="U326" s="1">
        <f t="shared" si="417"/>
        <v>0</v>
      </c>
      <c r="V326" s="1">
        <f t="shared" si="418"/>
        <v>4</v>
      </c>
      <c r="W326" s="1">
        <f t="shared" si="419"/>
        <v>1</v>
      </c>
      <c r="X326" s="1">
        <f t="shared" si="420"/>
        <v>1</v>
      </c>
      <c r="Y326" s="1">
        <f t="shared" si="421"/>
        <v>1</v>
      </c>
      <c r="Z326" s="1">
        <f t="shared" si="422"/>
        <v>1</v>
      </c>
      <c r="AA326" s="1">
        <f t="shared" si="446"/>
        <v>1</v>
      </c>
      <c r="AB326" s="1">
        <f t="shared" si="424"/>
        <v>1</v>
      </c>
      <c r="AC326" s="1">
        <f t="shared" si="451"/>
        <v>1</v>
      </c>
      <c r="AD326" s="1">
        <f>ROUNDDOWN(I326*(1+IF(F326=3,0.05+方案参数!$Y$11+AA326*0.12,IF(F326=4,方案参数!$BZ$11*方案参数!$AS$11,0)))+IF(AND(X326=1,F326&lt;&gt;3),方案参数!$CC$11,0)+AC326*方案参数!$CB$11,0)</f>
        <v>3034</v>
      </c>
      <c r="AE326" s="1">
        <f>IF(OR(F326=1,F326=4),配置与结果!$B$24,配置与结果!$B$25)*MAX(0,1-INDEX(配置与结果!$I$15:$I$18,F326))</f>
        <v>1200</v>
      </c>
      <c r="AF326" s="1">
        <f>方案参数!$BL$11</f>
        <v>9</v>
      </c>
      <c r="AG326" s="1">
        <f>MAX(配置与结果!$B$32,1+INDEX(配置与结果!$F$15:$F$18,F326)+0.08+方案参数!$CD$11+Q326*方案参数!$W$11+Y326*(方案参数!$AN$11+MIN(方案参数!$AO$11,P326*0.03))+AB326*方案参数!$BZ$11*0.025-配置与结果!$B$28+方案参数!$AE$11)</f>
        <v>2.6150000000000002</v>
      </c>
      <c r="AH326" s="1">
        <f>MAX(0,1+V326*方案参数!$U$11+9*方案参数!$V$11+方案参数!$AE$11-配置与结果!$B$29)</f>
        <v>2.1</v>
      </c>
      <c r="AI326" s="1">
        <f>IF(OR(INDEX(配置与结果!$K$15:$K$18,F326)=1,G326="RHI_BERRY"),1+配置与结果!$B$33+P326*方案参数!$AH$11,1)</f>
        <v>1</v>
      </c>
      <c r="AJ326" s="1">
        <f>MIN(1,MAX(0,J326+方案参数!$AB$11-配置与结果!$B$27))</f>
        <v>1</v>
      </c>
      <c r="AK326" s="1">
        <f>MAX(1,K326+IF(F326=2,0.15+方案参数!$CH$11,0)+BN326*方案参数!$X$11+R326*方案参数!$AA$11+方案参数!$BP$11-配置与结果!$B$26+Z326*(方案参数!$AP$11+MIN(方案参数!$AQ$11,P326*0.03)))</f>
        <v>2.7650000000000001</v>
      </c>
      <c r="AL326" s="7">
        <f>ROUNDDOWN(MAX(AD326*配置与结果!$B$31,AD326-AE326)*AF326*AG326*AH326*AI326,0)</f>
        <v>90642</v>
      </c>
      <c r="AM326" s="7">
        <f>ROUNDDOWN(MAX(AD326*配置与结果!$B$31,AD326-AE326)*AF326*AG326*AH326*AI326*AK326,0)</f>
        <v>250627</v>
      </c>
      <c r="AN326" s="7">
        <f t="shared" ref="AN326:AN389" si="458">AL326*(1-AJ326)+AM326*AJ326</f>
        <v>250627</v>
      </c>
      <c r="AO326" s="7">
        <f>0</f>
        <v>0</v>
      </c>
      <c r="AP326" s="7">
        <f>MAX(0,1+INDEX(配置与结果!$J$15:$J$18,F326)+IF(T326&gt;0,方案参数!$BY$11,0)-配置与结果!$B$30)</f>
        <v>1</v>
      </c>
      <c r="AQ326" s="7">
        <f t="shared" ref="AQ326:AQ389" si="459">ROUNDDOWN(ROUNDDOWN(AD326*AO326,0)*AP326,0)</f>
        <v>0</v>
      </c>
      <c r="AR326" s="7">
        <f t="shared" ref="AR326:AR389" si="460">ROUNDDOWN(ROUNDDOWN(AD326*AO326,0)*AP326*AK326,0)</f>
        <v>0</v>
      </c>
      <c r="AS326" s="7">
        <f t="shared" ref="AS326:AS389" si="461">AQ326*(1-AJ326)+AR326*AJ326</f>
        <v>0</v>
      </c>
      <c r="AT326" s="7">
        <f>IF(U326&gt;0,ROUNDDOWN(AL326*方案参数!$AF$11,0)*(1-AJ326)+ROUNDDOWN(AM326*方案参数!$AF$11,0)*AJ326,0)</f>
        <v>0</v>
      </c>
      <c r="AU326" s="7">
        <f t="shared" ref="AU326:AU389" si="462">AN326+AS326+AT326</f>
        <v>250627</v>
      </c>
      <c r="AV326" s="1">
        <f t="shared" ref="AV326:AV389" si="463">IF(G326="LILYA_COBRA",IF(L326=0,1,L326),L326)</f>
        <v>2</v>
      </c>
      <c r="AW326" s="1">
        <f t="shared" si="456"/>
        <v>10</v>
      </c>
      <c r="AX326" s="1">
        <f t="shared" ref="AX326:AX389" si="464">N326</f>
        <v>2</v>
      </c>
      <c r="AY326" s="1">
        <f>MIN(20,MAX(0,O326+0+1-0))</f>
        <v>8</v>
      </c>
      <c r="AZ326" s="1">
        <f t="shared" ref="AZ326:AZ389" si="465">P326</f>
        <v>5</v>
      </c>
      <c r="BA326" s="1">
        <f t="shared" si="447"/>
        <v>5</v>
      </c>
      <c r="BB326" s="1">
        <f t="shared" si="455"/>
        <v>20</v>
      </c>
      <c r="BC326" s="1">
        <f t="shared" si="453"/>
        <v>3</v>
      </c>
      <c r="BD326" s="1">
        <f t="shared" si="434"/>
        <v>0</v>
      </c>
      <c r="BE326" s="1">
        <f>MAX(0,U326-IF(AF326&gt;0,1,0))+0</f>
        <v>0</v>
      </c>
      <c r="BF326" s="1">
        <f t="shared" si="457"/>
        <v>4</v>
      </c>
      <c r="BG326" s="1">
        <f t="shared" si="444"/>
        <v>1</v>
      </c>
      <c r="BH326" s="1">
        <f t="shared" si="428"/>
        <v>1</v>
      </c>
      <c r="BI326" s="1">
        <f t="shared" si="445"/>
        <v>1</v>
      </c>
      <c r="BJ326" s="1">
        <f t="shared" si="448"/>
        <v>1</v>
      </c>
      <c r="BK326" s="1">
        <f t="shared" si="449"/>
        <v>1</v>
      </c>
      <c r="BL326" s="1">
        <f t="shared" si="454"/>
        <v>1</v>
      </c>
      <c r="BM326" s="1">
        <f t="shared" si="452"/>
        <v>1</v>
      </c>
      <c r="BN326" s="1">
        <f t="shared" si="429"/>
        <v>1</v>
      </c>
      <c r="BO326" s="1">
        <f t="shared" si="430"/>
        <v>1</v>
      </c>
    </row>
    <row r="327" spans="1:67" ht="30.95" customHeight="1">
      <c r="A327" s="1">
        <f>8</f>
        <v>8</v>
      </c>
      <c r="B327" s="1">
        <f>固定流程!A39</f>
        <v>34</v>
      </c>
      <c r="C327" s="1">
        <f>11</f>
        <v>11</v>
      </c>
      <c r="D327" s="1">
        <f>2</f>
        <v>2</v>
      </c>
      <c r="E327" s="1">
        <f>固定流程!C39</f>
        <v>3</v>
      </c>
      <c r="F327" s="1">
        <f>固定流程!G39</f>
        <v>2</v>
      </c>
      <c r="G327" s="1" t="str">
        <f>固定流程!H39</f>
        <v>37_WEAK</v>
      </c>
      <c r="H327" s="1">
        <f>固定流程!F39</f>
        <v>1</v>
      </c>
      <c r="I327" s="1">
        <f>INDEX(配置与结果!$B$15:$B$18,F327)</f>
        <v>2306</v>
      </c>
      <c r="J327" s="1">
        <f>INDEX(配置与结果!$D$15:$D$18,F327)</f>
        <v>0.46</v>
      </c>
      <c r="K327" s="1">
        <f>INDEX(配置与结果!$E$15:$E$18,F327)</f>
        <v>1.9279999999999999</v>
      </c>
      <c r="L327" s="1">
        <f t="shared" si="441"/>
        <v>2</v>
      </c>
      <c r="M327" s="1">
        <f t="shared" si="442"/>
        <v>10</v>
      </c>
      <c r="N327" s="1">
        <f t="shared" si="443"/>
        <v>2</v>
      </c>
      <c r="O327" s="1">
        <f t="shared" si="435"/>
        <v>8</v>
      </c>
      <c r="P327" s="1">
        <f>MIN(方案参数!$AI$11,AZ326+0+0)</f>
        <v>5</v>
      </c>
      <c r="Q327" s="1">
        <f t="shared" si="413"/>
        <v>5</v>
      </c>
      <c r="R327" s="1">
        <f t="shared" si="414"/>
        <v>20</v>
      </c>
      <c r="S327" s="1">
        <f t="shared" si="415"/>
        <v>3</v>
      </c>
      <c r="T327" s="1">
        <f t="shared" si="450"/>
        <v>0</v>
      </c>
      <c r="U327" s="1">
        <f t="shared" si="417"/>
        <v>0</v>
      </c>
      <c r="V327" s="1">
        <f t="shared" si="418"/>
        <v>4</v>
      </c>
      <c r="W327" s="1">
        <f t="shared" si="419"/>
        <v>1</v>
      </c>
      <c r="X327" s="1">
        <f t="shared" si="420"/>
        <v>1</v>
      </c>
      <c r="Y327" s="1">
        <f t="shared" si="421"/>
        <v>1</v>
      </c>
      <c r="Z327" s="1">
        <f t="shared" si="422"/>
        <v>1</v>
      </c>
      <c r="AA327" s="1">
        <f t="shared" si="446"/>
        <v>1</v>
      </c>
      <c r="AB327" s="1">
        <f t="shared" si="424"/>
        <v>1</v>
      </c>
      <c r="AC327" s="1">
        <f t="shared" si="451"/>
        <v>1</v>
      </c>
      <c r="AD327" s="1">
        <f>ROUNDDOWN(I327*(1+IF(F327=3,0.05+方案参数!$Y$11+AA327*0.12,IF(F327=4,方案参数!$BZ$11*方案参数!$AS$11,0)))+IF(AND(X327=1,F327&lt;&gt;3),方案参数!$CC$11,0)+AC327*方案参数!$CB$11,0)</f>
        <v>3044</v>
      </c>
      <c r="AE327" s="1">
        <f>IF(OR(F327=1,F327=4),配置与结果!$B$24,配置与结果!$B$25)*MAX(0,1-INDEX(配置与结果!$I$15:$I$18,F327))</f>
        <v>1000</v>
      </c>
      <c r="AF327" s="1">
        <f>方案参数!$CE$11</f>
        <v>8</v>
      </c>
      <c r="AG327" s="1">
        <f>MAX(配置与结果!$B$32,1+INDEX(配置与结果!$F$15:$F$18,F327)+0+Q327*方案参数!$W$11+Y327*(方案参数!$AN$11+MIN(方案参数!$AO$11,P327*0.03))+AB327*方案参数!$BZ$11*0.025-配置与结果!$B$28+方案参数!$AE$11)</f>
        <v>2.2800000000000002</v>
      </c>
      <c r="AH327" s="1">
        <f>MAX(0,1+V327*方案参数!$U$11+方案参数!$AE$11-配置与结果!$B$29)</f>
        <v>1.56</v>
      </c>
      <c r="AI327" s="1">
        <f>IF(OR(INDEX(配置与结果!$K$15:$K$18,F327)=1,G327="RHI_BERRY"),1+配置与结果!$B$33+P327*方案参数!$AH$11,1)</f>
        <v>1</v>
      </c>
      <c r="AJ327" s="1">
        <f>MIN(1,MAX(0,J327+方案参数!$AB$11-配置与结果!$B$27))</f>
        <v>0.76</v>
      </c>
      <c r="AK327" s="1">
        <f>MAX(1,K327+IF(F327=2,0.15+方案参数!$CH$11,0)+BN327*方案参数!$X$11+R327*方案参数!$AA$11+0-配置与结果!$B$26+Z327*(方案参数!$AP$11+MIN(方案参数!$AQ$11,P327*0.03)))</f>
        <v>2.3380000000000001</v>
      </c>
      <c r="AL327" s="7">
        <f>ROUNDDOWN(MAX(AD327*配置与结果!$B$31,AD327-AE327)*AF327*AG327*AH327*AI327,0)</f>
        <v>58160</v>
      </c>
      <c r="AM327" s="7">
        <f>ROUNDDOWN(MAX(AD327*配置与结果!$B$31,AD327-AE327)*AF327*AG327*AH327*AI327*AK327,0)</f>
        <v>135979</v>
      </c>
      <c r="AN327" s="7">
        <f t="shared" si="458"/>
        <v>117302.44</v>
      </c>
      <c r="AO327" s="7">
        <f>0</f>
        <v>0</v>
      </c>
      <c r="AP327" s="7">
        <f>MAX(0,1+INDEX(配置与结果!$J$15:$J$18,F327)+IF(T327&gt;0,方案参数!$BY$11,0)-配置与结果!$B$30)</f>
        <v>1</v>
      </c>
      <c r="AQ327" s="7">
        <f t="shared" si="459"/>
        <v>0</v>
      </c>
      <c r="AR327" s="7">
        <f t="shared" si="460"/>
        <v>0</v>
      </c>
      <c r="AS327" s="7">
        <f t="shared" si="461"/>
        <v>0</v>
      </c>
      <c r="AT327" s="7">
        <f>IF(U327&gt;0,ROUNDDOWN(AL327*方案参数!$AF$11,0)*(1-AJ327)+ROUNDDOWN(AM327*方案参数!$AF$11,0)*AJ327,0)</f>
        <v>0</v>
      </c>
      <c r="AU327" s="7">
        <f t="shared" si="462"/>
        <v>117302.44</v>
      </c>
      <c r="AV327" s="1">
        <f t="shared" si="463"/>
        <v>2</v>
      </c>
      <c r="AW327" s="1">
        <f t="shared" si="456"/>
        <v>10</v>
      </c>
      <c r="AX327" s="1">
        <f t="shared" si="464"/>
        <v>2</v>
      </c>
      <c r="AY327" s="1">
        <f>MIN(20,MAX(0,O327+0+0-0))</f>
        <v>8</v>
      </c>
      <c r="AZ327" s="1">
        <f t="shared" si="465"/>
        <v>5</v>
      </c>
      <c r="BA327" s="1">
        <f t="shared" si="447"/>
        <v>5</v>
      </c>
      <c r="BB327" s="1">
        <f t="shared" si="455"/>
        <v>20</v>
      </c>
      <c r="BC327" s="1">
        <f t="shared" si="453"/>
        <v>3</v>
      </c>
      <c r="BD327" s="1">
        <f t="shared" si="434"/>
        <v>0</v>
      </c>
      <c r="BE327" s="1">
        <f>MAX(0,U327-IF(AF327&gt;0,1,0))+1</f>
        <v>1</v>
      </c>
      <c r="BF327" s="1">
        <f t="shared" si="457"/>
        <v>4</v>
      </c>
      <c r="BG327" s="1">
        <f t="shared" si="444"/>
        <v>1</v>
      </c>
      <c r="BH327" s="1">
        <f t="shared" si="428"/>
        <v>1</v>
      </c>
      <c r="BI327" s="1">
        <f t="shared" si="445"/>
        <v>1</v>
      </c>
      <c r="BJ327" s="1">
        <f t="shared" si="448"/>
        <v>1</v>
      </c>
      <c r="BK327" s="1">
        <f t="shared" si="449"/>
        <v>1</v>
      </c>
      <c r="BL327" s="1">
        <f t="shared" si="454"/>
        <v>1</v>
      </c>
      <c r="BM327" s="1">
        <f t="shared" si="452"/>
        <v>1</v>
      </c>
      <c r="BN327" s="1">
        <f t="shared" si="429"/>
        <v>1</v>
      </c>
      <c r="BO327" s="1">
        <f t="shared" si="430"/>
        <v>1</v>
      </c>
    </row>
    <row r="328" spans="1:67" ht="30.95" customHeight="1">
      <c r="A328" s="1">
        <f>8</f>
        <v>8</v>
      </c>
      <c r="B328" s="1">
        <f>固定流程!A40</f>
        <v>35</v>
      </c>
      <c r="C328" s="1">
        <f>11</f>
        <v>11</v>
      </c>
      <c r="D328" s="1">
        <f>2</f>
        <v>2</v>
      </c>
      <c r="E328" s="1">
        <f>固定流程!C40</f>
        <v>3</v>
      </c>
      <c r="F328" s="1">
        <f>固定流程!G40</f>
        <v>2</v>
      </c>
      <c r="G328" s="1" t="str">
        <f>固定流程!H40</f>
        <v>37_WEAK</v>
      </c>
      <c r="H328" s="1">
        <f>固定流程!F40</f>
        <v>1</v>
      </c>
      <c r="I328" s="1">
        <f>INDEX(配置与结果!$B$15:$B$18,F328)</f>
        <v>2306</v>
      </c>
      <c r="J328" s="1">
        <f>INDEX(配置与结果!$D$15:$D$18,F328)</f>
        <v>0.46</v>
      </c>
      <c r="K328" s="1">
        <f>INDEX(配置与结果!$E$15:$E$18,F328)</f>
        <v>1.9279999999999999</v>
      </c>
      <c r="L328" s="1">
        <f t="shared" si="441"/>
        <v>2</v>
      </c>
      <c r="M328" s="1">
        <f t="shared" si="442"/>
        <v>10</v>
      </c>
      <c r="N328" s="1">
        <f t="shared" si="443"/>
        <v>2</v>
      </c>
      <c r="O328" s="1">
        <f t="shared" si="435"/>
        <v>8</v>
      </c>
      <c r="P328" s="1">
        <f>MIN(方案参数!$AI$11,AZ327+0+0)</f>
        <v>5</v>
      </c>
      <c r="Q328" s="1">
        <f t="shared" si="413"/>
        <v>5</v>
      </c>
      <c r="R328" s="1">
        <f t="shared" si="414"/>
        <v>20</v>
      </c>
      <c r="S328" s="1">
        <f t="shared" si="415"/>
        <v>3</v>
      </c>
      <c r="T328" s="1">
        <f t="shared" si="450"/>
        <v>0</v>
      </c>
      <c r="U328" s="1">
        <f t="shared" si="417"/>
        <v>1</v>
      </c>
      <c r="V328" s="1">
        <f t="shared" si="418"/>
        <v>4</v>
      </c>
      <c r="W328" s="1">
        <f t="shared" si="419"/>
        <v>1</v>
      </c>
      <c r="X328" s="1">
        <f t="shared" si="420"/>
        <v>1</v>
      </c>
      <c r="Y328" s="1">
        <f t="shared" si="421"/>
        <v>1</v>
      </c>
      <c r="Z328" s="1">
        <f t="shared" si="422"/>
        <v>1</v>
      </c>
      <c r="AA328" s="1">
        <f t="shared" si="446"/>
        <v>1</v>
      </c>
      <c r="AB328" s="1">
        <f t="shared" si="424"/>
        <v>1</v>
      </c>
      <c r="AC328" s="1">
        <f t="shared" si="451"/>
        <v>1</v>
      </c>
      <c r="AD328" s="1">
        <f>ROUNDDOWN(I328*(1+IF(F328=3,0.05+方案参数!$Y$11+AA328*0.12,IF(F328=4,方案参数!$BZ$11*方案参数!$AS$11,0)))+IF(AND(X328=1,F328&lt;&gt;3),方案参数!$CC$11,0)+AC328*方案参数!$CB$11,0)</f>
        <v>3044</v>
      </c>
      <c r="AE328" s="1">
        <f>IF(OR(F328=1,F328=4),配置与结果!$B$24,配置与结果!$B$25)*MAX(0,1-INDEX(配置与结果!$I$15:$I$18,F328))</f>
        <v>1000</v>
      </c>
      <c r="AF328" s="1">
        <f>方案参数!$CE$11</f>
        <v>8</v>
      </c>
      <c r="AG328" s="1">
        <f>MAX(配置与结果!$B$32,1+INDEX(配置与结果!$F$15:$F$18,F328)+0+Q328*方案参数!$W$11+Y328*(方案参数!$AN$11+MIN(方案参数!$AO$11,P328*0.03))+AB328*方案参数!$BZ$11*0.025-配置与结果!$B$28+方案参数!$AE$11)</f>
        <v>2.2800000000000002</v>
      </c>
      <c r="AH328" s="1">
        <f>MAX(0,1+V328*方案参数!$U$11+方案参数!$AE$11-配置与结果!$B$29)</f>
        <v>1.56</v>
      </c>
      <c r="AI328" s="1">
        <f>IF(OR(INDEX(配置与结果!$K$15:$K$18,F328)=1,G328="RHI_BERRY"),1+配置与结果!$B$33+P328*方案参数!$AH$11,1)</f>
        <v>1</v>
      </c>
      <c r="AJ328" s="1">
        <f>MIN(1,MAX(0,J328+方案参数!$AB$11-配置与结果!$B$27))</f>
        <v>0.76</v>
      </c>
      <c r="AK328" s="1">
        <f>MAX(1,K328+IF(F328=2,0.15+方案参数!$CH$11,0)+BN328*方案参数!$X$11+R328*方案参数!$AA$11+0-配置与结果!$B$26+Z328*(方案参数!$AP$11+MIN(方案参数!$AQ$11,P328*0.03)))</f>
        <v>2.3380000000000001</v>
      </c>
      <c r="AL328" s="7">
        <f>ROUNDDOWN(MAX(AD328*配置与结果!$B$31,AD328-AE328)*AF328*AG328*AH328*AI328,0)</f>
        <v>58160</v>
      </c>
      <c r="AM328" s="7">
        <f>ROUNDDOWN(MAX(AD328*配置与结果!$B$31,AD328-AE328)*AF328*AG328*AH328*AI328*AK328,0)</f>
        <v>135979</v>
      </c>
      <c r="AN328" s="7">
        <f t="shared" si="458"/>
        <v>117302.44</v>
      </c>
      <c r="AO328" s="7">
        <f>0</f>
        <v>0</v>
      </c>
      <c r="AP328" s="7">
        <f>MAX(0,1+INDEX(配置与结果!$J$15:$J$18,F328)+IF(T328&gt;0,方案参数!$BY$11,0)-配置与结果!$B$30)</f>
        <v>1</v>
      </c>
      <c r="AQ328" s="7">
        <f t="shared" si="459"/>
        <v>0</v>
      </c>
      <c r="AR328" s="7">
        <f t="shared" si="460"/>
        <v>0</v>
      </c>
      <c r="AS328" s="7">
        <f t="shared" si="461"/>
        <v>0</v>
      </c>
      <c r="AT328" s="7">
        <f>IF(U328&gt;0,ROUNDDOWN(AL328*方案参数!$AF$11,0)*(1-AJ328)+ROUNDDOWN(AM328*方案参数!$AF$11,0)*AJ328,0)</f>
        <v>46920.520000000004</v>
      </c>
      <c r="AU328" s="7">
        <f t="shared" si="462"/>
        <v>164222.96000000002</v>
      </c>
      <c r="AV328" s="1">
        <f t="shared" si="463"/>
        <v>2</v>
      </c>
      <c r="AW328" s="1">
        <f t="shared" si="456"/>
        <v>10</v>
      </c>
      <c r="AX328" s="1">
        <f t="shared" si="464"/>
        <v>2</v>
      </c>
      <c r="AY328" s="1">
        <f>MIN(20,MAX(0,O328+0+0-0))</f>
        <v>8</v>
      </c>
      <c r="AZ328" s="1">
        <f t="shared" si="465"/>
        <v>5</v>
      </c>
      <c r="BA328" s="1">
        <f t="shared" si="447"/>
        <v>5</v>
      </c>
      <c r="BB328" s="1">
        <f t="shared" si="455"/>
        <v>20</v>
      </c>
      <c r="BC328" s="1">
        <f t="shared" si="453"/>
        <v>3</v>
      </c>
      <c r="BD328" s="1">
        <f t="shared" si="434"/>
        <v>0</v>
      </c>
      <c r="BE328" s="1">
        <f>MAX(0,U328-IF(AF328&gt;0,1,0))+1</f>
        <v>1</v>
      </c>
      <c r="BF328" s="1">
        <f t="shared" si="457"/>
        <v>4</v>
      </c>
      <c r="BG328" s="1">
        <f t="shared" si="444"/>
        <v>1</v>
      </c>
      <c r="BH328" s="1">
        <f t="shared" si="428"/>
        <v>1</v>
      </c>
      <c r="BI328" s="1">
        <f t="shared" si="445"/>
        <v>1</v>
      </c>
      <c r="BJ328" s="1">
        <f t="shared" si="448"/>
        <v>1</v>
      </c>
      <c r="BK328" s="1">
        <f t="shared" si="449"/>
        <v>1</v>
      </c>
      <c r="BL328" s="1">
        <f t="shared" si="454"/>
        <v>1</v>
      </c>
      <c r="BM328" s="1">
        <f t="shared" si="452"/>
        <v>1</v>
      </c>
      <c r="BN328" s="1">
        <f t="shared" si="429"/>
        <v>1</v>
      </c>
      <c r="BO328" s="1">
        <f t="shared" si="430"/>
        <v>1</v>
      </c>
    </row>
    <row r="329" spans="1:67" ht="30.95" customHeight="1">
      <c r="A329" s="1">
        <f>8</f>
        <v>8</v>
      </c>
      <c r="B329" s="1">
        <f>固定流程!A41</f>
        <v>36</v>
      </c>
      <c r="C329" s="1">
        <f>11</f>
        <v>11</v>
      </c>
      <c r="D329" s="1">
        <f>2</f>
        <v>2</v>
      </c>
      <c r="E329" s="1">
        <f>固定流程!C41</f>
        <v>3</v>
      </c>
      <c r="F329" s="1">
        <f>固定流程!G41</f>
        <v>1</v>
      </c>
      <c r="G329" s="1" t="str">
        <f>固定流程!H41</f>
        <v>LILYA_FINISH</v>
      </c>
      <c r="H329" s="1">
        <f>固定流程!F41</f>
        <v>1</v>
      </c>
      <c r="I329" s="1">
        <f>INDEX(配置与结果!$B$15:$B$18,F329)</f>
        <v>2296</v>
      </c>
      <c r="J329" s="1">
        <f>INDEX(配置与结果!$D$15:$D$18,F329)</f>
        <v>0.7</v>
      </c>
      <c r="K329" s="1">
        <f>INDEX(配置与结果!$E$15:$E$18,F329)</f>
        <v>2.0249999999999999</v>
      </c>
      <c r="L329" s="1">
        <f t="shared" si="441"/>
        <v>2</v>
      </c>
      <c r="M329" s="1">
        <f t="shared" si="442"/>
        <v>10</v>
      </c>
      <c r="N329" s="1">
        <f t="shared" si="443"/>
        <v>2</v>
      </c>
      <c r="O329" s="1">
        <f t="shared" si="435"/>
        <v>8</v>
      </c>
      <c r="P329" s="1">
        <f>MIN(方案参数!$AI$11,AZ328+0+0)</f>
        <v>5</v>
      </c>
      <c r="Q329" s="1">
        <f t="shared" si="413"/>
        <v>5</v>
      </c>
      <c r="R329" s="1">
        <f t="shared" si="414"/>
        <v>20</v>
      </c>
      <c r="S329" s="1">
        <f t="shared" si="415"/>
        <v>3</v>
      </c>
      <c r="T329" s="1">
        <f t="shared" si="450"/>
        <v>0</v>
      </c>
      <c r="U329" s="1">
        <f t="shared" si="417"/>
        <v>1</v>
      </c>
      <c r="V329" s="1">
        <f t="shared" si="418"/>
        <v>4</v>
      </c>
      <c r="W329" s="1">
        <f t="shared" si="419"/>
        <v>1</v>
      </c>
      <c r="X329" s="1">
        <f t="shared" si="420"/>
        <v>1</v>
      </c>
      <c r="Y329" s="1">
        <f t="shared" si="421"/>
        <v>1</v>
      </c>
      <c r="Z329" s="1">
        <f t="shared" si="422"/>
        <v>1</v>
      </c>
      <c r="AA329" s="1">
        <f t="shared" si="446"/>
        <v>1</v>
      </c>
      <c r="AB329" s="1">
        <f t="shared" si="424"/>
        <v>1</v>
      </c>
      <c r="AC329" s="1">
        <f t="shared" si="451"/>
        <v>1</v>
      </c>
      <c r="AD329" s="1">
        <f>ROUNDDOWN(I329*(1+IF(F329=3,0.05+方案参数!$Y$11+AA329*0.12,IF(F329=4,方案参数!$BZ$11*方案参数!$AS$11,0)))+IF(AND(X329=1,F329&lt;&gt;3),方案参数!$CC$11,0)+AC329*方案参数!$CB$11,0)</f>
        <v>3034</v>
      </c>
      <c r="AE329" s="1">
        <f>IF(OR(F329=1,F329=4),配置与结果!$B$24,配置与结果!$B$25)*MAX(0,1-INDEX(配置与结果!$I$15:$I$18,F329))</f>
        <v>1200</v>
      </c>
      <c r="AF329" s="1">
        <f>方案参数!$BN$11+12*方案参数!$BO$11</f>
        <v>48</v>
      </c>
      <c r="AG329" s="1">
        <f>MAX(配置与结果!$B$32,1+INDEX(配置与结果!$F$15:$F$18,F329)+0.08+方案参数!$CD$11+Q329*方案参数!$W$11+Y329*(方案参数!$AN$11+MIN(方案参数!$AO$11,P329*0.03))+AB329*方案参数!$BZ$11*0.025-配置与结果!$B$28+方案参数!$AE$11)</f>
        <v>2.6150000000000002</v>
      </c>
      <c r="AH329" s="1">
        <f>MAX(0,1+V329*方案参数!$U$11+12*方案参数!$V$11+方案参数!$AE$11-配置与结果!$B$29)</f>
        <v>2.2799999999999998</v>
      </c>
      <c r="AI329" s="1">
        <f>IF(OR(INDEX(配置与结果!$K$15:$K$18,F329)=1,G329="RHI_BERRY"),1+配置与结果!$B$33+P329*方案参数!$AH$11,1)</f>
        <v>1</v>
      </c>
      <c r="AJ329" s="1">
        <f>MIN(1,MAX(0,J329+方案参数!$AB$11-配置与结果!$B$27))</f>
        <v>1</v>
      </c>
      <c r="AK329" s="1">
        <f>MAX(1,K329+IF(F329=2,0.15+方案参数!$CH$11,0)+BN329*方案参数!$X$11+R329*方案参数!$AA$11+方案参数!$BR$11-配置与结果!$B$26+Z329*(方案参数!$AP$11+MIN(方案参数!$AQ$11,P329*0.03)))</f>
        <v>3.165</v>
      </c>
      <c r="AL329" s="7">
        <f>ROUNDDOWN(MAX(AD329*配置与结果!$B$31,AD329-AE329)*AF329*AG329*AH329*AI329,0)</f>
        <v>524864</v>
      </c>
      <c r="AM329" s="7">
        <f>ROUNDDOWN(MAX(AD329*配置与结果!$B$31,AD329-AE329)*AF329*AG329*AH329*AI329*AK329,0)</f>
        <v>1661195</v>
      </c>
      <c r="AN329" s="7">
        <f t="shared" si="458"/>
        <v>1661195</v>
      </c>
      <c r="AO329" s="7">
        <f>0</f>
        <v>0</v>
      </c>
      <c r="AP329" s="7">
        <f>MAX(0,1+INDEX(配置与结果!$J$15:$J$18,F329)+IF(T329&gt;0,方案参数!$BY$11,0)-配置与结果!$B$30)</f>
        <v>1</v>
      </c>
      <c r="AQ329" s="7">
        <f t="shared" si="459"/>
        <v>0</v>
      </c>
      <c r="AR329" s="7">
        <f t="shared" si="460"/>
        <v>0</v>
      </c>
      <c r="AS329" s="7">
        <f t="shared" si="461"/>
        <v>0</v>
      </c>
      <c r="AT329" s="7">
        <f>IF(U329&gt;0,ROUNDDOWN(AL329*方案参数!$AF$11,0)*(1-AJ329)+ROUNDDOWN(AM329*方案参数!$AF$11,0)*AJ329,0)</f>
        <v>664478</v>
      </c>
      <c r="AU329" s="7">
        <f t="shared" si="462"/>
        <v>2325673</v>
      </c>
      <c r="AV329" s="1">
        <f t="shared" si="463"/>
        <v>2</v>
      </c>
      <c r="AW329" s="1">
        <f t="shared" si="456"/>
        <v>10</v>
      </c>
      <c r="AX329" s="1">
        <f t="shared" si="464"/>
        <v>2</v>
      </c>
      <c r="AY329" s="1">
        <f>MIN(20,MAX(0,O329+0+1-0))</f>
        <v>9</v>
      </c>
      <c r="AZ329" s="1">
        <f t="shared" si="465"/>
        <v>5</v>
      </c>
      <c r="BA329" s="1">
        <f t="shared" si="447"/>
        <v>5</v>
      </c>
      <c r="BB329" s="1">
        <f t="shared" si="455"/>
        <v>20</v>
      </c>
      <c r="BC329" s="1">
        <f t="shared" si="453"/>
        <v>3</v>
      </c>
      <c r="BD329" s="1">
        <f t="shared" si="434"/>
        <v>0</v>
      </c>
      <c r="BE329" s="1">
        <f>MAX(0,U329-IF(AF329&gt;0,1,0))+0</f>
        <v>0</v>
      </c>
      <c r="BF329" s="1">
        <f t="shared" si="457"/>
        <v>4</v>
      </c>
      <c r="BG329" s="1">
        <f t="shared" si="444"/>
        <v>1</v>
      </c>
      <c r="BH329" s="1">
        <f t="shared" si="428"/>
        <v>1</v>
      </c>
      <c r="BI329" s="1">
        <f t="shared" si="445"/>
        <v>1</v>
      </c>
      <c r="BJ329" s="1">
        <f t="shared" si="448"/>
        <v>1</v>
      </c>
      <c r="BK329" s="1">
        <f t="shared" si="449"/>
        <v>1</v>
      </c>
      <c r="BL329" s="1">
        <f t="shared" si="454"/>
        <v>1</v>
      </c>
      <c r="BM329" s="1">
        <f t="shared" si="452"/>
        <v>1</v>
      </c>
      <c r="BN329" s="1">
        <f t="shared" si="429"/>
        <v>1</v>
      </c>
      <c r="BO329" s="1">
        <f t="shared" si="430"/>
        <v>1</v>
      </c>
    </row>
    <row r="330" spans="1:67" ht="30.95" customHeight="1">
      <c r="A330" s="1">
        <f>9</f>
        <v>9</v>
      </c>
      <c r="B330" s="1">
        <f>固定流程!A6</f>
        <v>1</v>
      </c>
      <c r="C330" s="1">
        <f>12</f>
        <v>12</v>
      </c>
      <c r="D330" s="1">
        <f>1</f>
        <v>1</v>
      </c>
      <c r="E330" s="1">
        <f>固定流程!C6</f>
        <v>1</v>
      </c>
      <c r="F330" s="1">
        <f>固定流程!G6</f>
        <v>3</v>
      </c>
      <c r="G330" s="1" t="str">
        <f>固定流程!H6</f>
        <v>RHI_ULT</v>
      </c>
      <c r="H330" s="1">
        <f>固定流程!F6</f>
        <v>1</v>
      </c>
      <c r="I330" s="1">
        <f>INDEX(配置与结果!$B$15:$B$18,F330)</f>
        <v>2597</v>
      </c>
      <c r="J330" s="1">
        <f>INDEX(配置与结果!$D$15:$D$18,F330)</f>
        <v>0.255</v>
      </c>
      <c r="K330" s="1">
        <f>INDEX(配置与结果!$E$15:$E$18,F330)</f>
        <v>1.55</v>
      </c>
      <c r="L330" s="1">
        <f>0</f>
        <v>0</v>
      </c>
      <c r="M330" s="1">
        <f>0</f>
        <v>0</v>
      </c>
      <c r="N330" s="1">
        <f>0</f>
        <v>0</v>
      </c>
      <c r="O330" s="1">
        <f>0</f>
        <v>0</v>
      </c>
      <c r="P330" s="1">
        <f>MIN(方案参数!$AI$12,0+方案参数!$AJ$12+0)</f>
        <v>1</v>
      </c>
      <c r="Q330" s="1">
        <f>0</f>
        <v>0</v>
      </c>
      <c r="R330" s="1">
        <f>0</f>
        <v>0</v>
      </c>
      <c r="S330" s="1">
        <f>0</f>
        <v>0</v>
      </c>
      <c r="T330" s="1">
        <f>0+0</f>
        <v>0</v>
      </c>
      <c r="U330" s="1">
        <f>0</f>
        <v>0</v>
      </c>
      <c r="V330" s="1">
        <f>0</f>
        <v>0</v>
      </c>
      <c r="W330" s="1">
        <f>0</f>
        <v>0</v>
      </c>
      <c r="X330" s="1">
        <f>0</f>
        <v>0</v>
      </c>
      <c r="Y330" s="1">
        <f>0</f>
        <v>0</v>
      </c>
      <c r="Z330" s="1">
        <f>0</f>
        <v>0</v>
      </c>
      <c r="AA330" s="1">
        <f>MAX(0,0)</f>
        <v>0</v>
      </c>
      <c r="AB330" s="1">
        <f>0</f>
        <v>0</v>
      </c>
      <c r="AC330" s="1">
        <f>MAX(0,0)</f>
        <v>0</v>
      </c>
      <c r="AD330" s="1">
        <f>ROUNDDOWN(I330*(1+IF(F330=3,0.05+方案参数!$Y$12+AA330*0.12,IF(F330=4,方案参数!$BZ$12*方案参数!$AS$12,0)))+IF(AND(X330=1,F330&lt;&gt;3),方案参数!$CC$12,0)+AC330*方案参数!$CB$12,0)</f>
        <v>2986</v>
      </c>
      <c r="AE330" s="1">
        <f>IF(OR(F330=1,F330=4),配置与结果!$B$24,配置与结果!$B$25)*MAX(0,1-INDEX(配置与结果!$I$15:$I$18,F330))</f>
        <v>1000</v>
      </c>
      <c r="AF330" s="1">
        <f>0</f>
        <v>0</v>
      </c>
      <c r="AG330" s="1">
        <f>MAX(配置与结果!$B$32,1+INDEX(配置与结果!$F$15:$F$18,F330)+0+Q330*方案参数!$W$12+Y330*(方案参数!$AN$12+MIN(方案参数!$AO$12,P330*0.03))+AB330*方案参数!$BZ$12*0.025-配置与结果!$B$28)</f>
        <v>0.6349999999999999</v>
      </c>
      <c r="AH330" s="1">
        <f>MAX(0,1+INDEX(配置与结果!$G$15:$G$18,F330)+W330*方案参数!$AG$12)</f>
        <v>1</v>
      </c>
      <c r="AI330" s="1">
        <f>IF(OR(INDEX(配置与结果!$K$15:$K$18,F330)=1,G330="RHI_BERRY"),1+配置与结果!$B$33+P330*方案参数!$AH$12,1)</f>
        <v>1</v>
      </c>
      <c r="AJ330" s="1">
        <f>MIN(1,MAX(0,J330+方案参数!$AB$12-配置与结果!$B$27))</f>
        <v>0.85499999999999998</v>
      </c>
      <c r="AK330" s="1">
        <f>MAX(1,K330+IF(F330=2,0.15+方案参数!$CH$12,0)+BN330*方案参数!$X$12+R330*方案参数!$AA$12+0-配置与结果!$B$26+Z330*(方案参数!$AP$12+MIN(方案参数!$AQ$12,P330*0.03)))</f>
        <v>1.1499999999999999</v>
      </c>
      <c r="AL330" s="7">
        <f>ROUNDDOWN(MAX(AD330*配置与结果!$B$31,AD330-AE330)*AF330*AG330*AH330*AI330,0)</f>
        <v>0</v>
      </c>
      <c r="AM330" s="7">
        <f>ROUNDDOWN(MAX(AD330*配置与结果!$B$31,AD330-AE330)*AF330*AG330*AH330*AI330*AK330,0)</f>
        <v>0</v>
      </c>
      <c r="AN330" s="7">
        <f t="shared" si="458"/>
        <v>0</v>
      </c>
      <c r="AO330" s="7">
        <f>0</f>
        <v>0</v>
      </c>
      <c r="AP330" s="7">
        <f>MAX(0,1+INDEX(配置与结果!$J$15:$J$18,F330)+IF(T330&gt;0,方案参数!$BY$12,0)-配置与结果!$B$30)</f>
        <v>1</v>
      </c>
      <c r="AQ330" s="7">
        <f t="shared" si="459"/>
        <v>0</v>
      </c>
      <c r="AR330" s="7">
        <f t="shared" si="460"/>
        <v>0</v>
      </c>
      <c r="AS330" s="7">
        <f t="shared" si="461"/>
        <v>0</v>
      </c>
      <c r="AT330" s="7">
        <f>0</f>
        <v>0</v>
      </c>
      <c r="AU330" s="7">
        <f t="shared" si="462"/>
        <v>0</v>
      </c>
      <c r="AV330" s="1">
        <f t="shared" si="463"/>
        <v>0</v>
      </c>
      <c r="AW330" s="1">
        <f t="shared" si="456"/>
        <v>0</v>
      </c>
      <c r="AX330" s="1">
        <f t="shared" si="464"/>
        <v>0</v>
      </c>
      <c r="AY330" s="1">
        <f>MIN(20,MAX(0,O330+0+0-0))</f>
        <v>0</v>
      </c>
      <c r="AZ330" s="1">
        <f t="shared" si="465"/>
        <v>1</v>
      </c>
      <c r="BA330" s="1">
        <f>MIN(6,Q330+1)</f>
        <v>1</v>
      </c>
      <c r="BB330" s="1">
        <f>MIN(30,R330+5)</f>
        <v>5</v>
      </c>
      <c r="BC330" s="1">
        <f t="shared" si="453"/>
        <v>0</v>
      </c>
      <c r="BD330" s="1">
        <f t="shared" si="434"/>
        <v>0</v>
      </c>
      <c r="BE330" s="1">
        <f>0</f>
        <v>0</v>
      </c>
      <c r="BF330" s="1">
        <f t="shared" si="457"/>
        <v>0</v>
      </c>
      <c r="BG330" s="1">
        <f t="shared" si="444"/>
        <v>0</v>
      </c>
      <c r="BH330" s="1">
        <f>MAX(X330,1)</f>
        <v>1</v>
      </c>
      <c r="BI330" s="1">
        <f t="shared" si="445"/>
        <v>0</v>
      </c>
      <c r="BJ330" s="1">
        <f t="shared" si="448"/>
        <v>0</v>
      </c>
      <c r="BK330" s="1">
        <f t="shared" si="449"/>
        <v>0</v>
      </c>
      <c r="BL330" s="1">
        <f t="shared" si="454"/>
        <v>0</v>
      </c>
      <c r="BM330" s="1">
        <f t="shared" si="452"/>
        <v>0</v>
      </c>
      <c r="BN330" s="1">
        <f>0</f>
        <v>0</v>
      </c>
      <c r="BO330" s="1">
        <f>MAX(BN330,1)</f>
        <v>1</v>
      </c>
    </row>
    <row r="331" spans="1:67" ht="30.95" customHeight="1">
      <c r="A331" s="1">
        <f>9</f>
        <v>9</v>
      </c>
      <c r="B331" s="1">
        <f>固定流程!A7</f>
        <v>2</v>
      </c>
      <c r="C331" s="1">
        <f>12</f>
        <v>12</v>
      </c>
      <c r="D331" s="1">
        <f>1</f>
        <v>1</v>
      </c>
      <c r="E331" s="1">
        <f>固定流程!C7</f>
        <v>1</v>
      </c>
      <c r="F331" s="1">
        <f>固定流程!G7</f>
        <v>3</v>
      </c>
      <c r="G331" s="1" t="str">
        <f>固定流程!H7</f>
        <v>RHI_BUFF</v>
      </c>
      <c r="H331" s="1">
        <f>固定流程!F7</f>
        <v>1</v>
      </c>
      <c r="I331" s="1">
        <f>INDEX(配置与结果!$B$15:$B$18,F331)</f>
        <v>2597</v>
      </c>
      <c r="J331" s="1">
        <f>INDEX(配置与结果!$D$15:$D$18,F331)</f>
        <v>0.255</v>
      </c>
      <c r="K331" s="1">
        <f>INDEX(配置与结果!$E$15:$E$18,F331)</f>
        <v>1.55</v>
      </c>
      <c r="L331" s="1">
        <f t="shared" ref="L331:O336" si="466">AV330</f>
        <v>0</v>
      </c>
      <c r="M331" s="1">
        <f t="shared" si="466"/>
        <v>0</v>
      </c>
      <c r="N331" s="1">
        <f t="shared" si="466"/>
        <v>0</v>
      </c>
      <c r="O331" s="1">
        <f t="shared" si="466"/>
        <v>0</v>
      </c>
      <c r="P331" s="1">
        <f>MIN(方案参数!$AI$12,AZ330+0+方案参数!$AK$12)</f>
        <v>3</v>
      </c>
      <c r="Q331" s="1">
        <f t="shared" ref="Q331:Q365" si="467">BA330</f>
        <v>1</v>
      </c>
      <c r="R331" s="1">
        <f t="shared" ref="R331:R365" si="468">BB330</f>
        <v>5</v>
      </c>
      <c r="S331" s="1">
        <f t="shared" ref="S331:S365" si="469">BC330</f>
        <v>0</v>
      </c>
      <c r="T331" s="1">
        <f t="shared" ref="T331:T344" si="470">BD330+0</f>
        <v>0</v>
      </c>
      <c r="U331" s="1">
        <f t="shared" ref="U331:U365" si="471">BE330</f>
        <v>0</v>
      </c>
      <c r="V331" s="1">
        <f t="shared" ref="V331:V365" si="472">BF330</f>
        <v>0</v>
      </c>
      <c r="W331" s="1">
        <f t="shared" ref="W331:W365" si="473">BG330</f>
        <v>0</v>
      </c>
      <c r="X331" s="1">
        <f t="shared" ref="X331:X365" si="474">BH330</f>
        <v>1</v>
      </c>
      <c r="Y331" s="1">
        <f t="shared" ref="Y331:Y365" si="475">BI330</f>
        <v>0</v>
      </c>
      <c r="Z331" s="1">
        <f t="shared" ref="Z331:Z365" si="476">BJ330</f>
        <v>0</v>
      </c>
      <c r="AA331" s="1">
        <f t="shared" ref="AA331:AA336" si="477">MAX(BK330,0)</f>
        <v>0</v>
      </c>
      <c r="AB331" s="1">
        <f t="shared" ref="AB331:AB365" si="478">BL330</f>
        <v>0</v>
      </c>
      <c r="AC331" s="1">
        <f t="shared" ref="AC331:AC344" si="479">MAX(BM330,0)</f>
        <v>0</v>
      </c>
      <c r="AD331" s="1">
        <f>ROUNDDOWN(I331*(1+IF(F331=3,0.05+方案参数!$Y$12+AA331*0.12,IF(F331=4,方案参数!$BZ$12*方案参数!$AS$12,0)))+IF(AND(X331=1,F331&lt;&gt;3),方案参数!$CC$12,0)+AC331*方案参数!$CB$12,0)</f>
        <v>2986</v>
      </c>
      <c r="AE331" s="1">
        <f>IF(OR(F331=1,F331=4),配置与结果!$B$24,配置与结果!$B$25)*MAX(0,1-INDEX(配置与结果!$I$15:$I$18,F331))</f>
        <v>1000</v>
      </c>
      <c r="AF331" s="1">
        <f>0</f>
        <v>0</v>
      </c>
      <c r="AG331" s="1">
        <f>MAX(配置与结果!$B$32,1+INDEX(配置与结果!$F$15:$F$18,F331)+0+Q331*方案参数!$W$12+Y331*(方案参数!$AN$12+MIN(方案参数!$AO$12,P331*0.03))+AB331*方案参数!$BZ$12*0.025-配置与结果!$B$28)</f>
        <v>0.65499999999999992</v>
      </c>
      <c r="AH331" s="1">
        <f>MAX(0,1+INDEX(配置与结果!$G$15:$G$18,F331)+W331*方案参数!$AG$12)</f>
        <v>1</v>
      </c>
      <c r="AI331" s="1">
        <f>IF(OR(INDEX(配置与结果!$K$15:$K$18,F331)=1,G331="RHI_BERRY"),1+配置与结果!$B$33+P331*方案参数!$AH$12,1)</f>
        <v>1</v>
      </c>
      <c r="AJ331" s="1">
        <f>MIN(1,MAX(0,J331+方案参数!$AB$12-配置与结果!$B$27))</f>
        <v>0.85499999999999998</v>
      </c>
      <c r="AK331" s="1">
        <f>MAX(1,K331+IF(F331=2,0.15+方案参数!$CH$12,0)+BN331*方案参数!$X$12+R331*方案参数!$AA$12+0-配置与结果!$B$26+Z331*(方案参数!$AP$12+MIN(方案参数!$AQ$12,P331*0.03)))</f>
        <v>1.33</v>
      </c>
      <c r="AL331" s="7">
        <f>ROUNDDOWN(MAX(AD331*配置与结果!$B$31,AD331-AE331)*AF331*AG331*AH331*AI331,0)</f>
        <v>0</v>
      </c>
      <c r="AM331" s="7">
        <f>ROUNDDOWN(MAX(AD331*配置与结果!$B$31,AD331-AE331)*AF331*AG331*AH331*AI331*AK331,0)</f>
        <v>0</v>
      </c>
      <c r="AN331" s="7">
        <f t="shared" si="458"/>
        <v>0</v>
      </c>
      <c r="AO331" s="7">
        <f>0</f>
        <v>0</v>
      </c>
      <c r="AP331" s="7">
        <f>MAX(0,1+INDEX(配置与结果!$J$15:$J$18,F331)+IF(T331&gt;0,方案参数!$BY$12,0)-配置与结果!$B$30)</f>
        <v>1</v>
      </c>
      <c r="AQ331" s="7">
        <f t="shared" si="459"/>
        <v>0</v>
      </c>
      <c r="AR331" s="7">
        <f t="shared" si="460"/>
        <v>0</v>
      </c>
      <c r="AS331" s="7">
        <f t="shared" si="461"/>
        <v>0</v>
      </c>
      <c r="AT331" s="7">
        <f>0</f>
        <v>0</v>
      </c>
      <c r="AU331" s="7">
        <f t="shared" si="462"/>
        <v>0</v>
      </c>
      <c r="AV331" s="1">
        <f t="shared" si="463"/>
        <v>0</v>
      </c>
      <c r="AW331" s="1">
        <f t="shared" si="456"/>
        <v>0</v>
      </c>
      <c r="AX331" s="1">
        <f t="shared" si="464"/>
        <v>0</v>
      </c>
      <c r="AY331" s="1">
        <f>MIN(20,MAX(0,O331+0+0-0))</f>
        <v>0</v>
      </c>
      <c r="AZ331" s="1">
        <f t="shared" si="465"/>
        <v>3</v>
      </c>
      <c r="BA331" s="1">
        <f>MIN(6,Q331+1)</f>
        <v>2</v>
      </c>
      <c r="BB331" s="1">
        <f t="shared" ref="BB331:BB344" si="480">MIN(30,R331+0)</f>
        <v>5</v>
      </c>
      <c r="BC331" s="1">
        <f t="shared" si="453"/>
        <v>0</v>
      </c>
      <c r="BD331" s="1">
        <f t="shared" si="434"/>
        <v>0</v>
      </c>
      <c r="BE331" s="1">
        <f t="shared" ref="BE331:BE352" si="481">BE330</f>
        <v>0</v>
      </c>
      <c r="BF331" s="1">
        <f t="shared" si="457"/>
        <v>0</v>
      </c>
      <c r="BG331" s="1">
        <f>MAX(W331,1)</f>
        <v>1</v>
      </c>
      <c r="BH331" s="1">
        <f t="shared" ref="BH331:BH365" si="482">MAX(X331,0)</f>
        <v>1</v>
      </c>
      <c r="BI331" s="1">
        <f>MAX(Y331,1)</f>
        <v>1</v>
      </c>
      <c r="BJ331" s="1">
        <f t="shared" si="448"/>
        <v>0</v>
      </c>
      <c r="BK331" s="1">
        <f t="shared" si="449"/>
        <v>0</v>
      </c>
      <c r="BL331" s="1">
        <f t="shared" si="454"/>
        <v>0</v>
      </c>
      <c r="BM331" s="1">
        <f t="shared" si="452"/>
        <v>0</v>
      </c>
      <c r="BN331" s="1">
        <f t="shared" ref="BN331:BN365" si="483">BO330</f>
        <v>1</v>
      </c>
      <c r="BO331" s="1">
        <f t="shared" ref="BO331:BO365" si="484">MAX(BN331,0)</f>
        <v>1</v>
      </c>
    </row>
    <row r="332" spans="1:67" ht="30.95" customHeight="1">
      <c r="A332" s="1">
        <f>9</f>
        <v>9</v>
      </c>
      <c r="B332" s="1">
        <f>固定流程!A8</f>
        <v>3</v>
      </c>
      <c r="C332" s="1">
        <f>12</f>
        <v>12</v>
      </c>
      <c r="D332" s="1">
        <f>1</f>
        <v>1</v>
      </c>
      <c r="E332" s="1">
        <f>固定流程!C8</f>
        <v>1</v>
      </c>
      <c r="F332" s="1">
        <f>固定流程!G8</f>
        <v>1</v>
      </c>
      <c r="G332" s="1" t="str">
        <f>固定流程!H8</f>
        <v>LILYA_COBRA</v>
      </c>
      <c r="H332" s="1">
        <f>固定流程!F8</f>
        <v>1</v>
      </c>
      <c r="I332" s="1">
        <f>INDEX(配置与结果!$B$15:$B$18,F332)</f>
        <v>2296</v>
      </c>
      <c r="J332" s="1">
        <f>INDEX(配置与结果!$D$15:$D$18,F332)</f>
        <v>0.7</v>
      </c>
      <c r="K332" s="1">
        <f>INDEX(配置与结果!$E$15:$E$18,F332)</f>
        <v>2.0249999999999999</v>
      </c>
      <c r="L332" s="1">
        <f t="shared" si="466"/>
        <v>0</v>
      </c>
      <c r="M332" s="1">
        <f t="shared" si="466"/>
        <v>0</v>
      </c>
      <c r="N332" s="1">
        <f t="shared" si="466"/>
        <v>0</v>
      </c>
      <c r="O332" s="1">
        <f t="shared" si="466"/>
        <v>0</v>
      </c>
      <c r="P332" s="1">
        <f>MIN(方案参数!$AI$12,AZ331+0+0)</f>
        <v>3</v>
      </c>
      <c r="Q332" s="1">
        <f t="shared" si="467"/>
        <v>2</v>
      </c>
      <c r="R332" s="1">
        <f t="shared" si="468"/>
        <v>5</v>
      </c>
      <c r="S332" s="1">
        <f t="shared" si="469"/>
        <v>0</v>
      </c>
      <c r="T332" s="1">
        <f t="shared" si="470"/>
        <v>0</v>
      </c>
      <c r="U332" s="1">
        <f t="shared" si="471"/>
        <v>0</v>
      </c>
      <c r="V332" s="1">
        <f t="shared" si="472"/>
        <v>0</v>
      </c>
      <c r="W332" s="1">
        <f t="shared" si="473"/>
        <v>1</v>
      </c>
      <c r="X332" s="1">
        <f t="shared" si="474"/>
        <v>1</v>
      </c>
      <c r="Y332" s="1">
        <f t="shared" si="475"/>
        <v>1</v>
      </c>
      <c r="Z332" s="1">
        <f t="shared" si="476"/>
        <v>0</v>
      </c>
      <c r="AA332" s="1">
        <f t="shared" si="477"/>
        <v>0</v>
      </c>
      <c r="AB332" s="1">
        <f t="shared" si="478"/>
        <v>0</v>
      </c>
      <c r="AC332" s="1">
        <f t="shared" si="479"/>
        <v>0</v>
      </c>
      <c r="AD332" s="1">
        <f>ROUNDDOWN(I332*(1+IF(F332=3,0.05+方案参数!$Y$12+AA332*0.12,IF(F332=4,方案参数!$BZ$12*方案参数!$AS$12,0)))+IF(AND(X332=1,F332&lt;&gt;3),方案参数!$CC$12,0)+AC332*方案参数!$CB$12,0)</f>
        <v>2534</v>
      </c>
      <c r="AE332" s="1">
        <f>IF(OR(F332=1,F332=4),配置与结果!$B$24,配置与结果!$B$25)*MAX(0,1-INDEX(配置与结果!$I$15:$I$18,F332))</f>
        <v>1200</v>
      </c>
      <c r="AF332" s="1">
        <f>0</f>
        <v>0</v>
      </c>
      <c r="AG332" s="1">
        <f>MAX(配置与结果!$B$32,1+INDEX(配置与结果!$F$15:$F$18,F332)+0.08+方案参数!$CD$12+Q332*方案参数!$W$12+Y332*(方案参数!$AN$12+MIN(方案参数!$AO$12,P332*0.03))+AB332*方案参数!$BZ$12*0.025-配置与结果!$B$28)</f>
        <v>1.2200000000000002</v>
      </c>
      <c r="AH332" s="1">
        <f>MAX(0,1+INDEX(配置与结果!$G$15:$G$18,F332)+W332*方案参数!$AG$12)</f>
        <v>1.3</v>
      </c>
      <c r="AI332" s="1">
        <f>IF(OR(INDEX(配置与结果!$K$15:$K$18,F332)=1,G332="RHI_BERRY"),1+配置与结果!$B$33+P332*方案参数!$AH$12,1)</f>
        <v>1</v>
      </c>
      <c r="AJ332" s="1">
        <f>MIN(1,MAX(0,J332+方案参数!$AB$12-配置与结果!$B$27))</f>
        <v>1</v>
      </c>
      <c r="AK332" s="1">
        <f>MAX(1,K332+IF(F332=2,0.15+方案参数!$CH$12,0)+BN332*方案参数!$X$12+R332*方案参数!$AA$12+0-配置与结果!$B$26+Z332*(方案参数!$AP$12+MIN(方案参数!$AQ$12,P332*0.03)))</f>
        <v>1.8050000000000002</v>
      </c>
      <c r="AL332" s="7">
        <f>ROUNDDOWN(MAX(AD332*配置与结果!$B$31,AD332-AE332)*AF332*AG332*AH332*AI332,0)</f>
        <v>0</v>
      </c>
      <c r="AM332" s="7">
        <f>ROUNDDOWN(MAX(AD332*配置与结果!$B$31,AD332-AE332)*AF332*AG332*AH332*AI332*AK332,0)</f>
        <v>0</v>
      </c>
      <c r="AN332" s="7">
        <f t="shared" si="458"/>
        <v>0</v>
      </c>
      <c r="AO332" s="7">
        <f>0</f>
        <v>0</v>
      </c>
      <c r="AP332" s="7">
        <f>MAX(0,1+INDEX(配置与结果!$J$15:$J$18,F332)+IF(T332&gt;0,方案参数!$BY$12,0)-配置与结果!$B$30)</f>
        <v>1</v>
      </c>
      <c r="AQ332" s="7">
        <f t="shared" si="459"/>
        <v>0</v>
      </c>
      <c r="AR332" s="7">
        <f t="shared" si="460"/>
        <v>0</v>
      </c>
      <c r="AS332" s="7">
        <f t="shared" si="461"/>
        <v>0</v>
      </c>
      <c r="AT332" s="7">
        <f>0</f>
        <v>0</v>
      </c>
      <c r="AU332" s="7">
        <f t="shared" si="462"/>
        <v>0</v>
      </c>
      <c r="AV332" s="1">
        <f t="shared" si="463"/>
        <v>1</v>
      </c>
      <c r="AW332" s="1">
        <f>MIN(10,M332+方案参数!$BD$12+0)</f>
        <v>3</v>
      </c>
      <c r="AX332" s="1">
        <f t="shared" si="464"/>
        <v>0</v>
      </c>
      <c r="AY332" s="1">
        <f>MIN(20,MAX(0,O332+6+0-0))</f>
        <v>6</v>
      </c>
      <c r="AZ332" s="1">
        <f t="shared" si="465"/>
        <v>3</v>
      </c>
      <c r="BA332" s="1">
        <f>MIN(6,Q332+0)</f>
        <v>2</v>
      </c>
      <c r="BB332" s="1">
        <f t="shared" si="480"/>
        <v>5</v>
      </c>
      <c r="BC332" s="1">
        <f t="shared" si="453"/>
        <v>0</v>
      </c>
      <c r="BD332" s="1">
        <f t="shared" si="434"/>
        <v>0</v>
      </c>
      <c r="BE332" s="1">
        <f t="shared" si="481"/>
        <v>0</v>
      </c>
      <c r="BF332" s="1">
        <f t="shared" si="457"/>
        <v>0</v>
      </c>
      <c r="BG332" s="1">
        <f t="shared" ref="BG332:BG342" si="485">MAX(W332,0)</f>
        <v>1</v>
      </c>
      <c r="BH332" s="1">
        <f t="shared" si="482"/>
        <v>1</v>
      </c>
      <c r="BI332" s="1">
        <f t="shared" ref="BI332:BI342" si="486">MAX(Y332,0)</f>
        <v>1</v>
      </c>
      <c r="BJ332" s="1">
        <f t="shared" si="448"/>
        <v>0</v>
      </c>
      <c r="BK332" s="1">
        <f t="shared" si="449"/>
        <v>0</v>
      </c>
      <c r="BL332" s="1">
        <f t="shared" si="454"/>
        <v>0</v>
      </c>
      <c r="BM332" s="1">
        <f t="shared" si="452"/>
        <v>0</v>
      </c>
      <c r="BN332" s="1">
        <f t="shared" si="483"/>
        <v>1</v>
      </c>
      <c r="BO332" s="1">
        <f t="shared" si="484"/>
        <v>1</v>
      </c>
    </row>
    <row r="333" spans="1:67" ht="30.95" customHeight="1">
      <c r="A333" s="1">
        <f>9</f>
        <v>9</v>
      </c>
      <c r="B333" s="1">
        <f>固定流程!A9</f>
        <v>4</v>
      </c>
      <c r="C333" s="1">
        <f>12</f>
        <v>12</v>
      </c>
      <c r="D333" s="1">
        <f>1</f>
        <v>1</v>
      </c>
      <c r="E333" s="1">
        <f>固定流程!C9</f>
        <v>1</v>
      </c>
      <c r="F333" s="1">
        <f>固定流程!G9</f>
        <v>1</v>
      </c>
      <c r="G333" s="1" t="str">
        <f>固定流程!H9</f>
        <v>LILYA_DIVE</v>
      </c>
      <c r="H333" s="1">
        <f>固定流程!F9</f>
        <v>1</v>
      </c>
      <c r="I333" s="1">
        <f>INDEX(配置与结果!$B$15:$B$18,F333)</f>
        <v>2296</v>
      </c>
      <c r="J333" s="1">
        <f>INDEX(配置与结果!$D$15:$D$18,F333)</f>
        <v>0.7</v>
      </c>
      <c r="K333" s="1">
        <f>INDEX(配置与结果!$E$15:$E$18,F333)</f>
        <v>2.0249999999999999</v>
      </c>
      <c r="L333" s="1">
        <f t="shared" si="466"/>
        <v>1</v>
      </c>
      <c r="M333" s="1">
        <f t="shared" si="466"/>
        <v>3</v>
      </c>
      <c r="N333" s="1">
        <f t="shared" si="466"/>
        <v>0</v>
      </c>
      <c r="O333" s="1">
        <f t="shared" si="466"/>
        <v>6</v>
      </c>
      <c r="P333" s="1">
        <f>MIN(方案参数!$AI$12,AZ332+0+0)</f>
        <v>3</v>
      </c>
      <c r="Q333" s="1">
        <f t="shared" si="467"/>
        <v>2</v>
      </c>
      <c r="R333" s="1">
        <f t="shared" si="468"/>
        <v>5</v>
      </c>
      <c r="S333" s="1">
        <f t="shared" si="469"/>
        <v>0</v>
      </c>
      <c r="T333" s="1">
        <f t="shared" si="470"/>
        <v>0</v>
      </c>
      <c r="U333" s="1">
        <f t="shared" si="471"/>
        <v>0</v>
      </c>
      <c r="V333" s="1">
        <f t="shared" si="472"/>
        <v>0</v>
      </c>
      <c r="W333" s="1">
        <f t="shared" si="473"/>
        <v>1</v>
      </c>
      <c r="X333" s="1">
        <f t="shared" si="474"/>
        <v>1</v>
      </c>
      <c r="Y333" s="1">
        <f t="shared" si="475"/>
        <v>1</v>
      </c>
      <c r="Z333" s="1">
        <f t="shared" si="476"/>
        <v>0</v>
      </c>
      <c r="AA333" s="1">
        <f t="shared" si="477"/>
        <v>0</v>
      </c>
      <c r="AB333" s="1">
        <f t="shared" si="478"/>
        <v>0</v>
      </c>
      <c r="AC333" s="1">
        <f t="shared" si="479"/>
        <v>0</v>
      </c>
      <c r="AD333" s="1">
        <f>ROUNDDOWN(I333*(1+IF(F333=3,0.05+方案参数!$Y$12+AA333*0.12,IF(F333=4,方案参数!$BZ$12*方案参数!$AS$12,0)))+IF(AND(X333=1,F333&lt;&gt;3),方案参数!$CC$12,0)+AC333*方案参数!$CB$12,0)</f>
        <v>2534</v>
      </c>
      <c r="AE333" s="1">
        <f>IF(OR(F333=1,F333=4),配置与结果!$B$24,配置与结果!$B$25)*MAX(0,1-INDEX(配置与结果!$I$15:$I$18,F333))</f>
        <v>1200</v>
      </c>
      <c r="AF333" s="1">
        <f>(IF(L333=1,方案参数!$AW$12,IF(L333=2,方案参数!$AX$12,0))+方案参数!$AV$12)*H333</f>
        <v>6</v>
      </c>
      <c r="AG333" s="1">
        <f>MAX(配置与结果!$B$32,1+INDEX(配置与结果!$F$15:$F$18,F333)+0.08+方案参数!$CD$12+Q333*方案参数!$W$12+Y333*(方案参数!$AN$12+MIN(方案参数!$AO$12,P333*0.03))+AB333*方案参数!$BZ$12*0.025+IF(L333=1,方案参数!$AY$12+(H333-1)*0.1,IF(L333=2,方案参数!$AZ$12+(H333-1)*0.2,0))-配置与结果!$B$28)</f>
        <v>1.3200000000000003</v>
      </c>
      <c r="AH333" s="1">
        <f>MAX(0,1+INDEX(配置与结果!$G$15:$G$18,F333)+W333*方案参数!$AG$12+IF(L333=1,方案参数!$BA$12,IF(L333=2,方案参数!$BB$12,0))+M333*方案参数!$BC$12)</f>
        <v>2.08</v>
      </c>
      <c r="AI333" s="1">
        <f>IF(OR(INDEX(配置与结果!$K$15:$K$18,F333)=1,G333="RHI_BERRY"),1+配置与结果!$B$33+P333*方案参数!$AH$12,1)</f>
        <v>1</v>
      </c>
      <c r="AJ333" s="1">
        <f>MIN(1,MAX(0,J333+方案参数!$AB$12-配置与结果!$B$27))</f>
        <v>1</v>
      </c>
      <c r="AK333" s="1">
        <f>MAX(1,K333+IF(F333=2,0.15+方案参数!$CH$12,0)+BN333*方案参数!$X$12+R333*方案参数!$AA$12+0-配置与结果!$B$26+Z333*(方案参数!$AP$12+MIN(方案参数!$AQ$12,P333*0.03)))</f>
        <v>1.8050000000000002</v>
      </c>
      <c r="AL333" s="7">
        <f>ROUNDDOWN(MAX(AD333*配置与结果!$B$31,AD333-AE333)*AF333*AG333*AH333*AI333,0)</f>
        <v>21975</v>
      </c>
      <c r="AM333" s="7">
        <f>ROUNDDOWN(MAX(AD333*配置与结果!$B$31,AD333-AE333)*AF333*AG333*AH333*AI333*AK333,0)</f>
        <v>39666</v>
      </c>
      <c r="AN333" s="7">
        <f t="shared" si="458"/>
        <v>39666</v>
      </c>
      <c r="AO333" s="7">
        <f>0</f>
        <v>0</v>
      </c>
      <c r="AP333" s="7">
        <f>MAX(0,1+INDEX(配置与结果!$J$15:$J$18,F333)+IF(T333&gt;0,方案参数!$BY$12,0)-配置与结果!$B$30)</f>
        <v>1</v>
      </c>
      <c r="AQ333" s="7">
        <f t="shared" si="459"/>
        <v>0</v>
      </c>
      <c r="AR333" s="7">
        <f t="shared" si="460"/>
        <v>0</v>
      </c>
      <c r="AS333" s="7">
        <f t="shared" si="461"/>
        <v>0</v>
      </c>
      <c r="AT333" s="7">
        <f>0</f>
        <v>0</v>
      </c>
      <c r="AU333" s="7">
        <f t="shared" si="462"/>
        <v>39666</v>
      </c>
      <c r="AV333" s="1">
        <f t="shared" si="463"/>
        <v>1</v>
      </c>
      <c r="AW333" s="1">
        <f>MIN(10,M333+0+IF(L333=1,方案参数!$BE$12,0))</f>
        <v>4</v>
      </c>
      <c r="AX333" s="1">
        <f t="shared" si="464"/>
        <v>0</v>
      </c>
      <c r="AY333" s="1">
        <f t="shared" ref="AY333:AY348" si="487">MIN(20,MAX(0,O333+0+0-0))</f>
        <v>6</v>
      </c>
      <c r="AZ333" s="1">
        <f t="shared" si="465"/>
        <v>3</v>
      </c>
      <c r="BA333" s="1">
        <f>MIN(6,Q333+0)</f>
        <v>2</v>
      </c>
      <c r="BB333" s="1">
        <f t="shared" si="480"/>
        <v>5</v>
      </c>
      <c r="BC333" s="1">
        <f t="shared" si="453"/>
        <v>0</v>
      </c>
      <c r="BD333" s="1">
        <f t="shared" si="434"/>
        <v>0</v>
      </c>
      <c r="BE333" s="1">
        <f t="shared" si="481"/>
        <v>0</v>
      </c>
      <c r="BF333" s="1">
        <f t="shared" si="457"/>
        <v>0</v>
      </c>
      <c r="BG333" s="1">
        <f t="shared" si="485"/>
        <v>1</v>
      </c>
      <c r="BH333" s="1">
        <f t="shared" si="482"/>
        <v>1</v>
      </c>
      <c r="BI333" s="1">
        <f t="shared" si="486"/>
        <v>1</v>
      </c>
      <c r="BJ333" s="1">
        <f t="shared" si="448"/>
        <v>0</v>
      </c>
      <c r="BK333" s="1">
        <f t="shared" si="449"/>
        <v>0</v>
      </c>
      <c r="BL333" s="1">
        <f t="shared" si="454"/>
        <v>0</v>
      </c>
      <c r="BM333" s="1">
        <f t="shared" si="452"/>
        <v>0</v>
      </c>
      <c r="BN333" s="1">
        <f t="shared" si="483"/>
        <v>1</v>
      </c>
      <c r="BO333" s="1">
        <f t="shared" si="484"/>
        <v>1</v>
      </c>
    </row>
    <row r="334" spans="1:67" ht="30.95" customHeight="1">
      <c r="A334" s="1">
        <f>9</f>
        <v>9</v>
      </c>
      <c r="B334" s="1">
        <f>固定流程!A10</f>
        <v>5</v>
      </c>
      <c r="C334" s="1">
        <f>12</f>
        <v>12</v>
      </c>
      <c r="D334" s="1">
        <f>1</f>
        <v>1</v>
      </c>
      <c r="E334" s="1">
        <f>固定流程!C10</f>
        <v>1</v>
      </c>
      <c r="F334" s="1">
        <f>固定流程!G10</f>
        <v>2</v>
      </c>
      <c r="G334" s="1" t="str">
        <f>固定流程!H10</f>
        <v>37_TRIANGLE</v>
      </c>
      <c r="H334" s="1">
        <f>固定流程!F10</f>
        <v>1</v>
      </c>
      <c r="I334" s="1">
        <f>INDEX(配置与结果!$B$15:$B$18,F334)</f>
        <v>2306</v>
      </c>
      <c r="J334" s="1">
        <f>INDEX(配置与结果!$D$15:$D$18,F334)</f>
        <v>0.46</v>
      </c>
      <c r="K334" s="1">
        <f>INDEX(配置与结果!$E$15:$E$18,F334)</f>
        <v>1.9279999999999999</v>
      </c>
      <c r="L334" s="1">
        <f t="shared" si="466"/>
        <v>1</v>
      </c>
      <c r="M334" s="1">
        <f t="shared" si="466"/>
        <v>4</v>
      </c>
      <c r="N334" s="1">
        <f t="shared" si="466"/>
        <v>0</v>
      </c>
      <c r="O334" s="1">
        <f t="shared" si="466"/>
        <v>6</v>
      </c>
      <c r="P334" s="1">
        <f>MIN(方案参数!$AI$12,AZ333+0+0)</f>
        <v>3</v>
      </c>
      <c r="Q334" s="1">
        <f t="shared" si="467"/>
        <v>2</v>
      </c>
      <c r="R334" s="1">
        <f t="shared" si="468"/>
        <v>5</v>
      </c>
      <c r="S334" s="1">
        <f t="shared" si="469"/>
        <v>0</v>
      </c>
      <c r="T334" s="1">
        <f t="shared" si="470"/>
        <v>0</v>
      </c>
      <c r="U334" s="1">
        <f t="shared" si="471"/>
        <v>0</v>
      </c>
      <c r="V334" s="1">
        <f t="shared" si="472"/>
        <v>0</v>
      </c>
      <c r="W334" s="1">
        <f t="shared" si="473"/>
        <v>1</v>
      </c>
      <c r="X334" s="1">
        <f t="shared" si="474"/>
        <v>1</v>
      </c>
      <c r="Y334" s="1">
        <f t="shared" si="475"/>
        <v>1</v>
      </c>
      <c r="Z334" s="1">
        <f t="shared" si="476"/>
        <v>0</v>
      </c>
      <c r="AA334" s="1">
        <f t="shared" si="477"/>
        <v>0</v>
      </c>
      <c r="AB334" s="1">
        <f t="shared" si="478"/>
        <v>0</v>
      </c>
      <c r="AC334" s="1">
        <f t="shared" si="479"/>
        <v>0</v>
      </c>
      <c r="AD334" s="1">
        <f>ROUNDDOWN(I334*(1+IF(F334=3,0.05+方案参数!$Y$12+AA334*0.12,IF(F334=4,方案参数!$BZ$12*方案参数!$AS$12,0)))+IF(AND(X334=1,F334&lt;&gt;3),方案参数!$CC$12,0)+AC334*方案参数!$CB$12,0)</f>
        <v>2544</v>
      </c>
      <c r="AE334" s="1">
        <f>IF(OR(F334=1,F334=4),配置与结果!$B$24,配置与结果!$B$25)*MAX(0,1-INDEX(配置与结果!$I$15:$I$18,F334))</f>
        <v>1000</v>
      </c>
      <c r="AF334" s="1">
        <f>方案参数!$BS$12*IF(H334=1,1,IF(H334=2,1.5,2.5))</f>
        <v>2.8</v>
      </c>
      <c r="AG334" s="1">
        <f>MAX(配置与结果!$B$32,1+INDEX(配置与结果!$F$15:$F$18,F334)+0+Q334*方案参数!$W$12+Y334*(方案参数!$AN$12+MIN(方案参数!$AO$12,P334*0.03))+AB334*方案参数!$BZ$12*0.025-配置与结果!$B$28)</f>
        <v>0.8849999999999999</v>
      </c>
      <c r="AH334" s="1">
        <f>MAX(0,1+INDEX(配置与结果!$G$15:$G$18,F334)+W334*方案参数!$AG$12)</f>
        <v>1.3</v>
      </c>
      <c r="AI334" s="1">
        <f>IF(OR(INDEX(配置与结果!$K$15:$K$18,F334)=1,G334="RHI_BERRY"),1+配置与结果!$B$33+P334*方案参数!$AH$12,1)</f>
        <v>1</v>
      </c>
      <c r="AJ334" s="1">
        <f>MIN(1,MAX(0,J334+方案参数!$AB$12-配置与结果!$B$27))</f>
        <v>1</v>
      </c>
      <c r="AK334" s="1">
        <f>MAX(1,K334+IF(F334=2,0.15+方案参数!$CH$12,0)+BN334*方案参数!$X$12+R334*方案参数!$AA$12+0-配置与结果!$B$26+Z334*(方案参数!$AP$12+MIN(方案参数!$AQ$12,P334*0.03)))</f>
        <v>1.9780000000000002</v>
      </c>
      <c r="AL334" s="7">
        <f>ROUNDDOWN(MAX(AD334*配置与结果!$B$31,AD334-AE334)*AF334*AG334*AH334*AI334,0)</f>
        <v>4973</v>
      </c>
      <c r="AM334" s="7">
        <f>ROUNDDOWN(MAX(AD334*配置与结果!$B$31,AD334-AE334)*AF334*AG334*AH334*AI334*AK334,0)</f>
        <v>9838</v>
      </c>
      <c r="AN334" s="7">
        <f t="shared" si="458"/>
        <v>9838</v>
      </c>
      <c r="AO334" s="7">
        <f>方案参数!$BU$12*IF(H334=1,1,IF(H334=2,1.5,2.5))</f>
        <v>0.8</v>
      </c>
      <c r="AP334" s="7">
        <f>MAX(0,1+INDEX(配置与结果!$J$15:$J$18,F334)+IF(T334&gt;0,方案参数!$BY$12,0)-配置与结果!$B$30)</f>
        <v>1</v>
      </c>
      <c r="AQ334" s="7">
        <f t="shared" si="459"/>
        <v>2035</v>
      </c>
      <c r="AR334" s="7">
        <f t="shared" si="460"/>
        <v>4025</v>
      </c>
      <c r="AS334" s="7">
        <f t="shared" si="461"/>
        <v>4025</v>
      </c>
      <c r="AT334" s="7">
        <f>0</f>
        <v>0</v>
      </c>
      <c r="AU334" s="7">
        <f t="shared" si="462"/>
        <v>13863</v>
      </c>
      <c r="AV334" s="1">
        <f t="shared" si="463"/>
        <v>1</v>
      </c>
      <c r="AW334" s="1">
        <f>MIN(10,M334+0+0)</f>
        <v>4</v>
      </c>
      <c r="AX334" s="1">
        <f t="shared" si="464"/>
        <v>0</v>
      </c>
      <c r="AY334" s="1">
        <f t="shared" si="487"/>
        <v>6</v>
      </c>
      <c r="AZ334" s="1">
        <f t="shared" si="465"/>
        <v>3</v>
      </c>
      <c r="BA334" s="1">
        <f>MIN(6,Q334+0)</f>
        <v>2</v>
      </c>
      <c r="BB334" s="1">
        <f t="shared" si="480"/>
        <v>5</v>
      </c>
      <c r="BC334" s="1">
        <f t="shared" si="453"/>
        <v>0</v>
      </c>
      <c r="BD334" s="1">
        <f>MAX(0,T334-IF(AO334&gt;0,1,0))+1</f>
        <v>1</v>
      </c>
      <c r="BE334" s="1">
        <f t="shared" si="481"/>
        <v>0</v>
      </c>
      <c r="BF334" s="1">
        <f t="shared" si="457"/>
        <v>0</v>
      </c>
      <c r="BG334" s="1">
        <f t="shared" si="485"/>
        <v>1</v>
      </c>
      <c r="BH334" s="1">
        <f t="shared" si="482"/>
        <v>1</v>
      </c>
      <c r="BI334" s="1">
        <f t="shared" si="486"/>
        <v>1</v>
      </c>
      <c r="BJ334" s="1">
        <f t="shared" si="448"/>
        <v>0</v>
      </c>
      <c r="BK334" s="1">
        <f t="shared" si="449"/>
        <v>0</v>
      </c>
      <c r="BL334" s="1">
        <f t="shared" si="454"/>
        <v>0</v>
      </c>
      <c r="BM334" s="1">
        <f t="shared" si="452"/>
        <v>0</v>
      </c>
      <c r="BN334" s="1">
        <f t="shared" si="483"/>
        <v>1</v>
      </c>
      <c r="BO334" s="1">
        <f t="shared" si="484"/>
        <v>1</v>
      </c>
    </row>
    <row r="335" spans="1:67" ht="30.95" customHeight="1">
      <c r="A335" s="1">
        <f>9</f>
        <v>9</v>
      </c>
      <c r="B335" s="1">
        <f>固定流程!A11</f>
        <v>6</v>
      </c>
      <c r="C335" s="1">
        <f>12</f>
        <v>12</v>
      </c>
      <c r="D335" s="1">
        <f>1</f>
        <v>1</v>
      </c>
      <c r="E335" s="1">
        <f>固定流程!C11</f>
        <v>1</v>
      </c>
      <c r="F335" s="1">
        <f>固定流程!G11</f>
        <v>2</v>
      </c>
      <c r="G335" s="1" t="str">
        <f>固定流程!H11</f>
        <v>37_FOLLOW</v>
      </c>
      <c r="H335" s="1">
        <f>固定流程!F11</f>
        <v>1</v>
      </c>
      <c r="I335" s="1">
        <f>INDEX(配置与结果!$B$15:$B$18,F335)</f>
        <v>2306</v>
      </c>
      <c r="J335" s="1">
        <f>INDEX(配置与结果!$D$15:$D$18,F335)</f>
        <v>0.46</v>
      </c>
      <c r="K335" s="1">
        <f>INDEX(配置与结果!$E$15:$E$18,F335)</f>
        <v>1.9279999999999999</v>
      </c>
      <c r="L335" s="1">
        <f t="shared" si="466"/>
        <v>1</v>
      </c>
      <c r="M335" s="1">
        <f t="shared" si="466"/>
        <v>4</v>
      </c>
      <c r="N335" s="1">
        <f t="shared" si="466"/>
        <v>0</v>
      </c>
      <c r="O335" s="1">
        <f t="shared" si="466"/>
        <v>6</v>
      </c>
      <c r="P335" s="1">
        <f>MIN(方案参数!$AI$12,AZ334+0+0)</f>
        <v>3</v>
      </c>
      <c r="Q335" s="1">
        <f t="shared" si="467"/>
        <v>2</v>
      </c>
      <c r="R335" s="1">
        <f t="shared" si="468"/>
        <v>5</v>
      </c>
      <c r="S335" s="1">
        <f t="shared" si="469"/>
        <v>0</v>
      </c>
      <c r="T335" s="1">
        <f t="shared" si="470"/>
        <v>1</v>
      </c>
      <c r="U335" s="1">
        <f t="shared" si="471"/>
        <v>0</v>
      </c>
      <c r="V335" s="1">
        <f t="shared" si="472"/>
        <v>0</v>
      </c>
      <c r="W335" s="1">
        <f t="shared" si="473"/>
        <v>1</v>
      </c>
      <c r="X335" s="1">
        <f t="shared" si="474"/>
        <v>1</v>
      </c>
      <c r="Y335" s="1">
        <f t="shared" si="475"/>
        <v>1</v>
      </c>
      <c r="Z335" s="1">
        <f t="shared" si="476"/>
        <v>0</v>
      </c>
      <c r="AA335" s="1">
        <f t="shared" si="477"/>
        <v>0</v>
      </c>
      <c r="AB335" s="1">
        <f t="shared" si="478"/>
        <v>0</v>
      </c>
      <c r="AC335" s="1">
        <f t="shared" si="479"/>
        <v>0</v>
      </c>
      <c r="AD335" s="1">
        <f>ROUNDDOWN(I335*(1+IF(F335=3,0.05+方案参数!$Y$12+AA335*0.12,IF(F335=4,方案参数!$BZ$12*方案参数!$AS$12,0)))+IF(AND(X335=1,F335&lt;&gt;3),方案参数!$CC$12,0)+AC335*方案参数!$CB$12,0)</f>
        <v>2544</v>
      </c>
      <c r="AE335" s="1">
        <f>IF(OR(F335=1,F335=4),配置与结果!$B$24,配置与结果!$B$25)*MAX(0,1-INDEX(配置与结果!$I$15:$I$18,F335))</f>
        <v>1000</v>
      </c>
      <c r="AF335" s="1">
        <f>方案参数!$BV$12</f>
        <v>3</v>
      </c>
      <c r="AG335" s="1">
        <f>MAX(配置与结果!$B$32,1+INDEX(配置与结果!$F$15:$F$18,F335)+0+Q335*方案参数!$W$12+Y335*(方案参数!$AN$12+MIN(方案参数!$AO$12,P335*0.03))+AB335*方案参数!$BZ$12*0.025-配置与结果!$B$28)</f>
        <v>0.8849999999999999</v>
      </c>
      <c r="AH335" s="1">
        <f>MAX(0,1+INDEX(配置与结果!$G$15:$G$18,F335)+W335*方案参数!$AG$12)</f>
        <v>1.3</v>
      </c>
      <c r="AI335" s="1">
        <f>IF(OR(INDEX(配置与结果!$K$15:$K$18,F335)=1,G335="RHI_BERRY"),1+配置与结果!$B$33+P335*方案参数!$AH$12,1)</f>
        <v>1</v>
      </c>
      <c r="AJ335" s="1">
        <f>MIN(1,MAX(0,J335+方案参数!$AB$12-配置与结果!$B$27))</f>
        <v>1</v>
      </c>
      <c r="AK335" s="1">
        <f>MAX(1,K335+IF(F335=2,0.15+方案参数!$CH$12,0)+BN335*方案参数!$X$12+R335*方案参数!$AA$12+0-配置与结果!$B$26+Z335*(方案参数!$AP$12+MIN(方案参数!$AQ$12,P335*0.03)))</f>
        <v>1.9780000000000002</v>
      </c>
      <c r="AL335" s="7">
        <f>ROUNDDOWN(MAX(AD335*配置与结果!$B$31,AD335-AE335)*AF335*AG335*AH335*AI335,0)</f>
        <v>5329</v>
      </c>
      <c r="AM335" s="7">
        <f>ROUNDDOWN(MAX(AD335*配置与结果!$B$31,AD335-AE335)*AF335*AG335*AH335*AI335*AK335,0)</f>
        <v>10540</v>
      </c>
      <c r="AN335" s="7">
        <f t="shared" si="458"/>
        <v>10540</v>
      </c>
      <c r="AO335" s="7">
        <f>方案参数!$BW$12</f>
        <v>1</v>
      </c>
      <c r="AP335" s="7">
        <f>MAX(0,1+INDEX(配置与结果!$J$15:$J$18,F335)+IF(T335&gt;0,方案参数!$BY$12,0)-配置与结果!$B$30)</f>
        <v>2</v>
      </c>
      <c r="AQ335" s="7">
        <f t="shared" si="459"/>
        <v>5088</v>
      </c>
      <c r="AR335" s="7">
        <f t="shared" si="460"/>
        <v>10064</v>
      </c>
      <c r="AS335" s="7">
        <f t="shared" si="461"/>
        <v>10064</v>
      </c>
      <c r="AT335" s="7">
        <f>0</f>
        <v>0</v>
      </c>
      <c r="AU335" s="7">
        <f t="shared" si="462"/>
        <v>20604</v>
      </c>
      <c r="AV335" s="1">
        <f t="shared" si="463"/>
        <v>1</v>
      </c>
      <c r="AW335" s="1">
        <f>MIN(10,M335+0+0)</f>
        <v>4</v>
      </c>
      <c r="AX335" s="1">
        <f t="shared" si="464"/>
        <v>0</v>
      </c>
      <c r="AY335" s="1">
        <f t="shared" si="487"/>
        <v>6</v>
      </c>
      <c r="AZ335" s="1">
        <f t="shared" si="465"/>
        <v>3</v>
      </c>
      <c r="BA335" s="1">
        <f>MIN(6,Q335+0)</f>
        <v>2</v>
      </c>
      <c r="BB335" s="1">
        <f t="shared" si="480"/>
        <v>5</v>
      </c>
      <c r="BC335" s="1">
        <f t="shared" si="453"/>
        <v>0</v>
      </c>
      <c r="BD335" s="1">
        <f t="shared" ref="BD335:BD369" si="488">MAX(0,T335-IF(AO335&gt;0,1,0))+0</f>
        <v>0</v>
      </c>
      <c r="BE335" s="1">
        <f t="shared" si="481"/>
        <v>0</v>
      </c>
      <c r="BF335" s="1">
        <f>MIN(4,V335+1)</f>
        <v>1</v>
      </c>
      <c r="BG335" s="1">
        <f t="shared" si="485"/>
        <v>1</v>
      </c>
      <c r="BH335" s="1">
        <f t="shared" si="482"/>
        <v>1</v>
      </c>
      <c r="BI335" s="1">
        <f t="shared" si="486"/>
        <v>1</v>
      </c>
      <c r="BJ335" s="1">
        <f t="shared" si="448"/>
        <v>0</v>
      </c>
      <c r="BK335" s="1">
        <f t="shared" si="449"/>
        <v>0</v>
      </c>
      <c r="BL335" s="1">
        <f t="shared" si="454"/>
        <v>0</v>
      </c>
      <c r="BM335" s="1">
        <f t="shared" si="452"/>
        <v>0</v>
      </c>
      <c r="BN335" s="1">
        <f t="shared" si="483"/>
        <v>1</v>
      </c>
      <c r="BO335" s="1">
        <f t="shared" si="484"/>
        <v>1</v>
      </c>
    </row>
    <row r="336" spans="1:67" ht="30.95" customHeight="1">
      <c r="A336" s="1">
        <f>9</f>
        <v>9</v>
      </c>
      <c r="B336" s="1">
        <f>固定流程!A12</f>
        <v>7</v>
      </c>
      <c r="C336" s="1">
        <f>12</f>
        <v>12</v>
      </c>
      <c r="D336" s="1">
        <f>1</f>
        <v>1</v>
      </c>
      <c r="E336" s="1">
        <f>固定流程!C12</f>
        <v>1</v>
      </c>
      <c r="F336" s="1">
        <f>固定流程!G12</f>
        <v>4</v>
      </c>
      <c r="G336" s="1" t="str">
        <f>固定流程!H12</f>
        <v>J_HARD</v>
      </c>
      <c r="H336" s="1">
        <f>固定流程!F12</f>
        <v>1</v>
      </c>
      <c r="I336" s="1">
        <f>INDEX(配置与结果!$B$15:$B$18,F336)</f>
        <v>1906</v>
      </c>
      <c r="J336" s="1">
        <f>INDEX(配置与结果!$D$15:$D$18,F336)</f>
        <v>0.36699999999999999</v>
      </c>
      <c r="K336" s="1">
        <f>INDEX(配置与结果!$E$15:$E$18,F336)</f>
        <v>1.7170000000000001</v>
      </c>
      <c r="L336" s="1">
        <f t="shared" si="466"/>
        <v>1</v>
      </c>
      <c r="M336" s="1">
        <f t="shared" si="466"/>
        <v>4</v>
      </c>
      <c r="N336" s="1">
        <f t="shared" si="466"/>
        <v>0</v>
      </c>
      <c r="O336" s="1">
        <f t="shared" si="466"/>
        <v>6</v>
      </c>
      <c r="P336" s="1">
        <f>MIN(方案参数!$AI$12,AZ335+0+0)</f>
        <v>3</v>
      </c>
      <c r="Q336" s="1">
        <f t="shared" si="467"/>
        <v>2</v>
      </c>
      <c r="R336" s="1">
        <f t="shared" si="468"/>
        <v>5</v>
      </c>
      <c r="S336" s="1">
        <f t="shared" si="469"/>
        <v>0</v>
      </c>
      <c r="T336" s="1">
        <f t="shared" si="470"/>
        <v>0</v>
      </c>
      <c r="U336" s="1">
        <f t="shared" si="471"/>
        <v>0</v>
      </c>
      <c r="V336" s="1">
        <f t="shared" si="472"/>
        <v>1</v>
      </c>
      <c r="W336" s="1">
        <f t="shared" si="473"/>
        <v>1</v>
      </c>
      <c r="X336" s="1">
        <f t="shared" si="474"/>
        <v>1</v>
      </c>
      <c r="Y336" s="1">
        <f t="shared" si="475"/>
        <v>1</v>
      </c>
      <c r="Z336" s="1">
        <f t="shared" si="476"/>
        <v>0</v>
      </c>
      <c r="AA336" s="1">
        <f t="shared" si="477"/>
        <v>0</v>
      </c>
      <c r="AB336" s="1">
        <f t="shared" si="478"/>
        <v>0</v>
      </c>
      <c r="AC336" s="1">
        <f t="shared" si="479"/>
        <v>0</v>
      </c>
      <c r="AD336" s="1">
        <f>ROUNDDOWN(I336*(1+IF(F336=3,0.05+方案参数!$Y$12+AA336*0.12,IF(F336=4,方案参数!$BZ$12*方案参数!$AS$12,0)))+IF(AND(X336=1,F336&lt;&gt;3),方案参数!$CC$12,0)+AC336*方案参数!$CB$12,0)</f>
        <v>2811</v>
      </c>
      <c r="AE336" s="1">
        <f>IF(OR(F336=1,F336=4),配置与结果!$B$24,配置与结果!$B$25)*MAX(0,1-INDEX(配置与结果!$I$15:$I$18,F336))</f>
        <v>1200</v>
      </c>
      <c r="AF336" s="1">
        <f>3.6*IF(H336=1,1,IF(H336=2,1.5,2.5))</f>
        <v>3.6</v>
      </c>
      <c r="AG336" s="1">
        <f>MAX(配置与结果!$B$32,1+INDEX(配置与结果!$F$15:$F$18,F336)+0.08+Q336*方案参数!$W$12+Y336*(方案参数!$AN$12+MIN(方案参数!$AO$12,P336*0.03))+AB336*方案参数!$BZ$12*0.025+0.1+IF(方案参数!$BZ$12&gt;=30,方案参数!$BZ$12*0.01,0)-配置与结果!$B$28)</f>
        <v>1.4350000000000001</v>
      </c>
      <c r="AH336" s="1">
        <f>MAX(0,1+INDEX(配置与结果!$G$15:$G$18,F336)+W336*方案参数!$AG$12)</f>
        <v>1.3</v>
      </c>
      <c r="AI336" s="1">
        <f>IF(OR(INDEX(配置与结果!$K$15:$K$18,F336)=1,G336="RHI_BERRY"),1+配置与结果!$B$33+P336*方案参数!$AH$12,1)</f>
        <v>1</v>
      </c>
      <c r="AJ336" s="1">
        <f>MIN(1,MAX(0,J336+方案参数!$AB$12-配置与结果!$B$27))</f>
        <v>0.96699999999999997</v>
      </c>
      <c r="AK336" s="1">
        <f>MAX(1,K336+IF(F336=2,0.15+方案参数!$CH$12,0)+BN336*方案参数!$X$12+R336*方案参数!$AA$12+0-配置与结果!$B$26+Z336*(方案参数!$AP$12+MIN(方案参数!$AQ$12,P336*0.03)))</f>
        <v>1.4969999999999999</v>
      </c>
      <c r="AL336" s="7">
        <f>ROUNDDOWN(MAX(AD336*配置与结果!$B$31,AD336-AE336)*AF336*AG336*AH336*AI336,0)</f>
        <v>10819</v>
      </c>
      <c r="AM336" s="7">
        <f>ROUNDDOWN(MAX(AD336*配置与结果!$B$31,AD336-AE336)*AF336*AG336*AH336*AI336*AK336,0)</f>
        <v>16196</v>
      </c>
      <c r="AN336" s="7">
        <f t="shared" si="458"/>
        <v>16018.558999999999</v>
      </c>
      <c r="AO336" s="7">
        <f>0</f>
        <v>0</v>
      </c>
      <c r="AP336" s="7">
        <f>MAX(0,1+INDEX(配置与结果!$J$15:$J$18,F336)+IF(T336&gt;0,方案参数!$BY$12,0)-配置与结果!$B$30)</f>
        <v>1</v>
      </c>
      <c r="AQ336" s="7">
        <f t="shared" si="459"/>
        <v>0</v>
      </c>
      <c r="AR336" s="7">
        <f t="shared" si="460"/>
        <v>0</v>
      </c>
      <c r="AS336" s="7">
        <f t="shared" si="461"/>
        <v>0</v>
      </c>
      <c r="AT336" s="7">
        <f>0</f>
        <v>0</v>
      </c>
      <c r="AU336" s="7">
        <f t="shared" si="462"/>
        <v>16018.558999999999</v>
      </c>
      <c r="AV336" s="1">
        <f t="shared" si="463"/>
        <v>1</v>
      </c>
      <c r="AW336" s="1">
        <f>MIN(10,M336+0+0)</f>
        <v>4</v>
      </c>
      <c r="AX336" s="1">
        <f t="shared" si="464"/>
        <v>0</v>
      </c>
      <c r="AY336" s="1">
        <f t="shared" si="487"/>
        <v>6</v>
      </c>
      <c r="AZ336" s="1">
        <f t="shared" si="465"/>
        <v>3</v>
      </c>
      <c r="BA336" s="1">
        <f>MIN(6,Q336+0)</f>
        <v>2</v>
      </c>
      <c r="BB336" s="1">
        <f t="shared" si="480"/>
        <v>5</v>
      </c>
      <c r="BC336" s="1">
        <f>MIN(3,S336+1)</f>
        <v>1</v>
      </c>
      <c r="BD336" s="1">
        <f t="shared" si="488"/>
        <v>0</v>
      </c>
      <c r="BE336" s="1">
        <f t="shared" si="481"/>
        <v>0</v>
      </c>
      <c r="BF336" s="1">
        <f>MIN(4,V336+0)</f>
        <v>1</v>
      </c>
      <c r="BG336" s="1">
        <f t="shared" si="485"/>
        <v>1</v>
      </c>
      <c r="BH336" s="1">
        <f t="shared" si="482"/>
        <v>1</v>
      </c>
      <c r="BI336" s="1">
        <f t="shared" si="486"/>
        <v>1</v>
      </c>
      <c r="BJ336" s="1">
        <f t="shared" si="448"/>
        <v>0</v>
      </c>
      <c r="BK336" s="1">
        <f t="shared" si="449"/>
        <v>0</v>
      </c>
      <c r="BL336" s="1">
        <f t="shared" si="454"/>
        <v>0</v>
      </c>
      <c r="BM336" s="1">
        <f t="shared" si="452"/>
        <v>0</v>
      </c>
      <c r="BN336" s="1">
        <f t="shared" si="483"/>
        <v>1</v>
      </c>
      <c r="BO336" s="1">
        <f t="shared" si="484"/>
        <v>1</v>
      </c>
    </row>
    <row r="337" spans="1:67" ht="30.95" customHeight="1">
      <c r="A337" s="1">
        <f>9</f>
        <v>9</v>
      </c>
      <c r="B337" s="1">
        <f>固定流程!A13</f>
        <v>8</v>
      </c>
      <c r="C337" s="1">
        <f>12</f>
        <v>12</v>
      </c>
      <c r="D337" s="1">
        <f>1</f>
        <v>1</v>
      </c>
      <c r="E337" s="1">
        <f>固定流程!C13</f>
        <v>2</v>
      </c>
      <c r="F337" s="1">
        <f>固定流程!G13</f>
        <v>3</v>
      </c>
      <c r="G337" s="1" t="str">
        <f>固定流程!H13</f>
        <v>RHI_ATTACK</v>
      </c>
      <c r="H337" s="1">
        <f>固定流程!F13</f>
        <v>1</v>
      </c>
      <c r="I337" s="1">
        <f>INDEX(配置与结果!$B$15:$B$18,F337)</f>
        <v>2597</v>
      </c>
      <c r="J337" s="1">
        <f>INDEX(配置与结果!$D$15:$D$18,F337)</f>
        <v>0.255</v>
      </c>
      <c r="K337" s="1">
        <f>INDEX(配置与结果!$E$15:$E$18,F337)</f>
        <v>1.55</v>
      </c>
      <c r="L337" s="1">
        <f>IF(AV336=1,IF(M337&gt;=10,2,1),IF(AV336=2,IF(AX336&lt;=1,0,2),0))</f>
        <v>1</v>
      </c>
      <c r="M337" s="1">
        <f>IF(AND(AV336=2,AX336&lt;=1),0,MIN(10,AW336+IF(AV336=1,3,0)))</f>
        <v>7</v>
      </c>
      <c r="N337" s="1">
        <f>IF(AND(AV336=1,M337&gt;=10),2,IF(AV336=2,MAX(0,AX336-1),0))</f>
        <v>0</v>
      </c>
      <c r="O337" s="1">
        <f t="shared" ref="O337:O365" si="489">AY336</f>
        <v>6</v>
      </c>
      <c r="P337" s="1">
        <f>MIN(方案参数!$AI$12,AZ336+方案参数!$AJ$12+方案参数!$AK$12)</f>
        <v>5</v>
      </c>
      <c r="Q337" s="1">
        <f t="shared" si="467"/>
        <v>2</v>
      </c>
      <c r="R337" s="1">
        <f t="shared" si="468"/>
        <v>5</v>
      </c>
      <c r="S337" s="1">
        <f t="shared" si="469"/>
        <v>1</v>
      </c>
      <c r="T337" s="1">
        <f t="shared" si="470"/>
        <v>0</v>
      </c>
      <c r="U337" s="1">
        <f t="shared" si="471"/>
        <v>0</v>
      </c>
      <c r="V337" s="1">
        <f t="shared" si="472"/>
        <v>1</v>
      </c>
      <c r="W337" s="1">
        <f t="shared" si="473"/>
        <v>1</v>
      </c>
      <c r="X337" s="1">
        <f t="shared" si="474"/>
        <v>1</v>
      </c>
      <c r="Y337" s="1">
        <f t="shared" si="475"/>
        <v>1</v>
      </c>
      <c r="Z337" s="1">
        <f t="shared" si="476"/>
        <v>0</v>
      </c>
      <c r="AA337" s="1">
        <f>MAX(BK336,1)</f>
        <v>1</v>
      </c>
      <c r="AB337" s="1">
        <f t="shared" si="478"/>
        <v>0</v>
      </c>
      <c r="AC337" s="1">
        <f t="shared" si="479"/>
        <v>0</v>
      </c>
      <c r="AD337" s="1">
        <f>ROUNDDOWN(I337*(1+IF(F337=3,0.05+方案参数!$Y$12+AA337*0.12,IF(F337=4,方案参数!$BZ$12*方案参数!$AS$12,0)))+IF(AND(X337=1,F337&lt;&gt;3),方案参数!$CC$12,0)+AC337*方案参数!$CB$12,0)</f>
        <v>3298</v>
      </c>
      <c r="AE337" s="1">
        <f>IF(OR(F337=1,F337=4),配置与结果!$B$24,配置与结果!$B$25)*MAX(0,1-INDEX(配置与结果!$I$15:$I$18,F337))</f>
        <v>1000</v>
      </c>
      <c r="AF337" s="1">
        <f>4</f>
        <v>4</v>
      </c>
      <c r="AG337" s="1">
        <f>MAX(配置与结果!$B$32,1+INDEX(配置与结果!$F$15:$F$18,F337)+0+Q337*方案参数!$W$12+Y337*(方案参数!$AN$12+MIN(方案参数!$AO$12,P337*0.03))+AB337*方案参数!$BZ$12*0.025-配置与结果!$B$28)</f>
        <v>0.97499999999999998</v>
      </c>
      <c r="AH337" s="1">
        <f>MAX(0,1+INDEX(配置与结果!$G$15:$G$18,F337)+W337*方案参数!$AG$12)</f>
        <v>1.3</v>
      </c>
      <c r="AI337" s="1">
        <f>IF(OR(INDEX(配置与结果!$K$15:$K$18,F337)=1,G337="RHI_BERRY"),1+配置与结果!$B$33+P337*方案参数!$AH$12,1)</f>
        <v>1</v>
      </c>
      <c r="AJ337" s="1">
        <f>MIN(1,MAX(0,J337+方案参数!$AB$12-配置与结果!$B$27))</f>
        <v>0.85499999999999998</v>
      </c>
      <c r="AK337" s="1">
        <f>MAX(1,K337+IF(F337=2,0.15+方案参数!$CH$12,0)+BN337*方案参数!$X$12+R337*方案参数!$AA$12+0-配置与结果!$B$26+Z337*(方案参数!$AP$12+MIN(方案参数!$AQ$12,P337*0.03)))</f>
        <v>1.33</v>
      </c>
      <c r="AL337" s="7">
        <f>ROUNDDOWN(MAX(AD337*配置与结果!$B$31,AD337-AE337)*AF337*AG337*AH337*AI337,0)</f>
        <v>11650</v>
      </c>
      <c r="AM337" s="7">
        <f>ROUNDDOWN(MAX(AD337*配置与结果!$B$31,AD337-AE337)*AF337*AG337*AH337*AI337*AK337,0)</f>
        <v>15495</v>
      </c>
      <c r="AN337" s="7">
        <f t="shared" si="458"/>
        <v>14937.475</v>
      </c>
      <c r="AO337" s="7">
        <f>0</f>
        <v>0</v>
      </c>
      <c r="AP337" s="7">
        <f>MAX(0,1+INDEX(配置与结果!$J$15:$J$18,F337)+IF(T337&gt;0,方案参数!$BY$12,0)-配置与结果!$B$30)</f>
        <v>1</v>
      </c>
      <c r="AQ337" s="7">
        <f t="shared" si="459"/>
        <v>0</v>
      </c>
      <c r="AR337" s="7">
        <f t="shared" si="460"/>
        <v>0</v>
      </c>
      <c r="AS337" s="7">
        <f t="shared" si="461"/>
        <v>0</v>
      </c>
      <c r="AT337" s="7">
        <f>0</f>
        <v>0</v>
      </c>
      <c r="AU337" s="7">
        <f t="shared" si="462"/>
        <v>14937.475</v>
      </c>
      <c r="AV337" s="1">
        <f t="shared" si="463"/>
        <v>1</v>
      </c>
      <c r="AW337" s="1">
        <f>MIN(10,M337+0+0)</f>
        <v>7</v>
      </c>
      <c r="AX337" s="1">
        <f t="shared" si="464"/>
        <v>0</v>
      </c>
      <c r="AY337" s="1">
        <f t="shared" si="487"/>
        <v>6</v>
      </c>
      <c r="AZ337" s="1">
        <f t="shared" si="465"/>
        <v>5</v>
      </c>
      <c r="BA337" s="1">
        <f>MIN(6,Q337+1)</f>
        <v>3</v>
      </c>
      <c r="BB337" s="1">
        <f t="shared" si="480"/>
        <v>5</v>
      </c>
      <c r="BC337" s="1">
        <f>MIN(3,S337+0)</f>
        <v>1</v>
      </c>
      <c r="BD337" s="1">
        <f t="shared" si="488"/>
        <v>0</v>
      </c>
      <c r="BE337" s="1">
        <f t="shared" si="481"/>
        <v>0</v>
      </c>
      <c r="BF337" s="1">
        <f>MIN(4,V337+0)</f>
        <v>1</v>
      </c>
      <c r="BG337" s="1">
        <f t="shared" si="485"/>
        <v>1</v>
      </c>
      <c r="BH337" s="1">
        <f t="shared" si="482"/>
        <v>1</v>
      </c>
      <c r="BI337" s="1">
        <f t="shared" si="486"/>
        <v>1</v>
      </c>
      <c r="BJ337" s="1">
        <f>MAX(Z337,1)</f>
        <v>1</v>
      </c>
      <c r="BK337" s="1">
        <f>MAX(AA337,1)</f>
        <v>1</v>
      </c>
      <c r="BL337" s="1">
        <f t="shared" si="454"/>
        <v>0</v>
      </c>
      <c r="BM337" s="1">
        <f t="shared" si="452"/>
        <v>0</v>
      </c>
      <c r="BN337" s="1">
        <f t="shared" si="483"/>
        <v>1</v>
      </c>
      <c r="BO337" s="1">
        <f t="shared" si="484"/>
        <v>1</v>
      </c>
    </row>
    <row r="338" spans="1:67" ht="30.95" customHeight="1">
      <c r="A338" s="1">
        <f>9</f>
        <v>9</v>
      </c>
      <c r="B338" s="1">
        <f>固定流程!A14</f>
        <v>9</v>
      </c>
      <c r="C338" s="1">
        <f>12</f>
        <v>12</v>
      </c>
      <c r="D338" s="1">
        <f>1</f>
        <v>1</v>
      </c>
      <c r="E338" s="1">
        <f>固定流程!C14</f>
        <v>2</v>
      </c>
      <c r="F338" s="1">
        <f>固定流程!G14</f>
        <v>1</v>
      </c>
      <c r="G338" s="1" t="str">
        <f>固定流程!H14</f>
        <v>LILYA_DIVE</v>
      </c>
      <c r="H338" s="1">
        <f>固定流程!F14</f>
        <v>3</v>
      </c>
      <c r="I338" s="1">
        <f>INDEX(配置与结果!$B$15:$B$18,F338)</f>
        <v>2296</v>
      </c>
      <c r="J338" s="1">
        <f>INDEX(配置与结果!$D$15:$D$18,F338)</f>
        <v>0.7</v>
      </c>
      <c r="K338" s="1">
        <f>INDEX(配置与结果!$E$15:$E$18,F338)</f>
        <v>2.0249999999999999</v>
      </c>
      <c r="L338" s="1">
        <f t="shared" ref="L338:N342" si="490">AV337</f>
        <v>1</v>
      </c>
      <c r="M338" s="1">
        <f t="shared" si="490"/>
        <v>7</v>
      </c>
      <c r="N338" s="1">
        <f t="shared" si="490"/>
        <v>0</v>
      </c>
      <c r="O338" s="1">
        <f t="shared" si="489"/>
        <v>6</v>
      </c>
      <c r="P338" s="1">
        <f>MIN(方案参数!$AI$12,AZ337+0+0)</f>
        <v>5</v>
      </c>
      <c r="Q338" s="1">
        <f t="shared" si="467"/>
        <v>3</v>
      </c>
      <c r="R338" s="1">
        <f t="shared" si="468"/>
        <v>5</v>
      </c>
      <c r="S338" s="1">
        <f t="shared" si="469"/>
        <v>1</v>
      </c>
      <c r="T338" s="1">
        <f t="shared" si="470"/>
        <v>0</v>
      </c>
      <c r="U338" s="1">
        <f t="shared" si="471"/>
        <v>0</v>
      </c>
      <c r="V338" s="1">
        <f t="shared" si="472"/>
        <v>1</v>
      </c>
      <c r="W338" s="1">
        <f t="shared" si="473"/>
        <v>1</v>
      </c>
      <c r="X338" s="1">
        <f t="shared" si="474"/>
        <v>1</v>
      </c>
      <c r="Y338" s="1">
        <f t="shared" si="475"/>
        <v>1</v>
      </c>
      <c r="Z338" s="1">
        <f t="shared" si="476"/>
        <v>1</v>
      </c>
      <c r="AA338" s="1">
        <f t="shared" ref="AA338:AA343" si="491">MAX(BK337,0)</f>
        <v>1</v>
      </c>
      <c r="AB338" s="1">
        <f t="shared" si="478"/>
        <v>0</v>
      </c>
      <c r="AC338" s="1">
        <f t="shared" si="479"/>
        <v>0</v>
      </c>
      <c r="AD338" s="1">
        <f>ROUNDDOWN(I338*(1+IF(F338=3,0.05+方案参数!$Y$12+AA338*0.12,IF(F338=4,方案参数!$BZ$12*方案参数!$AS$12,0)))+IF(AND(X338=1,F338&lt;&gt;3),方案参数!$CC$12,0)+AC338*方案参数!$CB$12,0)</f>
        <v>2534</v>
      </c>
      <c r="AE338" s="1">
        <f>IF(OR(F338=1,F338=4),配置与结果!$B$24,配置与结果!$B$25)*MAX(0,1-INDEX(配置与结果!$I$15:$I$18,F338))</f>
        <v>1200</v>
      </c>
      <c r="AF338" s="1">
        <f>(IF(L338=1,方案参数!$AW$12,IF(L338=2,方案参数!$AX$12,0))+方案参数!$AV$12)*H338</f>
        <v>18</v>
      </c>
      <c r="AG338" s="1">
        <f>MAX(配置与结果!$B$32,1+INDEX(配置与结果!$F$15:$F$18,F338)+0.08+方案参数!$CD$12+Q338*方案参数!$W$12+Y338*(方案参数!$AN$12+MIN(方案参数!$AO$12,P338*0.03))+AB338*方案参数!$BZ$12*0.025+IF(L338=1,方案参数!$AY$12+(H338-1)*0.1,IF(L338=2,方案参数!$AZ$12+(H338-1)*0.2,0))-配置与结果!$B$28)</f>
        <v>1.6</v>
      </c>
      <c r="AH338" s="1">
        <f>MAX(0,1+INDEX(配置与结果!$G$15:$G$18,F338)+W338*方案参数!$AG$12+IF(L338=1,方案参数!$BA$12,IF(L338=2,方案参数!$BB$12,0))+M338*方案参数!$BC$12)</f>
        <v>2.3199999999999998</v>
      </c>
      <c r="AI338" s="1">
        <f>IF(OR(INDEX(配置与结果!$K$15:$K$18,F338)=1,G338="RHI_BERRY"),1+配置与结果!$B$33+P338*方案参数!$AH$12,1)</f>
        <v>1</v>
      </c>
      <c r="AJ338" s="1">
        <f>MIN(1,MAX(0,J338+方案参数!$AB$12-配置与结果!$B$27))</f>
        <v>1</v>
      </c>
      <c r="AK338" s="1">
        <f>MAX(1,K338+IF(F338=2,0.15+方案参数!$CH$12,0)+BN338*方案参数!$X$12+R338*方案参数!$AA$12+0-配置与结果!$B$26+Z338*(方案参数!$AP$12+MIN(方案参数!$AQ$12,P338*0.03)))</f>
        <v>2.105</v>
      </c>
      <c r="AL338" s="7">
        <f>ROUNDDOWN(MAX(AD338*配置与结果!$B$31,AD338-AE338)*AF338*AG338*AH338*AI338,0)</f>
        <v>89132</v>
      </c>
      <c r="AM338" s="7">
        <f>ROUNDDOWN(MAX(AD338*配置与结果!$B$31,AD338-AE338)*AF338*AG338*AH338*AI338*AK338,0)</f>
        <v>187624</v>
      </c>
      <c r="AN338" s="7">
        <f t="shared" si="458"/>
        <v>187624</v>
      </c>
      <c r="AO338" s="7">
        <f>0</f>
        <v>0</v>
      </c>
      <c r="AP338" s="7">
        <f>MAX(0,1+INDEX(配置与结果!$J$15:$J$18,F338)+IF(T338&gt;0,方案参数!$BY$12,0)-配置与结果!$B$30)</f>
        <v>1</v>
      </c>
      <c r="AQ338" s="7">
        <f t="shared" si="459"/>
        <v>0</v>
      </c>
      <c r="AR338" s="7">
        <f t="shared" si="460"/>
        <v>0</v>
      </c>
      <c r="AS338" s="7">
        <f t="shared" si="461"/>
        <v>0</v>
      </c>
      <c r="AT338" s="7">
        <f>0</f>
        <v>0</v>
      </c>
      <c r="AU338" s="7">
        <f t="shared" si="462"/>
        <v>187624</v>
      </c>
      <c r="AV338" s="1">
        <f t="shared" si="463"/>
        <v>1</v>
      </c>
      <c r="AW338" s="1">
        <f>MIN(10,M338+0+IF(L338=1,方案参数!$BE$12,0))</f>
        <v>8</v>
      </c>
      <c r="AX338" s="1">
        <f t="shared" si="464"/>
        <v>0</v>
      </c>
      <c r="AY338" s="1">
        <f t="shared" si="487"/>
        <v>6</v>
      </c>
      <c r="AZ338" s="1">
        <f t="shared" si="465"/>
        <v>5</v>
      </c>
      <c r="BA338" s="1">
        <f>MIN(6,Q338+0)</f>
        <v>3</v>
      </c>
      <c r="BB338" s="1">
        <f t="shared" si="480"/>
        <v>5</v>
      </c>
      <c r="BC338" s="1">
        <f>MIN(3,S338+0)</f>
        <v>1</v>
      </c>
      <c r="BD338" s="1">
        <f t="shared" si="488"/>
        <v>0</v>
      </c>
      <c r="BE338" s="1">
        <f t="shared" si="481"/>
        <v>0</v>
      </c>
      <c r="BF338" s="1">
        <f>MIN(4,V338+0)</f>
        <v>1</v>
      </c>
      <c r="BG338" s="1">
        <f t="shared" si="485"/>
        <v>1</v>
      </c>
      <c r="BH338" s="1">
        <f t="shared" si="482"/>
        <v>1</v>
      </c>
      <c r="BI338" s="1">
        <f t="shared" si="486"/>
        <v>1</v>
      </c>
      <c r="BJ338" s="1">
        <f t="shared" ref="BJ338:BK343" si="492">MAX(Z338,0)</f>
        <v>1</v>
      </c>
      <c r="BK338" s="1">
        <f t="shared" si="492"/>
        <v>1</v>
      </c>
      <c r="BL338" s="1">
        <f t="shared" si="454"/>
        <v>0</v>
      </c>
      <c r="BM338" s="1">
        <f t="shared" si="452"/>
        <v>0</v>
      </c>
      <c r="BN338" s="1">
        <f t="shared" si="483"/>
        <v>1</v>
      </c>
      <c r="BO338" s="1">
        <f t="shared" si="484"/>
        <v>1</v>
      </c>
    </row>
    <row r="339" spans="1:67" ht="30.95" customHeight="1">
      <c r="A339" s="1">
        <f>9</f>
        <v>9</v>
      </c>
      <c r="B339" s="1">
        <f>固定流程!A15</f>
        <v>10</v>
      </c>
      <c r="C339" s="1">
        <f>12</f>
        <v>12</v>
      </c>
      <c r="D339" s="1">
        <f>1</f>
        <v>1</v>
      </c>
      <c r="E339" s="1">
        <f>固定流程!C15</f>
        <v>2</v>
      </c>
      <c r="F339" s="1">
        <f>固定流程!G15</f>
        <v>4</v>
      </c>
      <c r="G339" s="1" t="str">
        <f>固定流程!H15</f>
        <v>J_HARD</v>
      </c>
      <c r="H339" s="1">
        <f>固定流程!F15</f>
        <v>1</v>
      </c>
      <c r="I339" s="1">
        <f>INDEX(配置与结果!$B$15:$B$18,F339)</f>
        <v>1906</v>
      </c>
      <c r="J339" s="1">
        <f>INDEX(配置与结果!$D$15:$D$18,F339)</f>
        <v>0.36699999999999999</v>
      </c>
      <c r="K339" s="1">
        <f>INDEX(配置与结果!$E$15:$E$18,F339)</f>
        <v>1.7170000000000001</v>
      </c>
      <c r="L339" s="1">
        <f t="shared" si="490"/>
        <v>1</v>
      </c>
      <c r="M339" s="1">
        <f t="shared" si="490"/>
        <v>8</v>
      </c>
      <c r="N339" s="1">
        <f t="shared" si="490"/>
        <v>0</v>
      </c>
      <c r="O339" s="1">
        <f t="shared" si="489"/>
        <v>6</v>
      </c>
      <c r="P339" s="1">
        <f>MIN(方案参数!$AI$12,AZ338+0+0)</f>
        <v>5</v>
      </c>
      <c r="Q339" s="1">
        <f t="shared" si="467"/>
        <v>3</v>
      </c>
      <c r="R339" s="1">
        <f t="shared" si="468"/>
        <v>5</v>
      </c>
      <c r="S339" s="1">
        <f t="shared" si="469"/>
        <v>1</v>
      </c>
      <c r="T339" s="1">
        <f t="shared" si="470"/>
        <v>0</v>
      </c>
      <c r="U339" s="1">
        <f t="shared" si="471"/>
        <v>0</v>
      </c>
      <c r="V339" s="1">
        <f t="shared" si="472"/>
        <v>1</v>
      </c>
      <c r="W339" s="1">
        <f t="shared" si="473"/>
        <v>1</v>
      </c>
      <c r="X339" s="1">
        <f t="shared" si="474"/>
        <v>1</v>
      </c>
      <c r="Y339" s="1">
        <f t="shared" si="475"/>
        <v>1</v>
      </c>
      <c r="Z339" s="1">
        <f t="shared" si="476"/>
        <v>1</v>
      </c>
      <c r="AA339" s="1">
        <f t="shared" si="491"/>
        <v>1</v>
      </c>
      <c r="AB339" s="1">
        <f t="shared" si="478"/>
        <v>0</v>
      </c>
      <c r="AC339" s="1">
        <f t="shared" si="479"/>
        <v>0</v>
      </c>
      <c r="AD339" s="1">
        <f>ROUNDDOWN(I339*(1+IF(F339=3,0.05+方案参数!$Y$12+AA339*0.12,IF(F339=4,方案参数!$BZ$12*方案参数!$AS$12,0)))+IF(AND(X339=1,F339&lt;&gt;3),方案参数!$CC$12,0)+AC339*方案参数!$CB$12,0)</f>
        <v>2811</v>
      </c>
      <c r="AE339" s="1">
        <f>IF(OR(F339=1,F339=4),配置与结果!$B$24,配置与结果!$B$25)*MAX(0,1-INDEX(配置与结果!$I$15:$I$18,F339))</f>
        <v>1200</v>
      </c>
      <c r="AF339" s="1">
        <f>3.6*IF(H339=1,1,IF(H339=2,1.5,2.5))</f>
        <v>3.6</v>
      </c>
      <c r="AG339" s="1">
        <f>MAX(配置与结果!$B$32,1+INDEX(配置与结果!$F$15:$F$18,F339)+0.08+Q339*方案参数!$W$12+Y339*(方案参数!$AN$12+MIN(方案参数!$AO$12,P339*0.03))+AB339*方案参数!$BZ$12*0.025+0.1+IF(方案参数!$BZ$12&gt;=30,方案参数!$BZ$12*0.01,0)-配置与结果!$B$28)</f>
        <v>1.5150000000000001</v>
      </c>
      <c r="AH339" s="1">
        <f>MAX(0,1+INDEX(配置与结果!$G$15:$G$18,F339)+W339*方案参数!$AG$12)</f>
        <v>1.3</v>
      </c>
      <c r="AI339" s="1">
        <f>IF(OR(INDEX(配置与结果!$K$15:$K$18,F339)=1,G339="RHI_BERRY"),1+配置与结果!$B$33+P339*方案参数!$AH$12,1)</f>
        <v>1</v>
      </c>
      <c r="AJ339" s="1">
        <f>MIN(1,MAX(0,J339+方案参数!$AB$12-配置与结果!$B$27))</f>
        <v>0.96699999999999997</v>
      </c>
      <c r="AK339" s="1">
        <f>MAX(1,K339+IF(F339=2,0.15+方案参数!$CH$12,0)+BN339*方案参数!$X$12+R339*方案参数!$AA$12+0-配置与结果!$B$26+Z339*(方案参数!$AP$12+MIN(方案参数!$AQ$12,P339*0.03)))</f>
        <v>1.7969999999999999</v>
      </c>
      <c r="AL339" s="7">
        <f>ROUNDDOWN(MAX(AD339*配置与结果!$B$31,AD339-AE339)*AF339*AG339*AH339*AI339,0)</f>
        <v>11422</v>
      </c>
      <c r="AM339" s="7">
        <f>ROUNDDOWN(MAX(AD339*配置与结果!$B$31,AD339-AE339)*AF339*AG339*AH339*AI339*AK339,0)</f>
        <v>20525</v>
      </c>
      <c r="AN339" s="7">
        <f t="shared" si="458"/>
        <v>20224.600999999999</v>
      </c>
      <c r="AO339" s="7">
        <f>0</f>
        <v>0</v>
      </c>
      <c r="AP339" s="7">
        <f>MAX(0,1+INDEX(配置与结果!$J$15:$J$18,F339)+IF(T339&gt;0,方案参数!$BY$12,0)-配置与结果!$B$30)</f>
        <v>1</v>
      </c>
      <c r="AQ339" s="7">
        <f t="shared" si="459"/>
        <v>0</v>
      </c>
      <c r="AR339" s="7">
        <f t="shared" si="460"/>
        <v>0</v>
      </c>
      <c r="AS339" s="7">
        <f t="shared" si="461"/>
        <v>0</v>
      </c>
      <c r="AT339" s="7">
        <f>0</f>
        <v>0</v>
      </c>
      <c r="AU339" s="7">
        <f t="shared" si="462"/>
        <v>20224.600999999999</v>
      </c>
      <c r="AV339" s="1">
        <f t="shared" si="463"/>
        <v>1</v>
      </c>
      <c r="AW339" s="1">
        <f t="shared" ref="AW339:AW349" si="493">MIN(10,M339+0+0)</f>
        <v>8</v>
      </c>
      <c r="AX339" s="1">
        <f t="shared" si="464"/>
        <v>0</v>
      </c>
      <c r="AY339" s="1">
        <f t="shared" si="487"/>
        <v>6</v>
      </c>
      <c r="AZ339" s="1">
        <f t="shared" si="465"/>
        <v>5</v>
      </c>
      <c r="BA339" s="1">
        <f>MIN(6,Q339+0)</f>
        <v>3</v>
      </c>
      <c r="BB339" s="1">
        <f t="shared" si="480"/>
        <v>5</v>
      </c>
      <c r="BC339" s="1">
        <f>MIN(3,S339+1)</f>
        <v>2</v>
      </c>
      <c r="BD339" s="1">
        <f t="shared" si="488"/>
        <v>0</v>
      </c>
      <c r="BE339" s="1">
        <f t="shared" si="481"/>
        <v>0</v>
      </c>
      <c r="BF339" s="1">
        <f>MIN(4,V339+0)</f>
        <v>1</v>
      </c>
      <c r="BG339" s="1">
        <f t="shared" si="485"/>
        <v>1</v>
      </c>
      <c r="BH339" s="1">
        <f t="shared" si="482"/>
        <v>1</v>
      </c>
      <c r="BI339" s="1">
        <f t="shared" si="486"/>
        <v>1</v>
      </c>
      <c r="BJ339" s="1">
        <f t="shared" si="492"/>
        <v>1</v>
      </c>
      <c r="BK339" s="1">
        <f t="shared" si="492"/>
        <v>1</v>
      </c>
      <c r="BL339" s="1">
        <f t="shared" si="454"/>
        <v>0</v>
      </c>
      <c r="BM339" s="1">
        <f t="shared" si="452"/>
        <v>0</v>
      </c>
      <c r="BN339" s="1">
        <f t="shared" si="483"/>
        <v>1</v>
      </c>
      <c r="BO339" s="1">
        <f t="shared" si="484"/>
        <v>1</v>
      </c>
    </row>
    <row r="340" spans="1:67" ht="30.95" customHeight="1">
      <c r="A340" s="1">
        <f>9</f>
        <v>9</v>
      </c>
      <c r="B340" s="1">
        <f>固定流程!A16</f>
        <v>11</v>
      </c>
      <c r="C340" s="1">
        <f>12</f>
        <v>12</v>
      </c>
      <c r="D340" s="1">
        <f>1</f>
        <v>1</v>
      </c>
      <c r="E340" s="1">
        <f>固定流程!C16</f>
        <v>2</v>
      </c>
      <c r="F340" s="1">
        <f>固定流程!G16</f>
        <v>2</v>
      </c>
      <c r="G340" s="1" t="str">
        <f>固定流程!H16</f>
        <v>37_CURVE</v>
      </c>
      <c r="H340" s="1">
        <f>固定流程!F16</f>
        <v>1</v>
      </c>
      <c r="I340" s="1">
        <f>INDEX(配置与结果!$B$15:$B$18,F340)</f>
        <v>2306</v>
      </c>
      <c r="J340" s="1">
        <f>INDEX(配置与结果!$D$15:$D$18,F340)</f>
        <v>0.46</v>
      </c>
      <c r="K340" s="1">
        <f>INDEX(配置与结果!$E$15:$E$18,F340)</f>
        <v>1.9279999999999999</v>
      </c>
      <c r="L340" s="1">
        <f t="shared" si="490"/>
        <v>1</v>
      </c>
      <c r="M340" s="1">
        <f t="shared" si="490"/>
        <v>8</v>
      </c>
      <c r="N340" s="1">
        <f t="shared" si="490"/>
        <v>0</v>
      </c>
      <c r="O340" s="1">
        <f t="shared" si="489"/>
        <v>6</v>
      </c>
      <c r="P340" s="1">
        <f>MIN(方案参数!$AI$12,AZ339+0+0)</f>
        <v>5</v>
      </c>
      <c r="Q340" s="1">
        <f t="shared" si="467"/>
        <v>3</v>
      </c>
      <c r="R340" s="1">
        <f t="shared" si="468"/>
        <v>5</v>
      </c>
      <c r="S340" s="1">
        <f t="shared" si="469"/>
        <v>2</v>
      </c>
      <c r="T340" s="1">
        <f t="shared" si="470"/>
        <v>0</v>
      </c>
      <c r="U340" s="1">
        <f t="shared" si="471"/>
        <v>0</v>
      </c>
      <c r="V340" s="1">
        <f t="shared" si="472"/>
        <v>1</v>
      </c>
      <c r="W340" s="1">
        <f t="shared" si="473"/>
        <v>1</v>
      </c>
      <c r="X340" s="1">
        <f t="shared" si="474"/>
        <v>1</v>
      </c>
      <c r="Y340" s="1">
        <f t="shared" si="475"/>
        <v>1</v>
      </c>
      <c r="Z340" s="1">
        <f t="shared" si="476"/>
        <v>1</v>
      </c>
      <c r="AA340" s="1">
        <f t="shared" si="491"/>
        <v>1</v>
      </c>
      <c r="AB340" s="1">
        <f t="shared" si="478"/>
        <v>0</v>
      </c>
      <c r="AC340" s="1">
        <f t="shared" si="479"/>
        <v>0</v>
      </c>
      <c r="AD340" s="1">
        <f>ROUNDDOWN(I340*(1+IF(F340=3,0.05+方案参数!$Y$12+AA340*0.12,IF(F340=4,方案参数!$BZ$12*方案参数!$AS$12,0)))+IF(AND(X340=1,F340&lt;&gt;3),方案参数!$CC$12,0)+AC340*方案参数!$CB$12,0)</f>
        <v>2544</v>
      </c>
      <c r="AE340" s="1">
        <f>IF(OR(F340=1,F340=4),配置与结果!$B$24,配置与结果!$B$25)*MAX(0,1-INDEX(配置与结果!$I$15:$I$18,F340))</f>
        <v>1000</v>
      </c>
      <c r="AF340" s="1">
        <f>方案参数!$BT$12*IF(H340=1,1,IF(H340=2,1.5,2.5))</f>
        <v>1.4</v>
      </c>
      <c r="AG340" s="1">
        <f>MAX(配置与结果!$B$32,1+INDEX(配置与结果!$F$15:$F$18,F340)+0+Q340*方案参数!$W$12+Y340*(方案参数!$AN$12+MIN(方案参数!$AO$12,P340*0.03))+AB340*方案参数!$BZ$12*0.025-配置与结果!$B$28)</f>
        <v>0.96499999999999997</v>
      </c>
      <c r="AH340" s="1">
        <f>MAX(0,1+INDEX(配置与结果!$G$15:$G$18,F340)+W340*方案参数!$AG$12)</f>
        <v>1.3</v>
      </c>
      <c r="AI340" s="1">
        <f>IF(OR(INDEX(配置与结果!$K$15:$K$18,F340)=1,G340="RHI_BERRY"),1+配置与结果!$B$33+P340*方案参数!$AH$12,1)</f>
        <v>1</v>
      </c>
      <c r="AJ340" s="1">
        <f>MIN(1,MAX(0,J340+方案参数!$AB$12-配置与结果!$B$27))</f>
        <v>1</v>
      </c>
      <c r="AK340" s="1">
        <f>MAX(1,K340+IF(F340=2,0.15+方案参数!$CH$12,0)+BN340*方案参数!$X$12+R340*方案参数!$AA$12+0-配置与结果!$B$26+Z340*(方案参数!$AP$12+MIN(方案参数!$AQ$12,P340*0.03)))</f>
        <v>2.278</v>
      </c>
      <c r="AL340" s="7">
        <f>ROUNDDOWN(MAX(AD340*配置与结果!$B$31,AD340-AE340)*AF340*AG340*AH340*AI340,0)</f>
        <v>2711</v>
      </c>
      <c r="AM340" s="7">
        <f>ROUNDDOWN(MAX(AD340*配置与结果!$B$31,AD340-AE340)*AF340*AG340*AH340*AI340*AK340,0)</f>
        <v>6177</v>
      </c>
      <c r="AN340" s="7">
        <f t="shared" si="458"/>
        <v>6177</v>
      </c>
      <c r="AO340" s="7">
        <f>方案参数!$BU$12*IF(H340=1,1,IF(H340=2,1.5,2.5))</f>
        <v>0.8</v>
      </c>
      <c r="AP340" s="7">
        <f>MAX(0,1+INDEX(配置与结果!$J$15:$J$18,F340)+IF(T340&gt;0,方案参数!$BY$12,0)-配置与结果!$B$30)</f>
        <v>1</v>
      </c>
      <c r="AQ340" s="7">
        <f t="shared" si="459"/>
        <v>2035</v>
      </c>
      <c r="AR340" s="7">
        <f t="shared" si="460"/>
        <v>4635</v>
      </c>
      <c r="AS340" s="7">
        <f t="shared" si="461"/>
        <v>4635</v>
      </c>
      <c r="AT340" s="7">
        <f>0</f>
        <v>0</v>
      </c>
      <c r="AU340" s="7">
        <f t="shared" si="462"/>
        <v>10812</v>
      </c>
      <c r="AV340" s="1">
        <f t="shared" si="463"/>
        <v>1</v>
      </c>
      <c r="AW340" s="1">
        <f t="shared" si="493"/>
        <v>8</v>
      </c>
      <c r="AX340" s="1">
        <f t="shared" si="464"/>
        <v>0</v>
      </c>
      <c r="AY340" s="1">
        <f t="shared" si="487"/>
        <v>6</v>
      </c>
      <c r="AZ340" s="1">
        <f t="shared" si="465"/>
        <v>5</v>
      </c>
      <c r="BA340" s="1">
        <f>MIN(6,Q340+0)</f>
        <v>3</v>
      </c>
      <c r="BB340" s="1">
        <f t="shared" si="480"/>
        <v>5</v>
      </c>
      <c r="BC340" s="1">
        <f t="shared" ref="BC340:BC346" si="494">MIN(3,S340+0)</f>
        <v>2</v>
      </c>
      <c r="BD340" s="1">
        <f t="shared" si="488"/>
        <v>0</v>
      </c>
      <c r="BE340" s="1">
        <f t="shared" si="481"/>
        <v>0</v>
      </c>
      <c r="BF340" s="1">
        <f>MIN(4,V340+0)</f>
        <v>1</v>
      </c>
      <c r="BG340" s="1">
        <f t="shared" si="485"/>
        <v>1</v>
      </c>
      <c r="BH340" s="1">
        <f t="shared" si="482"/>
        <v>1</v>
      </c>
      <c r="BI340" s="1">
        <f t="shared" si="486"/>
        <v>1</v>
      </c>
      <c r="BJ340" s="1">
        <f t="shared" si="492"/>
        <v>1</v>
      </c>
      <c r="BK340" s="1">
        <f t="shared" si="492"/>
        <v>1</v>
      </c>
      <c r="BL340" s="1">
        <f t="shared" si="454"/>
        <v>0</v>
      </c>
      <c r="BM340" s="1">
        <f t="shared" si="452"/>
        <v>0</v>
      </c>
      <c r="BN340" s="1">
        <f t="shared" si="483"/>
        <v>1</v>
      </c>
      <c r="BO340" s="1">
        <f t="shared" si="484"/>
        <v>1</v>
      </c>
    </row>
    <row r="341" spans="1:67" ht="30.95" customHeight="1">
      <c r="A341" s="1">
        <f>9</f>
        <v>9</v>
      </c>
      <c r="B341" s="1">
        <f>固定流程!A17</f>
        <v>12</v>
      </c>
      <c r="C341" s="1">
        <f>12</f>
        <v>12</v>
      </c>
      <c r="D341" s="1">
        <f>1</f>
        <v>1</v>
      </c>
      <c r="E341" s="1">
        <f>固定流程!C17</f>
        <v>2</v>
      </c>
      <c r="F341" s="1">
        <f>固定流程!G17</f>
        <v>2</v>
      </c>
      <c r="G341" s="1" t="str">
        <f>固定流程!H17</f>
        <v>37_FOLLOW</v>
      </c>
      <c r="H341" s="1">
        <f>固定流程!F17</f>
        <v>1</v>
      </c>
      <c r="I341" s="1">
        <f>INDEX(配置与结果!$B$15:$B$18,F341)</f>
        <v>2306</v>
      </c>
      <c r="J341" s="1">
        <f>INDEX(配置与结果!$D$15:$D$18,F341)</f>
        <v>0.46</v>
      </c>
      <c r="K341" s="1">
        <f>INDEX(配置与结果!$E$15:$E$18,F341)</f>
        <v>1.9279999999999999</v>
      </c>
      <c r="L341" s="1">
        <f t="shared" si="490"/>
        <v>1</v>
      </c>
      <c r="M341" s="1">
        <f t="shared" si="490"/>
        <v>8</v>
      </c>
      <c r="N341" s="1">
        <f t="shared" si="490"/>
        <v>0</v>
      </c>
      <c r="O341" s="1">
        <f t="shared" si="489"/>
        <v>6</v>
      </c>
      <c r="P341" s="1">
        <f>MIN(方案参数!$AI$12,AZ340+0+0)</f>
        <v>5</v>
      </c>
      <c r="Q341" s="1">
        <f t="shared" si="467"/>
        <v>3</v>
      </c>
      <c r="R341" s="1">
        <f t="shared" si="468"/>
        <v>5</v>
      </c>
      <c r="S341" s="1">
        <f t="shared" si="469"/>
        <v>2</v>
      </c>
      <c r="T341" s="1">
        <f t="shared" si="470"/>
        <v>0</v>
      </c>
      <c r="U341" s="1">
        <f t="shared" si="471"/>
        <v>0</v>
      </c>
      <c r="V341" s="1">
        <f t="shared" si="472"/>
        <v>1</v>
      </c>
      <c r="W341" s="1">
        <f t="shared" si="473"/>
        <v>1</v>
      </c>
      <c r="X341" s="1">
        <f t="shared" si="474"/>
        <v>1</v>
      </c>
      <c r="Y341" s="1">
        <f t="shared" si="475"/>
        <v>1</v>
      </c>
      <c r="Z341" s="1">
        <f t="shared" si="476"/>
        <v>1</v>
      </c>
      <c r="AA341" s="1">
        <f t="shared" si="491"/>
        <v>1</v>
      </c>
      <c r="AB341" s="1">
        <f t="shared" si="478"/>
        <v>0</v>
      </c>
      <c r="AC341" s="1">
        <f t="shared" si="479"/>
        <v>0</v>
      </c>
      <c r="AD341" s="1">
        <f>ROUNDDOWN(I341*(1+IF(F341=3,0.05+方案参数!$Y$12+AA341*0.12,IF(F341=4,方案参数!$BZ$12*方案参数!$AS$12,0)))+IF(AND(X341=1,F341&lt;&gt;3),方案参数!$CC$12,0)+AC341*方案参数!$CB$12,0)</f>
        <v>2544</v>
      </c>
      <c r="AE341" s="1">
        <f>IF(OR(F341=1,F341=4),配置与结果!$B$24,配置与结果!$B$25)*MAX(0,1-INDEX(配置与结果!$I$15:$I$18,F341))</f>
        <v>1000</v>
      </c>
      <c r="AF341" s="1">
        <f>方案参数!$BV$12</f>
        <v>3</v>
      </c>
      <c r="AG341" s="1">
        <f>MAX(配置与结果!$B$32,1+INDEX(配置与结果!$F$15:$F$18,F341)+0+Q341*方案参数!$W$12+Y341*(方案参数!$AN$12+MIN(方案参数!$AO$12,P341*0.03))+AB341*方案参数!$BZ$12*0.025-配置与结果!$B$28)</f>
        <v>0.96499999999999997</v>
      </c>
      <c r="AH341" s="1">
        <f>MAX(0,1+INDEX(配置与结果!$G$15:$G$18,F341)+W341*方案参数!$AG$12)</f>
        <v>1.3</v>
      </c>
      <c r="AI341" s="1">
        <f>IF(OR(INDEX(配置与结果!$K$15:$K$18,F341)=1,G341="RHI_BERRY"),1+配置与结果!$B$33+P341*方案参数!$AH$12,1)</f>
        <v>1</v>
      </c>
      <c r="AJ341" s="1">
        <f>MIN(1,MAX(0,J341+方案参数!$AB$12-配置与结果!$B$27))</f>
        <v>1</v>
      </c>
      <c r="AK341" s="1">
        <f>MAX(1,K341+IF(F341=2,0.15+方案参数!$CH$12,0)+BN341*方案参数!$X$12+R341*方案参数!$AA$12+0-配置与结果!$B$26+Z341*(方案参数!$AP$12+MIN(方案参数!$AQ$12,P341*0.03)))</f>
        <v>2.278</v>
      </c>
      <c r="AL341" s="7">
        <f>ROUNDDOWN(MAX(AD341*配置与结果!$B$31,AD341-AE341)*AF341*AG341*AH341*AI341,0)</f>
        <v>5810</v>
      </c>
      <c r="AM341" s="7">
        <f>ROUNDDOWN(MAX(AD341*配置与结果!$B$31,AD341-AE341)*AF341*AG341*AH341*AI341*AK341,0)</f>
        <v>13237</v>
      </c>
      <c r="AN341" s="7">
        <f t="shared" si="458"/>
        <v>13237</v>
      </c>
      <c r="AO341" s="7">
        <f>方案参数!$BW$12</f>
        <v>1</v>
      </c>
      <c r="AP341" s="7">
        <f>MAX(0,1+INDEX(配置与结果!$J$15:$J$18,F341)+IF(T341&gt;0,方案参数!$BY$12,0)-配置与结果!$B$30)</f>
        <v>1</v>
      </c>
      <c r="AQ341" s="7">
        <f t="shared" si="459"/>
        <v>2544</v>
      </c>
      <c r="AR341" s="7">
        <f t="shared" si="460"/>
        <v>5795</v>
      </c>
      <c r="AS341" s="7">
        <f t="shared" si="461"/>
        <v>5795</v>
      </c>
      <c r="AT341" s="7">
        <f>0</f>
        <v>0</v>
      </c>
      <c r="AU341" s="7">
        <f t="shared" si="462"/>
        <v>19032</v>
      </c>
      <c r="AV341" s="1">
        <f t="shared" si="463"/>
        <v>1</v>
      </c>
      <c r="AW341" s="1">
        <f t="shared" si="493"/>
        <v>8</v>
      </c>
      <c r="AX341" s="1">
        <f t="shared" si="464"/>
        <v>0</v>
      </c>
      <c r="AY341" s="1">
        <f t="shared" si="487"/>
        <v>6</v>
      </c>
      <c r="AZ341" s="1">
        <f t="shared" si="465"/>
        <v>5</v>
      </c>
      <c r="BA341" s="1">
        <f>MIN(6,Q341+0)</f>
        <v>3</v>
      </c>
      <c r="BB341" s="1">
        <f t="shared" si="480"/>
        <v>5</v>
      </c>
      <c r="BC341" s="1">
        <f t="shared" si="494"/>
        <v>2</v>
      </c>
      <c r="BD341" s="1">
        <f t="shared" si="488"/>
        <v>0</v>
      </c>
      <c r="BE341" s="1">
        <f t="shared" si="481"/>
        <v>0</v>
      </c>
      <c r="BF341" s="1">
        <f>MIN(4,V341+1)</f>
        <v>2</v>
      </c>
      <c r="BG341" s="1">
        <f t="shared" si="485"/>
        <v>1</v>
      </c>
      <c r="BH341" s="1">
        <f t="shared" si="482"/>
        <v>1</v>
      </c>
      <c r="BI341" s="1">
        <f t="shared" si="486"/>
        <v>1</v>
      </c>
      <c r="BJ341" s="1">
        <f t="shared" si="492"/>
        <v>1</v>
      </c>
      <c r="BK341" s="1">
        <f t="shared" si="492"/>
        <v>1</v>
      </c>
      <c r="BL341" s="1">
        <f t="shared" si="454"/>
        <v>0</v>
      </c>
      <c r="BM341" s="1">
        <f t="shared" si="452"/>
        <v>0</v>
      </c>
      <c r="BN341" s="1">
        <f t="shared" si="483"/>
        <v>1</v>
      </c>
      <c r="BO341" s="1">
        <f t="shared" si="484"/>
        <v>1</v>
      </c>
    </row>
    <row r="342" spans="1:67" ht="30.95" customHeight="1">
      <c r="A342" s="1">
        <f>9</f>
        <v>9</v>
      </c>
      <c r="B342" s="1">
        <f>固定流程!A18</f>
        <v>13</v>
      </c>
      <c r="C342" s="1">
        <f>12</f>
        <v>12</v>
      </c>
      <c r="D342" s="1">
        <f>1</f>
        <v>1</v>
      </c>
      <c r="E342" s="1">
        <f>固定流程!C18</f>
        <v>2</v>
      </c>
      <c r="F342" s="1">
        <f>固定流程!G18</f>
        <v>3</v>
      </c>
      <c r="G342" s="1" t="str">
        <f>固定流程!H18</f>
        <v>RHI_BERRY</v>
      </c>
      <c r="H342" s="1">
        <f>固定流程!F18</f>
        <v>1</v>
      </c>
      <c r="I342" s="1">
        <f>INDEX(配置与结果!$B$15:$B$18,F342)</f>
        <v>2597</v>
      </c>
      <c r="J342" s="1">
        <f>INDEX(配置与结果!$D$15:$D$18,F342)</f>
        <v>0.255</v>
      </c>
      <c r="K342" s="1">
        <f>INDEX(配置与结果!$E$15:$E$18,F342)</f>
        <v>1.55</v>
      </c>
      <c r="L342" s="1">
        <f t="shared" si="490"/>
        <v>1</v>
      </c>
      <c r="M342" s="1">
        <f t="shared" si="490"/>
        <v>8</v>
      </c>
      <c r="N342" s="1">
        <f t="shared" si="490"/>
        <v>0</v>
      </c>
      <c r="O342" s="1">
        <f t="shared" si="489"/>
        <v>6</v>
      </c>
      <c r="P342" s="1">
        <f>MIN(方案参数!$AI$12,AZ341+0+0)</f>
        <v>5</v>
      </c>
      <c r="Q342" s="1">
        <f t="shared" si="467"/>
        <v>3</v>
      </c>
      <c r="R342" s="1">
        <f t="shared" si="468"/>
        <v>5</v>
      </c>
      <c r="S342" s="1">
        <f t="shared" si="469"/>
        <v>2</v>
      </c>
      <c r="T342" s="1">
        <f t="shared" si="470"/>
        <v>0</v>
      </c>
      <c r="U342" s="1">
        <f t="shared" si="471"/>
        <v>0</v>
      </c>
      <c r="V342" s="1">
        <f t="shared" si="472"/>
        <v>2</v>
      </c>
      <c r="W342" s="1">
        <f t="shared" si="473"/>
        <v>1</v>
      </c>
      <c r="X342" s="1">
        <f t="shared" si="474"/>
        <v>1</v>
      </c>
      <c r="Y342" s="1">
        <f t="shared" si="475"/>
        <v>1</v>
      </c>
      <c r="Z342" s="1">
        <f t="shared" si="476"/>
        <v>1</v>
      </c>
      <c r="AA342" s="1">
        <f t="shared" si="491"/>
        <v>1</v>
      </c>
      <c r="AB342" s="1">
        <f t="shared" si="478"/>
        <v>0</v>
      </c>
      <c r="AC342" s="1">
        <f t="shared" si="479"/>
        <v>0</v>
      </c>
      <c r="AD342" s="1">
        <f>ROUNDDOWN(I342*(1+IF(F342=3,0.05+方案参数!$Y$12+AA342*0.12,IF(F342=4,方案参数!$BZ$12*方案参数!$AS$12,0)))+IF(AND(X342=1,F342&lt;&gt;3),方案参数!$CC$12,0)+AC342*方案参数!$CB$12,0)</f>
        <v>3298</v>
      </c>
      <c r="AE342" s="1">
        <f>IF(OR(F342=1,F342=4),配置与结果!$B$24,配置与结果!$B$25)*MAX(0,1-INDEX(配置与结果!$I$15:$I$18,F342))</f>
        <v>1000</v>
      </c>
      <c r="AF342" s="1">
        <f>方案参数!$CF$12+P342*方案参数!$CG$12</f>
        <v>22.5</v>
      </c>
      <c r="AG342" s="1">
        <f>MAX(配置与结果!$B$32,1+INDEX(配置与结果!$F$15:$F$18,F342)+0+Q342*方案参数!$W$12+Y342*(方案参数!$AN$12+MIN(方案参数!$AO$12,P342*0.03))+AB342*方案参数!$BZ$12*0.025-配置与结果!$B$28)</f>
        <v>0.995</v>
      </c>
      <c r="AH342" s="1">
        <f>MAX(0,1+INDEX(配置与结果!$G$15:$G$18,F342)+W342*方案参数!$AG$12)</f>
        <v>1.3</v>
      </c>
      <c r="AI342" s="1">
        <f>IF(OR(INDEX(配置与结果!$K$15:$K$18,F342)=1,G342="RHI_BERRY"),1+配置与结果!$B$33+P342*方案参数!$AH$12,1)</f>
        <v>1.5</v>
      </c>
      <c r="AJ342" s="1">
        <f>MIN(1,MAX(0,J342+方案参数!$AB$12-配置与结果!$B$27))</f>
        <v>0.85499999999999998</v>
      </c>
      <c r="AK342" s="1">
        <f>MAX(1,K342+IF(F342=2,0.15+方案参数!$CH$12,0)+BN342*方案参数!$X$12+R342*方案参数!$AA$12+0-配置与结果!$B$26+Z342*(方案参数!$AP$12+MIN(方案参数!$AQ$12,P342*0.03)))</f>
        <v>1.6300000000000001</v>
      </c>
      <c r="AL342" s="7">
        <f>ROUNDDOWN(MAX(AD342*配置与结果!$B$31,AD342-AE342)*AF342*AG342*AH342*AI342,0)</f>
        <v>100320</v>
      </c>
      <c r="AM342" s="7">
        <f>ROUNDDOWN(MAX(AD342*配置与结果!$B$31,AD342-AE342)*AF342*AG342*AH342*AI342*AK342,0)</f>
        <v>163522</v>
      </c>
      <c r="AN342" s="7">
        <f t="shared" si="458"/>
        <v>154357.71</v>
      </c>
      <c r="AO342" s="7">
        <f>0</f>
        <v>0</v>
      </c>
      <c r="AP342" s="7">
        <f>MAX(0,1+INDEX(配置与结果!$J$15:$J$18,F342)+IF(T342&gt;0,方案参数!$BY$12,0)-配置与结果!$B$30)</f>
        <v>1</v>
      </c>
      <c r="AQ342" s="7">
        <f t="shared" si="459"/>
        <v>0</v>
      </c>
      <c r="AR342" s="7">
        <f t="shared" si="460"/>
        <v>0</v>
      </c>
      <c r="AS342" s="7">
        <f t="shared" si="461"/>
        <v>0</v>
      </c>
      <c r="AT342" s="7">
        <f>0</f>
        <v>0</v>
      </c>
      <c r="AU342" s="7">
        <f t="shared" si="462"/>
        <v>154357.71</v>
      </c>
      <c r="AV342" s="1">
        <f t="shared" si="463"/>
        <v>1</v>
      </c>
      <c r="AW342" s="1">
        <f t="shared" si="493"/>
        <v>8</v>
      </c>
      <c r="AX342" s="1">
        <f t="shared" si="464"/>
        <v>0</v>
      </c>
      <c r="AY342" s="1">
        <f t="shared" si="487"/>
        <v>6</v>
      </c>
      <c r="AZ342" s="1">
        <f t="shared" si="465"/>
        <v>5</v>
      </c>
      <c r="BA342" s="1">
        <f>MIN(6,Q342+0)</f>
        <v>3</v>
      </c>
      <c r="BB342" s="1">
        <f t="shared" si="480"/>
        <v>5</v>
      </c>
      <c r="BC342" s="1">
        <f t="shared" si="494"/>
        <v>2</v>
      </c>
      <c r="BD342" s="1">
        <f t="shared" si="488"/>
        <v>0</v>
      </c>
      <c r="BE342" s="1">
        <f t="shared" si="481"/>
        <v>0</v>
      </c>
      <c r="BF342" s="1">
        <f>MIN(4,V342+0)</f>
        <v>2</v>
      </c>
      <c r="BG342" s="1">
        <f t="shared" si="485"/>
        <v>1</v>
      </c>
      <c r="BH342" s="1">
        <f t="shared" si="482"/>
        <v>1</v>
      </c>
      <c r="BI342" s="1">
        <f t="shared" si="486"/>
        <v>1</v>
      </c>
      <c r="BJ342" s="1">
        <f t="shared" si="492"/>
        <v>1</v>
      </c>
      <c r="BK342" s="1">
        <f t="shared" si="492"/>
        <v>1</v>
      </c>
      <c r="BL342" s="1">
        <f t="shared" si="454"/>
        <v>0</v>
      </c>
      <c r="BM342" s="1">
        <f t="shared" si="452"/>
        <v>0</v>
      </c>
      <c r="BN342" s="1">
        <f t="shared" si="483"/>
        <v>1</v>
      </c>
      <c r="BO342" s="1">
        <f t="shared" si="484"/>
        <v>1</v>
      </c>
    </row>
    <row r="343" spans="1:67" ht="30.95" customHeight="1">
      <c r="A343" s="1">
        <f>9</f>
        <v>9</v>
      </c>
      <c r="B343" s="1">
        <f>固定流程!A19</f>
        <v>14</v>
      </c>
      <c r="C343" s="1">
        <f>12</f>
        <v>12</v>
      </c>
      <c r="D343" s="1">
        <f>1</f>
        <v>1</v>
      </c>
      <c r="E343" s="1">
        <f>固定流程!C19</f>
        <v>3</v>
      </c>
      <c r="F343" s="1">
        <f>固定流程!G19</f>
        <v>3</v>
      </c>
      <c r="G343" s="1" t="str">
        <f>固定流程!H19</f>
        <v>RHI_BUFF</v>
      </c>
      <c r="H343" s="1">
        <f>固定流程!F19</f>
        <v>1</v>
      </c>
      <c r="I343" s="1">
        <f>INDEX(配置与结果!$B$15:$B$18,F343)</f>
        <v>2597</v>
      </c>
      <c r="J343" s="1">
        <f>INDEX(配置与结果!$D$15:$D$18,F343)</f>
        <v>0.255</v>
      </c>
      <c r="K343" s="1">
        <f>INDEX(配置与结果!$E$15:$E$18,F343)</f>
        <v>1.55</v>
      </c>
      <c r="L343" s="1">
        <f>IF(AV342=1,IF(M343&gt;=10,2,1),IF(AV342=2,IF(AX342&lt;=1,0,2),0))</f>
        <v>2</v>
      </c>
      <c r="M343" s="1">
        <f>IF(AND(AV342=2,AX342&lt;=1),0,MIN(10,AW342+IF(AV342=1,3,0)))</f>
        <v>10</v>
      </c>
      <c r="N343" s="1">
        <f>IF(AND(AV342=1,M343&gt;=10),2,IF(AV342=2,MAX(0,AX342-1),0))</f>
        <v>2</v>
      </c>
      <c r="O343" s="1">
        <f t="shared" si="489"/>
        <v>6</v>
      </c>
      <c r="P343" s="1">
        <f>MIN(方案参数!$AI$12,AZ342+方案参数!$AJ$12+方案参数!$AK$12)</f>
        <v>5</v>
      </c>
      <c r="Q343" s="1">
        <f t="shared" si="467"/>
        <v>3</v>
      </c>
      <c r="R343" s="1">
        <f t="shared" si="468"/>
        <v>5</v>
      </c>
      <c r="S343" s="1">
        <f t="shared" si="469"/>
        <v>2</v>
      </c>
      <c r="T343" s="1">
        <f t="shared" si="470"/>
        <v>0</v>
      </c>
      <c r="U343" s="1">
        <f t="shared" si="471"/>
        <v>0</v>
      </c>
      <c r="V343" s="1">
        <f t="shared" si="472"/>
        <v>2</v>
      </c>
      <c r="W343" s="1">
        <f t="shared" si="473"/>
        <v>1</v>
      </c>
      <c r="X343" s="1">
        <f t="shared" si="474"/>
        <v>1</v>
      </c>
      <c r="Y343" s="1">
        <f t="shared" si="475"/>
        <v>1</v>
      </c>
      <c r="Z343" s="1">
        <f t="shared" si="476"/>
        <v>1</v>
      </c>
      <c r="AA343" s="1">
        <f t="shared" si="491"/>
        <v>1</v>
      </c>
      <c r="AB343" s="1">
        <f t="shared" si="478"/>
        <v>0</v>
      </c>
      <c r="AC343" s="1">
        <f t="shared" si="479"/>
        <v>0</v>
      </c>
      <c r="AD343" s="1">
        <f>ROUNDDOWN(I343*(1+IF(F343=3,0.05+方案参数!$Y$12+AA343*0.12,IF(F343=4,方案参数!$BZ$12*方案参数!$AS$12,0)))+IF(AND(X343=1,F343&lt;&gt;3),方案参数!$CC$12,0)+AC343*方案参数!$CB$12,0)</f>
        <v>3298</v>
      </c>
      <c r="AE343" s="1">
        <f>IF(OR(F343=1,F343=4),配置与结果!$B$24,配置与结果!$B$25)*MAX(0,1-INDEX(配置与结果!$I$15:$I$18,F343))</f>
        <v>1000</v>
      </c>
      <c r="AF343" s="1">
        <f>0</f>
        <v>0</v>
      </c>
      <c r="AG343" s="1">
        <f>MAX(配置与结果!$B$32,1+INDEX(配置与结果!$F$15:$F$18,F343)+0+Q343*方案参数!$W$12+Y343*(方案参数!$AN$12+MIN(方案参数!$AO$12,P343*0.03))+AB343*方案参数!$BZ$12*0.025-配置与结果!$B$28)</f>
        <v>0.995</v>
      </c>
      <c r="AH343" s="1">
        <f>MAX(0,1+INDEX(配置与结果!$G$15:$G$18,F343)+W343*方案参数!$AG$12)</f>
        <v>1.3</v>
      </c>
      <c r="AI343" s="1">
        <f>IF(OR(INDEX(配置与结果!$K$15:$K$18,F343)=1,G343="RHI_BERRY"),1+配置与结果!$B$33+P343*方案参数!$AH$12,1)</f>
        <v>1</v>
      </c>
      <c r="AJ343" s="1">
        <f>MIN(1,MAX(0,J343+方案参数!$AB$12-配置与结果!$B$27))</f>
        <v>0.85499999999999998</v>
      </c>
      <c r="AK343" s="1">
        <f>MAX(1,K343+IF(F343=2,0.15+方案参数!$CH$12,0)+BN343*方案参数!$X$12+R343*方案参数!$AA$12+0-配置与结果!$B$26+Z343*(方案参数!$AP$12+MIN(方案参数!$AQ$12,P343*0.03)))</f>
        <v>1.6300000000000001</v>
      </c>
      <c r="AL343" s="7">
        <f>ROUNDDOWN(MAX(AD343*配置与结果!$B$31,AD343-AE343)*AF343*AG343*AH343*AI343,0)</f>
        <v>0</v>
      </c>
      <c r="AM343" s="7">
        <f>ROUNDDOWN(MAX(AD343*配置与结果!$B$31,AD343-AE343)*AF343*AG343*AH343*AI343*AK343,0)</f>
        <v>0</v>
      </c>
      <c r="AN343" s="7">
        <f t="shared" si="458"/>
        <v>0</v>
      </c>
      <c r="AO343" s="7">
        <f>0</f>
        <v>0</v>
      </c>
      <c r="AP343" s="7">
        <f>MAX(0,1+INDEX(配置与结果!$J$15:$J$18,F343)+IF(T343&gt;0,方案参数!$BY$12,0)-配置与结果!$B$30)</f>
        <v>1</v>
      </c>
      <c r="AQ343" s="7">
        <f t="shared" si="459"/>
        <v>0</v>
      </c>
      <c r="AR343" s="7">
        <f t="shared" si="460"/>
        <v>0</v>
      </c>
      <c r="AS343" s="7">
        <f t="shared" si="461"/>
        <v>0</v>
      </c>
      <c r="AT343" s="7">
        <f>0</f>
        <v>0</v>
      </c>
      <c r="AU343" s="7">
        <f t="shared" si="462"/>
        <v>0</v>
      </c>
      <c r="AV343" s="1">
        <f t="shared" si="463"/>
        <v>2</v>
      </c>
      <c r="AW343" s="1">
        <f t="shared" si="493"/>
        <v>10</v>
      </c>
      <c r="AX343" s="1">
        <f t="shared" si="464"/>
        <v>2</v>
      </c>
      <c r="AY343" s="1">
        <f t="shared" si="487"/>
        <v>6</v>
      </c>
      <c r="AZ343" s="1">
        <f t="shared" si="465"/>
        <v>5</v>
      </c>
      <c r="BA343" s="1">
        <f>MIN(6,Q343+1)</f>
        <v>4</v>
      </c>
      <c r="BB343" s="1">
        <f t="shared" si="480"/>
        <v>5</v>
      </c>
      <c r="BC343" s="1">
        <f t="shared" si="494"/>
        <v>2</v>
      </c>
      <c r="BD343" s="1">
        <f t="shared" si="488"/>
        <v>0</v>
      </c>
      <c r="BE343" s="1">
        <f t="shared" si="481"/>
        <v>0</v>
      </c>
      <c r="BF343" s="1">
        <f>MIN(4,V343+0)</f>
        <v>2</v>
      </c>
      <c r="BG343" s="1">
        <f>MAX(W343,1)</f>
        <v>1</v>
      </c>
      <c r="BH343" s="1">
        <f t="shared" si="482"/>
        <v>1</v>
      </c>
      <c r="BI343" s="1">
        <f>MAX(Y343,1)</f>
        <v>1</v>
      </c>
      <c r="BJ343" s="1">
        <f t="shared" si="492"/>
        <v>1</v>
      </c>
      <c r="BK343" s="1">
        <f t="shared" si="492"/>
        <v>1</v>
      </c>
      <c r="BL343" s="1">
        <f t="shared" si="454"/>
        <v>0</v>
      </c>
      <c r="BM343" s="1">
        <f t="shared" si="452"/>
        <v>0</v>
      </c>
      <c r="BN343" s="1">
        <f t="shared" si="483"/>
        <v>1</v>
      </c>
      <c r="BO343" s="1">
        <f t="shared" si="484"/>
        <v>1</v>
      </c>
    </row>
    <row r="344" spans="1:67" ht="30.95" customHeight="1">
      <c r="A344" s="1">
        <f>9</f>
        <v>9</v>
      </c>
      <c r="B344" s="1">
        <f>固定流程!A20</f>
        <v>15</v>
      </c>
      <c r="C344" s="1">
        <f>12</f>
        <v>12</v>
      </c>
      <c r="D344" s="1">
        <f>1</f>
        <v>1</v>
      </c>
      <c r="E344" s="1">
        <f>固定流程!C20</f>
        <v>3</v>
      </c>
      <c r="F344" s="1">
        <f>固定流程!G20</f>
        <v>3</v>
      </c>
      <c r="G344" s="1" t="str">
        <f>固定流程!H20</f>
        <v>RHI_ATTACK</v>
      </c>
      <c r="H344" s="1">
        <f>固定流程!F20</f>
        <v>1</v>
      </c>
      <c r="I344" s="1">
        <f>INDEX(配置与结果!$B$15:$B$18,F344)</f>
        <v>2597</v>
      </c>
      <c r="J344" s="1">
        <f>INDEX(配置与结果!$D$15:$D$18,F344)</f>
        <v>0.255</v>
      </c>
      <c r="K344" s="1">
        <f>INDEX(配置与结果!$E$15:$E$18,F344)</f>
        <v>1.55</v>
      </c>
      <c r="L344" s="1">
        <f t="shared" ref="L344:L365" si="495">AV343</f>
        <v>2</v>
      </c>
      <c r="M344" s="1">
        <f t="shared" ref="M344:M365" si="496">AW343</f>
        <v>10</v>
      </c>
      <c r="N344" s="1">
        <f t="shared" ref="N344:N365" si="497">AX343</f>
        <v>2</v>
      </c>
      <c r="O344" s="1">
        <f t="shared" si="489"/>
        <v>6</v>
      </c>
      <c r="P344" s="1">
        <f>MIN(方案参数!$AI$12,AZ343+0+方案参数!$AK$12)</f>
        <v>5</v>
      </c>
      <c r="Q344" s="1">
        <f t="shared" si="467"/>
        <v>4</v>
      </c>
      <c r="R344" s="1">
        <f t="shared" si="468"/>
        <v>5</v>
      </c>
      <c r="S344" s="1">
        <f t="shared" si="469"/>
        <v>2</v>
      </c>
      <c r="T344" s="1">
        <f t="shared" si="470"/>
        <v>0</v>
      </c>
      <c r="U344" s="1">
        <f t="shared" si="471"/>
        <v>0</v>
      </c>
      <c r="V344" s="1">
        <f t="shared" si="472"/>
        <v>2</v>
      </c>
      <c r="W344" s="1">
        <f t="shared" si="473"/>
        <v>1</v>
      </c>
      <c r="X344" s="1">
        <f t="shared" si="474"/>
        <v>1</v>
      </c>
      <c r="Y344" s="1">
        <f t="shared" si="475"/>
        <v>1</v>
      </c>
      <c r="Z344" s="1">
        <f t="shared" si="476"/>
        <v>1</v>
      </c>
      <c r="AA344" s="1">
        <f>MAX(BK343,1)</f>
        <v>1</v>
      </c>
      <c r="AB344" s="1">
        <f t="shared" si="478"/>
        <v>0</v>
      </c>
      <c r="AC344" s="1">
        <f t="shared" si="479"/>
        <v>0</v>
      </c>
      <c r="AD344" s="1">
        <f>ROUNDDOWN(I344*(1+IF(F344=3,0.05+方案参数!$Y$12+AA344*0.12,IF(F344=4,方案参数!$BZ$12*方案参数!$AS$12,0)))+IF(AND(X344=1,F344&lt;&gt;3),方案参数!$CC$12,0)+AC344*方案参数!$CB$12,0)</f>
        <v>3298</v>
      </c>
      <c r="AE344" s="1">
        <f>IF(OR(F344=1,F344=4),配置与结果!$B$24,配置与结果!$B$25)*MAX(0,1-INDEX(配置与结果!$I$15:$I$18,F344))</f>
        <v>1000</v>
      </c>
      <c r="AF344" s="1">
        <f>4</f>
        <v>4</v>
      </c>
      <c r="AG344" s="1">
        <f>MAX(配置与结果!$B$32,1+INDEX(配置与结果!$F$15:$F$18,F344)+0+Q344*方案参数!$W$12+Y344*(方案参数!$AN$12+MIN(方案参数!$AO$12,P344*0.03))+AB344*方案参数!$BZ$12*0.025-配置与结果!$B$28)</f>
        <v>1.0150000000000001</v>
      </c>
      <c r="AH344" s="1">
        <f>MAX(0,1+INDEX(配置与结果!$G$15:$G$18,F344)+W344*方案参数!$AG$12)</f>
        <v>1.3</v>
      </c>
      <c r="AI344" s="1">
        <f>IF(OR(INDEX(配置与结果!$K$15:$K$18,F344)=1,G344="RHI_BERRY"),1+配置与结果!$B$33+P344*方案参数!$AH$12,1)</f>
        <v>1</v>
      </c>
      <c r="AJ344" s="1">
        <f>MIN(1,MAX(0,J344+方案参数!$AB$12-配置与结果!$B$27))</f>
        <v>0.85499999999999998</v>
      </c>
      <c r="AK344" s="1">
        <f>MAX(1,K344+IF(F344=2,0.15+方案参数!$CH$12,0)+BN344*方案参数!$X$12+R344*方案参数!$AA$12+0-配置与结果!$B$26+Z344*(方案参数!$AP$12+MIN(方案参数!$AQ$12,P344*0.03)))</f>
        <v>1.6300000000000001</v>
      </c>
      <c r="AL344" s="7">
        <f>ROUNDDOWN(MAX(AD344*配置与结果!$B$31,AD344-AE344)*AF344*AG344*AH344*AI344,0)</f>
        <v>12128</v>
      </c>
      <c r="AM344" s="7">
        <f>ROUNDDOWN(MAX(AD344*配置与结果!$B$31,AD344-AE344)*AF344*AG344*AH344*AI344*AK344,0)</f>
        <v>19770</v>
      </c>
      <c r="AN344" s="7">
        <f t="shared" si="458"/>
        <v>18661.91</v>
      </c>
      <c r="AO344" s="7">
        <f>0</f>
        <v>0</v>
      </c>
      <c r="AP344" s="7">
        <f>MAX(0,1+INDEX(配置与结果!$J$15:$J$18,F344)+IF(T344&gt;0,方案参数!$BY$12,0)-配置与结果!$B$30)</f>
        <v>1</v>
      </c>
      <c r="AQ344" s="7">
        <f t="shared" si="459"/>
        <v>0</v>
      </c>
      <c r="AR344" s="7">
        <f t="shared" si="460"/>
        <v>0</v>
      </c>
      <c r="AS344" s="7">
        <f t="shared" si="461"/>
        <v>0</v>
      </c>
      <c r="AT344" s="7">
        <f>0</f>
        <v>0</v>
      </c>
      <c r="AU344" s="7">
        <f t="shared" si="462"/>
        <v>18661.91</v>
      </c>
      <c r="AV344" s="1">
        <f t="shared" si="463"/>
        <v>2</v>
      </c>
      <c r="AW344" s="1">
        <f t="shared" si="493"/>
        <v>10</v>
      </c>
      <c r="AX344" s="1">
        <f t="shared" si="464"/>
        <v>2</v>
      </c>
      <c r="AY344" s="1">
        <f t="shared" si="487"/>
        <v>6</v>
      </c>
      <c r="AZ344" s="1">
        <f t="shared" si="465"/>
        <v>5</v>
      </c>
      <c r="BA344" s="1">
        <f>MIN(6,Q344+1)</f>
        <v>5</v>
      </c>
      <c r="BB344" s="1">
        <f t="shared" si="480"/>
        <v>5</v>
      </c>
      <c r="BC344" s="1">
        <f t="shared" si="494"/>
        <v>2</v>
      </c>
      <c r="BD344" s="1">
        <f t="shared" si="488"/>
        <v>0</v>
      </c>
      <c r="BE344" s="1">
        <f t="shared" si="481"/>
        <v>0</v>
      </c>
      <c r="BF344" s="1">
        <f>MIN(4,V344+0)</f>
        <v>2</v>
      </c>
      <c r="BG344" s="1">
        <f t="shared" ref="BG344:BG366" si="498">MAX(W344,0)</f>
        <v>1</v>
      </c>
      <c r="BH344" s="1">
        <f t="shared" si="482"/>
        <v>1</v>
      </c>
      <c r="BI344" s="1">
        <f t="shared" ref="BI344:BI366" si="499">MAX(Y344,0)</f>
        <v>1</v>
      </c>
      <c r="BJ344" s="1">
        <f>MAX(Z344,1)</f>
        <v>1</v>
      </c>
      <c r="BK344" s="1">
        <f>MAX(AA344,1)</f>
        <v>1</v>
      </c>
      <c r="BL344" s="1">
        <f t="shared" si="454"/>
        <v>0</v>
      </c>
      <c r="BM344" s="1">
        <f t="shared" si="452"/>
        <v>0</v>
      </c>
      <c r="BN344" s="1">
        <f t="shared" si="483"/>
        <v>1</v>
      </c>
      <c r="BO344" s="1">
        <f t="shared" si="484"/>
        <v>1</v>
      </c>
    </row>
    <row r="345" spans="1:67" ht="30.95" customHeight="1">
      <c r="A345" s="1">
        <f>9</f>
        <v>9</v>
      </c>
      <c r="B345" s="1">
        <f>固定流程!A21</f>
        <v>16</v>
      </c>
      <c r="C345" s="1">
        <f>12</f>
        <v>12</v>
      </c>
      <c r="D345" s="1">
        <f>1</f>
        <v>1</v>
      </c>
      <c r="E345" s="1">
        <f>固定流程!C21</f>
        <v>3</v>
      </c>
      <c r="F345" s="1">
        <f>固定流程!G21</f>
        <v>2</v>
      </c>
      <c r="G345" s="1" t="str">
        <f>固定流程!H21</f>
        <v>37_ULT</v>
      </c>
      <c r="H345" s="1">
        <f>固定流程!F21</f>
        <v>1</v>
      </c>
      <c r="I345" s="1">
        <f>INDEX(配置与结果!$B$15:$B$18,F345)</f>
        <v>2306</v>
      </c>
      <c r="J345" s="1">
        <f>INDEX(配置与结果!$D$15:$D$18,F345)</f>
        <v>0.46</v>
      </c>
      <c r="K345" s="1">
        <f>INDEX(配置与结果!$E$15:$E$18,F345)</f>
        <v>1.9279999999999999</v>
      </c>
      <c r="L345" s="1">
        <f t="shared" si="495"/>
        <v>2</v>
      </c>
      <c r="M345" s="1">
        <f t="shared" si="496"/>
        <v>10</v>
      </c>
      <c r="N345" s="1">
        <f t="shared" si="497"/>
        <v>2</v>
      </c>
      <c r="O345" s="1">
        <f t="shared" si="489"/>
        <v>6</v>
      </c>
      <c r="P345" s="1">
        <f>MIN(方案参数!$AI$12,AZ344+0+0)</f>
        <v>5</v>
      </c>
      <c r="Q345" s="1">
        <f t="shared" si="467"/>
        <v>5</v>
      </c>
      <c r="R345" s="1">
        <f t="shared" si="468"/>
        <v>5</v>
      </c>
      <c r="S345" s="1">
        <f t="shared" si="469"/>
        <v>2</v>
      </c>
      <c r="T345" s="1">
        <f>BD344+方案参数!$BX$12</f>
        <v>2</v>
      </c>
      <c r="U345" s="1">
        <f t="shared" si="471"/>
        <v>0</v>
      </c>
      <c r="V345" s="1">
        <f t="shared" si="472"/>
        <v>2</v>
      </c>
      <c r="W345" s="1">
        <f t="shared" si="473"/>
        <v>1</v>
      </c>
      <c r="X345" s="1">
        <f t="shared" si="474"/>
        <v>1</v>
      </c>
      <c r="Y345" s="1">
        <f t="shared" si="475"/>
        <v>1</v>
      </c>
      <c r="Z345" s="1">
        <f t="shared" si="476"/>
        <v>1</v>
      </c>
      <c r="AA345" s="1">
        <f t="shared" ref="AA345:AA365" si="500">MAX(BK344,0)</f>
        <v>1</v>
      </c>
      <c r="AB345" s="1">
        <f t="shared" si="478"/>
        <v>0</v>
      </c>
      <c r="AC345" s="1">
        <f>MAX(BM344,1)</f>
        <v>1</v>
      </c>
      <c r="AD345" s="1">
        <f>ROUNDDOWN(I345*(1+IF(F345=3,0.05+方案参数!$Y$12+AA345*0.12,IF(F345=4,方案参数!$BZ$12*方案参数!$AS$12,0)))+IF(AND(X345=1,F345&lt;&gt;3),方案参数!$CC$12,0)+AC345*方案参数!$CB$12,0)</f>
        <v>3044</v>
      </c>
      <c r="AE345" s="1">
        <f>IF(OR(F345=1,F345=4),配置与结果!$B$24,配置与结果!$B$25)*MAX(0,1-INDEX(配置与结果!$I$15:$I$18,F345))</f>
        <v>1000</v>
      </c>
      <c r="AF345" s="1">
        <f>0</f>
        <v>0</v>
      </c>
      <c r="AG345" s="1">
        <f>MAX(配置与结果!$B$32,1+INDEX(配置与结果!$F$15:$F$18,F345)+0+Q345*方案参数!$W$12+Y345*(方案参数!$AN$12+MIN(方案参数!$AO$12,P345*0.03))+AB345*方案参数!$BZ$12*0.025-配置与结果!$B$28)</f>
        <v>1.0049999999999999</v>
      </c>
      <c r="AH345" s="1">
        <f>MAX(0,1+INDEX(配置与结果!$G$15:$G$18,F345)+W345*方案参数!$AG$12)</f>
        <v>1.3</v>
      </c>
      <c r="AI345" s="1">
        <f>IF(OR(INDEX(配置与结果!$K$15:$K$18,F345)=1,G345="RHI_BERRY"),1+配置与结果!$B$33+P345*方案参数!$AH$12,1)</f>
        <v>1</v>
      </c>
      <c r="AJ345" s="1">
        <f>MIN(1,MAX(0,J345+方案参数!$AB$12-配置与结果!$B$27))</f>
        <v>1</v>
      </c>
      <c r="AK345" s="1">
        <f>MAX(1,K345+IF(F345=2,0.15+方案参数!$CH$12,0)+BN345*方案参数!$X$12+R345*方案参数!$AA$12+0-配置与结果!$B$26+Z345*(方案参数!$AP$12+MIN(方案参数!$AQ$12,P345*0.03)))</f>
        <v>2.278</v>
      </c>
      <c r="AL345" s="7">
        <f>ROUNDDOWN(MAX(AD345*配置与结果!$B$31,AD345-AE345)*AF345*AG345*AH345*AI345,0)</f>
        <v>0</v>
      </c>
      <c r="AM345" s="7">
        <f>ROUNDDOWN(MAX(AD345*配置与结果!$B$31,AD345-AE345)*AF345*AG345*AH345*AI345*AK345,0)</f>
        <v>0</v>
      </c>
      <c r="AN345" s="7">
        <f t="shared" si="458"/>
        <v>0</v>
      </c>
      <c r="AO345" s="7">
        <f>0</f>
        <v>0</v>
      </c>
      <c r="AP345" s="7">
        <f>MAX(0,1+INDEX(配置与结果!$J$15:$J$18,F345)+IF(T345&gt;0,方案参数!$BY$12,0)-配置与结果!$B$30)</f>
        <v>2</v>
      </c>
      <c r="AQ345" s="7">
        <f t="shared" si="459"/>
        <v>0</v>
      </c>
      <c r="AR345" s="7">
        <f t="shared" si="460"/>
        <v>0</v>
      </c>
      <c r="AS345" s="7">
        <f t="shared" si="461"/>
        <v>0</v>
      </c>
      <c r="AT345" s="7">
        <f>0</f>
        <v>0</v>
      </c>
      <c r="AU345" s="7">
        <f t="shared" si="462"/>
        <v>0</v>
      </c>
      <c r="AV345" s="1">
        <f t="shared" si="463"/>
        <v>2</v>
      </c>
      <c r="AW345" s="1">
        <f t="shared" si="493"/>
        <v>10</v>
      </c>
      <c r="AX345" s="1">
        <f t="shared" si="464"/>
        <v>2</v>
      </c>
      <c r="AY345" s="1">
        <f t="shared" si="487"/>
        <v>6</v>
      </c>
      <c r="AZ345" s="1">
        <f t="shared" si="465"/>
        <v>5</v>
      </c>
      <c r="BA345" s="1">
        <f t="shared" ref="BA345:BA365" si="501">MIN(6,Q345+0)</f>
        <v>5</v>
      </c>
      <c r="BB345" s="1">
        <f>MIN(30,R345+5)</f>
        <v>10</v>
      </c>
      <c r="BC345" s="1">
        <f t="shared" si="494"/>
        <v>2</v>
      </c>
      <c r="BD345" s="1">
        <f t="shared" si="488"/>
        <v>2</v>
      </c>
      <c r="BE345" s="1">
        <f t="shared" si="481"/>
        <v>0</v>
      </c>
      <c r="BF345" s="1">
        <f>MIN(4,V345+0)</f>
        <v>2</v>
      </c>
      <c r="BG345" s="1">
        <f t="shared" si="498"/>
        <v>1</v>
      </c>
      <c r="BH345" s="1">
        <f t="shared" si="482"/>
        <v>1</v>
      </c>
      <c r="BI345" s="1">
        <f t="shared" si="499"/>
        <v>1</v>
      </c>
      <c r="BJ345" s="1">
        <f t="shared" ref="BJ345:BJ372" si="502">MAX(Z345,0)</f>
        <v>1</v>
      </c>
      <c r="BK345" s="1">
        <f t="shared" ref="BK345:BK372" si="503">MAX(AA345,0)</f>
        <v>1</v>
      </c>
      <c r="BL345" s="1">
        <f t="shared" si="454"/>
        <v>0</v>
      </c>
      <c r="BM345" s="1">
        <f>MAX(AC345,1)</f>
        <v>1</v>
      </c>
      <c r="BN345" s="1">
        <f t="shared" si="483"/>
        <v>1</v>
      </c>
      <c r="BO345" s="1">
        <f t="shared" si="484"/>
        <v>1</v>
      </c>
    </row>
    <row r="346" spans="1:67" ht="30.95" customHeight="1">
      <c r="A346" s="1">
        <f>9</f>
        <v>9</v>
      </c>
      <c r="B346" s="1">
        <f>固定流程!A22</f>
        <v>17</v>
      </c>
      <c r="C346" s="1">
        <f>12</f>
        <v>12</v>
      </c>
      <c r="D346" s="1">
        <f>1</f>
        <v>1</v>
      </c>
      <c r="E346" s="1">
        <f>固定流程!C22</f>
        <v>3</v>
      </c>
      <c r="F346" s="1">
        <f>固定流程!G22</f>
        <v>2</v>
      </c>
      <c r="G346" s="1" t="str">
        <f>固定流程!H22</f>
        <v>37_FOLLOW</v>
      </c>
      <c r="H346" s="1">
        <f>固定流程!F22</f>
        <v>1</v>
      </c>
      <c r="I346" s="1">
        <f>INDEX(配置与结果!$B$15:$B$18,F346)</f>
        <v>2306</v>
      </c>
      <c r="J346" s="1">
        <f>INDEX(配置与结果!$D$15:$D$18,F346)</f>
        <v>0.46</v>
      </c>
      <c r="K346" s="1">
        <f>INDEX(配置与结果!$E$15:$E$18,F346)</f>
        <v>1.9279999999999999</v>
      </c>
      <c r="L346" s="1">
        <f t="shared" si="495"/>
        <v>2</v>
      </c>
      <c r="M346" s="1">
        <f t="shared" si="496"/>
        <v>10</v>
      </c>
      <c r="N346" s="1">
        <f t="shared" si="497"/>
        <v>2</v>
      </c>
      <c r="O346" s="1">
        <f t="shared" si="489"/>
        <v>6</v>
      </c>
      <c r="P346" s="1">
        <f>MIN(方案参数!$AI$12,AZ345+0+0)</f>
        <v>5</v>
      </c>
      <c r="Q346" s="1">
        <f t="shared" si="467"/>
        <v>5</v>
      </c>
      <c r="R346" s="1">
        <f t="shared" si="468"/>
        <v>10</v>
      </c>
      <c r="S346" s="1">
        <f t="shared" si="469"/>
        <v>2</v>
      </c>
      <c r="T346" s="1">
        <f t="shared" ref="T346:T365" si="504">BD345+0</f>
        <v>2</v>
      </c>
      <c r="U346" s="1">
        <f t="shared" si="471"/>
        <v>0</v>
      </c>
      <c r="V346" s="1">
        <f t="shared" si="472"/>
        <v>2</v>
      </c>
      <c r="W346" s="1">
        <f t="shared" si="473"/>
        <v>1</v>
      </c>
      <c r="X346" s="1">
        <f t="shared" si="474"/>
        <v>1</v>
      </c>
      <c r="Y346" s="1">
        <f t="shared" si="475"/>
        <v>1</v>
      </c>
      <c r="Z346" s="1">
        <f t="shared" si="476"/>
        <v>1</v>
      </c>
      <c r="AA346" s="1">
        <f t="shared" si="500"/>
        <v>1</v>
      </c>
      <c r="AB346" s="1">
        <f t="shared" si="478"/>
        <v>0</v>
      </c>
      <c r="AC346" s="1">
        <f t="shared" ref="AC346:AC365" si="505">MAX(BM345,0)</f>
        <v>1</v>
      </c>
      <c r="AD346" s="1">
        <f>ROUNDDOWN(I346*(1+IF(F346=3,0.05+方案参数!$Y$12+AA346*0.12,IF(F346=4,方案参数!$BZ$12*方案参数!$AS$12,0)))+IF(AND(X346=1,F346&lt;&gt;3),方案参数!$CC$12,0)+AC346*方案参数!$CB$12,0)</f>
        <v>3044</v>
      </c>
      <c r="AE346" s="1">
        <f>IF(OR(F346=1,F346=4),配置与结果!$B$24,配置与结果!$B$25)*MAX(0,1-INDEX(配置与结果!$I$15:$I$18,F346))</f>
        <v>1000</v>
      </c>
      <c r="AF346" s="1">
        <f>方案参数!$BV$12</f>
        <v>3</v>
      </c>
      <c r="AG346" s="1">
        <f>MAX(配置与结果!$B$32,1+INDEX(配置与结果!$F$15:$F$18,F346)+0+Q346*方案参数!$W$12+Y346*(方案参数!$AN$12+MIN(方案参数!$AO$12,P346*0.03))+AB346*方案参数!$BZ$12*0.025-配置与结果!$B$28)</f>
        <v>1.0049999999999999</v>
      </c>
      <c r="AH346" s="1">
        <f>MAX(0,1+INDEX(配置与结果!$G$15:$G$18,F346)+W346*方案参数!$AG$12)</f>
        <v>1.3</v>
      </c>
      <c r="AI346" s="1">
        <f>IF(OR(INDEX(配置与结果!$K$15:$K$18,F346)=1,G346="RHI_BERRY"),1+配置与结果!$B$33+P346*方案参数!$AH$12,1)</f>
        <v>1</v>
      </c>
      <c r="AJ346" s="1">
        <f>MIN(1,MAX(0,J346+方案参数!$AB$12-配置与结果!$B$27))</f>
        <v>1</v>
      </c>
      <c r="AK346" s="1">
        <f>MAX(1,K346+IF(F346=2,0.15+方案参数!$CH$12,0)+BN346*方案参数!$X$12+R346*方案参数!$AA$12+0-配置与结果!$B$26+Z346*(方案参数!$AP$12+MIN(方案参数!$AQ$12,P346*0.03)))</f>
        <v>2.298</v>
      </c>
      <c r="AL346" s="7">
        <f>ROUNDDOWN(MAX(AD346*配置与结果!$B$31,AD346-AE346)*AF346*AG346*AH346*AI346,0)</f>
        <v>8011</v>
      </c>
      <c r="AM346" s="7">
        <f>ROUNDDOWN(MAX(AD346*配置与结果!$B$31,AD346-AE346)*AF346*AG346*AH346*AI346*AK346,0)</f>
        <v>18410</v>
      </c>
      <c r="AN346" s="7">
        <f t="shared" si="458"/>
        <v>18410</v>
      </c>
      <c r="AO346" s="7">
        <f>方案参数!$BW$12</f>
        <v>1</v>
      </c>
      <c r="AP346" s="7">
        <f>MAX(0,1+INDEX(配置与结果!$J$15:$J$18,F346)+IF(T346&gt;0,方案参数!$BY$12,0)-配置与结果!$B$30)</f>
        <v>2</v>
      </c>
      <c r="AQ346" s="7">
        <f t="shared" si="459"/>
        <v>6088</v>
      </c>
      <c r="AR346" s="7">
        <f t="shared" si="460"/>
        <v>13990</v>
      </c>
      <c r="AS346" s="7">
        <f t="shared" si="461"/>
        <v>13990</v>
      </c>
      <c r="AT346" s="7">
        <f>0</f>
        <v>0</v>
      </c>
      <c r="AU346" s="7">
        <f t="shared" si="462"/>
        <v>32400</v>
      </c>
      <c r="AV346" s="1">
        <f t="shared" si="463"/>
        <v>2</v>
      </c>
      <c r="AW346" s="1">
        <f t="shared" si="493"/>
        <v>10</v>
      </c>
      <c r="AX346" s="1">
        <f t="shared" si="464"/>
        <v>2</v>
      </c>
      <c r="AY346" s="1">
        <f t="shared" si="487"/>
        <v>6</v>
      </c>
      <c r="AZ346" s="1">
        <f t="shared" si="465"/>
        <v>5</v>
      </c>
      <c r="BA346" s="1">
        <f t="shared" si="501"/>
        <v>5</v>
      </c>
      <c r="BB346" s="1">
        <f>MIN(30,R346+0)</f>
        <v>10</v>
      </c>
      <c r="BC346" s="1">
        <f t="shared" si="494"/>
        <v>2</v>
      </c>
      <c r="BD346" s="1">
        <f t="shared" si="488"/>
        <v>1</v>
      </c>
      <c r="BE346" s="1">
        <f t="shared" si="481"/>
        <v>0</v>
      </c>
      <c r="BF346" s="1">
        <f>MIN(4,V346+1)</f>
        <v>3</v>
      </c>
      <c r="BG346" s="1">
        <f t="shared" si="498"/>
        <v>1</v>
      </c>
      <c r="BH346" s="1">
        <f t="shared" si="482"/>
        <v>1</v>
      </c>
      <c r="BI346" s="1">
        <f t="shared" si="499"/>
        <v>1</v>
      </c>
      <c r="BJ346" s="1">
        <f t="shared" si="502"/>
        <v>1</v>
      </c>
      <c r="BK346" s="1">
        <f t="shared" si="503"/>
        <v>1</v>
      </c>
      <c r="BL346" s="1">
        <f t="shared" si="454"/>
        <v>0</v>
      </c>
      <c r="BM346" s="1">
        <f t="shared" ref="BM346:BM380" si="506">MAX(AC346,0)</f>
        <v>1</v>
      </c>
      <c r="BN346" s="1">
        <f t="shared" si="483"/>
        <v>1</v>
      </c>
      <c r="BO346" s="1">
        <f t="shared" si="484"/>
        <v>1</v>
      </c>
    </row>
    <row r="347" spans="1:67" ht="30.95" customHeight="1">
      <c r="A347" s="1">
        <f>9</f>
        <v>9</v>
      </c>
      <c r="B347" s="1">
        <f>固定流程!A23</f>
        <v>18</v>
      </c>
      <c r="C347" s="1">
        <f>12</f>
        <v>12</v>
      </c>
      <c r="D347" s="1">
        <f>1</f>
        <v>1</v>
      </c>
      <c r="E347" s="1">
        <f>固定流程!C23</f>
        <v>3</v>
      </c>
      <c r="F347" s="1">
        <f>固定流程!G23</f>
        <v>4</v>
      </c>
      <c r="G347" s="1" t="str">
        <f>固定流程!H23</f>
        <v>J_HARD</v>
      </c>
      <c r="H347" s="1">
        <f>固定流程!F23</f>
        <v>1</v>
      </c>
      <c r="I347" s="1">
        <f>INDEX(配置与结果!$B$15:$B$18,F347)</f>
        <v>1906</v>
      </c>
      <c r="J347" s="1">
        <f>INDEX(配置与结果!$D$15:$D$18,F347)</f>
        <v>0.36699999999999999</v>
      </c>
      <c r="K347" s="1">
        <f>INDEX(配置与结果!$E$15:$E$18,F347)</f>
        <v>1.7170000000000001</v>
      </c>
      <c r="L347" s="1">
        <f t="shared" si="495"/>
        <v>2</v>
      </c>
      <c r="M347" s="1">
        <f t="shared" si="496"/>
        <v>10</v>
      </c>
      <c r="N347" s="1">
        <f t="shared" si="497"/>
        <v>2</v>
      </c>
      <c r="O347" s="1">
        <f t="shared" si="489"/>
        <v>6</v>
      </c>
      <c r="P347" s="1">
        <f>MIN(方案参数!$AI$12,AZ346+0+0)</f>
        <v>5</v>
      </c>
      <c r="Q347" s="1">
        <f t="shared" si="467"/>
        <v>5</v>
      </c>
      <c r="R347" s="1">
        <f t="shared" si="468"/>
        <v>10</v>
      </c>
      <c r="S347" s="1">
        <f t="shared" si="469"/>
        <v>2</v>
      </c>
      <c r="T347" s="1">
        <f t="shared" si="504"/>
        <v>1</v>
      </c>
      <c r="U347" s="1">
        <f t="shared" si="471"/>
        <v>0</v>
      </c>
      <c r="V347" s="1">
        <f t="shared" si="472"/>
        <v>3</v>
      </c>
      <c r="W347" s="1">
        <f t="shared" si="473"/>
        <v>1</v>
      </c>
      <c r="X347" s="1">
        <f t="shared" si="474"/>
        <v>1</v>
      </c>
      <c r="Y347" s="1">
        <f t="shared" si="475"/>
        <v>1</v>
      </c>
      <c r="Z347" s="1">
        <f t="shared" si="476"/>
        <v>1</v>
      </c>
      <c r="AA347" s="1">
        <f t="shared" si="500"/>
        <v>1</v>
      </c>
      <c r="AB347" s="1">
        <f t="shared" si="478"/>
        <v>0</v>
      </c>
      <c r="AC347" s="1">
        <f t="shared" si="505"/>
        <v>1</v>
      </c>
      <c r="AD347" s="1">
        <f>ROUNDDOWN(I347*(1+IF(F347=3,0.05+方案参数!$Y$12+AA347*0.12,IF(F347=4,方案参数!$BZ$12*方案参数!$AS$12,0)))+IF(AND(X347=1,F347&lt;&gt;3),方案参数!$CC$12,0)+AC347*方案参数!$CB$12,0)</f>
        <v>3311</v>
      </c>
      <c r="AE347" s="1">
        <f>IF(OR(F347=1,F347=4),配置与结果!$B$24,配置与结果!$B$25)*MAX(0,1-INDEX(配置与结果!$I$15:$I$18,F347))</f>
        <v>1200</v>
      </c>
      <c r="AF347" s="1">
        <f>3.6*IF(H347=1,1,IF(H347=2,1.5,2.5))</f>
        <v>3.6</v>
      </c>
      <c r="AG347" s="1">
        <f>MAX(配置与结果!$B$32,1+INDEX(配置与结果!$F$15:$F$18,F347)+0.08+Q347*方案参数!$W$12+Y347*(方案参数!$AN$12+MIN(方案参数!$AO$12,P347*0.03))+AB347*方案参数!$BZ$12*0.025+0.1+IF(方案参数!$BZ$12&gt;=30,方案参数!$BZ$12*0.01,0)-配置与结果!$B$28)</f>
        <v>1.5550000000000002</v>
      </c>
      <c r="AH347" s="1">
        <f>MAX(0,1+INDEX(配置与结果!$G$15:$G$18,F347)+W347*方案参数!$AG$12)</f>
        <v>1.3</v>
      </c>
      <c r="AI347" s="1">
        <f>IF(OR(INDEX(配置与结果!$K$15:$K$18,F347)=1,G347="RHI_BERRY"),1+配置与结果!$B$33+P347*方案参数!$AH$12,1)</f>
        <v>1</v>
      </c>
      <c r="AJ347" s="1">
        <f>MIN(1,MAX(0,J347+方案参数!$AB$12-配置与结果!$B$27))</f>
        <v>0.96699999999999997</v>
      </c>
      <c r="AK347" s="1">
        <f>MAX(1,K347+IF(F347=2,0.15+方案参数!$CH$12,0)+BN347*方案参数!$X$12+R347*方案参数!$AA$12+0-配置与结果!$B$26+Z347*(方案参数!$AP$12+MIN(方案参数!$AQ$12,P347*0.03)))</f>
        <v>1.8169999999999999</v>
      </c>
      <c r="AL347" s="7">
        <f>ROUNDDOWN(MAX(AD347*配置与结果!$B$31,AD347-AE347)*AF347*AG347*AH347*AI347,0)</f>
        <v>15362</v>
      </c>
      <c r="AM347" s="7">
        <f>ROUNDDOWN(MAX(AD347*配置与结果!$B$31,AD347-AE347)*AF347*AG347*AH347*AI347*AK347,0)</f>
        <v>27913</v>
      </c>
      <c r="AN347" s="7">
        <f t="shared" si="458"/>
        <v>27498.816999999999</v>
      </c>
      <c r="AO347" s="7">
        <f>0</f>
        <v>0</v>
      </c>
      <c r="AP347" s="7">
        <f>MAX(0,1+INDEX(配置与结果!$J$15:$J$18,F347)+IF(T347&gt;0,方案参数!$BY$12,0)-配置与结果!$B$30)</f>
        <v>2</v>
      </c>
      <c r="AQ347" s="7">
        <f t="shared" si="459"/>
        <v>0</v>
      </c>
      <c r="AR347" s="7">
        <f t="shared" si="460"/>
        <v>0</v>
      </c>
      <c r="AS347" s="7">
        <f t="shared" si="461"/>
        <v>0</v>
      </c>
      <c r="AT347" s="7">
        <f>0</f>
        <v>0</v>
      </c>
      <c r="AU347" s="7">
        <f t="shared" si="462"/>
        <v>27498.816999999999</v>
      </c>
      <c r="AV347" s="1">
        <f t="shared" si="463"/>
        <v>2</v>
      </c>
      <c r="AW347" s="1">
        <f t="shared" si="493"/>
        <v>10</v>
      </c>
      <c r="AX347" s="1">
        <f t="shared" si="464"/>
        <v>2</v>
      </c>
      <c r="AY347" s="1">
        <f t="shared" si="487"/>
        <v>6</v>
      </c>
      <c r="AZ347" s="1">
        <f t="shared" si="465"/>
        <v>5</v>
      </c>
      <c r="BA347" s="1">
        <f t="shared" si="501"/>
        <v>5</v>
      </c>
      <c r="BB347" s="1">
        <f>MIN(30,R347+0)</f>
        <v>10</v>
      </c>
      <c r="BC347" s="1">
        <f>MIN(3,S347+1)</f>
        <v>3</v>
      </c>
      <c r="BD347" s="1">
        <f t="shared" si="488"/>
        <v>1</v>
      </c>
      <c r="BE347" s="1">
        <f t="shared" si="481"/>
        <v>0</v>
      </c>
      <c r="BF347" s="1">
        <f>MIN(4,V347+0)</f>
        <v>3</v>
      </c>
      <c r="BG347" s="1">
        <f t="shared" si="498"/>
        <v>1</v>
      </c>
      <c r="BH347" s="1">
        <f t="shared" si="482"/>
        <v>1</v>
      </c>
      <c r="BI347" s="1">
        <f t="shared" si="499"/>
        <v>1</v>
      </c>
      <c r="BJ347" s="1">
        <f t="shared" si="502"/>
        <v>1</v>
      </c>
      <c r="BK347" s="1">
        <f t="shared" si="503"/>
        <v>1</v>
      </c>
      <c r="BL347" s="1">
        <f t="shared" si="454"/>
        <v>0</v>
      </c>
      <c r="BM347" s="1">
        <f t="shared" si="506"/>
        <v>1</v>
      </c>
      <c r="BN347" s="1">
        <f t="shared" si="483"/>
        <v>1</v>
      </c>
      <c r="BO347" s="1">
        <f t="shared" si="484"/>
        <v>1</v>
      </c>
    </row>
    <row r="348" spans="1:67" ht="30.95" customHeight="1">
      <c r="A348" s="1">
        <f>9</f>
        <v>9</v>
      </c>
      <c r="B348" s="1">
        <f>固定流程!A24</f>
        <v>19</v>
      </c>
      <c r="C348" s="1">
        <f>12</f>
        <v>12</v>
      </c>
      <c r="D348" s="1">
        <f>1</f>
        <v>1</v>
      </c>
      <c r="E348" s="1">
        <f>固定流程!C24</f>
        <v>3</v>
      </c>
      <c r="F348" s="1">
        <f>固定流程!G24</f>
        <v>4</v>
      </c>
      <c r="G348" s="1" t="str">
        <f>固定流程!H24</f>
        <v>J_ULT</v>
      </c>
      <c r="H348" s="1">
        <f>固定流程!F24</f>
        <v>1</v>
      </c>
      <c r="I348" s="1">
        <f>INDEX(配置与结果!$B$15:$B$18,F348)</f>
        <v>1906</v>
      </c>
      <c r="J348" s="1">
        <f>INDEX(配置与结果!$D$15:$D$18,F348)</f>
        <v>0.36699999999999999</v>
      </c>
      <c r="K348" s="1">
        <f>INDEX(配置与结果!$E$15:$E$18,F348)</f>
        <v>1.7170000000000001</v>
      </c>
      <c r="L348" s="1">
        <f t="shared" si="495"/>
        <v>2</v>
      </c>
      <c r="M348" s="1">
        <f t="shared" si="496"/>
        <v>10</v>
      </c>
      <c r="N348" s="1">
        <f t="shared" si="497"/>
        <v>2</v>
      </c>
      <c r="O348" s="1">
        <f t="shared" si="489"/>
        <v>6</v>
      </c>
      <c r="P348" s="1">
        <f>MIN(方案参数!$AI$12,AZ347+0+0)</f>
        <v>5</v>
      </c>
      <c r="Q348" s="1">
        <f t="shared" si="467"/>
        <v>5</v>
      </c>
      <c r="R348" s="1">
        <f t="shared" si="468"/>
        <v>10</v>
      </c>
      <c r="S348" s="1">
        <f t="shared" si="469"/>
        <v>3</v>
      </c>
      <c r="T348" s="1">
        <f t="shared" si="504"/>
        <v>1</v>
      </c>
      <c r="U348" s="1">
        <f t="shared" si="471"/>
        <v>0</v>
      </c>
      <c r="V348" s="1">
        <f t="shared" si="472"/>
        <v>3</v>
      </c>
      <c r="W348" s="1">
        <f t="shared" si="473"/>
        <v>1</v>
      </c>
      <c r="X348" s="1">
        <f t="shared" si="474"/>
        <v>1</v>
      </c>
      <c r="Y348" s="1">
        <f t="shared" si="475"/>
        <v>1</v>
      </c>
      <c r="Z348" s="1">
        <f t="shared" si="476"/>
        <v>1</v>
      </c>
      <c r="AA348" s="1">
        <f t="shared" si="500"/>
        <v>1</v>
      </c>
      <c r="AB348" s="1">
        <f t="shared" si="478"/>
        <v>0</v>
      </c>
      <c r="AC348" s="1">
        <f t="shared" si="505"/>
        <v>1</v>
      </c>
      <c r="AD348" s="1">
        <f>ROUNDDOWN(I348*(1+IF(F348=3,0.05+方案参数!$Y$12+AA348*0.12,IF(F348=4,方案参数!$BZ$12*方案参数!$AS$12,0)))+IF(AND(X348=1,F348&lt;&gt;3),方案参数!$CC$12,0)+AC348*方案参数!$CB$12,0)</f>
        <v>3311</v>
      </c>
      <c r="AE348" s="1">
        <f>IF(OR(F348=1,F348=4),配置与结果!$B$24,配置与结果!$B$25)*MAX(0,1-INDEX(配置与结果!$I$15:$I$18,F348))</f>
        <v>1200</v>
      </c>
      <c r="AF348" s="1">
        <f>方案参数!$AT$12+MAX(0,配置与结果!$H$26+方案参数!$BZ$12-30)*方案参数!$AU$12*配置与结果!$H$27</f>
        <v>42</v>
      </c>
      <c r="AG348" s="1">
        <f>MAX(配置与结果!$B$32,1+INDEX(配置与结果!$F$15:$F$18,F348)+0.08+Q348*方案参数!$W$12+Y348*(方案参数!$AN$12+MIN(方案参数!$AO$12,P348*0.03))+AB348*方案参数!$BZ$12*0.025-配置与结果!$B$28)</f>
        <v>1.105</v>
      </c>
      <c r="AH348" s="1">
        <f>MAX(0,1+INDEX(配置与结果!$H$15:$H$18,F348)+W348*方案参数!$AG$12+S348*方案参数!$Z$12)</f>
        <v>1.42</v>
      </c>
      <c r="AI348" s="1">
        <f>IF(OR(INDEX(配置与结果!$K$15:$K$18,F348)=1,G348="RHI_BERRY"),1+配置与结果!$B$33+P348*方案参数!$AH$12,1)</f>
        <v>1</v>
      </c>
      <c r="AJ348" s="1">
        <f>MIN(1,MAX(0,J348+方案参数!$AB$12-配置与结果!$B$27))</f>
        <v>0.96699999999999997</v>
      </c>
      <c r="AK348" s="1">
        <f>MAX(1,K348+IF(F348=2,0.15+方案参数!$CH$12,0)+BN348*方案参数!$X$12+R348*方案参数!$AA$12+0-配置与结果!$B$26+Z348*(方案参数!$AP$12+MIN(方案参数!$AQ$12,P348*0.03)))</f>
        <v>1.8169999999999999</v>
      </c>
      <c r="AL348" s="7">
        <f>ROUNDDOWN(MAX(AD348*配置与结果!$B$31,AD348-AE348)*AF348*AG348*AH348*AI348,0)</f>
        <v>139119</v>
      </c>
      <c r="AM348" s="7">
        <f>ROUNDDOWN(MAX(AD348*配置与结果!$B$31,AD348-AE348)*AF348*AG348*AH348*AI348*AK348,0)</f>
        <v>252780</v>
      </c>
      <c r="AN348" s="7">
        <f t="shared" si="458"/>
        <v>249029.18699999998</v>
      </c>
      <c r="AO348" s="7">
        <f>0</f>
        <v>0</v>
      </c>
      <c r="AP348" s="7">
        <f>MAX(0,1+INDEX(配置与结果!$J$15:$J$18,F348)+IF(T348&gt;0,方案参数!$BY$12,0)-配置与结果!$B$30)</f>
        <v>2</v>
      </c>
      <c r="AQ348" s="7">
        <f t="shared" si="459"/>
        <v>0</v>
      </c>
      <c r="AR348" s="7">
        <f t="shared" si="460"/>
        <v>0</v>
      </c>
      <c r="AS348" s="7">
        <f t="shared" si="461"/>
        <v>0</v>
      </c>
      <c r="AT348" s="7">
        <f>0</f>
        <v>0</v>
      </c>
      <c r="AU348" s="7">
        <f t="shared" si="462"/>
        <v>249029.18699999998</v>
      </c>
      <c r="AV348" s="1">
        <f t="shared" si="463"/>
        <v>2</v>
      </c>
      <c r="AW348" s="1">
        <f t="shared" si="493"/>
        <v>10</v>
      </c>
      <c r="AX348" s="1">
        <f t="shared" si="464"/>
        <v>2</v>
      </c>
      <c r="AY348" s="1">
        <f t="shared" si="487"/>
        <v>6</v>
      </c>
      <c r="AZ348" s="1">
        <f t="shared" si="465"/>
        <v>5</v>
      </c>
      <c r="BA348" s="1">
        <f t="shared" si="501"/>
        <v>5</v>
      </c>
      <c r="BB348" s="1">
        <f>MIN(30,R348+5)</f>
        <v>15</v>
      </c>
      <c r="BC348" s="1">
        <f t="shared" ref="BC348:BC371" si="507">MIN(3,S348+0)</f>
        <v>3</v>
      </c>
      <c r="BD348" s="1">
        <f t="shared" si="488"/>
        <v>1</v>
      </c>
      <c r="BE348" s="1">
        <f t="shared" si="481"/>
        <v>0</v>
      </c>
      <c r="BF348" s="1">
        <f>MIN(4,V348+0)</f>
        <v>3</v>
      </c>
      <c r="BG348" s="1">
        <f t="shared" si="498"/>
        <v>1</v>
      </c>
      <c r="BH348" s="1">
        <f t="shared" si="482"/>
        <v>1</v>
      </c>
      <c r="BI348" s="1">
        <f t="shared" si="499"/>
        <v>1</v>
      </c>
      <c r="BJ348" s="1">
        <f t="shared" si="502"/>
        <v>1</v>
      </c>
      <c r="BK348" s="1">
        <f t="shared" si="503"/>
        <v>1</v>
      </c>
      <c r="BL348" s="1">
        <f>MAX(AB348,1)</f>
        <v>1</v>
      </c>
      <c r="BM348" s="1">
        <f t="shared" si="506"/>
        <v>1</v>
      </c>
      <c r="BN348" s="1">
        <f t="shared" si="483"/>
        <v>1</v>
      </c>
      <c r="BO348" s="1">
        <f t="shared" si="484"/>
        <v>1</v>
      </c>
    </row>
    <row r="349" spans="1:67" ht="30.95" customHeight="1">
      <c r="A349" s="1">
        <f>9</f>
        <v>9</v>
      </c>
      <c r="B349" s="1">
        <f>固定流程!A25</f>
        <v>20</v>
      </c>
      <c r="C349" s="1">
        <f>12</f>
        <v>12</v>
      </c>
      <c r="D349" s="1">
        <f>1</f>
        <v>1</v>
      </c>
      <c r="E349" s="1">
        <f>固定流程!C25</f>
        <v>3</v>
      </c>
      <c r="F349" s="1">
        <f>固定流程!G25</f>
        <v>1</v>
      </c>
      <c r="G349" s="1" t="str">
        <f>固定流程!H25</f>
        <v>LILYA_ULT</v>
      </c>
      <c r="H349" s="1">
        <f>固定流程!F25</f>
        <v>1</v>
      </c>
      <c r="I349" s="1">
        <f>INDEX(配置与结果!$B$15:$B$18,F349)</f>
        <v>2296</v>
      </c>
      <c r="J349" s="1">
        <f>INDEX(配置与结果!$D$15:$D$18,F349)</f>
        <v>0.7</v>
      </c>
      <c r="K349" s="1">
        <f>INDEX(配置与结果!$E$15:$E$18,F349)</f>
        <v>2.0249999999999999</v>
      </c>
      <c r="L349" s="1">
        <f t="shared" si="495"/>
        <v>2</v>
      </c>
      <c r="M349" s="1">
        <f t="shared" si="496"/>
        <v>10</v>
      </c>
      <c r="N349" s="1">
        <f t="shared" si="497"/>
        <v>2</v>
      </c>
      <c r="O349" s="1">
        <f t="shared" si="489"/>
        <v>6</v>
      </c>
      <c r="P349" s="1">
        <f>MIN(方案参数!$AI$12,AZ348+0+0)</f>
        <v>5</v>
      </c>
      <c r="Q349" s="1">
        <f t="shared" si="467"/>
        <v>5</v>
      </c>
      <c r="R349" s="1">
        <f t="shared" si="468"/>
        <v>15</v>
      </c>
      <c r="S349" s="1">
        <f t="shared" si="469"/>
        <v>3</v>
      </c>
      <c r="T349" s="1">
        <f t="shared" si="504"/>
        <v>1</v>
      </c>
      <c r="U349" s="1">
        <f t="shared" si="471"/>
        <v>0</v>
      </c>
      <c r="V349" s="1">
        <f t="shared" si="472"/>
        <v>3</v>
      </c>
      <c r="W349" s="1">
        <f t="shared" si="473"/>
        <v>1</v>
      </c>
      <c r="X349" s="1">
        <f t="shared" si="474"/>
        <v>1</v>
      </c>
      <c r="Y349" s="1">
        <f t="shared" si="475"/>
        <v>1</v>
      </c>
      <c r="Z349" s="1">
        <f t="shared" si="476"/>
        <v>1</v>
      </c>
      <c r="AA349" s="1">
        <f t="shared" si="500"/>
        <v>1</v>
      </c>
      <c r="AB349" s="1">
        <f t="shared" si="478"/>
        <v>1</v>
      </c>
      <c r="AC349" s="1">
        <f t="shared" si="505"/>
        <v>1</v>
      </c>
      <c r="AD349" s="1">
        <f>ROUNDDOWN(I349*(1+IF(F349=3,0.05+方案参数!$Y$12+AA349*0.12,IF(F349=4,方案参数!$BZ$12*方案参数!$AS$12,0)))+IF(AND(X349=1,F349&lt;&gt;3),方案参数!$CC$12,0)+AC349*方案参数!$CB$12,0)</f>
        <v>3034</v>
      </c>
      <c r="AE349" s="1">
        <f>IF(OR(F349=1,F349=4),配置与结果!$B$24,配置与结果!$B$25)*MAX(0,1-INDEX(配置与结果!$I$15:$I$18,F349)+IF(O349&gt;=6,方案参数!$BK$12,0))</f>
        <v>1440</v>
      </c>
      <c r="AF349" s="1">
        <f>方案参数!$BG$12+IF(O349&gt;=6,方案参数!$BH$12,0)</f>
        <v>36</v>
      </c>
      <c r="AG349" s="1">
        <f>MAX(配置与结果!$B$32,1+INDEX(配置与结果!$F$15:$F$18,F349)+0.08+方案参数!$CD$12+Q349*方案参数!$W$12+Y349*(方案参数!$AN$12+MIN(方案参数!$AO$12,P349*0.03))+AB349*方案参数!$BZ$12*0.025-配置与结果!$B$28)</f>
        <v>2.2150000000000003</v>
      </c>
      <c r="AH349" s="1">
        <f>MAX(0,1+INDEX(配置与结果!$H$15:$H$18,F349)+W349*方案参数!$AG$12+O349*方案参数!$BF$12+IF(O349&gt;=6,方案参数!$BI$12,0))</f>
        <v>2.4500000000000002</v>
      </c>
      <c r="AI349" s="1">
        <f>IF(OR(INDEX(配置与结果!$K$15:$K$18,F349)=1,G349="RHI_BERRY"),1+配置与结果!$B$33+P349*方案参数!$AH$12,1)</f>
        <v>1</v>
      </c>
      <c r="AJ349" s="1">
        <f>MIN(1,MAX(0,J349+方案参数!$AB$12-配置与结果!$B$27))</f>
        <v>1</v>
      </c>
      <c r="AK349" s="1">
        <f>MAX(1,K349+IF(F349=2,0.15+方案参数!$CH$12,0)+BN349*方案参数!$X$12+R349*方案参数!$AA$12+IF(O349&gt;=6,方案参数!$BJ$12,0)-配置与结果!$B$26+Z349*(方案参数!$AP$12+MIN(方案参数!$AQ$12,P349*0.03)))</f>
        <v>3.145</v>
      </c>
      <c r="AL349" s="7">
        <f>ROUNDDOWN(MAX(AD349*配置与结果!$B$31,AD349-AE349)*AF349*AG349*AH349*AI349,0)</f>
        <v>311408</v>
      </c>
      <c r="AM349" s="7">
        <f>ROUNDDOWN(MAX(AD349*配置与结果!$B$31,AD349-AE349)*AF349*AG349*AH349*AI349*AK349,0)</f>
        <v>979380</v>
      </c>
      <c r="AN349" s="7">
        <f t="shared" si="458"/>
        <v>979380</v>
      </c>
      <c r="AO349" s="7">
        <f>0</f>
        <v>0</v>
      </c>
      <c r="AP349" s="7">
        <f>MAX(0,1+INDEX(配置与结果!$J$15:$J$18,F349)+IF(T349&gt;0,方案参数!$BY$12,0)-配置与结果!$B$30)</f>
        <v>2</v>
      </c>
      <c r="AQ349" s="7">
        <f t="shared" si="459"/>
        <v>0</v>
      </c>
      <c r="AR349" s="7">
        <f t="shared" si="460"/>
        <v>0</v>
      </c>
      <c r="AS349" s="7">
        <f t="shared" si="461"/>
        <v>0</v>
      </c>
      <c r="AT349" s="7">
        <f>0</f>
        <v>0</v>
      </c>
      <c r="AU349" s="7">
        <f t="shared" si="462"/>
        <v>979380</v>
      </c>
      <c r="AV349" s="1">
        <f t="shared" si="463"/>
        <v>2</v>
      </c>
      <c r="AW349" s="1">
        <f t="shared" si="493"/>
        <v>10</v>
      </c>
      <c r="AX349" s="1">
        <f t="shared" si="464"/>
        <v>2</v>
      </c>
      <c r="AY349" s="1">
        <f>MIN(20,MAX(0,O349+0+0-IF(O349&gt;=6,6,0)))</f>
        <v>0</v>
      </c>
      <c r="AZ349" s="1">
        <f t="shared" si="465"/>
        <v>5</v>
      </c>
      <c r="BA349" s="1">
        <f t="shared" si="501"/>
        <v>5</v>
      </c>
      <c r="BB349" s="1">
        <f>MIN(30,R349+5)</f>
        <v>20</v>
      </c>
      <c r="BC349" s="1">
        <f t="shared" si="507"/>
        <v>3</v>
      </c>
      <c r="BD349" s="1">
        <f t="shared" si="488"/>
        <v>1</v>
      </c>
      <c r="BE349" s="1">
        <f t="shared" si="481"/>
        <v>0</v>
      </c>
      <c r="BF349" s="1">
        <f>MIN(4,V349+0)</f>
        <v>3</v>
      </c>
      <c r="BG349" s="1">
        <f t="shared" si="498"/>
        <v>1</v>
      </c>
      <c r="BH349" s="1">
        <f t="shared" si="482"/>
        <v>1</v>
      </c>
      <c r="BI349" s="1">
        <f t="shared" si="499"/>
        <v>1</v>
      </c>
      <c r="BJ349" s="1">
        <f t="shared" si="502"/>
        <v>1</v>
      </c>
      <c r="BK349" s="1">
        <f t="shared" si="503"/>
        <v>1</v>
      </c>
      <c r="BL349" s="1">
        <f t="shared" ref="BL349:BL383" si="508">MAX(AB349,0)</f>
        <v>1</v>
      </c>
      <c r="BM349" s="1">
        <f t="shared" si="506"/>
        <v>1</v>
      </c>
      <c r="BN349" s="1">
        <f t="shared" si="483"/>
        <v>1</v>
      </c>
      <c r="BO349" s="1">
        <f t="shared" si="484"/>
        <v>1</v>
      </c>
    </row>
    <row r="350" spans="1:67" ht="30.95" customHeight="1">
      <c r="A350" s="1">
        <f>9</f>
        <v>9</v>
      </c>
      <c r="B350" s="1">
        <f>固定流程!A26</f>
        <v>21</v>
      </c>
      <c r="C350" s="1">
        <f>12</f>
        <v>12</v>
      </c>
      <c r="D350" s="1">
        <f>1</f>
        <v>1</v>
      </c>
      <c r="E350" s="1">
        <f>固定流程!C26</f>
        <v>3</v>
      </c>
      <c r="F350" s="1">
        <f>固定流程!G26</f>
        <v>1</v>
      </c>
      <c r="G350" s="1" t="str">
        <f>固定流程!H26</f>
        <v>LILYA_DIVE</v>
      </c>
      <c r="H350" s="1">
        <f>固定流程!F26</f>
        <v>3</v>
      </c>
      <c r="I350" s="1">
        <f>INDEX(配置与结果!$B$15:$B$18,F350)</f>
        <v>2296</v>
      </c>
      <c r="J350" s="1">
        <f>INDEX(配置与结果!$D$15:$D$18,F350)</f>
        <v>0.7</v>
      </c>
      <c r="K350" s="1">
        <f>INDEX(配置与结果!$E$15:$E$18,F350)</f>
        <v>2.0249999999999999</v>
      </c>
      <c r="L350" s="1">
        <f t="shared" si="495"/>
        <v>2</v>
      </c>
      <c r="M350" s="1">
        <f t="shared" si="496"/>
        <v>10</v>
      </c>
      <c r="N350" s="1">
        <f t="shared" si="497"/>
        <v>2</v>
      </c>
      <c r="O350" s="1">
        <f t="shared" si="489"/>
        <v>0</v>
      </c>
      <c r="P350" s="1">
        <f>MIN(方案参数!$AI$12,AZ349+0+0)</f>
        <v>5</v>
      </c>
      <c r="Q350" s="1">
        <f t="shared" si="467"/>
        <v>5</v>
      </c>
      <c r="R350" s="1">
        <f t="shared" si="468"/>
        <v>20</v>
      </c>
      <c r="S350" s="1">
        <f t="shared" si="469"/>
        <v>3</v>
      </c>
      <c r="T350" s="1">
        <f t="shared" si="504"/>
        <v>1</v>
      </c>
      <c r="U350" s="1">
        <f t="shared" si="471"/>
        <v>0</v>
      </c>
      <c r="V350" s="1">
        <f t="shared" si="472"/>
        <v>3</v>
      </c>
      <c r="W350" s="1">
        <f t="shared" si="473"/>
        <v>1</v>
      </c>
      <c r="X350" s="1">
        <f t="shared" si="474"/>
        <v>1</v>
      </c>
      <c r="Y350" s="1">
        <f t="shared" si="475"/>
        <v>1</v>
      </c>
      <c r="Z350" s="1">
        <f t="shared" si="476"/>
        <v>1</v>
      </c>
      <c r="AA350" s="1">
        <f t="shared" si="500"/>
        <v>1</v>
      </c>
      <c r="AB350" s="1">
        <f t="shared" si="478"/>
        <v>1</v>
      </c>
      <c r="AC350" s="1">
        <f t="shared" si="505"/>
        <v>1</v>
      </c>
      <c r="AD350" s="1">
        <f>ROUNDDOWN(I350*(1+IF(F350=3,0.05+方案参数!$Y$12+AA350*0.12,IF(F350=4,方案参数!$BZ$12*方案参数!$AS$12,0)))+IF(AND(X350=1,F350&lt;&gt;3),方案参数!$CC$12,0)+AC350*方案参数!$CB$12,0)</f>
        <v>3034</v>
      </c>
      <c r="AE350" s="1">
        <f>IF(OR(F350=1,F350=4),配置与结果!$B$24,配置与结果!$B$25)*MAX(0,1-INDEX(配置与结果!$I$15:$I$18,F350))</f>
        <v>1200</v>
      </c>
      <c r="AF350" s="1">
        <f>(IF(L350=1,方案参数!$AW$12,IF(L350=2,方案参数!$AX$12,0))+方案参数!$AV$12)*H350</f>
        <v>30</v>
      </c>
      <c r="AG350" s="1">
        <f>MAX(配置与结果!$B$32,1+INDEX(配置与结果!$F$15:$F$18,F350)+0.08+方案参数!$CD$12+Q350*方案参数!$W$12+Y350*(方案参数!$AN$12+MIN(方案参数!$AO$12,P350*0.03))+AB350*方案参数!$BZ$12*0.025+IF(L350=1,方案参数!$AY$12+(H350-1)*0.1,IF(L350=2,方案参数!$AZ$12+(H350-1)*0.2,0))-配置与结果!$B$28)</f>
        <v>2.8150000000000004</v>
      </c>
      <c r="AH350" s="1">
        <f>MAX(0,1+INDEX(配置与结果!$G$15:$G$18,F350)+W350*方案参数!$AG$12+IF(L350=1,方案参数!$BA$12,IF(L350=2,方案参数!$BB$12,0))+M350*方案参数!$BC$12)</f>
        <v>3.1</v>
      </c>
      <c r="AI350" s="1">
        <f>IF(OR(INDEX(配置与结果!$K$15:$K$18,F350)=1,G350="RHI_BERRY"),1+配置与结果!$B$33+P350*方案参数!$AH$12,1)</f>
        <v>1</v>
      </c>
      <c r="AJ350" s="1">
        <f>MIN(1,MAX(0,J350+方案参数!$AB$12-配置与结果!$B$27))</f>
        <v>1</v>
      </c>
      <c r="AK350" s="1">
        <f>MAX(1,K350+IF(F350=2,0.15+方案参数!$CH$12,0)+BN350*方案参数!$X$12+R350*方案参数!$AA$12+0-配置与结果!$B$26+Z350*(方案参数!$AP$12+MIN(方案参数!$AQ$12,P350*0.03)))</f>
        <v>2.165</v>
      </c>
      <c r="AL350" s="7">
        <f>ROUNDDOWN(MAX(AD350*配置与结果!$B$31,AD350-AE350)*AF350*AG350*AH350*AI350,0)</f>
        <v>480132</v>
      </c>
      <c r="AM350" s="7">
        <f>ROUNDDOWN(MAX(AD350*配置与结果!$B$31,AD350-AE350)*AF350*AG350*AH350*AI350*AK350,0)</f>
        <v>1039485</v>
      </c>
      <c r="AN350" s="7">
        <f t="shared" si="458"/>
        <v>1039485</v>
      </c>
      <c r="AO350" s="7">
        <f>0</f>
        <v>0</v>
      </c>
      <c r="AP350" s="7">
        <f>MAX(0,1+INDEX(配置与结果!$J$15:$J$18,F350)+IF(T350&gt;0,方案参数!$BY$12,0)-配置与结果!$B$30)</f>
        <v>2</v>
      </c>
      <c r="AQ350" s="7">
        <f t="shared" si="459"/>
        <v>0</v>
      </c>
      <c r="AR350" s="7">
        <f t="shared" si="460"/>
        <v>0</v>
      </c>
      <c r="AS350" s="7">
        <f t="shared" si="461"/>
        <v>0</v>
      </c>
      <c r="AT350" s="7">
        <f>0</f>
        <v>0</v>
      </c>
      <c r="AU350" s="7">
        <f t="shared" si="462"/>
        <v>1039485</v>
      </c>
      <c r="AV350" s="1">
        <f t="shared" si="463"/>
        <v>2</v>
      </c>
      <c r="AW350" s="1">
        <f>MIN(10,M350+0+IF(L350=1,方案参数!$BE$12,0))</f>
        <v>10</v>
      </c>
      <c r="AX350" s="1">
        <f t="shared" si="464"/>
        <v>2</v>
      </c>
      <c r="AY350" s="1">
        <f>MIN(20,MAX(0,O350+0+0-0))</f>
        <v>0</v>
      </c>
      <c r="AZ350" s="1">
        <f t="shared" si="465"/>
        <v>5</v>
      </c>
      <c r="BA350" s="1">
        <f t="shared" si="501"/>
        <v>5</v>
      </c>
      <c r="BB350" s="1">
        <f t="shared" ref="BB350:BB365" si="509">MIN(30,R350+0)</f>
        <v>20</v>
      </c>
      <c r="BC350" s="1">
        <f t="shared" si="507"/>
        <v>3</v>
      </c>
      <c r="BD350" s="1">
        <f t="shared" si="488"/>
        <v>1</v>
      </c>
      <c r="BE350" s="1">
        <f t="shared" si="481"/>
        <v>0</v>
      </c>
      <c r="BF350" s="1">
        <f>MIN(4,V350+0)</f>
        <v>3</v>
      </c>
      <c r="BG350" s="1">
        <f t="shared" si="498"/>
        <v>1</v>
      </c>
      <c r="BH350" s="1">
        <f t="shared" si="482"/>
        <v>1</v>
      </c>
      <c r="BI350" s="1">
        <f t="shared" si="499"/>
        <v>1</v>
      </c>
      <c r="BJ350" s="1">
        <f t="shared" si="502"/>
        <v>1</v>
      </c>
      <c r="BK350" s="1">
        <f t="shared" si="503"/>
        <v>1</v>
      </c>
      <c r="BL350" s="1">
        <f t="shared" si="508"/>
        <v>1</v>
      </c>
      <c r="BM350" s="1">
        <f t="shared" si="506"/>
        <v>1</v>
      </c>
      <c r="BN350" s="1">
        <f t="shared" si="483"/>
        <v>1</v>
      </c>
      <c r="BO350" s="1">
        <f t="shared" si="484"/>
        <v>1</v>
      </c>
    </row>
    <row r="351" spans="1:67" ht="30.95" customHeight="1">
      <c r="A351" s="1">
        <f>9</f>
        <v>9</v>
      </c>
      <c r="B351" s="1">
        <f>固定流程!A27</f>
        <v>22</v>
      </c>
      <c r="C351" s="1">
        <f>12</f>
        <v>12</v>
      </c>
      <c r="D351" s="1">
        <f>1</f>
        <v>1</v>
      </c>
      <c r="E351" s="1">
        <f>固定流程!C27</f>
        <v>3</v>
      </c>
      <c r="F351" s="1">
        <f>固定流程!G27</f>
        <v>3</v>
      </c>
      <c r="G351" s="1" t="str">
        <f>固定流程!H27</f>
        <v>RHI_BERRY</v>
      </c>
      <c r="H351" s="1">
        <f>固定流程!F27</f>
        <v>1</v>
      </c>
      <c r="I351" s="1">
        <f>INDEX(配置与结果!$B$15:$B$18,F351)</f>
        <v>2597</v>
      </c>
      <c r="J351" s="1">
        <f>INDEX(配置与结果!$D$15:$D$18,F351)</f>
        <v>0.255</v>
      </c>
      <c r="K351" s="1">
        <f>INDEX(配置与结果!$E$15:$E$18,F351)</f>
        <v>1.55</v>
      </c>
      <c r="L351" s="1">
        <f t="shared" si="495"/>
        <v>2</v>
      </c>
      <c r="M351" s="1">
        <f t="shared" si="496"/>
        <v>10</v>
      </c>
      <c r="N351" s="1">
        <f t="shared" si="497"/>
        <v>2</v>
      </c>
      <c r="O351" s="1">
        <f t="shared" si="489"/>
        <v>0</v>
      </c>
      <c r="P351" s="1">
        <f>MIN(方案参数!$AI$12,AZ350+0+0)</f>
        <v>5</v>
      </c>
      <c r="Q351" s="1">
        <f t="shared" si="467"/>
        <v>5</v>
      </c>
      <c r="R351" s="1">
        <f t="shared" si="468"/>
        <v>20</v>
      </c>
      <c r="S351" s="1">
        <f t="shared" si="469"/>
        <v>3</v>
      </c>
      <c r="T351" s="1">
        <f t="shared" si="504"/>
        <v>1</v>
      </c>
      <c r="U351" s="1">
        <f t="shared" si="471"/>
        <v>0</v>
      </c>
      <c r="V351" s="1">
        <f t="shared" si="472"/>
        <v>3</v>
      </c>
      <c r="W351" s="1">
        <f t="shared" si="473"/>
        <v>1</v>
      </c>
      <c r="X351" s="1">
        <f t="shared" si="474"/>
        <v>1</v>
      </c>
      <c r="Y351" s="1">
        <f t="shared" si="475"/>
        <v>1</v>
      </c>
      <c r="Z351" s="1">
        <f t="shared" si="476"/>
        <v>1</v>
      </c>
      <c r="AA351" s="1">
        <f t="shared" si="500"/>
        <v>1</v>
      </c>
      <c r="AB351" s="1">
        <f t="shared" si="478"/>
        <v>1</v>
      </c>
      <c r="AC351" s="1">
        <f t="shared" si="505"/>
        <v>1</v>
      </c>
      <c r="AD351" s="1">
        <f>ROUNDDOWN(I351*(1+IF(F351=3,0.05+方案参数!$Y$12+AA351*0.12,IF(F351=4,方案参数!$BZ$12*方案参数!$AS$12,0)))+IF(AND(X351=1,F351&lt;&gt;3),方案参数!$CC$12,0)+AC351*方案参数!$CB$12,0)</f>
        <v>3798</v>
      </c>
      <c r="AE351" s="1">
        <f>IF(OR(F351=1,F351=4),配置与结果!$B$24,配置与结果!$B$25)*MAX(0,1-INDEX(配置与结果!$I$15:$I$18,F351))</f>
        <v>1000</v>
      </c>
      <c r="AF351" s="1">
        <f>方案参数!$CF$12+P351*方案参数!$CG$12</f>
        <v>22.5</v>
      </c>
      <c r="AG351" s="1">
        <f>MAX(配置与结果!$B$32,1+INDEX(配置与结果!$F$15:$F$18,F351)+0+Q351*方案参数!$W$12+Y351*(方案参数!$AN$12+MIN(方案参数!$AO$12,P351*0.03))+AB351*方案参数!$BZ$12*0.025-配置与结果!$B$28)</f>
        <v>1.9100000000000001</v>
      </c>
      <c r="AH351" s="1">
        <f>MAX(0,1+INDEX(配置与结果!$G$15:$G$18,F351)+W351*方案参数!$AG$12)</f>
        <v>1.3</v>
      </c>
      <c r="AI351" s="1">
        <f>IF(OR(INDEX(配置与结果!$K$15:$K$18,F351)=1,G351="RHI_BERRY"),1+配置与结果!$B$33+P351*方案参数!$AH$12,1)</f>
        <v>1.5</v>
      </c>
      <c r="AJ351" s="1">
        <f>MIN(1,MAX(0,J351+方案参数!$AB$12-配置与结果!$B$27))</f>
        <v>0.85499999999999998</v>
      </c>
      <c r="AK351" s="1">
        <f>MAX(1,K351+IF(F351=2,0.15+方案参数!$CH$12,0)+BN351*方案参数!$X$12+R351*方案参数!$AA$12+0-配置与结果!$B$26+Z351*(方案参数!$AP$12+MIN(方案参数!$AQ$12,P351*0.03)))</f>
        <v>1.6900000000000002</v>
      </c>
      <c r="AL351" s="7">
        <f>ROUNDDOWN(MAX(AD351*配置与结果!$B$31,AD351-AE351)*AF351*AG351*AH351*AI351,0)</f>
        <v>234475</v>
      </c>
      <c r="AM351" s="7">
        <f>ROUNDDOWN(MAX(AD351*配置与结果!$B$31,AD351-AE351)*AF351*AG351*AH351*AI351*AK351,0)</f>
        <v>396264</v>
      </c>
      <c r="AN351" s="7">
        <f t="shared" si="458"/>
        <v>372804.59499999997</v>
      </c>
      <c r="AO351" s="7">
        <f>0</f>
        <v>0</v>
      </c>
      <c r="AP351" s="7">
        <f>MAX(0,1+INDEX(配置与结果!$J$15:$J$18,F351)+IF(T351&gt;0,方案参数!$BY$12,0)-配置与结果!$B$30)</f>
        <v>2</v>
      </c>
      <c r="AQ351" s="7">
        <f t="shared" si="459"/>
        <v>0</v>
      </c>
      <c r="AR351" s="7">
        <f t="shared" si="460"/>
        <v>0</v>
      </c>
      <c r="AS351" s="7">
        <f t="shared" si="461"/>
        <v>0</v>
      </c>
      <c r="AT351" s="7">
        <f>0</f>
        <v>0</v>
      </c>
      <c r="AU351" s="7">
        <f t="shared" si="462"/>
        <v>372804.59499999997</v>
      </c>
      <c r="AV351" s="1">
        <f t="shared" si="463"/>
        <v>2</v>
      </c>
      <c r="AW351" s="1">
        <f t="shared" ref="AW351:AW367" si="510">MIN(10,M351+0+0)</f>
        <v>10</v>
      </c>
      <c r="AX351" s="1">
        <f t="shared" si="464"/>
        <v>2</v>
      </c>
      <c r="AY351" s="1">
        <f>MIN(20,MAX(0,O351+0+0-0))</f>
        <v>0</v>
      </c>
      <c r="AZ351" s="1">
        <f t="shared" si="465"/>
        <v>5</v>
      </c>
      <c r="BA351" s="1">
        <f t="shared" si="501"/>
        <v>5</v>
      </c>
      <c r="BB351" s="1">
        <f t="shared" si="509"/>
        <v>20</v>
      </c>
      <c r="BC351" s="1">
        <f t="shared" si="507"/>
        <v>3</v>
      </c>
      <c r="BD351" s="1">
        <f t="shared" si="488"/>
        <v>1</v>
      </c>
      <c r="BE351" s="1">
        <f t="shared" si="481"/>
        <v>0</v>
      </c>
      <c r="BF351" s="1">
        <f>MIN(4,V351+0)</f>
        <v>3</v>
      </c>
      <c r="BG351" s="1">
        <f t="shared" si="498"/>
        <v>1</v>
      </c>
      <c r="BH351" s="1">
        <f t="shared" si="482"/>
        <v>1</v>
      </c>
      <c r="BI351" s="1">
        <f t="shared" si="499"/>
        <v>1</v>
      </c>
      <c r="BJ351" s="1">
        <f t="shared" si="502"/>
        <v>1</v>
      </c>
      <c r="BK351" s="1">
        <f t="shared" si="503"/>
        <v>1</v>
      </c>
      <c r="BL351" s="1">
        <f t="shared" si="508"/>
        <v>1</v>
      </c>
      <c r="BM351" s="1">
        <f t="shared" si="506"/>
        <v>1</v>
      </c>
      <c r="BN351" s="1">
        <f t="shared" si="483"/>
        <v>1</v>
      </c>
      <c r="BO351" s="1">
        <f t="shared" si="484"/>
        <v>1</v>
      </c>
    </row>
    <row r="352" spans="1:67" ht="30.95" customHeight="1">
      <c r="A352" s="1">
        <f>9</f>
        <v>9</v>
      </c>
      <c r="B352" s="1">
        <f>固定流程!A28</f>
        <v>23</v>
      </c>
      <c r="C352" s="1">
        <f>12</f>
        <v>12</v>
      </c>
      <c r="D352" s="1">
        <f>1</f>
        <v>1</v>
      </c>
      <c r="E352" s="1">
        <f>固定流程!C28</f>
        <v>3</v>
      </c>
      <c r="F352" s="1">
        <f>固定流程!G28</f>
        <v>2</v>
      </c>
      <c r="G352" s="1" t="str">
        <f>固定流程!H28</f>
        <v>37_FOLLOW</v>
      </c>
      <c r="H352" s="1">
        <f>固定流程!F28</f>
        <v>1</v>
      </c>
      <c r="I352" s="1">
        <f>INDEX(配置与结果!$B$15:$B$18,F352)</f>
        <v>2306</v>
      </c>
      <c r="J352" s="1">
        <f>INDEX(配置与结果!$D$15:$D$18,F352)</f>
        <v>0.46</v>
      </c>
      <c r="K352" s="1">
        <f>INDEX(配置与结果!$E$15:$E$18,F352)</f>
        <v>1.9279999999999999</v>
      </c>
      <c r="L352" s="1">
        <f t="shared" si="495"/>
        <v>2</v>
      </c>
      <c r="M352" s="1">
        <f t="shared" si="496"/>
        <v>10</v>
      </c>
      <c r="N352" s="1">
        <f t="shared" si="497"/>
        <v>2</v>
      </c>
      <c r="O352" s="1">
        <f t="shared" si="489"/>
        <v>0</v>
      </c>
      <c r="P352" s="1">
        <f>MIN(方案参数!$AI$12,AZ351+0+0)</f>
        <v>5</v>
      </c>
      <c r="Q352" s="1">
        <f t="shared" si="467"/>
        <v>5</v>
      </c>
      <c r="R352" s="1">
        <f t="shared" si="468"/>
        <v>20</v>
      </c>
      <c r="S352" s="1">
        <f t="shared" si="469"/>
        <v>3</v>
      </c>
      <c r="T352" s="1">
        <f t="shared" si="504"/>
        <v>1</v>
      </c>
      <c r="U352" s="1">
        <f t="shared" si="471"/>
        <v>0</v>
      </c>
      <c r="V352" s="1">
        <f t="shared" si="472"/>
        <v>3</v>
      </c>
      <c r="W352" s="1">
        <f t="shared" si="473"/>
        <v>1</v>
      </c>
      <c r="X352" s="1">
        <f t="shared" si="474"/>
        <v>1</v>
      </c>
      <c r="Y352" s="1">
        <f t="shared" si="475"/>
        <v>1</v>
      </c>
      <c r="Z352" s="1">
        <f t="shared" si="476"/>
        <v>1</v>
      </c>
      <c r="AA352" s="1">
        <f t="shared" si="500"/>
        <v>1</v>
      </c>
      <c r="AB352" s="1">
        <f t="shared" si="478"/>
        <v>1</v>
      </c>
      <c r="AC352" s="1">
        <f t="shared" si="505"/>
        <v>1</v>
      </c>
      <c r="AD352" s="1">
        <f>ROUNDDOWN(I352*(1+IF(F352=3,0.05+方案参数!$Y$12+AA352*0.12,IF(F352=4,方案参数!$BZ$12*方案参数!$AS$12,0)))+IF(AND(X352=1,F352&lt;&gt;3),方案参数!$CC$12,0)+AC352*方案参数!$CB$12,0)</f>
        <v>3044</v>
      </c>
      <c r="AE352" s="1">
        <f>IF(OR(F352=1,F352=4),配置与结果!$B$24,配置与结果!$B$25)*MAX(0,1-INDEX(配置与结果!$I$15:$I$18,F352))</f>
        <v>1000</v>
      </c>
      <c r="AF352" s="1">
        <f>方案参数!$BV$12</f>
        <v>3</v>
      </c>
      <c r="AG352" s="1">
        <f>MAX(配置与结果!$B$32,1+INDEX(配置与结果!$F$15:$F$18,F352)+0+Q352*方案参数!$W$12+Y352*(方案参数!$AN$12+MIN(方案参数!$AO$12,P352*0.03))+AB352*方案参数!$BZ$12*0.025-配置与结果!$B$28)</f>
        <v>1.8800000000000003</v>
      </c>
      <c r="AH352" s="1">
        <f>MAX(0,1+INDEX(配置与结果!$G$15:$G$18,F352)+W352*方案参数!$AG$12)</f>
        <v>1.3</v>
      </c>
      <c r="AI352" s="1">
        <f>IF(OR(INDEX(配置与结果!$K$15:$K$18,F352)=1,G352="RHI_BERRY"),1+配置与结果!$B$33+P352*方案参数!$AH$12,1)</f>
        <v>1</v>
      </c>
      <c r="AJ352" s="1">
        <f>MIN(1,MAX(0,J352+方案参数!$AB$12-配置与结果!$B$27))</f>
        <v>1</v>
      </c>
      <c r="AK352" s="1">
        <f>MAX(1,K352+IF(F352=2,0.15+方案参数!$CH$12,0)+BN352*方案参数!$X$12+R352*方案参数!$AA$12+0-配置与结果!$B$26+Z352*(方案参数!$AP$12+MIN(方案参数!$AQ$12,P352*0.03)))</f>
        <v>2.3380000000000001</v>
      </c>
      <c r="AL352" s="7">
        <f>ROUNDDOWN(MAX(AD352*配置与结果!$B$31,AD352-AE352)*AF352*AG352*AH352*AI352,0)</f>
        <v>14986</v>
      </c>
      <c r="AM352" s="7">
        <f>ROUNDDOWN(MAX(AD352*配置与结果!$B$31,AD352-AE352)*AF352*AG352*AH352*AI352*AK352,0)</f>
        <v>35038</v>
      </c>
      <c r="AN352" s="7">
        <f t="shared" si="458"/>
        <v>35038</v>
      </c>
      <c r="AO352" s="7">
        <f>方案参数!$BW$12</f>
        <v>1</v>
      </c>
      <c r="AP352" s="7">
        <f>MAX(0,1+INDEX(配置与结果!$J$15:$J$18,F352)+IF(T352&gt;0,方案参数!$BY$12,0)-配置与结果!$B$30)</f>
        <v>2</v>
      </c>
      <c r="AQ352" s="7">
        <f t="shared" si="459"/>
        <v>6088</v>
      </c>
      <c r="AR352" s="7">
        <f t="shared" si="460"/>
        <v>14233</v>
      </c>
      <c r="AS352" s="7">
        <f t="shared" si="461"/>
        <v>14233</v>
      </c>
      <c r="AT352" s="7">
        <f>0</f>
        <v>0</v>
      </c>
      <c r="AU352" s="7">
        <f t="shared" si="462"/>
        <v>49271</v>
      </c>
      <c r="AV352" s="1">
        <f t="shared" si="463"/>
        <v>2</v>
      </c>
      <c r="AW352" s="1">
        <f t="shared" si="510"/>
        <v>10</v>
      </c>
      <c r="AX352" s="1">
        <f t="shared" si="464"/>
        <v>2</v>
      </c>
      <c r="AY352" s="1">
        <f>MIN(20,MAX(0,O352+0+0-0))</f>
        <v>0</v>
      </c>
      <c r="AZ352" s="1">
        <f t="shared" si="465"/>
        <v>5</v>
      </c>
      <c r="BA352" s="1">
        <f t="shared" si="501"/>
        <v>5</v>
      </c>
      <c r="BB352" s="1">
        <f t="shared" si="509"/>
        <v>20</v>
      </c>
      <c r="BC352" s="1">
        <f t="shared" si="507"/>
        <v>3</v>
      </c>
      <c r="BD352" s="1">
        <f t="shared" si="488"/>
        <v>0</v>
      </c>
      <c r="BE352" s="1">
        <f t="shared" si="481"/>
        <v>0</v>
      </c>
      <c r="BF352" s="1">
        <f>MIN(4,V352+1)</f>
        <v>4</v>
      </c>
      <c r="BG352" s="1">
        <f t="shared" si="498"/>
        <v>1</v>
      </c>
      <c r="BH352" s="1">
        <f t="shared" si="482"/>
        <v>1</v>
      </c>
      <c r="BI352" s="1">
        <f t="shared" si="499"/>
        <v>1</v>
      </c>
      <c r="BJ352" s="1">
        <f t="shared" si="502"/>
        <v>1</v>
      </c>
      <c r="BK352" s="1">
        <f t="shared" si="503"/>
        <v>1</v>
      </c>
      <c r="BL352" s="1">
        <f t="shared" si="508"/>
        <v>1</v>
      </c>
      <c r="BM352" s="1">
        <f t="shared" si="506"/>
        <v>1</v>
      </c>
      <c r="BN352" s="1">
        <f t="shared" si="483"/>
        <v>1</v>
      </c>
      <c r="BO352" s="1">
        <f t="shared" si="484"/>
        <v>1</v>
      </c>
    </row>
    <row r="353" spans="1:67" ht="30.95" customHeight="1">
      <c r="A353" s="1">
        <f>9</f>
        <v>9</v>
      </c>
      <c r="B353" s="1">
        <f>固定流程!A29</f>
        <v>24</v>
      </c>
      <c r="C353" s="1">
        <f>12</f>
        <v>12</v>
      </c>
      <c r="D353" s="1">
        <f>2</f>
        <v>2</v>
      </c>
      <c r="E353" s="1">
        <f>固定流程!C29</f>
        <v>3</v>
      </c>
      <c r="F353" s="1">
        <f>固定流程!G29</f>
        <v>1</v>
      </c>
      <c r="G353" s="1" t="str">
        <f>固定流程!H29</f>
        <v>LILYA_WEAK</v>
      </c>
      <c r="H353" s="1">
        <f>固定流程!F29</f>
        <v>1</v>
      </c>
      <c r="I353" s="1">
        <f>INDEX(配置与结果!$B$15:$B$18,F353)</f>
        <v>2296</v>
      </c>
      <c r="J353" s="1">
        <f>INDEX(配置与结果!$D$15:$D$18,F353)</f>
        <v>0.7</v>
      </c>
      <c r="K353" s="1">
        <f>INDEX(配置与结果!$E$15:$E$18,F353)</f>
        <v>2.0249999999999999</v>
      </c>
      <c r="L353" s="1">
        <f t="shared" si="495"/>
        <v>2</v>
      </c>
      <c r="M353" s="1">
        <f t="shared" si="496"/>
        <v>10</v>
      </c>
      <c r="N353" s="1">
        <f t="shared" si="497"/>
        <v>2</v>
      </c>
      <c r="O353" s="1">
        <f t="shared" si="489"/>
        <v>0</v>
      </c>
      <c r="P353" s="1">
        <f>MIN(方案参数!$AI$12,AZ352+0+0)</f>
        <v>5</v>
      </c>
      <c r="Q353" s="1">
        <f t="shared" si="467"/>
        <v>5</v>
      </c>
      <c r="R353" s="1">
        <f t="shared" si="468"/>
        <v>20</v>
      </c>
      <c r="S353" s="1">
        <f t="shared" si="469"/>
        <v>3</v>
      </c>
      <c r="T353" s="1">
        <f t="shared" si="504"/>
        <v>0</v>
      </c>
      <c r="U353" s="1">
        <f t="shared" si="471"/>
        <v>0</v>
      </c>
      <c r="V353" s="1">
        <f t="shared" si="472"/>
        <v>4</v>
      </c>
      <c r="W353" s="1">
        <f t="shared" si="473"/>
        <v>1</v>
      </c>
      <c r="X353" s="1">
        <f t="shared" si="474"/>
        <v>1</v>
      </c>
      <c r="Y353" s="1">
        <f t="shared" si="475"/>
        <v>1</v>
      </c>
      <c r="Z353" s="1">
        <f t="shared" si="476"/>
        <v>1</v>
      </c>
      <c r="AA353" s="1">
        <f t="shared" si="500"/>
        <v>1</v>
      </c>
      <c r="AB353" s="1">
        <f t="shared" si="478"/>
        <v>1</v>
      </c>
      <c r="AC353" s="1">
        <f t="shared" si="505"/>
        <v>1</v>
      </c>
      <c r="AD353" s="1">
        <f>ROUNDDOWN(I353*(1+IF(F353=3,0.05+方案参数!$Y$12+AA353*0.12,IF(F353=4,方案参数!$BZ$12*方案参数!$AS$12,0)))+IF(AND(X353=1,F353&lt;&gt;3),方案参数!$CC$12,0)+AC353*方案参数!$CB$12,0)</f>
        <v>3034</v>
      </c>
      <c r="AE353" s="1">
        <f>IF(OR(F353=1,F353=4),配置与结果!$B$24,配置与结果!$B$25)*MAX(0,1-INDEX(配置与结果!$I$15:$I$18,F353))</f>
        <v>1200</v>
      </c>
      <c r="AF353" s="1">
        <f>方案参数!$BL$12</f>
        <v>9</v>
      </c>
      <c r="AG353" s="1">
        <f>MAX(配置与结果!$B$32,1+INDEX(配置与结果!$F$15:$F$18,F353)+0.08+方案参数!$CD$12+Q353*方案参数!$W$12+Y353*(方案参数!$AN$12+MIN(方案参数!$AO$12,P353*0.03))+AB353*方案参数!$BZ$12*0.025-配置与结果!$B$28+方案参数!$AE$12)</f>
        <v>2.6150000000000002</v>
      </c>
      <c r="AH353" s="1">
        <f>MAX(0,1+V353*方案参数!$U$12+0*方案参数!$V$12+方案参数!$AE$12-配置与结果!$B$29)</f>
        <v>1.56</v>
      </c>
      <c r="AI353" s="1">
        <f>IF(OR(INDEX(配置与结果!$K$15:$K$18,F353)=1,G353="RHI_BERRY"),1+配置与结果!$B$33+P353*方案参数!$AH$12,1)</f>
        <v>1</v>
      </c>
      <c r="AJ353" s="1">
        <f>MIN(1,MAX(0,J353+方案参数!$AB$12-配置与结果!$B$27))</f>
        <v>1</v>
      </c>
      <c r="AK353" s="1">
        <f>MAX(1,K353+IF(F353=2,0.15+方案参数!$CH$12,0)+BN353*方案参数!$X$12+R353*方案参数!$AA$12+方案参数!$BP$12-配置与结果!$B$26+Z353*(方案参数!$AP$12+MIN(方案参数!$AQ$12,P353*0.03)))</f>
        <v>2.7650000000000001</v>
      </c>
      <c r="AL353" s="7">
        <f>ROUNDDOWN(MAX(AD353*配置与结果!$B$31,AD353-AE353)*AF353*AG353*AH353*AI353,0)</f>
        <v>67334</v>
      </c>
      <c r="AM353" s="7">
        <f>ROUNDDOWN(MAX(AD353*配置与结果!$B$31,AD353-AE353)*AF353*AG353*AH353*AI353*AK353,0)</f>
        <v>186180</v>
      </c>
      <c r="AN353" s="7">
        <f t="shared" si="458"/>
        <v>186180</v>
      </c>
      <c r="AO353" s="7">
        <f>0</f>
        <v>0</v>
      </c>
      <c r="AP353" s="7">
        <f>MAX(0,1+INDEX(配置与结果!$J$15:$J$18,F353)+IF(T353&gt;0,方案参数!$BY$12,0)-配置与结果!$B$30)</f>
        <v>1</v>
      </c>
      <c r="AQ353" s="7">
        <f t="shared" si="459"/>
        <v>0</v>
      </c>
      <c r="AR353" s="7">
        <f t="shared" si="460"/>
        <v>0</v>
      </c>
      <c r="AS353" s="7">
        <f t="shared" si="461"/>
        <v>0</v>
      </c>
      <c r="AT353" s="7">
        <f>IF(U353&gt;0,ROUNDDOWN(AL353*方案参数!$AF$12,0)*(1-AJ353)+ROUNDDOWN(AM353*方案参数!$AF$12,0)*AJ353,0)</f>
        <v>0</v>
      </c>
      <c r="AU353" s="7">
        <f t="shared" si="462"/>
        <v>186180</v>
      </c>
      <c r="AV353" s="1">
        <f t="shared" si="463"/>
        <v>2</v>
      </c>
      <c r="AW353" s="1">
        <f t="shared" si="510"/>
        <v>10</v>
      </c>
      <c r="AX353" s="1">
        <f t="shared" si="464"/>
        <v>2</v>
      </c>
      <c r="AY353" s="1">
        <f>MIN(20,MAX(0,O353+0+1-0))</f>
        <v>1</v>
      </c>
      <c r="AZ353" s="1">
        <f t="shared" si="465"/>
        <v>5</v>
      </c>
      <c r="BA353" s="1">
        <f t="shared" si="501"/>
        <v>5</v>
      </c>
      <c r="BB353" s="1">
        <f t="shared" si="509"/>
        <v>20</v>
      </c>
      <c r="BC353" s="1">
        <f t="shared" si="507"/>
        <v>3</v>
      </c>
      <c r="BD353" s="1">
        <f t="shared" si="488"/>
        <v>0</v>
      </c>
      <c r="BE353" s="1">
        <f>MAX(0,U353-IF(AF353&gt;0,1,0))+0</f>
        <v>0</v>
      </c>
      <c r="BF353" s="1">
        <f t="shared" ref="BF353:BF370" si="511">MIN(4,V353+0)</f>
        <v>4</v>
      </c>
      <c r="BG353" s="1">
        <f t="shared" si="498"/>
        <v>1</v>
      </c>
      <c r="BH353" s="1">
        <f t="shared" si="482"/>
        <v>1</v>
      </c>
      <c r="BI353" s="1">
        <f t="shared" si="499"/>
        <v>1</v>
      </c>
      <c r="BJ353" s="1">
        <f t="shared" si="502"/>
        <v>1</v>
      </c>
      <c r="BK353" s="1">
        <f t="shared" si="503"/>
        <v>1</v>
      </c>
      <c r="BL353" s="1">
        <f t="shared" si="508"/>
        <v>1</v>
      </c>
      <c r="BM353" s="1">
        <f t="shared" si="506"/>
        <v>1</v>
      </c>
      <c r="BN353" s="1">
        <f t="shared" si="483"/>
        <v>1</v>
      </c>
      <c r="BO353" s="1">
        <f t="shared" si="484"/>
        <v>1</v>
      </c>
    </row>
    <row r="354" spans="1:67" ht="30.95" customHeight="1">
      <c r="A354" s="1">
        <f>9</f>
        <v>9</v>
      </c>
      <c r="B354" s="1">
        <f>固定流程!A30</f>
        <v>25</v>
      </c>
      <c r="C354" s="1">
        <f>12</f>
        <v>12</v>
      </c>
      <c r="D354" s="1">
        <f>2</f>
        <v>2</v>
      </c>
      <c r="E354" s="1">
        <f>固定流程!C30</f>
        <v>3</v>
      </c>
      <c r="F354" s="1">
        <f>固定流程!G30</f>
        <v>1</v>
      </c>
      <c r="G354" s="1" t="str">
        <f>固定流程!H30</f>
        <v>LILYA_WEAK</v>
      </c>
      <c r="H354" s="1">
        <f>固定流程!F30</f>
        <v>1</v>
      </c>
      <c r="I354" s="1">
        <f>INDEX(配置与结果!$B$15:$B$18,F354)</f>
        <v>2296</v>
      </c>
      <c r="J354" s="1">
        <f>INDEX(配置与结果!$D$15:$D$18,F354)</f>
        <v>0.7</v>
      </c>
      <c r="K354" s="1">
        <f>INDEX(配置与结果!$E$15:$E$18,F354)</f>
        <v>2.0249999999999999</v>
      </c>
      <c r="L354" s="1">
        <f t="shared" si="495"/>
        <v>2</v>
      </c>
      <c r="M354" s="1">
        <f t="shared" si="496"/>
        <v>10</v>
      </c>
      <c r="N354" s="1">
        <f t="shared" si="497"/>
        <v>2</v>
      </c>
      <c r="O354" s="1">
        <f t="shared" si="489"/>
        <v>1</v>
      </c>
      <c r="P354" s="1">
        <f>MIN(方案参数!$AI$12,AZ353+0+0)</f>
        <v>5</v>
      </c>
      <c r="Q354" s="1">
        <f t="shared" si="467"/>
        <v>5</v>
      </c>
      <c r="R354" s="1">
        <f t="shared" si="468"/>
        <v>20</v>
      </c>
      <c r="S354" s="1">
        <f t="shared" si="469"/>
        <v>3</v>
      </c>
      <c r="T354" s="1">
        <f t="shared" si="504"/>
        <v>0</v>
      </c>
      <c r="U354" s="1">
        <f t="shared" si="471"/>
        <v>0</v>
      </c>
      <c r="V354" s="1">
        <f t="shared" si="472"/>
        <v>4</v>
      </c>
      <c r="W354" s="1">
        <f t="shared" si="473"/>
        <v>1</v>
      </c>
      <c r="X354" s="1">
        <f t="shared" si="474"/>
        <v>1</v>
      </c>
      <c r="Y354" s="1">
        <f t="shared" si="475"/>
        <v>1</v>
      </c>
      <c r="Z354" s="1">
        <f t="shared" si="476"/>
        <v>1</v>
      </c>
      <c r="AA354" s="1">
        <f t="shared" si="500"/>
        <v>1</v>
      </c>
      <c r="AB354" s="1">
        <f t="shared" si="478"/>
        <v>1</v>
      </c>
      <c r="AC354" s="1">
        <f t="shared" si="505"/>
        <v>1</v>
      </c>
      <c r="AD354" s="1">
        <f>ROUNDDOWN(I354*(1+IF(F354=3,0.05+方案参数!$Y$12+AA354*0.12,IF(F354=4,方案参数!$BZ$12*方案参数!$AS$12,0)))+IF(AND(X354=1,F354&lt;&gt;3),方案参数!$CC$12,0)+AC354*方案参数!$CB$12,0)</f>
        <v>3034</v>
      </c>
      <c r="AE354" s="1">
        <f>IF(OR(F354=1,F354=4),配置与结果!$B$24,配置与结果!$B$25)*MAX(0,1-INDEX(配置与结果!$I$15:$I$18,F354))</f>
        <v>1200</v>
      </c>
      <c r="AF354" s="1">
        <f>方案参数!$BL$12</f>
        <v>9</v>
      </c>
      <c r="AG354" s="1">
        <f>MAX(配置与结果!$B$32,1+INDEX(配置与结果!$F$15:$F$18,F354)+0.08+方案参数!$CD$12+Q354*方案参数!$W$12+Y354*(方案参数!$AN$12+MIN(方案参数!$AO$12,P354*0.03))+AB354*方案参数!$BZ$12*0.025-配置与结果!$B$28+方案参数!$AE$12)</f>
        <v>2.6150000000000002</v>
      </c>
      <c r="AH354" s="1">
        <f>MAX(0,1+V354*方案参数!$U$12+1*方案参数!$V$12+方案参数!$AE$12-配置与结果!$B$29)</f>
        <v>1.62</v>
      </c>
      <c r="AI354" s="1">
        <f>IF(OR(INDEX(配置与结果!$K$15:$K$18,F354)=1,G354="RHI_BERRY"),1+配置与结果!$B$33+P354*方案参数!$AH$12,1)</f>
        <v>1</v>
      </c>
      <c r="AJ354" s="1">
        <f>MIN(1,MAX(0,J354+方案参数!$AB$12-配置与结果!$B$27))</f>
        <v>1</v>
      </c>
      <c r="AK354" s="1">
        <f>MAX(1,K354+IF(F354=2,0.15+方案参数!$CH$12,0)+BN354*方案参数!$X$12+R354*方案参数!$AA$12+方案参数!$BP$12-配置与结果!$B$26+Z354*(方案参数!$AP$12+MIN(方案参数!$AQ$12,P354*0.03)))</f>
        <v>2.7650000000000001</v>
      </c>
      <c r="AL354" s="7">
        <f>ROUNDDOWN(MAX(AD354*配置与结果!$B$31,AD354-AE354)*AF354*AG354*AH354*AI354,0)</f>
        <v>69924</v>
      </c>
      <c r="AM354" s="7">
        <f>ROUNDDOWN(MAX(AD354*配置与结果!$B$31,AD354-AE354)*AF354*AG354*AH354*AI354*AK354,0)</f>
        <v>193340</v>
      </c>
      <c r="AN354" s="7">
        <f t="shared" si="458"/>
        <v>193340</v>
      </c>
      <c r="AO354" s="7">
        <f>0</f>
        <v>0</v>
      </c>
      <c r="AP354" s="7">
        <f>MAX(0,1+INDEX(配置与结果!$J$15:$J$18,F354)+IF(T354&gt;0,方案参数!$BY$12,0)-配置与结果!$B$30)</f>
        <v>1</v>
      </c>
      <c r="AQ354" s="7">
        <f t="shared" si="459"/>
        <v>0</v>
      </c>
      <c r="AR354" s="7">
        <f t="shared" si="460"/>
        <v>0</v>
      </c>
      <c r="AS354" s="7">
        <f t="shared" si="461"/>
        <v>0</v>
      </c>
      <c r="AT354" s="7">
        <f>IF(U354&gt;0,ROUNDDOWN(AL354*方案参数!$AF$12,0)*(1-AJ354)+ROUNDDOWN(AM354*方案参数!$AF$12,0)*AJ354,0)</f>
        <v>0</v>
      </c>
      <c r="AU354" s="7">
        <f t="shared" si="462"/>
        <v>193340</v>
      </c>
      <c r="AV354" s="1">
        <f t="shared" si="463"/>
        <v>2</v>
      </c>
      <c r="AW354" s="1">
        <f t="shared" si="510"/>
        <v>10</v>
      </c>
      <c r="AX354" s="1">
        <f t="shared" si="464"/>
        <v>2</v>
      </c>
      <c r="AY354" s="1">
        <f>MIN(20,MAX(0,O354+0+1-0))</f>
        <v>2</v>
      </c>
      <c r="AZ354" s="1">
        <f t="shared" si="465"/>
        <v>5</v>
      </c>
      <c r="BA354" s="1">
        <f t="shared" si="501"/>
        <v>5</v>
      </c>
      <c r="BB354" s="1">
        <f t="shared" si="509"/>
        <v>20</v>
      </c>
      <c r="BC354" s="1">
        <f t="shared" si="507"/>
        <v>3</v>
      </c>
      <c r="BD354" s="1">
        <f t="shared" si="488"/>
        <v>0</v>
      </c>
      <c r="BE354" s="1">
        <f>MAX(0,U354-IF(AF354&gt;0,1,0))+0</f>
        <v>0</v>
      </c>
      <c r="BF354" s="1">
        <f t="shared" si="511"/>
        <v>4</v>
      </c>
      <c r="BG354" s="1">
        <f t="shared" si="498"/>
        <v>1</v>
      </c>
      <c r="BH354" s="1">
        <f t="shared" si="482"/>
        <v>1</v>
      </c>
      <c r="BI354" s="1">
        <f t="shared" si="499"/>
        <v>1</v>
      </c>
      <c r="BJ354" s="1">
        <f t="shared" si="502"/>
        <v>1</v>
      </c>
      <c r="BK354" s="1">
        <f t="shared" si="503"/>
        <v>1</v>
      </c>
      <c r="BL354" s="1">
        <f t="shared" si="508"/>
        <v>1</v>
      </c>
      <c r="BM354" s="1">
        <f t="shared" si="506"/>
        <v>1</v>
      </c>
      <c r="BN354" s="1">
        <f t="shared" si="483"/>
        <v>1</v>
      </c>
      <c r="BO354" s="1">
        <f t="shared" si="484"/>
        <v>1</v>
      </c>
    </row>
    <row r="355" spans="1:67" ht="30.95" customHeight="1">
      <c r="A355" s="1">
        <f>9</f>
        <v>9</v>
      </c>
      <c r="B355" s="1">
        <f>固定流程!A31</f>
        <v>26</v>
      </c>
      <c r="C355" s="1">
        <f>12</f>
        <v>12</v>
      </c>
      <c r="D355" s="1">
        <f>2</f>
        <v>2</v>
      </c>
      <c r="E355" s="1">
        <f>固定流程!C31</f>
        <v>3</v>
      </c>
      <c r="F355" s="1">
        <f>固定流程!G31</f>
        <v>2</v>
      </c>
      <c r="G355" s="1" t="str">
        <f>固定流程!H31</f>
        <v>37_WEAK</v>
      </c>
      <c r="H355" s="1">
        <f>固定流程!F31</f>
        <v>1</v>
      </c>
      <c r="I355" s="1">
        <f>INDEX(配置与结果!$B$15:$B$18,F355)</f>
        <v>2306</v>
      </c>
      <c r="J355" s="1">
        <f>INDEX(配置与结果!$D$15:$D$18,F355)</f>
        <v>0.46</v>
      </c>
      <c r="K355" s="1">
        <f>INDEX(配置与结果!$E$15:$E$18,F355)</f>
        <v>1.9279999999999999</v>
      </c>
      <c r="L355" s="1">
        <f t="shared" si="495"/>
        <v>2</v>
      </c>
      <c r="M355" s="1">
        <f t="shared" si="496"/>
        <v>10</v>
      </c>
      <c r="N355" s="1">
        <f t="shared" si="497"/>
        <v>2</v>
      </c>
      <c r="O355" s="1">
        <f t="shared" si="489"/>
        <v>2</v>
      </c>
      <c r="P355" s="1">
        <f>MIN(方案参数!$AI$12,AZ354+0+0)</f>
        <v>5</v>
      </c>
      <c r="Q355" s="1">
        <f t="shared" si="467"/>
        <v>5</v>
      </c>
      <c r="R355" s="1">
        <f t="shared" si="468"/>
        <v>20</v>
      </c>
      <c r="S355" s="1">
        <f t="shared" si="469"/>
        <v>3</v>
      </c>
      <c r="T355" s="1">
        <f t="shared" si="504"/>
        <v>0</v>
      </c>
      <c r="U355" s="1">
        <f t="shared" si="471"/>
        <v>0</v>
      </c>
      <c r="V355" s="1">
        <f t="shared" si="472"/>
        <v>4</v>
      </c>
      <c r="W355" s="1">
        <f t="shared" si="473"/>
        <v>1</v>
      </c>
      <c r="X355" s="1">
        <f t="shared" si="474"/>
        <v>1</v>
      </c>
      <c r="Y355" s="1">
        <f t="shared" si="475"/>
        <v>1</v>
      </c>
      <c r="Z355" s="1">
        <f t="shared" si="476"/>
        <v>1</v>
      </c>
      <c r="AA355" s="1">
        <f t="shared" si="500"/>
        <v>1</v>
      </c>
      <c r="AB355" s="1">
        <f t="shared" si="478"/>
        <v>1</v>
      </c>
      <c r="AC355" s="1">
        <f t="shared" si="505"/>
        <v>1</v>
      </c>
      <c r="AD355" s="1">
        <f>ROUNDDOWN(I355*(1+IF(F355=3,0.05+方案参数!$Y$12+AA355*0.12,IF(F355=4,方案参数!$BZ$12*方案参数!$AS$12,0)))+IF(AND(X355=1,F355&lt;&gt;3),方案参数!$CC$12,0)+AC355*方案参数!$CB$12,0)</f>
        <v>3044</v>
      </c>
      <c r="AE355" s="1">
        <f>IF(OR(F355=1,F355=4),配置与结果!$B$24,配置与结果!$B$25)*MAX(0,1-INDEX(配置与结果!$I$15:$I$18,F355))</f>
        <v>1000</v>
      </c>
      <c r="AF355" s="1">
        <f>方案参数!$CE$12</f>
        <v>8</v>
      </c>
      <c r="AG355" s="1">
        <f>MAX(配置与结果!$B$32,1+INDEX(配置与结果!$F$15:$F$18,F355)+0+Q355*方案参数!$W$12+Y355*(方案参数!$AN$12+MIN(方案参数!$AO$12,P355*0.03))+AB355*方案参数!$BZ$12*0.025-配置与结果!$B$28+方案参数!$AE$12)</f>
        <v>2.2800000000000002</v>
      </c>
      <c r="AH355" s="1">
        <f>MAX(0,1+V355*方案参数!$U$12+方案参数!$AE$12-配置与结果!$B$29)</f>
        <v>1.56</v>
      </c>
      <c r="AI355" s="1">
        <f>IF(OR(INDEX(配置与结果!$K$15:$K$18,F355)=1,G355="RHI_BERRY"),1+配置与结果!$B$33+P355*方案参数!$AH$12,1)</f>
        <v>1</v>
      </c>
      <c r="AJ355" s="1">
        <f>MIN(1,MAX(0,J355+方案参数!$AB$12-配置与结果!$B$27))</f>
        <v>1</v>
      </c>
      <c r="AK355" s="1">
        <f>MAX(1,K355+IF(F355=2,0.15+方案参数!$CH$12,0)+BN355*方案参数!$X$12+R355*方案参数!$AA$12+0-配置与结果!$B$26+Z355*(方案参数!$AP$12+MIN(方案参数!$AQ$12,P355*0.03)))</f>
        <v>2.3380000000000001</v>
      </c>
      <c r="AL355" s="7">
        <f>ROUNDDOWN(MAX(AD355*配置与结果!$B$31,AD355-AE355)*AF355*AG355*AH355*AI355,0)</f>
        <v>58160</v>
      </c>
      <c r="AM355" s="7">
        <f>ROUNDDOWN(MAX(AD355*配置与结果!$B$31,AD355-AE355)*AF355*AG355*AH355*AI355*AK355,0)</f>
        <v>135979</v>
      </c>
      <c r="AN355" s="7">
        <f t="shared" si="458"/>
        <v>135979</v>
      </c>
      <c r="AO355" s="7">
        <f>0</f>
        <v>0</v>
      </c>
      <c r="AP355" s="7">
        <f>MAX(0,1+INDEX(配置与结果!$J$15:$J$18,F355)+IF(T355&gt;0,方案参数!$BY$12,0)-配置与结果!$B$30)</f>
        <v>1</v>
      </c>
      <c r="AQ355" s="7">
        <f t="shared" si="459"/>
        <v>0</v>
      </c>
      <c r="AR355" s="7">
        <f t="shared" si="460"/>
        <v>0</v>
      </c>
      <c r="AS355" s="7">
        <f t="shared" si="461"/>
        <v>0</v>
      </c>
      <c r="AT355" s="7">
        <f>IF(U355&gt;0,ROUNDDOWN(AL355*方案参数!$AF$12,0)*(1-AJ355)+ROUNDDOWN(AM355*方案参数!$AF$12,0)*AJ355,0)</f>
        <v>0</v>
      </c>
      <c r="AU355" s="7">
        <f t="shared" si="462"/>
        <v>135979</v>
      </c>
      <c r="AV355" s="1">
        <f t="shared" si="463"/>
        <v>2</v>
      </c>
      <c r="AW355" s="1">
        <f t="shared" si="510"/>
        <v>10</v>
      </c>
      <c r="AX355" s="1">
        <f t="shared" si="464"/>
        <v>2</v>
      </c>
      <c r="AY355" s="1">
        <f>MIN(20,MAX(0,O355+0+0-0))</f>
        <v>2</v>
      </c>
      <c r="AZ355" s="1">
        <f t="shared" si="465"/>
        <v>5</v>
      </c>
      <c r="BA355" s="1">
        <f t="shared" si="501"/>
        <v>5</v>
      </c>
      <c r="BB355" s="1">
        <f t="shared" si="509"/>
        <v>20</v>
      </c>
      <c r="BC355" s="1">
        <f t="shared" si="507"/>
        <v>3</v>
      </c>
      <c r="BD355" s="1">
        <f t="shared" si="488"/>
        <v>0</v>
      </c>
      <c r="BE355" s="1">
        <f>MAX(0,U355-IF(AF355&gt;0,1,0))+1</f>
        <v>1</v>
      </c>
      <c r="BF355" s="1">
        <f t="shared" si="511"/>
        <v>4</v>
      </c>
      <c r="BG355" s="1">
        <f t="shared" si="498"/>
        <v>1</v>
      </c>
      <c r="BH355" s="1">
        <f t="shared" si="482"/>
        <v>1</v>
      </c>
      <c r="BI355" s="1">
        <f t="shared" si="499"/>
        <v>1</v>
      </c>
      <c r="BJ355" s="1">
        <f t="shared" si="502"/>
        <v>1</v>
      </c>
      <c r="BK355" s="1">
        <f t="shared" si="503"/>
        <v>1</v>
      </c>
      <c r="BL355" s="1">
        <f t="shared" si="508"/>
        <v>1</v>
      </c>
      <c r="BM355" s="1">
        <f t="shared" si="506"/>
        <v>1</v>
      </c>
      <c r="BN355" s="1">
        <f t="shared" si="483"/>
        <v>1</v>
      </c>
      <c r="BO355" s="1">
        <f t="shared" si="484"/>
        <v>1</v>
      </c>
    </row>
    <row r="356" spans="1:67" ht="30.95" customHeight="1">
      <c r="A356" s="1">
        <f>9</f>
        <v>9</v>
      </c>
      <c r="B356" s="1">
        <f>固定流程!A32</f>
        <v>27</v>
      </c>
      <c r="C356" s="1">
        <f>12</f>
        <v>12</v>
      </c>
      <c r="D356" s="1">
        <f>2</f>
        <v>2</v>
      </c>
      <c r="E356" s="1">
        <f>固定流程!C32</f>
        <v>3</v>
      </c>
      <c r="F356" s="1">
        <f>固定流程!G32</f>
        <v>1</v>
      </c>
      <c r="G356" s="1" t="str">
        <f>固定流程!H32</f>
        <v>LILYA_THIRD</v>
      </c>
      <c r="H356" s="1">
        <f>固定流程!F32</f>
        <v>1</v>
      </c>
      <c r="I356" s="1">
        <f>INDEX(配置与结果!$B$15:$B$18,F356)</f>
        <v>2296</v>
      </c>
      <c r="J356" s="1">
        <f>INDEX(配置与结果!$D$15:$D$18,F356)</f>
        <v>0.7</v>
      </c>
      <c r="K356" s="1">
        <f>INDEX(配置与结果!$E$15:$E$18,F356)</f>
        <v>2.0249999999999999</v>
      </c>
      <c r="L356" s="1">
        <f t="shared" si="495"/>
        <v>2</v>
      </c>
      <c r="M356" s="1">
        <f t="shared" si="496"/>
        <v>10</v>
      </c>
      <c r="N356" s="1">
        <f t="shared" si="497"/>
        <v>2</v>
      </c>
      <c r="O356" s="1">
        <f t="shared" si="489"/>
        <v>2</v>
      </c>
      <c r="P356" s="1">
        <f>MIN(方案参数!$AI$12,AZ355+0+0)</f>
        <v>5</v>
      </c>
      <c r="Q356" s="1">
        <f t="shared" si="467"/>
        <v>5</v>
      </c>
      <c r="R356" s="1">
        <f t="shared" si="468"/>
        <v>20</v>
      </c>
      <c r="S356" s="1">
        <f t="shared" si="469"/>
        <v>3</v>
      </c>
      <c r="T356" s="1">
        <f t="shared" si="504"/>
        <v>0</v>
      </c>
      <c r="U356" s="1">
        <f t="shared" si="471"/>
        <v>1</v>
      </c>
      <c r="V356" s="1">
        <f t="shared" si="472"/>
        <v>4</v>
      </c>
      <c r="W356" s="1">
        <f t="shared" si="473"/>
        <v>1</v>
      </c>
      <c r="X356" s="1">
        <f t="shared" si="474"/>
        <v>1</v>
      </c>
      <c r="Y356" s="1">
        <f t="shared" si="475"/>
        <v>1</v>
      </c>
      <c r="Z356" s="1">
        <f t="shared" si="476"/>
        <v>1</v>
      </c>
      <c r="AA356" s="1">
        <f t="shared" si="500"/>
        <v>1</v>
      </c>
      <c r="AB356" s="1">
        <f t="shared" si="478"/>
        <v>1</v>
      </c>
      <c r="AC356" s="1">
        <f t="shared" si="505"/>
        <v>1</v>
      </c>
      <c r="AD356" s="1">
        <f>ROUNDDOWN(I356*(1+IF(F356=3,0.05+方案参数!$Y$12+AA356*0.12,IF(F356=4,方案参数!$BZ$12*方案参数!$AS$12,0)))+IF(AND(X356=1,F356&lt;&gt;3),方案参数!$CC$12,0)+AC356*方案参数!$CB$12,0)</f>
        <v>3034</v>
      </c>
      <c r="AE356" s="1">
        <f>IF(OR(F356=1,F356=4),配置与结果!$B$24,配置与结果!$B$25)*MAX(0,1-INDEX(配置与结果!$I$15:$I$18,F356))</f>
        <v>1200</v>
      </c>
      <c r="AF356" s="1">
        <f>方案参数!$BM$12</f>
        <v>20</v>
      </c>
      <c r="AG356" s="1">
        <f>MAX(配置与结果!$B$32,1+INDEX(配置与结果!$F$15:$F$18,F356)+0.08+方案参数!$CD$12+Q356*方案参数!$W$12+Y356*(方案参数!$AN$12+MIN(方案参数!$AO$12,P356*0.03))+AB356*方案参数!$BZ$12*0.025-配置与结果!$B$28+方案参数!$AE$12)</f>
        <v>2.6150000000000002</v>
      </c>
      <c r="AH356" s="1">
        <f>MAX(0,1+V356*方案参数!$U$12+3*方案参数!$V$12+方案参数!$AE$12-配置与结果!$B$29)</f>
        <v>1.7399999999999998</v>
      </c>
      <c r="AI356" s="1">
        <f>IF(OR(INDEX(配置与结果!$K$15:$K$18,F356)=1,G356="RHI_BERRY"),1+配置与结果!$B$33+P356*方案参数!$AH$12,1)</f>
        <v>1</v>
      </c>
      <c r="AJ356" s="1">
        <f>MIN(1,MAX(0,J356+方案参数!$AB$12-配置与结果!$B$27))</f>
        <v>1</v>
      </c>
      <c r="AK356" s="1">
        <f>MAX(1,K356+IF(F356=2,0.15+方案参数!$CH$12,0)+BN356*方案参数!$X$12+R356*方案参数!$AA$12+方案参数!$BQ$12-配置与结果!$B$26+Z356*(方案参数!$AP$12+MIN(方案参数!$AQ$12,P356*0.03)))</f>
        <v>2.9650000000000003</v>
      </c>
      <c r="AL356" s="7">
        <f>ROUNDDOWN(MAX(AD356*配置与结果!$B$31,AD356-AE356)*AF356*AG356*AH356*AI356,0)</f>
        <v>166897</v>
      </c>
      <c r="AM356" s="7">
        <f>ROUNDDOWN(MAX(AD356*配置与结果!$B$31,AD356-AE356)*AF356*AG356*AH356*AI356*AK356,0)</f>
        <v>494851</v>
      </c>
      <c r="AN356" s="7">
        <f t="shared" si="458"/>
        <v>494851</v>
      </c>
      <c r="AO356" s="7">
        <f>0</f>
        <v>0</v>
      </c>
      <c r="AP356" s="7">
        <f>MAX(0,1+INDEX(配置与结果!$J$15:$J$18,F356)+IF(T356&gt;0,方案参数!$BY$12,0)-配置与结果!$B$30)</f>
        <v>1</v>
      </c>
      <c r="AQ356" s="7">
        <f t="shared" si="459"/>
        <v>0</v>
      </c>
      <c r="AR356" s="7">
        <f t="shared" si="460"/>
        <v>0</v>
      </c>
      <c r="AS356" s="7">
        <f t="shared" si="461"/>
        <v>0</v>
      </c>
      <c r="AT356" s="7">
        <f>IF(U356&gt;0,ROUNDDOWN(AL356*方案参数!$AF$12,0)*(1-AJ356)+ROUNDDOWN(AM356*方案参数!$AF$12,0)*AJ356,0)</f>
        <v>197940</v>
      </c>
      <c r="AU356" s="7">
        <f t="shared" si="462"/>
        <v>692791</v>
      </c>
      <c r="AV356" s="1">
        <f t="shared" si="463"/>
        <v>2</v>
      </c>
      <c r="AW356" s="1">
        <f t="shared" si="510"/>
        <v>10</v>
      </c>
      <c r="AX356" s="1">
        <f t="shared" si="464"/>
        <v>2</v>
      </c>
      <c r="AY356" s="1">
        <f>MIN(20,MAX(0,O356+0+1-0))</f>
        <v>3</v>
      </c>
      <c r="AZ356" s="1">
        <f t="shared" si="465"/>
        <v>5</v>
      </c>
      <c r="BA356" s="1">
        <f t="shared" si="501"/>
        <v>5</v>
      </c>
      <c r="BB356" s="1">
        <f t="shared" si="509"/>
        <v>20</v>
      </c>
      <c r="BC356" s="1">
        <f t="shared" si="507"/>
        <v>3</v>
      </c>
      <c r="BD356" s="1">
        <f t="shared" si="488"/>
        <v>0</v>
      </c>
      <c r="BE356" s="1">
        <f>MAX(0,U356-IF(AF356&gt;0,1,0))+0</f>
        <v>0</v>
      </c>
      <c r="BF356" s="1">
        <f t="shared" si="511"/>
        <v>4</v>
      </c>
      <c r="BG356" s="1">
        <f t="shared" si="498"/>
        <v>1</v>
      </c>
      <c r="BH356" s="1">
        <f t="shared" si="482"/>
        <v>1</v>
      </c>
      <c r="BI356" s="1">
        <f t="shared" si="499"/>
        <v>1</v>
      </c>
      <c r="BJ356" s="1">
        <f t="shared" si="502"/>
        <v>1</v>
      </c>
      <c r="BK356" s="1">
        <f t="shared" si="503"/>
        <v>1</v>
      </c>
      <c r="BL356" s="1">
        <f t="shared" si="508"/>
        <v>1</v>
      </c>
      <c r="BM356" s="1">
        <f t="shared" si="506"/>
        <v>1</v>
      </c>
      <c r="BN356" s="1">
        <f t="shared" si="483"/>
        <v>1</v>
      </c>
      <c r="BO356" s="1">
        <f t="shared" si="484"/>
        <v>1</v>
      </c>
    </row>
    <row r="357" spans="1:67" ht="30.95" customHeight="1">
      <c r="A357" s="1">
        <f>9</f>
        <v>9</v>
      </c>
      <c r="B357" s="1">
        <f>固定流程!A33</f>
        <v>28</v>
      </c>
      <c r="C357" s="1">
        <f>12</f>
        <v>12</v>
      </c>
      <c r="D357" s="1">
        <f>2</f>
        <v>2</v>
      </c>
      <c r="E357" s="1">
        <f>固定流程!C33</f>
        <v>3</v>
      </c>
      <c r="F357" s="1">
        <f>固定流程!G33</f>
        <v>1</v>
      </c>
      <c r="G357" s="1" t="str">
        <f>固定流程!H33</f>
        <v>LILYA_WEAK</v>
      </c>
      <c r="H357" s="1">
        <f>固定流程!F33</f>
        <v>1</v>
      </c>
      <c r="I357" s="1">
        <f>INDEX(配置与结果!$B$15:$B$18,F357)</f>
        <v>2296</v>
      </c>
      <c r="J357" s="1">
        <f>INDEX(配置与结果!$D$15:$D$18,F357)</f>
        <v>0.7</v>
      </c>
      <c r="K357" s="1">
        <f>INDEX(配置与结果!$E$15:$E$18,F357)</f>
        <v>2.0249999999999999</v>
      </c>
      <c r="L357" s="1">
        <f t="shared" si="495"/>
        <v>2</v>
      </c>
      <c r="M357" s="1">
        <f t="shared" si="496"/>
        <v>10</v>
      </c>
      <c r="N357" s="1">
        <f t="shared" si="497"/>
        <v>2</v>
      </c>
      <c r="O357" s="1">
        <f t="shared" si="489"/>
        <v>3</v>
      </c>
      <c r="P357" s="1">
        <f>MIN(方案参数!$AI$12,AZ356+0+0)</f>
        <v>5</v>
      </c>
      <c r="Q357" s="1">
        <f t="shared" si="467"/>
        <v>5</v>
      </c>
      <c r="R357" s="1">
        <f t="shared" si="468"/>
        <v>20</v>
      </c>
      <c r="S357" s="1">
        <f t="shared" si="469"/>
        <v>3</v>
      </c>
      <c r="T357" s="1">
        <f t="shared" si="504"/>
        <v>0</v>
      </c>
      <c r="U357" s="1">
        <f t="shared" si="471"/>
        <v>0</v>
      </c>
      <c r="V357" s="1">
        <f t="shared" si="472"/>
        <v>4</v>
      </c>
      <c r="W357" s="1">
        <f t="shared" si="473"/>
        <v>1</v>
      </c>
      <c r="X357" s="1">
        <f t="shared" si="474"/>
        <v>1</v>
      </c>
      <c r="Y357" s="1">
        <f t="shared" si="475"/>
        <v>1</v>
      </c>
      <c r="Z357" s="1">
        <f t="shared" si="476"/>
        <v>1</v>
      </c>
      <c r="AA357" s="1">
        <f t="shared" si="500"/>
        <v>1</v>
      </c>
      <c r="AB357" s="1">
        <f t="shared" si="478"/>
        <v>1</v>
      </c>
      <c r="AC357" s="1">
        <f t="shared" si="505"/>
        <v>1</v>
      </c>
      <c r="AD357" s="1">
        <f>ROUNDDOWN(I357*(1+IF(F357=3,0.05+方案参数!$Y$12+AA357*0.12,IF(F357=4,方案参数!$BZ$12*方案参数!$AS$12,0)))+IF(AND(X357=1,F357&lt;&gt;3),方案参数!$CC$12,0)+AC357*方案参数!$CB$12,0)</f>
        <v>3034</v>
      </c>
      <c r="AE357" s="1">
        <f>IF(OR(F357=1,F357=4),配置与结果!$B$24,配置与结果!$B$25)*MAX(0,1-INDEX(配置与结果!$I$15:$I$18,F357))</f>
        <v>1200</v>
      </c>
      <c r="AF357" s="1">
        <f>方案参数!$BL$12</f>
        <v>9</v>
      </c>
      <c r="AG357" s="1">
        <f>MAX(配置与结果!$B$32,1+INDEX(配置与结果!$F$15:$F$18,F357)+0.08+方案参数!$CD$12+Q357*方案参数!$W$12+Y357*(方案参数!$AN$12+MIN(方案参数!$AO$12,P357*0.03))+AB357*方案参数!$BZ$12*0.025-配置与结果!$B$28+方案参数!$AE$12)</f>
        <v>2.6150000000000002</v>
      </c>
      <c r="AH357" s="1">
        <f>MAX(0,1+V357*方案参数!$U$12+4*方案参数!$V$12+方案参数!$AE$12-配置与结果!$B$29)</f>
        <v>1.7999999999999998</v>
      </c>
      <c r="AI357" s="1">
        <f>IF(OR(INDEX(配置与结果!$K$15:$K$18,F357)=1,G357="RHI_BERRY"),1+配置与结果!$B$33+P357*方案参数!$AH$12,1)</f>
        <v>1</v>
      </c>
      <c r="AJ357" s="1">
        <f>MIN(1,MAX(0,J357+方案参数!$AB$12-配置与结果!$B$27))</f>
        <v>1</v>
      </c>
      <c r="AK357" s="1">
        <f>MAX(1,K357+IF(F357=2,0.15+方案参数!$CH$12,0)+BN357*方案参数!$X$12+R357*方案参数!$AA$12+方案参数!$BP$12-配置与结果!$B$26+Z357*(方案参数!$AP$12+MIN(方案参数!$AQ$12,P357*0.03)))</f>
        <v>2.7650000000000001</v>
      </c>
      <c r="AL357" s="7">
        <f>ROUNDDOWN(MAX(AD357*配置与结果!$B$31,AD357-AE357)*AF357*AG357*AH357*AI357,0)</f>
        <v>77693</v>
      </c>
      <c r="AM357" s="7">
        <f>ROUNDDOWN(MAX(AD357*配置与结果!$B$31,AD357-AE357)*AF357*AG357*AH357*AI357*AK357,0)</f>
        <v>214823</v>
      </c>
      <c r="AN357" s="7">
        <f t="shared" si="458"/>
        <v>214823</v>
      </c>
      <c r="AO357" s="7">
        <f>0</f>
        <v>0</v>
      </c>
      <c r="AP357" s="7">
        <f>MAX(0,1+INDEX(配置与结果!$J$15:$J$18,F357)+IF(T357&gt;0,方案参数!$BY$12,0)-配置与结果!$B$30)</f>
        <v>1</v>
      </c>
      <c r="AQ357" s="7">
        <f t="shared" si="459"/>
        <v>0</v>
      </c>
      <c r="AR357" s="7">
        <f t="shared" si="460"/>
        <v>0</v>
      </c>
      <c r="AS357" s="7">
        <f t="shared" si="461"/>
        <v>0</v>
      </c>
      <c r="AT357" s="7">
        <f>IF(U357&gt;0,ROUNDDOWN(AL357*方案参数!$AF$12,0)*(1-AJ357)+ROUNDDOWN(AM357*方案参数!$AF$12,0)*AJ357,0)</f>
        <v>0</v>
      </c>
      <c r="AU357" s="7">
        <f t="shared" si="462"/>
        <v>214823</v>
      </c>
      <c r="AV357" s="1">
        <f t="shared" si="463"/>
        <v>2</v>
      </c>
      <c r="AW357" s="1">
        <f t="shared" si="510"/>
        <v>10</v>
      </c>
      <c r="AX357" s="1">
        <f t="shared" si="464"/>
        <v>2</v>
      </c>
      <c r="AY357" s="1">
        <f>MIN(20,MAX(0,O357+0+1-0))</f>
        <v>4</v>
      </c>
      <c r="AZ357" s="1">
        <f t="shared" si="465"/>
        <v>5</v>
      </c>
      <c r="BA357" s="1">
        <f t="shared" si="501"/>
        <v>5</v>
      </c>
      <c r="BB357" s="1">
        <f t="shared" si="509"/>
        <v>20</v>
      </c>
      <c r="BC357" s="1">
        <f t="shared" si="507"/>
        <v>3</v>
      </c>
      <c r="BD357" s="1">
        <f t="shared" si="488"/>
        <v>0</v>
      </c>
      <c r="BE357" s="1">
        <f>MAX(0,U357-IF(AF357&gt;0,1,0))+0</f>
        <v>0</v>
      </c>
      <c r="BF357" s="1">
        <f t="shared" si="511"/>
        <v>4</v>
      </c>
      <c r="BG357" s="1">
        <f t="shared" si="498"/>
        <v>1</v>
      </c>
      <c r="BH357" s="1">
        <f t="shared" si="482"/>
        <v>1</v>
      </c>
      <c r="BI357" s="1">
        <f t="shared" si="499"/>
        <v>1</v>
      </c>
      <c r="BJ357" s="1">
        <f t="shared" si="502"/>
        <v>1</v>
      </c>
      <c r="BK357" s="1">
        <f t="shared" si="503"/>
        <v>1</v>
      </c>
      <c r="BL357" s="1">
        <f t="shared" si="508"/>
        <v>1</v>
      </c>
      <c r="BM357" s="1">
        <f t="shared" si="506"/>
        <v>1</v>
      </c>
      <c r="BN357" s="1">
        <f t="shared" si="483"/>
        <v>1</v>
      </c>
      <c r="BO357" s="1">
        <f t="shared" si="484"/>
        <v>1</v>
      </c>
    </row>
    <row r="358" spans="1:67" ht="30.95" customHeight="1">
      <c r="A358" s="1">
        <f>9</f>
        <v>9</v>
      </c>
      <c r="B358" s="1">
        <f>固定流程!A34</f>
        <v>29</v>
      </c>
      <c r="C358" s="1">
        <f>12</f>
        <v>12</v>
      </c>
      <c r="D358" s="1">
        <f>2</f>
        <v>2</v>
      </c>
      <c r="E358" s="1">
        <f>固定流程!C34</f>
        <v>3</v>
      </c>
      <c r="F358" s="1">
        <f>固定流程!G34</f>
        <v>1</v>
      </c>
      <c r="G358" s="1" t="str">
        <f>固定流程!H34</f>
        <v>LILYA_WEAK</v>
      </c>
      <c r="H358" s="1">
        <f>固定流程!F34</f>
        <v>1</v>
      </c>
      <c r="I358" s="1">
        <f>INDEX(配置与结果!$B$15:$B$18,F358)</f>
        <v>2296</v>
      </c>
      <c r="J358" s="1">
        <f>INDEX(配置与结果!$D$15:$D$18,F358)</f>
        <v>0.7</v>
      </c>
      <c r="K358" s="1">
        <f>INDEX(配置与结果!$E$15:$E$18,F358)</f>
        <v>2.0249999999999999</v>
      </c>
      <c r="L358" s="1">
        <f t="shared" si="495"/>
        <v>2</v>
      </c>
      <c r="M358" s="1">
        <f t="shared" si="496"/>
        <v>10</v>
      </c>
      <c r="N358" s="1">
        <f t="shared" si="497"/>
        <v>2</v>
      </c>
      <c r="O358" s="1">
        <f t="shared" si="489"/>
        <v>4</v>
      </c>
      <c r="P358" s="1">
        <f>MIN(方案参数!$AI$12,AZ357+0+0)</f>
        <v>5</v>
      </c>
      <c r="Q358" s="1">
        <f t="shared" si="467"/>
        <v>5</v>
      </c>
      <c r="R358" s="1">
        <f t="shared" si="468"/>
        <v>20</v>
      </c>
      <c r="S358" s="1">
        <f t="shared" si="469"/>
        <v>3</v>
      </c>
      <c r="T358" s="1">
        <f t="shared" si="504"/>
        <v>0</v>
      </c>
      <c r="U358" s="1">
        <f t="shared" si="471"/>
        <v>0</v>
      </c>
      <c r="V358" s="1">
        <f t="shared" si="472"/>
        <v>4</v>
      </c>
      <c r="W358" s="1">
        <f t="shared" si="473"/>
        <v>1</v>
      </c>
      <c r="X358" s="1">
        <f t="shared" si="474"/>
        <v>1</v>
      </c>
      <c r="Y358" s="1">
        <f t="shared" si="475"/>
        <v>1</v>
      </c>
      <c r="Z358" s="1">
        <f t="shared" si="476"/>
        <v>1</v>
      </c>
      <c r="AA358" s="1">
        <f t="shared" si="500"/>
        <v>1</v>
      </c>
      <c r="AB358" s="1">
        <f t="shared" si="478"/>
        <v>1</v>
      </c>
      <c r="AC358" s="1">
        <f t="shared" si="505"/>
        <v>1</v>
      </c>
      <c r="AD358" s="1">
        <f>ROUNDDOWN(I358*(1+IF(F358=3,0.05+方案参数!$Y$12+AA358*0.12,IF(F358=4,方案参数!$BZ$12*方案参数!$AS$12,0)))+IF(AND(X358=1,F358&lt;&gt;3),方案参数!$CC$12,0)+AC358*方案参数!$CB$12,0)</f>
        <v>3034</v>
      </c>
      <c r="AE358" s="1">
        <f>IF(OR(F358=1,F358=4),配置与结果!$B$24,配置与结果!$B$25)*MAX(0,1-INDEX(配置与结果!$I$15:$I$18,F358))</f>
        <v>1200</v>
      </c>
      <c r="AF358" s="1">
        <f>方案参数!$BL$12</f>
        <v>9</v>
      </c>
      <c r="AG358" s="1">
        <f>MAX(配置与结果!$B$32,1+INDEX(配置与结果!$F$15:$F$18,F358)+0.08+方案参数!$CD$12+Q358*方案参数!$W$12+Y358*(方案参数!$AN$12+MIN(方案参数!$AO$12,P358*0.03))+AB358*方案参数!$BZ$12*0.025-配置与结果!$B$28+方案参数!$AE$12)</f>
        <v>2.6150000000000002</v>
      </c>
      <c r="AH358" s="1">
        <f>MAX(0,1+V358*方案参数!$U$12+5*方案参数!$V$12+方案参数!$AE$12-配置与结果!$B$29)</f>
        <v>1.8599999999999999</v>
      </c>
      <c r="AI358" s="1">
        <f>IF(OR(INDEX(配置与结果!$K$15:$K$18,F358)=1,G358="RHI_BERRY"),1+配置与结果!$B$33+P358*方案参数!$AH$12,1)</f>
        <v>1</v>
      </c>
      <c r="AJ358" s="1">
        <f>MIN(1,MAX(0,J358+方案参数!$AB$12-配置与结果!$B$27))</f>
        <v>1</v>
      </c>
      <c r="AK358" s="1">
        <f>MAX(1,K358+IF(F358=2,0.15+方案参数!$CH$12,0)+BN358*方案参数!$X$12+R358*方案参数!$AA$12+方案参数!$BP$12-配置与结果!$B$26+Z358*(方案参数!$AP$12+MIN(方案参数!$AQ$12,P358*0.03)))</f>
        <v>2.7650000000000001</v>
      </c>
      <c r="AL358" s="7">
        <f>ROUNDDOWN(MAX(AD358*配置与结果!$B$31,AD358-AE358)*AF358*AG358*AH358*AI358,0)</f>
        <v>80283</v>
      </c>
      <c r="AM358" s="7">
        <f>ROUNDDOWN(MAX(AD358*配置与结果!$B$31,AD358-AE358)*AF358*AG358*AH358*AI358*AK358,0)</f>
        <v>221983</v>
      </c>
      <c r="AN358" s="7">
        <f t="shared" si="458"/>
        <v>221983</v>
      </c>
      <c r="AO358" s="7">
        <f>0</f>
        <v>0</v>
      </c>
      <c r="AP358" s="7">
        <f>MAX(0,1+INDEX(配置与结果!$J$15:$J$18,F358)+IF(T358&gt;0,方案参数!$BY$12,0)-配置与结果!$B$30)</f>
        <v>1</v>
      </c>
      <c r="AQ358" s="7">
        <f t="shared" si="459"/>
        <v>0</v>
      </c>
      <c r="AR358" s="7">
        <f t="shared" si="460"/>
        <v>0</v>
      </c>
      <c r="AS358" s="7">
        <f t="shared" si="461"/>
        <v>0</v>
      </c>
      <c r="AT358" s="7">
        <f>IF(U358&gt;0,ROUNDDOWN(AL358*方案参数!$AF$12,0)*(1-AJ358)+ROUNDDOWN(AM358*方案参数!$AF$12,0)*AJ358,0)</f>
        <v>0</v>
      </c>
      <c r="AU358" s="7">
        <f t="shared" si="462"/>
        <v>221983</v>
      </c>
      <c r="AV358" s="1">
        <f t="shared" si="463"/>
        <v>2</v>
      </c>
      <c r="AW358" s="1">
        <f t="shared" si="510"/>
        <v>10</v>
      </c>
      <c r="AX358" s="1">
        <f t="shared" si="464"/>
        <v>2</v>
      </c>
      <c r="AY358" s="1">
        <f>MIN(20,MAX(0,O358+0+1-0))</f>
        <v>5</v>
      </c>
      <c r="AZ358" s="1">
        <f t="shared" si="465"/>
        <v>5</v>
      </c>
      <c r="BA358" s="1">
        <f t="shared" si="501"/>
        <v>5</v>
      </c>
      <c r="BB358" s="1">
        <f t="shared" si="509"/>
        <v>20</v>
      </c>
      <c r="BC358" s="1">
        <f t="shared" si="507"/>
        <v>3</v>
      </c>
      <c r="BD358" s="1">
        <f t="shared" si="488"/>
        <v>0</v>
      </c>
      <c r="BE358" s="1">
        <f>MAX(0,U358-IF(AF358&gt;0,1,0))+0</f>
        <v>0</v>
      </c>
      <c r="BF358" s="1">
        <f t="shared" si="511"/>
        <v>4</v>
      </c>
      <c r="BG358" s="1">
        <f t="shared" si="498"/>
        <v>1</v>
      </c>
      <c r="BH358" s="1">
        <f t="shared" si="482"/>
        <v>1</v>
      </c>
      <c r="BI358" s="1">
        <f t="shared" si="499"/>
        <v>1</v>
      </c>
      <c r="BJ358" s="1">
        <f t="shared" si="502"/>
        <v>1</v>
      </c>
      <c r="BK358" s="1">
        <f t="shared" si="503"/>
        <v>1</v>
      </c>
      <c r="BL358" s="1">
        <f t="shared" si="508"/>
        <v>1</v>
      </c>
      <c r="BM358" s="1">
        <f t="shared" si="506"/>
        <v>1</v>
      </c>
      <c r="BN358" s="1">
        <f t="shared" si="483"/>
        <v>1</v>
      </c>
      <c r="BO358" s="1">
        <f t="shared" si="484"/>
        <v>1</v>
      </c>
    </row>
    <row r="359" spans="1:67" ht="30.95" customHeight="1">
      <c r="A359" s="1">
        <f>9</f>
        <v>9</v>
      </c>
      <c r="B359" s="1">
        <f>固定流程!A35</f>
        <v>30</v>
      </c>
      <c r="C359" s="1">
        <f>12</f>
        <v>12</v>
      </c>
      <c r="D359" s="1">
        <f>2</f>
        <v>2</v>
      </c>
      <c r="E359" s="1">
        <f>固定流程!C35</f>
        <v>3</v>
      </c>
      <c r="F359" s="1">
        <f>固定流程!G35</f>
        <v>2</v>
      </c>
      <c r="G359" s="1" t="str">
        <f>固定流程!H35</f>
        <v>37_WEAK</v>
      </c>
      <c r="H359" s="1">
        <f>固定流程!F35</f>
        <v>1</v>
      </c>
      <c r="I359" s="1">
        <f>INDEX(配置与结果!$B$15:$B$18,F359)</f>
        <v>2306</v>
      </c>
      <c r="J359" s="1">
        <f>INDEX(配置与结果!$D$15:$D$18,F359)</f>
        <v>0.46</v>
      </c>
      <c r="K359" s="1">
        <f>INDEX(配置与结果!$E$15:$E$18,F359)</f>
        <v>1.9279999999999999</v>
      </c>
      <c r="L359" s="1">
        <f t="shared" si="495"/>
        <v>2</v>
      </c>
      <c r="M359" s="1">
        <f t="shared" si="496"/>
        <v>10</v>
      </c>
      <c r="N359" s="1">
        <f t="shared" si="497"/>
        <v>2</v>
      </c>
      <c r="O359" s="1">
        <f t="shared" si="489"/>
        <v>5</v>
      </c>
      <c r="P359" s="1">
        <f>MIN(方案参数!$AI$12,AZ358+0+0)</f>
        <v>5</v>
      </c>
      <c r="Q359" s="1">
        <f t="shared" si="467"/>
        <v>5</v>
      </c>
      <c r="R359" s="1">
        <f t="shared" si="468"/>
        <v>20</v>
      </c>
      <c r="S359" s="1">
        <f t="shared" si="469"/>
        <v>3</v>
      </c>
      <c r="T359" s="1">
        <f t="shared" si="504"/>
        <v>0</v>
      </c>
      <c r="U359" s="1">
        <f t="shared" si="471"/>
        <v>0</v>
      </c>
      <c r="V359" s="1">
        <f t="shared" si="472"/>
        <v>4</v>
      </c>
      <c r="W359" s="1">
        <f t="shared" si="473"/>
        <v>1</v>
      </c>
      <c r="X359" s="1">
        <f t="shared" si="474"/>
        <v>1</v>
      </c>
      <c r="Y359" s="1">
        <f t="shared" si="475"/>
        <v>1</v>
      </c>
      <c r="Z359" s="1">
        <f t="shared" si="476"/>
        <v>1</v>
      </c>
      <c r="AA359" s="1">
        <f t="shared" si="500"/>
        <v>1</v>
      </c>
      <c r="AB359" s="1">
        <f t="shared" si="478"/>
        <v>1</v>
      </c>
      <c r="AC359" s="1">
        <f t="shared" si="505"/>
        <v>1</v>
      </c>
      <c r="AD359" s="1">
        <f>ROUNDDOWN(I359*(1+IF(F359=3,0.05+方案参数!$Y$12+AA359*0.12,IF(F359=4,方案参数!$BZ$12*方案参数!$AS$12,0)))+IF(AND(X359=1,F359&lt;&gt;3),方案参数!$CC$12,0)+AC359*方案参数!$CB$12,0)</f>
        <v>3044</v>
      </c>
      <c r="AE359" s="1">
        <f>IF(OR(F359=1,F359=4),配置与结果!$B$24,配置与结果!$B$25)*MAX(0,1-INDEX(配置与结果!$I$15:$I$18,F359))</f>
        <v>1000</v>
      </c>
      <c r="AF359" s="1">
        <f>方案参数!$CE$12</f>
        <v>8</v>
      </c>
      <c r="AG359" s="1">
        <f>MAX(配置与结果!$B$32,1+INDEX(配置与结果!$F$15:$F$18,F359)+0+Q359*方案参数!$W$12+Y359*(方案参数!$AN$12+MIN(方案参数!$AO$12,P359*0.03))+AB359*方案参数!$BZ$12*0.025-配置与结果!$B$28+方案参数!$AE$12)</f>
        <v>2.2800000000000002</v>
      </c>
      <c r="AH359" s="1">
        <f>MAX(0,1+V359*方案参数!$U$12+方案参数!$AE$12-配置与结果!$B$29)</f>
        <v>1.56</v>
      </c>
      <c r="AI359" s="1">
        <f>IF(OR(INDEX(配置与结果!$K$15:$K$18,F359)=1,G359="RHI_BERRY"),1+配置与结果!$B$33+P359*方案参数!$AH$12,1)</f>
        <v>1</v>
      </c>
      <c r="AJ359" s="1">
        <f>MIN(1,MAX(0,J359+方案参数!$AB$12-配置与结果!$B$27))</f>
        <v>1</v>
      </c>
      <c r="AK359" s="1">
        <f>MAX(1,K359+IF(F359=2,0.15+方案参数!$CH$12,0)+BN359*方案参数!$X$12+R359*方案参数!$AA$12+0-配置与结果!$B$26+Z359*(方案参数!$AP$12+MIN(方案参数!$AQ$12,P359*0.03)))</f>
        <v>2.3380000000000001</v>
      </c>
      <c r="AL359" s="7">
        <f>ROUNDDOWN(MAX(AD359*配置与结果!$B$31,AD359-AE359)*AF359*AG359*AH359*AI359,0)</f>
        <v>58160</v>
      </c>
      <c r="AM359" s="7">
        <f>ROUNDDOWN(MAX(AD359*配置与结果!$B$31,AD359-AE359)*AF359*AG359*AH359*AI359*AK359,0)</f>
        <v>135979</v>
      </c>
      <c r="AN359" s="7">
        <f t="shared" si="458"/>
        <v>135979</v>
      </c>
      <c r="AO359" s="7">
        <f>0</f>
        <v>0</v>
      </c>
      <c r="AP359" s="7">
        <f>MAX(0,1+INDEX(配置与结果!$J$15:$J$18,F359)+IF(T359&gt;0,方案参数!$BY$12,0)-配置与结果!$B$30)</f>
        <v>1</v>
      </c>
      <c r="AQ359" s="7">
        <f t="shared" si="459"/>
        <v>0</v>
      </c>
      <c r="AR359" s="7">
        <f t="shared" si="460"/>
        <v>0</v>
      </c>
      <c r="AS359" s="7">
        <f t="shared" si="461"/>
        <v>0</v>
      </c>
      <c r="AT359" s="7">
        <f>IF(U359&gt;0,ROUNDDOWN(AL359*方案参数!$AF$12,0)*(1-AJ359)+ROUNDDOWN(AM359*方案参数!$AF$12,0)*AJ359,0)</f>
        <v>0</v>
      </c>
      <c r="AU359" s="7">
        <f t="shared" si="462"/>
        <v>135979</v>
      </c>
      <c r="AV359" s="1">
        <f t="shared" si="463"/>
        <v>2</v>
      </c>
      <c r="AW359" s="1">
        <f t="shared" si="510"/>
        <v>10</v>
      </c>
      <c r="AX359" s="1">
        <f t="shared" si="464"/>
        <v>2</v>
      </c>
      <c r="AY359" s="1">
        <f>MIN(20,MAX(0,O359+0+0-0))</f>
        <v>5</v>
      </c>
      <c r="AZ359" s="1">
        <f t="shared" si="465"/>
        <v>5</v>
      </c>
      <c r="BA359" s="1">
        <f t="shared" si="501"/>
        <v>5</v>
      </c>
      <c r="BB359" s="1">
        <f t="shared" si="509"/>
        <v>20</v>
      </c>
      <c r="BC359" s="1">
        <f t="shared" si="507"/>
        <v>3</v>
      </c>
      <c r="BD359" s="1">
        <f t="shared" si="488"/>
        <v>0</v>
      </c>
      <c r="BE359" s="1">
        <f>MAX(0,U359-IF(AF359&gt;0,1,0))+1</f>
        <v>1</v>
      </c>
      <c r="BF359" s="1">
        <f t="shared" si="511"/>
        <v>4</v>
      </c>
      <c r="BG359" s="1">
        <f t="shared" si="498"/>
        <v>1</v>
      </c>
      <c r="BH359" s="1">
        <f t="shared" si="482"/>
        <v>1</v>
      </c>
      <c r="BI359" s="1">
        <f t="shared" si="499"/>
        <v>1</v>
      </c>
      <c r="BJ359" s="1">
        <f t="shared" si="502"/>
        <v>1</v>
      </c>
      <c r="BK359" s="1">
        <f t="shared" si="503"/>
        <v>1</v>
      </c>
      <c r="BL359" s="1">
        <f t="shared" si="508"/>
        <v>1</v>
      </c>
      <c r="BM359" s="1">
        <f t="shared" si="506"/>
        <v>1</v>
      </c>
      <c r="BN359" s="1">
        <f t="shared" si="483"/>
        <v>1</v>
      </c>
      <c r="BO359" s="1">
        <f t="shared" si="484"/>
        <v>1</v>
      </c>
    </row>
    <row r="360" spans="1:67" ht="30.95" customHeight="1">
      <c r="A360" s="1">
        <f>9</f>
        <v>9</v>
      </c>
      <c r="B360" s="1">
        <f>固定流程!A36</f>
        <v>31</v>
      </c>
      <c r="C360" s="1">
        <f>12</f>
        <v>12</v>
      </c>
      <c r="D360" s="1">
        <f>2</f>
        <v>2</v>
      </c>
      <c r="E360" s="1">
        <f>固定流程!C36</f>
        <v>3</v>
      </c>
      <c r="F360" s="1">
        <f>固定流程!G36</f>
        <v>1</v>
      </c>
      <c r="G360" s="1" t="str">
        <f>固定流程!H36</f>
        <v>LILYA_THIRD</v>
      </c>
      <c r="H360" s="1">
        <f>固定流程!F36</f>
        <v>1</v>
      </c>
      <c r="I360" s="1">
        <f>INDEX(配置与结果!$B$15:$B$18,F360)</f>
        <v>2296</v>
      </c>
      <c r="J360" s="1">
        <f>INDEX(配置与结果!$D$15:$D$18,F360)</f>
        <v>0.7</v>
      </c>
      <c r="K360" s="1">
        <f>INDEX(配置与结果!$E$15:$E$18,F360)</f>
        <v>2.0249999999999999</v>
      </c>
      <c r="L360" s="1">
        <f t="shared" si="495"/>
        <v>2</v>
      </c>
      <c r="M360" s="1">
        <f t="shared" si="496"/>
        <v>10</v>
      </c>
      <c r="N360" s="1">
        <f t="shared" si="497"/>
        <v>2</v>
      </c>
      <c r="O360" s="1">
        <f t="shared" si="489"/>
        <v>5</v>
      </c>
      <c r="P360" s="1">
        <f>MIN(方案参数!$AI$12,AZ359+0+0)</f>
        <v>5</v>
      </c>
      <c r="Q360" s="1">
        <f t="shared" si="467"/>
        <v>5</v>
      </c>
      <c r="R360" s="1">
        <f t="shared" si="468"/>
        <v>20</v>
      </c>
      <c r="S360" s="1">
        <f t="shared" si="469"/>
        <v>3</v>
      </c>
      <c r="T360" s="1">
        <f t="shared" si="504"/>
        <v>0</v>
      </c>
      <c r="U360" s="1">
        <f t="shared" si="471"/>
        <v>1</v>
      </c>
      <c r="V360" s="1">
        <f t="shared" si="472"/>
        <v>4</v>
      </c>
      <c r="W360" s="1">
        <f t="shared" si="473"/>
        <v>1</v>
      </c>
      <c r="X360" s="1">
        <f t="shared" si="474"/>
        <v>1</v>
      </c>
      <c r="Y360" s="1">
        <f t="shared" si="475"/>
        <v>1</v>
      </c>
      <c r="Z360" s="1">
        <f t="shared" si="476"/>
        <v>1</v>
      </c>
      <c r="AA360" s="1">
        <f t="shared" si="500"/>
        <v>1</v>
      </c>
      <c r="AB360" s="1">
        <f t="shared" si="478"/>
        <v>1</v>
      </c>
      <c r="AC360" s="1">
        <f t="shared" si="505"/>
        <v>1</v>
      </c>
      <c r="AD360" s="1">
        <f>ROUNDDOWN(I360*(1+IF(F360=3,0.05+方案参数!$Y$12+AA360*0.12,IF(F360=4,方案参数!$BZ$12*方案参数!$AS$12,0)))+IF(AND(X360=1,F360&lt;&gt;3),方案参数!$CC$12,0)+AC360*方案参数!$CB$12,0)</f>
        <v>3034</v>
      </c>
      <c r="AE360" s="1">
        <f>IF(OR(F360=1,F360=4),配置与结果!$B$24,配置与结果!$B$25)*MAX(0,1-INDEX(配置与结果!$I$15:$I$18,F360))</f>
        <v>1200</v>
      </c>
      <c r="AF360" s="1">
        <f>方案参数!$BM$12</f>
        <v>20</v>
      </c>
      <c r="AG360" s="1">
        <f>MAX(配置与结果!$B$32,1+INDEX(配置与结果!$F$15:$F$18,F360)+0.08+方案参数!$CD$12+Q360*方案参数!$W$12+Y360*(方案参数!$AN$12+MIN(方案参数!$AO$12,P360*0.03))+AB360*方案参数!$BZ$12*0.025-配置与结果!$B$28+方案参数!$AE$12)</f>
        <v>2.6150000000000002</v>
      </c>
      <c r="AH360" s="1">
        <f>MAX(0,1+V360*方案参数!$U$12+7*方案参数!$V$12+方案参数!$AE$12-配置与结果!$B$29)</f>
        <v>1.98</v>
      </c>
      <c r="AI360" s="1">
        <f>IF(OR(INDEX(配置与结果!$K$15:$K$18,F360)=1,G360="RHI_BERRY"),1+配置与结果!$B$33+P360*方案参数!$AH$12,1)</f>
        <v>1</v>
      </c>
      <c r="AJ360" s="1">
        <f>MIN(1,MAX(0,J360+方案参数!$AB$12-配置与结果!$B$27))</f>
        <v>1</v>
      </c>
      <c r="AK360" s="1">
        <f>MAX(1,K360+IF(F360=2,0.15+方案参数!$CH$12,0)+BN360*方案参数!$X$12+R360*方案参数!$AA$12+方案参数!$BQ$12-配置与结果!$B$26+Z360*(方案参数!$AP$12+MIN(方案参数!$AQ$12,P360*0.03)))</f>
        <v>2.9650000000000003</v>
      </c>
      <c r="AL360" s="7">
        <f>ROUNDDOWN(MAX(AD360*配置与结果!$B$31,AD360-AE360)*AF360*AG360*AH360*AI360,0)</f>
        <v>189918</v>
      </c>
      <c r="AM360" s="7">
        <f>ROUNDDOWN(MAX(AD360*配置与结果!$B$31,AD360-AE360)*AF360*AG360*AH360*AI360*AK360,0)</f>
        <v>563106</v>
      </c>
      <c r="AN360" s="7">
        <f t="shared" si="458"/>
        <v>563106</v>
      </c>
      <c r="AO360" s="7">
        <f>0</f>
        <v>0</v>
      </c>
      <c r="AP360" s="7">
        <f>MAX(0,1+INDEX(配置与结果!$J$15:$J$18,F360)+IF(T360&gt;0,方案参数!$BY$12,0)-配置与结果!$B$30)</f>
        <v>1</v>
      </c>
      <c r="AQ360" s="7">
        <f t="shared" si="459"/>
        <v>0</v>
      </c>
      <c r="AR360" s="7">
        <f t="shared" si="460"/>
        <v>0</v>
      </c>
      <c r="AS360" s="7">
        <f t="shared" si="461"/>
        <v>0</v>
      </c>
      <c r="AT360" s="7">
        <f>IF(U360&gt;0,ROUNDDOWN(AL360*方案参数!$AF$12,0)*(1-AJ360)+ROUNDDOWN(AM360*方案参数!$AF$12,0)*AJ360,0)</f>
        <v>225242</v>
      </c>
      <c r="AU360" s="7">
        <f t="shared" si="462"/>
        <v>788348</v>
      </c>
      <c r="AV360" s="1">
        <f t="shared" si="463"/>
        <v>2</v>
      </c>
      <c r="AW360" s="1">
        <f t="shared" si="510"/>
        <v>10</v>
      </c>
      <c r="AX360" s="1">
        <f t="shared" si="464"/>
        <v>2</v>
      </c>
      <c r="AY360" s="1">
        <f>MIN(20,MAX(0,O360+0+1-0))</f>
        <v>6</v>
      </c>
      <c r="AZ360" s="1">
        <f t="shared" si="465"/>
        <v>5</v>
      </c>
      <c r="BA360" s="1">
        <f t="shared" si="501"/>
        <v>5</v>
      </c>
      <c r="BB360" s="1">
        <f t="shared" si="509"/>
        <v>20</v>
      </c>
      <c r="BC360" s="1">
        <f t="shared" si="507"/>
        <v>3</v>
      </c>
      <c r="BD360" s="1">
        <f t="shared" si="488"/>
        <v>0</v>
      </c>
      <c r="BE360" s="1">
        <f>MAX(0,U360-IF(AF360&gt;0,1,0))+0</f>
        <v>0</v>
      </c>
      <c r="BF360" s="1">
        <f t="shared" si="511"/>
        <v>4</v>
      </c>
      <c r="BG360" s="1">
        <f t="shared" si="498"/>
        <v>1</v>
      </c>
      <c r="BH360" s="1">
        <f t="shared" si="482"/>
        <v>1</v>
      </c>
      <c r="BI360" s="1">
        <f t="shared" si="499"/>
        <v>1</v>
      </c>
      <c r="BJ360" s="1">
        <f t="shared" si="502"/>
        <v>1</v>
      </c>
      <c r="BK360" s="1">
        <f t="shared" si="503"/>
        <v>1</v>
      </c>
      <c r="BL360" s="1">
        <f t="shared" si="508"/>
        <v>1</v>
      </c>
      <c r="BM360" s="1">
        <f t="shared" si="506"/>
        <v>1</v>
      </c>
      <c r="BN360" s="1">
        <f t="shared" si="483"/>
        <v>1</v>
      </c>
      <c r="BO360" s="1">
        <f t="shared" si="484"/>
        <v>1</v>
      </c>
    </row>
    <row r="361" spans="1:67" ht="30.95" customHeight="1">
      <c r="A361" s="1">
        <f>9</f>
        <v>9</v>
      </c>
      <c r="B361" s="1">
        <f>固定流程!A37</f>
        <v>32</v>
      </c>
      <c r="C361" s="1">
        <f>12</f>
        <v>12</v>
      </c>
      <c r="D361" s="1">
        <f>2</f>
        <v>2</v>
      </c>
      <c r="E361" s="1">
        <f>固定流程!C37</f>
        <v>3</v>
      </c>
      <c r="F361" s="1">
        <f>固定流程!G37</f>
        <v>1</v>
      </c>
      <c r="G361" s="1" t="str">
        <f>固定流程!H37</f>
        <v>LILYA_WEAK</v>
      </c>
      <c r="H361" s="1">
        <f>固定流程!F37</f>
        <v>1</v>
      </c>
      <c r="I361" s="1">
        <f>INDEX(配置与结果!$B$15:$B$18,F361)</f>
        <v>2296</v>
      </c>
      <c r="J361" s="1">
        <f>INDEX(配置与结果!$D$15:$D$18,F361)</f>
        <v>0.7</v>
      </c>
      <c r="K361" s="1">
        <f>INDEX(配置与结果!$E$15:$E$18,F361)</f>
        <v>2.0249999999999999</v>
      </c>
      <c r="L361" s="1">
        <f t="shared" si="495"/>
        <v>2</v>
      </c>
      <c r="M361" s="1">
        <f t="shared" si="496"/>
        <v>10</v>
      </c>
      <c r="N361" s="1">
        <f t="shared" si="497"/>
        <v>2</v>
      </c>
      <c r="O361" s="1">
        <f t="shared" si="489"/>
        <v>6</v>
      </c>
      <c r="P361" s="1">
        <f>MIN(方案参数!$AI$12,AZ360+0+0)</f>
        <v>5</v>
      </c>
      <c r="Q361" s="1">
        <f t="shared" si="467"/>
        <v>5</v>
      </c>
      <c r="R361" s="1">
        <f t="shared" si="468"/>
        <v>20</v>
      </c>
      <c r="S361" s="1">
        <f t="shared" si="469"/>
        <v>3</v>
      </c>
      <c r="T361" s="1">
        <f t="shared" si="504"/>
        <v>0</v>
      </c>
      <c r="U361" s="1">
        <f t="shared" si="471"/>
        <v>0</v>
      </c>
      <c r="V361" s="1">
        <f t="shared" si="472"/>
        <v>4</v>
      </c>
      <c r="W361" s="1">
        <f t="shared" si="473"/>
        <v>1</v>
      </c>
      <c r="X361" s="1">
        <f t="shared" si="474"/>
        <v>1</v>
      </c>
      <c r="Y361" s="1">
        <f t="shared" si="475"/>
        <v>1</v>
      </c>
      <c r="Z361" s="1">
        <f t="shared" si="476"/>
        <v>1</v>
      </c>
      <c r="AA361" s="1">
        <f t="shared" si="500"/>
        <v>1</v>
      </c>
      <c r="AB361" s="1">
        <f t="shared" si="478"/>
        <v>1</v>
      </c>
      <c r="AC361" s="1">
        <f t="shared" si="505"/>
        <v>1</v>
      </c>
      <c r="AD361" s="1">
        <f>ROUNDDOWN(I361*(1+IF(F361=3,0.05+方案参数!$Y$12+AA361*0.12,IF(F361=4,方案参数!$BZ$12*方案参数!$AS$12,0)))+IF(AND(X361=1,F361&lt;&gt;3),方案参数!$CC$12,0)+AC361*方案参数!$CB$12,0)</f>
        <v>3034</v>
      </c>
      <c r="AE361" s="1">
        <f>IF(OR(F361=1,F361=4),配置与结果!$B$24,配置与结果!$B$25)*MAX(0,1-INDEX(配置与结果!$I$15:$I$18,F361))</f>
        <v>1200</v>
      </c>
      <c r="AF361" s="1">
        <f>方案参数!$BL$12</f>
        <v>9</v>
      </c>
      <c r="AG361" s="1">
        <f>MAX(配置与结果!$B$32,1+INDEX(配置与结果!$F$15:$F$18,F361)+0.08+方案参数!$CD$12+Q361*方案参数!$W$12+Y361*(方案参数!$AN$12+MIN(方案参数!$AO$12,P361*0.03))+AB361*方案参数!$BZ$12*0.025-配置与结果!$B$28+方案参数!$AE$12)</f>
        <v>2.6150000000000002</v>
      </c>
      <c r="AH361" s="1">
        <f>MAX(0,1+V361*方案参数!$U$12+8*方案参数!$V$12+方案参数!$AE$12-配置与结果!$B$29)</f>
        <v>2.04</v>
      </c>
      <c r="AI361" s="1">
        <f>IF(OR(INDEX(配置与结果!$K$15:$K$18,F361)=1,G361="RHI_BERRY"),1+配置与结果!$B$33+P361*方案参数!$AH$12,1)</f>
        <v>1</v>
      </c>
      <c r="AJ361" s="1">
        <f>MIN(1,MAX(0,J361+方案参数!$AB$12-配置与结果!$B$27))</f>
        <v>1</v>
      </c>
      <c r="AK361" s="1">
        <f>MAX(1,K361+IF(F361=2,0.15+方案参数!$CH$12,0)+BN361*方案参数!$X$12+R361*方案参数!$AA$12+方案参数!$BP$12-配置与结果!$B$26+Z361*(方案参数!$AP$12+MIN(方案参数!$AQ$12,P361*0.03)))</f>
        <v>2.7650000000000001</v>
      </c>
      <c r="AL361" s="7">
        <f>ROUNDDOWN(MAX(AD361*配置与结果!$B$31,AD361-AE361)*AF361*AG361*AH361*AI361,0)</f>
        <v>88052</v>
      </c>
      <c r="AM361" s="7">
        <f>ROUNDDOWN(MAX(AD361*配置与结果!$B$31,AD361-AE361)*AF361*AG361*AH361*AI361*AK361,0)</f>
        <v>243466</v>
      </c>
      <c r="AN361" s="7">
        <f t="shared" si="458"/>
        <v>243466</v>
      </c>
      <c r="AO361" s="7">
        <f>0</f>
        <v>0</v>
      </c>
      <c r="AP361" s="7">
        <f>MAX(0,1+INDEX(配置与结果!$J$15:$J$18,F361)+IF(T361&gt;0,方案参数!$BY$12,0)-配置与结果!$B$30)</f>
        <v>1</v>
      </c>
      <c r="AQ361" s="7">
        <f t="shared" si="459"/>
        <v>0</v>
      </c>
      <c r="AR361" s="7">
        <f t="shared" si="460"/>
        <v>0</v>
      </c>
      <c r="AS361" s="7">
        <f t="shared" si="461"/>
        <v>0</v>
      </c>
      <c r="AT361" s="7">
        <f>IF(U361&gt;0,ROUNDDOWN(AL361*方案参数!$AF$12,0)*(1-AJ361)+ROUNDDOWN(AM361*方案参数!$AF$12,0)*AJ361,0)</f>
        <v>0</v>
      </c>
      <c r="AU361" s="7">
        <f t="shared" si="462"/>
        <v>243466</v>
      </c>
      <c r="AV361" s="1">
        <f t="shared" si="463"/>
        <v>2</v>
      </c>
      <c r="AW361" s="1">
        <f t="shared" si="510"/>
        <v>10</v>
      </c>
      <c r="AX361" s="1">
        <f t="shared" si="464"/>
        <v>2</v>
      </c>
      <c r="AY361" s="1">
        <f>MIN(20,MAX(0,O361+0+1-0))</f>
        <v>7</v>
      </c>
      <c r="AZ361" s="1">
        <f t="shared" si="465"/>
        <v>5</v>
      </c>
      <c r="BA361" s="1">
        <f t="shared" si="501"/>
        <v>5</v>
      </c>
      <c r="BB361" s="1">
        <f t="shared" si="509"/>
        <v>20</v>
      </c>
      <c r="BC361" s="1">
        <f t="shared" si="507"/>
        <v>3</v>
      </c>
      <c r="BD361" s="1">
        <f t="shared" si="488"/>
        <v>0</v>
      </c>
      <c r="BE361" s="1">
        <f>MAX(0,U361-IF(AF361&gt;0,1,0))+0</f>
        <v>0</v>
      </c>
      <c r="BF361" s="1">
        <f t="shared" si="511"/>
        <v>4</v>
      </c>
      <c r="BG361" s="1">
        <f t="shared" si="498"/>
        <v>1</v>
      </c>
      <c r="BH361" s="1">
        <f t="shared" si="482"/>
        <v>1</v>
      </c>
      <c r="BI361" s="1">
        <f t="shared" si="499"/>
        <v>1</v>
      </c>
      <c r="BJ361" s="1">
        <f t="shared" si="502"/>
        <v>1</v>
      </c>
      <c r="BK361" s="1">
        <f t="shared" si="503"/>
        <v>1</v>
      </c>
      <c r="BL361" s="1">
        <f t="shared" si="508"/>
        <v>1</v>
      </c>
      <c r="BM361" s="1">
        <f t="shared" si="506"/>
        <v>1</v>
      </c>
      <c r="BN361" s="1">
        <f t="shared" si="483"/>
        <v>1</v>
      </c>
      <c r="BO361" s="1">
        <f t="shared" si="484"/>
        <v>1</v>
      </c>
    </row>
    <row r="362" spans="1:67" ht="30.95" customHeight="1">
      <c r="A362" s="1">
        <f>9</f>
        <v>9</v>
      </c>
      <c r="B362" s="1">
        <f>固定流程!A38</f>
        <v>33</v>
      </c>
      <c r="C362" s="1">
        <f>12</f>
        <v>12</v>
      </c>
      <c r="D362" s="1">
        <f>2</f>
        <v>2</v>
      </c>
      <c r="E362" s="1">
        <f>固定流程!C38</f>
        <v>3</v>
      </c>
      <c r="F362" s="1">
        <f>固定流程!G38</f>
        <v>1</v>
      </c>
      <c r="G362" s="1" t="str">
        <f>固定流程!H38</f>
        <v>LILYA_WEAK</v>
      </c>
      <c r="H362" s="1">
        <f>固定流程!F38</f>
        <v>1</v>
      </c>
      <c r="I362" s="1">
        <f>INDEX(配置与结果!$B$15:$B$18,F362)</f>
        <v>2296</v>
      </c>
      <c r="J362" s="1">
        <f>INDEX(配置与结果!$D$15:$D$18,F362)</f>
        <v>0.7</v>
      </c>
      <c r="K362" s="1">
        <f>INDEX(配置与结果!$E$15:$E$18,F362)</f>
        <v>2.0249999999999999</v>
      </c>
      <c r="L362" s="1">
        <f t="shared" si="495"/>
        <v>2</v>
      </c>
      <c r="M362" s="1">
        <f t="shared" si="496"/>
        <v>10</v>
      </c>
      <c r="N362" s="1">
        <f t="shared" si="497"/>
        <v>2</v>
      </c>
      <c r="O362" s="1">
        <f t="shared" si="489"/>
        <v>7</v>
      </c>
      <c r="P362" s="1">
        <f>MIN(方案参数!$AI$12,AZ361+0+0)</f>
        <v>5</v>
      </c>
      <c r="Q362" s="1">
        <f t="shared" si="467"/>
        <v>5</v>
      </c>
      <c r="R362" s="1">
        <f t="shared" si="468"/>
        <v>20</v>
      </c>
      <c r="S362" s="1">
        <f t="shared" si="469"/>
        <v>3</v>
      </c>
      <c r="T362" s="1">
        <f t="shared" si="504"/>
        <v>0</v>
      </c>
      <c r="U362" s="1">
        <f t="shared" si="471"/>
        <v>0</v>
      </c>
      <c r="V362" s="1">
        <f t="shared" si="472"/>
        <v>4</v>
      </c>
      <c r="W362" s="1">
        <f t="shared" si="473"/>
        <v>1</v>
      </c>
      <c r="X362" s="1">
        <f t="shared" si="474"/>
        <v>1</v>
      </c>
      <c r="Y362" s="1">
        <f t="shared" si="475"/>
        <v>1</v>
      </c>
      <c r="Z362" s="1">
        <f t="shared" si="476"/>
        <v>1</v>
      </c>
      <c r="AA362" s="1">
        <f t="shared" si="500"/>
        <v>1</v>
      </c>
      <c r="AB362" s="1">
        <f t="shared" si="478"/>
        <v>1</v>
      </c>
      <c r="AC362" s="1">
        <f t="shared" si="505"/>
        <v>1</v>
      </c>
      <c r="AD362" s="1">
        <f>ROUNDDOWN(I362*(1+IF(F362=3,0.05+方案参数!$Y$12+AA362*0.12,IF(F362=4,方案参数!$BZ$12*方案参数!$AS$12,0)))+IF(AND(X362=1,F362&lt;&gt;3),方案参数!$CC$12,0)+AC362*方案参数!$CB$12,0)</f>
        <v>3034</v>
      </c>
      <c r="AE362" s="1">
        <f>IF(OR(F362=1,F362=4),配置与结果!$B$24,配置与结果!$B$25)*MAX(0,1-INDEX(配置与结果!$I$15:$I$18,F362))</f>
        <v>1200</v>
      </c>
      <c r="AF362" s="1">
        <f>方案参数!$BL$12</f>
        <v>9</v>
      </c>
      <c r="AG362" s="1">
        <f>MAX(配置与结果!$B$32,1+INDEX(配置与结果!$F$15:$F$18,F362)+0.08+方案参数!$CD$12+Q362*方案参数!$W$12+Y362*(方案参数!$AN$12+MIN(方案参数!$AO$12,P362*0.03))+AB362*方案参数!$BZ$12*0.025-配置与结果!$B$28+方案参数!$AE$12)</f>
        <v>2.6150000000000002</v>
      </c>
      <c r="AH362" s="1">
        <f>MAX(0,1+V362*方案参数!$U$12+9*方案参数!$V$12+方案参数!$AE$12-配置与结果!$B$29)</f>
        <v>2.1</v>
      </c>
      <c r="AI362" s="1">
        <f>IF(OR(INDEX(配置与结果!$K$15:$K$18,F362)=1,G362="RHI_BERRY"),1+配置与结果!$B$33+P362*方案参数!$AH$12,1)</f>
        <v>1</v>
      </c>
      <c r="AJ362" s="1">
        <f>MIN(1,MAX(0,J362+方案参数!$AB$12-配置与结果!$B$27))</f>
        <v>1</v>
      </c>
      <c r="AK362" s="1">
        <f>MAX(1,K362+IF(F362=2,0.15+方案参数!$CH$12,0)+BN362*方案参数!$X$12+R362*方案参数!$AA$12+方案参数!$BP$12-配置与结果!$B$26+Z362*(方案参数!$AP$12+MIN(方案参数!$AQ$12,P362*0.03)))</f>
        <v>2.7650000000000001</v>
      </c>
      <c r="AL362" s="7">
        <f>ROUNDDOWN(MAX(AD362*配置与结果!$B$31,AD362-AE362)*AF362*AG362*AH362*AI362,0)</f>
        <v>90642</v>
      </c>
      <c r="AM362" s="7">
        <f>ROUNDDOWN(MAX(AD362*配置与结果!$B$31,AD362-AE362)*AF362*AG362*AH362*AI362*AK362,0)</f>
        <v>250627</v>
      </c>
      <c r="AN362" s="7">
        <f t="shared" si="458"/>
        <v>250627</v>
      </c>
      <c r="AO362" s="7">
        <f>0</f>
        <v>0</v>
      </c>
      <c r="AP362" s="7">
        <f>MAX(0,1+INDEX(配置与结果!$J$15:$J$18,F362)+IF(T362&gt;0,方案参数!$BY$12,0)-配置与结果!$B$30)</f>
        <v>1</v>
      </c>
      <c r="AQ362" s="7">
        <f t="shared" si="459"/>
        <v>0</v>
      </c>
      <c r="AR362" s="7">
        <f t="shared" si="460"/>
        <v>0</v>
      </c>
      <c r="AS362" s="7">
        <f t="shared" si="461"/>
        <v>0</v>
      </c>
      <c r="AT362" s="7">
        <f>IF(U362&gt;0,ROUNDDOWN(AL362*方案参数!$AF$12,0)*(1-AJ362)+ROUNDDOWN(AM362*方案参数!$AF$12,0)*AJ362,0)</f>
        <v>0</v>
      </c>
      <c r="AU362" s="7">
        <f t="shared" si="462"/>
        <v>250627</v>
      </c>
      <c r="AV362" s="1">
        <f t="shared" si="463"/>
        <v>2</v>
      </c>
      <c r="AW362" s="1">
        <f t="shared" si="510"/>
        <v>10</v>
      </c>
      <c r="AX362" s="1">
        <f t="shared" si="464"/>
        <v>2</v>
      </c>
      <c r="AY362" s="1">
        <f>MIN(20,MAX(0,O362+0+1-0))</f>
        <v>8</v>
      </c>
      <c r="AZ362" s="1">
        <f t="shared" si="465"/>
        <v>5</v>
      </c>
      <c r="BA362" s="1">
        <f t="shared" si="501"/>
        <v>5</v>
      </c>
      <c r="BB362" s="1">
        <f t="shared" si="509"/>
        <v>20</v>
      </c>
      <c r="BC362" s="1">
        <f t="shared" si="507"/>
        <v>3</v>
      </c>
      <c r="BD362" s="1">
        <f t="shared" si="488"/>
        <v>0</v>
      </c>
      <c r="BE362" s="1">
        <f>MAX(0,U362-IF(AF362&gt;0,1,0))+0</f>
        <v>0</v>
      </c>
      <c r="BF362" s="1">
        <f t="shared" si="511"/>
        <v>4</v>
      </c>
      <c r="BG362" s="1">
        <f t="shared" si="498"/>
        <v>1</v>
      </c>
      <c r="BH362" s="1">
        <f t="shared" si="482"/>
        <v>1</v>
      </c>
      <c r="BI362" s="1">
        <f t="shared" si="499"/>
        <v>1</v>
      </c>
      <c r="BJ362" s="1">
        <f t="shared" si="502"/>
        <v>1</v>
      </c>
      <c r="BK362" s="1">
        <f t="shared" si="503"/>
        <v>1</v>
      </c>
      <c r="BL362" s="1">
        <f t="shared" si="508"/>
        <v>1</v>
      </c>
      <c r="BM362" s="1">
        <f t="shared" si="506"/>
        <v>1</v>
      </c>
      <c r="BN362" s="1">
        <f t="shared" si="483"/>
        <v>1</v>
      </c>
      <c r="BO362" s="1">
        <f t="shared" si="484"/>
        <v>1</v>
      </c>
    </row>
    <row r="363" spans="1:67" ht="30.95" customHeight="1">
      <c r="A363" s="1">
        <f>9</f>
        <v>9</v>
      </c>
      <c r="B363" s="1">
        <f>固定流程!A39</f>
        <v>34</v>
      </c>
      <c r="C363" s="1">
        <f>12</f>
        <v>12</v>
      </c>
      <c r="D363" s="1">
        <f>2</f>
        <v>2</v>
      </c>
      <c r="E363" s="1">
        <f>固定流程!C39</f>
        <v>3</v>
      </c>
      <c r="F363" s="1">
        <f>固定流程!G39</f>
        <v>2</v>
      </c>
      <c r="G363" s="1" t="str">
        <f>固定流程!H39</f>
        <v>37_WEAK</v>
      </c>
      <c r="H363" s="1">
        <f>固定流程!F39</f>
        <v>1</v>
      </c>
      <c r="I363" s="1">
        <f>INDEX(配置与结果!$B$15:$B$18,F363)</f>
        <v>2306</v>
      </c>
      <c r="J363" s="1">
        <f>INDEX(配置与结果!$D$15:$D$18,F363)</f>
        <v>0.46</v>
      </c>
      <c r="K363" s="1">
        <f>INDEX(配置与结果!$E$15:$E$18,F363)</f>
        <v>1.9279999999999999</v>
      </c>
      <c r="L363" s="1">
        <f t="shared" si="495"/>
        <v>2</v>
      </c>
      <c r="M363" s="1">
        <f t="shared" si="496"/>
        <v>10</v>
      </c>
      <c r="N363" s="1">
        <f t="shared" si="497"/>
        <v>2</v>
      </c>
      <c r="O363" s="1">
        <f t="shared" si="489"/>
        <v>8</v>
      </c>
      <c r="P363" s="1">
        <f>MIN(方案参数!$AI$12,AZ362+0+0)</f>
        <v>5</v>
      </c>
      <c r="Q363" s="1">
        <f t="shared" si="467"/>
        <v>5</v>
      </c>
      <c r="R363" s="1">
        <f t="shared" si="468"/>
        <v>20</v>
      </c>
      <c r="S363" s="1">
        <f t="shared" si="469"/>
        <v>3</v>
      </c>
      <c r="T363" s="1">
        <f t="shared" si="504"/>
        <v>0</v>
      </c>
      <c r="U363" s="1">
        <f t="shared" si="471"/>
        <v>0</v>
      </c>
      <c r="V363" s="1">
        <f t="shared" si="472"/>
        <v>4</v>
      </c>
      <c r="W363" s="1">
        <f t="shared" si="473"/>
        <v>1</v>
      </c>
      <c r="X363" s="1">
        <f t="shared" si="474"/>
        <v>1</v>
      </c>
      <c r="Y363" s="1">
        <f t="shared" si="475"/>
        <v>1</v>
      </c>
      <c r="Z363" s="1">
        <f t="shared" si="476"/>
        <v>1</v>
      </c>
      <c r="AA363" s="1">
        <f t="shared" si="500"/>
        <v>1</v>
      </c>
      <c r="AB363" s="1">
        <f t="shared" si="478"/>
        <v>1</v>
      </c>
      <c r="AC363" s="1">
        <f t="shared" si="505"/>
        <v>1</v>
      </c>
      <c r="AD363" s="1">
        <f>ROUNDDOWN(I363*(1+IF(F363=3,0.05+方案参数!$Y$12+AA363*0.12,IF(F363=4,方案参数!$BZ$12*方案参数!$AS$12,0)))+IF(AND(X363=1,F363&lt;&gt;3),方案参数!$CC$12,0)+AC363*方案参数!$CB$12,0)</f>
        <v>3044</v>
      </c>
      <c r="AE363" s="1">
        <f>IF(OR(F363=1,F363=4),配置与结果!$B$24,配置与结果!$B$25)*MAX(0,1-INDEX(配置与结果!$I$15:$I$18,F363))</f>
        <v>1000</v>
      </c>
      <c r="AF363" s="1">
        <f>方案参数!$CE$12</f>
        <v>8</v>
      </c>
      <c r="AG363" s="1">
        <f>MAX(配置与结果!$B$32,1+INDEX(配置与结果!$F$15:$F$18,F363)+0+Q363*方案参数!$W$12+Y363*(方案参数!$AN$12+MIN(方案参数!$AO$12,P363*0.03))+AB363*方案参数!$BZ$12*0.025-配置与结果!$B$28+方案参数!$AE$12)</f>
        <v>2.2800000000000002</v>
      </c>
      <c r="AH363" s="1">
        <f>MAX(0,1+V363*方案参数!$U$12+方案参数!$AE$12-配置与结果!$B$29)</f>
        <v>1.56</v>
      </c>
      <c r="AI363" s="1">
        <f>IF(OR(INDEX(配置与结果!$K$15:$K$18,F363)=1,G363="RHI_BERRY"),1+配置与结果!$B$33+P363*方案参数!$AH$12,1)</f>
        <v>1</v>
      </c>
      <c r="AJ363" s="1">
        <f>MIN(1,MAX(0,J363+方案参数!$AB$12-配置与结果!$B$27))</f>
        <v>1</v>
      </c>
      <c r="AK363" s="1">
        <f>MAX(1,K363+IF(F363=2,0.15+方案参数!$CH$12,0)+BN363*方案参数!$X$12+R363*方案参数!$AA$12+0-配置与结果!$B$26+Z363*(方案参数!$AP$12+MIN(方案参数!$AQ$12,P363*0.03)))</f>
        <v>2.3380000000000001</v>
      </c>
      <c r="AL363" s="7">
        <f>ROUNDDOWN(MAX(AD363*配置与结果!$B$31,AD363-AE363)*AF363*AG363*AH363*AI363,0)</f>
        <v>58160</v>
      </c>
      <c r="AM363" s="7">
        <f>ROUNDDOWN(MAX(AD363*配置与结果!$B$31,AD363-AE363)*AF363*AG363*AH363*AI363*AK363,0)</f>
        <v>135979</v>
      </c>
      <c r="AN363" s="7">
        <f t="shared" si="458"/>
        <v>135979</v>
      </c>
      <c r="AO363" s="7">
        <f>0</f>
        <v>0</v>
      </c>
      <c r="AP363" s="7">
        <f>MAX(0,1+INDEX(配置与结果!$J$15:$J$18,F363)+IF(T363&gt;0,方案参数!$BY$12,0)-配置与结果!$B$30)</f>
        <v>1</v>
      </c>
      <c r="AQ363" s="7">
        <f t="shared" si="459"/>
        <v>0</v>
      </c>
      <c r="AR363" s="7">
        <f t="shared" si="460"/>
        <v>0</v>
      </c>
      <c r="AS363" s="7">
        <f t="shared" si="461"/>
        <v>0</v>
      </c>
      <c r="AT363" s="7">
        <f>IF(U363&gt;0,ROUNDDOWN(AL363*方案参数!$AF$12,0)*(1-AJ363)+ROUNDDOWN(AM363*方案参数!$AF$12,0)*AJ363,0)</f>
        <v>0</v>
      </c>
      <c r="AU363" s="7">
        <f t="shared" si="462"/>
        <v>135979</v>
      </c>
      <c r="AV363" s="1">
        <f t="shared" si="463"/>
        <v>2</v>
      </c>
      <c r="AW363" s="1">
        <f t="shared" si="510"/>
        <v>10</v>
      </c>
      <c r="AX363" s="1">
        <f t="shared" si="464"/>
        <v>2</v>
      </c>
      <c r="AY363" s="1">
        <f>MIN(20,MAX(0,O363+0+0-0))</f>
        <v>8</v>
      </c>
      <c r="AZ363" s="1">
        <f t="shared" si="465"/>
        <v>5</v>
      </c>
      <c r="BA363" s="1">
        <f t="shared" si="501"/>
        <v>5</v>
      </c>
      <c r="BB363" s="1">
        <f t="shared" si="509"/>
        <v>20</v>
      </c>
      <c r="BC363" s="1">
        <f t="shared" si="507"/>
        <v>3</v>
      </c>
      <c r="BD363" s="1">
        <f t="shared" si="488"/>
        <v>0</v>
      </c>
      <c r="BE363" s="1">
        <f>MAX(0,U363-IF(AF363&gt;0,1,0))+1</f>
        <v>1</v>
      </c>
      <c r="BF363" s="1">
        <f t="shared" si="511"/>
        <v>4</v>
      </c>
      <c r="BG363" s="1">
        <f t="shared" si="498"/>
        <v>1</v>
      </c>
      <c r="BH363" s="1">
        <f t="shared" si="482"/>
        <v>1</v>
      </c>
      <c r="BI363" s="1">
        <f t="shared" si="499"/>
        <v>1</v>
      </c>
      <c r="BJ363" s="1">
        <f t="shared" si="502"/>
        <v>1</v>
      </c>
      <c r="BK363" s="1">
        <f t="shared" si="503"/>
        <v>1</v>
      </c>
      <c r="BL363" s="1">
        <f t="shared" si="508"/>
        <v>1</v>
      </c>
      <c r="BM363" s="1">
        <f t="shared" si="506"/>
        <v>1</v>
      </c>
      <c r="BN363" s="1">
        <f t="shared" si="483"/>
        <v>1</v>
      </c>
      <c r="BO363" s="1">
        <f t="shared" si="484"/>
        <v>1</v>
      </c>
    </row>
    <row r="364" spans="1:67" ht="30.95" customHeight="1">
      <c r="A364" s="1">
        <f>9</f>
        <v>9</v>
      </c>
      <c r="B364" s="1">
        <f>固定流程!A40</f>
        <v>35</v>
      </c>
      <c r="C364" s="1">
        <f>12</f>
        <v>12</v>
      </c>
      <c r="D364" s="1">
        <f>2</f>
        <v>2</v>
      </c>
      <c r="E364" s="1">
        <f>固定流程!C40</f>
        <v>3</v>
      </c>
      <c r="F364" s="1">
        <f>固定流程!G40</f>
        <v>2</v>
      </c>
      <c r="G364" s="1" t="str">
        <f>固定流程!H40</f>
        <v>37_WEAK</v>
      </c>
      <c r="H364" s="1">
        <f>固定流程!F40</f>
        <v>1</v>
      </c>
      <c r="I364" s="1">
        <f>INDEX(配置与结果!$B$15:$B$18,F364)</f>
        <v>2306</v>
      </c>
      <c r="J364" s="1">
        <f>INDEX(配置与结果!$D$15:$D$18,F364)</f>
        <v>0.46</v>
      </c>
      <c r="K364" s="1">
        <f>INDEX(配置与结果!$E$15:$E$18,F364)</f>
        <v>1.9279999999999999</v>
      </c>
      <c r="L364" s="1">
        <f t="shared" si="495"/>
        <v>2</v>
      </c>
      <c r="M364" s="1">
        <f t="shared" si="496"/>
        <v>10</v>
      </c>
      <c r="N364" s="1">
        <f t="shared" si="497"/>
        <v>2</v>
      </c>
      <c r="O364" s="1">
        <f t="shared" si="489"/>
        <v>8</v>
      </c>
      <c r="P364" s="1">
        <f>MIN(方案参数!$AI$12,AZ363+0+0)</f>
        <v>5</v>
      </c>
      <c r="Q364" s="1">
        <f t="shared" si="467"/>
        <v>5</v>
      </c>
      <c r="R364" s="1">
        <f t="shared" si="468"/>
        <v>20</v>
      </c>
      <c r="S364" s="1">
        <f t="shared" si="469"/>
        <v>3</v>
      </c>
      <c r="T364" s="1">
        <f t="shared" si="504"/>
        <v>0</v>
      </c>
      <c r="U364" s="1">
        <f t="shared" si="471"/>
        <v>1</v>
      </c>
      <c r="V364" s="1">
        <f t="shared" si="472"/>
        <v>4</v>
      </c>
      <c r="W364" s="1">
        <f t="shared" si="473"/>
        <v>1</v>
      </c>
      <c r="X364" s="1">
        <f t="shared" si="474"/>
        <v>1</v>
      </c>
      <c r="Y364" s="1">
        <f t="shared" si="475"/>
        <v>1</v>
      </c>
      <c r="Z364" s="1">
        <f t="shared" si="476"/>
        <v>1</v>
      </c>
      <c r="AA364" s="1">
        <f t="shared" si="500"/>
        <v>1</v>
      </c>
      <c r="AB364" s="1">
        <f t="shared" si="478"/>
        <v>1</v>
      </c>
      <c r="AC364" s="1">
        <f t="shared" si="505"/>
        <v>1</v>
      </c>
      <c r="AD364" s="1">
        <f>ROUNDDOWN(I364*(1+IF(F364=3,0.05+方案参数!$Y$12+AA364*0.12,IF(F364=4,方案参数!$BZ$12*方案参数!$AS$12,0)))+IF(AND(X364=1,F364&lt;&gt;3),方案参数!$CC$12,0)+AC364*方案参数!$CB$12,0)</f>
        <v>3044</v>
      </c>
      <c r="AE364" s="1">
        <f>IF(OR(F364=1,F364=4),配置与结果!$B$24,配置与结果!$B$25)*MAX(0,1-INDEX(配置与结果!$I$15:$I$18,F364))</f>
        <v>1000</v>
      </c>
      <c r="AF364" s="1">
        <f>方案参数!$CE$12</f>
        <v>8</v>
      </c>
      <c r="AG364" s="1">
        <f>MAX(配置与结果!$B$32,1+INDEX(配置与结果!$F$15:$F$18,F364)+0+Q364*方案参数!$W$12+Y364*(方案参数!$AN$12+MIN(方案参数!$AO$12,P364*0.03))+AB364*方案参数!$BZ$12*0.025-配置与结果!$B$28+方案参数!$AE$12)</f>
        <v>2.2800000000000002</v>
      </c>
      <c r="AH364" s="1">
        <f>MAX(0,1+V364*方案参数!$U$12+方案参数!$AE$12-配置与结果!$B$29)</f>
        <v>1.56</v>
      </c>
      <c r="AI364" s="1">
        <f>IF(OR(INDEX(配置与结果!$K$15:$K$18,F364)=1,G364="RHI_BERRY"),1+配置与结果!$B$33+P364*方案参数!$AH$12,1)</f>
        <v>1</v>
      </c>
      <c r="AJ364" s="1">
        <f>MIN(1,MAX(0,J364+方案参数!$AB$12-配置与结果!$B$27))</f>
        <v>1</v>
      </c>
      <c r="AK364" s="1">
        <f>MAX(1,K364+IF(F364=2,0.15+方案参数!$CH$12,0)+BN364*方案参数!$X$12+R364*方案参数!$AA$12+0-配置与结果!$B$26+Z364*(方案参数!$AP$12+MIN(方案参数!$AQ$12,P364*0.03)))</f>
        <v>2.3380000000000001</v>
      </c>
      <c r="AL364" s="7">
        <f>ROUNDDOWN(MAX(AD364*配置与结果!$B$31,AD364-AE364)*AF364*AG364*AH364*AI364,0)</f>
        <v>58160</v>
      </c>
      <c r="AM364" s="7">
        <f>ROUNDDOWN(MAX(AD364*配置与结果!$B$31,AD364-AE364)*AF364*AG364*AH364*AI364*AK364,0)</f>
        <v>135979</v>
      </c>
      <c r="AN364" s="7">
        <f t="shared" si="458"/>
        <v>135979</v>
      </c>
      <c r="AO364" s="7">
        <f>0</f>
        <v>0</v>
      </c>
      <c r="AP364" s="7">
        <f>MAX(0,1+INDEX(配置与结果!$J$15:$J$18,F364)+IF(T364&gt;0,方案参数!$BY$12,0)-配置与结果!$B$30)</f>
        <v>1</v>
      </c>
      <c r="AQ364" s="7">
        <f t="shared" si="459"/>
        <v>0</v>
      </c>
      <c r="AR364" s="7">
        <f t="shared" si="460"/>
        <v>0</v>
      </c>
      <c r="AS364" s="7">
        <f t="shared" si="461"/>
        <v>0</v>
      </c>
      <c r="AT364" s="7">
        <f>IF(U364&gt;0,ROUNDDOWN(AL364*方案参数!$AF$12,0)*(1-AJ364)+ROUNDDOWN(AM364*方案参数!$AF$12,0)*AJ364,0)</f>
        <v>54391</v>
      </c>
      <c r="AU364" s="7">
        <f t="shared" si="462"/>
        <v>190370</v>
      </c>
      <c r="AV364" s="1">
        <f t="shared" si="463"/>
        <v>2</v>
      </c>
      <c r="AW364" s="1">
        <f t="shared" si="510"/>
        <v>10</v>
      </c>
      <c r="AX364" s="1">
        <f t="shared" si="464"/>
        <v>2</v>
      </c>
      <c r="AY364" s="1">
        <f>MIN(20,MAX(0,O364+0+0-0))</f>
        <v>8</v>
      </c>
      <c r="AZ364" s="1">
        <f t="shared" si="465"/>
        <v>5</v>
      </c>
      <c r="BA364" s="1">
        <f t="shared" si="501"/>
        <v>5</v>
      </c>
      <c r="BB364" s="1">
        <f t="shared" si="509"/>
        <v>20</v>
      </c>
      <c r="BC364" s="1">
        <f t="shared" si="507"/>
        <v>3</v>
      </c>
      <c r="BD364" s="1">
        <f t="shared" si="488"/>
        <v>0</v>
      </c>
      <c r="BE364" s="1">
        <f>MAX(0,U364-IF(AF364&gt;0,1,0))+1</f>
        <v>1</v>
      </c>
      <c r="BF364" s="1">
        <f t="shared" si="511"/>
        <v>4</v>
      </c>
      <c r="BG364" s="1">
        <f t="shared" si="498"/>
        <v>1</v>
      </c>
      <c r="BH364" s="1">
        <f t="shared" si="482"/>
        <v>1</v>
      </c>
      <c r="BI364" s="1">
        <f t="shared" si="499"/>
        <v>1</v>
      </c>
      <c r="BJ364" s="1">
        <f t="shared" si="502"/>
        <v>1</v>
      </c>
      <c r="BK364" s="1">
        <f t="shared" si="503"/>
        <v>1</v>
      </c>
      <c r="BL364" s="1">
        <f t="shared" si="508"/>
        <v>1</v>
      </c>
      <c r="BM364" s="1">
        <f t="shared" si="506"/>
        <v>1</v>
      </c>
      <c r="BN364" s="1">
        <f t="shared" si="483"/>
        <v>1</v>
      </c>
      <c r="BO364" s="1">
        <f t="shared" si="484"/>
        <v>1</v>
      </c>
    </row>
    <row r="365" spans="1:67" ht="30.95" customHeight="1">
      <c r="A365" s="1">
        <f>9</f>
        <v>9</v>
      </c>
      <c r="B365" s="1">
        <f>固定流程!A41</f>
        <v>36</v>
      </c>
      <c r="C365" s="1">
        <f>12</f>
        <v>12</v>
      </c>
      <c r="D365" s="1">
        <f>2</f>
        <v>2</v>
      </c>
      <c r="E365" s="1">
        <f>固定流程!C41</f>
        <v>3</v>
      </c>
      <c r="F365" s="1">
        <f>固定流程!G41</f>
        <v>1</v>
      </c>
      <c r="G365" s="1" t="str">
        <f>固定流程!H41</f>
        <v>LILYA_FINISH</v>
      </c>
      <c r="H365" s="1">
        <f>固定流程!F41</f>
        <v>1</v>
      </c>
      <c r="I365" s="1">
        <f>INDEX(配置与结果!$B$15:$B$18,F365)</f>
        <v>2296</v>
      </c>
      <c r="J365" s="1">
        <f>INDEX(配置与结果!$D$15:$D$18,F365)</f>
        <v>0.7</v>
      </c>
      <c r="K365" s="1">
        <f>INDEX(配置与结果!$E$15:$E$18,F365)</f>
        <v>2.0249999999999999</v>
      </c>
      <c r="L365" s="1">
        <f t="shared" si="495"/>
        <v>2</v>
      </c>
      <c r="M365" s="1">
        <f t="shared" si="496"/>
        <v>10</v>
      </c>
      <c r="N365" s="1">
        <f t="shared" si="497"/>
        <v>2</v>
      </c>
      <c r="O365" s="1">
        <f t="shared" si="489"/>
        <v>8</v>
      </c>
      <c r="P365" s="1">
        <f>MIN(方案参数!$AI$12,AZ364+0+0)</f>
        <v>5</v>
      </c>
      <c r="Q365" s="1">
        <f t="shared" si="467"/>
        <v>5</v>
      </c>
      <c r="R365" s="1">
        <f t="shared" si="468"/>
        <v>20</v>
      </c>
      <c r="S365" s="1">
        <f t="shared" si="469"/>
        <v>3</v>
      </c>
      <c r="T365" s="1">
        <f t="shared" si="504"/>
        <v>0</v>
      </c>
      <c r="U365" s="1">
        <f t="shared" si="471"/>
        <v>1</v>
      </c>
      <c r="V365" s="1">
        <f t="shared" si="472"/>
        <v>4</v>
      </c>
      <c r="W365" s="1">
        <f t="shared" si="473"/>
        <v>1</v>
      </c>
      <c r="X365" s="1">
        <f t="shared" si="474"/>
        <v>1</v>
      </c>
      <c r="Y365" s="1">
        <f t="shared" si="475"/>
        <v>1</v>
      </c>
      <c r="Z365" s="1">
        <f t="shared" si="476"/>
        <v>1</v>
      </c>
      <c r="AA365" s="1">
        <f t="shared" si="500"/>
        <v>1</v>
      </c>
      <c r="AB365" s="1">
        <f t="shared" si="478"/>
        <v>1</v>
      </c>
      <c r="AC365" s="1">
        <f t="shared" si="505"/>
        <v>1</v>
      </c>
      <c r="AD365" s="1">
        <f>ROUNDDOWN(I365*(1+IF(F365=3,0.05+方案参数!$Y$12+AA365*0.12,IF(F365=4,方案参数!$BZ$12*方案参数!$AS$12,0)))+IF(AND(X365=1,F365&lt;&gt;3),方案参数!$CC$12,0)+AC365*方案参数!$CB$12,0)</f>
        <v>3034</v>
      </c>
      <c r="AE365" s="1">
        <f>IF(OR(F365=1,F365=4),配置与结果!$B$24,配置与结果!$B$25)*MAX(0,1-INDEX(配置与结果!$I$15:$I$18,F365))</f>
        <v>1200</v>
      </c>
      <c r="AF365" s="1">
        <f>方案参数!$BN$12+12*方案参数!$BO$12</f>
        <v>48</v>
      </c>
      <c r="AG365" s="1">
        <f>MAX(配置与结果!$B$32,1+INDEX(配置与结果!$F$15:$F$18,F365)+0.08+方案参数!$CD$12+Q365*方案参数!$W$12+Y365*(方案参数!$AN$12+MIN(方案参数!$AO$12,P365*0.03))+AB365*方案参数!$BZ$12*0.025-配置与结果!$B$28+方案参数!$AE$12)</f>
        <v>2.6150000000000002</v>
      </c>
      <c r="AH365" s="1">
        <f>MAX(0,1+V365*方案参数!$U$12+12*方案参数!$V$12+方案参数!$AE$12-配置与结果!$B$29)</f>
        <v>2.2799999999999998</v>
      </c>
      <c r="AI365" s="1">
        <f>IF(OR(INDEX(配置与结果!$K$15:$K$18,F365)=1,G365="RHI_BERRY"),1+配置与结果!$B$33+P365*方案参数!$AH$12,1)</f>
        <v>1</v>
      </c>
      <c r="AJ365" s="1">
        <f>MIN(1,MAX(0,J365+方案参数!$AB$12-配置与结果!$B$27))</f>
        <v>1</v>
      </c>
      <c r="AK365" s="1">
        <f>MAX(1,K365+IF(F365=2,0.15+方案参数!$CH$12,0)+BN365*方案参数!$X$12+R365*方案参数!$AA$12+方案参数!$BR$12-配置与结果!$B$26+Z365*(方案参数!$AP$12+MIN(方案参数!$AQ$12,P365*0.03)))</f>
        <v>3.165</v>
      </c>
      <c r="AL365" s="7">
        <f>ROUNDDOWN(MAX(AD365*配置与结果!$B$31,AD365-AE365)*AF365*AG365*AH365*AI365,0)</f>
        <v>524864</v>
      </c>
      <c r="AM365" s="7">
        <f>ROUNDDOWN(MAX(AD365*配置与结果!$B$31,AD365-AE365)*AF365*AG365*AH365*AI365*AK365,0)</f>
        <v>1661195</v>
      </c>
      <c r="AN365" s="7">
        <f t="shared" si="458"/>
        <v>1661195</v>
      </c>
      <c r="AO365" s="7">
        <f>0</f>
        <v>0</v>
      </c>
      <c r="AP365" s="7">
        <f>MAX(0,1+INDEX(配置与结果!$J$15:$J$18,F365)+IF(T365&gt;0,方案参数!$BY$12,0)-配置与结果!$B$30)</f>
        <v>1</v>
      </c>
      <c r="AQ365" s="7">
        <f t="shared" si="459"/>
        <v>0</v>
      </c>
      <c r="AR365" s="7">
        <f t="shared" si="460"/>
        <v>0</v>
      </c>
      <c r="AS365" s="7">
        <f t="shared" si="461"/>
        <v>0</v>
      </c>
      <c r="AT365" s="7">
        <f>IF(U365&gt;0,ROUNDDOWN(AL365*方案参数!$AF$12,0)*(1-AJ365)+ROUNDDOWN(AM365*方案参数!$AF$12,0)*AJ365,0)</f>
        <v>664478</v>
      </c>
      <c r="AU365" s="7">
        <f t="shared" si="462"/>
        <v>2325673</v>
      </c>
      <c r="AV365" s="1">
        <f t="shared" si="463"/>
        <v>2</v>
      </c>
      <c r="AW365" s="1">
        <f t="shared" si="510"/>
        <v>10</v>
      </c>
      <c r="AX365" s="1">
        <f t="shared" si="464"/>
        <v>2</v>
      </c>
      <c r="AY365" s="1">
        <f>MIN(20,MAX(0,O365+0+1-0))</f>
        <v>9</v>
      </c>
      <c r="AZ365" s="1">
        <f t="shared" si="465"/>
        <v>5</v>
      </c>
      <c r="BA365" s="1">
        <f t="shared" si="501"/>
        <v>5</v>
      </c>
      <c r="BB365" s="1">
        <f t="shared" si="509"/>
        <v>20</v>
      </c>
      <c r="BC365" s="1">
        <f t="shared" si="507"/>
        <v>3</v>
      </c>
      <c r="BD365" s="1">
        <f t="shared" si="488"/>
        <v>0</v>
      </c>
      <c r="BE365" s="1">
        <f>MAX(0,U365-IF(AF365&gt;0,1,0))+0</f>
        <v>0</v>
      </c>
      <c r="BF365" s="1">
        <f t="shared" si="511"/>
        <v>4</v>
      </c>
      <c r="BG365" s="1">
        <f t="shared" si="498"/>
        <v>1</v>
      </c>
      <c r="BH365" s="1">
        <f t="shared" si="482"/>
        <v>1</v>
      </c>
      <c r="BI365" s="1">
        <f t="shared" si="499"/>
        <v>1</v>
      </c>
      <c r="BJ365" s="1">
        <f t="shared" si="502"/>
        <v>1</v>
      </c>
      <c r="BK365" s="1">
        <f t="shared" si="503"/>
        <v>1</v>
      </c>
      <c r="BL365" s="1">
        <f t="shared" si="508"/>
        <v>1</v>
      </c>
      <c r="BM365" s="1">
        <f t="shared" si="506"/>
        <v>1</v>
      </c>
      <c r="BN365" s="1">
        <f t="shared" si="483"/>
        <v>1</v>
      </c>
      <c r="BO365" s="1">
        <f t="shared" si="484"/>
        <v>1</v>
      </c>
    </row>
    <row r="366" spans="1:67" ht="30.95" customHeight="1">
      <c r="A366" s="1">
        <f>10</f>
        <v>10</v>
      </c>
      <c r="B366" s="1">
        <f>固定流程!A6</f>
        <v>1</v>
      </c>
      <c r="C366" s="1">
        <f>13</f>
        <v>13</v>
      </c>
      <c r="D366" s="1">
        <f>1</f>
        <v>1</v>
      </c>
      <c r="E366" s="1">
        <f>固定流程!C6</f>
        <v>1</v>
      </c>
      <c r="F366" s="1">
        <f>固定流程!G6</f>
        <v>3</v>
      </c>
      <c r="G366" s="1" t="str">
        <f>固定流程!H6</f>
        <v>RHI_ULT</v>
      </c>
      <c r="H366" s="1">
        <f>固定流程!F6</f>
        <v>1</v>
      </c>
      <c r="I366" s="1">
        <f>INDEX(配置与结果!$B$15:$B$18,F366)</f>
        <v>2597</v>
      </c>
      <c r="J366" s="1">
        <f>INDEX(配置与结果!$D$15:$D$18,F366)</f>
        <v>0.255</v>
      </c>
      <c r="K366" s="1">
        <f>INDEX(配置与结果!$E$15:$E$18,F366)</f>
        <v>1.55</v>
      </c>
      <c r="L366" s="1">
        <f>0</f>
        <v>0</v>
      </c>
      <c r="M366" s="1">
        <f>0</f>
        <v>0</v>
      </c>
      <c r="N366" s="1">
        <f>0</f>
        <v>0</v>
      </c>
      <c r="O366" s="1">
        <f>0</f>
        <v>0</v>
      </c>
      <c r="P366" s="1">
        <f>MIN(方案参数!$AI$13,0+方案参数!$AJ$13+0)</f>
        <v>1</v>
      </c>
      <c r="Q366" s="1">
        <f>0</f>
        <v>0</v>
      </c>
      <c r="R366" s="1">
        <f>0</f>
        <v>0</v>
      </c>
      <c r="S366" s="1">
        <f>0</f>
        <v>0</v>
      </c>
      <c r="T366" s="1">
        <f>0+0</f>
        <v>0</v>
      </c>
      <c r="U366" s="1">
        <f>0</f>
        <v>0</v>
      </c>
      <c r="V366" s="1">
        <f>0</f>
        <v>0</v>
      </c>
      <c r="W366" s="1">
        <f>0</f>
        <v>0</v>
      </c>
      <c r="X366" s="1">
        <f>0</f>
        <v>0</v>
      </c>
      <c r="Y366" s="1">
        <f>0</f>
        <v>0</v>
      </c>
      <c r="Z366" s="1">
        <f>0</f>
        <v>0</v>
      </c>
      <c r="AA366" s="1">
        <f>MAX(0,0)</f>
        <v>0</v>
      </c>
      <c r="AB366" s="1">
        <f>0</f>
        <v>0</v>
      </c>
      <c r="AC366" s="1">
        <f>MAX(0,0)</f>
        <v>0</v>
      </c>
      <c r="AD366" s="1">
        <f>ROUNDDOWN(I366*(1+IF(F366=3,0.05+方案参数!$Y$13+AA366*0.12,IF(F366=4,方案参数!$BZ$13*方案参数!$AS$13,0)))+IF(AND(X366=1,F366&lt;&gt;3),方案参数!$CC$13,0)+AC366*方案参数!$CB$13,0)</f>
        <v>2986</v>
      </c>
      <c r="AE366" s="1">
        <f>IF(OR(F366=1,F366=4),配置与结果!$B$24,配置与结果!$B$25)*MAX(0,1-INDEX(配置与结果!$I$15:$I$18,F366))</f>
        <v>1000</v>
      </c>
      <c r="AF366" s="1">
        <f>0</f>
        <v>0</v>
      </c>
      <c r="AG366" s="1">
        <f>MAX(配置与结果!$B$32,1+INDEX(配置与结果!$F$15:$F$18,F366)+0+Q366*方案参数!$W$13+Y366*(方案参数!$AN$13+MIN(方案参数!$AO$13,P366*0.03))+AB366*方案参数!$BZ$13*0.025-配置与结果!$B$28)</f>
        <v>0.6349999999999999</v>
      </c>
      <c r="AH366" s="1">
        <f>MAX(0,1+INDEX(配置与结果!$G$15:$G$18,F366)+W366*方案参数!$AG$13)</f>
        <v>1</v>
      </c>
      <c r="AI366" s="1">
        <f>IF(OR(INDEX(配置与结果!$K$15:$K$18,F366)=1,G366="RHI_BERRY"),1+配置与结果!$B$33+P366*方案参数!$AH$13,1)</f>
        <v>1</v>
      </c>
      <c r="AJ366" s="1">
        <f>MIN(1,MAX(0,J366+方案参数!$AB$13-配置与结果!$B$27))</f>
        <v>0.85499999999999998</v>
      </c>
      <c r="AK366" s="1">
        <f>MAX(1,K366+IF(F366=2,0.15+方案参数!$CH$13,0)+BN366*方案参数!$X$13+R366*方案参数!$AA$13+0-配置与结果!$B$26+Z366*(方案参数!$AP$13+MIN(方案参数!$AQ$13,P366*0.03)))</f>
        <v>1.1499999999999999</v>
      </c>
      <c r="AL366" s="7">
        <f>ROUNDDOWN(MAX(AD366*配置与结果!$B$31,AD366-AE366)*AF366*AG366*AH366*AI366,0)</f>
        <v>0</v>
      </c>
      <c r="AM366" s="7">
        <f>ROUNDDOWN(MAX(AD366*配置与结果!$B$31,AD366-AE366)*AF366*AG366*AH366*AI366*AK366,0)</f>
        <v>0</v>
      </c>
      <c r="AN366" s="7">
        <f t="shared" si="458"/>
        <v>0</v>
      </c>
      <c r="AO366" s="7">
        <f>0</f>
        <v>0</v>
      </c>
      <c r="AP366" s="7">
        <f>MAX(0,1+INDEX(配置与结果!$J$15:$J$18,F366)+IF(T366&gt;0,方案参数!$BY$13,0)-配置与结果!$B$30)</f>
        <v>1</v>
      </c>
      <c r="AQ366" s="7">
        <f t="shared" si="459"/>
        <v>0</v>
      </c>
      <c r="AR366" s="7">
        <f t="shared" si="460"/>
        <v>0</v>
      </c>
      <c r="AS366" s="7">
        <f t="shared" si="461"/>
        <v>0</v>
      </c>
      <c r="AT366" s="7">
        <f>0</f>
        <v>0</v>
      </c>
      <c r="AU366" s="7">
        <f t="shared" si="462"/>
        <v>0</v>
      </c>
      <c r="AV366" s="1">
        <f t="shared" si="463"/>
        <v>0</v>
      </c>
      <c r="AW366" s="1">
        <f t="shared" si="510"/>
        <v>0</v>
      </c>
      <c r="AX366" s="1">
        <f t="shared" si="464"/>
        <v>0</v>
      </c>
      <c r="AY366" s="1">
        <f>MIN(20,MAX(0,O366+0+0-0))</f>
        <v>0</v>
      </c>
      <c r="AZ366" s="1">
        <f t="shared" si="465"/>
        <v>1</v>
      </c>
      <c r="BA366" s="1">
        <f>MIN(6,Q366+1)</f>
        <v>1</v>
      </c>
      <c r="BB366" s="1">
        <f>MIN(30,R366+5)</f>
        <v>5</v>
      </c>
      <c r="BC366" s="1">
        <f t="shared" si="507"/>
        <v>0</v>
      </c>
      <c r="BD366" s="1">
        <f t="shared" si="488"/>
        <v>0</v>
      </c>
      <c r="BE366" s="1">
        <f>0</f>
        <v>0</v>
      </c>
      <c r="BF366" s="1">
        <f t="shared" si="511"/>
        <v>0</v>
      </c>
      <c r="BG366" s="1">
        <f t="shared" si="498"/>
        <v>0</v>
      </c>
      <c r="BH366" s="1">
        <f>MAX(X366,1)</f>
        <v>1</v>
      </c>
      <c r="BI366" s="1">
        <f t="shared" si="499"/>
        <v>0</v>
      </c>
      <c r="BJ366" s="1">
        <f t="shared" si="502"/>
        <v>0</v>
      </c>
      <c r="BK366" s="1">
        <f t="shared" si="503"/>
        <v>0</v>
      </c>
      <c r="BL366" s="1">
        <f t="shared" si="508"/>
        <v>0</v>
      </c>
      <c r="BM366" s="1">
        <f t="shared" si="506"/>
        <v>0</v>
      </c>
      <c r="BN366" s="1">
        <f>0</f>
        <v>0</v>
      </c>
      <c r="BO366" s="1">
        <f>MAX(BN366,1)</f>
        <v>1</v>
      </c>
    </row>
    <row r="367" spans="1:67" ht="30.95" customHeight="1">
      <c r="A367" s="1">
        <f>10</f>
        <v>10</v>
      </c>
      <c r="B367" s="1">
        <f>固定流程!A7</f>
        <v>2</v>
      </c>
      <c r="C367" s="1">
        <f>13</f>
        <v>13</v>
      </c>
      <c r="D367" s="1">
        <f>1</f>
        <v>1</v>
      </c>
      <c r="E367" s="1">
        <f>固定流程!C7</f>
        <v>1</v>
      </c>
      <c r="F367" s="1">
        <f>固定流程!G7</f>
        <v>3</v>
      </c>
      <c r="G367" s="1" t="str">
        <f>固定流程!H7</f>
        <v>RHI_BUFF</v>
      </c>
      <c r="H367" s="1">
        <f>固定流程!F7</f>
        <v>1</v>
      </c>
      <c r="I367" s="1">
        <f>INDEX(配置与结果!$B$15:$B$18,F367)</f>
        <v>2597</v>
      </c>
      <c r="J367" s="1">
        <f>INDEX(配置与结果!$D$15:$D$18,F367)</f>
        <v>0.255</v>
      </c>
      <c r="K367" s="1">
        <f>INDEX(配置与结果!$E$15:$E$18,F367)</f>
        <v>1.55</v>
      </c>
      <c r="L367" s="1">
        <f t="shared" ref="L367:O372" si="512">AV366</f>
        <v>0</v>
      </c>
      <c r="M367" s="1">
        <f t="shared" si="512"/>
        <v>0</v>
      </c>
      <c r="N367" s="1">
        <f t="shared" si="512"/>
        <v>0</v>
      </c>
      <c r="O367" s="1">
        <f t="shared" si="512"/>
        <v>0</v>
      </c>
      <c r="P367" s="1">
        <f>MIN(方案参数!$AI$13,AZ366+0+方案参数!$AK$13)</f>
        <v>3</v>
      </c>
      <c r="Q367" s="1">
        <f t="shared" ref="Q367:Q401" si="513">BA366</f>
        <v>1</v>
      </c>
      <c r="R367" s="1">
        <f t="shared" ref="R367:R401" si="514">BB366</f>
        <v>5</v>
      </c>
      <c r="S367" s="1">
        <f t="shared" ref="S367:S401" si="515">BC366</f>
        <v>0</v>
      </c>
      <c r="T367" s="1">
        <f t="shared" ref="T367:T380" si="516">BD366+0</f>
        <v>0</v>
      </c>
      <c r="U367" s="1">
        <f t="shared" ref="U367:U401" si="517">BE366</f>
        <v>0</v>
      </c>
      <c r="V367" s="1">
        <f t="shared" ref="V367:V401" si="518">BF366</f>
        <v>0</v>
      </c>
      <c r="W367" s="1">
        <f t="shared" ref="W367:W401" si="519">BG366</f>
        <v>0</v>
      </c>
      <c r="X367" s="1">
        <f t="shared" ref="X367:X401" si="520">BH366</f>
        <v>1</v>
      </c>
      <c r="Y367" s="1">
        <f t="shared" ref="Y367:Y401" si="521">BI366</f>
        <v>0</v>
      </c>
      <c r="Z367" s="1">
        <f t="shared" ref="Z367:Z401" si="522">BJ366</f>
        <v>0</v>
      </c>
      <c r="AA367" s="1">
        <f t="shared" ref="AA367:AA372" si="523">MAX(BK366,0)</f>
        <v>0</v>
      </c>
      <c r="AB367" s="1">
        <f t="shared" ref="AB367:AB401" si="524">BL366</f>
        <v>0</v>
      </c>
      <c r="AC367" s="1">
        <f t="shared" ref="AC367:AC380" si="525">MAX(BM366,0)</f>
        <v>0</v>
      </c>
      <c r="AD367" s="1">
        <f>ROUNDDOWN(I367*(1+IF(F367=3,0.05+方案参数!$Y$13+AA367*0.12,IF(F367=4,方案参数!$BZ$13*方案参数!$AS$13,0)))+IF(AND(X367=1,F367&lt;&gt;3),方案参数!$CC$13,0)+AC367*方案参数!$CB$13,0)</f>
        <v>2986</v>
      </c>
      <c r="AE367" s="1">
        <f>IF(OR(F367=1,F367=4),配置与结果!$B$24,配置与结果!$B$25)*MAX(0,1-INDEX(配置与结果!$I$15:$I$18,F367))</f>
        <v>1000</v>
      </c>
      <c r="AF367" s="1">
        <f>0</f>
        <v>0</v>
      </c>
      <c r="AG367" s="1">
        <f>MAX(配置与结果!$B$32,1+INDEX(配置与结果!$F$15:$F$18,F367)+0+Q367*方案参数!$W$13+Y367*(方案参数!$AN$13+MIN(方案参数!$AO$13,P367*0.03))+AB367*方案参数!$BZ$13*0.025-配置与结果!$B$28)</f>
        <v>0.65499999999999992</v>
      </c>
      <c r="AH367" s="1">
        <f>MAX(0,1+INDEX(配置与结果!$G$15:$G$18,F367)+W367*方案参数!$AG$13)</f>
        <v>1</v>
      </c>
      <c r="AI367" s="1">
        <f>IF(OR(INDEX(配置与结果!$K$15:$K$18,F367)=1,G367="RHI_BERRY"),1+配置与结果!$B$33+P367*方案参数!$AH$13,1)</f>
        <v>1</v>
      </c>
      <c r="AJ367" s="1">
        <f>MIN(1,MAX(0,J367+方案参数!$AB$13-配置与结果!$B$27))</f>
        <v>0.85499999999999998</v>
      </c>
      <c r="AK367" s="1">
        <f>MAX(1,K367+IF(F367=2,0.15+方案参数!$CH$13,0)+BN367*方案参数!$X$13+R367*方案参数!$AA$13+0-配置与结果!$B$26+Z367*(方案参数!$AP$13+MIN(方案参数!$AQ$13,P367*0.03)))</f>
        <v>1.33</v>
      </c>
      <c r="AL367" s="7">
        <f>ROUNDDOWN(MAX(AD367*配置与结果!$B$31,AD367-AE367)*AF367*AG367*AH367*AI367,0)</f>
        <v>0</v>
      </c>
      <c r="AM367" s="7">
        <f>ROUNDDOWN(MAX(AD367*配置与结果!$B$31,AD367-AE367)*AF367*AG367*AH367*AI367*AK367,0)</f>
        <v>0</v>
      </c>
      <c r="AN367" s="7">
        <f t="shared" si="458"/>
        <v>0</v>
      </c>
      <c r="AO367" s="7">
        <f>0</f>
        <v>0</v>
      </c>
      <c r="AP367" s="7">
        <f>MAX(0,1+INDEX(配置与结果!$J$15:$J$18,F367)+IF(T367&gt;0,方案参数!$BY$13,0)-配置与结果!$B$30)</f>
        <v>1</v>
      </c>
      <c r="AQ367" s="7">
        <f t="shared" si="459"/>
        <v>0</v>
      </c>
      <c r="AR367" s="7">
        <f t="shared" si="460"/>
        <v>0</v>
      </c>
      <c r="AS367" s="7">
        <f t="shared" si="461"/>
        <v>0</v>
      </c>
      <c r="AT367" s="7">
        <f>0</f>
        <v>0</v>
      </c>
      <c r="AU367" s="7">
        <f t="shared" si="462"/>
        <v>0</v>
      </c>
      <c r="AV367" s="1">
        <f t="shared" si="463"/>
        <v>0</v>
      </c>
      <c r="AW367" s="1">
        <f t="shared" si="510"/>
        <v>0</v>
      </c>
      <c r="AX367" s="1">
        <f t="shared" si="464"/>
        <v>0</v>
      </c>
      <c r="AY367" s="1">
        <f>MIN(20,MAX(0,O367+0+0-0))</f>
        <v>0</v>
      </c>
      <c r="AZ367" s="1">
        <f t="shared" si="465"/>
        <v>3</v>
      </c>
      <c r="BA367" s="1">
        <f>MIN(6,Q367+1)</f>
        <v>2</v>
      </c>
      <c r="BB367" s="1">
        <f t="shared" ref="BB367:BB380" si="526">MIN(30,R367+0)</f>
        <v>5</v>
      </c>
      <c r="BC367" s="1">
        <f t="shared" si="507"/>
        <v>0</v>
      </c>
      <c r="BD367" s="1">
        <f t="shared" si="488"/>
        <v>0</v>
      </c>
      <c r="BE367" s="1">
        <f t="shared" ref="BE367:BE388" si="527">BE366</f>
        <v>0</v>
      </c>
      <c r="BF367" s="1">
        <f t="shared" si="511"/>
        <v>0</v>
      </c>
      <c r="BG367" s="1">
        <f>MAX(W367,1)</f>
        <v>1</v>
      </c>
      <c r="BH367" s="1">
        <f t="shared" ref="BH367:BH401" si="528">MAX(X367,0)</f>
        <v>1</v>
      </c>
      <c r="BI367" s="1">
        <f>MAX(Y367,1)</f>
        <v>1</v>
      </c>
      <c r="BJ367" s="1">
        <f t="shared" si="502"/>
        <v>0</v>
      </c>
      <c r="BK367" s="1">
        <f t="shared" si="503"/>
        <v>0</v>
      </c>
      <c r="BL367" s="1">
        <f t="shared" si="508"/>
        <v>0</v>
      </c>
      <c r="BM367" s="1">
        <f t="shared" si="506"/>
        <v>0</v>
      </c>
      <c r="BN367" s="1">
        <f t="shared" ref="BN367:BN401" si="529">BO366</f>
        <v>1</v>
      </c>
      <c r="BO367" s="1">
        <f t="shared" ref="BO367:BO401" si="530">MAX(BN367,0)</f>
        <v>1</v>
      </c>
    </row>
    <row r="368" spans="1:67" ht="30.95" customHeight="1">
      <c r="A368" s="1">
        <f>10</f>
        <v>10</v>
      </c>
      <c r="B368" s="1">
        <f>固定流程!A8</f>
        <v>3</v>
      </c>
      <c r="C368" s="1">
        <f>13</f>
        <v>13</v>
      </c>
      <c r="D368" s="1">
        <f>1</f>
        <v>1</v>
      </c>
      <c r="E368" s="1">
        <f>固定流程!C8</f>
        <v>1</v>
      </c>
      <c r="F368" s="1">
        <f>固定流程!G8</f>
        <v>1</v>
      </c>
      <c r="G368" s="1" t="str">
        <f>固定流程!H8</f>
        <v>LILYA_COBRA</v>
      </c>
      <c r="H368" s="1">
        <f>固定流程!F8</f>
        <v>1</v>
      </c>
      <c r="I368" s="1">
        <f>INDEX(配置与结果!$B$15:$B$18,F368)</f>
        <v>2296</v>
      </c>
      <c r="J368" s="1">
        <f>INDEX(配置与结果!$D$15:$D$18,F368)</f>
        <v>0.7</v>
      </c>
      <c r="K368" s="1">
        <f>INDEX(配置与结果!$E$15:$E$18,F368)</f>
        <v>2.0249999999999999</v>
      </c>
      <c r="L368" s="1">
        <f t="shared" si="512"/>
        <v>0</v>
      </c>
      <c r="M368" s="1">
        <f t="shared" si="512"/>
        <v>0</v>
      </c>
      <c r="N368" s="1">
        <f t="shared" si="512"/>
        <v>0</v>
      </c>
      <c r="O368" s="1">
        <f t="shared" si="512"/>
        <v>0</v>
      </c>
      <c r="P368" s="1">
        <f>MIN(方案参数!$AI$13,AZ367+0+0)</f>
        <v>3</v>
      </c>
      <c r="Q368" s="1">
        <f t="shared" si="513"/>
        <v>2</v>
      </c>
      <c r="R368" s="1">
        <f t="shared" si="514"/>
        <v>5</v>
      </c>
      <c r="S368" s="1">
        <f t="shared" si="515"/>
        <v>0</v>
      </c>
      <c r="T368" s="1">
        <f t="shared" si="516"/>
        <v>0</v>
      </c>
      <c r="U368" s="1">
        <f t="shared" si="517"/>
        <v>0</v>
      </c>
      <c r="V368" s="1">
        <f t="shared" si="518"/>
        <v>0</v>
      </c>
      <c r="W368" s="1">
        <f t="shared" si="519"/>
        <v>1</v>
      </c>
      <c r="X368" s="1">
        <f t="shared" si="520"/>
        <v>1</v>
      </c>
      <c r="Y368" s="1">
        <f t="shared" si="521"/>
        <v>1</v>
      </c>
      <c r="Z368" s="1">
        <f t="shared" si="522"/>
        <v>0</v>
      </c>
      <c r="AA368" s="1">
        <f t="shared" si="523"/>
        <v>0</v>
      </c>
      <c r="AB368" s="1">
        <f t="shared" si="524"/>
        <v>0</v>
      </c>
      <c r="AC368" s="1">
        <f t="shared" si="525"/>
        <v>0</v>
      </c>
      <c r="AD368" s="1">
        <f>ROUNDDOWN(I368*(1+IF(F368=3,0.05+方案参数!$Y$13+AA368*0.12,IF(F368=4,方案参数!$BZ$13*方案参数!$AS$13,0)))+IF(AND(X368=1,F368&lt;&gt;3),方案参数!$CC$13,0)+AC368*方案参数!$CB$13,0)</f>
        <v>2534</v>
      </c>
      <c r="AE368" s="1">
        <f>IF(OR(F368=1,F368=4),配置与结果!$B$24,配置与结果!$B$25)*MAX(0,1-INDEX(配置与结果!$I$15:$I$18,F368))</f>
        <v>1200</v>
      </c>
      <c r="AF368" s="1">
        <f>0</f>
        <v>0</v>
      </c>
      <c r="AG368" s="1">
        <f>MAX(配置与结果!$B$32,1+INDEX(配置与结果!$F$15:$F$18,F368)+0.08+方案参数!$CD$13+Q368*方案参数!$W$13+Y368*(方案参数!$AN$13+MIN(方案参数!$AO$13,P368*0.03))+AB368*方案参数!$BZ$13*0.025-配置与结果!$B$28)</f>
        <v>1.2200000000000002</v>
      </c>
      <c r="AH368" s="1">
        <f>MAX(0,1+INDEX(配置与结果!$G$15:$G$18,F368)+W368*方案参数!$AG$13)</f>
        <v>1.3</v>
      </c>
      <c r="AI368" s="1">
        <f>IF(OR(INDEX(配置与结果!$K$15:$K$18,F368)=1,G368="RHI_BERRY"),1+配置与结果!$B$33+P368*方案参数!$AH$13,1)</f>
        <v>1</v>
      </c>
      <c r="AJ368" s="1">
        <f>MIN(1,MAX(0,J368+方案参数!$AB$13-配置与结果!$B$27))</f>
        <v>1</v>
      </c>
      <c r="AK368" s="1">
        <f>MAX(1,K368+IF(F368=2,0.15+方案参数!$CH$13,0)+BN368*方案参数!$X$13+R368*方案参数!$AA$13+0-配置与结果!$B$26+Z368*(方案参数!$AP$13+MIN(方案参数!$AQ$13,P368*0.03)))</f>
        <v>1.8050000000000002</v>
      </c>
      <c r="AL368" s="7">
        <f>ROUNDDOWN(MAX(AD368*配置与结果!$B$31,AD368-AE368)*AF368*AG368*AH368*AI368,0)</f>
        <v>0</v>
      </c>
      <c r="AM368" s="7">
        <f>ROUNDDOWN(MAX(AD368*配置与结果!$B$31,AD368-AE368)*AF368*AG368*AH368*AI368*AK368,0)</f>
        <v>0</v>
      </c>
      <c r="AN368" s="7">
        <f t="shared" si="458"/>
        <v>0</v>
      </c>
      <c r="AO368" s="7">
        <f>0</f>
        <v>0</v>
      </c>
      <c r="AP368" s="7">
        <f>MAX(0,1+INDEX(配置与结果!$J$15:$J$18,F368)+IF(T368&gt;0,方案参数!$BY$13,0)-配置与结果!$B$30)</f>
        <v>1</v>
      </c>
      <c r="AQ368" s="7">
        <f t="shared" si="459"/>
        <v>0</v>
      </c>
      <c r="AR368" s="7">
        <f t="shared" si="460"/>
        <v>0</v>
      </c>
      <c r="AS368" s="7">
        <f t="shared" si="461"/>
        <v>0</v>
      </c>
      <c r="AT368" s="7">
        <f>0</f>
        <v>0</v>
      </c>
      <c r="AU368" s="7">
        <f t="shared" si="462"/>
        <v>0</v>
      </c>
      <c r="AV368" s="1">
        <f t="shared" si="463"/>
        <v>1</v>
      </c>
      <c r="AW368" s="1">
        <f>MIN(10,M368+方案参数!$BD$13+0)</f>
        <v>3</v>
      </c>
      <c r="AX368" s="1">
        <f t="shared" si="464"/>
        <v>0</v>
      </c>
      <c r="AY368" s="1">
        <f>MIN(20,MAX(0,O368+6+0-0))</f>
        <v>6</v>
      </c>
      <c r="AZ368" s="1">
        <f t="shared" si="465"/>
        <v>3</v>
      </c>
      <c r="BA368" s="1">
        <f>MIN(6,Q368+0)</f>
        <v>2</v>
      </c>
      <c r="BB368" s="1">
        <f t="shared" si="526"/>
        <v>5</v>
      </c>
      <c r="BC368" s="1">
        <f t="shared" si="507"/>
        <v>0</v>
      </c>
      <c r="BD368" s="1">
        <f t="shared" si="488"/>
        <v>0</v>
      </c>
      <c r="BE368" s="1">
        <f t="shared" si="527"/>
        <v>0</v>
      </c>
      <c r="BF368" s="1">
        <f t="shared" si="511"/>
        <v>0</v>
      </c>
      <c r="BG368" s="1">
        <f t="shared" ref="BG368:BG378" si="531">MAX(W368,0)</f>
        <v>1</v>
      </c>
      <c r="BH368" s="1">
        <f t="shared" si="528"/>
        <v>1</v>
      </c>
      <c r="BI368" s="1">
        <f t="shared" ref="BI368:BI378" si="532">MAX(Y368,0)</f>
        <v>1</v>
      </c>
      <c r="BJ368" s="1">
        <f t="shared" si="502"/>
        <v>0</v>
      </c>
      <c r="BK368" s="1">
        <f t="shared" si="503"/>
        <v>0</v>
      </c>
      <c r="BL368" s="1">
        <f t="shared" si="508"/>
        <v>0</v>
      </c>
      <c r="BM368" s="1">
        <f t="shared" si="506"/>
        <v>0</v>
      </c>
      <c r="BN368" s="1">
        <f t="shared" si="529"/>
        <v>1</v>
      </c>
      <c r="BO368" s="1">
        <f t="shared" si="530"/>
        <v>1</v>
      </c>
    </row>
    <row r="369" spans="1:67" ht="30.95" customHeight="1">
      <c r="A369" s="1">
        <f>10</f>
        <v>10</v>
      </c>
      <c r="B369" s="1">
        <f>固定流程!A9</f>
        <v>4</v>
      </c>
      <c r="C369" s="1">
        <f>13</f>
        <v>13</v>
      </c>
      <c r="D369" s="1">
        <f>1</f>
        <v>1</v>
      </c>
      <c r="E369" s="1">
        <f>固定流程!C9</f>
        <v>1</v>
      </c>
      <c r="F369" s="1">
        <f>固定流程!G9</f>
        <v>1</v>
      </c>
      <c r="G369" s="1" t="str">
        <f>固定流程!H9</f>
        <v>LILYA_DIVE</v>
      </c>
      <c r="H369" s="1">
        <f>固定流程!F9</f>
        <v>1</v>
      </c>
      <c r="I369" s="1">
        <f>INDEX(配置与结果!$B$15:$B$18,F369)</f>
        <v>2296</v>
      </c>
      <c r="J369" s="1">
        <f>INDEX(配置与结果!$D$15:$D$18,F369)</f>
        <v>0.7</v>
      </c>
      <c r="K369" s="1">
        <f>INDEX(配置与结果!$E$15:$E$18,F369)</f>
        <v>2.0249999999999999</v>
      </c>
      <c r="L369" s="1">
        <f t="shared" si="512"/>
        <v>1</v>
      </c>
      <c r="M369" s="1">
        <f t="shared" si="512"/>
        <v>3</v>
      </c>
      <c r="N369" s="1">
        <f t="shared" si="512"/>
        <v>0</v>
      </c>
      <c r="O369" s="1">
        <f t="shared" si="512"/>
        <v>6</v>
      </c>
      <c r="P369" s="1">
        <f>MIN(方案参数!$AI$13,AZ368+0+0)</f>
        <v>3</v>
      </c>
      <c r="Q369" s="1">
        <f t="shared" si="513"/>
        <v>2</v>
      </c>
      <c r="R369" s="1">
        <f t="shared" si="514"/>
        <v>5</v>
      </c>
      <c r="S369" s="1">
        <f t="shared" si="515"/>
        <v>0</v>
      </c>
      <c r="T369" s="1">
        <f t="shared" si="516"/>
        <v>0</v>
      </c>
      <c r="U369" s="1">
        <f t="shared" si="517"/>
        <v>0</v>
      </c>
      <c r="V369" s="1">
        <f t="shared" si="518"/>
        <v>0</v>
      </c>
      <c r="W369" s="1">
        <f t="shared" si="519"/>
        <v>1</v>
      </c>
      <c r="X369" s="1">
        <f t="shared" si="520"/>
        <v>1</v>
      </c>
      <c r="Y369" s="1">
        <f t="shared" si="521"/>
        <v>1</v>
      </c>
      <c r="Z369" s="1">
        <f t="shared" si="522"/>
        <v>0</v>
      </c>
      <c r="AA369" s="1">
        <f t="shared" si="523"/>
        <v>0</v>
      </c>
      <c r="AB369" s="1">
        <f t="shared" si="524"/>
        <v>0</v>
      </c>
      <c r="AC369" s="1">
        <f t="shared" si="525"/>
        <v>0</v>
      </c>
      <c r="AD369" s="1">
        <f>ROUNDDOWN(I369*(1+IF(F369=3,0.05+方案参数!$Y$13+AA369*0.12,IF(F369=4,方案参数!$BZ$13*方案参数!$AS$13,0)))+IF(AND(X369=1,F369&lt;&gt;3),方案参数!$CC$13,0)+AC369*方案参数!$CB$13,0)</f>
        <v>2534</v>
      </c>
      <c r="AE369" s="1">
        <f>IF(OR(F369=1,F369=4),配置与结果!$B$24,配置与结果!$B$25)*MAX(0,1-INDEX(配置与结果!$I$15:$I$18,F369))</f>
        <v>1200</v>
      </c>
      <c r="AF369" s="1">
        <f>(IF(L369=1,方案参数!$AW$13,IF(L369=2,方案参数!$AX$13,0))+方案参数!$AV$13)*H369</f>
        <v>6</v>
      </c>
      <c r="AG369" s="1">
        <f>MAX(配置与结果!$B$32,1+INDEX(配置与结果!$F$15:$F$18,F369)+0.08+方案参数!$CD$13+Q369*方案参数!$W$13+Y369*(方案参数!$AN$13+MIN(方案参数!$AO$13,P369*0.03))+AB369*方案参数!$BZ$13*0.025+IF(L369=1,方案参数!$AY$13+(H369-1)*0.1,IF(L369=2,方案参数!$AZ$13+(H369-1)*0.2,0))-配置与结果!$B$28)</f>
        <v>1.3200000000000003</v>
      </c>
      <c r="AH369" s="1">
        <f>MAX(0,1+INDEX(配置与结果!$G$15:$G$18,F369)+W369*方案参数!$AG$13+IF(L369=1,方案参数!$BA$13,IF(L369=2,方案参数!$BB$13,0))+M369*方案参数!$BC$13)</f>
        <v>2.08</v>
      </c>
      <c r="AI369" s="1">
        <f>IF(OR(INDEX(配置与结果!$K$15:$K$18,F369)=1,G369="RHI_BERRY"),1+配置与结果!$B$33+P369*方案参数!$AH$13,1)</f>
        <v>1</v>
      </c>
      <c r="AJ369" s="1">
        <f>MIN(1,MAX(0,J369+方案参数!$AB$13-配置与结果!$B$27))</f>
        <v>1</v>
      </c>
      <c r="AK369" s="1">
        <f>MAX(1,K369+IF(F369=2,0.15+方案参数!$CH$13,0)+BN369*方案参数!$X$13+R369*方案参数!$AA$13+0-配置与结果!$B$26+Z369*(方案参数!$AP$13+MIN(方案参数!$AQ$13,P369*0.03)))</f>
        <v>1.8050000000000002</v>
      </c>
      <c r="AL369" s="7">
        <f>ROUNDDOWN(MAX(AD369*配置与结果!$B$31,AD369-AE369)*AF369*AG369*AH369*AI369,0)</f>
        <v>21975</v>
      </c>
      <c r="AM369" s="7">
        <f>ROUNDDOWN(MAX(AD369*配置与结果!$B$31,AD369-AE369)*AF369*AG369*AH369*AI369*AK369,0)</f>
        <v>39666</v>
      </c>
      <c r="AN369" s="7">
        <f t="shared" si="458"/>
        <v>39666</v>
      </c>
      <c r="AO369" s="7">
        <f>0</f>
        <v>0</v>
      </c>
      <c r="AP369" s="7">
        <f>MAX(0,1+INDEX(配置与结果!$J$15:$J$18,F369)+IF(T369&gt;0,方案参数!$BY$13,0)-配置与结果!$B$30)</f>
        <v>1</v>
      </c>
      <c r="AQ369" s="7">
        <f t="shared" si="459"/>
        <v>0</v>
      </c>
      <c r="AR369" s="7">
        <f t="shared" si="460"/>
        <v>0</v>
      </c>
      <c r="AS369" s="7">
        <f t="shared" si="461"/>
        <v>0</v>
      </c>
      <c r="AT369" s="7">
        <f>0</f>
        <v>0</v>
      </c>
      <c r="AU369" s="7">
        <f t="shared" si="462"/>
        <v>39666</v>
      </c>
      <c r="AV369" s="1">
        <f t="shared" si="463"/>
        <v>1</v>
      </c>
      <c r="AW369" s="1">
        <f>MIN(10,M369+0+IF(L369=1,方案参数!$BE$13,0))</f>
        <v>4</v>
      </c>
      <c r="AX369" s="1">
        <f t="shared" si="464"/>
        <v>0</v>
      </c>
      <c r="AY369" s="1">
        <f t="shared" ref="AY369:AY384" si="533">MIN(20,MAX(0,O369+0+0-0))</f>
        <v>6</v>
      </c>
      <c r="AZ369" s="1">
        <f t="shared" si="465"/>
        <v>3</v>
      </c>
      <c r="BA369" s="1">
        <f>MIN(6,Q369+0)</f>
        <v>2</v>
      </c>
      <c r="BB369" s="1">
        <f t="shared" si="526"/>
        <v>5</v>
      </c>
      <c r="BC369" s="1">
        <f t="shared" si="507"/>
        <v>0</v>
      </c>
      <c r="BD369" s="1">
        <f t="shared" si="488"/>
        <v>0</v>
      </c>
      <c r="BE369" s="1">
        <f t="shared" si="527"/>
        <v>0</v>
      </c>
      <c r="BF369" s="1">
        <f t="shared" si="511"/>
        <v>0</v>
      </c>
      <c r="BG369" s="1">
        <f t="shared" si="531"/>
        <v>1</v>
      </c>
      <c r="BH369" s="1">
        <f t="shared" si="528"/>
        <v>1</v>
      </c>
      <c r="BI369" s="1">
        <f t="shared" si="532"/>
        <v>1</v>
      </c>
      <c r="BJ369" s="1">
        <f t="shared" si="502"/>
        <v>0</v>
      </c>
      <c r="BK369" s="1">
        <f t="shared" si="503"/>
        <v>0</v>
      </c>
      <c r="BL369" s="1">
        <f t="shared" si="508"/>
        <v>0</v>
      </c>
      <c r="BM369" s="1">
        <f t="shared" si="506"/>
        <v>0</v>
      </c>
      <c r="BN369" s="1">
        <f t="shared" si="529"/>
        <v>1</v>
      </c>
      <c r="BO369" s="1">
        <f t="shared" si="530"/>
        <v>1</v>
      </c>
    </row>
    <row r="370" spans="1:67" ht="30.95" customHeight="1">
      <c r="A370" s="1">
        <f>10</f>
        <v>10</v>
      </c>
      <c r="B370" s="1">
        <f>固定流程!A10</f>
        <v>5</v>
      </c>
      <c r="C370" s="1">
        <f>13</f>
        <v>13</v>
      </c>
      <c r="D370" s="1">
        <f>1</f>
        <v>1</v>
      </c>
      <c r="E370" s="1">
        <f>固定流程!C10</f>
        <v>1</v>
      </c>
      <c r="F370" s="1">
        <f>固定流程!G10</f>
        <v>2</v>
      </c>
      <c r="G370" s="1" t="str">
        <f>固定流程!H10</f>
        <v>37_TRIANGLE</v>
      </c>
      <c r="H370" s="1">
        <f>固定流程!F10</f>
        <v>1</v>
      </c>
      <c r="I370" s="1">
        <f>INDEX(配置与结果!$B$15:$B$18,F370)</f>
        <v>2306</v>
      </c>
      <c r="J370" s="1">
        <f>INDEX(配置与结果!$D$15:$D$18,F370)</f>
        <v>0.46</v>
      </c>
      <c r="K370" s="1">
        <f>INDEX(配置与结果!$E$15:$E$18,F370)</f>
        <v>1.9279999999999999</v>
      </c>
      <c r="L370" s="1">
        <f t="shared" si="512"/>
        <v>1</v>
      </c>
      <c r="M370" s="1">
        <f t="shared" si="512"/>
        <v>4</v>
      </c>
      <c r="N370" s="1">
        <f t="shared" si="512"/>
        <v>0</v>
      </c>
      <c r="O370" s="1">
        <f t="shared" si="512"/>
        <v>6</v>
      </c>
      <c r="P370" s="1">
        <f>MIN(方案参数!$AI$13,AZ369+0+0)</f>
        <v>3</v>
      </c>
      <c r="Q370" s="1">
        <f t="shared" si="513"/>
        <v>2</v>
      </c>
      <c r="R370" s="1">
        <f t="shared" si="514"/>
        <v>5</v>
      </c>
      <c r="S370" s="1">
        <f t="shared" si="515"/>
        <v>0</v>
      </c>
      <c r="T370" s="1">
        <f t="shared" si="516"/>
        <v>0</v>
      </c>
      <c r="U370" s="1">
        <f t="shared" si="517"/>
        <v>0</v>
      </c>
      <c r="V370" s="1">
        <f t="shared" si="518"/>
        <v>0</v>
      </c>
      <c r="W370" s="1">
        <f t="shared" si="519"/>
        <v>1</v>
      </c>
      <c r="X370" s="1">
        <f t="shared" si="520"/>
        <v>1</v>
      </c>
      <c r="Y370" s="1">
        <f t="shared" si="521"/>
        <v>1</v>
      </c>
      <c r="Z370" s="1">
        <f t="shared" si="522"/>
        <v>0</v>
      </c>
      <c r="AA370" s="1">
        <f t="shared" si="523"/>
        <v>0</v>
      </c>
      <c r="AB370" s="1">
        <f t="shared" si="524"/>
        <v>0</v>
      </c>
      <c r="AC370" s="1">
        <f t="shared" si="525"/>
        <v>0</v>
      </c>
      <c r="AD370" s="1">
        <f>ROUNDDOWN(I370*(1+IF(F370=3,0.05+方案参数!$Y$13+AA370*0.12,IF(F370=4,方案参数!$BZ$13*方案参数!$AS$13,0)))+IF(AND(X370=1,F370&lt;&gt;3),方案参数!$CC$13,0)+AC370*方案参数!$CB$13,0)</f>
        <v>2544</v>
      </c>
      <c r="AE370" s="1">
        <f>IF(OR(F370=1,F370=4),配置与结果!$B$24,配置与结果!$B$25)*MAX(0,1-INDEX(配置与结果!$I$15:$I$18,F370))</f>
        <v>1000</v>
      </c>
      <c r="AF370" s="1">
        <f>方案参数!$BS$13*IF(H370=1,1,IF(H370=2,1.5,2.5))</f>
        <v>2.8</v>
      </c>
      <c r="AG370" s="1">
        <f>MAX(配置与结果!$B$32,1+INDEX(配置与结果!$F$15:$F$18,F370)+0+Q370*方案参数!$W$13+Y370*(方案参数!$AN$13+MIN(方案参数!$AO$13,P370*0.03))+AB370*方案参数!$BZ$13*0.025-配置与结果!$B$28)</f>
        <v>0.8849999999999999</v>
      </c>
      <c r="AH370" s="1">
        <f>MAX(0,1+INDEX(配置与结果!$G$15:$G$18,F370)+W370*方案参数!$AG$13)</f>
        <v>1.3</v>
      </c>
      <c r="AI370" s="1">
        <f>IF(OR(INDEX(配置与结果!$K$15:$K$18,F370)=1,G370="RHI_BERRY"),1+配置与结果!$B$33+P370*方案参数!$AH$13,1)</f>
        <v>1</v>
      </c>
      <c r="AJ370" s="1">
        <f>MIN(1,MAX(0,J370+方案参数!$AB$13-配置与结果!$B$27))</f>
        <v>1</v>
      </c>
      <c r="AK370" s="1">
        <f>MAX(1,K370+IF(F370=2,0.15+方案参数!$CH$13,0)+BN370*方案参数!$X$13+R370*方案参数!$AA$13+0-配置与结果!$B$26+Z370*(方案参数!$AP$13+MIN(方案参数!$AQ$13,P370*0.03)))</f>
        <v>1.9780000000000002</v>
      </c>
      <c r="AL370" s="7">
        <f>ROUNDDOWN(MAX(AD370*配置与结果!$B$31,AD370-AE370)*AF370*AG370*AH370*AI370,0)</f>
        <v>4973</v>
      </c>
      <c r="AM370" s="7">
        <f>ROUNDDOWN(MAX(AD370*配置与结果!$B$31,AD370-AE370)*AF370*AG370*AH370*AI370*AK370,0)</f>
        <v>9838</v>
      </c>
      <c r="AN370" s="7">
        <f t="shared" si="458"/>
        <v>9838</v>
      </c>
      <c r="AO370" s="7">
        <f>方案参数!$BU$13*IF(H370=1,1,IF(H370=2,1.5,2.5))</f>
        <v>0.8</v>
      </c>
      <c r="AP370" s="7">
        <f>MAX(0,1+INDEX(配置与结果!$J$15:$J$18,F370)+IF(T370&gt;0,方案参数!$BY$13,0)-配置与结果!$B$30)</f>
        <v>1</v>
      </c>
      <c r="AQ370" s="7">
        <f t="shared" si="459"/>
        <v>2035</v>
      </c>
      <c r="AR370" s="7">
        <f t="shared" si="460"/>
        <v>4025</v>
      </c>
      <c r="AS370" s="7">
        <f t="shared" si="461"/>
        <v>4025</v>
      </c>
      <c r="AT370" s="7">
        <f>0</f>
        <v>0</v>
      </c>
      <c r="AU370" s="7">
        <f t="shared" si="462"/>
        <v>13863</v>
      </c>
      <c r="AV370" s="1">
        <f t="shared" si="463"/>
        <v>1</v>
      </c>
      <c r="AW370" s="1">
        <f>MIN(10,M370+0+0)</f>
        <v>4</v>
      </c>
      <c r="AX370" s="1">
        <f t="shared" si="464"/>
        <v>0</v>
      </c>
      <c r="AY370" s="1">
        <f t="shared" si="533"/>
        <v>6</v>
      </c>
      <c r="AZ370" s="1">
        <f t="shared" si="465"/>
        <v>3</v>
      </c>
      <c r="BA370" s="1">
        <f>MIN(6,Q370+0)</f>
        <v>2</v>
      </c>
      <c r="BB370" s="1">
        <f t="shared" si="526"/>
        <v>5</v>
      </c>
      <c r="BC370" s="1">
        <f t="shared" si="507"/>
        <v>0</v>
      </c>
      <c r="BD370" s="1">
        <f>MAX(0,T370-IF(AO370&gt;0,1,0))+1</f>
        <v>1</v>
      </c>
      <c r="BE370" s="1">
        <f t="shared" si="527"/>
        <v>0</v>
      </c>
      <c r="BF370" s="1">
        <f t="shared" si="511"/>
        <v>0</v>
      </c>
      <c r="BG370" s="1">
        <f t="shared" si="531"/>
        <v>1</v>
      </c>
      <c r="BH370" s="1">
        <f t="shared" si="528"/>
        <v>1</v>
      </c>
      <c r="BI370" s="1">
        <f t="shared" si="532"/>
        <v>1</v>
      </c>
      <c r="BJ370" s="1">
        <f t="shared" si="502"/>
        <v>0</v>
      </c>
      <c r="BK370" s="1">
        <f t="shared" si="503"/>
        <v>0</v>
      </c>
      <c r="BL370" s="1">
        <f t="shared" si="508"/>
        <v>0</v>
      </c>
      <c r="BM370" s="1">
        <f t="shared" si="506"/>
        <v>0</v>
      </c>
      <c r="BN370" s="1">
        <f t="shared" si="529"/>
        <v>1</v>
      </c>
      <c r="BO370" s="1">
        <f t="shared" si="530"/>
        <v>1</v>
      </c>
    </row>
    <row r="371" spans="1:67" ht="30.95" customHeight="1">
      <c r="A371" s="1">
        <f>10</f>
        <v>10</v>
      </c>
      <c r="B371" s="1">
        <f>固定流程!A11</f>
        <v>6</v>
      </c>
      <c r="C371" s="1">
        <f>13</f>
        <v>13</v>
      </c>
      <c r="D371" s="1">
        <f>1</f>
        <v>1</v>
      </c>
      <c r="E371" s="1">
        <f>固定流程!C11</f>
        <v>1</v>
      </c>
      <c r="F371" s="1">
        <f>固定流程!G11</f>
        <v>2</v>
      </c>
      <c r="G371" s="1" t="str">
        <f>固定流程!H11</f>
        <v>37_FOLLOW</v>
      </c>
      <c r="H371" s="1">
        <f>固定流程!F11</f>
        <v>1</v>
      </c>
      <c r="I371" s="1">
        <f>INDEX(配置与结果!$B$15:$B$18,F371)</f>
        <v>2306</v>
      </c>
      <c r="J371" s="1">
        <f>INDEX(配置与结果!$D$15:$D$18,F371)</f>
        <v>0.46</v>
      </c>
      <c r="K371" s="1">
        <f>INDEX(配置与结果!$E$15:$E$18,F371)</f>
        <v>1.9279999999999999</v>
      </c>
      <c r="L371" s="1">
        <f t="shared" si="512"/>
        <v>1</v>
      </c>
      <c r="M371" s="1">
        <f t="shared" si="512"/>
        <v>4</v>
      </c>
      <c r="N371" s="1">
        <f t="shared" si="512"/>
        <v>0</v>
      </c>
      <c r="O371" s="1">
        <f t="shared" si="512"/>
        <v>6</v>
      </c>
      <c r="P371" s="1">
        <f>MIN(方案参数!$AI$13,AZ370+0+0)</f>
        <v>3</v>
      </c>
      <c r="Q371" s="1">
        <f t="shared" si="513"/>
        <v>2</v>
      </c>
      <c r="R371" s="1">
        <f t="shared" si="514"/>
        <v>5</v>
      </c>
      <c r="S371" s="1">
        <f t="shared" si="515"/>
        <v>0</v>
      </c>
      <c r="T371" s="1">
        <f t="shared" si="516"/>
        <v>1</v>
      </c>
      <c r="U371" s="1">
        <f t="shared" si="517"/>
        <v>0</v>
      </c>
      <c r="V371" s="1">
        <f t="shared" si="518"/>
        <v>0</v>
      </c>
      <c r="W371" s="1">
        <f t="shared" si="519"/>
        <v>1</v>
      </c>
      <c r="X371" s="1">
        <f t="shared" si="520"/>
        <v>1</v>
      </c>
      <c r="Y371" s="1">
        <f t="shared" si="521"/>
        <v>1</v>
      </c>
      <c r="Z371" s="1">
        <f t="shared" si="522"/>
        <v>0</v>
      </c>
      <c r="AA371" s="1">
        <f t="shared" si="523"/>
        <v>0</v>
      </c>
      <c r="AB371" s="1">
        <f t="shared" si="524"/>
        <v>0</v>
      </c>
      <c r="AC371" s="1">
        <f t="shared" si="525"/>
        <v>0</v>
      </c>
      <c r="AD371" s="1">
        <f>ROUNDDOWN(I371*(1+IF(F371=3,0.05+方案参数!$Y$13+AA371*0.12,IF(F371=4,方案参数!$BZ$13*方案参数!$AS$13,0)))+IF(AND(X371=1,F371&lt;&gt;3),方案参数!$CC$13,0)+AC371*方案参数!$CB$13,0)</f>
        <v>2544</v>
      </c>
      <c r="AE371" s="1">
        <f>IF(OR(F371=1,F371=4),配置与结果!$B$24,配置与结果!$B$25)*MAX(0,1-INDEX(配置与结果!$I$15:$I$18,F371))</f>
        <v>1000</v>
      </c>
      <c r="AF371" s="1">
        <f>方案参数!$BV$13</f>
        <v>4.5</v>
      </c>
      <c r="AG371" s="1">
        <f>MAX(配置与结果!$B$32,1+INDEX(配置与结果!$F$15:$F$18,F371)+0+Q371*方案参数!$W$13+Y371*(方案参数!$AN$13+MIN(方案参数!$AO$13,P371*0.03))+AB371*方案参数!$BZ$13*0.025-配置与结果!$B$28)</f>
        <v>0.8849999999999999</v>
      </c>
      <c r="AH371" s="1">
        <f>MAX(0,1+INDEX(配置与结果!$G$15:$G$18,F371)+W371*方案参数!$AG$13)</f>
        <v>1.3</v>
      </c>
      <c r="AI371" s="1">
        <f>IF(OR(INDEX(配置与结果!$K$15:$K$18,F371)=1,G371="RHI_BERRY"),1+配置与结果!$B$33+P371*方案参数!$AH$13,1)</f>
        <v>1</v>
      </c>
      <c r="AJ371" s="1">
        <f>MIN(1,MAX(0,J371+方案参数!$AB$13-配置与结果!$B$27))</f>
        <v>1</v>
      </c>
      <c r="AK371" s="1">
        <f>MAX(1,K371+IF(F371=2,0.15+方案参数!$CH$13,0)+BN371*方案参数!$X$13+R371*方案参数!$AA$13+0-配置与结果!$B$26+Z371*(方案参数!$AP$13+MIN(方案参数!$AQ$13,P371*0.03)))</f>
        <v>1.9780000000000002</v>
      </c>
      <c r="AL371" s="7">
        <f>ROUNDDOWN(MAX(AD371*配置与结果!$B$31,AD371-AE371)*AF371*AG371*AH371*AI371,0)</f>
        <v>7993</v>
      </c>
      <c r="AM371" s="7">
        <f>ROUNDDOWN(MAX(AD371*配置与结果!$B$31,AD371-AE371)*AF371*AG371*AH371*AI371*AK371,0)</f>
        <v>15811</v>
      </c>
      <c r="AN371" s="7">
        <f t="shared" si="458"/>
        <v>15811</v>
      </c>
      <c r="AO371" s="7">
        <f>方案参数!$BW$13</f>
        <v>1.5</v>
      </c>
      <c r="AP371" s="7">
        <f>MAX(0,1+INDEX(配置与结果!$J$15:$J$18,F371)+IF(T371&gt;0,方案参数!$BY$13,0)-配置与结果!$B$30)</f>
        <v>2</v>
      </c>
      <c r="AQ371" s="7">
        <f t="shared" si="459"/>
        <v>7632</v>
      </c>
      <c r="AR371" s="7">
        <f t="shared" si="460"/>
        <v>15096</v>
      </c>
      <c r="AS371" s="7">
        <f t="shared" si="461"/>
        <v>15096</v>
      </c>
      <c r="AT371" s="7">
        <f>0</f>
        <v>0</v>
      </c>
      <c r="AU371" s="7">
        <f t="shared" si="462"/>
        <v>30907</v>
      </c>
      <c r="AV371" s="1">
        <f t="shared" si="463"/>
        <v>1</v>
      </c>
      <c r="AW371" s="1">
        <f>MIN(10,M371+0+0)</f>
        <v>4</v>
      </c>
      <c r="AX371" s="1">
        <f t="shared" si="464"/>
        <v>0</v>
      </c>
      <c r="AY371" s="1">
        <f t="shared" si="533"/>
        <v>6</v>
      </c>
      <c r="AZ371" s="1">
        <f t="shared" si="465"/>
        <v>3</v>
      </c>
      <c r="BA371" s="1">
        <f>MIN(6,Q371+0)</f>
        <v>2</v>
      </c>
      <c r="BB371" s="1">
        <f t="shared" si="526"/>
        <v>5</v>
      </c>
      <c r="BC371" s="1">
        <f t="shared" si="507"/>
        <v>0</v>
      </c>
      <c r="BD371" s="1">
        <f t="shared" ref="BD371:BD405" si="534">MAX(0,T371-IF(AO371&gt;0,1,0))+0</f>
        <v>0</v>
      </c>
      <c r="BE371" s="1">
        <f t="shared" si="527"/>
        <v>0</v>
      </c>
      <c r="BF371" s="1">
        <f>MIN(4,V371+1)</f>
        <v>1</v>
      </c>
      <c r="BG371" s="1">
        <f t="shared" si="531"/>
        <v>1</v>
      </c>
      <c r="BH371" s="1">
        <f t="shared" si="528"/>
        <v>1</v>
      </c>
      <c r="BI371" s="1">
        <f t="shared" si="532"/>
        <v>1</v>
      </c>
      <c r="BJ371" s="1">
        <f t="shared" si="502"/>
        <v>0</v>
      </c>
      <c r="BK371" s="1">
        <f t="shared" si="503"/>
        <v>0</v>
      </c>
      <c r="BL371" s="1">
        <f t="shared" si="508"/>
        <v>0</v>
      </c>
      <c r="BM371" s="1">
        <f t="shared" si="506"/>
        <v>0</v>
      </c>
      <c r="BN371" s="1">
        <f t="shared" si="529"/>
        <v>1</v>
      </c>
      <c r="BO371" s="1">
        <f t="shared" si="530"/>
        <v>1</v>
      </c>
    </row>
    <row r="372" spans="1:67" ht="30.95" customHeight="1">
      <c r="A372" s="1">
        <f>10</f>
        <v>10</v>
      </c>
      <c r="B372" s="1">
        <f>固定流程!A12</f>
        <v>7</v>
      </c>
      <c r="C372" s="1">
        <f>13</f>
        <v>13</v>
      </c>
      <c r="D372" s="1">
        <f>1</f>
        <v>1</v>
      </c>
      <c r="E372" s="1">
        <f>固定流程!C12</f>
        <v>1</v>
      </c>
      <c r="F372" s="1">
        <f>固定流程!G12</f>
        <v>4</v>
      </c>
      <c r="G372" s="1" t="str">
        <f>固定流程!H12</f>
        <v>J_HARD</v>
      </c>
      <c r="H372" s="1">
        <f>固定流程!F12</f>
        <v>1</v>
      </c>
      <c r="I372" s="1">
        <f>INDEX(配置与结果!$B$15:$B$18,F372)</f>
        <v>1906</v>
      </c>
      <c r="J372" s="1">
        <f>INDEX(配置与结果!$D$15:$D$18,F372)</f>
        <v>0.36699999999999999</v>
      </c>
      <c r="K372" s="1">
        <f>INDEX(配置与结果!$E$15:$E$18,F372)</f>
        <v>1.7170000000000001</v>
      </c>
      <c r="L372" s="1">
        <f t="shared" si="512"/>
        <v>1</v>
      </c>
      <c r="M372" s="1">
        <f t="shared" si="512"/>
        <v>4</v>
      </c>
      <c r="N372" s="1">
        <f t="shared" si="512"/>
        <v>0</v>
      </c>
      <c r="O372" s="1">
        <f t="shared" si="512"/>
        <v>6</v>
      </c>
      <c r="P372" s="1">
        <f>MIN(方案参数!$AI$13,AZ371+0+0)</f>
        <v>3</v>
      </c>
      <c r="Q372" s="1">
        <f t="shared" si="513"/>
        <v>2</v>
      </c>
      <c r="R372" s="1">
        <f t="shared" si="514"/>
        <v>5</v>
      </c>
      <c r="S372" s="1">
        <f t="shared" si="515"/>
        <v>0</v>
      </c>
      <c r="T372" s="1">
        <f t="shared" si="516"/>
        <v>0</v>
      </c>
      <c r="U372" s="1">
        <f t="shared" si="517"/>
        <v>0</v>
      </c>
      <c r="V372" s="1">
        <f t="shared" si="518"/>
        <v>1</v>
      </c>
      <c r="W372" s="1">
        <f t="shared" si="519"/>
        <v>1</v>
      </c>
      <c r="X372" s="1">
        <f t="shared" si="520"/>
        <v>1</v>
      </c>
      <c r="Y372" s="1">
        <f t="shared" si="521"/>
        <v>1</v>
      </c>
      <c r="Z372" s="1">
        <f t="shared" si="522"/>
        <v>0</v>
      </c>
      <c r="AA372" s="1">
        <f t="shared" si="523"/>
        <v>0</v>
      </c>
      <c r="AB372" s="1">
        <f t="shared" si="524"/>
        <v>0</v>
      </c>
      <c r="AC372" s="1">
        <f t="shared" si="525"/>
        <v>0</v>
      </c>
      <c r="AD372" s="1">
        <f>ROUNDDOWN(I372*(1+IF(F372=3,0.05+方案参数!$Y$13+AA372*0.12,IF(F372=4,方案参数!$BZ$13*方案参数!$AS$13,0)))+IF(AND(X372=1,F372&lt;&gt;3),方案参数!$CC$13,0)+AC372*方案参数!$CB$13,0)</f>
        <v>2811</v>
      </c>
      <c r="AE372" s="1">
        <f>IF(OR(F372=1,F372=4),配置与结果!$B$24,配置与结果!$B$25)*MAX(0,1-INDEX(配置与结果!$I$15:$I$18,F372))</f>
        <v>1200</v>
      </c>
      <c r="AF372" s="1">
        <f>3.6*IF(H372=1,1,IF(H372=2,1.5,2.5))</f>
        <v>3.6</v>
      </c>
      <c r="AG372" s="1">
        <f>MAX(配置与结果!$B$32,1+INDEX(配置与结果!$F$15:$F$18,F372)+0.08+Q372*方案参数!$W$13+Y372*(方案参数!$AN$13+MIN(方案参数!$AO$13,P372*0.03))+AB372*方案参数!$BZ$13*0.025+0.1+IF(方案参数!$BZ$13&gt;=30,方案参数!$BZ$13*0.01,0)-配置与结果!$B$28)</f>
        <v>1.4350000000000001</v>
      </c>
      <c r="AH372" s="1">
        <f>MAX(0,1+INDEX(配置与结果!$G$15:$G$18,F372)+W372*方案参数!$AG$13)</f>
        <v>1.3</v>
      </c>
      <c r="AI372" s="1">
        <f>IF(OR(INDEX(配置与结果!$K$15:$K$18,F372)=1,G372="RHI_BERRY"),1+配置与结果!$B$33+P372*方案参数!$AH$13,1)</f>
        <v>1</v>
      </c>
      <c r="AJ372" s="1">
        <f>MIN(1,MAX(0,J372+方案参数!$AB$13-配置与结果!$B$27))</f>
        <v>0.96699999999999997</v>
      </c>
      <c r="AK372" s="1">
        <f>MAX(1,K372+IF(F372=2,0.15+方案参数!$CH$13,0)+BN372*方案参数!$X$13+R372*方案参数!$AA$13+0-配置与结果!$B$26+Z372*(方案参数!$AP$13+MIN(方案参数!$AQ$13,P372*0.03)))</f>
        <v>1.4969999999999999</v>
      </c>
      <c r="AL372" s="7">
        <f>ROUNDDOWN(MAX(AD372*配置与结果!$B$31,AD372-AE372)*AF372*AG372*AH372*AI372,0)</f>
        <v>10819</v>
      </c>
      <c r="AM372" s="7">
        <f>ROUNDDOWN(MAX(AD372*配置与结果!$B$31,AD372-AE372)*AF372*AG372*AH372*AI372*AK372,0)</f>
        <v>16196</v>
      </c>
      <c r="AN372" s="7">
        <f t="shared" si="458"/>
        <v>16018.558999999999</v>
      </c>
      <c r="AO372" s="7">
        <f>0</f>
        <v>0</v>
      </c>
      <c r="AP372" s="7">
        <f>MAX(0,1+INDEX(配置与结果!$J$15:$J$18,F372)+IF(T372&gt;0,方案参数!$BY$13,0)-配置与结果!$B$30)</f>
        <v>1</v>
      </c>
      <c r="AQ372" s="7">
        <f t="shared" si="459"/>
        <v>0</v>
      </c>
      <c r="AR372" s="7">
        <f t="shared" si="460"/>
        <v>0</v>
      </c>
      <c r="AS372" s="7">
        <f t="shared" si="461"/>
        <v>0</v>
      </c>
      <c r="AT372" s="7">
        <f>0</f>
        <v>0</v>
      </c>
      <c r="AU372" s="7">
        <f t="shared" si="462"/>
        <v>16018.558999999999</v>
      </c>
      <c r="AV372" s="1">
        <f t="shared" si="463"/>
        <v>1</v>
      </c>
      <c r="AW372" s="1">
        <f>MIN(10,M372+0+0)</f>
        <v>4</v>
      </c>
      <c r="AX372" s="1">
        <f t="shared" si="464"/>
        <v>0</v>
      </c>
      <c r="AY372" s="1">
        <f t="shared" si="533"/>
        <v>6</v>
      </c>
      <c r="AZ372" s="1">
        <f t="shared" si="465"/>
        <v>3</v>
      </c>
      <c r="BA372" s="1">
        <f>MIN(6,Q372+0)</f>
        <v>2</v>
      </c>
      <c r="BB372" s="1">
        <f t="shared" si="526"/>
        <v>5</v>
      </c>
      <c r="BC372" s="1">
        <f>MIN(3,S372+1)</f>
        <v>1</v>
      </c>
      <c r="BD372" s="1">
        <f t="shared" si="534"/>
        <v>0</v>
      </c>
      <c r="BE372" s="1">
        <f t="shared" si="527"/>
        <v>0</v>
      </c>
      <c r="BF372" s="1">
        <f>MIN(4,V372+0)</f>
        <v>1</v>
      </c>
      <c r="BG372" s="1">
        <f t="shared" si="531"/>
        <v>1</v>
      </c>
      <c r="BH372" s="1">
        <f t="shared" si="528"/>
        <v>1</v>
      </c>
      <c r="BI372" s="1">
        <f t="shared" si="532"/>
        <v>1</v>
      </c>
      <c r="BJ372" s="1">
        <f t="shared" si="502"/>
        <v>0</v>
      </c>
      <c r="BK372" s="1">
        <f t="shared" si="503"/>
        <v>0</v>
      </c>
      <c r="BL372" s="1">
        <f t="shared" si="508"/>
        <v>0</v>
      </c>
      <c r="BM372" s="1">
        <f t="shared" si="506"/>
        <v>0</v>
      </c>
      <c r="BN372" s="1">
        <f t="shared" si="529"/>
        <v>1</v>
      </c>
      <c r="BO372" s="1">
        <f t="shared" si="530"/>
        <v>1</v>
      </c>
    </row>
    <row r="373" spans="1:67" ht="30.95" customHeight="1">
      <c r="A373" s="1">
        <f>10</f>
        <v>10</v>
      </c>
      <c r="B373" s="1">
        <f>固定流程!A13</f>
        <v>8</v>
      </c>
      <c r="C373" s="1">
        <f>13</f>
        <v>13</v>
      </c>
      <c r="D373" s="1">
        <f>1</f>
        <v>1</v>
      </c>
      <c r="E373" s="1">
        <f>固定流程!C13</f>
        <v>2</v>
      </c>
      <c r="F373" s="1">
        <f>固定流程!G13</f>
        <v>3</v>
      </c>
      <c r="G373" s="1" t="str">
        <f>固定流程!H13</f>
        <v>RHI_ATTACK</v>
      </c>
      <c r="H373" s="1">
        <f>固定流程!F13</f>
        <v>1</v>
      </c>
      <c r="I373" s="1">
        <f>INDEX(配置与结果!$B$15:$B$18,F373)</f>
        <v>2597</v>
      </c>
      <c r="J373" s="1">
        <f>INDEX(配置与结果!$D$15:$D$18,F373)</f>
        <v>0.255</v>
      </c>
      <c r="K373" s="1">
        <f>INDEX(配置与结果!$E$15:$E$18,F373)</f>
        <v>1.55</v>
      </c>
      <c r="L373" s="1">
        <f>IF(AV372=1,IF(M373&gt;=10,2,1),IF(AV372=2,IF(AX372&lt;=1,0,2),0))</f>
        <v>1</v>
      </c>
      <c r="M373" s="1">
        <f>IF(AND(AV372=2,AX372&lt;=1),0,MIN(10,AW372+IF(AV372=1,3,0)))</f>
        <v>7</v>
      </c>
      <c r="N373" s="1">
        <f>IF(AND(AV372=1,M373&gt;=10),2,IF(AV372=2,MAX(0,AX372-1),0))</f>
        <v>0</v>
      </c>
      <c r="O373" s="1">
        <f t="shared" ref="O373:O401" si="535">AY372</f>
        <v>6</v>
      </c>
      <c r="P373" s="1">
        <f>MIN(方案参数!$AI$13,AZ372+方案参数!$AJ$13+方案参数!$AK$13)</f>
        <v>5</v>
      </c>
      <c r="Q373" s="1">
        <f t="shared" si="513"/>
        <v>2</v>
      </c>
      <c r="R373" s="1">
        <f t="shared" si="514"/>
        <v>5</v>
      </c>
      <c r="S373" s="1">
        <f t="shared" si="515"/>
        <v>1</v>
      </c>
      <c r="T373" s="1">
        <f t="shared" si="516"/>
        <v>0</v>
      </c>
      <c r="U373" s="1">
        <f t="shared" si="517"/>
        <v>0</v>
      </c>
      <c r="V373" s="1">
        <f t="shared" si="518"/>
        <v>1</v>
      </c>
      <c r="W373" s="1">
        <f t="shared" si="519"/>
        <v>1</v>
      </c>
      <c r="X373" s="1">
        <f t="shared" si="520"/>
        <v>1</v>
      </c>
      <c r="Y373" s="1">
        <f t="shared" si="521"/>
        <v>1</v>
      </c>
      <c r="Z373" s="1">
        <f t="shared" si="522"/>
        <v>0</v>
      </c>
      <c r="AA373" s="1">
        <f>MAX(BK372,1)</f>
        <v>1</v>
      </c>
      <c r="AB373" s="1">
        <f t="shared" si="524"/>
        <v>0</v>
      </c>
      <c r="AC373" s="1">
        <f t="shared" si="525"/>
        <v>0</v>
      </c>
      <c r="AD373" s="1">
        <f>ROUNDDOWN(I373*(1+IF(F373=3,0.05+方案参数!$Y$13+AA373*0.12,IF(F373=4,方案参数!$BZ$13*方案参数!$AS$13,0)))+IF(AND(X373=1,F373&lt;&gt;3),方案参数!$CC$13,0)+AC373*方案参数!$CB$13,0)</f>
        <v>3298</v>
      </c>
      <c r="AE373" s="1">
        <f>IF(OR(F373=1,F373=4),配置与结果!$B$24,配置与结果!$B$25)*MAX(0,1-INDEX(配置与结果!$I$15:$I$18,F373))</f>
        <v>1000</v>
      </c>
      <c r="AF373" s="1">
        <f>4</f>
        <v>4</v>
      </c>
      <c r="AG373" s="1">
        <f>MAX(配置与结果!$B$32,1+INDEX(配置与结果!$F$15:$F$18,F373)+0+Q373*方案参数!$W$13+Y373*(方案参数!$AN$13+MIN(方案参数!$AO$13,P373*0.03))+AB373*方案参数!$BZ$13*0.025-配置与结果!$B$28)</f>
        <v>0.97499999999999998</v>
      </c>
      <c r="AH373" s="1">
        <f>MAX(0,1+INDEX(配置与结果!$G$15:$G$18,F373)+W373*方案参数!$AG$13)</f>
        <v>1.3</v>
      </c>
      <c r="AI373" s="1">
        <f>IF(OR(INDEX(配置与结果!$K$15:$K$18,F373)=1,G373="RHI_BERRY"),1+配置与结果!$B$33+P373*方案参数!$AH$13,1)</f>
        <v>1</v>
      </c>
      <c r="AJ373" s="1">
        <f>MIN(1,MAX(0,J373+方案参数!$AB$13-配置与结果!$B$27))</f>
        <v>0.85499999999999998</v>
      </c>
      <c r="AK373" s="1">
        <f>MAX(1,K373+IF(F373=2,0.15+方案参数!$CH$13,0)+BN373*方案参数!$X$13+R373*方案参数!$AA$13+0-配置与结果!$B$26+Z373*(方案参数!$AP$13+MIN(方案参数!$AQ$13,P373*0.03)))</f>
        <v>1.33</v>
      </c>
      <c r="AL373" s="7">
        <f>ROUNDDOWN(MAX(AD373*配置与结果!$B$31,AD373-AE373)*AF373*AG373*AH373*AI373,0)</f>
        <v>11650</v>
      </c>
      <c r="AM373" s="7">
        <f>ROUNDDOWN(MAX(AD373*配置与结果!$B$31,AD373-AE373)*AF373*AG373*AH373*AI373*AK373,0)</f>
        <v>15495</v>
      </c>
      <c r="AN373" s="7">
        <f t="shared" si="458"/>
        <v>14937.475</v>
      </c>
      <c r="AO373" s="7">
        <f>0</f>
        <v>0</v>
      </c>
      <c r="AP373" s="7">
        <f>MAX(0,1+INDEX(配置与结果!$J$15:$J$18,F373)+IF(T373&gt;0,方案参数!$BY$13,0)-配置与结果!$B$30)</f>
        <v>1</v>
      </c>
      <c r="AQ373" s="7">
        <f t="shared" si="459"/>
        <v>0</v>
      </c>
      <c r="AR373" s="7">
        <f t="shared" si="460"/>
        <v>0</v>
      </c>
      <c r="AS373" s="7">
        <f t="shared" si="461"/>
        <v>0</v>
      </c>
      <c r="AT373" s="7">
        <f>0</f>
        <v>0</v>
      </c>
      <c r="AU373" s="7">
        <f t="shared" si="462"/>
        <v>14937.475</v>
      </c>
      <c r="AV373" s="1">
        <f t="shared" si="463"/>
        <v>1</v>
      </c>
      <c r="AW373" s="1">
        <f>MIN(10,M373+0+0)</f>
        <v>7</v>
      </c>
      <c r="AX373" s="1">
        <f t="shared" si="464"/>
        <v>0</v>
      </c>
      <c r="AY373" s="1">
        <f t="shared" si="533"/>
        <v>6</v>
      </c>
      <c r="AZ373" s="1">
        <f t="shared" si="465"/>
        <v>5</v>
      </c>
      <c r="BA373" s="1">
        <f>MIN(6,Q373+1)</f>
        <v>3</v>
      </c>
      <c r="BB373" s="1">
        <f t="shared" si="526"/>
        <v>5</v>
      </c>
      <c r="BC373" s="1">
        <f>MIN(3,S373+0)</f>
        <v>1</v>
      </c>
      <c r="BD373" s="1">
        <f t="shared" si="534"/>
        <v>0</v>
      </c>
      <c r="BE373" s="1">
        <f t="shared" si="527"/>
        <v>0</v>
      </c>
      <c r="BF373" s="1">
        <f>MIN(4,V373+0)</f>
        <v>1</v>
      </c>
      <c r="BG373" s="1">
        <f t="shared" si="531"/>
        <v>1</v>
      </c>
      <c r="BH373" s="1">
        <f t="shared" si="528"/>
        <v>1</v>
      </c>
      <c r="BI373" s="1">
        <f t="shared" si="532"/>
        <v>1</v>
      </c>
      <c r="BJ373" s="1">
        <f>MAX(Z373,1)</f>
        <v>1</v>
      </c>
      <c r="BK373" s="1">
        <f>MAX(AA373,1)</f>
        <v>1</v>
      </c>
      <c r="BL373" s="1">
        <f t="shared" si="508"/>
        <v>0</v>
      </c>
      <c r="BM373" s="1">
        <f t="shared" si="506"/>
        <v>0</v>
      </c>
      <c r="BN373" s="1">
        <f t="shared" si="529"/>
        <v>1</v>
      </c>
      <c r="BO373" s="1">
        <f t="shared" si="530"/>
        <v>1</v>
      </c>
    </row>
    <row r="374" spans="1:67" ht="30.95" customHeight="1">
      <c r="A374" s="1">
        <f>10</f>
        <v>10</v>
      </c>
      <c r="B374" s="1">
        <f>固定流程!A14</f>
        <v>9</v>
      </c>
      <c r="C374" s="1">
        <f>13</f>
        <v>13</v>
      </c>
      <c r="D374" s="1">
        <f>1</f>
        <v>1</v>
      </c>
      <c r="E374" s="1">
        <f>固定流程!C14</f>
        <v>2</v>
      </c>
      <c r="F374" s="1">
        <f>固定流程!G14</f>
        <v>1</v>
      </c>
      <c r="G374" s="1" t="str">
        <f>固定流程!H14</f>
        <v>LILYA_DIVE</v>
      </c>
      <c r="H374" s="1">
        <f>固定流程!F14</f>
        <v>3</v>
      </c>
      <c r="I374" s="1">
        <f>INDEX(配置与结果!$B$15:$B$18,F374)</f>
        <v>2296</v>
      </c>
      <c r="J374" s="1">
        <f>INDEX(配置与结果!$D$15:$D$18,F374)</f>
        <v>0.7</v>
      </c>
      <c r="K374" s="1">
        <f>INDEX(配置与结果!$E$15:$E$18,F374)</f>
        <v>2.0249999999999999</v>
      </c>
      <c r="L374" s="1">
        <f t="shared" ref="L374:N378" si="536">AV373</f>
        <v>1</v>
      </c>
      <c r="M374" s="1">
        <f t="shared" si="536"/>
        <v>7</v>
      </c>
      <c r="N374" s="1">
        <f t="shared" si="536"/>
        <v>0</v>
      </c>
      <c r="O374" s="1">
        <f t="shared" si="535"/>
        <v>6</v>
      </c>
      <c r="P374" s="1">
        <f>MIN(方案参数!$AI$13,AZ373+0+0)</f>
        <v>5</v>
      </c>
      <c r="Q374" s="1">
        <f t="shared" si="513"/>
        <v>3</v>
      </c>
      <c r="R374" s="1">
        <f t="shared" si="514"/>
        <v>5</v>
      </c>
      <c r="S374" s="1">
        <f t="shared" si="515"/>
        <v>1</v>
      </c>
      <c r="T374" s="1">
        <f t="shared" si="516"/>
        <v>0</v>
      </c>
      <c r="U374" s="1">
        <f t="shared" si="517"/>
        <v>0</v>
      </c>
      <c r="V374" s="1">
        <f t="shared" si="518"/>
        <v>1</v>
      </c>
      <c r="W374" s="1">
        <f t="shared" si="519"/>
        <v>1</v>
      </c>
      <c r="X374" s="1">
        <f t="shared" si="520"/>
        <v>1</v>
      </c>
      <c r="Y374" s="1">
        <f t="shared" si="521"/>
        <v>1</v>
      </c>
      <c r="Z374" s="1">
        <f t="shared" si="522"/>
        <v>1</v>
      </c>
      <c r="AA374" s="1">
        <f t="shared" ref="AA374:AA379" si="537">MAX(BK373,0)</f>
        <v>1</v>
      </c>
      <c r="AB374" s="1">
        <f t="shared" si="524"/>
        <v>0</v>
      </c>
      <c r="AC374" s="1">
        <f t="shared" si="525"/>
        <v>0</v>
      </c>
      <c r="AD374" s="1">
        <f>ROUNDDOWN(I374*(1+IF(F374=3,0.05+方案参数!$Y$13+AA374*0.12,IF(F374=4,方案参数!$BZ$13*方案参数!$AS$13,0)))+IF(AND(X374=1,F374&lt;&gt;3),方案参数!$CC$13,0)+AC374*方案参数!$CB$13,0)</f>
        <v>2534</v>
      </c>
      <c r="AE374" s="1">
        <f>IF(OR(F374=1,F374=4),配置与结果!$B$24,配置与结果!$B$25)*MAX(0,1-INDEX(配置与结果!$I$15:$I$18,F374))</f>
        <v>1200</v>
      </c>
      <c r="AF374" s="1">
        <f>(IF(L374=1,方案参数!$AW$13,IF(L374=2,方案参数!$AX$13,0))+方案参数!$AV$13)*H374</f>
        <v>18</v>
      </c>
      <c r="AG374" s="1">
        <f>MAX(配置与结果!$B$32,1+INDEX(配置与结果!$F$15:$F$18,F374)+0.08+方案参数!$CD$13+Q374*方案参数!$W$13+Y374*(方案参数!$AN$13+MIN(方案参数!$AO$13,P374*0.03))+AB374*方案参数!$BZ$13*0.025+IF(L374=1,方案参数!$AY$13+(H374-1)*0.1,IF(L374=2,方案参数!$AZ$13+(H374-1)*0.2,0))-配置与结果!$B$28)</f>
        <v>1.6</v>
      </c>
      <c r="AH374" s="1">
        <f>MAX(0,1+INDEX(配置与结果!$G$15:$G$18,F374)+W374*方案参数!$AG$13+IF(L374=1,方案参数!$BA$13,IF(L374=2,方案参数!$BB$13,0))+M374*方案参数!$BC$13)</f>
        <v>2.3199999999999998</v>
      </c>
      <c r="AI374" s="1">
        <f>IF(OR(INDEX(配置与结果!$K$15:$K$18,F374)=1,G374="RHI_BERRY"),1+配置与结果!$B$33+P374*方案参数!$AH$13,1)</f>
        <v>1</v>
      </c>
      <c r="AJ374" s="1">
        <f>MIN(1,MAX(0,J374+方案参数!$AB$13-配置与结果!$B$27))</f>
        <v>1</v>
      </c>
      <c r="AK374" s="1">
        <f>MAX(1,K374+IF(F374=2,0.15+方案参数!$CH$13,0)+BN374*方案参数!$X$13+R374*方案参数!$AA$13+0-配置与结果!$B$26+Z374*(方案参数!$AP$13+MIN(方案参数!$AQ$13,P374*0.03)))</f>
        <v>2.105</v>
      </c>
      <c r="AL374" s="7">
        <f>ROUNDDOWN(MAX(AD374*配置与结果!$B$31,AD374-AE374)*AF374*AG374*AH374*AI374,0)</f>
        <v>89132</v>
      </c>
      <c r="AM374" s="7">
        <f>ROUNDDOWN(MAX(AD374*配置与结果!$B$31,AD374-AE374)*AF374*AG374*AH374*AI374*AK374,0)</f>
        <v>187624</v>
      </c>
      <c r="AN374" s="7">
        <f t="shared" si="458"/>
        <v>187624</v>
      </c>
      <c r="AO374" s="7">
        <f>0</f>
        <v>0</v>
      </c>
      <c r="AP374" s="7">
        <f>MAX(0,1+INDEX(配置与结果!$J$15:$J$18,F374)+IF(T374&gt;0,方案参数!$BY$13,0)-配置与结果!$B$30)</f>
        <v>1</v>
      </c>
      <c r="AQ374" s="7">
        <f t="shared" si="459"/>
        <v>0</v>
      </c>
      <c r="AR374" s="7">
        <f t="shared" si="460"/>
        <v>0</v>
      </c>
      <c r="AS374" s="7">
        <f t="shared" si="461"/>
        <v>0</v>
      </c>
      <c r="AT374" s="7">
        <f>0</f>
        <v>0</v>
      </c>
      <c r="AU374" s="7">
        <f t="shared" si="462"/>
        <v>187624</v>
      </c>
      <c r="AV374" s="1">
        <f t="shared" si="463"/>
        <v>1</v>
      </c>
      <c r="AW374" s="1">
        <f>MIN(10,M374+0+IF(L374=1,方案参数!$BE$13,0))</f>
        <v>8</v>
      </c>
      <c r="AX374" s="1">
        <f t="shared" si="464"/>
        <v>0</v>
      </c>
      <c r="AY374" s="1">
        <f t="shared" si="533"/>
        <v>6</v>
      </c>
      <c r="AZ374" s="1">
        <f t="shared" si="465"/>
        <v>5</v>
      </c>
      <c r="BA374" s="1">
        <f>MIN(6,Q374+0)</f>
        <v>3</v>
      </c>
      <c r="BB374" s="1">
        <f t="shared" si="526"/>
        <v>5</v>
      </c>
      <c r="BC374" s="1">
        <f>MIN(3,S374+0)</f>
        <v>1</v>
      </c>
      <c r="BD374" s="1">
        <f t="shared" si="534"/>
        <v>0</v>
      </c>
      <c r="BE374" s="1">
        <f t="shared" si="527"/>
        <v>0</v>
      </c>
      <c r="BF374" s="1">
        <f>MIN(4,V374+0)</f>
        <v>1</v>
      </c>
      <c r="BG374" s="1">
        <f t="shared" si="531"/>
        <v>1</v>
      </c>
      <c r="BH374" s="1">
        <f t="shared" si="528"/>
        <v>1</v>
      </c>
      <c r="BI374" s="1">
        <f t="shared" si="532"/>
        <v>1</v>
      </c>
      <c r="BJ374" s="1">
        <f t="shared" ref="BJ374:BK379" si="538">MAX(Z374,0)</f>
        <v>1</v>
      </c>
      <c r="BK374" s="1">
        <f t="shared" si="538"/>
        <v>1</v>
      </c>
      <c r="BL374" s="1">
        <f t="shared" si="508"/>
        <v>0</v>
      </c>
      <c r="BM374" s="1">
        <f t="shared" si="506"/>
        <v>0</v>
      </c>
      <c r="BN374" s="1">
        <f t="shared" si="529"/>
        <v>1</v>
      </c>
      <c r="BO374" s="1">
        <f t="shared" si="530"/>
        <v>1</v>
      </c>
    </row>
    <row r="375" spans="1:67" ht="30.95" customHeight="1">
      <c r="A375" s="1">
        <f>10</f>
        <v>10</v>
      </c>
      <c r="B375" s="1">
        <f>固定流程!A15</f>
        <v>10</v>
      </c>
      <c r="C375" s="1">
        <f>13</f>
        <v>13</v>
      </c>
      <c r="D375" s="1">
        <f>1</f>
        <v>1</v>
      </c>
      <c r="E375" s="1">
        <f>固定流程!C15</f>
        <v>2</v>
      </c>
      <c r="F375" s="1">
        <f>固定流程!G15</f>
        <v>4</v>
      </c>
      <c r="G375" s="1" t="str">
        <f>固定流程!H15</f>
        <v>J_HARD</v>
      </c>
      <c r="H375" s="1">
        <f>固定流程!F15</f>
        <v>1</v>
      </c>
      <c r="I375" s="1">
        <f>INDEX(配置与结果!$B$15:$B$18,F375)</f>
        <v>1906</v>
      </c>
      <c r="J375" s="1">
        <f>INDEX(配置与结果!$D$15:$D$18,F375)</f>
        <v>0.36699999999999999</v>
      </c>
      <c r="K375" s="1">
        <f>INDEX(配置与结果!$E$15:$E$18,F375)</f>
        <v>1.7170000000000001</v>
      </c>
      <c r="L375" s="1">
        <f t="shared" si="536"/>
        <v>1</v>
      </c>
      <c r="M375" s="1">
        <f t="shared" si="536"/>
        <v>8</v>
      </c>
      <c r="N375" s="1">
        <f t="shared" si="536"/>
        <v>0</v>
      </c>
      <c r="O375" s="1">
        <f t="shared" si="535"/>
        <v>6</v>
      </c>
      <c r="P375" s="1">
        <f>MIN(方案参数!$AI$13,AZ374+0+0)</f>
        <v>5</v>
      </c>
      <c r="Q375" s="1">
        <f t="shared" si="513"/>
        <v>3</v>
      </c>
      <c r="R375" s="1">
        <f t="shared" si="514"/>
        <v>5</v>
      </c>
      <c r="S375" s="1">
        <f t="shared" si="515"/>
        <v>1</v>
      </c>
      <c r="T375" s="1">
        <f t="shared" si="516"/>
        <v>0</v>
      </c>
      <c r="U375" s="1">
        <f t="shared" si="517"/>
        <v>0</v>
      </c>
      <c r="V375" s="1">
        <f t="shared" si="518"/>
        <v>1</v>
      </c>
      <c r="W375" s="1">
        <f t="shared" si="519"/>
        <v>1</v>
      </c>
      <c r="X375" s="1">
        <f t="shared" si="520"/>
        <v>1</v>
      </c>
      <c r="Y375" s="1">
        <f t="shared" si="521"/>
        <v>1</v>
      </c>
      <c r="Z375" s="1">
        <f t="shared" si="522"/>
        <v>1</v>
      </c>
      <c r="AA375" s="1">
        <f t="shared" si="537"/>
        <v>1</v>
      </c>
      <c r="AB375" s="1">
        <f t="shared" si="524"/>
        <v>0</v>
      </c>
      <c r="AC375" s="1">
        <f t="shared" si="525"/>
        <v>0</v>
      </c>
      <c r="AD375" s="1">
        <f>ROUNDDOWN(I375*(1+IF(F375=3,0.05+方案参数!$Y$13+AA375*0.12,IF(F375=4,方案参数!$BZ$13*方案参数!$AS$13,0)))+IF(AND(X375=1,F375&lt;&gt;3),方案参数!$CC$13,0)+AC375*方案参数!$CB$13,0)</f>
        <v>2811</v>
      </c>
      <c r="AE375" s="1">
        <f>IF(OR(F375=1,F375=4),配置与结果!$B$24,配置与结果!$B$25)*MAX(0,1-INDEX(配置与结果!$I$15:$I$18,F375))</f>
        <v>1200</v>
      </c>
      <c r="AF375" s="1">
        <f>3.6*IF(H375=1,1,IF(H375=2,1.5,2.5))</f>
        <v>3.6</v>
      </c>
      <c r="AG375" s="1">
        <f>MAX(配置与结果!$B$32,1+INDEX(配置与结果!$F$15:$F$18,F375)+0.08+Q375*方案参数!$W$13+Y375*(方案参数!$AN$13+MIN(方案参数!$AO$13,P375*0.03))+AB375*方案参数!$BZ$13*0.025+0.1+IF(方案参数!$BZ$13&gt;=30,方案参数!$BZ$13*0.01,0)-配置与结果!$B$28)</f>
        <v>1.5150000000000001</v>
      </c>
      <c r="AH375" s="1">
        <f>MAX(0,1+INDEX(配置与结果!$G$15:$G$18,F375)+W375*方案参数!$AG$13)</f>
        <v>1.3</v>
      </c>
      <c r="AI375" s="1">
        <f>IF(OR(INDEX(配置与结果!$K$15:$K$18,F375)=1,G375="RHI_BERRY"),1+配置与结果!$B$33+P375*方案参数!$AH$13,1)</f>
        <v>1</v>
      </c>
      <c r="AJ375" s="1">
        <f>MIN(1,MAX(0,J375+方案参数!$AB$13-配置与结果!$B$27))</f>
        <v>0.96699999999999997</v>
      </c>
      <c r="AK375" s="1">
        <f>MAX(1,K375+IF(F375=2,0.15+方案参数!$CH$13,0)+BN375*方案参数!$X$13+R375*方案参数!$AA$13+0-配置与结果!$B$26+Z375*(方案参数!$AP$13+MIN(方案参数!$AQ$13,P375*0.03)))</f>
        <v>1.7969999999999999</v>
      </c>
      <c r="AL375" s="7">
        <f>ROUNDDOWN(MAX(AD375*配置与结果!$B$31,AD375-AE375)*AF375*AG375*AH375*AI375,0)</f>
        <v>11422</v>
      </c>
      <c r="AM375" s="7">
        <f>ROUNDDOWN(MAX(AD375*配置与结果!$B$31,AD375-AE375)*AF375*AG375*AH375*AI375*AK375,0)</f>
        <v>20525</v>
      </c>
      <c r="AN375" s="7">
        <f t="shared" si="458"/>
        <v>20224.600999999999</v>
      </c>
      <c r="AO375" s="7">
        <f>0</f>
        <v>0</v>
      </c>
      <c r="AP375" s="7">
        <f>MAX(0,1+INDEX(配置与结果!$J$15:$J$18,F375)+IF(T375&gt;0,方案参数!$BY$13,0)-配置与结果!$B$30)</f>
        <v>1</v>
      </c>
      <c r="AQ375" s="7">
        <f t="shared" si="459"/>
        <v>0</v>
      </c>
      <c r="AR375" s="7">
        <f t="shared" si="460"/>
        <v>0</v>
      </c>
      <c r="AS375" s="7">
        <f t="shared" si="461"/>
        <v>0</v>
      </c>
      <c r="AT375" s="7">
        <f>0</f>
        <v>0</v>
      </c>
      <c r="AU375" s="7">
        <f t="shared" si="462"/>
        <v>20224.600999999999</v>
      </c>
      <c r="AV375" s="1">
        <f t="shared" si="463"/>
        <v>1</v>
      </c>
      <c r="AW375" s="1">
        <f t="shared" ref="AW375:AW385" si="539">MIN(10,M375+0+0)</f>
        <v>8</v>
      </c>
      <c r="AX375" s="1">
        <f t="shared" si="464"/>
        <v>0</v>
      </c>
      <c r="AY375" s="1">
        <f t="shared" si="533"/>
        <v>6</v>
      </c>
      <c r="AZ375" s="1">
        <f t="shared" si="465"/>
        <v>5</v>
      </c>
      <c r="BA375" s="1">
        <f>MIN(6,Q375+0)</f>
        <v>3</v>
      </c>
      <c r="BB375" s="1">
        <f t="shared" si="526"/>
        <v>5</v>
      </c>
      <c r="BC375" s="1">
        <f>MIN(3,S375+1)</f>
        <v>2</v>
      </c>
      <c r="BD375" s="1">
        <f t="shared" si="534"/>
        <v>0</v>
      </c>
      <c r="BE375" s="1">
        <f t="shared" si="527"/>
        <v>0</v>
      </c>
      <c r="BF375" s="1">
        <f>MIN(4,V375+0)</f>
        <v>1</v>
      </c>
      <c r="BG375" s="1">
        <f t="shared" si="531"/>
        <v>1</v>
      </c>
      <c r="BH375" s="1">
        <f t="shared" si="528"/>
        <v>1</v>
      </c>
      <c r="BI375" s="1">
        <f t="shared" si="532"/>
        <v>1</v>
      </c>
      <c r="BJ375" s="1">
        <f t="shared" si="538"/>
        <v>1</v>
      </c>
      <c r="BK375" s="1">
        <f t="shared" si="538"/>
        <v>1</v>
      </c>
      <c r="BL375" s="1">
        <f t="shared" si="508"/>
        <v>0</v>
      </c>
      <c r="BM375" s="1">
        <f t="shared" si="506"/>
        <v>0</v>
      </c>
      <c r="BN375" s="1">
        <f t="shared" si="529"/>
        <v>1</v>
      </c>
      <c r="BO375" s="1">
        <f t="shared" si="530"/>
        <v>1</v>
      </c>
    </row>
    <row r="376" spans="1:67" ht="30.95" customHeight="1">
      <c r="A376" s="1">
        <f>10</f>
        <v>10</v>
      </c>
      <c r="B376" s="1">
        <f>固定流程!A16</f>
        <v>11</v>
      </c>
      <c r="C376" s="1">
        <f>13</f>
        <v>13</v>
      </c>
      <c r="D376" s="1">
        <f>1</f>
        <v>1</v>
      </c>
      <c r="E376" s="1">
        <f>固定流程!C16</f>
        <v>2</v>
      </c>
      <c r="F376" s="1">
        <f>固定流程!G16</f>
        <v>2</v>
      </c>
      <c r="G376" s="1" t="str">
        <f>固定流程!H16</f>
        <v>37_CURVE</v>
      </c>
      <c r="H376" s="1">
        <f>固定流程!F16</f>
        <v>1</v>
      </c>
      <c r="I376" s="1">
        <f>INDEX(配置与结果!$B$15:$B$18,F376)</f>
        <v>2306</v>
      </c>
      <c r="J376" s="1">
        <f>INDEX(配置与结果!$D$15:$D$18,F376)</f>
        <v>0.46</v>
      </c>
      <c r="K376" s="1">
        <f>INDEX(配置与结果!$E$15:$E$18,F376)</f>
        <v>1.9279999999999999</v>
      </c>
      <c r="L376" s="1">
        <f t="shared" si="536"/>
        <v>1</v>
      </c>
      <c r="M376" s="1">
        <f t="shared" si="536"/>
        <v>8</v>
      </c>
      <c r="N376" s="1">
        <f t="shared" si="536"/>
        <v>0</v>
      </c>
      <c r="O376" s="1">
        <f t="shared" si="535"/>
        <v>6</v>
      </c>
      <c r="P376" s="1">
        <f>MIN(方案参数!$AI$13,AZ375+0+0)</f>
        <v>5</v>
      </c>
      <c r="Q376" s="1">
        <f t="shared" si="513"/>
        <v>3</v>
      </c>
      <c r="R376" s="1">
        <f t="shared" si="514"/>
        <v>5</v>
      </c>
      <c r="S376" s="1">
        <f t="shared" si="515"/>
        <v>2</v>
      </c>
      <c r="T376" s="1">
        <f t="shared" si="516"/>
        <v>0</v>
      </c>
      <c r="U376" s="1">
        <f t="shared" si="517"/>
        <v>0</v>
      </c>
      <c r="V376" s="1">
        <f t="shared" si="518"/>
        <v>1</v>
      </c>
      <c r="W376" s="1">
        <f t="shared" si="519"/>
        <v>1</v>
      </c>
      <c r="X376" s="1">
        <f t="shared" si="520"/>
        <v>1</v>
      </c>
      <c r="Y376" s="1">
        <f t="shared" si="521"/>
        <v>1</v>
      </c>
      <c r="Z376" s="1">
        <f t="shared" si="522"/>
        <v>1</v>
      </c>
      <c r="AA376" s="1">
        <f t="shared" si="537"/>
        <v>1</v>
      </c>
      <c r="AB376" s="1">
        <f t="shared" si="524"/>
        <v>0</v>
      </c>
      <c r="AC376" s="1">
        <f t="shared" si="525"/>
        <v>0</v>
      </c>
      <c r="AD376" s="1">
        <f>ROUNDDOWN(I376*(1+IF(F376=3,0.05+方案参数!$Y$13+AA376*0.12,IF(F376=4,方案参数!$BZ$13*方案参数!$AS$13,0)))+IF(AND(X376=1,F376&lt;&gt;3),方案参数!$CC$13,0)+AC376*方案参数!$CB$13,0)</f>
        <v>2544</v>
      </c>
      <c r="AE376" s="1">
        <f>IF(OR(F376=1,F376=4),配置与结果!$B$24,配置与结果!$B$25)*MAX(0,1-INDEX(配置与结果!$I$15:$I$18,F376))</f>
        <v>1000</v>
      </c>
      <c r="AF376" s="1">
        <f>方案参数!$BT$13*IF(H376=1,1,IF(H376=2,1.5,2.5))</f>
        <v>1.4</v>
      </c>
      <c r="AG376" s="1">
        <f>MAX(配置与结果!$B$32,1+INDEX(配置与结果!$F$15:$F$18,F376)+0+Q376*方案参数!$W$13+Y376*(方案参数!$AN$13+MIN(方案参数!$AO$13,P376*0.03))+AB376*方案参数!$BZ$13*0.025-配置与结果!$B$28)</f>
        <v>0.96499999999999997</v>
      </c>
      <c r="AH376" s="1">
        <f>MAX(0,1+INDEX(配置与结果!$G$15:$G$18,F376)+W376*方案参数!$AG$13)</f>
        <v>1.3</v>
      </c>
      <c r="AI376" s="1">
        <f>IF(OR(INDEX(配置与结果!$K$15:$K$18,F376)=1,G376="RHI_BERRY"),1+配置与结果!$B$33+P376*方案参数!$AH$13,1)</f>
        <v>1</v>
      </c>
      <c r="AJ376" s="1">
        <f>MIN(1,MAX(0,J376+方案参数!$AB$13-配置与结果!$B$27))</f>
        <v>1</v>
      </c>
      <c r="AK376" s="1">
        <f>MAX(1,K376+IF(F376=2,0.15+方案参数!$CH$13,0)+BN376*方案参数!$X$13+R376*方案参数!$AA$13+0-配置与结果!$B$26+Z376*(方案参数!$AP$13+MIN(方案参数!$AQ$13,P376*0.03)))</f>
        <v>2.278</v>
      </c>
      <c r="AL376" s="7">
        <f>ROUNDDOWN(MAX(AD376*配置与结果!$B$31,AD376-AE376)*AF376*AG376*AH376*AI376,0)</f>
        <v>2711</v>
      </c>
      <c r="AM376" s="7">
        <f>ROUNDDOWN(MAX(AD376*配置与结果!$B$31,AD376-AE376)*AF376*AG376*AH376*AI376*AK376,0)</f>
        <v>6177</v>
      </c>
      <c r="AN376" s="7">
        <f t="shared" si="458"/>
        <v>6177</v>
      </c>
      <c r="AO376" s="7">
        <f>方案参数!$BU$13*IF(H376=1,1,IF(H376=2,1.5,2.5))</f>
        <v>0.8</v>
      </c>
      <c r="AP376" s="7">
        <f>MAX(0,1+INDEX(配置与结果!$J$15:$J$18,F376)+IF(T376&gt;0,方案参数!$BY$13,0)-配置与结果!$B$30)</f>
        <v>1</v>
      </c>
      <c r="AQ376" s="7">
        <f t="shared" si="459"/>
        <v>2035</v>
      </c>
      <c r="AR376" s="7">
        <f t="shared" si="460"/>
        <v>4635</v>
      </c>
      <c r="AS376" s="7">
        <f t="shared" si="461"/>
        <v>4635</v>
      </c>
      <c r="AT376" s="7">
        <f>0</f>
        <v>0</v>
      </c>
      <c r="AU376" s="7">
        <f t="shared" si="462"/>
        <v>10812</v>
      </c>
      <c r="AV376" s="1">
        <f t="shared" si="463"/>
        <v>1</v>
      </c>
      <c r="AW376" s="1">
        <f t="shared" si="539"/>
        <v>8</v>
      </c>
      <c r="AX376" s="1">
        <f t="shared" si="464"/>
        <v>0</v>
      </c>
      <c r="AY376" s="1">
        <f t="shared" si="533"/>
        <v>6</v>
      </c>
      <c r="AZ376" s="1">
        <f t="shared" si="465"/>
        <v>5</v>
      </c>
      <c r="BA376" s="1">
        <f>MIN(6,Q376+0)</f>
        <v>3</v>
      </c>
      <c r="BB376" s="1">
        <f t="shared" si="526"/>
        <v>5</v>
      </c>
      <c r="BC376" s="1">
        <f t="shared" ref="BC376:BC382" si="540">MIN(3,S376+0)</f>
        <v>2</v>
      </c>
      <c r="BD376" s="1">
        <f t="shared" si="534"/>
        <v>0</v>
      </c>
      <c r="BE376" s="1">
        <f t="shared" si="527"/>
        <v>0</v>
      </c>
      <c r="BF376" s="1">
        <f>MIN(4,V376+0)</f>
        <v>1</v>
      </c>
      <c r="BG376" s="1">
        <f t="shared" si="531"/>
        <v>1</v>
      </c>
      <c r="BH376" s="1">
        <f t="shared" si="528"/>
        <v>1</v>
      </c>
      <c r="BI376" s="1">
        <f t="shared" si="532"/>
        <v>1</v>
      </c>
      <c r="BJ376" s="1">
        <f t="shared" si="538"/>
        <v>1</v>
      </c>
      <c r="BK376" s="1">
        <f t="shared" si="538"/>
        <v>1</v>
      </c>
      <c r="BL376" s="1">
        <f t="shared" si="508"/>
        <v>0</v>
      </c>
      <c r="BM376" s="1">
        <f t="shared" si="506"/>
        <v>0</v>
      </c>
      <c r="BN376" s="1">
        <f t="shared" si="529"/>
        <v>1</v>
      </c>
      <c r="BO376" s="1">
        <f t="shared" si="530"/>
        <v>1</v>
      </c>
    </row>
    <row r="377" spans="1:67" ht="30.95" customHeight="1">
      <c r="A377" s="1">
        <f>10</f>
        <v>10</v>
      </c>
      <c r="B377" s="1">
        <f>固定流程!A17</f>
        <v>12</v>
      </c>
      <c r="C377" s="1">
        <f>13</f>
        <v>13</v>
      </c>
      <c r="D377" s="1">
        <f>1</f>
        <v>1</v>
      </c>
      <c r="E377" s="1">
        <f>固定流程!C17</f>
        <v>2</v>
      </c>
      <c r="F377" s="1">
        <f>固定流程!G17</f>
        <v>2</v>
      </c>
      <c r="G377" s="1" t="str">
        <f>固定流程!H17</f>
        <v>37_FOLLOW</v>
      </c>
      <c r="H377" s="1">
        <f>固定流程!F17</f>
        <v>1</v>
      </c>
      <c r="I377" s="1">
        <f>INDEX(配置与结果!$B$15:$B$18,F377)</f>
        <v>2306</v>
      </c>
      <c r="J377" s="1">
        <f>INDEX(配置与结果!$D$15:$D$18,F377)</f>
        <v>0.46</v>
      </c>
      <c r="K377" s="1">
        <f>INDEX(配置与结果!$E$15:$E$18,F377)</f>
        <v>1.9279999999999999</v>
      </c>
      <c r="L377" s="1">
        <f t="shared" si="536"/>
        <v>1</v>
      </c>
      <c r="M377" s="1">
        <f t="shared" si="536"/>
        <v>8</v>
      </c>
      <c r="N377" s="1">
        <f t="shared" si="536"/>
        <v>0</v>
      </c>
      <c r="O377" s="1">
        <f t="shared" si="535"/>
        <v>6</v>
      </c>
      <c r="P377" s="1">
        <f>MIN(方案参数!$AI$13,AZ376+0+0)</f>
        <v>5</v>
      </c>
      <c r="Q377" s="1">
        <f t="shared" si="513"/>
        <v>3</v>
      </c>
      <c r="R377" s="1">
        <f t="shared" si="514"/>
        <v>5</v>
      </c>
      <c r="S377" s="1">
        <f t="shared" si="515"/>
        <v>2</v>
      </c>
      <c r="T377" s="1">
        <f t="shared" si="516"/>
        <v>0</v>
      </c>
      <c r="U377" s="1">
        <f t="shared" si="517"/>
        <v>0</v>
      </c>
      <c r="V377" s="1">
        <f t="shared" si="518"/>
        <v>1</v>
      </c>
      <c r="W377" s="1">
        <f t="shared" si="519"/>
        <v>1</v>
      </c>
      <c r="X377" s="1">
        <f t="shared" si="520"/>
        <v>1</v>
      </c>
      <c r="Y377" s="1">
        <f t="shared" si="521"/>
        <v>1</v>
      </c>
      <c r="Z377" s="1">
        <f t="shared" si="522"/>
        <v>1</v>
      </c>
      <c r="AA377" s="1">
        <f t="shared" si="537"/>
        <v>1</v>
      </c>
      <c r="AB377" s="1">
        <f t="shared" si="524"/>
        <v>0</v>
      </c>
      <c r="AC377" s="1">
        <f t="shared" si="525"/>
        <v>0</v>
      </c>
      <c r="AD377" s="1">
        <f>ROUNDDOWN(I377*(1+IF(F377=3,0.05+方案参数!$Y$13+AA377*0.12,IF(F377=4,方案参数!$BZ$13*方案参数!$AS$13,0)))+IF(AND(X377=1,F377&lt;&gt;3),方案参数!$CC$13,0)+AC377*方案参数!$CB$13,0)</f>
        <v>2544</v>
      </c>
      <c r="AE377" s="1">
        <f>IF(OR(F377=1,F377=4),配置与结果!$B$24,配置与结果!$B$25)*MAX(0,1-INDEX(配置与结果!$I$15:$I$18,F377))</f>
        <v>1000</v>
      </c>
      <c r="AF377" s="1">
        <f>方案参数!$BV$13</f>
        <v>4.5</v>
      </c>
      <c r="AG377" s="1">
        <f>MAX(配置与结果!$B$32,1+INDEX(配置与结果!$F$15:$F$18,F377)+0+Q377*方案参数!$W$13+Y377*(方案参数!$AN$13+MIN(方案参数!$AO$13,P377*0.03))+AB377*方案参数!$BZ$13*0.025-配置与结果!$B$28)</f>
        <v>0.96499999999999997</v>
      </c>
      <c r="AH377" s="1">
        <f>MAX(0,1+INDEX(配置与结果!$G$15:$G$18,F377)+W377*方案参数!$AG$13)</f>
        <v>1.3</v>
      </c>
      <c r="AI377" s="1">
        <f>IF(OR(INDEX(配置与结果!$K$15:$K$18,F377)=1,G377="RHI_BERRY"),1+配置与结果!$B$33+P377*方案参数!$AH$13,1)</f>
        <v>1</v>
      </c>
      <c r="AJ377" s="1">
        <f>MIN(1,MAX(0,J377+方案参数!$AB$13-配置与结果!$B$27))</f>
        <v>1</v>
      </c>
      <c r="AK377" s="1">
        <f>MAX(1,K377+IF(F377=2,0.15+方案参数!$CH$13,0)+BN377*方案参数!$X$13+R377*方案参数!$AA$13+0-配置与结果!$B$26+Z377*(方案参数!$AP$13+MIN(方案参数!$AQ$13,P377*0.03)))</f>
        <v>2.278</v>
      </c>
      <c r="AL377" s="7">
        <f>ROUNDDOWN(MAX(AD377*配置与结果!$B$31,AD377-AE377)*AF377*AG377*AH377*AI377,0)</f>
        <v>8716</v>
      </c>
      <c r="AM377" s="7">
        <f>ROUNDDOWN(MAX(AD377*配置与结果!$B$31,AD377-AE377)*AF377*AG377*AH377*AI377*AK377,0)</f>
        <v>19855</v>
      </c>
      <c r="AN377" s="7">
        <f t="shared" si="458"/>
        <v>19855</v>
      </c>
      <c r="AO377" s="7">
        <f>方案参数!$BW$13</f>
        <v>1.5</v>
      </c>
      <c r="AP377" s="7">
        <f>MAX(0,1+INDEX(配置与结果!$J$15:$J$18,F377)+IF(T377&gt;0,方案参数!$BY$13,0)-配置与结果!$B$30)</f>
        <v>1</v>
      </c>
      <c r="AQ377" s="7">
        <f t="shared" si="459"/>
        <v>3816</v>
      </c>
      <c r="AR377" s="7">
        <f t="shared" si="460"/>
        <v>8692</v>
      </c>
      <c r="AS377" s="7">
        <f t="shared" si="461"/>
        <v>8692</v>
      </c>
      <c r="AT377" s="7">
        <f>0</f>
        <v>0</v>
      </c>
      <c r="AU377" s="7">
        <f t="shared" si="462"/>
        <v>28547</v>
      </c>
      <c r="AV377" s="1">
        <f t="shared" si="463"/>
        <v>1</v>
      </c>
      <c r="AW377" s="1">
        <f t="shared" si="539"/>
        <v>8</v>
      </c>
      <c r="AX377" s="1">
        <f t="shared" si="464"/>
        <v>0</v>
      </c>
      <c r="AY377" s="1">
        <f t="shared" si="533"/>
        <v>6</v>
      </c>
      <c r="AZ377" s="1">
        <f t="shared" si="465"/>
        <v>5</v>
      </c>
      <c r="BA377" s="1">
        <f>MIN(6,Q377+0)</f>
        <v>3</v>
      </c>
      <c r="BB377" s="1">
        <f t="shared" si="526"/>
        <v>5</v>
      </c>
      <c r="BC377" s="1">
        <f t="shared" si="540"/>
        <v>2</v>
      </c>
      <c r="BD377" s="1">
        <f t="shared" si="534"/>
        <v>0</v>
      </c>
      <c r="BE377" s="1">
        <f t="shared" si="527"/>
        <v>0</v>
      </c>
      <c r="BF377" s="1">
        <f>MIN(4,V377+1)</f>
        <v>2</v>
      </c>
      <c r="BG377" s="1">
        <f t="shared" si="531"/>
        <v>1</v>
      </c>
      <c r="BH377" s="1">
        <f t="shared" si="528"/>
        <v>1</v>
      </c>
      <c r="BI377" s="1">
        <f t="shared" si="532"/>
        <v>1</v>
      </c>
      <c r="BJ377" s="1">
        <f t="shared" si="538"/>
        <v>1</v>
      </c>
      <c r="BK377" s="1">
        <f t="shared" si="538"/>
        <v>1</v>
      </c>
      <c r="BL377" s="1">
        <f t="shared" si="508"/>
        <v>0</v>
      </c>
      <c r="BM377" s="1">
        <f t="shared" si="506"/>
        <v>0</v>
      </c>
      <c r="BN377" s="1">
        <f t="shared" si="529"/>
        <v>1</v>
      </c>
      <c r="BO377" s="1">
        <f t="shared" si="530"/>
        <v>1</v>
      </c>
    </row>
    <row r="378" spans="1:67" ht="30.95" customHeight="1">
      <c r="A378" s="1">
        <f>10</f>
        <v>10</v>
      </c>
      <c r="B378" s="1">
        <f>固定流程!A18</f>
        <v>13</v>
      </c>
      <c r="C378" s="1">
        <f>13</f>
        <v>13</v>
      </c>
      <c r="D378" s="1">
        <f>1</f>
        <v>1</v>
      </c>
      <c r="E378" s="1">
        <f>固定流程!C18</f>
        <v>2</v>
      </c>
      <c r="F378" s="1">
        <f>固定流程!G18</f>
        <v>3</v>
      </c>
      <c r="G378" s="1" t="str">
        <f>固定流程!H18</f>
        <v>RHI_BERRY</v>
      </c>
      <c r="H378" s="1">
        <f>固定流程!F18</f>
        <v>1</v>
      </c>
      <c r="I378" s="1">
        <f>INDEX(配置与结果!$B$15:$B$18,F378)</f>
        <v>2597</v>
      </c>
      <c r="J378" s="1">
        <f>INDEX(配置与结果!$D$15:$D$18,F378)</f>
        <v>0.255</v>
      </c>
      <c r="K378" s="1">
        <f>INDEX(配置与结果!$E$15:$E$18,F378)</f>
        <v>1.55</v>
      </c>
      <c r="L378" s="1">
        <f t="shared" si="536"/>
        <v>1</v>
      </c>
      <c r="M378" s="1">
        <f t="shared" si="536"/>
        <v>8</v>
      </c>
      <c r="N378" s="1">
        <f t="shared" si="536"/>
        <v>0</v>
      </c>
      <c r="O378" s="1">
        <f t="shared" si="535"/>
        <v>6</v>
      </c>
      <c r="P378" s="1">
        <f>MIN(方案参数!$AI$13,AZ377+0+0)</f>
        <v>5</v>
      </c>
      <c r="Q378" s="1">
        <f t="shared" si="513"/>
        <v>3</v>
      </c>
      <c r="R378" s="1">
        <f t="shared" si="514"/>
        <v>5</v>
      </c>
      <c r="S378" s="1">
        <f t="shared" si="515"/>
        <v>2</v>
      </c>
      <c r="T378" s="1">
        <f t="shared" si="516"/>
        <v>0</v>
      </c>
      <c r="U378" s="1">
        <f t="shared" si="517"/>
        <v>0</v>
      </c>
      <c r="V378" s="1">
        <f t="shared" si="518"/>
        <v>2</v>
      </c>
      <c r="W378" s="1">
        <f t="shared" si="519"/>
        <v>1</v>
      </c>
      <c r="X378" s="1">
        <f t="shared" si="520"/>
        <v>1</v>
      </c>
      <c r="Y378" s="1">
        <f t="shared" si="521"/>
        <v>1</v>
      </c>
      <c r="Z378" s="1">
        <f t="shared" si="522"/>
        <v>1</v>
      </c>
      <c r="AA378" s="1">
        <f t="shared" si="537"/>
        <v>1</v>
      </c>
      <c r="AB378" s="1">
        <f t="shared" si="524"/>
        <v>0</v>
      </c>
      <c r="AC378" s="1">
        <f t="shared" si="525"/>
        <v>0</v>
      </c>
      <c r="AD378" s="1">
        <f>ROUNDDOWN(I378*(1+IF(F378=3,0.05+方案参数!$Y$13+AA378*0.12,IF(F378=4,方案参数!$BZ$13*方案参数!$AS$13,0)))+IF(AND(X378=1,F378&lt;&gt;3),方案参数!$CC$13,0)+AC378*方案参数!$CB$13,0)</f>
        <v>3298</v>
      </c>
      <c r="AE378" s="1">
        <f>IF(OR(F378=1,F378=4),配置与结果!$B$24,配置与结果!$B$25)*MAX(0,1-INDEX(配置与结果!$I$15:$I$18,F378))</f>
        <v>1000</v>
      </c>
      <c r="AF378" s="1">
        <f>方案参数!$CF$13+P378*方案参数!$CG$13</f>
        <v>22.5</v>
      </c>
      <c r="AG378" s="1">
        <f>MAX(配置与结果!$B$32,1+INDEX(配置与结果!$F$15:$F$18,F378)+0+Q378*方案参数!$W$13+Y378*(方案参数!$AN$13+MIN(方案参数!$AO$13,P378*0.03))+AB378*方案参数!$BZ$13*0.025-配置与结果!$B$28)</f>
        <v>0.995</v>
      </c>
      <c r="AH378" s="1">
        <f>MAX(0,1+INDEX(配置与结果!$G$15:$G$18,F378)+W378*方案参数!$AG$13)</f>
        <v>1.3</v>
      </c>
      <c r="AI378" s="1">
        <f>IF(OR(INDEX(配置与结果!$K$15:$K$18,F378)=1,G378="RHI_BERRY"),1+配置与结果!$B$33+P378*方案参数!$AH$13,1)</f>
        <v>1.5</v>
      </c>
      <c r="AJ378" s="1">
        <f>MIN(1,MAX(0,J378+方案参数!$AB$13-配置与结果!$B$27))</f>
        <v>0.85499999999999998</v>
      </c>
      <c r="AK378" s="1">
        <f>MAX(1,K378+IF(F378=2,0.15+方案参数!$CH$13,0)+BN378*方案参数!$X$13+R378*方案参数!$AA$13+0-配置与结果!$B$26+Z378*(方案参数!$AP$13+MIN(方案参数!$AQ$13,P378*0.03)))</f>
        <v>1.6300000000000001</v>
      </c>
      <c r="AL378" s="7">
        <f>ROUNDDOWN(MAX(AD378*配置与结果!$B$31,AD378-AE378)*AF378*AG378*AH378*AI378,0)</f>
        <v>100320</v>
      </c>
      <c r="AM378" s="7">
        <f>ROUNDDOWN(MAX(AD378*配置与结果!$B$31,AD378-AE378)*AF378*AG378*AH378*AI378*AK378,0)</f>
        <v>163522</v>
      </c>
      <c r="AN378" s="7">
        <f t="shared" si="458"/>
        <v>154357.71</v>
      </c>
      <c r="AO378" s="7">
        <f>0</f>
        <v>0</v>
      </c>
      <c r="AP378" s="7">
        <f>MAX(0,1+INDEX(配置与结果!$J$15:$J$18,F378)+IF(T378&gt;0,方案参数!$BY$13,0)-配置与结果!$B$30)</f>
        <v>1</v>
      </c>
      <c r="AQ378" s="7">
        <f t="shared" si="459"/>
        <v>0</v>
      </c>
      <c r="AR378" s="7">
        <f t="shared" si="460"/>
        <v>0</v>
      </c>
      <c r="AS378" s="7">
        <f t="shared" si="461"/>
        <v>0</v>
      </c>
      <c r="AT378" s="7">
        <f>0</f>
        <v>0</v>
      </c>
      <c r="AU378" s="7">
        <f t="shared" si="462"/>
        <v>154357.71</v>
      </c>
      <c r="AV378" s="1">
        <f t="shared" si="463"/>
        <v>1</v>
      </c>
      <c r="AW378" s="1">
        <f t="shared" si="539"/>
        <v>8</v>
      </c>
      <c r="AX378" s="1">
        <f t="shared" si="464"/>
        <v>0</v>
      </c>
      <c r="AY378" s="1">
        <f t="shared" si="533"/>
        <v>6</v>
      </c>
      <c r="AZ378" s="1">
        <f t="shared" si="465"/>
        <v>5</v>
      </c>
      <c r="BA378" s="1">
        <f>MIN(6,Q378+0)</f>
        <v>3</v>
      </c>
      <c r="BB378" s="1">
        <f t="shared" si="526"/>
        <v>5</v>
      </c>
      <c r="BC378" s="1">
        <f t="shared" si="540"/>
        <v>2</v>
      </c>
      <c r="BD378" s="1">
        <f t="shared" si="534"/>
        <v>0</v>
      </c>
      <c r="BE378" s="1">
        <f t="shared" si="527"/>
        <v>0</v>
      </c>
      <c r="BF378" s="1">
        <f>MIN(4,V378+0)</f>
        <v>2</v>
      </c>
      <c r="BG378" s="1">
        <f t="shared" si="531"/>
        <v>1</v>
      </c>
      <c r="BH378" s="1">
        <f t="shared" si="528"/>
        <v>1</v>
      </c>
      <c r="BI378" s="1">
        <f t="shared" si="532"/>
        <v>1</v>
      </c>
      <c r="BJ378" s="1">
        <f t="shared" si="538"/>
        <v>1</v>
      </c>
      <c r="BK378" s="1">
        <f t="shared" si="538"/>
        <v>1</v>
      </c>
      <c r="BL378" s="1">
        <f t="shared" si="508"/>
        <v>0</v>
      </c>
      <c r="BM378" s="1">
        <f t="shared" si="506"/>
        <v>0</v>
      </c>
      <c r="BN378" s="1">
        <f t="shared" si="529"/>
        <v>1</v>
      </c>
      <c r="BO378" s="1">
        <f t="shared" si="530"/>
        <v>1</v>
      </c>
    </row>
    <row r="379" spans="1:67" ht="30.95" customHeight="1">
      <c r="A379" s="1">
        <f>10</f>
        <v>10</v>
      </c>
      <c r="B379" s="1">
        <f>固定流程!A19</f>
        <v>14</v>
      </c>
      <c r="C379" s="1">
        <f>13</f>
        <v>13</v>
      </c>
      <c r="D379" s="1">
        <f>1</f>
        <v>1</v>
      </c>
      <c r="E379" s="1">
        <f>固定流程!C19</f>
        <v>3</v>
      </c>
      <c r="F379" s="1">
        <f>固定流程!G19</f>
        <v>3</v>
      </c>
      <c r="G379" s="1" t="str">
        <f>固定流程!H19</f>
        <v>RHI_BUFF</v>
      </c>
      <c r="H379" s="1">
        <f>固定流程!F19</f>
        <v>1</v>
      </c>
      <c r="I379" s="1">
        <f>INDEX(配置与结果!$B$15:$B$18,F379)</f>
        <v>2597</v>
      </c>
      <c r="J379" s="1">
        <f>INDEX(配置与结果!$D$15:$D$18,F379)</f>
        <v>0.255</v>
      </c>
      <c r="K379" s="1">
        <f>INDEX(配置与结果!$E$15:$E$18,F379)</f>
        <v>1.55</v>
      </c>
      <c r="L379" s="1">
        <f>IF(AV378=1,IF(M379&gt;=10,2,1),IF(AV378=2,IF(AX378&lt;=1,0,2),0))</f>
        <v>2</v>
      </c>
      <c r="M379" s="1">
        <f>IF(AND(AV378=2,AX378&lt;=1),0,MIN(10,AW378+IF(AV378=1,3,0)))</f>
        <v>10</v>
      </c>
      <c r="N379" s="1">
        <f>IF(AND(AV378=1,M379&gt;=10),2,IF(AV378=2,MAX(0,AX378-1),0))</f>
        <v>2</v>
      </c>
      <c r="O379" s="1">
        <f t="shared" si="535"/>
        <v>6</v>
      </c>
      <c r="P379" s="1">
        <f>MIN(方案参数!$AI$13,AZ378+方案参数!$AJ$13+方案参数!$AK$13)</f>
        <v>5</v>
      </c>
      <c r="Q379" s="1">
        <f t="shared" si="513"/>
        <v>3</v>
      </c>
      <c r="R379" s="1">
        <f t="shared" si="514"/>
        <v>5</v>
      </c>
      <c r="S379" s="1">
        <f t="shared" si="515"/>
        <v>2</v>
      </c>
      <c r="T379" s="1">
        <f t="shared" si="516"/>
        <v>0</v>
      </c>
      <c r="U379" s="1">
        <f t="shared" si="517"/>
        <v>0</v>
      </c>
      <c r="V379" s="1">
        <f t="shared" si="518"/>
        <v>2</v>
      </c>
      <c r="W379" s="1">
        <f t="shared" si="519"/>
        <v>1</v>
      </c>
      <c r="X379" s="1">
        <f t="shared" si="520"/>
        <v>1</v>
      </c>
      <c r="Y379" s="1">
        <f t="shared" si="521"/>
        <v>1</v>
      </c>
      <c r="Z379" s="1">
        <f t="shared" si="522"/>
        <v>1</v>
      </c>
      <c r="AA379" s="1">
        <f t="shared" si="537"/>
        <v>1</v>
      </c>
      <c r="AB379" s="1">
        <f t="shared" si="524"/>
        <v>0</v>
      </c>
      <c r="AC379" s="1">
        <f t="shared" si="525"/>
        <v>0</v>
      </c>
      <c r="AD379" s="1">
        <f>ROUNDDOWN(I379*(1+IF(F379=3,0.05+方案参数!$Y$13+AA379*0.12,IF(F379=4,方案参数!$BZ$13*方案参数!$AS$13,0)))+IF(AND(X379=1,F379&lt;&gt;3),方案参数!$CC$13,0)+AC379*方案参数!$CB$13,0)</f>
        <v>3298</v>
      </c>
      <c r="AE379" s="1">
        <f>IF(OR(F379=1,F379=4),配置与结果!$B$24,配置与结果!$B$25)*MAX(0,1-INDEX(配置与结果!$I$15:$I$18,F379))</f>
        <v>1000</v>
      </c>
      <c r="AF379" s="1">
        <f>0</f>
        <v>0</v>
      </c>
      <c r="AG379" s="1">
        <f>MAX(配置与结果!$B$32,1+INDEX(配置与结果!$F$15:$F$18,F379)+0+Q379*方案参数!$W$13+Y379*(方案参数!$AN$13+MIN(方案参数!$AO$13,P379*0.03))+AB379*方案参数!$BZ$13*0.025-配置与结果!$B$28)</f>
        <v>0.995</v>
      </c>
      <c r="AH379" s="1">
        <f>MAX(0,1+INDEX(配置与结果!$G$15:$G$18,F379)+W379*方案参数!$AG$13)</f>
        <v>1.3</v>
      </c>
      <c r="AI379" s="1">
        <f>IF(OR(INDEX(配置与结果!$K$15:$K$18,F379)=1,G379="RHI_BERRY"),1+配置与结果!$B$33+P379*方案参数!$AH$13,1)</f>
        <v>1</v>
      </c>
      <c r="AJ379" s="1">
        <f>MIN(1,MAX(0,J379+方案参数!$AB$13-配置与结果!$B$27))</f>
        <v>0.85499999999999998</v>
      </c>
      <c r="AK379" s="1">
        <f>MAX(1,K379+IF(F379=2,0.15+方案参数!$CH$13,0)+BN379*方案参数!$X$13+R379*方案参数!$AA$13+0-配置与结果!$B$26+Z379*(方案参数!$AP$13+MIN(方案参数!$AQ$13,P379*0.03)))</f>
        <v>1.6300000000000001</v>
      </c>
      <c r="AL379" s="7">
        <f>ROUNDDOWN(MAX(AD379*配置与结果!$B$31,AD379-AE379)*AF379*AG379*AH379*AI379,0)</f>
        <v>0</v>
      </c>
      <c r="AM379" s="7">
        <f>ROUNDDOWN(MAX(AD379*配置与结果!$B$31,AD379-AE379)*AF379*AG379*AH379*AI379*AK379,0)</f>
        <v>0</v>
      </c>
      <c r="AN379" s="7">
        <f t="shared" si="458"/>
        <v>0</v>
      </c>
      <c r="AO379" s="7">
        <f>0</f>
        <v>0</v>
      </c>
      <c r="AP379" s="7">
        <f>MAX(0,1+INDEX(配置与结果!$J$15:$J$18,F379)+IF(T379&gt;0,方案参数!$BY$13,0)-配置与结果!$B$30)</f>
        <v>1</v>
      </c>
      <c r="AQ379" s="7">
        <f t="shared" si="459"/>
        <v>0</v>
      </c>
      <c r="AR379" s="7">
        <f t="shared" si="460"/>
        <v>0</v>
      </c>
      <c r="AS379" s="7">
        <f t="shared" si="461"/>
        <v>0</v>
      </c>
      <c r="AT379" s="7">
        <f>0</f>
        <v>0</v>
      </c>
      <c r="AU379" s="7">
        <f t="shared" si="462"/>
        <v>0</v>
      </c>
      <c r="AV379" s="1">
        <f t="shared" si="463"/>
        <v>2</v>
      </c>
      <c r="AW379" s="1">
        <f t="shared" si="539"/>
        <v>10</v>
      </c>
      <c r="AX379" s="1">
        <f t="shared" si="464"/>
        <v>2</v>
      </c>
      <c r="AY379" s="1">
        <f t="shared" si="533"/>
        <v>6</v>
      </c>
      <c r="AZ379" s="1">
        <f t="shared" si="465"/>
        <v>5</v>
      </c>
      <c r="BA379" s="1">
        <f>MIN(6,Q379+1)</f>
        <v>4</v>
      </c>
      <c r="BB379" s="1">
        <f t="shared" si="526"/>
        <v>5</v>
      </c>
      <c r="BC379" s="1">
        <f t="shared" si="540"/>
        <v>2</v>
      </c>
      <c r="BD379" s="1">
        <f t="shared" si="534"/>
        <v>0</v>
      </c>
      <c r="BE379" s="1">
        <f t="shared" si="527"/>
        <v>0</v>
      </c>
      <c r="BF379" s="1">
        <f>MIN(4,V379+0)</f>
        <v>2</v>
      </c>
      <c r="BG379" s="1">
        <f>MAX(W379,1)</f>
        <v>1</v>
      </c>
      <c r="BH379" s="1">
        <f t="shared" si="528"/>
        <v>1</v>
      </c>
      <c r="BI379" s="1">
        <f>MAX(Y379,1)</f>
        <v>1</v>
      </c>
      <c r="BJ379" s="1">
        <f t="shared" si="538"/>
        <v>1</v>
      </c>
      <c r="BK379" s="1">
        <f t="shared" si="538"/>
        <v>1</v>
      </c>
      <c r="BL379" s="1">
        <f t="shared" si="508"/>
        <v>0</v>
      </c>
      <c r="BM379" s="1">
        <f t="shared" si="506"/>
        <v>0</v>
      </c>
      <c r="BN379" s="1">
        <f t="shared" si="529"/>
        <v>1</v>
      </c>
      <c r="BO379" s="1">
        <f t="shared" si="530"/>
        <v>1</v>
      </c>
    </row>
    <row r="380" spans="1:67" ht="30.95" customHeight="1">
      <c r="A380" s="1">
        <f>10</f>
        <v>10</v>
      </c>
      <c r="B380" s="1">
        <f>固定流程!A20</f>
        <v>15</v>
      </c>
      <c r="C380" s="1">
        <f>13</f>
        <v>13</v>
      </c>
      <c r="D380" s="1">
        <f>1</f>
        <v>1</v>
      </c>
      <c r="E380" s="1">
        <f>固定流程!C20</f>
        <v>3</v>
      </c>
      <c r="F380" s="1">
        <f>固定流程!G20</f>
        <v>3</v>
      </c>
      <c r="G380" s="1" t="str">
        <f>固定流程!H20</f>
        <v>RHI_ATTACK</v>
      </c>
      <c r="H380" s="1">
        <f>固定流程!F20</f>
        <v>1</v>
      </c>
      <c r="I380" s="1">
        <f>INDEX(配置与结果!$B$15:$B$18,F380)</f>
        <v>2597</v>
      </c>
      <c r="J380" s="1">
        <f>INDEX(配置与结果!$D$15:$D$18,F380)</f>
        <v>0.255</v>
      </c>
      <c r="K380" s="1">
        <f>INDEX(配置与结果!$E$15:$E$18,F380)</f>
        <v>1.55</v>
      </c>
      <c r="L380" s="1">
        <f t="shared" ref="L380:L401" si="541">AV379</f>
        <v>2</v>
      </c>
      <c r="M380" s="1">
        <f t="shared" ref="M380:M401" si="542">AW379</f>
        <v>10</v>
      </c>
      <c r="N380" s="1">
        <f t="shared" ref="N380:N401" si="543">AX379</f>
        <v>2</v>
      </c>
      <c r="O380" s="1">
        <f t="shared" si="535"/>
        <v>6</v>
      </c>
      <c r="P380" s="1">
        <f>MIN(方案参数!$AI$13,AZ379+0+方案参数!$AK$13)</f>
        <v>5</v>
      </c>
      <c r="Q380" s="1">
        <f t="shared" si="513"/>
        <v>4</v>
      </c>
      <c r="R380" s="1">
        <f t="shared" si="514"/>
        <v>5</v>
      </c>
      <c r="S380" s="1">
        <f t="shared" si="515"/>
        <v>2</v>
      </c>
      <c r="T380" s="1">
        <f t="shared" si="516"/>
        <v>0</v>
      </c>
      <c r="U380" s="1">
        <f t="shared" si="517"/>
        <v>0</v>
      </c>
      <c r="V380" s="1">
        <f t="shared" si="518"/>
        <v>2</v>
      </c>
      <c r="W380" s="1">
        <f t="shared" si="519"/>
        <v>1</v>
      </c>
      <c r="X380" s="1">
        <f t="shared" si="520"/>
        <v>1</v>
      </c>
      <c r="Y380" s="1">
        <f t="shared" si="521"/>
        <v>1</v>
      </c>
      <c r="Z380" s="1">
        <f t="shared" si="522"/>
        <v>1</v>
      </c>
      <c r="AA380" s="1">
        <f>MAX(BK379,1)</f>
        <v>1</v>
      </c>
      <c r="AB380" s="1">
        <f t="shared" si="524"/>
        <v>0</v>
      </c>
      <c r="AC380" s="1">
        <f t="shared" si="525"/>
        <v>0</v>
      </c>
      <c r="AD380" s="1">
        <f>ROUNDDOWN(I380*(1+IF(F380=3,0.05+方案参数!$Y$13+AA380*0.12,IF(F380=4,方案参数!$BZ$13*方案参数!$AS$13,0)))+IF(AND(X380=1,F380&lt;&gt;3),方案参数!$CC$13,0)+AC380*方案参数!$CB$13,0)</f>
        <v>3298</v>
      </c>
      <c r="AE380" s="1">
        <f>IF(OR(F380=1,F380=4),配置与结果!$B$24,配置与结果!$B$25)*MAX(0,1-INDEX(配置与结果!$I$15:$I$18,F380))</f>
        <v>1000</v>
      </c>
      <c r="AF380" s="1">
        <f>4</f>
        <v>4</v>
      </c>
      <c r="AG380" s="1">
        <f>MAX(配置与结果!$B$32,1+INDEX(配置与结果!$F$15:$F$18,F380)+0+Q380*方案参数!$W$13+Y380*(方案参数!$AN$13+MIN(方案参数!$AO$13,P380*0.03))+AB380*方案参数!$BZ$13*0.025-配置与结果!$B$28)</f>
        <v>1.0150000000000001</v>
      </c>
      <c r="AH380" s="1">
        <f>MAX(0,1+INDEX(配置与结果!$G$15:$G$18,F380)+W380*方案参数!$AG$13)</f>
        <v>1.3</v>
      </c>
      <c r="AI380" s="1">
        <f>IF(OR(INDEX(配置与结果!$K$15:$K$18,F380)=1,G380="RHI_BERRY"),1+配置与结果!$B$33+P380*方案参数!$AH$13,1)</f>
        <v>1</v>
      </c>
      <c r="AJ380" s="1">
        <f>MIN(1,MAX(0,J380+方案参数!$AB$13-配置与结果!$B$27))</f>
        <v>0.85499999999999998</v>
      </c>
      <c r="AK380" s="1">
        <f>MAX(1,K380+IF(F380=2,0.15+方案参数!$CH$13,0)+BN380*方案参数!$X$13+R380*方案参数!$AA$13+0-配置与结果!$B$26+Z380*(方案参数!$AP$13+MIN(方案参数!$AQ$13,P380*0.03)))</f>
        <v>1.6300000000000001</v>
      </c>
      <c r="AL380" s="7">
        <f>ROUNDDOWN(MAX(AD380*配置与结果!$B$31,AD380-AE380)*AF380*AG380*AH380*AI380,0)</f>
        <v>12128</v>
      </c>
      <c r="AM380" s="7">
        <f>ROUNDDOWN(MAX(AD380*配置与结果!$B$31,AD380-AE380)*AF380*AG380*AH380*AI380*AK380,0)</f>
        <v>19770</v>
      </c>
      <c r="AN380" s="7">
        <f t="shared" si="458"/>
        <v>18661.91</v>
      </c>
      <c r="AO380" s="7">
        <f>0</f>
        <v>0</v>
      </c>
      <c r="AP380" s="7">
        <f>MAX(0,1+INDEX(配置与结果!$J$15:$J$18,F380)+IF(T380&gt;0,方案参数!$BY$13,0)-配置与结果!$B$30)</f>
        <v>1</v>
      </c>
      <c r="AQ380" s="7">
        <f t="shared" si="459"/>
        <v>0</v>
      </c>
      <c r="AR380" s="7">
        <f t="shared" si="460"/>
        <v>0</v>
      </c>
      <c r="AS380" s="7">
        <f t="shared" si="461"/>
        <v>0</v>
      </c>
      <c r="AT380" s="7">
        <f>0</f>
        <v>0</v>
      </c>
      <c r="AU380" s="7">
        <f t="shared" si="462"/>
        <v>18661.91</v>
      </c>
      <c r="AV380" s="1">
        <f t="shared" si="463"/>
        <v>2</v>
      </c>
      <c r="AW380" s="1">
        <f t="shared" si="539"/>
        <v>10</v>
      </c>
      <c r="AX380" s="1">
        <f t="shared" si="464"/>
        <v>2</v>
      </c>
      <c r="AY380" s="1">
        <f t="shared" si="533"/>
        <v>6</v>
      </c>
      <c r="AZ380" s="1">
        <f t="shared" si="465"/>
        <v>5</v>
      </c>
      <c r="BA380" s="1">
        <f>MIN(6,Q380+1)</f>
        <v>5</v>
      </c>
      <c r="BB380" s="1">
        <f t="shared" si="526"/>
        <v>5</v>
      </c>
      <c r="BC380" s="1">
        <f t="shared" si="540"/>
        <v>2</v>
      </c>
      <c r="BD380" s="1">
        <f t="shared" si="534"/>
        <v>0</v>
      </c>
      <c r="BE380" s="1">
        <f t="shared" si="527"/>
        <v>0</v>
      </c>
      <c r="BF380" s="1">
        <f>MIN(4,V380+0)</f>
        <v>2</v>
      </c>
      <c r="BG380" s="1">
        <f t="shared" ref="BG380:BG402" si="544">MAX(W380,0)</f>
        <v>1</v>
      </c>
      <c r="BH380" s="1">
        <f t="shared" si="528"/>
        <v>1</v>
      </c>
      <c r="BI380" s="1">
        <f t="shared" ref="BI380:BI402" si="545">MAX(Y380,0)</f>
        <v>1</v>
      </c>
      <c r="BJ380" s="1">
        <f>MAX(Z380,1)</f>
        <v>1</v>
      </c>
      <c r="BK380" s="1">
        <f>MAX(AA380,1)</f>
        <v>1</v>
      </c>
      <c r="BL380" s="1">
        <f t="shared" si="508"/>
        <v>0</v>
      </c>
      <c r="BM380" s="1">
        <f t="shared" si="506"/>
        <v>0</v>
      </c>
      <c r="BN380" s="1">
        <f t="shared" si="529"/>
        <v>1</v>
      </c>
      <c r="BO380" s="1">
        <f t="shared" si="530"/>
        <v>1</v>
      </c>
    </row>
    <row r="381" spans="1:67" ht="30.95" customHeight="1">
      <c r="A381" s="1">
        <f>10</f>
        <v>10</v>
      </c>
      <c r="B381" s="1">
        <f>固定流程!A21</f>
        <v>16</v>
      </c>
      <c r="C381" s="1">
        <f>13</f>
        <v>13</v>
      </c>
      <c r="D381" s="1">
        <f>1</f>
        <v>1</v>
      </c>
      <c r="E381" s="1">
        <f>固定流程!C21</f>
        <v>3</v>
      </c>
      <c r="F381" s="1">
        <f>固定流程!G21</f>
        <v>2</v>
      </c>
      <c r="G381" s="1" t="str">
        <f>固定流程!H21</f>
        <v>37_ULT</v>
      </c>
      <c r="H381" s="1">
        <f>固定流程!F21</f>
        <v>1</v>
      </c>
      <c r="I381" s="1">
        <f>INDEX(配置与结果!$B$15:$B$18,F381)</f>
        <v>2306</v>
      </c>
      <c r="J381" s="1">
        <f>INDEX(配置与结果!$D$15:$D$18,F381)</f>
        <v>0.46</v>
      </c>
      <c r="K381" s="1">
        <f>INDEX(配置与结果!$E$15:$E$18,F381)</f>
        <v>1.9279999999999999</v>
      </c>
      <c r="L381" s="1">
        <f t="shared" si="541"/>
        <v>2</v>
      </c>
      <c r="M381" s="1">
        <f t="shared" si="542"/>
        <v>10</v>
      </c>
      <c r="N381" s="1">
        <f t="shared" si="543"/>
        <v>2</v>
      </c>
      <c r="O381" s="1">
        <f t="shared" si="535"/>
        <v>6</v>
      </c>
      <c r="P381" s="1">
        <f>MIN(方案参数!$AI$13,AZ380+0+0)</f>
        <v>5</v>
      </c>
      <c r="Q381" s="1">
        <f t="shared" si="513"/>
        <v>5</v>
      </c>
      <c r="R381" s="1">
        <f t="shared" si="514"/>
        <v>5</v>
      </c>
      <c r="S381" s="1">
        <f t="shared" si="515"/>
        <v>2</v>
      </c>
      <c r="T381" s="1">
        <f>BD380+方案参数!$BX$13</f>
        <v>2</v>
      </c>
      <c r="U381" s="1">
        <f t="shared" si="517"/>
        <v>0</v>
      </c>
      <c r="V381" s="1">
        <f t="shared" si="518"/>
        <v>2</v>
      </c>
      <c r="W381" s="1">
        <f t="shared" si="519"/>
        <v>1</v>
      </c>
      <c r="X381" s="1">
        <f t="shared" si="520"/>
        <v>1</v>
      </c>
      <c r="Y381" s="1">
        <f t="shared" si="521"/>
        <v>1</v>
      </c>
      <c r="Z381" s="1">
        <f t="shared" si="522"/>
        <v>1</v>
      </c>
      <c r="AA381" s="1">
        <f t="shared" ref="AA381:AA401" si="546">MAX(BK380,0)</f>
        <v>1</v>
      </c>
      <c r="AB381" s="1">
        <f t="shared" si="524"/>
        <v>0</v>
      </c>
      <c r="AC381" s="1">
        <f>MAX(BM380,1)</f>
        <v>1</v>
      </c>
      <c r="AD381" s="1">
        <f>ROUNDDOWN(I381*(1+IF(F381=3,0.05+方案参数!$Y$13+AA381*0.12,IF(F381=4,方案参数!$BZ$13*方案参数!$AS$13,0)))+IF(AND(X381=1,F381&lt;&gt;3),方案参数!$CC$13,0)+AC381*方案参数!$CB$13,0)</f>
        <v>3044</v>
      </c>
      <c r="AE381" s="1">
        <f>IF(OR(F381=1,F381=4),配置与结果!$B$24,配置与结果!$B$25)*MAX(0,1-INDEX(配置与结果!$I$15:$I$18,F381))</f>
        <v>1000</v>
      </c>
      <c r="AF381" s="1">
        <f>0</f>
        <v>0</v>
      </c>
      <c r="AG381" s="1">
        <f>MAX(配置与结果!$B$32,1+INDEX(配置与结果!$F$15:$F$18,F381)+0+Q381*方案参数!$W$13+Y381*(方案参数!$AN$13+MIN(方案参数!$AO$13,P381*0.03))+AB381*方案参数!$BZ$13*0.025-配置与结果!$B$28)</f>
        <v>1.0049999999999999</v>
      </c>
      <c r="AH381" s="1">
        <f>MAX(0,1+INDEX(配置与结果!$G$15:$G$18,F381)+W381*方案参数!$AG$13)</f>
        <v>1.3</v>
      </c>
      <c r="AI381" s="1">
        <f>IF(OR(INDEX(配置与结果!$K$15:$K$18,F381)=1,G381="RHI_BERRY"),1+配置与结果!$B$33+P381*方案参数!$AH$13,1)</f>
        <v>1</v>
      </c>
      <c r="AJ381" s="1">
        <f>MIN(1,MAX(0,J381+方案参数!$AB$13-配置与结果!$B$27))</f>
        <v>1</v>
      </c>
      <c r="AK381" s="1">
        <f>MAX(1,K381+IF(F381=2,0.15+方案参数!$CH$13,0)+BN381*方案参数!$X$13+R381*方案参数!$AA$13+0-配置与结果!$B$26+Z381*(方案参数!$AP$13+MIN(方案参数!$AQ$13,P381*0.03)))</f>
        <v>2.278</v>
      </c>
      <c r="AL381" s="7">
        <f>ROUNDDOWN(MAX(AD381*配置与结果!$B$31,AD381-AE381)*AF381*AG381*AH381*AI381,0)</f>
        <v>0</v>
      </c>
      <c r="AM381" s="7">
        <f>ROUNDDOWN(MAX(AD381*配置与结果!$B$31,AD381-AE381)*AF381*AG381*AH381*AI381*AK381,0)</f>
        <v>0</v>
      </c>
      <c r="AN381" s="7">
        <f t="shared" si="458"/>
        <v>0</v>
      </c>
      <c r="AO381" s="7">
        <f>0</f>
        <v>0</v>
      </c>
      <c r="AP381" s="7">
        <f>MAX(0,1+INDEX(配置与结果!$J$15:$J$18,F381)+IF(T381&gt;0,方案参数!$BY$13,0)-配置与结果!$B$30)</f>
        <v>2</v>
      </c>
      <c r="AQ381" s="7">
        <f t="shared" si="459"/>
        <v>0</v>
      </c>
      <c r="AR381" s="7">
        <f t="shared" si="460"/>
        <v>0</v>
      </c>
      <c r="AS381" s="7">
        <f t="shared" si="461"/>
        <v>0</v>
      </c>
      <c r="AT381" s="7">
        <f>0</f>
        <v>0</v>
      </c>
      <c r="AU381" s="7">
        <f t="shared" si="462"/>
        <v>0</v>
      </c>
      <c r="AV381" s="1">
        <f t="shared" si="463"/>
        <v>2</v>
      </c>
      <c r="AW381" s="1">
        <f t="shared" si="539"/>
        <v>10</v>
      </c>
      <c r="AX381" s="1">
        <f t="shared" si="464"/>
        <v>2</v>
      </c>
      <c r="AY381" s="1">
        <f t="shared" si="533"/>
        <v>6</v>
      </c>
      <c r="AZ381" s="1">
        <f t="shared" si="465"/>
        <v>5</v>
      </c>
      <c r="BA381" s="1">
        <f t="shared" ref="BA381:BA401" si="547">MIN(6,Q381+0)</f>
        <v>5</v>
      </c>
      <c r="BB381" s="1">
        <f>MIN(30,R381+5)</f>
        <v>10</v>
      </c>
      <c r="BC381" s="1">
        <f t="shared" si="540"/>
        <v>2</v>
      </c>
      <c r="BD381" s="1">
        <f t="shared" si="534"/>
        <v>2</v>
      </c>
      <c r="BE381" s="1">
        <f t="shared" si="527"/>
        <v>0</v>
      </c>
      <c r="BF381" s="1">
        <f>MIN(4,V381+0)</f>
        <v>2</v>
      </c>
      <c r="BG381" s="1">
        <f t="shared" si="544"/>
        <v>1</v>
      </c>
      <c r="BH381" s="1">
        <f t="shared" si="528"/>
        <v>1</v>
      </c>
      <c r="BI381" s="1">
        <f t="shared" si="545"/>
        <v>1</v>
      </c>
      <c r="BJ381" s="1">
        <f t="shared" ref="BJ381:BJ408" si="548">MAX(Z381,0)</f>
        <v>1</v>
      </c>
      <c r="BK381" s="1">
        <f t="shared" ref="BK381:BK408" si="549">MAX(AA381,0)</f>
        <v>1</v>
      </c>
      <c r="BL381" s="1">
        <f t="shared" si="508"/>
        <v>0</v>
      </c>
      <c r="BM381" s="1">
        <f>MAX(AC381,1)</f>
        <v>1</v>
      </c>
      <c r="BN381" s="1">
        <f t="shared" si="529"/>
        <v>1</v>
      </c>
      <c r="BO381" s="1">
        <f t="shared" si="530"/>
        <v>1</v>
      </c>
    </row>
    <row r="382" spans="1:67" ht="30.95" customHeight="1">
      <c r="A382" s="1">
        <f>10</f>
        <v>10</v>
      </c>
      <c r="B382" s="1">
        <f>固定流程!A22</f>
        <v>17</v>
      </c>
      <c r="C382" s="1">
        <f>13</f>
        <v>13</v>
      </c>
      <c r="D382" s="1">
        <f>1</f>
        <v>1</v>
      </c>
      <c r="E382" s="1">
        <f>固定流程!C22</f>
        <v>3</v>
      </c>
      <c r="F382" s="1">
        <f>固定流程!G22</f>
        <v>2</v>
      </c>
      <c r="G382" s="1" t="str">
        <f>固定流程!H22</f>
        <v>37_FOLLOW</v>
      </c>
      <c r="H382" s="1">
        <f>固定流程!F22</f>
        <v>1</v>
      </c>
      <c r="I382" s="1">
        <f>INDEX(配置与结果!$B$15:$B$18,F382)</f>
        <v>2306</v>
      </c>
      <c r="J382" s="1">
        <f>INDEX(配置与结果!$D$15:$D$18,F382)</f>
        <v>0.46</v>
      </c>
      <c r="K382" s="1">
        <f>INDEX(配置与结果!$E$15:$E$18,F382)</f>
        <v>1.9279999999999999</v>
      </c>
      <c r="L382" s="1">
        <f t="shared" si="541"/>
        <v>2</v>
      </c>
      <c r="M382" s="1">
        <f t="shared" si="542"/>
        <v>10</v>
      </c>
      <c r="N382" s="1">
        <f t="shared" si="543"/>
        <v>2</v>
      </c>
      <c r="O382" s="1">
        <f t="shared" si="535"/>
        <v>6</v>
      </c>
      <c r="P382" s="1">
        <f>MIN(方案参数!$AI$13,AZ381+0+0)</f>
        <v>5</v>
      </c>
      <c r="Q382" s="1">
        <f t="shared" si="513"/>
        <v>5</v>
      </c>
      <c r="R382" s="1">
        <f t="shared" si="514"/>
        <v>10</v>
      </c>
      <c r="S382" s="1">
        <f t="shared" si="515"/>
        <v>2</v>
      </c>
      <c r="T382" s="1">
        <f t="shared" ref="T382:T401" si="550">BD381+0</f>
        <v>2</v>
      </c>
      <c r="U382" s="1">
        <f t="shared" si="517"/>
        <v>0</v>
      </c>
      <c r="V382" s="1">
        <f t="shared" si="518"/>
        <v>2</v>
      </c>
      <c r="W382" s="1">
        <f t="shared" si="519"/>
        <v>1</v>
      </c>
      <c r="X382" s="1">
        <f t="shared" si="520"/>
        <v>1</v>
      </c>
      <c r="Y382" s="1">
        <f t="shared" si="521"/>
        <v>1</v>
      </c>
      <c r="Z382" s="1">
        <f t="shared" si="522"/>
        <v>1</v>
      </c>
      <c r="AA382" s="1">
        <f t="shared" si="546"/>
        <v>1</v>
      </c>
      <c r="AB382" s="1">
        <f t="shared" si="524"/>
        <v>0</v>
      </c>
      <c r="AC382" s="1">
        <f t="shared" ref="AC382:AC401" si="551">MAX(BM381,0)</f>
        <v>1</v>
      </c>
      <c r="AD382" s="1">
        <f>ROUNDDOWN(I382*(1+IF(F382=3,0.05+方案参数!$Y$13+AA382*0.12,IF(F382=4,方案参数!$BZ$13*方案参数!$AS$13,0)))+IF(AND(X382=1,F382&lt;&gt;3),方案参数!$CC$13,0)+AC382*方案参数!$CB$13,0)</f>
        <v>3044</v>
      </c>
      <c r="AE382" s="1">
        <f>IF(OR(F382=1,F382=4),配置与结果!$B$24,配置与结果!$B$25)*MAX(0,1-INDEX(配置与结果!$I$15:$I$18,F382))</f>
        <v>1000</v>
      </c>
      <c r="AF382" s="1">
        <f>方案参数!$BV$13</f>
        <v>4.5</v>
      </c>
      <c r="AG382" s="1">
        <f>MAX(配置与结果!$B$32,1+INDEX(配置与结果!$F$15:$F$18,F382)+0+Q382*方案参数!$W$13+Y382*(方案参数!$AN$13+MIN(方案参数!$AO$13,P382*0.03))+AB382*方案参数!$BZ$13*0.025-配置与结果!$B$28)</f>
        <v>1.0049999999999999</v>
      </c>
      <c r="AH382" s="1">
        <f>MAX(0,1+INDEX(配置与结果!$G$15:$G$18,F382)+W382*方案参数!$AG$13)</f>
        <v>1.3</v>
      </c>
      <c r="AI382" s="1">
        <f>IF(OR(INDEX(配置与结果!$K$15:$K$18,F382)=1,G382="RHI_BERRY"),1+配置与结果!$B$33+P382*方案参数!$AH$13,1)</f>
        <v>1</v>
      </c>
      <c r="AJ382" s="1">
        <f>MIN(1,MAX(0,J382+方案参数!$AB$13-配置与结果!$B$27))</f>
        <v>1</v>
      </c>
      <c r="AK382" s="1">
        <f>MAX(1,K382+IF(F382=2,0.15+方案参数!$CH$13,0)+BN382*方案参数!$X$13+R382*方案参数!$AA$13+0-配置与结果!$B$26+Z382*(方案参数!$AP$13+MIN(方案参数!$AQ$13,P382*0.03)))</f>
        <v>2.298</v>
      </c>
      <c r="AL382" s="7">
        <f>ROUNDDOWN(MAX(AD382*配置与结果!$B$31,AD382-AE382)*AF382*AG382*AH382*AI382,0)</f>
        <v>12017</v>
      </c>
      <c r="AM382" s="7">
        <f>ROUNDDOWN(MAX(AD382*配置与结果!$B$31,AD382-AE382)*AF382*AG382*AH382*AI382*AK382,0)</f>
        <v>27615</v>
      </c>
      <c r="AN382" s="7">
        <f t="shared" si="458"/>
        <v>27615</v>
      </c>
      <c r="AO382" s="7">
        <f>方案参数!$BW$13</f>
        <v>1.5</v>
      </c>
      <c r="AP382" s="7">
        <f>MAX(0,1+INDEX(配置与结果!$J$15:$J$18,F382)+IF(T382&gt;0,方案参数!$BY$13,0)-配置与结果!$B$30)</f>
        <v>2</v>
      </c>
      <c r="AQ382" s="7">
        <f t="shared" si="459"/>
        <v>9132</v>
      </c>
      <c r="AR382" s="7">
        <f t="shared" si="460"/>
        <v>20985</v>
      </c>
      <c r="AS382" s="7">
        <f t="shared" si="461"/>
        <v>20985</v>
      </c>
      <c r="AT382" s="7">
        <f>0</f>
        <v>0</v>
      </c>
      <c r="AU382" s="7">
        <f t="shared" si="462"/>
        <v>48600</v>
      </c>
      <c r="AV382" s="1">
        <f t="shared" si="463"/>
        <v>2</v>
      </c>
      <c r="AW382" s="1">
        <f t="shared" si="539"/>
        <v>10</v>
      </c>
      <c r="AX382" s="1">
        <f t="shared" si="464"/>
        <v>2</v>
      </c>
      <c r="AY382" s="1">
        <f t="shared" si="533"/>
        <v>6</v>
      </c>
      <c r="AZ382" s="1">
        <f t="shared" si="465"/>
        <v>5</v>
      </c>
      <c r="BA382" s="1">
        <f t="shared" si="547"/>
        <v>5</v>
      </c>
      <c r="BB382" s="1">
        <f>MIN(30,R382+0)</f>
        <v>10</v>
      </c>
      <c r="BC382" s="1">
        <f t="shared" si="540"/>
        <v>2</v>
      </c>
      <c r="BD382" s="1">
        <f t="shared" si="534"/>
        <v>1</v>
      </c>
      <c r="BE382" s="1">
        <f t="shared" si="527"/>
        <v>0</v>
      </c>
      <c r="BF382" s="1">
        <f>MIN(4,V382+1)</f>
        <v>3</v>
      </c>
      <c r="BG382" s="1">
        <f t="shared" si="544"/>
        <v>1</v>
      </c>
      <c r="BH382" s="1">
        <f t="shared" si="528"/>
        <v>1</v>
      </c>
      <c r="BI382" s="1">
        <f t="shared" si="545"/>
        <v>1</v>
      </c>
      <c r="BJ382" s="1">
        <f t="shared" si="548"/>
        <v>1</v>
      </c>
      <c r="BK382" s="1">
        <f t="shared" si="549"/>
        <v>1</v>
      </c>
      <c r="BL382" s="1">
        <f t="shared" si="508"/>
        <v>0</v>
      </c>
      <c r="BM382" s="1">
        <f t="shared" ref="BM382:BM416" si="552">MAX(AC382,0)</f>
        <v>1</v>
      </c>
      <c r="BN382" s="1">
        <f t="shared" si="529"/>
        <v>1</v>
      </c>
      <c r="BO382" s="1">
        <f t="shared" si="530"/>
        <v>1</v>
      </c>
    </row>
    <row r="383" spans="1:67" ht="30.95" customHeight="1">
      <c r="A383" s="1">
        <f>10</f>
        <v>10</v>
      </c>
      <c r="B383" s="1">
        <f>固定流程!A23</f>
        <v>18</v>
      </c>
      <c r="C383" s="1">
        <f>13</f>
        <v>13</v>
      </c>
      <c r="D383" s="1">
        <f>1</f>
        <v>1</v>
      </c>
      <c r="E383" s="1">
        <f>固定流程!C23</f>
        <v>3</v>
      </c>
      <c r="F383" s="1">
        <f>固定流程!G23</f>
        <v>4</v>
      </c>
      <c r="G383" s="1" t="str">
        <f>固定流程!H23</f>
        <v>J_HARD</v>
      </c>
      <c r="H383" s="1">
        <f>固定流程!F23</f>
        <v>1</v>
      </c>
      <c r="I383" s="1">
        <f>INDEX(配置与结果!$B$15:$B$18,F383)</f>
        <v>1906</v>
      </c>
      <c r="J383" s="1">
        <f>INDEX(配置与结果!$D$15:$D$18,F383)</f>
        <v>0.36699999999999999</v>
      </c>
      <c r="K383" s="1">
        <f>INDEX(配置与结果!$E$15:$E$18,F383)</f>
        <v>1.7170000000000001</v>
      </c>
      <c r="L383" s="1">
        <f t="shared" si="541"/>
        <v>2</v>
      </c>
      <c r="M383" s="1">
        <f t="shared" si="542"/>
        <v>10</v>
      </c>
      <c r="N383" s="1">
        <f t="shared" si="543"/>
        <v>2</v>
      </c>
      <c r="O383" s="1">
        <f t="shared" si="535"/>
        <v>6</v>
      </c>
      <c r="P383" s="1">
        <f>MIN(方案参数!$AI$13,AZ382+0+0)</f>
        <v>5</v>
      </c>
      <c r="Q383" s="1">
        <f t="shared" si="513"/>
        <v>5</v>
      </c>
      <c r="R383" s="1">
        <f t="shared" si="514"/>
        <v>10</v>
      </c>
      <c r="S383" s="1">
        <f t="shared" si="515"/>
        <v>2</v>
      </c>
      <c r="T383" s="1">
        <f t="shared" si="550"/>
        <v>1</v>
      </c>
      <c r="U383" s="1">
        <f t="shared" si="517"/>
        <v>0</v>
      </c>
      <c r="V383" s="1">
        <f t="shared" si="518"/>
        <v>3</v>
      </c>
      <c r="W383" s="1">
        <f t="shared" si="519"/>
        <v>1</v>
      </c>
      <c r="X383" s="1">
        <f t="shared" si="520"/>
        <v>1</v>
      </c>
      <c r="Y383" s="1">
        <f t="shared" si="521"/>
        <v>1</v>
      </c>
      <c r="Z383" s="1">
        <f t="shared" si="522"/>
        <v>1</v>
      </c>
      <c r="AA383" s="1">
        <f t="shared" si="546"/>
        <v>1</v>
      </c>
      <c r="AB383" s="1">
        <f t="shared" si="524"/>
        <v>0</v>
      </c>
      <c r="AC383" s="1">
        <f t="shared" si="551"/>
        <v>1</v>
      </c>
      <c r="AD383" s="1">
        <f>ROUNDDOWN(I383*(1+IF(F383=3,0.05+方案参数!$Y$13+AA383*0.12,IF(F383=4,方案参数!$BZ$13*方案参数!$AS$13,0)))+IF(AND(X383=1,F383&lt;&gt;3),方案参数!$CC$13,0)+AC383*方案参数!$CB$13,0)</f>
        <v>3311</v>
      </c>
      <c r="AE383" s="1">
        <f>IF(OR(F383=1,F383=4),配置与结果!$B$24,配置与结果!$B$25)*MAX(0,1-INDEX(配置与结果!$I$15:$I$18,F383))</f>
        <v>1200</v>
      </c>
      <c r="AF383" s="1">
        <f>3.6*IF(H383=1,1,IF(H383=2,1.5,2.5))</f>
        <v>3.6</v>
      </c>
      <c r="AG383" s="1">
        <f>MAX(配置与结果!$B$32,1+INDEX(配置与结果!$F$15:$F$18,F383)+0.08+Q383*方案参数!$W$13+Y383*(方案参数!$AN$13+MIN(方案参数!$AO$13,P383*0.03))+AB383*方案参数!$BZ$13*0.025+0.1+IF(方案参数!$BZ$13&gt;=30,方案参数!$BZ$13*0.01,0)-配置与结果!$B$28)</f>
        <v>1.5550000000000002</v>
      </c>
      <c r="AH383" s="1">
        <f>MAX(0,1+INDEX(配置与结果!$G$15:$G$18,F383)+W383*方案参数!$AG$13)</f>
        <v>1.3</v>
      </c>
      <c r="AI383" s="1">
        <f>IF(OR(INDEX(配置与结果!$K$15:$K$18,F383)=1,G383="RHI_BERRY"),1+配置与结果!$B$33+P383*方案参数!$AH$13,1)</f>
        <v>1</v>
      </c>
      <c r="AJ383" s="1">
        <f>MIN(1,MAX(0,J383+方案参数!$AB$13-配置与结果!$B$27))</f>
        <v>0.96699999999999997</v>
      </c>
      <c r="AK383" s="1">
        <f>MAX(1,K383+IF(F383=2,0.15+方案参数!$CH$13,0)+BN383*方案参数!$X$13+R383*方案参数!$AA$13+0-配置与结果!$B$26+Z383*(方案参数!$AP$13+MIN(方案参数!$AQ$13,P383*0.03)))</f>
        <v>1.8169999999999999</v>
      </c>
      <c r="AL383" s="7">
        <f>ROUNDDOWN(MAX(AD383*配置与结果!$B$31,AD383-AE383)*AF383*AG383*AH383*AI383,0)</f>
        <v>15362</v>
      </c>
      <c r="AM383" s="7">
        <f>ROUNDDOWN(MAX(AD383*配置与结果!$B$31,AD383-AE383)*AF383*AG383*AH383*AI383*AK383,0)</f>
        <v>27913</v>
      </c>
      <c r="AN383" s="7">
        <f t="shared" si="458"/>
        <v>27498.816999999999</v>
      </c>
      <c r="AO383" s="7">
        <f>0</f>
        <v>0</v>
      </c>
      <c r="AP383" s="7">
        <f>MAX(0,1+INDEX(配置与结果!$J$15:$J$18,F383)+IF(T383&gt;0,方案参数!$BY$13,0)-配置与结果!$B$30)</f>
        <v>2</v>
      </c>
      <c r="AQ383" s="7">
        <f t="shared" si="459"/>
        <v>0</v>
      </c>
      <c r="AR383" s="7">
        <f t="shared" si="460"/>
        <v>0</v>
      </c>
      <c r="AS383" s="7">
        <f t="shared" si="461"/>
        <v>0</v>
      </c>
      <c r="AT383" s="7">
        <f>0</f>
        <v>0</v>
      </c>
      <c r="AU383" s="7">
        <f t="shared" si="462"/>
        <v>27498.816999999999</v>
      </c>
      <c r="AV383" s="1">
        <f t="shared" si="463"/>
        <v>2</v>
      </c>
      <c r="AW383" s="1">
        <f t="shared" si="539"/>
        <v>10</v>
      </c>
      <c r="AX383" s="1">
        <f t="shared" si="464"/>
        <v>2</v>
      </c>
      <c r="AY383" s="1">
        <f t="shared" si="533"/>
        <v>6</v>
      </c>
      <c r="AZ383" s="1">
        <f t="shared" si="465"/>
        <v>5</v>
      </c>
      <c r="BA383" s="1">
        <f t="shared" si="547"/>
        <v>5</v>
      </c>
      <c r="BB383" s="1">
        <f>MIN(30,R383+0)</f>
        <v>10</v>
      </c>
      <c r="BC383" s="1">
        <f>MIN(3,S383+1)</f>
        <v>3</v>
      </c>
      <c r="BD383" s="1">
        <f t="shared" si="534"/>
        <v>1</v>
      </c>
      <c r="BE383" s="1">
        <f t="shared" si="527"/>
        <v>0</v>
      </c>
      <c r="BF383" s="1">
        <f>MIN(4,V383+0)</f>
        <v>3</v>
      </c>
      <c r="BG383" s="1">
        <f t="shared" si="544"/>
        <v>1</v>
      </c>
      <c r="BH383" s="1">
        <f t="shared" si="528"/>
        <v>1</v>
      </c>
      <c r="BI383" s="1">
        <f t="shared" si="545"/>
        <v>1</v>
      </c>
      <c r="BJ383" s="1">
        <f t="shared" si="548"/>
        <v>1</v>
      </c>
      <c r="BK383" s="1">
        <f t="shared" si="549"/>
        <v>1</v>
      </c>
      <c r="BL383" s="1">
        <f t="shared" si="508"/>
        <v>0</v>
      </c>
      <c r="BM383" s="1">
        <f t="shared" si="552"/>
        <v>1</v>
      </c>
      <c r="BN383" s="1">
        <f t="shared" si="529"/>
        <v>1</v>
      </c>
      <c r="BO383" s="1">
        <f t="shared" si="530"/>
        <v>1</v>
      </c>
    </row>
    <row r="384" spans="1:67" ht="30.95" customHeight="1">
      <c r="A384" s="1">
        <f>10</f>
        <v>10</v>
      </c>
      <c r="B384" s="1">
        <f>固定流程!A24</f>
        <v>19</v>
      </c>
      <c r="C384" s="1">
        <f>13</f>
        <v>13</v>
      </c>
      <c r="D384" s="1">
        <f>1</f>
        <v>1</v>
      </c>
      <c r="E384" s="1">
        <f>固定流程!C24</f>
        <v>3</v>
      </c>
      <c r="F384" s="1">
        <f>固定流程!G24</f>
        <v>4</v>
      </c>
      <c r="G384" s="1" t="str">
        <f>固定流程!H24</f>
        <v>J_ULT</v>
      </c>
      <c r="H384" s="1">
        <f>固定流程!F24</f>
        <v>1</v>
      </c>
      <c r="I384" s="1">
        <f>INDEX(配置与结果!$B$15:$B$18,F384)</f>
        <v>1906</v>
      </c>
      <c r="J384" s="1">
        <f>INDEX(配置与结果!$D$15:$D$18,F384)</f>
        <v>0.36699999999999999</v>
      </c>
      <c r="K384" s="1">
        <f>INDEX(配置与结果!$E$15:$E$18,F384)</f>
        <v>1.7170000000000001</v>
      </c>
      <c r="L384" s="1">
        <f t="shared" si="541"/>
        <v>2</v>
      </c>
      <c r="M384" s="1">
        <f t="shared" si="542"/>
        <v>10</v>
      </c>
      <c r="N384" s="1">
        <f t="shared" si="543"/>
        <v>2</v>
      </c>
      <c r="O384" s="1">
        <f t="shared" si="535"/>
        <v>6</v>
      </c>
      <c r="P384" s="1">
        <f>MIN(方案参数!$AI$13,AZ383+0+0)</f>
        <v>5</v>
      </c>
      <c r="Q384" s="1">
        <f t="shared" si="513"/>
        <v>5</v>
      </c>
      <c r="R384" s="1">
        <f t="shared" si="514"/>
        <v>10</v>
      </c>
      <c r="S384" s="1">
        <f t="shared" si="515"/>
        <v>3</v>
      </c>
      <c r="T384" s="1">
        <f t="shared" si="550"/>
        <v>1</v>
      </c>
      <c r="U384" s="1">
        <f t="shared" si="517"/>
        <v>0</v>
      </c>
      <c r="V384" s="1">
        <f t="shared" si="518"/>
        <v>3</v>
      </c>
      <c r="W384" s="1">
        <f t="shared" si="519"/>
        <v>1</v>
      </c>
      <c r="X384" s="1">
        <f t="shared" si="520"/>
        <v>1</v>
      </c>
      <c r="Y384" s="1">
        <f t="shared" si="521"/>
        <v>1</v>
      </c>
      <c r="Z384" s="1">
        <f t="shared" si="522"/>
        <v>1</v>
      </c>
      <c r="AA384" s="1">
        <f t="shared" si="546"/>
        <v>1</v>
      </c>
      <c r="AB384" s="1">
        <f t="shared" si="524"/>
        <v>0</v>
      </c>
      <c r="AC384" s="1">
        <f t="shared" si="551"/>
        <v>1</v>
      </c>
      <c r="AD384" s="1">
        <f>ROUNDDOWN(I384*(1+IF(F384=3,0.05+方案参数!$Y$13+AA384*0.12,IF(F384=4,方案参数!$BZ$13*方案参数!$AS$13,0)))+IF(AND(X384=1,F384&lt;&gt;3),方案参数!$CC$13,0)+AC384*方案参数!$CB$13,0)</f>
        <v>3311</v>
      </c>
      <c r="AE384" s="1">
        <f>IF(OR(F384=1,F384=4),配置与结果!$B$24,配置与结果!$B$25)*MAX(0,1-INDEX(配置与结果!$I$15:$I$18,F384))</f>
        <v>1200</v>
      </c>
      <c r="AF384" s="1">
        <f>方案参数!$AT$13+MAX(0,配置与结果!$H$26+方案参数!$BZ$13-30)*方案参数!$AU$13*配置与结果!$H$27</f>
        <v>42</v>
      </c>
      <c r="AG384" s="1">
        <f>MAX(配置与结果!$B$32,1+INDEX(配置与结果!$F$15:$F$18,F384)+0.08+Q384*方案参数!$W$13+Y384*(方案参数!$AN$13+MIN(方案参数!$AO$13,P384*0.03))+AB384*方案参数!$BZ$13*0.025-配置与结果!$B$28)</f>
        <v>1.105</v>
      </c>
      <c r="AH384" s="1">
        <f>MAX(0,1+INDEX(配置与结果!$H$15:$H$18,F384)+W384*方案参数!$AG$13+S384*方案参数!$Z$13)</f>
        <v>1.42</v>
      </c>
      <c r="AI384" s="1">
        <f>IF(OR(INDEX(配置与结果!$K$15:$K$18,F384)=1,G384="RHI_BERRY"),1+配置与结果!$B$33+P384*方案参数!$AH$13,1)</f>
        <v>1</v>
      </c>
      <c r="AJ384" s="1">
        <f>MIN(1,MAX(0,J384+方案参数!$AB$13-配置与结果!$B$27))</f>
        <v>0.96699999999999997</v>
      </c>
      <c r="AK384" s="1">
        <f>MAX(1,K384+IF(F384=2,0.15+方案参数!$CH$13,0)+BN384*方案参数!$X$13+R384*方案参数!$AA$13+0-配置与结果!$B$26+Z384*(方案参数!$AP$13+MIN(方案参数!$AQ$13,P384*0.03)))</f>
        <v>1.8169999999999999</v>
      </c>
      <c r="AL384" s="7">
        <f>ROUNDDOWN(MAX(AD384*配置与结果!$B$31,AD384-AE384)*AF384*AG384*AH384*AI384,0)</f>
        <v>139119</v>
      </c>
      <c r="AM384" s="7">
        <f>ROUNDDOWN(MAX(AD384*配置与结果!$B$31,AD384-AE384)*AF384*AG384*AH384*AI384*AK384,0)</f>
        <v>252780</v>
      </c>
      <c r="AN384" s="7">
        <f t="shared" si="458"/>
        <v>249029.18699999998</v>
      </c>
      <c r="AO384" s="7">
        <f>0</f>
        <v>0</v>
      </c>
      <c r="AP384" s="7">
        <f>MAX(0,1+INDEX(配置与结果!$J$15:$J$18,F384)+IF(T384&gt;0,方案参数!$BY$13,0)-配置与结果!$B$30)</f>
        <v>2</v>
      </c>
      <c r="AQ384" s="7">
        <f t="shared" si="459"/>
        <v>0</v>
      </c>
      <c r="AR384" s="7">
        <f t="shared" si="460"/>
        <v>0</v>
      </c>
      <c r="AS384" s="7">
        <f t="shared" si="461"/>
        <v>0</v>
      </c>
      <c r="AT384" s="7">
        <f>0</f>
        <v>0</v>
      </c>
      <c r="AU384" s="7">
        <f t="shared" si="462"/>
        <v>249029.18699999998</v>
      </c>
      <c r="AV384" s="1">
        <f t="shared" si="463"/>
        <v>2</v>
      </c>
      <c r="AW384" s="1">
        <f t="shared" si="539"/>
        <v>10</v>
      </c>
      <c r="AX384" s="1">
        <f t="shared" si="464"/>
        <v>2</v>
      </c>
      <c r="AY384" s="1">
        <f t="shared" si="533"/>
        <v>6</v>
      </c>
      <c r="AZ384" s="1">
        <f t="shared" si="465"/>
        <v>5</v>
      </c>
      <c r="BA384" s="1">
        <f t="shared" si="547"/>
        <v>5</v>
      </c>
      <c r="BB384" s="1">
        <f>MIN(30,R384+5)</f>
        <v>15</v>
      </c>
      <c r="BC384" s="1">
        <f t="shared" ref="BC384:BC407" si="553">MIN(3,S384+0)</f>
        <v>3</v>
      </c>
      <c r="BD384" s="1">
        <f t="shared" si="534"/>
        <v>1</v>
      </c>
      <c r="BE384" s="1">
        <f t="shared" si="527"/>
        <v>0</v>
      </c>
      <c r="BF384" s="1">
        <f>MIN(4,V384+0)</f>
        <v>3</v>
      </c>
      <c r="BG384" s="1">
        <f t="shared" si="544"/>
        <v>1</v>
      </c>
      <c r="BH384" s="1">
        <f t="shared" si="528"/>
        <v>1</v>
      </c>
      <c r="BI384" s="1">
        <f t="shared" si="545"/>
        <v>1</v>
      </c>
      <c r="BJ384" s="1">
        <f t="shared" si="548"/>
        <v>1</v>
      </c>
      <c r="BK384" s="1">
        <f t="shared" si="549"/>
        <v>1</v>
      </c>
      <c r="BL384" s="1">
        <f>MAX(AB384,1)</f>
        <v>1</v>
      </c>
      <c r="BM384" s="1">
        <f t="shared" si="552"/>
        <v>1</v>
      </c>
      <c r="BN384" s="1">
        <f t="shared" si="529"/>
        <v>1</v>
      </c>
      <c r="BO384" s="1">
        <f t="shared" si="530"/>
        <v>1</v>
      </c>
    </row>
    <row r="385" spans="1:67" ht="30.95" customHeight="1">
      <c r="A385" s="1">
        <f>10</f>
        <v>10</v>
      </c>
      <c r="B385" s="1">
        <f>固定流程!A25</f>
        <v>20</v>
      </c>
      <c r="C385" s="1">
        <f>13</f>
        <v>13</v>
      </c>
      <c r="D385" s="1">
        <f>1</f>
        <v>1</v>
      </c>
      <c r="E385" s="1">
        <f>固定流程!C25</f>
        <v>3</v>
      </c>
      <c r="F385" s="1">
        <f>固定流程!G25</f>
        <v>1</v>
      </c>
      <c r="G385" s="1" t="str">
        <f>固定流程!H25</f>
        <v>LILYA_ULT</v>
      </c>
      <c r="H385" s="1">
        <f>固定流程!F25</f>
        <v>1</v>
      </c>
      <c r="I385" s="1">
        <f>INDEX(配置与结果!$B$15:$B$18,F385)</f>
        <v>2296</v>
      </c>
      <c r="J385" s="1">
        <f>INDEX(配置与结果!$D$15:$D$18,F385)</f>
        <v>0.7</v>
      </c>
      <c r="K385" s="1">
        <f>INDEX(配置与结果!$E$15:$E$18,F385)</f>
        <v>2.0249999999999999</v>
      </c>
      <c r="L385" s="1">
        <f t="shared" si="541"/>
        <v>2</v>
      </c>
      <c r="M385" s="1">
        <f t="shared" si="542"/>
        <v>10</v>
      </c>
      <c r="N385" s="1">
        <f t="shared" si="543"/>
        <v>2</v>
      </c>
      <c r="O385" s="1">
        <f t="shared" si="535"/>
        <v>6</v>
      </c>
      <c r="P385" s="1">
        <f>MIN(方案参数!$AI$13,AZ384+0+0)</f>
        <v>5</v>
      </c>
      <c r="Q385" s="1">
        <f t="shared" si="513"/>
        <v>5</v>
      </c>
      <c r="R385" s="1">
        <f t="shared" si="514"/>
        <v>15</v>
      </c>
      <c r="S385" s="1">
        <f t="shared" si="515"/>
        <v>3</v>
      </c>
      <c r="T385" s="1">
        <f t="shared" si="550"/>
        <v>1</v>
      </c>
      <c r="U385" s="1">
        <f t="shared" si="517"/>
        <v>0</v>
      </c>
      <c r="V385" s="1">
        <f t="shared" si="518"/>
        <v>3</v>
      </c>
      <c r="W385" s="1">
        <f t="shared" si="519"/>
        <v>1</v>
      </c>
      <c r="X385" s="1">
        <f t="shared" si="520"/>
        <v>1</v>
      </c>
      <c r="Y385" s="1">
        <f t="shared" si="521"/>
        <v>1</v>
      </c>
      <c r="Z385" s="1">
        <f t="shared" si="522"/>
        <v>1</v>
      </c>
      <c r="AA385" s="1">
        <f t="shared" si="546"/>
        <v>1</v>
      </c>
      <c r="AB385" s="1">
        <f t="shared" si="524"/>
        <v>1</v>
      </c>
      <c r="AC385" s="1">
        <f t="shared" si="551"/>
        <v>1</v>
      </c>
      <c r="AD385" s="1">
        <f>ROUNDDOWN(I385*(1+IF(F385=3,0.05+方案参数!$Y$13+AA385*0.12,IF(F385=4,方案参数!$BZ$13*方案参数!$AS$13,0)))+IF(AND(X385=1,F385&lt;&gt;3),方案参数!$CC$13,0)+AC385*方案参数!$CB$13,0)</f>
        <v>3034</v>
      </c>
      <c r="AE385" s="1">
        <f>IF(OR(F385=1,F385=4),配置与结果!$B$24,配置与结果!$B$25)*MAX(0,1-INDEX(配置与结果!$I$15:$I$18,F385)+IF(O385&gt;=6,方案参数!$BK$13,0))</f>
        <v>1440</v>
      </c>
      <c r="AF385" s="1">
        <f>方案参数!$BG$13+IF(O385&gt;=6,方案参数!$BH$13,0)</f>
        <v>36</v>
      </c>
      <c r="AG385" s="1">
        <f>MAX(配置与结果!$B$32,1+INDEX(配置与结果!$F$15:$F$18,F385)+0.08+方案参数!$CD$13+Q385*方案参数!$W$13+Y385*(方案参数!$AN$13+MIN(方案参数!$AO$13,P385*0.03))+AB385*方案参数!$BZ$13*0.025-配置与结果!$B$28)</f>
        <v>2.2150000000000003</v>
      </c>
      <c r="AH385" s="1">
        <f>MAX(0,1+INDEX(配置与结果!$H$15:$H$18,F385)+W385*方案参数!$AG$13+O385*方案参数!$BF$13+IF(O385&gt;=6,方案参数!$BI$13,0))</f>
        <v>2.4500000000000002</v>
      </c>
      <c r="AI385" s="1">
        <f>IF(OR(INDEX(配置与结果!$K$15:$K$18,F385)=1,G385="RHI_BERRY"),1+配置与结果!$B$33+P385*方案参数!$AH$13,1)</f>
        <v>1</v>
      </c>
      <c r="AJ385" s="1">
        <f>MIN(1,MAX(0,J385+方案参数!$AB$13-配置与结果!$B$27))</f>
        <v>1</v>
      </c>
      <c r="AK385" s="1">
        <f>MAX(1,K385+IF(F385=2,0.15+方案参数!$CH$13,0)+BN385*方案参数!$X$13+R385*方案参数!$AA$13+IF(O385&gt;=6,方案参数!$BJ$13,0)-配置与结果!$B$26+Z385*(方案参数!$AP$13+MIN(方案参数!$AQ$13,P385*0.03)))</f>
        <v>3.145</v>
      </c>
      <c r="AL385" s="7">
        <f>ROUNDDOWN(MAX(AD385*配置与结果!$B$31,AD385-AE385)*AF385*AG385*AH385*AI385,0)</f>
        <v>311408</v>
      </c>
      <c r="AM385" s="7">
        <f>ROUNDDOWN(MAX(AD385*配置与结果!$B$31,AD385-AE385)*AF385*AG385*AH385*AI385*AK385,0)</f>
        <v>979380</v>
      </c>
      <c r="AN385" s="7">
        <f t="shared" si="458"/>
        <v>979380</v>
      </c>
      <c r="AO385" s="7">
        <f>0</f>
        <v>0</v>
      </c>
      <c r="AP385" s="7">
        <f>MAX(0,1+INDEX(配置与结果!$J$15:$J$18,F385)+IF(T385&gt;0,方案参数!$BY$13,0)-配置与结果!$B$30)</f>
        <v>2</v>
      </c>
      <c r="AQ385" s="7">
        <f t="shared" si="459"/>
        <v>0</v>
      </c>
      <c r="AR385" s="7">
        <f t="shared" si="460"/>
        <v>0</v>
      </c>
      <c r="AS385" s="7">
        <f t="shared" si="461"/>
        <v>0</v>
      </c>
      <c r="AT385" s="7">
        <f>0</f>
        <v>0</v>
      </c>
      <c r="AU385" s="7">
        <f t="shared" si="462"/>
        <v>979380</v>
      </c>
      <c r="AV385" s="1">
        <f t="shared" si="463"/>
        <v>2</v>
      </c>
      <c r="AW385" s="1">
        <f t="shared" si="539"/>
        <v>10</v>
      </c>
      <c r="AX385" s="1">
        <f t="shared" si="464"/>
        <v>2</v>
      </c>
      <c r="AY385" s="1">
        <f>MIN(20,MAX(0,O385+0+0-IF(O385&gt;=6,6,0)))</f>
        <v>0</v>
      </c>
      <c r="AZ385" s="1">
        <f t="shared" si="465"/>
        <v>5</v>
      </c>
      <c r="BA385" s="1">
        <f t="shared" si="547"/>
        <v>5</v>
      </c>
      <c r="BB385" s="1">
        <f>MIN(30,R385+5)</f>
        <v>20</v>
      </c>
      <c r="BC385" s="1">
        <f t="shared" si="553"/>
        <v>3</v>
      </c>
      <c r="BD385" s="1">
        <f t="shared" si="534"/>
        <v>1</v>
      </c>
      <c r="BE385" s="1">
        <f t="shared" si="527"/>
        <v>0</v>
      </c>
      <c r="BF385" s="1">
        <f>MIN(4,V385+0)</f>
        <v>3</v>
      </c>
      <c r="BG385" s="1">
        <f t="shared" si="544"/>
        <v>1</v>
      </c>
      <c r="BH385" s="1">
        <f t="shared" si="528"/>
        <v>1</v>
      </c>
      <c r="BI385" s="1">
        <f t="shared" si="545"/>
        <v>1</v>
      </c>
      <c r="BJ385" s="1">
        <f t="shared" si="548"/>
        <v>1</v>
      </c>
      <c r="BK385" s="1">
        <f t="shared" si="549"/>
        <v>1</v>
      </c>
      <c r="BL385" s="1">
        <f t="shared" ref="BL385:BL419" si="554">MAX(AB385,0)</f>
        <v>1</v>
      </c>
      <c r="BM385" s="1">
        <f t="shared" si="552"/>
        <v>1</v>
      </c>
      <c r="BN385" s="1">
        <f t="shared" si="529"/>
        <v>1</v>
      </c>
      <c r="BO385" s="1">
        <f t="shared" si="530"/>
        <v>1</v>
      </c>
    </row>
    <row r="386" spans="1:67" ht="30.95" customHeight="1">
      <c r="A386" s="1">
        <f>10</f>
        <v>10</v>
      </c>
      <c r="B386" s="1">
        <f>固定流程!A26</f>
        <v>21</v>
      </c>
      <c r="C386" s="1">
        <f>13</f>
        <v>13</v>
      </c>
      <c r="D386" s="1">
        <f>1</f>
        <v>1</v>
      </c>
      <c r="E386" s="1">
        <f>固定流程!C26</f>
        <v>3</v>
      </c>
      <c r="F386" s="1">
        <f>固定流程!G26</f>
        <v>1</v>
      </c>
      <c r="G386" s="1" t="str">
        <f>固定流程!H26</f>
        <v>LILYA_DIVE</v>
      </c>
      <c r="H386" s="1">
        <f>固定流程!F26</f>
        <v>3</v>
      </c>
      <c r="I386" s="1">
        <f>INDEX(配置与结果!$B$15:$B$18,F386)</f>
        <v>2296</v>
      </c>
      <c r="J386" s="1">
        <f>INDEX(配置与结果!$D$15:$D$18,F386)</f>
        <v>0.7</v>
      </c>
      <c r="K386" s="1">
        <f>INDEX(配置与结果!$E$15:$E$18,F386)</f>
        <v>2.0249999999999999</v>
      </c>
      <c r="L386" s="1">
        <f t="shared" si="541"/>
        <v>2</v>
      </c>
      <c r="M386" s="1">
        <f t="shared" si="542"/>
        <v>10</v>
      </c>
      <c r="N386" s="1">
        <f t="shared" si="543"/>
        <v>2</v>
      </c>
      <c r="O386" s="1">
        <f t="shared" si="535"/>
        <v>0</v>
      </c>
      <c r="P386" s="1">
        <f>MIN(方案参数!$AI$13,AZ385+0+0)</f>
        <v>5</v>
      </c>
      <c r="Q386" s="1">
        <f t="shared" si="513"/>
        <v>5</v>
      </c>
      <c r="R386" s="1">
        <f t="shared" si="514"/>
        <v>20</v>
      </c>
      <c r="S386" s="1">
        <f t="shared" si="515"/>
        <v>3</v>
      </c>
      <c r="T386" s="1">
        <f t="shared" si="550"/>
        <v>1</v>
      </c>
      <c r="U386" s="1">
        <f t="shared" si="517"/>
        <v>0</v>
      </c>
      <c r="V386" s="1">
        <f t="shared" si="518"/>
        <v>3</v>
      </c>
      <c r="W386" s="1">
        <f t="shared" si="519"/>
        <v>1</v>
      </c>
      <c r="X386" s="1">
        <f t="shared" si="520"/>
        <v>1</v>
      </c>
      <c r="Y386" s="1">
        <f t="shared" si="521"/>
        <v>1</v>
      </c>
      <c r="Z386" s="1">
        <f t="shared" si="522"/>
        <v>1</v>
      </c>
      <c r="AA386" s="1">
        <f t="shared" si="546"/>
        <v>1</v>
      </c>
      <c r="AB386" s="1">
        <f t="shared" si="524"/>
        <v>1</v>
      </c>
      <c r="AC386" s="1">
        <f t="shared" si="551"/>
        <v>1</v>
      </c>
      <c r="AD386" s="1">
        <f>ROUNDDOWN(I386*(1+IF(F386=3,0.05+方案参数!$Y$13+AA386*0.12,IF(F386=4,方案参数!$BZ$13*方案参数!$AS$13,0)))+IF(AND(X386=1,F386&lt;&gt;3),方案参数!$CC$13,0)+AC386*方案参数!$CB$13,0)</f>
        <v>3034</v>
      </c>
      <c r="AE386" s="1">
        <f>IF(OR(F386=1,F386=4),配置与结果!$B$24,配置与结果!$B$25)*MAX(0,1-INDEX(配置与结果!$I$15:$I$18,F386))</f>
        <v>1200</v>
      </c>
      <c r="AF386" s="1">
        <f>(IF(L386=1,方案参数!$AW$13,IF(L386=2,方案参数!$AX$13,0))+方案参数!$AV$13)*H386</f>
        <v>30</v>
      </c>
      <c r="AG386" s="1">
        <f>MAX(配置与结果!$B$32,1+INDEX(配置与结果!$F$15:$F$18,F386)+0.08+方案参数!$CD$13+Q386*方案参数!$W$13+Y386*(方案参数!$AN$13+MIN(方案参数!$AO$13,P386*0.03))+AB386*方案参数!$BZ$13*0.025+IF(L386=1,方案参数!$AY$13+(H386-1)*0.1,IF(L386=2,方案参数!$AZ$13+(H386-1)*0.2,0))-配置与结果!$B$28)</f>
        <v>2.8150000000000004</v>
      </c>
      <c r="AH386" s="1">
        <f>MAX(0,1+INDEX(配置与结果!$G$15:$G$18,F386)+W386*方案参数!$AG$13+IF(L386=1,方案参数!$BA$13,IF(L386=2,方案参数!$BB$13,0))+M386*方案参数!$BC$13)</f>
        <v>3.1</v>
      </c>
      <c r="AI386" s="1">
        <f>IF(OR(INDEX(配置与结果!$K$15:$K$18,F386)=1,G386="RHI_BERRY"),1+配置与结果!$B$33+P386*方案参数!$AH$13,1)</f>
        <v>1</v>
      </c>
      <c r="AJ386" s="1">
        <f>MIN(1,MAX(0,J386+方案参数!$AB$13-配置与结果!$B$27))</f>
        <v>1</v>
      </c>
      <c r="AK386" s="1">
        <f>MAX(1,K386+IF(F386=2,0.15+方案参数!$CH$13,0)+BN386*方案参数!$X$13+R386*方案参数!$AA$13+0-配置与结果!$B$26+Z386*(方案参数!$AP$13+MIN(方案参数!$AQ$13,P386*0.03)))</f>
        <v>2.165</v>
      </c>
      <c r="AL386" s="7">
        <f>ROUNDDOWN(MAX(AD386*配置与结果!$B$31,AD386-AE386)*AF386*AG386*AH386*AI386,0)</f>
        <v>480132</v>
      </c>
      <c r="AM386" s="7">
        <f>ROUNDDOWN(MAX(AD386*配置与结果!$B$31,AD386-AE386)*AF386*AG386*AH386*AI386*AK386,0)</f>
        <v>1039485</v>
      </c>
      <c r="AN386" s="7">
        <f t="shared" si="458"/>
        <v>1039485</v>
      </c>
      <c r="AO386" s="7">
        <f>0</f>
        <v>0</v>
      </c>
      <c r="AP386" s="7">
        <f>MAX(0,1+INDEX(配置与结果!$J$15:$J$18,F386)+IF(T386&gt;0,方案参数!$BY$13,0)-配置与结果!$B$30)</f>
        <v>2</v>
      </c>
      <c r="AQ386" s="7">
        <f t="shared" si="459"/>
        <v>0</v>
      </c>
      <c r="AR386" s="7">
        <f t="shared" si="460"/>
        <v>0</v>
      </c>
      <c r="AS386" s="7">
        <f t="shared" si="461"/>
        <v>0</v>
      </c>
      <c r="AT386" s="7">
        <f>0</f>
        <v>0</v>
      </c>
      <c r="AU386" s="7">
        <f t="shared" si="462"/>
        <v>1039485</v>
      </c>
      <c r="AV386" s="1">
        <f t="shared" si="463"/>
        <v>2</v>
      </c>
      <c r="AW386" s="1">
        <f>MIN(10,M386+0+IF(L386=1,方案参数!$BE$13,0))</f>
        <v>10</v>
      </c>
      <c r="AX386" s="1">
        <f t="shared" si="464"/>
        <v>2</v>
      </c>
      <c r="AY386" s="1">
        <f>MIN(20,MAX(0,O386+0+0-0))</f>
        <v>0</v>
      </c>
      <c r="AZ386" s="1">
        <f t="shared" si="465"/>
        <v>5</v>
      </c>
      <c r="BA386" s="1">
        <f t="shared" si="547"/>
        <v>5</v>
      </c>
      <c r="BB386" s="1">
        <f t="shared" ref="BB386:BB401" si="555">MIN(30,R386+0)</f>
        <v>20</v>
      </c>
      <c r="BC386" s="1">
        <f t="shared" si="553"/>
        <v>3</v>
      </c>
      <c r="BD386" s="1">
        <f t="shared" si="534"/>
        <v>1</v>
      </c>
      <c r="BE386" s="1">
        <f t="shared" si="527"/>
        <v>0</v>
      </c>
      <c r="BF386" s="1">
        <f>MIN(4,V386+0)</f>
        <v>3</v>
      </c>
      <c r="BG386" s="1">
        <f t="shared" si="544"/>
        <v>1</v>
      </c>
      <c r="BH386" s="1">
        <f t="shared" si="528"/>
        <v>1</v>
      </c>
      <c r="BI386" s="1">
        <f t="shared" si="545"/>
        <v>1</v>
      </c>
      <c r="BJ386" s="1">
        <f t="shared" si="548"/>
        <v>1</v>
      </c>
      <c r="BK386" s="1">
        <f t="shared" si="549"/>
        <v>1</v>
      </c>
      <c r="BL386" s="1">
        <f t="shared" si="554"/>
        <v>1</v>
      </c>
      <c r="BM386" s="1">
        <f t="shared" si="552"/>
        <v>1</v>
      </c>
      <c r="BN386" s="1">
        <f t="shared" si="529"/>
        <v>1</v>
      </c>
      <c r="BO386" s="1">
        <f t="shared" si="530"/>
        <v>1</v>
      </c>
    </row>
    <row r="387" spans="1:67" ht="30.95" customHeight="1">
      <c r="A387" s="1">
        <f>10</f>
        <v>10</v>
      </c>
      <c r="B387" s="1">
        <f>固定流程!A27</f>
        <v>22</v>
      </c>
      <c r="C387" s="1">
        <f>13</f>
        <v>13</v>
      </c>
      <c r="D387" s="1">
        <f>1</f>
        <v>1</v>
      </c>
      <c r="E387" s="1">
        <f>固定流程!C27</f>
        <v>3</v>
      </c>
      <c r="F387" s="1">
        <f>固定流程!G27</f>
        <v>3</v>
      </c>
      <c r="G387" s="1" t="str">
        <f>固定流程!H27</f>
        <v>RHI_BERRY</v>
      </c>
      <c r="H387" s="1">
        <f>固定流程!F27</f>
        <v>1</v>
      </c>
      <c r="I387" s="1">
        <f>INDEX(配置与结果!$B$15:$B$18,F387)</f>
        <v>2597</v>
      </c>
      <c r="J387" s="1">
        <f>INDEX(配置与结果!$D$15:$D$18,F387)</f>
        <v>0.255</v>
      </c>
      <c r="K387" s="1">
        <f>INDEX(配置与结果!$E$15:$E$18,F387)</f>
        <v>1.55</v>
      </c>
      <c r="L387" s="1">
        <f t="shared" si="541"/>
        <v>2</v>
      </c>
      <c r="M387" s="1">
        <f t="shared" si="542"/>
        <v>10</v>
      </c>
      <c r="N387" s="1">
        <f t="shared" si="543"/>
        <v>2</v>
      </c>
      <c r="O387" s="1">
        <f t="shared" si="535"/>
        <v>0</v>
      </c>
      <c r="P387" s="1">
        <f>MIN(方案参数!$AI$13,AZ386+0+0)</f>
        <v>5</v>
      </c>
      <c r="Q387" s="1">
        <f t="shared" si="513"/>
        <v>5</v>
      </c>
      <c r="R387" s="1">
        <f t="shared" si="514"/>
        <v>20</v>
      </c>
      <c r="S387" s="1">
        <f t="shared" si="515"/>
        <v>3</v>
      </c>
      <c r="T387" s="1">
        <f t="shared" si="550"/>
        <v>1</v>
      </c>
      <c r="U387" s="1">
        <f t="shared" si="517"/>
        <v>0</v>
      </c>
      <c r="V387" s="1">
        <f t="shared" si="518"/>
        <v>3</v>
      </c>
      <c r="W387" s="1">
        <f t="shared" si="519"/>
        <v>1</v>
      </c>
      <c r="X387" s="1">
        <f t="shared" si="520"/>
        <v>1</v>
      </c>
      <c r="Y387" s="1">
        <f t="shared" si="521"/>
        <v>1</v>
      </c>
      <c r="Z387" s="1">
        <f t="shared" si="522"/>
        <v>1</v>
      </c>
      <c r="AA387" s="1">
        <f t="shared" si="546"/>
        <v>1</v>
      </c>
      <c r="AB387" s="1">
        <f t="shared" si="524"/>
        <v>1</v>
      </c>
      <c r="AC387" s="1">
        <f t="shared" si="551"/>
        <v>1</v>
      </c>
      <c r="AD387" s="1">
        <f>ROUNDDOWN(I387*(1+IF(F387=3,0.05+方案参数!$Y$13+AA387*0.12,IF(F387=4,方案参数!$BZ$13*方案参数!$AS$13,0)))+IF(AND(X387=1,F387&lt;&gt;3),方案参数!$CC$13,0)+AC387*方案参数!$CB$13,0)</f>
        <v>3798</v>
      </c>
      <c r="AE387" s="1">
        <f>IF(OR(F387=1,F387=4),配置与结果!$B$24,配置与结果!$B$25)*MAX(0,1-INDEX(配置与结果!$I$15:$I$18,F387))</f>
        <v>1000</v>
      </c>
      <c r="AF387" s="1">
        <f>方案参数!$CF$13+P387*方案参数!$CG$13</f>
        <v>22.5</v>
      </c>
      <c r="AG387" s="1">
        <f>MAX(配置与结果!$B$32,1+INDEX(配置与结果!$F$15:$F$18,F387)+0+Q387*方案参数!$W$13+Y387*(方案参数!$AN$13+MIN(方案参数!$AO$13,P387*0.03))+AB387*方案参数!$BZ$13*0.025-配置与结果!$B$28)</f>
        <v>1.9100000000000001</v>
      </c>
      <c r="AH387" s="1">
        <f>MAX(0,1+INDEX(配置与结果!$G$15:$G$18,F387)+W387*方案参数!$AG$13)</f>
        <v>1.3</v>
      </c>
      <c r="AI387" s="1">
        <f>IF(OR(INDEX(配置与结果!$K$15:$K$18,F387)=1,G387="RHI_BERRY"),1+配置与结果!$B$33+P387*方案参数!$AH$13,1)</f>
        <v>1.5</v>
      </c>
      <c r="AJ387" s="1">
        <f>MIN(1,MAX(0,J387+方案参数!$AB$13-配置与结果!$B$27))</f>
        <v>0.85499999999999998</v>
      </c>
      <c r="AK387" s="1">
        <f>MAX(1,K387+IF(F387=2,0.15+方案参数!$CH$13,0)+BN387*方案参数!$X$13+R387*方案参数!$AA$13+0-配置与结果!$B$26+Z387*(方案参数!$AP$13+MIN(方案参数!$AQ$13,P387*0.03)))</f>
        <v>1.6900000000000002</v>
      </c>
      <c r="AL387" s="7">
        <f>ROUNDDOWN(MAX(AD387*配置与结果!$B$31,AD387-AE387)*AF387*AG387*AH387*AI387,0)</f>
        <v>234475</v>
      </c>
      <c r="AM387" s="7">
        <f>ROUNDDOWN(MAX(AD387*配置与结果!$B$31,AD387-AE387)*AF387*AG387*AH387*AI387*AK387,0)</f>
        <v>396264</v>
      </c>
      <c r="AN387" s="7">
        <f t="shared" si="458"/>
        <v>372804.59499999997</v>
      </c>
      <c r="AO387" s="7">
        <f>0</f>
        <v>0</v>
      </c>
      <c r="AP387" s="7">
        <f>MAX(0,1+INDEX(配置与结果!$J$15:$J$18,F387)+IF(T387&gt;0,方案参数!$BY$13,0)-配置与结果!$B$30)</f>
        <v>2</v>
      </c>
      <c r="AQ387" s="7">
        <f t="shared" si="459"/>
        <v>0</v>
      </c>
      <c r="AR387" s="7">
        <f t="shared" si="460"/>
        <v>0</v>
      </c>
      <c r="AS387" s="7">
        <f t="shared" si="461"/>
        <v>0</v>
      </c>
      <c r="AT387" s="7">
        <f>0</f>
        <v>0</v>
      </c>
      <c r="AU387" s="7">
        <f t="shared" si="462"/>
        <v>372804.59499999997</v>
      </c>
      <c r="AV387" s="1">
        <f t="shared" si="463"/>
        <v>2</v>
      </c>
      <c r="AW387" s="1">
        <f t="shared" ref="AW387:AW403" si="556">MIN(10,M387+0+0)</f>
        <v>10</v>
      </c>
      <c r="AX387" s="1">
        <f t="shared" si="464"/>
        <v>2</v>
      </c>
      <c r="AY387" s="1">
        <f>MIN(20,MAX(0,O387+0+0-0))</f>
        <v>0</v>
      </c>
      <c r="AZ387" s="1">
        <f t="shared" si="465"/>
        <v>5</v>
      </c>
      <c r="BA387" s="1">
        <f t="shared" si="547"/>
        <v>5</v>
      </c>
      <c r="BB387" s="1">
        <f t="shared" si="555"/>
        <v>20</v>
      </c>
      <c r="BC387" s="1">
        <f t="shared" si="553"/>
        <v>3</v>
      </c>
      <c r="BD387" s="1">
        <f t="shared" si="534"/>
        <v>1</v>
      </c>
      <c r="BE387" s="1">
        <f t="shared" si="527"/>
        <v>0</v>
      </c>
      <c r="BF387" s="1">
        <f>MIN(4,V387+0)</f>
        <v>3</v>
      </c>
      <c r="BG387" s="1">
        <f t="shared" si="544"/>
        <v>1</v>
      </c>
      <c r="BH387" s="1">
        <f t="shared" si="528"/>
        <v>1</v>
      </c>
      <c r="BI387" s="1">
        <f t="shared" si="545"/>
        <v>1</v>
      </c>
      <c r="BJ387" s="1">
        <f t="shared" si="548"/>
        <v>1</v>
      </c>
      <c r="BK387" s="1">
        <f t="shared" si="549"/>
        <v>1</v>
      </c>
      <c r="BL387" s="1">
        <f t="shared" si="554"/>
        <v>1</v>
      </c>
      <c r="BM387" s="1">
        <f t="shared" si="552"/>
        <v>1</v>
      </c>
      <c r="BN387" s="1">
        <f t="shared" si="529"/>
        <v>1</v>
      </c>
      <c r="BO387" s="1">
        <f t="shared" si="530"/>
        <v>1</v>
      </c>
    </row>
    <row r="388" spans="1:67" ht="30.95" customHeight="1">
      <c r="A388" s="1">
        <f>10</f>
        <v>10</v>
      </c>
      <c r="B388" s="1">
        <f>固定流程!A28</f>
        <v>23</v>
      </c>
      <c r="C388" s="1">
        <f>13</f>
        <v>13</v>
      </c>
      <c r="D388" s="1">
        <f>1</f>
        <v>1</v>
      </c>
      <c r="E388" s="1">
        <f>固定流程!C28</f>
        <v>3</v>
      </c>
      <c r="F388" s="1">
        <f>固定流程!G28</f>
        <v>2</v>
      </c>
      <c r="G388" s="1" t="str">
        <f>固定流程!H28</f>
        <v>37_FOLLOW</v>
      </c>
      <c r="H388" s="1">
        <f>固定流程!F28</f>
        <v>1</v>
      </c>
      <c r="I388" s="1">
        <f>INDEX(配置与结果!$B$15:$B$18,F388)</f>
        <v>2306</v>
      </c>
      <c r="J388" s="1">
        <f>INDEX(配置与结果!$D$15:$D$18,F388)</f>
        <v>0.46</v>
      </c>
      <c r="K388" s="1">
        <f>INDEX(配置与结果!$E$15:$E$18,F388)</f>
        <v>1.9279999999999999</v>
      </c>
      <c r="L388" s="1">
        <f t="shared" si="541"/>
        <v>2</v>
      </c>
      <c r="M388" s="1">
        <f t="shared" si="542"/>
        <v>10</v>
      </c>
      <c r="N388" s="1">
        <f t="shared" si="543"/>
        <v>2</v>
      </c>
      <c r="O388" s="1">
        <f t="shared" si="535"/>
        <v>0</v>
      </c>
      <c r="P388" s="1">
        <f>MIN(方案参数!$AI$13,AZ387+0+0)</f>
        <v>5</v>
      </c>
      <c r="Q388" s="1">
        <f t="shared" si="513"/>
        <v>5</v>
      </c>
      <c r="R388" s="1">
        <f t="shared" si="514"/>
        <v>20</v>
      </c>
      <c r="S388" s="1">
        <f t="shared" si="515"/>
        <v>3</v>
      </c>
      <c r="T388" s="1">
        <f t="shared" si="550"/>
        <v>1</v>
      </c>
      <c r="U388" s="1">
        <f t="shared" si="517"/>
        <v>0</v>
      </c>
      <c r="V388" s="1">
        <f t="shared" si="518"/>
        <v>3</v>
      </c>
      <c r="W388" s="1">
        <f t="shared" si="519"/>
        <v>1</v>
      </c>
      <c r="X388" s="1">
        <f t="shared" si="520"/>
        <v>1</v>
      </c>
      <c r="Y388" s="1">
        <f t="shared" si="521"/>
        <v>1</v>
      </c>
      <c r="Z388" s="1">
        <f t="shared" si="522"/>
        <v>1</v>
      </c>
      <c r="AA388" s="1">
        <f t="shared" si="546"/>
        <v>1</v>
      </c>
      <c r="AB388" s="1">
        <f t="shared" si="524"/>
        <v>1</v>
      </c>
      <c r="AC388" s="1">
        <f t="shared" si="551"/>
        <v>1</v>
      </c>
      <c r="AD388" s="1">
        <f>ROUNDDOWN(I388*(1+IF(F388=3,0.05+方案参数!$Y$13+AA388*0.12,IF(F388=4,方案参数!$BZ$13*方案参数!$AS$13,0)))+IF(AND(X388=1,F388&lt;&gt;3),方案参数!$CC$13,0)+AC388*方案参数!$CB$13,0)</f>
        <v>3044</v>
      </c>
      <c r="AE388" s="1">
        <f>IF(OR(F388=1,F388=4),配置与结果!$B$24,配置与结果!$B$25)*MAX(0,1-INDEX(配置与结果!$I$15:$I$18,F388))</f>
        <v>1000</v>
      </c>
      <c r="AF388" s="1">
        <f>方案参数!$BV$13</f>
        <v>4.5</v>
      </c>
      <c r="AG388" s="1">
        <f>MAX(配置与结果!$B$32,1+INDEX(配置与结果!$F$15:$F$18,F388)+0+Q388*方案参数!$W$13+Y388*(方案参数!$AN$13+MIN(方案参数!$AO$13,P388*0.03))+AB388*方案参数!$BZ$13*0.025-配置与结果!$B$28)</f>
        <v>1.8800000000000003</v>
      </c>
      <c r="AH388" s="1">
        <f>MAX(0,1+INDEX(配置与结果!$G$15:$G$18,F388)+W388*方案参数!$AG$13)</f>
        <v>1.3</v>
      </c>
      <c r="AI388" s="1">
        <f>IF(OR(INDEX(配置与结果!$K$15:$K$18,F388)=1,G388="RHI_BERRY"),1+配置与结果!$B$33+P388*方案参数!$AH$13,1)</f>
        <v>1</v>
      </c>
      <c r="AJ388" s="1">
        <f>MIN(1,MAX(0,J388+方案参数!$AB$13-配置与结果!$B$27))</f>
        <v>1</v>
      </c>
      <c r="AK388" s="1">
        <f>MAX(1,K388+IF(F388=2,0.15+方案参数!$CH$13,0)+BN388*方案参数!$X$13+R388*方案参数!$AA$13+0-配置与结果!$B$26+Z388*(方案参数!$AP$13+MIN(方案参数!$AQ$13,P388*0.03)))</f>
        <v>2.3380000000000001</v>
      </c>
      <c r="AL388" s="7">
        <f>ROUNDDOWN(MAX(AD388*配置与结果!$B$31,AD388-AE388)*AF388*AG388*AH388*AI388,0)</f>
        <v>22479</v>
      </c>
      <c r="AM388" s="7">
        <f>ROUNDDOWN(MAX(AD388*配置与结果!$B$31,AD388-AE388)*AF388*AG388*AH388*AI388*AK388,0)</f>
        <v>52558</v>
      </c>
      <c r="AN388" s="7">
        <f t="shared" si="458"/>
        <v>52558</v>
      </c>
      <c r="AO388" s="7">
        <f>方案参数!$BW$13</f>
        <v>1.5</v>
      </c>
      <c r="AP388" s="7">
        <f>MAX(0,1+INDEX(配置与结果!$J$15:$J$18,F388)+IF(T388&gt;0,方案参数!$BY$13,0)-配置与结果!$B$30)</f>
        <v>2</v>
      </c>
      <c r="AQ388" s="7">
        <f t="shared" si="459"/>
        <v>9132</v>
      </c>
      <c r="AR388" s="7">
        <f t="shared" si="460"/>
        <v>21350</v>
      </c>
      <c r="AS388" s="7">
        <f t="shared" si="461"/>
        <v>21350</v>
      </c>
      <c r="AT388" s="7">
        <f>0</f>
        <v>0</v>
      </c>
      <c r="AU388" s="7">
        <f t="shared" si="462"/>
        <v>73908</v>
      </c>
      <c r="AV388" s="1">
        <f t="shared" si="463"/>
        <v>2</v>
      </c>
      <c r="AW388" s="1">
        <f t="shared" si="556"/>
        <v>10</v>
      </c>
      <c r="AX388" s="1">
        <f t="shared" si="464"/>
        <v>2</v>
      </c>
      <c r="AY388" s="1">
        <f>MIN(20,MAX(0,O388+0+0-0))</f>
        <v>0</v>
      </c>
      <c r="AZ388" s="1">
        <f t="shared" si="465"/>
        <v>5</v>
      </c>
      <c r="BA388" s="1">
        <f t="shared" si="547"/>
        <v>5</v>
      </c>
      <c r="BB388" s="1">
        <f t="shared" si="555"/>
        <v>20</v>
      </c>
      <c r="BC388" s="1">
        <f t="shared" si="553"/>
        <v>3</v>
      </c>
      <c r="BD388" s="1">
        <f t="shared" si="534"/>
        <v>0</v>
      </c>
      <c r="BE388" s="1">
        <f t="shared" si="527"/>
        <v>0</v>
      </c>
      <c r="BF388" s="1">
        <f>MIN(4,V388+1)</f>
        <v>4</v>
      </c>
      <c r="BG388" s="1">
        <f t="shared" si="544"/>
        <v>1</v>
      </c>
      <c r="BH388" s="1">
        <f t="shared" si="528"/>
        <v>1</v>
      </c>
      <c r="BI388" s="1">
        <f t="shared" si="545"/>
        <v>1</v>
      </c>
      <c r="BJ388" s="1">
        <f t="shared" si="548"/>
        <v>1</v>
      </c>
      <c r="BK388" s="1">
        <f t="shared" si="549"/>
        <v>1</v>
      </c>
      <c r="BL388" s="1">
        <f t="shared" si="554"/>
        <v>1</v>
      </c>
      <c r="BM388" s="1">
        <f t="shared" si="552"/>
        <v>1</v>
      </c>
      <c r="BN388" s="1">
        <f t="shared" si="529"/>
        <v>1</v>
      </c>
      <c r="BO388" s="1">
        <f t="shared" si="530"/>
        <v>1</v>
      </c>
    </row>
    <row r="389" spans="1:67" ht="30.95" customHeight="1">
      <c r="A389" s="1">
        <f>10</f>
        <v>10</v>
      </c>
      <c r="B389" s="1">
        <f>固定流程!A29</f>
        <v>24</v>
      </c>
      <c r="C389" s="1">
        <f>13</f>
        <v>13</v>
      </c>
      <c r="D389" s="1">
        <f>2</f>
        <v>2</v>
      </c>
      <c r="E389" s="1">
        <f>固定流程!C29</f>
        <v>3</v>
      </c>
      <c r="F389" s="1">
        <f>固定流程!G29</f>
        <v>1</v>
      </c>
      <c r="G389" s="1" t="str">
        <f>固定流程!H29</f>
        <v>LILYA_WEAK</v>
      </c>
      <c r="H389" s="1">
        <f>固定流程!F29</f>
        <v>1</v>
      </c>
      <c r="I389" s="1">
        <f>INDEX(配置与结果!$B$15:$B$18,F389)</f>
        <v>2296</v>
      </c>
      <c r="J389" s="1">
        <f>INDEX(配置与结果!$D$15:$D$18,F389)</f>
        <v>0.7</v>
      </c>
      <c r="K389" s="1">
        <f>INDEX(配置与结果!$E$15:$E$18,F389)</f>
        <v>2.0249999999999999</v>
      </c>
      <c r="L389" s="1">
        <f t="shared" si="541"/>
        <v>2</v>
      </c>
      <c r="M389" s="1">
        <f t="shared" si="542"/>
        <v>10</v>
      </c>
      <c r="N389" s="1">
        <f t="shared" si="543"/>
        <v>2</v>
      </c>
      <c r="O389" s="1">
        <f t="shared" si="535"/>
        <v>0</v>
      </c>
      <c r="P389" s="1">
        <f>MIN(方案参数!$AI$13,AZ388+0+0)</f>
        <v>5</v>
      </c>
      <c r="Q389" s="1">
        <f t="shared" si="513"/>
        <v>5</v>
      </c>
      <c r="R389" s="1">
        <f t="shared" si="514"/>
        <v>20</v>
      </c>
      <c r="S389" s="1">
        <f t="shared" si="515"/>
        <v>3</v>
      </c>
      <c r="T389" s="1">
        <f t="shared" si="550"/>
        <v>0</v>
      </c>
      <c r="U389" s="1">
        <f t="shared" si="517"/>
        <v>0</v>
      </c>
      <c r="V389" s="1">
        <f t="shared" si="518"/>
        <v>4</v>
      </c>
      <c r="W389" s="1">
        <f t="shared" si="519"/>
        <v>1</v>
      </c>
      <c r="X389" s="1">
        <f t="shared" si="520"/>
        <v>1</v>
      </c>
      <c r="Y389" s="1">
        <f t="shared" si="521"/>
        <v>1</v>
      </c>
      <c r="Z389" s="1">
        <f t="shared" si="522"/>
        <v>1</v>
      </c>
      <c r="AA389" s="1">
        <f t="shared" si="546"/>
        <v>1</v>
      </c>
      <c r="AB389" s="1">
        <f t="shared" si="524"/>
        <v>1</v>
      </c>
      <c r="AC389" s="1">
        <f t="shared" si="551"/>
        <v>1</v>
      </c>
      <c r="AD389" s="1">
        <f>ROUNDDOWN(I389*(1+IF(F389=3,0.05+方案参数!$Y$13+AA389*0.12,IF(F389=4,方案参数!$BZ$13*方案参数!$AS$13,0)))+IF(AND(X389=1,F389&lt;&gt;3),方案参数!$CC$13,0)+AC389*方案参数!$CB$13,0)</f>
        <v>3034</v>
      </c>
      <c r="AE389" s="1">
        <f>IF(OR(F389=1,F389=4),配置与结果!$B$24,配置与结果!$B$25)*MAX(0,1-INDEX(配置与结果!$I$15:$I$18,F389))</f>
        <v>1200</v>
      </c>
      <c r="AF389" s="1">
        <f>方案参数!$BL$13</f>
        <v>9</v>
      </c>
      <c r="AG389" s="1">
        <f>MAX(配置与结果!$B$32,1+INDEX(配置与结果!$F$15:$F$18,F389)+0.08+方案参数!$CD$13+Q389*方案参数!$W$13+Y389*(方案参数!$AN$13+MIN(方案参数!$AO$13,P389*0.03))+AB389*方案参数!$BZ$13*0.025-配置与结果!$B$28+方案参数!$AE$13)</f>
        <v>2.915</v>
      </c>
      <c r="AH389" s="1">
        <f>MAX(0,1+V389*方案参数!$U$13+0*方案参数!$V$13+方案参数!$AE$13-配置与结果!$B$29)</f>
        <v>1.8599999999999999</v>
      </c>
      <c r="AI389" s="1">
        <f>IF(OR(INDEX(配置与结果!$K$15:$K$18,F389)=1,G389="RHI_BERRY"),1+配置与结果!$B$33+P389*方案参数!$AH$13,1)</f>
        <v>1</v>
      </c>
      <c r="AJ389" s="1">
        <f>MIN(1,MAX(0,J389+方案参数!$AB$13-配置与结果!$B$27))</f>
        <v>1</v>
      </c>
      <c r="AK389" s="1">
        <f>MAX(1,K389+IF(F389=2,0.15+方案参数!$CH$13,0)+BN389*方案参数!$X$13+R389*方案参数!$AA$13+方案参数!$BP$13-配置与结果!$B$26+Z389*(方案参数!$AP$13+MIN(方案参数!$AQ$13,P389*0.03)))</f>
        <v>2.7650000000000001</v>
      </c>
      <c r="AL389" s="7">
        <f>ROUNDDOWN(MAX(AD389*配置与结果!$B$31,AD389-AE389)*AF389*AG389*AH389*AI389,0)</f>
        <v>89493</v>
      </c>
      <c r="AM389" s="7">
        <f>ROUNDDOWN(MAX(AD389*配置与结果!$B$31,AD389-AE389)*AF389*AG389*AH389*AI389*AK389,0)</f>
        <v>247450</v>
      </c>
      <c r="AN389" s="7">
        <f t="shared" si="458"/>
        <v>247450</v>
      </c>
      <c r="AO389" s="7">
        <f>0</f>
        <v>0</v>
      </c>
      <c r="AP389" s="7">
        <f>MAX(0,1+INDEX(配置与结果!$J$15:$J$18,F389)+IF(T389&gt;0,方案参数!$BY$13,0)-配置与结果!$B$30)</f>
        <v>1</v>
      </c>
      <c r="AQ389" s="7">
        <f t="shared" si="459"/>
        <v>0</v>
      </c>
      <c r="AR389" s="7">
        <f t="shared" si="460"/>
        <v>0</v>
      </c>
      <c r="AS389" s="7">
        <f t="shared" si="461"/>
        <v>0</v>
      </c>
      <c r="AT389" s="7">
        <f>IF(U389&gt;0,ROUNDDOWN(AL389*方案参数!$AF$13,0)*(1-AJ389)+ROUNDDOWN(AM389*方案参数!$AF$13,0)*AJ389,0)</f>
        <v>0</v>
      </c>
      <c r="AU389" s="7">
        <f t="shared" si="462"/>
        <v>247450</v>
      </c>
      <c r="AV389" s="1">
        <f t="shared" si="463"/>
        <v>2</v>
      </c>
      <c r="AW389" s="1">
        <f t="shared" si="556"/>
        <v>10</v>
      </c>
      <c r="AX389" s="1">
        <f t="shared" si="464"/>
        <v>2</v>
      </c>
      <c r="AY389" s="1">
        <f>MIN(20,MAX(0,O389+0+1-0))</f>
        <v>1</v>
      </c>
      <c r="AZ389" s="1">
        <f t="shared" si="465"/>
        <v>5</v>
      </c>
      <c r="BA389" s="1">
        <f t="shared" si="547"/>
        <v>5</v>
      </c>
      <c r="BB389" s="1">
        <f t="shared" si="555"/>
        <v>20</v>
      </c>
      <c r="BC389" s="1">
        <f t="shared" si="553"/>
        <v>3</v>
      </c>
      <c r="BD389" s="1">
        <f t="shared" si="534"/>
        <v>0</v>
      </c>
      <c r="BE389" s="1">
        <f>MAX(0,U389-IF(AF389&gt;0,1,0))+0</f>
        <v>0</v>
      </c>
      <c r="BF389" s="1">
        <f t="shared" ref="BF389:BF406" si="557">MIN(4,V389+0)</f>
        <v>4</v>
      </c>
      <c r="BG389" s="1">
        <f t="shared" si="544"/>
        <v>1</v>
      </c>
      <c r="BH389" s="1">
        <f t="shared" si="528"/>
        <v>1</v>
      </c>
      <c r="BI389" s="1">
        <f t="shared" si="545"/>
        <v>1</v>
      </c>
      <c r="BJ389" s="1">
        <f t="shared" si="548"/>
        <v>1</v>
      </c>
      <c r="BK389" s="1">
        <f t="shared" si="549"/>
        <v>1</v>
      </c>
      <c r="BL389" s="1">
        <f t="shared" si="554"/>
        <v>1</v>
      </c>
      <c r="BM389" s="1">
        <f t="shared" si="552"/>
        <v>1</v>
      </c>
      <c r="BN389" s="1">
        <f t="shared" si="529"/>
        <v>1</v>
      </c>
      <c r="BO389" s="1">
        <f t="shared" si="530"/>
        <v>1</v>
      </c>
    </row>
    <row r="390" spans="1:67" ht="30.95" customHeight="1">
      <c r="A390" s="1">
        <f>10</f>
        <v>10</v>
      </c>
      <c r="B390" s="1">
        <f>固定流程!A30</f>
        <v>25</v>
      </c>
      <c r="C390" s="1">
        <f>13</f>
        <v>13</v>
      </c>
      <c r="D390" s="1">
        <f>2</f>
        <v>2</v>
      </c>
      <c r="E390" s="1">
        <f>固定流程!C30</f>
        <v>3</v>
      </c>
      <c r="F390" s="1">
        <f>固定流程!G30</f>
        <v>1</v>
      </c>
      <c r="G390" s="1" t="str">
        <f>固定流程!H30</f>
        <v>LILYA_WEAK</v>
      </c>
      <c r="H390" s="1">
        <f>固定流程!F30</f>
        <v>1</v>
      </c>
      <c r="I390" s="1">
        <f>INDEX(配置与结果!$B$15:$B$18,F390)</f>
        <v>2296</v>
      </c>
      <c r="J390" s="1">
        <f>INDEX(配置与结果!$D$15:$D$18,F390)</f>
        <v>0.7</v>
      </c>
      <c r="K390" s="1">
        <f>INDEX(配置与结果!$E$15:$E$18,F390)</f>
        <v>2.0249999999999999</v>
      </c>
      <c r="L390" s="1">
        <f t="shared" si="541"/>
        <v>2</v>
      </c>
      <c r="M390" s="1">
        <f t="shared" si="542"/>
        <v>10</v>
      </c>
      <c r="N390" s="1">
        <f t="shared" si="543"/>
        <v>2</v>
      </c>
      <c r="O390" s="1">
        <f t="shared" si="535"/>
        <v>1</v>
      </c>
      <c r="P390" s="1">
        <f>MIN(方案参数!$AI$13,AZ389+0+0)</f>
        <v>5</v>
      </c>
      <c r="Q390" s="1">
        <f t="shared" si="513"/>
        <v>5</v>
      </c>
      <c r="R390" s="1">
        <f t="shared" si="514"/>
        <v>20</v>
      </c>
      <c r="S390" s="1">
        <f t="shared" si="515"/>
        <v>3</v>
      </c>
      <c r="T390" s="1">
        <f t="shared" si="550"/>
        <v>0</v>
      </c>
      <c r="U390" s="1">
        <f t="shared" si="517"/>
        <v>0</v>
      </c>
      <c r="V390" s="1">
        <f t="shared" si="518"/>
        <v>4</v>
      </c>
      <c r="W390" s="1">
        <f t="shared" si="519"/>
        <v>1</v>
      </c>
      <c r="X390" s="1">
        <f t="shared" si="520"/>
        <v>1</v>
      </c>
      <c r="Y390" s="1">
        <f t="shared" si="521"/>
        <v>1</v>
      </c>
      <c r="Z390" s="1">
        <f t="shared" si="522"/>
        <v>1</v>
      </c>
      <c r="AA390" s="1">
        <f t="shared" si="546"/>
        <v>1</v>
      </c>
      <c r="AB390" s="1">
        <f t="shared" si="524"/>
        <v>1</v>
      </c>
      <c r="AC390" s="1">
        <f t="shared" si="551"/>
        <v>1</v>
      </c>
      <c r="AD390" s="1">
        <f>ROUNDDOWN(I390*(1+IF(F390=3,0.05+方案参数!$Y$13+AA390*0.12,IF(F390=4,方案参数!$BZ$13*方案参数!$AS$13,0)))+IF(AND(X390=1,F390&lt;&gt;3),方案参数!$CC$13,0)+AC390*方案参数!$CB$13,0)</f>
        <v>3034</v>
      </c>
      <c r="AE390" s="1">
        <f>IF(OR(F390=1,F390=4),配置与结果!$B$24,配置与结果!$B$25)*MAX(0,1-INDEX(配置与结果!$I$15:$I$18,F390))</f>
        <v>1200</v>
      </c>
      <c r="AF390" s="1">
        <f>方案参数!$BL$13</f>
        <v>9</v>
      </c>
      <c r="AG390" s="1">
        <f>MAX(配置与结果!$B$32,1+INDEX(配置与结果!$F$15:$F$18,F390)+0.08+方案参数!$CD$13+Q390*方案参数!$W$13+Y390*(方案参数!$AN$13+MIN(方案参数!$AO$13,P390*0.03))+AB390*方案参数!$BZ$13*0.025-配置与结果!$B$28+方案参数!$AE$13)</f>
        <v>2.915</v>
      </c>
      <c r="AH390" s="1">
        <f>MAX(0,1+V390*方案参数!$U$13+1*方案参数!$V$13+方案参数!$AE$13-配置与结果!$B$29)</f>
        <v>1.92</v>
      </c>
      <c r="AI390" s="1">
        <f>IF(OR(INDEX(配置与结果!$K$15:$K$18,F390)=1,G390="RHI_BERRY"),1+配置与结果!$B$33+P390*方案参数!$AH$13,1)</f>
        <v>1</v>
      </c>
      <c r="AJ390" s="1">
        <f>MIN(1,MAX(0,J390+方案参数!$AB$13-配置与结果!$B$27))</f>
        <v>1</v>
      </c>
      <c r="AK390" s="1">
        <f>MAX(1,K390+IF(F390=2,0.15+方案参数!$CH$13,0)+BN390*方案参数!$X$13+R390*方案参数!$AA$13+方案参数!$BP$13-配置与结果!$B$26+Z390*(方案参数!$AP$13+MIN(方案参数!$AQ$13,P390*0.03)))</f>
        <v>2.7650000000000001</v>
      </c>
      <c r="AL390" s="7">
        <f>ROUNDDOWN(MAX(AD390*配置与结果!$B$31,AD390-AE390)*AF390*AG390*AH390*AI390,0)</f>
        <v>92380</v>
      </c>
      <c r="AM390" s="7">
        <f>ROUNDDOWN(MAX(AD390*配置与结果!$B$31,AD390-AE390)*AF390*AG390*AH390*AI390*AK390,0)</f>
        <v>255432</v>
      </c>
      <c r="AN390" s="7">
        <f t="shared" ref="AN390:AN453" si="558">AL390*(1-AJ390)+AM390*AJ390</f>
        <v>255432</v>
      </c>
      <c r="AO390" s="7">
        <f>0</f>
        <v>0</v>
      </c>
      <c r="AP390" s="7">
        <f>MAX(0,1+INDEX(配置与结果!$J$15:$J$18,F390)+IF(T390&gt;0,方案参数!$BY$13,0)-配置与结果!$B$30)</f>
        <v>1</v>
      </c>
      <c r="AQ390" s="7">
        <f t="shared" ref="AQ390:AQ453" si="559">ROUNDDOWN(ROUNDDOWN(AD390*AO390,0)*AP390,0)</f>
        <v>0</v>
      </c>
      <c r="AR390" s="7">
        <f t="shared" ref="AR390:AR453" si="560">ROUNDDOWN(ROUNDDOWN(AD390*AO390,0)*AP390*AK390,0)</f>
        <v>0</v>
      </c>
      <c r="AS390" s="7">
        <f t="shared" ref="AS390:AS453" si="561">AQ390*(1-AJ390)+AR390*AJ390</f>
        <v>0</v>
      </c>
      <c r="AT390" s="7">
        <f>IF(U390&gt;0,ROUNDDOWN(AL390*方案参数!$AF$13,0)*(1-AJ390)+ROUNDDOWN(AM390*方案参数!$AF$13,0)*AJ390,0)</f>
        <v>0</v>
      </c>
      <c r="AU390" s="7">
        <f t="shared" ref="AU390:AU453" si="562">AN390+AS390+AT390</f>
        <v>255432</v>
      </c>
      <c r="AV390" s="1">
        <f t="shared" ref="AV390:AV453" si="563">IF(G390="LILYA_COBRA",IF(L390=0,1,L390),L390)</f>
        <v>2</v>
      </c>
      <c r="AW390" s="1">
        <f t="shared" si="556"/>
        <v>10</v>
      </c>
      <c r="AX390" s="1">
        <f t="shared" ref="AX390:AX453" si="564">N390</f>
        <v>2</v>
      </c>
      <c r="AY390" s="1">
        <f>MIN(20,MAX(0,O390+0+1-0))</f>
        <v>2</v>
      </c>
      <c r="AZ390" s="1">
        <f t="shared" ref="AZ390:AZ453" si="565">P390</f>
        <v>5</v>
      </c>
      <c r="BA390" s="1">
        <f t="shared" si="547"/>
        <v>5</v>
      </c>
      <c r="BB390" s="1">
        <f t="shared" si="555"/>
        <v>20</v>
      </c>
      <c r="BC390" s="1">
        <f t="shared" si="553"/>
        <v>3</v>
      </c>
      <c r="BD390" s="1">
        <f t="shared" si="534"/>
        <v>0</v>
      </c>
      <c r="BE390" s="1">
        <f>MAX(0,U390-IF(AF390&gt;0,1,0))+0</f>
        <v>0</v>
      </c>
      <c r="BF390" s="1">
        <f t="shared" si="557"/>
        <v>4</v>
      </c>
      <c r="BG390" s="1">
        <f t="shared" si="544"/>
        <v>1</v>
      </c>
      <c r="BH390" s="1">
        <f t="shared" si="528"/>
        <v>1</v>
      </c>
      <c r="BI390" s="1">
        <f t="shared" si="545"/>
        <v>1</v>
      </c>
      <c r="BJ390" s="1">
        <f t="shared" si="548"/>
        <v>1</v>
      </c>
      <c r="BK390" s="1">
        <f t="shared" si="549"/>
        <v>1</v>
      </c>
      <c r="BL390" s="1">
        <f t="shared" si="554"/>
        <v>1</v>
      </c>
      <c r="BM390" s="1">
        <f t="shared" si="552"/>
        <v>1</v>
      </c>
      <c r="BN390" s="1">
        <f t="shared" si="529"/>
        <v>1</v>
      </c>
      <c r="BO390" s="1">
        <f t="shared" si="530"/>
        <v>1</v>
      </c>
    </row>
    <row r="391" spans="1:67" ht="30.95" customHeight="1">
      <c r="A391" s="1">
        <f>10</f>
        <v>10</v>
      </c>
      <c r="B391" s="1">
        <f>固定流程!A31</f>
        <v>26</v>
      </c>
      <c r="C391" s="1">
        <f>13</f>
        <v>13</v>
      </c>
      <c r="D391" s="1">
        <f>2</f>
        <v>2</v>
      </c>
      <c r="E391" s="1">
        <f>固定流程!C31</f>
        <v>3</v>
      </c>
      <c r="F391" s="1">
        <f>固定流程!G31</f>
        <v>2</v>
      </c>
      <c r="G391" s="1" t="str">
        <f>固定流程!H31</f>
        <v>37_WEAK</v>
      </c>
      <c r="H391" s="1">
        <f>固定流程!F31</f>
        <v>1</v>
      </c>
      <c r="I391" s="1">
        <f>INDEX(配置与结果!$B$15:$B$18,F391)</f>
        <v>2306</v>
      </c>
      <c r="J391" s="1">
        <f>INDEX(配置与结果!$D$15:$D$18,F391)</f>
        <v>0.46</v>
      </c>
      <c r="K391" s="1">
        <f>INDEX(配置与结果!$E$15:$E$18,F391)</f>
        <v>1.9279999999999999</v>
      </c>
      <c r="L391" s="1">
        <f t="shared" si="541"/>
        <v>2</v>
      </c>
      <c r="M391" s="1">
        <f t="shared" si="542"/>
        <v>10</v>
      </c>
      <c r="N391" s="1">
        <f t="shared" si="543"/>
        <v>2</v>
      </c>
      <c r="O391" s="1">
        <f t="shared" si="535"/>
        <v>2</v>
      </c>
      <c r="P391" s="1">
        <f>MIN(方案参数!$AI$13,AZ390+0+0)</f>
        <v>5</v>
      </c>
      <c r="Q391" s="1">
        <f t="shared" si="513"/>
        <v>5</v>
      </c>
      <c r="R391" s="1">
        <f t="shared" si="514"/>
        <v>20</v>
      </c>
      <c r="S391" s="1">
        <f t="shared" si="515"/>
        <v>3</v>
      </c>
      <c r="T391" s="1">
        <f t="shared" si="550"/>
        <v>0</v>
      </c>
      <c r="U391" s="1">
        <f t="shared" si="517"/>
        <v>0</v>
      </c>
      <c r="V391" s="1">
        <f t="shared" si="518"/>
        <v>4</v>
      </c>
      <c r="W391" s="1">
        <f t="shared" si="519"/>
        <v>1</v>
      </c>
      <c r="X391" s="1">
        <f t="shared" si="520"/>
        <v>1</v>
      </c>
      <c r="Y391" s="1">
        <f t="shared" si="521"/>
        <v>1</v>
      </c>
      <c r="Z391" s="1">
        <f t="shared" si="522"/>
        <v>1</v>
      </c>
      <c r="AA391" s="1">
        <f t="shared" si="546"/>
        <v>1</v>
      </c>
      <c r="AB391" s="1">
        <f t="shared" si="524"/>
        <v>1</v>
      </c>
      <c r="AC391" s="1">
        <f t="shared" si="551"/>
        <v>1</v>
      </c>
      <c r="AD391" s="1">
        <f>ROUNDDOWN(I391*(1+IF(F391=3,0.05+方案参数!$Y$13+AA391*0.12,IF(F391=4,方案参数!$BZ$13*方案参数!$AS$13,0)))+IF(AND(X391=1,F391&lt;&gt;3),方案参数!$CC$13,0)+AC391*方案参数!$CB$13,0)</f>
        <v>3044</v>
      </c>
      <c r="AE391" s="1">
        <f>IF(OR(F391=1,F391=4),配置与结果!$B$24,配置与结果!$B$25)*MAX(0,1-INDEX(配置与结果!$I$15:$I$18,F391))</f>
        <v>1000</v>
      </c>
      <c r="AF391" s="1">
        <f>方案参数!$CE$13</f>
        <v>9</v>
      </c>
      <c r="AG391" s="1">
        <f>MAX(配置与结果!$B$32,1+INDEX(配置与结果!$F$15:$F$18,F391)+0+Q391*方案参数!$W$13+Y391*(方案参数!$AN$13+MIN(方案参数!$AO$13,P391*0.03))+AB391*方案参数!$BZ$13*0.025-配置与结果!$B$28+方案参数!$AE$13)</f>
        <v>2.58</v>
      </c>
      <c r="AH391" s="1">
        <f>MAX(0,1+V391*方案参数!$U$13+方案参数!$AE$13-配置与结果!$B$29)</f>
        <v>1.8599999999999999</v>
      </c>
      <c r="AI391" s="1">
        <f>IF(OR(INDEX(配置与结果!$K$15:$K$18,F391)=1,G391="RHI_BERRY"),1+配置与结果!$B$33+P391*方案参数!$AH$13,1)</f>
        <v>1</v>
      </c>
      <c r="AJ391" s="1">
        <f>MIN(1,MAX(0,J391+方案参数!$AB$13-配置与结果!$B$27))</f>
        <v>1</v>
      </c>
      <c r="AK391" s="1">
        <f>MAX(1,K391+IF(F391=2,0.15+方案参数!$CH$13,0)+BN391*方案参数!$X$13+R391*方案参数!$AA$13+0-配置与结果!$B$26+Z391*(方案参数!$AP$13+MIN(方案参数!$AQ$13,P391*0.03)))</f>
        <v>2.3380000000000001</v>
      </c>
      <c r="AL391" s="7">
        <f>ROUNDDOWN(MAX(AD391*配置与结果!$B$31,AD391-AE391)*AF391*AG391*AH391*AI391,0)</f>
        <v>88278</v>
      </c>
      <c r="AM391" s="7">
        <f>ROUNDDOWN(MAX(AD391*配置与结果!$B$31,AD391-AE391)*AF391*AG391*AH391*AI391*AK391,0)</f>
        <v>206395</v>
      </c>
      <c r="AN391" s="7">
        <f t="shared" si="558"/>
        <v>206395</v>
      </c>
      <c r="AO391" s="7">
        <f>0</f>
        <v>0</v>
      </c>
      <c r="AP391" s="7">
        <f>MAX(0,1+INDEX(配置与结果!$J$15:$J$18,F391)+IF(T391&gt;0,方案参数!$BY$13,0)-配置与结果!$B$30)</f>
        <v>1</v>
      </c>
      <c r="AQ391" s="7">
        <f t="shared" si="559"/>
        <v>0</v>
      </c>
      <c r="AR391" s="7">
        <f t="shared" si="560"/>
        <v>0</v>
      </c>
      <c r="AS391" s="7">
        <f t="shared" si="561"/>
        <v>0</v>
      </c>
      <c r="AT391" s="7">
        <f>IF(U391&gt;0,ROUNDDOWN(AL391*方案参数!$AF$13,0)*(1-AJ391)+ROUNDDOWN(AM391*方案参数!$AF$13,0)*AJ391,0)</f>
        <v>0</v>
      </c>
      <c r="AU391" s="7">
        <f t="shared" si="562"/>
        <v>206395</v>
      </c>
      <c r="AV391" s="1">
        <f t="shared" si="563"/>
        <v>2</v>
      </c>
      <c r="AW391" s="1">
        <f t="shared" si="556"/>
        <v>10</v>
      </c>
      <c r="AX391" s="1">
        <f t="shared" si="564"/>
        <v>2</v>
      </c>
      <c r="AY391" s="1">
        <f>MIN(20,MAX(0,O391+0+0-0))</f>
        <v>2</v>
      </c>
      <c r="AZ391" s="1">
        <f t="shared" si="565"/>
        <v>5</v>
      </c>
      <c r="BA391" s="1">
        <f t="shared" si="547"/>
        <v>5</v>
      </c>
      <c r="BB391" s="1">
        <f t="shared" si="555"/>
        <v>20</v>
      </c>
      <c r="BC391" s="1">
        <f t="shared" si="553"/>
        <v>3</v>
      </c>
      <c r="BD391" s="1">
        <f t="shared" si="534"/>
        <v>0</v>
      </c>
      <c r="BE391" s="1">
        <f>MAX(0,U391-IF(AF391&gt;0,1,0))+1</f>
        <v>1</v>
      </c>
      <c r="BF391" s="1">
        <f t="shared" si="557"/>
        <v>4</v>
      </c>
      <c r="BG391" s="1">
        <f t="shared" si="544"/>
        <v>1</v>
      </c>
      <c r="BH391" s="1">
        <f t="shared" si="528"/>
        <v>1</v>
      </c>
      <c r="BI391" s="1">
        <f t="shared" si="545"/>
        <v>1</v>
      </c>
      <c r="BJ391" s="1">
        <f t="shared" si="548"/>
        <v>1</v>
      </c>
      <c r="BK391" s="1">
        <f t="shared" si="549"/>
        <v>1</v>
      </c>
      <c r="BL391" s="1">
        <f t="shared" si="554"/>
        <v>1</v>
      </c>
      <c r="BM391" s="1">
        <f t="shared" si="552"/>
        <v>1</v>
      </c>
      <c r="BN391" s="1">
        <f t="shared" si="529"/>
        <v>1</v>
      </c>
      <c r="BO391" s="1">
        <f t="shared" si="530"/>
        <v>1</v>
      </c>
    </row>
    <row r="392" spans="1:67" ht="30.95" customHeight="1">
      <c r="A392" s="1">
        <f>10</f>
        <v>10</v>
      </c>
      <c r="B392" s="1">
        <f>固定流程!A32</f>
        <v>27</v>
      </c>
      <c r="C392" s="1">
        <f>13</f>
        <v>13</v>
      </c>
      <c r="D392" s="1">
        <f>2</f>
        <v>2</v>
      </c>
      <c r="E392" s="1">
        <f>固定流程!C32</f>
        <v>3</v>
      </c>
      <c r="F392" s="1">
        <f>固定流程!G32</f>
        <v>1</v>
      </c>
      <c r="G392" s="1" t="str">
        <f>固定流程!H32</f>
        <v>LILYA_THIRD</v>
      </c>
      <c r="H392" s="1">
        <f>固定流程!F32</f>
        <v>1</v>
      </c>
      <c r="I392" s="1">
        <f>INDEX(配置与结果!$B$15:$B$18,F392)</f>
        <v>2296</v>
      </c>
      <c r="J392" s="1">
        <f>INDEX(配置与结果!$D$15:$D$18,F392)</f>
        <v>0.7</v>
      </c>
      <c r="K392" s="1">
        <f>INDEX(配置与结果!$E$15:$E$18,F392)</f>
        <v>2.0249999999999999</v>
      </c>
      <c r="L392" s="1">
        <f t="shared" si="541"/>
        <v>2</v>
      </c>
      <c r="M392" s="1">
        <f t="shared" si="542"/>
        <v>10</v>
      </c>
      <c r="N392" s="1">
        <f t="shared" si="543"/>
        <v>2</v>
      </c>
      <c r="O392" s="1">
        <f t="shared" si="535"/>
        <v>2</v>
      </c>
      <c r="P392" s="1">
        <f>MIN(方案参数!$AI$13,AZ391+0+0)</f>
        <v>5</v>
      </c>
      <c r="Q392" s="1">
        <f t="shared" si="513"/>
        <v>5</v>
      </c>
      <c r="R392" s="1">
        <f t="shared" si="514"/>
        <v>20</v>
      </c>
      <c r="S392" s="1">
        <f t="shared" si="515"/>
        <v>3</v>
      </c>
      <c r="T392" s="1">
        <f t="shared" si="550"/>
        <v>0</v>
      </c>
      <c r="U392" s="1">
        <f t="shared" si="517"/>
        <v>1</v>
      </c>
      <c r="V392" s="1">
        <f t="shared" si="518"/>
        <v>4</v>
      </c>
      <c r="W392" s="1">
        <f t="shared" si="519"/>
        <v>1</v>
      </c>
      <c r="X392" s="1">
        <f t="shared" si="520"/>
        <v>1</v>
      </c>
      <c r="Y392" s="1">
        <f t="shared" si="521"/>
        <v>1</v>
      </c>
      <c r="Z392" s="1">
        <f t="shared" si="522"/>
        <v>1</v>
      </c>
      <c r="AA392" s="1">
        <f t="shared" si="546"/>
        <v>1</v>
      </c>
      <c r="AB392" s="1">
        <f t="shared" si="524"/>
        <v>1</v>
      </c>
      <c r="AC392" s="1">
        <f t="shared" si="551"/>
        <v>1</v>
      </c>
      <c r="AD392" s="1">
        <f>ROUNDDOWN(I392*(1+IF(F392=3,0.05+方案参数!$Y$13+AA392*0.12,IF(F392=4,方案参数!$BZ$13*方案参数!$AS$13,0)))+IF(AND(X392=1,F392&lt;&gt;3),方案参数!$CC$13,0)+AC392*方案参数!$CB$13,0)</f>
        <v>3034</v>
      </c>
      <c r="AE392" s="1">
        <f>IF(OR(F392=1,F392=4),配置与结果!$B$24,配置与结果!$B$25)*MAX(0,1-INDEX(配置与结果!$I$15:$I$18,F392))</f>
        <v>1200</v>
      </c>
      <c r="AF392" s="1">
        <f>方案参数!$BM$13</f>
        <v>20</v>
      </c>
      <c r="AG392" s="1">
        <f>MAX(配置与结果!$B$32,1+INDEX(配置与结果!$F$15:$F$18,F392)+0.08+方案参数!$CD$13+Q392*方案参数!$W$13+Y392*(方案参数!$AN$13+MIN(方案参数!$AO$13,P392*0.03))+AB392*方案参数!$BZ$13*0.025-配置与结果!$B$28+方案参数!$AE$13)</f>
        <v>2.915</v>
      </c>
      <c r="AH392" s="1">
        <f>MAX(0,1+V392*方案参数!$U$13+3*方案参数!$V$13+方案参数!$AE$13-配置与结果!$B$29)</f>
        <v>2.04</v>
      </c>
      <c r="AI392" s="1">
        <f>IF(OR(INDEX(配置与结果!$K$15:$K$18,F392)=1,G392="RHI_BERRY"),1+配置与结果!$B$33+P392*方案参数!$AH$13,1)</f>
        <v>1</v>
      </c>
      <c r="AJ392" s="1">
        <f>MIN(1,MAX(0,J392+方案参数!$AB$13-配置与结果!$B$27))</f>
        <v>1</v>
      </c>
      <c r="AK392" s="1">
        <f>MAX(1,K392+IF(F392=2,0.15+方案参数!$CH$13,0)+BN392*方案参数!$X$13+R392*方案参数!$AA$13+方案参数!$BQ$13-配置与结果!$B$26+Z392*(方案参数!$AP$13+MIN(方案参数!$AQ$13,P392*0.03)))</f>
        <v>2.9650000000000003</v>
      </c>
      <c r="AL392" s="7">
        <f>ROUNDDOWN(MAX(AD392*配置与结果!$B$31,AD392-AE392)*AF392*AG392*AH392*AI392,0)</f>
        <v>218121</v>
      </c>
      <c r="AM392" s="7">
        <f>ROUNDDOWN(MAX(AD392*配置与结果!$B$31,AD392-AE392)*AF392*AG392*AH392*AI392*AK392,0)</f>
        <v>646729</v>
      </c>
      <c r="AN392" s="7">
        <f t="shared" si="558"/>
        <v>646729</v>
      </c>
      <c r="AO392" s="7">
        <f>0</f>
        <v>0</v>
      </c>
      <c r="AP392" s="7">
        <f>MAX(0,1+INDEX(配置与结果!$J$15:$J$18,F392)+IF(T392&gt;0,方案参数!$BY$13,0)-配置与结果!$B$30)</f>
        <v>1</v>
      </c>
      <c r="AQ392" s="7">
        <f t="shared" si="559"/>
        <v>0</v>
      </c>
      <c r="AR392" s="7">
        <f t="shared" si="560"/>
        <v>0</v>
      </c>
      <c r="AS392" s="7">
        <f t="shared" si="561"/>
        <v>0</v>
      </c>
      <c r="AT392" s="7">
        <f>IF(U392&gt;0,ROUNDDOWN(AL392*方案参数!$AF$13,0)*(1-AJ392)+ROUNDDOWN(AM392*方案参数!$AF$13,0)*AJ392,0)</f>
        <v>388037</v>
      </c>
      <c r="AU392" s="7">
        <f t="shared" si="562"/>
        <v>1034766</v>
      </c>
      <c r="AV392" s="1">
        <f t="shared" si="563"/>
        <v>2</v>
      </c>
      <c r="AW392" s="1">
        <f t="shared" si="556"/>
        <v>10</v>
      </c>
      <c r="AX392" s="1">
        <f t="shared" si="564"/>
        <v>2</v>
      </c>
      <c r="AY392" s="1">
        <f>MIN(20,MAX(0,O392+0+1-0))</f>
        <v>3</v>
      </c>
      <c r="AZ392" s="1">
        <f t="shared" si="565"/>
        <v>5</v>
      </c>
      <c r="BA392" s="1">
        <f t="shared" si="547"/>
        <v>5</v>
      </c>
      <c r="BB392" s="1">
        <f t="shared" si="555"/>
        <v>20</v>
      </c>
      <c r="BC392" s="1">
        <f t="shared" si="553"/>
        <v>3</v>
      </c>
      <c r="BD392" s="1">
        <f t="shared" si="534"/>
        <v>0</v>
      </c>
      <c r="BE392" s="1">
        <f>MAX(0,U392-IF(AF392&gt;0,1,0))+0</f>
        <v>0</v>
      </c>
      <c r="BF392" s="1">
        <f t="shared" si="557"/>
        <v>4</v>
      </c>
      <c r="BG392" s="1">
        <f t="shared" si="544"/>
        <v>1</v>
      </c>
      <c r="BH392" s="1">
        <f t="shared" si="528"/>
        <v>1</v>
      </c>
      <c r="BI392" s="1">
        <f t="shared" si="545"/>
        <v>1</v>
      </c>
      <c r="BJ392" s="1">
        <f t="shared" si="548"/>
        <v>1</v>
      </c>
      <c r="BK392" s="1">
        <f t="shared" si="549"/>
        <v>1</v>
      </c>
      <c r="BL392" s="1">
        <f t="shared" si="554"/>
        <v>1</v>
      </c>
      <c r="BM392" s="1">
        <f t="shared" si="552"/>
        <v>1</v>
      </c>
      <c r="BN392" s="1">
        <f t="shared" si="529"/>
        <v>1</v>
      </c>
      <c r="BO392" s="1">
        <f t="shared" si="530"/>
        <v>1</v>
      </c>
    </row>
    <row r="393" spans="1:67" ht="30.95" customHeight="1">
      <c r="A393" s="1">
        <f>10</f>
        <v>10</v>
      </c>
      <c r="B393" s="1">
        <f>固定流程!A33</f>
        <v>28</v>
      </c>
      <c r="C393" s="1">
        <f>13</f>
        <v>13</v>
      </c>
      <c r="D393" s="1">
        <f>2</f>
        <v>2</v>
      </c>
      <c r="E393" s="1">
        <f>固定流程!C33</f>
        <v>3</v>
      </c>
      <c r="F393" s="1">
        <f>固定流程!G33</f>
        <v>1</v>
      </c>
      <c r="G393" s="1" t="str">
        <f>固定流程!H33</f>
        <v>LILYA_WEAK</v>
      </c>
      <c r="H393" s="1">
        <f>固定流程!F33</f>
        <v>1</v>
      </c>
      <c r="I393" s="1">
        <f>INDEX(配置与结果!$B$15:$B$18,F393)</f>
        <v>2296</v>
      </c>
      <c r="J393" s="1">
        <f>INDEX(配置与结果!$D$15:$D$18,F393)</f>
        <v>0.7</v>
      </c>
      <c r="K393" s="1">
        <f>INDEX(配置与结果!$E$15:$E$18,F393)</f>
        <v>2.0249999999999999</v>
      </c>
      <c r="L393" s="1">
        <f t="shared" si="541"/>
        <v>2</v>
      </c>
      <c r="M393" s="1">
        <f t="shared" si="542"/>
        <v>10</v>
      </c>
      <c r="N393" s="1">
        <f t="shared" si="543"/>
        <v>2</v>
      </c>
      <c r="O393" s="1">
        <f t="shared" si="535"/>
        <v>3</v>
      </c>
      <c r="P393" s="1">
        <f>MIN(方案参数!$AI$13,AZ392+0+0)</f>
        <v>5</v>
      </c>
      <c r="Q393" s="1">
        <f t="shared" si="513"/>
        <v>5</v>
      </c>
      <c r="R393" s="1">
        <f t="shared" si="514"/>
        <v>20</v>
      </c>
      <c r="S393" s="1">
        <f t="shared" si="515"/>
        <v>3</v>
      </c>
      <c r="T393" s="1">
        <f t="shared" si="550"/>
        <v>0</v>
      </c>
      <c r="U393" s="1">
        <f t="shared" si="517"/>
        <v>0</v>
      </c>
      <c r="V393" s="1">
        <f t="shared" si="518"/>
        <v>4</v>
      </c>
      <c r="W393" s="1">
        <f t="shared" si="519"/>
        <v>1</v>
      </c>
      <c r="X393" s="1">
        <f t="shared" si="520"/>
        <v>1</v>
      </c>
      <c r="Y393" s="1">
        <f t="shared" si="521"/>
        <v>1</v>
      </c>
      <c r="Z393" s="1">
        <f t="shared" si="522"/>
        <v>1</v>
      </c>
      <c r="AA393" s="1">
        <f t="shared" si="546"/>
        <v>1</v>
      </c>
      <c r="AB393" s="1">
        <f t="shared" si="524"/>
        <v>1</v>
      </c>
      <c r="AC393" s="1">
        <f t="shared" si="551"/>
        <v>1</v>
      </c>
      <c r="AD393" s="1">
        <f>ROUNDDOWN(I393*(1+IF(F393=3,0.05+方案参数!$Y$13+AA393*0.12,IF(F393=4,方案参数!$BZ$13*方案参数!$AS$13,0)))+IF(AND(X393=1,F393&lt;&gt;3),方案参数!$CC$13,0)+AC393*方案参数!$CB$13,0)</f>
        <v>3034</v>
      </c>
      <c r="AE393" s="1">
        <f>IF(OR(F393=1,F393=4),配置与结果!$B$24,配置与结果!$B$25)*MAX(0,1-INDEX(配置与结果!$I$15:$I$18,F393))</f>
        <v>1200</v>
      </c>
      <c r="AF393" s="1">
        <f>方案参数!$BL$13</f>
        <v>9</v>
      </c>
      <c r="AG393" s="1">
        <f>MAX(配置与结果!$B$32,1+INDEX(配置与结果!$F$15:$F$18,F393)+0.08+方案参数!$CD$13+Q393*方案参数!$W$13+Y393*(方案参数!$AN$13+MIN(方案参数!$AO$13,P393*0.03))+AB393*方案参数!$BZ$13*0.025-配置与结果!$B$28+方案参数!$AE$13)</f>
        <v>2.915</v>
      </c>
      <c r="AH393" s="1">
        <f>MAX(0,1+V393*方案参数!$U$13+4*方案参数!$V$13+方案参数!$AE$13-配置与结果!$B$29)</f>
        <v>2.0999999999999996</v>
      </c>
      <c r="AI393" s="1">
        <f>IF(OR(INDEX(配置与结果!$K$15:$K$18,F393)=1,G393="RHI_BERRY"),1+配置与结果!$B$33+P393*方案参数!$AH$13,1)</f>
        <v>1</v>
      </c>
      <c r="AJ393" s="1">
        <f>MIN(1,MAX(0,J393+方案参数!$AB$13-配置与结果!$B$27))</f>
        <v>1</v>
      </c>
      <c r="AK393" s="1">
        <f>MAX(1,K393+IF(F393=2,0.15+方案参数!$CH$13,0)+BN393*方案参数!$X$13+R393*方案参数!$AA$13+方案参数!$BP$13-配置与结果!$B$26+Z393*(方案参数!$AP$13+MIN(方案参数!$AQ$13,P393*0.03)))</f>
        <v>2.7650000000000001</v>
      </c>
      <c r="AL393" s="7">
        <f>ROUNDDOWN(MAX(AD393*配置与结果!$B$31,AD393-AE393)*AF393*AG393*AH393*AI393,0)</f>
        <v>101041</v>
      </c>
      <c r="AM393" s="7">
        <f>ROUNDDOWN(MAX(AD393*配置与结果!$B$31,AD393-AE393)*AF393*AG393*AH393*AI393*AK393,0)</f>
        <v>279379</v>
      </c>
      <c r="AN393" s="7">
        <f t="shared" si="558"/>
        <v>279379</v>
      </c>
      <c r="AO393" s="7">
        <f>0</f>
        <v>0</v>
      </c>
      <c r="AP393" s="7">
        <f>MAX(0,1+INDEX(配置与结果!$J$15:$J$18,F393)+IF(T393&gt;0,方案参数!$BY$13,0)-配置与结果!$B$30)</f>
        <v>1</v>
      </c>
      <c r="AQ393" s="7">
        <f t="shared" si="559"/>
        <v>0</v>
      </c>
      <c r="AR393" s="7">
        <f t="shared" si="560"/>
        <v>0</v>
      </c>
      <c r="AS393" s="7">
        <f t="shared" si="561"/>
        <v>0</v>
      </c>
      <c r="AT393" s="7">
        <f>IF(U393&gt;0,ROUNDDOWN(AL393*方案参数!$AF$13,0)*(1-AJ393)+ROUNDDOWN(AM393*方案参数!$AF$13,0)*AJ393,0)</f>
        <v>0</v>
      </c>
      <c r="AU393" s="7">
        <f t="shared" si="562"/>
        <v>279379</v>
      </c>
      <c r="AV393" s="1">
        <f t="shared" si="563"/>
        <v>2</v>
      </c>
      <c r="AW393" s="1">
        <f t="shared" si="556"/>
        <v>10</v>
      </c>
      <c r="AX393" s="1">
        <f t="shared" si="564"/>
        <v>2</v>
      </c>
      <c r="AY393" s="1">
        <f>MIN(20,MAX(0,O393+0+1-0))</f>
        <v>4</v>
      </c>
      <c r="AZ393" s="1">
        <f t="shared" si="565"/>
        <v>5</v>
      </c>
      <c r="BA393" s="1">
        <f t="shared" si="547"/>
        <v>5</v>
      </c>
      <c r="BB393" s="1">
        <f t="shared" si="555"/>
        <v>20</v>
      </c>
      <c r="BC393" s="1">
        <f t="shared" si="553"/>
        <v>3</v>
      </c>
      <c r="BD393" s="1">
        <f t="shared" si="534"/>
        <v>0</v>
      </c>
      <c r="BE393" s="1">
        <f>MAX(0,U393-IF(AF393&gt;0,1,0))+0</f>
        <v>0</v>
      </c>
      <c r="BF393" s="1">
        <f t="shared" si="557"/>
        <v>4</v>
      </c>
      <c r="BG393" s="1">
        <f t="shared" si="544"/>
        <v>1</v>
      </c>
      <c r="BH393" s="1">
        <f t="shared" si="528"/>
        <v>1</v>
      </c>
      <c r="BI393" s="1">
        <f t="shared" si="545"/>
        <v>1</v>
      </c>
      <c r="BJ393" s="1">
        <f t="shared" si="548"/>
        <v>1</v>
      </c>
      <c r="BK393" s="1">
        <f t="shared" si="549"/>
        <v>1</v>
      </c>
      <c r="BL393" s="1">
        <f t="shared" si="554"/>
        <v>1</v>
      </c>
      <c r="BM393" s="1">
        <f t="shared" si="552"/>
        <v>1</v>
      </c>
      <c r="BN393" s="1">
        <f t="shared" si="529"/>
        <v>1</v>
      </c>
      <c r="BO393" s="1">
        <f t="shared" si="530"/>
        <v>1</v>
      </c>
    </row>
    <row r="394" spans="1:67" ht="30.95" customHeight="1">
      <c r="A394" s="1">
        <f>10</f>
        <v>10</v>
      </c>
      <c r="B394" s="1">
        <f>固定流程!A34</f>
        <v>29</v>
      </c>
      <c r="C394" s="1">
        <f>13</f>
        <v>13</v>
      </c>
      <c r="D394" s="1">
        <f>2</f>
        <v>2</v>
      </c>
      <c r="E394" s="1">
        <f>固定流程!C34</f>
        <v>3</v>
      </c>
      <c r="F394" s="1">
        <f>固定流程!G34</f>
        <v>1</v>
      </c>
      <c r="G394" s="1" t="str">
        <f>固定流程!H34</f>
        <v>LILYA_WEAK</v>
      </c>
      <c r="H394" s="1">
        <f>固定流程!F34</f>
        <v>1</v>
      </c>
      <c r="I394" s="1">
        <f>INDEX(配置与结果!$B$15:$B$18,F394)</f>
        <v>2296</v>
      </c>
      <c r="J394" s="1">
        <f>INDEX(配置与结果!$D$15:$D$18,F394)</f>
        <v>0.7</v>
      </c>
      <c r="K394" s="1">
        <f>INDEX(配置与结果!$E$15:$E$18,F394)</f>
        <v>2.0249999999999999</v>
      </c>
      <c r="L394" s="1">
        <f t="shared" si="541"/>
        <v>2</v>
      </c>
      <c r="M394" s="1">
        <f t="shared" si="542"/>
        <v>10</v>
      </c>
      <c r="N394" s="1">
        <f t="shared" si="543"/>
        <v>2</v>
      </c>
      <c r="O394" s="1">
        <f t="shared" si="535"/>
        <v>4</v>
      </c>
      <c r="P394" s="1">
        <f>MIN(方案参数!$AI$13,AZ393+0+0)</f>
        <v>5</v>
      </c>
      <c r="Q394" s="1">
        <f t="shared" si="513"/>
        <v>5</v>
      </c>
      <c r="R394" s="1">
        <f t="shared" si="514"/>
        <v>20</v>
      </c>
      <c r="S394" s="1">
        <f t="shared" si="515"/>
        <v>3</v>
      </c>
      <c r="T394" s="1">
        <f t="shared" si="550"/>
        <v>0</v>
      </c>
      <c r="U394" s="1">
        <f t="shared" si="517"/>
        <v>0</v>
      </c>
      <c r="V394" s="1">
        <f t="shared" si="518"/>
        <v>4</v>
      </c>
      <c r="W394" s="1">
        <f t="shared" si="519"/>
        <v>1</v>
      </c>
      <c r="X394" s="1">
        <f t="shared" si="520"/>
        <v>1</v>
      </c>
      <c r="Y394" s="1">
        <f t="shared" si="521"/>
        <v>1</v>
      </c>
      <c r="Z394" s="1">
        <f t="shared" si="522"/>
        <v>1</v>
      </c>
      <c r="AA394" s="1">
        <f t="shared" si="546"/>
        <v>1</v>
      </c>
      <c r="AB394" s="1">
        <f t="shared" si="524"/>
        <v>1</v>
      </c>
      <c r="AC394" s="1">
        <f t="shared" si="551"/>
        <v>1</v>
      </c>
      <c r="AD394" s="1">
        <f>ROUNDDOWN(I394*(1+IF(F394=3,0.05+方案参数!$Y$13+AA394*0.12,IF(F394=4,方案参数!$BZ$13*方案参数!$AS$13,0)))+IF(AND(X394=1,F394&lt;&gt;3),方案参数!$CC$13,0)+AC394*方案参数!$CB$13,0)</f>
        <v>3034</v>
      </c>
      <c r="AE394" s="1">
        <f>IF(OR(F394=1,F394=4),配置与结果!$B$24,配置与结果!$B$25)*MAX(0,1-INDEX(配置与结果!$I$15:$I$18,F394))</f>
        <v>1200</v>
      </c>
      <c r="AF394" s="1">
        <f>方案参数!$BL$13</f>
        <v>9</v>
      </c>
      <c r="AG394" s="1">
        <f>MAX(配置与结果!$B$32,1+INDEX(配置与结果!$F$15:$F$18,F394)+0.08+方案参数!$CD$13+Q394*方案参数!$W$13+Y394*(方案参数!$AN$13+MIN(方案参数!$AO$13,P394*0.03))+AB394*方案参数!$BZ$13*0.025-配置与结果!$B$28+方案参数!$AE$13)</f>
        <v>2.915</v>
      </c>
      <c r="AH394" s="1">
        <f>MAX(0,1+V394*方案参数!$U$13+5*方案参数!$V$13+方案参数!$AE$13-配置与结果!$B$29)</f>
        <v>2.16</v>
      </c>
      <c r="AI394" s="1">
        <f>IF(OR(INDEX(配置与结果!$K$15:$K$18,F394)=1,G394="RHI_BERRY"),1+配置与结果!$B$33+P394*方案参数!$AH$13,1)</f>
        <v>1</v>
      </c>
      <c r="AJ394" s="1">
        <f>MIN(1,MAX(0,J394+方案参数!$AB$13-配置与结果!$B$27))</f>
        <v>1</v>
      </c>
      <c r="AK394" s="1">
        <f>MAX(1,K394+IF(F394=2,0.15+方案参数!$CH$13,0)+BN394*方案参数!$X$13+R394*方案参数!$AA$13+方案参数!$BP$13-配置与结果!$B$26+Z394*(方案参数!$AP$13+MIN(方案参数!$AQ$13,P394*0.03)))</f>
        <v>2.7650000000000001</v>
      </c>
      <c r="AL394" s="7">
        <f>ROUNDDOWN(MAX(AD394*配置与结果!$B$31,AD394-AE394)*AF394*AG394*AH394*AI394,0)</f>
        <v>103928</v>
      </c>
      <c r="AM394" s="7">
        <f>ROUNDDOWN(MAX(AD394*配置与结果!$B$31,AD394-AE394)*AF394*AG394*AH394*AI394*AK394,0)</f>
        <v>287361</v>
      </c>
      <c r="AN394" s="7">
        <f t="shared" si="558"/>
        <v>287361</v>
      </c>
      <c r="AO394" s="7">
        <f>0</f>
        <v>0</v>
      </c>
      <c r="AP394" s="7">
        <f>MAX(0,1+INDEX(配置与结果!$J$15:$J$18,F394)+IF(T394&gt;0,方案参数!$BY$13,0)-配置与结果!$B$30)</f>
        <v>1</v>
      </c>
      <c r="AQ394" s="7">
        <f t="shared" si="559"/>
        <v>0</v>
      </c>
      <c r="AR394" s="7">
        <f t="shared" si="560"/>
        <v>0</v>
      </c>
      <c r="AS394" s="7">
        <f t="shared" si="561"/>
        <v>0</v>
      </c>
      <c r="AT394" s="7">
        <f>IF(U394&gt;0,ROUNDDOWN(AL394*方案参数!$AF$13,0)*(1-AJ394)+ROUNDDOWN(AM394*方案参数!$AF$13,0)*AJ394,0)</f>
        <v>0</v>
      </c>
      <c r="AU394" s="7">
        <f t="shared" si="562"/>
        <v>287361</v>
      </c>
      <c r="AV394" s="1">
        <f t="shared" si="563"/>
        <v>2</v>
      </c>
      <c r="AW394" s="1">
        <f t="shared" si="556"/>
        <v>10</v>
      </c>
      <c r="AX394" s="1">
        <f t="shared" si="564"/>
        <v>2</v>
      </c>
      <c r="AY394" s="1">
        <f>MIN(20,MAX(0,O394+0+1-0))</f>
        <v>5</v>
      </c>
      <c r="AZ394" s="1">
        <f t="shared" si="565"/>
        <v>5</v>
      </c>
      <c r="BA394" s="1">
        <f t="shared" si="547"/>
        <v>5</v>
      </c>
      <c r="BB394" s="1">
        <f t="shared" si="555"/>
        <v>20</v>
      </c>
      <c r="BC394" s="1">
        <f t="shared" si="553"/>
        <v>3</v>
      </c>
      <c r="BD394" s="1">
        <f t="shared" si="534"/>
        <v>0</v>
      </c>
      <c r="BE394" s="1">
        <f>MAX(0,U394-IF(AF394&gt;0,1,0))+0</f>
        <v>0</v>
      </c>
      <c r="BF394" s="1">
        <f t="shared" si="557"/>
        <v>4</v>
      </c>
      <c r="BG394" s="1">
        <f t="shared" si="544"/>
        <v>1</v>
      </c>
      <c r="BH394" s="1">
        <f t="shared" si="528"/>
        <v>1</v>
      </c>
      <c r="BI394" s="1">
        <f t="shared" si="545"/>
        <v>1</v>
      </c>
      <c r="BJ394" s="1">
        <f t="shared" si="548"/>
        <v>1</v>
      </c>
      <c r="BK394" s="1">
        <f t="shared" si="549"/>
        <v>1</v>
      </c>
      <c r="BL394" s="1">
        <f t="shared" si="554"/>
        <v>1</v>
      </c>
      <c r="BM394" s="1">
        <f t="shared" si="552"/>
        <v>1</v>
      </c>
      <c r="BN394" s="1">
        <f t="shared" si="529"/>
        <v>1</v>
      </c>
      <c r="BO394" s="1">
        <f t="shared" si="530"/>
        <v>1</v>
      </c>
    </row>
    <row r="395" spans="1:67" ht="30.95" customHeight="1">
      <c r="A395" s="1">
        <f>10</f>
        <v>10</v>
      </c>
      <c r="B395" s="1">
        <f>固定流程!A35</f>
        <v>30</v>
      </c>
      <c r="C395" s="1">
        <f>13</f>
        <v>13</v>
      </c>
      <c r="D395" s="1">
        <f>2</f>
        <v>2</v>
      </c>
      <c r="E395" s="1">
        <f>固定流程!C35</f>
        <v>3</v>
      </c>
      <c r="F395" s="1">
        <f>固定流程!G35</f>
        <v>2</v>
      </c>
      <c r="G395" s="1" t="str">
        <f>固定流程!H35</f>
        <v>37_WEAK</v>
      </c>
      <c r="H395" s="1">
        <f>固定流程!F35</f>
        <v>1</v>
      </c>
      <c r="I395" s="1">
        <f>INDEX(配置与结果!$B$15:$B$18,F395)</f>
        <v>2306</v>
      </c>
      <c r="J395" s="1">
        <f>INDEX(配置与结果!$D$15:$D$18,F395)</f>
        <v>0.46</v>
      </c>
      <c r="K395" s="1">
        <f>INDEX(配置与结果!$E$15:$E$18,F395)</f>
        <v>1.9279999999999999</v>
      </c>
      <c r="L395" s="1">
        <f t="shared" si="541"/>
        <v>2</v>
      </c>
      <c r="M395" s="1">
        <f t="shared" si="542"/>
        <v>10</v>
      </c>
      <c r="N395" s="1">
        <f t="shared" si="543"/>
        <v>2</v>
      </c>
      <c r="O395" s="1">
        <f t="shared" si="535"/>
        <v>5</v>
      </c>
      <c r="P395" s="1">
        <f>MIN(方案参数!$AI$13,AZ394+0+0)</f>
        <v>5</v>
      </c>
      <c r="Q395" s="1">
        <f t="shared" si="513"/>
        <v>5</v>
      </c>
      <c r="R395" s="1">
        <f t="shared" si="514"/>
        <v>20</v>
      </c>
      <c r="S395" s="1">
        <f t="shared" si="515"/>
        <v>3</v>
      </c>
      <c r="T395" s="1">
        <f t="shared" si="550"/>
        <v>0</v>
      </c>
      <c r="U395" s="1">
        <f t="shared" si="517"/>
        <v>0</v>
      </c>
      <c r="V395" s="1">
        <f t="shared" si="518"/>
        <v>4</v>
      </c>
      <c r="W395" s="1">
        <f t="shared" si="519"/>
        <v>1</v>
      </c>
      <c r="X395" s="1">
        <f t="shared" si="520"/>
        <v>1</v>
      </c>
      <c r="Y395" s="1">
        <f t="shared" si="521"/>
        <v>1</v>
      </c>
      <c r="Z395" s="1">
        <f t="shared" si="522"/>
        <v>1</v>
      </c>
      <c r="AA395" s="1">
        <f t="shared" si="546"/>
        <v>1</v>
      </c>
      <c r="AB395" s="1">
        <f t="shared" si="524"/>
        <v>1</v>
      </c>
      <c r="AC395" s="1">
        <f t="shared" si="551"/>
        <v>1</v>
      </c>
      <c r="AD395" s="1">
        <f>ROUNDDOWN(I395*(1+IF(F395=3,0.05+方案参数!$Y$13+AA395*0.12,IF(F395=4,方案参数!$BZ$13*方案参数!$AS$13,0)))+IF(AND(X395=1,F395&lt;&gt;3),方案参数!$CC$13,0)+AC395*方案参数!$CB$13,0)</f>
        <v>3044</v>
      </c>
      <c r="AE395" s="1">
        <f>IF(OR(F395=1,F395=4),配置与结果!$B$24,配置与结果!$B$25)*MAX(0,1-INDEX(配置与结果!$I$15:$I$18,F395))</f>
        <v>1000</v>
      </c>
      <c r="AF395" s="1">
        <f>方案参数!$CE$13</f>
        <v>9</v>
      </c>
      <c r="AG395" s="1">
        <f>MAX(配置与结果!$B$32,1+INDEX(配置与结果!$F$15:$F$18,F395)+0+Q395*方案参数!$W$13+Y395*(方案参数!$AN$13+MIN(方案参数!$AO$13,P395*0.03))+AB395*方案参数!$BZ$13*0.025-配置与结果!$B$28+方案参数!$AE$13)</f>
        <v>2.58</v>
      </c>
      <c r="AH395" s="1">
        <f>MAX(0,1+V395*方案参数!$U$13+方案参数!$AE$13-配置与结果!$B$29)</f>
        <v>1.8599999999999999</v>
      </c>
      <c r="AI395" s="1">
        <f>IF(OR(INDEX(配置与结果!$K$15:$K$18,F395)=1,G395="RHI_BERRY"),1+配置与结果!$B$33+P395*方案参数!$AH$13,1)</f>
        <v>1</v>
      </c>
      <c r="AJ395" s="1">
        <f>MIN(1,MAX(0,J395+方案参数!$AB$13-配置与结果!$B$27))</f>
        <v>1</v>
      </c>
      <c r="AK395" s="1">
        <f>MAX(1,K395+IF(F395=2,0.15+方案参数!$CH$13,0)+BN395*方案参数!$X$13+R395*方案参数!$AA$13+0-配置与结果!$B$26+Z395*(方案参数!$AP$13+MIN(方案参数!$AQ$13,P395*0.03)))</f>
        <v>2.3380000000000001</v>
      </c>
      <c r="AL395" s="7">
        <f>ROUNDDOWN(MAX(AD395*配置与结果!$B$31,AD395-AE395)*AF395*AG395*AH395*AI395,0)</f>
        <v>88278</v>
      </c>
      <c r="AM395" s="7">
        <f>ROUNDDOWN(MAX(AD395*配置与结果!$B$31,AD395-AE395)*AF395*AG395*AH395*AI395*AK395,0)</f>
        <v>206395</v>
      </c>
      <c r="AN395" s="7">
        <f t="shared" si="558"/>
        <v>206395</v>
      </c>
      <c r="AO395" s="7">
        <f>0</f>
        <v>0</v>
      </c>
      <c r="AP395" s="7">
        <f>MAX(0,1+INDEX(配置与结果!$J$15:$J$18,F395)+IF(T395&gt;0,方案参数!$BY$13,0)-配置与结果!$B$30)</f>
        <v>1</v>
      </c>
      <c r="AQ395" s="7">
        <f t="shared" si="559"/>
        <v>0</v>
      </c>
      <c r="AR395" s="7">
        <f t="shared" si="560"/>
        <v>0</v>
      </c>
      <c r="AS395" s="7">
        <f t="shared" si="561"/>
        <v>0</v>
      </c>
      <c r="AT395" s="7">
        <f>IF(U395&gt;0,ROUNDDOWN(AL395*方案参数!$AF$13,0)*(1-AJ395)+ROUNDDOWN(AM395*方案参数!$AF$13,0)*AJ395,0)</f>
        <v>0</v>
      </c>
      <c r="AU395" s="7">
        <f t="shared" si="562"/>
        <v>206395</v>
      </c>
      <c r="AV395" s="1">
        <f t="shared" si="563"/>
        <v>2</v>
      </c>
      <c r="AW395" s="1">
        <f t="shared" si="556"/>
        <v>10</v>
      </c>
      <c r="AX395" s="1">
        <f t="shared" si="564"/>
        <v>2</v>
      </c>
      <c r="AY395" s="1">
        <f>MIN(20,MAX(0,O395+0+0-0))</f>
        <v>5</v>
      </c>
      <c r="AZ395" s="1">
        <f t="shared" si="565"/>
        <v>5</v>
      </c>
      <c r="BA395" s="1">
        <f t="shared" si="547"/>
        <v>5</v>
      </c>
      <c r="BB395" s="1">
        <f t="shared" si="555"/>
        <v>20</v>
      </c>
      <c r="BC395" s="1">
        <f t="shared" si="553"/>
        <v>3</v>
      </c>
      <c r="BD395" s="1">
        <f t="shared" si="534"/>
        <v>0</v>
      </c>
      <c r="BE395" s="1">
        <f>MAX(0,U395-IF(AF395&gt;0,1,0))+1</f>
        <v>1</v>
      </c>
      <c r="BF395" s="1">
        <f t="shared" si="557"/>
        <v>4</v>
      </c>
      <c r="BG395" s="1">
        <f t="shared" si="544"/>
        <v>1</v>
      </c>
      <c r="BH395" s="1">
        <f t="shared" si="528"/>
        <v>1</v>
      </c>
      <c r="BI395" s="1">
        <f t="shared" si="545"/>
        <v>1</v>
      </c>
      <c r="BJ395" s="1">
        <f t="shared" si="548"/>
        <v>1</v>
      </c>
      <c r="BK395" s="1">
        <f t="shared" si="549"/>
        <v>1</v>
      </c>
      <c r="BL395" s="1">
        <f t="shared" si="554"/>
        <v>1</v>
      </c>
      <c r="BM395" s="1">
        <f t="shared" si="552"/>
        <v>1</v>
      </c>
      <c r="BN395" s="1">
        <f t="shared" si="529"/>
        <v>1</v>
      </c>
      <c r="BO395" s="1">
        <f t="shared" si="530"/>
        <v>1</v>
      </c>
    </row>
    <row r="396" spans="1:67" ht="30.95" customHeight="1">
      <c r="A396" s="1">
        <f>10</f>
        <v>10</v>
      </c>
      <c r="B396" s="1">
        <f>固定流程!A36</f>
        <v>31</v>
      </c>
      <c r="C396" s="1">
        <f>13</f>
        <v>13</v>
      </c>
      <c r="D396" s="1">
        <f>2</f>
        <v>2</v>
      </c>
      <c r="E396" s="1">
        <f>固定流程!C36</f>
        <v>3</v>
      </c>
      <c r="F396" s="1">
        <f>固定流程!G36</f>
        <v>1</v>
      </c>
      <c r="G396" s="1" t="str">
        <f>固定流程!H36</f>
        <v>LILYA_THIRD</v>
      </c>
      <c r="H396" s="1">
        <f>固定流程!F36</f>
        <v>1</v>
      </c>
      <c r="I396" s="1">
        <f>INDEX(配置与结果!$B$15:$B$18,F396)</f>
        <v>2296</v>
      </c>
      <c r="J396" s="1">
        <f>INDEX(配置与结果!$D$15:$D$18,F396)</f>
        <v>0.7</v>
      </c>
      <c r="K396" s="1">
        <f>INDEX(配置与结果!$E$15:$E$18,F396)</f>
        <v>2.0249999999999999</v>
      </c>
      <c r="L396" s="1">
        <f t="shared" si="541"/>
        <v>2</v>
      </c>
      <c r="M396" s="1">
        <f t="shared" si="542"/>
        <v>10</v>
      </c>
      <c r="N396" s="1">
        <f t="shared" si="543"/>
        <v>2</v>
      </c>
      <c r="O396" s="1">
        <f t="shared" si="535"/>
        <v>5</v>
      </c>
      <c r="P396" s="1">
        <f>MIN(方案参数!$AI$13,AZ395+0+0)</f>
        <v>5</v>
      </c>
      <c r="Q396" s="1">
        <f t="shared" si="513"/>
        <v>5</v>
      </c>
      <c r="R396" s="1">
        <f t="shared" si="514"/>
        <v>20</v>
      </c>
      <c r="S396" s="1">
        <f t="shared" si="515"/>
        <v>3</v>
      </c>
      <c r="T396" s="1">
        <f t="shared" si="550"/>
        <v>0</v>
      </c>
      <c r="U396" s="1">
        <f t="shared" si="517"/>
        <v>1</v>
      </c>
      <c r="V396" s="1">
        <f t="shared" si="518"/>
        <v>4</v>
      </c>
      <c r="W396" s="1">
        <f t="shared" si="519"/>
        <v>1</v>
      </c>
      <c r="X396" s="1">
        <f t="shared" si="520"/>
        <v>1</v>
      </c>
      <c r="Y396" s="1">
        <f t="shared" si="521"/>
        <v>1</v>
      </c>
      <c r="Z396" s="1">
        <f t="shared" si="522"/>
        <v>1</v>
      </c>
      <c r="AA396" s="1">
        <f t="shared" si="546"/>
        <v>1</v>
      </c>
      <c r="AB396" s="1">
        <f t="shared" si="524"/>
        <v>1</v>
      </c>
      <c r="AC396" s="1">
        <f t="shared" si="551"/>
        <v>1</v>
      </c>
      <c r="AD396" s="1">
        <f>ROUNDDOWN(I396*(1+IF(F396=3,0.05+方案参数!$Y$13+AA396*0.12,IF(F396=4,方案参数!$BZ$13*方案参数!$AS$13,0)))+IF(AND(X396=1,F396&lt;&gt;3),方案参数!$CC$13,0)+AC396*方案参数!$CB$13,0)</f>
        <v>3034</v>
      </c>
      <c r="AE396" s="1">
        <f>IF(OR(F396=1,F396=4),配置与结果!$B$24,配置与结果!$B$25)*MAX(0,1-INDEX(配置与结果!$I$15:$I$18,F396))</f>
        <v>1200</v>
      </c>
      <c r="AF396" s="1">
        <f>方案参数!$BM$13</f>
        <v>20</v>
      </c>
      <c r="AG396" s="1">
        <f>MAX(配置与结果!$B$32,1+INDEX(配置与结果!$F$15:$F$18,F396)+0.08+方案参数!$CD$13+Q396*方案参数!$W$13+Y396*(方案参数!$AN$13+MIN(方案参数!$AO$13,P396*0.03))+AB396*方案参数!$BZ$13*0.025-配置与结果!$B$28+方案参数!$AE$13)</f>
        <v>2.915</v>
      </c>
      <c r="AH396" s="1">
        <f>MAX(0,1+V396*方案参数!$U$13+7*方案参数!$V$13+方案参数!$AE$13-配置与结果!$B$29)</f>
        <v>2.2799999999999998</v>
      </c>
      <c r="AI396" s="1">
        <f>IF(OR(INDEX(配置与结果!$K$15:$K$18,F396)=1,G396="RHI_BERRY"),1+配置与结果!$B$33+P396*方案参数!$AH$13,1)</f>
        <v>1</v>
      </c>
      <c r="AJ396" s="1">
        <f>MIN(1,MAX(0,J396+方案参数!$AB$13-配置与结果!$B$27))</f>
        <v>1</v>
      </c>
      <c r="AK396" s="1">
        <f>MAX(1,K396+IF(F396=2,0.15+方案参数!$CH$13,0)+BN396*方案参数!$X$13+R396*方案参数!$AA$13+方案参数!$BQ$13-配置与结果!$B$26+Z396*(方案参数!$AP$13+MIN(方案参数!$AQ$13,P396*0.03)))</f>
        <v>2.9650000000000003</v>
      </c>
      <c r="AL396" s="7">
        <f>ROUNDDOWN(MAX(AD396*配置与结果!$B$31,AD396-AE396)*AF396*AG396*AH396*AI396,0)</f>
        <v>243782</v>
      </c>
      <c r="AM396" s="7">
        <f>ROUNDDOWN(MAX(AD396*配置与结果!$B$31,AD396-AE396)*AF396*AG396*AH396*AI396*AK396,0)</f>
        <v>722815</v>
      </c>
      <c r="AN396" s="7">
        <f t="shared" si="558"/>
        <v>722815</v>
      </c>
      <c r="AO396" s="7">
        <f>0</f>
        <v>0</v>
      </c>
      <c r="AP396" s="7">
        <f>MAX(0,1+INDEX(配置与结果!$J$15:$J$18,F396)+IF(T396&gt;0,方案参数!$BY$13,0)-配置与结果!$B$30)</f>
        <v>1</v>
      </c>
      <c r="AQ396" s="7">
        <f t="shared" si="559"/>
        <v>0</v>
      </c>
      <c r="AR396" s="7">
        <f t="shared" si="560"/>
        <v>0</v>
      </c>
      <c r="AS396" s="7">
        <f t="shared" si="561"/>
        <v>0</v>
      </c>
      <c r="AT396" s="7">
        <f>IF(U396&gt;0,ROUNDDOWN(AL396*方案参数!$AF$13,0)*(1-AJ396)+ROUNDDOWN(AM396*方案参数!$AF$13,0)*AJ396,0)</f>
        <v>433689</v>
      </c>
      <c r="AU396" s="7">
        <f t="shared" si="562"/>
        <v>1156504</v>
      </c>
      <c r="AV396" s="1">
        <f t="shared" si="563"/>
        <v>2</v>
      </c>
      <c r="AW396" s="1">
        <f t="shared" si="556"/>
        <v>10</v>
      </c>
      <c r="AX396" s="1">
        <f t="shared" si="564"/>
        <v>2</v>
      </c>
      <c r="AY396" s="1">
        <f>MIN(20,MAX(0,O396+0+1-0))</f>
        <v>6</v>
      </c>
      <c r="AZ396" s="1">
        <f t="shared" si="565"/>
        <v>5</v>
      </c>
      <c r="BA396" s="1">
        <f t="shared" si="547"/>
        <v>5</v>
      </c>
      <c r="BB396" s="1">
        <f t="shared" si="555"/>
        <v>20</v>
      </c>
      <c r="BC396" s="1">
        <f t="shared" si="553"/>
        <v>3</v>
      </c>
      <c r="BD396" s="1">
        <f t="shared" si="534"/>
        <v>0</v>
      </c>
      <c r="BE396" s="1">
        <f>MAX(0,U396-IF(AF396&gt;0,1,0))+0</f>
        <v>0</v>
      </c>
      <c r="BF396" s="1">
        <f t="shared" si="557"/>
        <v>4</v>
      </c>
      <c r="BG396" s="1">
        <f t="shared" si="544"/>
        <v>1</v>
      </c>
      <c r="BH396" s="1">
        <f t="shared" si="528"/>
        <v>1</v>
      </c>
      <c r="BI396" s="1">
        <f t="shared" si="545"/>
        <v>1</v>
      </c>
      <c r="BJ396" s="1">
        <f t="shared" si="548"/>
        <v>1</v>
      </c>
      <c r="BK396" s="1">
        <f t="shared" si="549"/>
        <v>1</v>
      </c>
      <c r="BL396" s="1">
        <f t="shared" si="554"/>
        <v>1</v>
      </c>
      <c r="BM396" s="1">
        <f t="shared" si="552"/>
        <v>1</v>
      </c>
      <c r="BN396" s="1">
        <f t="shared" si="529"/>
        <v>1</v>
      </c>
      <c r="BO396" s="1">
        <f t="shared" si="530"/>
        <v>1</v>
      </c>
    </row>
    <row r="397" spans="1:67" ht="30.95" customHeight="1">
      <c r="A397" s="1">
        <f>10</f>
        <v>10</v>
      </c>
      <c r="B397" s="1">
        <f>固定流程!A37</f>
        <v>32</v>
      </c>
      <c r="C397" s="1">
        <f>13</f>
        <v>13</v>
      </c>
      <c r="D397" s="1">
        <f>2</f>
        <v>2</v>
      </c>
      <c r="E397" s="1">
        <f>固定流程!C37</f>
        <v>3</v>
      </c>
      <c r="F397" s="1">
        <f>固定流程!G37</f>
        <v>1</v>
      </c>
      <c r="G397" s="1" t="str">
        <f>固定流程!H37</f>
        <v>LILYA_WEAK</v>
      </c>
      <c r="H397" s="1">
        <f>固定流程!F37</f>
        <v>1</v>
      </c>
      <c r="I397" s="1">
        <f>INDEX(配置与结果!$B$15:$B$18,F397)</f>
        <v>2296</v>
      </c>
      <c r="J397" s="1">
        <f>INDEX(配置与结果!$D$15:$D$18,F397)</f>
        <v>0.7</v>
      </c>
      <c r="K397" s="1">
        <f>INDEX(配置与结果!$E$15:$E$18,F397)</f>
        <v>2.0249999999999999</v>
      </c>
      <c r="L397" s="1">
        <f t="shared" si="541"/>
        <v>2</v>
      </c>
      <c r="M397" s="1">
        <f t="shared" si="542"/>
        <v>10</v>
      </c>
      <c r="N397" s="1">
        <f t="shared" si="543"/>
        <v>2</v>
      </c>
      <c r="O397" s="1">
        <f t="shared" si="535"/>
        <v>6</v>
      </c>
      <c r="P397" s="1">
        <f>MIN(方案参数!$AI$13,AZ396+0+0)</f>
        <v>5</v>
      </c>
      <c r="Q397" s="1">
        <f t="shared" si="513"/>
        <v>5</v>
      </c>
      <c r="R397" s="1">
        <f t="shared" si="514"/>
        <v>20</v>
      </c>
      <c r="S397" s="1">
        <f t="shared" si="515"/>
        <v>3</v>
      </c>
      <c r="T397" s="1">
        <f t="shared" si="550"/>
        <v>0</v>
      </c>
      <c r="U397" s="1">
        <f t="shared" si="517"/>
        <v>0</v>
      </c>
      <c r="V397" s="1">
        <f t="shared" si="518"/>
        <v>4</v>
      </c>
      <c r="W397" s="1">
        <f t="shared" si="519"/>
        <v>1</v>
      </c>
      <c r="X397" s="1">
        <f t="shared" si="520"/>
        <v>1</v>
      </c>
      <c r="Y397" s="1">
        <f t="shared" si="521"/>
        <v>1</v>
      </c>
      <c r="Z397" s="1">
        <f t="shared" si="522"/>
        <v>1</v>
      </c>
      <c r="AA397" s="1">
        <f t="shared" si="546"/>
        <v>1</v>
      </c>
      <c r="AB397" s="1">
        <f t="shared" si="524"/>
        <v>1</v>
      </c>
      <c r="AC397" s="1">
        <f t="shared" si="551"/>
        <v>1</v>
      </c>
      <c r="AD397" s="1">
        <f>ROUNDDOWN(I397*(1+IF(F397=3,0.05+方案参数!$Y$13+AA397*0.12,IF(F397=4,方案参数!$BZ$13*方案参数!$AS$13,0)))+IF(AND(X397=1,F397&lt;&gt;3),方案参数!$CC$13,0)+AC397*方案参数!$CB$13,0)</f>
        <v>3034</v>
      </c>
      <c r="AE397" s="1">
        <f>IF(OR(F397=1,F397=4),配置与结果!$B$24,配置与结果!$B$25)*MAX(0,1-INDEX(配置与结果!$I$15:$I$18,F397))</f>
        <v>1200</v>
      </c>
      <c r="AF397" s="1">
        <f>方案参数!$BL$13</f>
        <v>9</v>
      </c>
      <c r="AG397" s="1">
        <f>MAX(配置与结果!$B$32,1+INDEX(配置与结果!$F$15:$F$18,F397)+0.08+方案参数!$CD$13+Q397*方案参数!$W$13+Y397*(方案参数!$AN$13+MIN(方案参数!$AO$13,P397*0.03))+AB397*方案参数!$BZ$13*0.025-配置与结果!$B$28+方案参数!$AE$13)</f>
        <v>2.915</v>
      </c>
      <c r="AH397" s="1">
        <f>MAX(0,1+V397*方案参数!$U$13+8*方案参数!$V$13+方案参数!$AE$13-配置与结果!$B$29)</f>
        <v>2.34</v>
      </c>
      <c r="AI397" s="1">
        <f>IF(OR(INDEX(配置与结果!$K$15:$K$18,F397)=1,G397="RHI_BERRY"),1+配置与结果!$B$33+P397*方案参数!$AH$13,1)</f>
        <v>1</v>
      </c>
      <c r="AJ397" s="1">
        <f>MIN(1,MAX(0,J397+方案参数!$AB$13-配置与结果!$B$27))</f>
        <v>1</v>
      </c>
      <c r="AK397" s="1">
        <f>MAX(1,K397+IF(F397=2,0.15+方案参数!$CH$13,0)+BN397*方案参数!$X$13+R397*方案参数!$AA$13+方案参数!$BP$13-配置与结果!$B$26+Z397*(方案参数!$AP$13+MIN(方案参数!$AQ$13,P397*0.03)))</f>
        <v>2.7650000000000001</v>
      </c>
      <c r="AL397" s="7">
        <f>ROUNDDOWN(MAX(AD397*配置与结果!$B$31,AD397-AE397)*AF397*AG397*AH397*AI397,0)</f>
        <v>112589</v>
      </c>
      <c r="AM397" s="7">
        <f>ROUNDDOWN(MAX(AD397*配置与结果!$B$31,AD397-AE397)*AF397*AG397*AH397*AI397*AK397,0)</f>
        <v>311308</v>
      </c>
      <c r="AN397" s="7">
        <f t="shared" si="558"/>
        <v>311308</v>
      </c>
      <c r="AO397" s="7">
        <f>0</f>
        <v>0</v>
      </c>
      <c r="AP397" s="7">
        <f>MAX(0,1+INDEX(配置与结果!$J$15:$J$18,F397)+IF(T397&gt;0,方案参数!$BY$13,0)-配置与结果!$B$30)</f>
        <v>1</v>
      </c>
      <c r="AQ397" s="7">
        <f t="shared" si="559"/>
        <v>0</v>
      </c>
      <c r="AR397" s="7">
        <f t="shared" si="560"/>
        <v>0</v>
      </c>
      <c r="AS397" s="7">
        <f t="shared" si="561"/>
        <v>0</v>
      </c>
      <c r="AT397" s="7">
        <f>IF(U397&gt;0,ROUNDDOWN(AL397*方案参数!$AF$13,0)*(1-AJ397)+ROUNDDOWN(AM397*方案参数!$AF$13,0)*AJ397,0)</f>
        <v>0</v>
      </c>
      <c r="AU397" s="7">
        <f t="shared" si="562"/>
        <v>311308</v>
      </c>
      <c r="AV397" s="1">
        <f t="shared" si="563"/>
        <v>2</v>
      </c>
      <c r="AW397" s="1">
        <f t="shared" si="556"/>
        <v>10</v>
      </c>
      <c r="AX397" s="1">
        <f t="shared" si="564"/>
        <v>2</v>
      </c>
      <c r="AY397" s="1">
        <f>MIN(20,MAX(0,O397+0+1-0))</f>
        <v>7</v>
      </c>
      <c r="AZ397" s="1">
        <f t="shared" si="565"/>
        <v>5</v>
      </c>
      <c r="BA397" s="1">
        <f t="shared" si="547"/>
        <v>5</v>
      </c>
      <c r="BB397" s="1">
        <f t="shared" si="555"/>
        <v>20</v>
      </c>
      <c r="BC397" s="1">
        <f t="shared" si="553"/>
        <v>3</v>
      </c>
      <c r="BD397" s="1">
        <f t="shared" si="534"/>
        <v>0</v>
      </c>
      <c r="BE397" s="1">
        <f>MAX(0,U397-IF(AF397&gt;0,1,0))+0</f>
        <v>0</v>
      </c>
      <c r="BF397" s="1">
        <f t="shared" si="557"/>
        <v>4</v>
      </c>
      <c r="BG397" s="1">
        <f t="shared" si="544"/>
        <v>1</v>
      </c>
      <c r="BH397" s="1">
        <f t="shared" si="528"/>
        <v>1</v>
      </c>
      <c r="BI397" s="1">
        <f t="shared" si="545"/>
        <v>1</v>
      </c>
      <c r="BJ397" s="1">
        <f t="shared" si="548"/>
        <v>1</v>
      </c>
      <c r="BK397" s="1">
        <f t="shared" si="549"/>
        <v>1</v>
      </c>
      <c r="BL397" s="1">
        <f t="shared" si="554"/>
        <v>1</v>
      </c>
      <c r="BM397" s="1">
        <f t="shared" si="552"/>
        <v>1</v>
      </c>
      <c r="BN397" s="1">
        <f t="shared" si="529"/>
        <v>1</v>
      </c>
      <c r="BO397" s="1">
        <f t="shared" si="530"/>
        <v>1</v>
      </c>
    </row>
    <row r="398" spans="1:67" ht="30.95" customHeight="1">
      <c r="A398" s="1">
        <f>10</f>
        <v>10</v>
      </c>
      <c r="B398" s="1">
        <f>固定流程!A38</f>
        <v>33</v>
      </c>
      <c r="C398" s="1">
        <f>13</f>
        <v>13</v>
      </c>
      <c r="D398" s="1">
        <f>2</f>
        <v>2</v>
      </c>
      <c r="E398" s="1">
        <f>固定流程!C38</f>
        <v>3</v>
      </c>
      <c r="F398" s="1">
        <f>固定流程!G38</f>
        <v>1</v>
      </c>
      <c r="G398" s="1" t="str">
        <f>固定流程!H38</f>
        <v>LILYA_WEAK</v>
      </c>
      <c r="H398" s="1">
        <f>固定流程!F38</f>
        <v>1</v>
      </c>
      <c r="I398" s="1">
        <f>INDEX(配置与结果!$B$15:$B$18,F398)</f>
        <v>2296</v>
      </c>
      <c r="J398" s="1">
        <f>INDEX(配置与结果!$D$15:$D$18,F398)</f>
        <v>0.7</v>
      </c>
      <c r="K398" s="1">
        <f>INDEX(配置与结果!$E$15:$E$18,F398)</f>
        <v>2.0249999999999999</v>
      </c>
      <c r="L398" s="1">
        <f t="shared" si="541"/>
        <v>2</v>
      </c>
      <c r="M398" s="1">
        <f t="shared" si="542"/>
        <v>10</v>
      </c>
      <c r="N398" s="1">
        <f t="shared" si="543"/>
        <v>2</v>
      </c>
      <c r="O398" s="1">
        <f t="shared" si="535"/>
        <v>7</v>
      </c>
      <c r="P398" s="1">
        <f>MIN(方案参数!$AI$13,AZ397+0+0)</f>
        <v>5</v>
      </c>
      <c r="Q398" s="1">
        <f t="shared" si="513"/>
        <v>5</v>
      </c>
      <c r="R398" s="1">
        <f t="shared" si="514"/>
        <v>20</v>
      </c>
      <c r="S398" s="1">
        <f t="shared" si="515"/>
        <v>3</v>
      </c>
      <c r="T398" s="1">
        <f t="shared" si="550"/>
        <v>0</v>
      </c>
      <c r="U398" s="1">
        <f t="shared" si="517"/>
        <v>0</v>
      </c>
      <c r="V398" s="1">
        <f t="shared" si="518"/>
        <v>4</v>
      </c>
      <c r="W398" s="1">
        <f t="shared" si="519"/>
        <v>1</v>
      </c>
      <c r="X398" s="1">
        <f t="shared" si="520"/>
        <v>1</v>
      </c>
      <c r="Y398" s="1">
        <f t="shared" si="521"/>
        <v>1</v>
      </c>
      <c r="Z398" s="1">
        <f t="shared" si="522"/>
        <v>1</v>
      </c>
      <c r="AA398" s="1">
        <f t="shared" si="546"/>
        <v>1</v>
      </c>
      <c r="AB398" s="1">
        <f t="shared" si="524"/>
        <v>1</v>
      </c>
      <c r="AC398" s="1">
        <f t="shared" si="551"/>
        <v>1</v>
      </c>
      <c r="AD398" s="1">
        <f>ROUNDDOWN(I398*(1+IF(F398=3,0.05+方案参数!$Y$13+AA398*0.12,IF(F398=4,方案参数!$BZ$13*方案参数!$AS$13,0)))+IF(AND(X398=1,F398&lt;&gt;3),方案参数!$CC$13,0)+AC398*方案参数!$CB$13,0)</f>
        <v>3034</v>
      </c>
      <c r="AE398" s="1">
        <f>IF(OR(F398=1,F398=4),配置与结果!$B$24,配置与结果!$B$25)*MAX(0,1-INDEX(配置与结果!$I$15:$I$18,F398))</f>
        <v>1200</v>
      </c>
      <c r="AF398" s="1">
        <f>方案参数!$BL$13</f>
        <v>9</v>
      </c>
      <c r="AG398" s="1">
        <f>MAX(配置与结果!$B$32,1+INDEX(配置与结果!$F$15:$F$18,F398)+0.08+方案参数!$CD$13+Q398*方案参数!$W$13+Y398*(方案参数!$AN$13+MIN(方案参数!$AO$13,P398*0.03))+AB398*方案参数!$BZ$13*0.025-配置与结果!$B$28+方案参数!$AE$13)</f>
        <v>2.915</v>
      </c>
      <c r="AH398" s="1">
        <f>MAX(0,1+V398*方案参数!$U$13+9*方案参数!$V$13+方案参数!$AE$13-配置与结果!$B$29)</f>
        <v>2.4</v>
      </c>
      <c r="AI398" s="1">
        <f>IF(OR(INDEX(配置与结果!$K$15:$K$18,F398)=1,G398="RHI_BERRY"),1+配置与结果!$B$33+P398*方案参数!$AH$13,1)</f>
        <v>1</v>
      </c>
      <c r="AJ398" s="1">
        <f>MIN(1,MAX(0,J398+方案参数!$AB$13-配置与结果!$B$27))</f>
        <v>1</v>
      </c>
      <c r="AK398" s="1">
        <f>MAX(1,K398+IF(F398=2,0.15+方案参数!$CH$13,0)+BN398*方案参数!$X$13+R398*方案参数!$AA$13+方案参数!$BP$13-配置与结果!$B$26+Z398*(方案参数!$AP$13+MIN(方案参数!$AQ$13,P398*0.03)))</f>
        <v>2.7650000000000001</v>
      </c>
      <c r="AL398" s="7">
        <f>ROUNDDOWN(MAX(AD398*配置与结果!$B$31,AD398-AE398)*AF398*AG398*AH398*AI398,0)</f>
        <v>115475</v>
      </c>
      <c r="AM398" s="7">
        <f>ROUNDDOWN(MAX(AD398*配置与结果!$B$31,AD398-AE398)*AF398*AG398*AH398*AI398*AK398,0)</f>
        <v>319291</v>
      </c>
      <c r="AN398" s="7">
        <f t="shared" si="558"/>
        <v>319291</v>
      </c>
      <c r="AO398" s="7">
        <f>0</f>
        <v>0</v>
      </c>
      <c r="AP398" s="7">
        <f>MAX(0,1+INDEX(配置与结果!$J$15:$J$18,F398)+IF(T398&gt;0,方案参数!$BY$13,0)-配置与结果!$B$30)</f>
        <v>1</v>
      </c>
      <c r="AQ398" s="7">
        <f t="shared" si="559"/>
        <v>0</v>
      </c>
      <c r="AR398" s="7">
        <f t="shared" si="560"/>
        <v>0</v>
      </c>
      <c r="AS398" s="7">
        <f t="shared" si="561"/>
        <v>0</v>
      </c>
      <c r="AT398" s="7">
        <f>IF(U398&gt;0,ROUNDDOWN(AL398*方案参数!$AF$13,0)*(1-AJ398)+ROUNDDOWN(AM398*方案参数!$AF$13,0)*AJ398,0)</f>
        <v>0</v>
      </c>
      <c r="AU398" s="7">
        <f t="shared" si="562"/>
        <v>319291</v>
      </c>
      <c r="AV398" s="1">
        <f t="shared" si="563"/>
        <v>2</v>
      </c>
      <c r="AW398" s="1">
        <f t="shared" si="556"/>
        <v>10</v>
      </c>
      <c r="AX398" s="1">
        <f t="shared" si="564"/>
        <v>2</v>
      </c>
      <c r="AY398" s="1">
        <f>MIN(20,MAX(0,O398+0+1-0))</f>
        <v>8</v>
      </c>
      <c r="AZ398" s="1">
        <f t="shared" si="565"/>
        <v>5</v>
      </c>
      <c r="BA398" s="1">
        <f t="shared" si="547"/>
        <v>5</v>
      </c>
      <c r="BB398" s="1">
        <f t="shared" si="555"/>
        <v>20</v>
      </c>
      <c r="BC398" s="1">
        <f t="shared" si="553"/>
        <v>3</v>
      </c>
      <c r="BD398" s="1">
        <f t="shared" si="534"/>
        <v>0</v>
      </c>
      <c r="BE398" s="1">
        <f>MAX(0,U398-IF(AF398&gt;0,1,0))+0</f>
        <v>0</v>
      </c>
      <c r="BF398" s="1">
        <f t="shared" si="557"/>
        <v>4</v>
      </c>
      <c r="BG398" s="1">
        <f t="shared" si="544"/>
        <v>1</v>
      </c>
      <c r="BH398" s="1">
        <f t="shared" si="528"/>
        <v>1</v>
      </c>
      <c r="BI398" s="1">
        <f t="shared" si="545"/>
        <v>1</v>
      </c>
      <c r="BJ398" s="1">
        <f t="shared" si="548"/>
        <v>1</v>
      </c>
      <c r="BK398" s="1">
        <f t="shared" si="549"/>
        <v>1</v>
      </c>
      <c r="BL398" s="1">
        <f t="shared" si="554"/>
        <v>1</v>
      </c>
      <c r="BM398" s="1">
        <f t="shared" si="552"/>
        <v>1</v>
      </c>
      <c r="BN398" s="1">
        <f t="shared" si="529"/>
        <v>1</v>
      </c>
      <c r="BO398" s="1">
        <f t="shared" si="530"/>
        <v>1</v>
      </c>
    </row>
    <row r="399" spans="1:67" ht="30.95" customHeight="1">
      <c r="A399" s="1">
        <f>10</f>
        <v>10</v>
      </c>
      <c r="B399" s="1">
        <f>固定流程!A39</f>
        <v>34</v>
      </c>
      <c r="C399" s="1">
        <f>13</f>
        <v>13</v>
      </c>
      <c r="D399" s="1">
        <f>2</f>
        <v>2</v>
      </c>
      <c r="E399" s="1">
        <f>固定流程!C39</f>
        <v>3</v>
      </c>
      <c r="F399" s="1">
        <f>固定流程!G39</f>
        <v>2</v>
      </c>
      <c r="G399" s="1" t="str">
        <f>固定流程!H39</f>
        <v>37_WEAK</v>
      </c>
      <c r="H399" s="1">
        <f>固定流程!F39</f>
        <v>1</v>
      </c>
      <c r="I399" s="1">
        <f>INDEX(配置与结果!$B$15:$B$18,F399)</f>
        <v>2306</v>
      </c>
      <c r="J399" s="1">
        <f>INDEX(配置与结果!$D$15:$D$18,F399)</f>
        <v>0.46</v>
      </c>
      <c r="K399" s="1">
        <f>INDEX(配置与结果!$E$15:$E$18,F399)</f>
        <v>1.9279999999999999</v>
      </c>
      <c r="L399" s="1">
        <f t="shared" si="541"/>
        <v>2</v>
      </c>
      <c r="M399" s="1">
        <f t="shared" si="542"/>
        <v>10</v>
      </c>
      <c r="N399" s="1">
        <f t="shared" si="543"/>
        <v>2</v>
      </c>
      <c r="O399" s="1">
        <f t="shared" si="535"/>
        <v>8</v>
      </c>
      <c r="P399" s="1">
        <f>MIN(方案参数!$AI$13,AZ398+0+0)</f>
        <v>5</v>
      </c>
      <c r="Q399" s="1">
        <f t="shared" si="513"/>
        <v>5</v>
      </c>
      <c r="R399" s="1">
        <f t="shared" si="514"/>
        <v>20</v>
      </c>
      <c r="S399" s="1">
        <f t="shared" si="515"/>
        <v>3</v>
      </c>
      <c r="T399" s="1">
        <f t="shared" si="550"/>
        <v>0</v>
      </c>
      <c r="U399" s="1">
        <f t="shared" si="517"/>
        <v>0</v>
      </c>
      <c r="V399" s="1">
        <f t="shared" si="518"/>
        <v>4</v>
      </c>
      <c r="W399" s="1">
        <f t="shared" si="519"/>
        <v>1</v>
      </c>
      <c r="X399" s="1">
        <f t="shared" si="520"/>
        <v>1</v>
      </c>
      <c r="Y399" s="1">
        <f t="shared" si="521"/>
        <v>1</v>
      </c>
      <c r="Z399" s="1">
        <f t="shared" si="522"/>
        <v>1</v>
      </c>
      <c r="AA399" s="1">
        <f t="shared" si="546"/>
        <v>1</v>
      </c>
      <c r="AB399" s="1">
        <f t="shared" si="524"/>
        <v>1</v>
      </c>
      <c r="AC399" s="1">
        <f t="shared" si="551"/>
        <v>1</v>
      </c>
      <c r="AD399" s="1">
        <f>ROUNDDOWN(I399*(1+IF(F399=3,0.05+方案参数!$Y$13+AA399*0.12,IF(F399=4,方案参数!$BZ$13*方案参数!$AS$13,0)))+IF(AND(X399=1,F399&lt;&gt;3),方案参数!$CC$13,0)+AC399*方案参数!$CB$13,0)</f>
        <v>3044</v>
      </c>
      <c r="AE399" s="1">
        <f>IF(OR(F399=1,F399=4),配置与结果!$B$24,配置与结果!$B$25)*MAX(0,1-INDEX(配置与结果!$I$15:$I$18,F399))</f>
        <v>1000</v>
      </c>
      <c r="AF399" s="1">
        <f>方案参数!$CE$13</f>
        <v>9</v>
      </c>
      <c r="AG399" s="1">
        <f>MAX(配置与结果!$B$32,1+INDEX(配置与结果!$F$15:$F$18,F399)+0+Q399*方案参数!$W$13+Y399*(方案参数!$AN$13+MIN(方案参数!$AO$13,P399*0.03))+AB399*方案参数!$BZ$13*0.025-配置与结果!$B$28+方案参数!$AE$13)</f>
        <v>2.58</v>
      </c>
      <c r="AH399" s="1">
        <f>MAX(0,1+V399*方案参数!$U$13+方案参数!$AE$13-配置与结果!$B$29)</f>
        <v>1.8599999999999999</v>
      </c>
      <c r="AI399" s="1">
        <f>IF(OR(INDEX(配置与结果!$K$15:$K$18,F399)=1,G399="RHI_BERRY"),1+配置与结果!$B$33+P399*方案参数!$AH$13,1)</f>
        <v>1</v>
      </c>
      <c r="AJ399" s="1">
        <f>MIN(1,MAX(0,J399+方案参数!$AB$13-配置与结果!$B$27))</f>
        <v>1</v>
      </c>
      <c r="AK399" s="1">
        <f>MAX(1,K399+IF(F399=2,0.15+方案参数!$CH$13,0)+BN399*方案参数!$X$13+R399*方案参数!$AA$13+0-配置与结果!$B$26+Z399*(方案参数!$AP$13+MIN(方案参数!$AQ$13,P399*0.03)))</f>
        <v>2.3380000000000001</v>
      </c>
      <c r="AL399" s="7">
        <f>ROUNDDOWN(MAX(AD399*配置与结果!$B$31,AD399-AE399)*AF399*AG399*AH399*AI399,0)</f>
        <v>88278</v>
      </c>
      <c r="AM399" s="7">
        <f>ROUNDDOWN(MAX(AD399*配置与结果!$B$31,AD399-AE399)*AF399*AG399*AH399*AI399*AK399,0)</f>
        <v>206395</v>
      </c>
      <c r="AN399" s="7">
        <f t="shared" si="558"/>
        <v>206395</v>
      </c>
      <c r="AO399" s="7">
        <f>0</f>
        <v>0</v>
      </c>
      <c r="AP399" s="7">
        <f>MAX(0,1+INDEX(配置与结果!$J$15:$J$18,F399)+IF(T399&gt;0,方案参数!$BY$13,0)-配置与结果!$B$30)</f>
        <v>1</v>
      </c>
      <c r="AQ399" s="7">
        <f t="shared" si="559"/>
        <v>0</v>
      </c>
      <c r="AR399" s="7">
        <f t="shared" si="560"/>
        <v>0</v>
      </c>
      <c r="AS399" s="7">
        <f t="shared" si="561"/>
        <v>0</v>
      </c>
      <c r="AT399" s="7">
        <f>IF(U399&gt;0,ROUNDDOWN(AL399*方案参数!$AF$13,0)*(1-AJ399)+ROUNDDOWN(AM399*方案参数!$AF$13,0)*AJ399,0)</f>
        <v>0</v>
      </c>
      <c r="AU399" s="7">
        <f t="shared" si="562"/>
        <v>206395</v>
      </c>
      <c r="AV399" s="1">
        <f t="shared" si="563"/>
        <v>2</v>
      </c>
      <c r="AW399" s="1">
        <f t="shared" si="556"/>
        <v>10</v>
      </c>
      <c r="AX399" s="1">
        <f t="shared" si="564"/>
        <v>2</v>
      </c>
      <c r="AY399" s="1">
        <f>MIN(20,MAX(0,O399+0+0-0))</f>
        <v>8</v>
      </c>
      <c r="AZ399" s="1">
        <f t="shared" si="565"/>
        <v>5</v>
      </c>
      <c r="BA399" s="1">
        <f t="shared" si="547"/>
        <v>5</v>
      </c>
      <c r="BB399" s="1">
        <f t="shared" si="555"/>
        <v>20</v>
      </c>
      <c r="BC399" s="1">
        <f t="shared" si="553"/>
        <v>3</v>
      </c>
      <c r="BD399" s="1">
        <f t="shared" si="534"/>
        <v>0</v>
      </c>
      <c r="BE399" s="1">
        <f>MAX(0,U399-IF(AF399&gt;0,1,0))+1</f>
        <v>1</v>
      </c>
      <c r="BF399" s="1">
        <f t="shared" si="557"/>
        <v>4</v>
      </c>
      <c r="BG399" s="1">
        <f t="shared" si="544"/>
        <v>1</v>
      </c>
      <c r="BH399" s="1">
        <f t="shared" si="528"/>
        <v>1</v>
      </c>
      <c r="BI399" s="1">
        <f t="shared" si="545"/>
        <v>1</v>
      </c>
      <c r="BJ399" s="1">
        <f t="shared" si="548"/>
        <v>1</v>
      </c>
      <c r="BK399" s="1">
        <f t="shared" si="549"/>
        <v>1</v>
      </c>
      <c r="BL399" s="1">
        <f t="shared" si="554"/>
        <v>1</v>
      </c>
      <c r="BM399" s="1">
        <f t="shared" si="552"/>
        <v>1</v>
      </c>
      <c r="BN399" s="1">
        <f t="shared" si="529"/>
        <v>1</v>
      </c>
      <c r="BO399" s="1">
        <f t="shared" si="530"/>
        <v>1</v>
      </c>
    </row>
    <row r="400" spans="1:67" ht="30.95" customHeight="1">
      <c r="A400" s="1">
        <f>10</f>
        <v>10</v>
      </c>
      <c r="B400" s="1">
        <f>固定流程!A40</f>
        <v>35</v>
      </c>
      <c r="C400" s="1">
        <f>13</f>
        <v>13</v>
      </c>
      <c r="D400" s="1">
        <f>2</f>
        <v>2</v>
      </c>
      <c r="E400" s="1">
        <f>固定流程!C40</f>
        <v>3</v>
      </c>
      <c r="F400" s="1">
        <f>固定流程!G40</f>
        <v>2</v>
      </c>
      <c r="G400" s="1" t="str">
        <f>固定流程!H40</f>
        <v>37_WEAK</v>
      </c>
      <c r="H400" s="1">
        <f>固定流程!F40</f>
        <v>1</v>
      </c>
      <c r="I400" s="1">
        <f>INDEX(配置与结果!$B$15:$B$18,F400)</f>
        <v>2306</v>
      </c>
      <c r="J400" s="1">
        <f>INDEX(配置与结果!$D$15:$D$18,F400)</f>
        <v>0.46</v>
      </c>
      <c r="K400" s="1">
        <f>INDEX(配置与结果!$E$15:$E$18,F400)</f>
        <v>1.9279999999999999</v>
      </c>
      <c r="L400" s="1">
        <f t="shared" si="541"/>
        <v>2</v>
      </c>
      <c r="M400" s="1">
        <f t="shared" si="542"/>
        <v>10</v>
      </c>
      <c r="N400" s="1">
        <f t="shared" si="543"/>
        <v>2</v>
      </c>
      <c r="O400" s="1">
        <f t="shared" si="535"/>
        <v>8</v>
      </c>
      <c r="P400" s="1">
        <f>MIN(方案参数!$AI$13,AZ399+0+0)</f>
        <v>5</v>
      </c>
      <c r="Q400" s="1">
        <f t="shared" si="513"/>
        <v>5</v>
      </c>
      <c r="R400" s="1">
        <f t="shared" si="514"/>
        <v>20</v>
      </c>
      <c r="S400" s="1">
        <f t="shared" si="515"/>
        <v>3</v>
      </c>
      <c r="T400" s="1">
        <f t="shared" si="550"/>
        <v>0</v>
      </c>
      <c r="U400" s="1">
        <f t="shared" si="517"/>
        <v>1</v>
      </c>
      <c r="V400" s="1">
        <f t="shared" si="518"/>
        <v>4</v>
      </c>
      <c r="W400" s="1">
        <f t="shared" si="519"/>
        <v>1</v>
      </c>
      <c r="X400" s="1">
        <f t="shared" si="520"/>
        <v>1</v>
      </c>
      <c r="Y400" s="1">
        <f t="shared" si="521"/>
        <v>1</v>
      </c>
      <c r="Z400" s="1">
        <f t="shared" si="522"/>
        <v>1</v>
      </c>
      <c r="AA400" s="1">
        <f t="shared" si="546"/>
        <v>1</v>
      </c>
      <c r="AB400" s="1">
        <f t="shared" si="524"/>
        <v>1</v>
      </c>
      <c r="AC400" s="1">
        <f t="shared" si="551"/>
        <v>1</v>
      </c>
      <c r="AD400" s="1">
        <f>ROUNDDOWN(I400*(1+IF(F400=3,0.05+方案参数!$Y$13+AA400*0.12,IF(F400=4,方案参数!$BZ$13*方案参数!$AS$13,0)))+IF(AND(X400=1,F400&lt;&gt;3),方案参数!$CC$13,0)+AC400*方案参数!$CB$13,0)</f>
        <v>3044</v>
      </c>
      <c r="AE400" s="1">
        <f>IF(OR(F400=1,F400=4),配置与结果!$B$24,配置与结果!$B$25)*MAX(0,1-INDEX(配置与结果!$I$15:$I$18,F400))</f>
        <v>1000</v>
      </c>
      <c r="AF400" s="1">
        <f>方案参数!$CE$13</f>
        <v>9</v>
      </c>
      <c r="AG400" s="1">
        <f>MAX(配置与结果!$B$32,1+INDEX(配置与结果!$F$15:$F$18,F400)+0+Q400*方案参数!$W$13+Y400*(方案参数!$AN$13+MIN(方案参数!$AO$13,P400*0.03))+AB400*方案参数!$BZ$13*0.025-配置与结果!$B$28+方案参数!$AE$13)</f>
        <v>2.58</v>
      </c>
      <c r="AH400" s="1">
        <f>MAX(0,1+V400*方案参数!$U$13+方案参数!$AE$13-配置与结果!$B$29)</f>
        <v>1.8599999999999999</v>
      </c>
      <c r="AI400" s="1">
        <f>IF(OR(INDEX(配置与结果!$K$15:$K$18,F400)=1,G400="RHI_BERRY"),1+配置与结果!$B$33+P400*方案参数!$AH$13,1)</f>
        <v>1</v>
      </c>
      <c r="AJ400" s="1">
        <f>MIN(1,MAX(0,J400+方案参数!$AB$13-配置与结果!$B$27))</f>
        <v>1</v>
      </c>
      <c r="AK400" s="1">
        <f>MAX(1,K400+IF(F400=2,0.15+方案参数!$CH$13,0)+BN400*方案参数!$X$13+R400*方案参数!$AA$13+0-配置与结果!$B$26+Z400*(方案参数!$AP$13+MIN(方案参数!$AQ$13,P400*0.03)))</f>
        <v>2.3380000000000001</v>
      </c>
      <c r="AL400" s="7">
        <f>ROUNDDOWN(MAX(AD400*配置与结果!$B$31,AD400-AE400)*AF400*AG400*AH400*AI400,0)</f>
        <v>88278</v>
      </c>
      <c r="AM400" s="7">
        <f>ROUNDDOWN(MAX(AD400*配置与结果!$B$31,AD400-AE400)*AF400*AG400*AH400*AI400*AK400,0)</f>
        <v>206395</v>
      </c>
      <c r="AN400" s="7">
        <f t="shared" si="558"/>
        <v>206395</v>
      </c>
      <c r="AO400" s="7">
        <f>0</f>
        <v>0</v>
      </c>
      <c r="AP400" s="7">
        <f>MAX(0,1+INDEX(配置与结果!$J$15:$J$18,F400)+IF(T400&gt;0,方案参数!$BY$13,0)-配置与结果!$B$30)</f>
        <v>1</v>
      </c>
      <c r="AQ400" s="7">
        <f t="shared" si="559"/>
        <v>0</v>
      </c>
      <c r="AR400" s="7">
        <f t="shared" si="560"/>
        <v>0</v>
      </c>
      <c r="AS400" s="7">
        <f t="shared" si="561"/>
        <v>0</v>
      </c>
      <c r="AT400" s="7">
        <f>IF(U400&gt;0,ROUNDDOWN(AL400*方案参数!$AF$13,0)*(1-AJ400)+ROUNDDOWN(AM400*方案参数!$AF$13,0)*AJ400,0)</f>
        <v>123837</v>
      </c>
      <c r="AU400" s="7">
        <f t="shared" si="562"/>
        <v>330232</v>
      </c>
      <c r="AV400" s="1">
        <f t="shared" si="563"/>
        <v>2</v>
      </c>
      <c r="AW400" s="1">
        <f t="shared" si="556"/>
        <v>10</v>
      </c>
      <c r="AX400" s="1">
        <f t="shared" si="564"/>
        <v>2</v>
      </c>
      <c r="AY400" s="1">
        <f>MIN(20,MAX(0,O400+0+0-0))</f>
        <v>8</v>
      </c>
      <c r="AZ400" s="1">
        <f t="shared" si="565"/>
        <v>5</v>
      </c>
      <c r="BA400" s="1">
        <f t="shared" si="547"/>
        <v>5</v>
      </c>
      <c r="BB400" s="1">
        <f t="shared" si="555"/>
        <v>20</v>
      </c>
      <c r="BC400" s="1">
        <f t="shared" si="553"/>
        <v>3</v>
      </c>
      <c r="BD400" s="1">
        <f t="shared" si="534"/>
        <v>0</v>
      </c>
      <c r="BE400" s="1">
        <f>MAX(0,U400-IF(AF400&gt;0,1,0))+1</f>
        <v>1</v>
      </c>
      <c r="BF400" s="1">
        <f t="shared" si="557"/>
        <v>4</v>
      </c>
      <c r="BG400" s="1">
        <f t="shared" si="544"/>
        <v>1</v>
      </c>
      <c r="BH400" s="1">
        <f t="shared" si="528"/>
        <v>1</v>
      </c>
      <c r="BI400" s="1">
        <f t="shared" si="545"/>
        <v>1</v>
      </c>
      <c r="BJ400" s="1">
        <f t="shared" si="548"/>
        <v>1</v>
      </c>
      <c r="BK400" s="1">
        <f t="shared" si="549"/>
        <v>1</v>
      </c>
      <c r="BL400" s="1">
        <f t="shared" si="554"/>
        <v>1</v>
      </c>
      <c r="BM400" s="1">
        <f t="shared" si="552"/>
        <v>1</v>
      </c>
      <c r="BN400" s="1">
        <f t="shared" si="529"/>
        <v>1</v>
      </c>
      <c r="BO400" s="1">
        <f t="shared" si="530"/>
        <v>1</v>
      </c>
    </row>
    <row r="401" spans="1:67" ht="30.95" customHeight="1">
      <c r="A401" s="1">
        <f>10</f>
        <v>10</v>
      </c>
      <c r="B401" s="1">
        <f>固定流程!A41</f>
        <v>36</v>
      </c>
      <c r="C401" s="1">
        <f>13</f>
        <v>13</v>
      </c>
      <c r="D401" s="1">
        <f>2</f>
        <v>2</v>
      </c>
      <c r="E401" s="1">
        <f>固定流程!C41</f>
        <v>3</v>
      </c>
      <c r="F401" s="1">
        <f>固定流程!G41</f>
        <v>1</v>
      </c>
      <c r="G401" s="1" t="str">
        <f>固定流程!H41</f>
        <v>LILYA_FINISH</v>
      </c>
      <c r="H401" s="1">
        <f>固定流程!F41</f>
        <v>1</v>
      </c>
      <c r="I401" s="1">
        <f>INDEX(配置与结果!$B$15:$B$18,F401)</f>
        <v>2296</v>
      </c>
      <c r="J401" s="1">
        <f>INDEX(配置与结果!$D$15:$D$18,F401)</f>
        <v>0.7</v>
      </c>
      <c r="K401" s="1">
        <f>INDEX(配置与结果!$E$15:$E$18,F401)</f>
        <v>2.0249999999999999</v>
      </c>
      <c r="L401" s="1">
        <f t="shared" si="541"/>
        <v>2</v>
      </c>
      <c r="M401" s="1">
        <f t="shared" si="542"/>
        <v>10</v>
      </c>
      <c r="N401" s="1">
        <f t="shared" si="543"/>
        <v>2</v>
      </c>
      <c r="O401" s="1">
        <f t="shared" si="535"/>
        <v>8</v>
      </c>
      <c r="P401" s="1">
        <f>MIN(方案参数!$AI$13,AZ400+0+0)</f>
        <v>5</v>
      </c>
      <c r="Q401" s="1">
        <f t="shared" si="513"/>
        <v>5</v>
      </c>
      <c r="R401" s="1">
        <f t="shared" si="514"/>
        <v>20</v>
      </c>
      <c r="S401" s="1">
        <f t="shared" si="515"/>
        <v>3</v>
      </c>
      <c r="T401" s="1">
        <f t="shared" si="550"/>
        <v>0</v>
      </c>
      <c r="U401" s="1">
        <f t="shared" si="517"/>
        <v>1</v>
      </c>
      <c r="V401" s="1">
        <f t="shared" si="518"/>
        <v>4</v>
      </c>
      <c r="W401" s="1">
        <f t="shared" si="519"/>
        <v>1</v>
      </c>
      <c r="X401" s="1">
        <f t="shared" si="520"/>
        <v>1</v>
      </c>
      <c r="Y401" s="1">
        <f t="shared" si="521"/>
        <v>1</v>
      </c>
      <c r="Z401" s="1">
        <f t="shared" si="522"/>
        <v>1</v>
      </c>
      <c r="AA401" s="1">
        <f t="shared" si="546"/>
        <v>1</v>
      </c>
      <c r="AB401" s="1">
        <f t="shared" si="524"/>
        <v>1</v>
      </c>
      <c r="AC401" s="1">
        <f t="shared" si="551"/>
        <v>1</v>
      </c>
      <c r="AD401" s="1">
        <f>ROUNDDOWN(I401*(1+IF(F401=3,0.05+方案参数!$Y$13+AA401*0.12,IF(F401=4,方案参数!$BZ$13*方案参数!$AS$13,0)))+IF(AND(X401=1,F401&lt;&gt;3),方案参数!$CC$13,0)+AC401*方案参数!$CB$13,0)</f>
        <v>3034</v>
      </c>
      <c r="AE401" s="1">
        <f>IF(OR(F401=1,F401=4),配置与结果!$B$24,配置与结果!$B$25)*MAX(0,1-INDEX(配置与结果!$I$15:$I$18,F401))</f>
        <v>1200</v>
      </c>
      <c r="AF401" s="1">
        <f>方案参数!$BN$13+12*方案参数!$BO$13</f>
        <v>48</v>
      </c>
      <c r="AG401" s="1">
        <f>MAX(配置与结果!$B$32,1+INDEX(配置与结果!$F$15:$F$18,F401)+0.08+方案参数!$CD$13+Q401*方案参数!$W$13+Y401*(方案参数!$AN$13+MIN(方案参数!$AO$13,P401*0.03))+AB401*方案参数!$BZ$13*0.025-配置与结果!$B$28+方案参数!$AE$13)</f>
        <v>2.915</v>
      </c>
      <c r="AH401" s="1">
        <f>MAX(0,1+V401*方案参数!$U$13+12*方案参数!$V$13+方案参数!$AE$13-配置与结果!$B$29)</f>
        <v>2.58</v>
      </c>
      <c r="AI401" s="1">
        <f>IF(OR(INDEX(配置与结果!$K$15:$K$18,F401)=1,G401="RHI_BERRY"),1+配置与结果!$B$33+P401*方案参数!$AH$13,1)</f>
        <v>1</v>
      </c>
      <c r="AJ401" s="1">
        <f>MIN(1,MAX(0,J401+方案参数!$AB$13-配置与结果!$B$27))</f>
        <v>1</v>
      </c>
      <c r="AK401" s="1">
        <f>MAX(1,K401+IF(F401=2,0.15+方案参数!$CH$13,0)+BN401*方案参数!$X$13+R401*方案参数!$AA$13+方案参数!$BR$13-配置与结果!$B$26+Z401*(方案参数!$AP$13+MIN(方案参数!$AQ$13,P401*0.03)))</f>
        <v>3.165</v>
      </c>
      <c r="AL401" s="7">
        <f>ROUNDDOWN(MAX(AD401*配置与结果!$B$31,AD401-AE401)*AF401*AG401*AH401*AI401,0)</f>
        <v>662062</v>
      </c>
      <c r="AM401" s="7">
        <f>ROUNDDOWN(MAX(AD401*配置与结果!$B$31,AD401-AE401)*AF401*AG401*AH401*AI401*AK401,0)</f>
        <v>2095427</v>
      </c>
      <c r="AN401" s="7">
        <f t="shared" si="558"/>
        <v>2095427</v>
      </c>
      <c r="AO401" s="7">
        <f>0</f>
        <v>0</v>
      </c>
      <c r="AP401" s="7">
        <f>MAX(0,1+INDEX(配置与结果!$J$15:$J$18,F401)+IF(T401&gt;0,方案参数!$BY$13,0)-配置与结果!$B$30)</f>
        <v>1</v>
      </c>
      <c r="AQ401" s="7">
        <f t="shared" si="559"/>
        <v>0</v>
      </c>
      <c r="AR401" s="7">
        <f t="shared" si="560"/>
        <v>0</v>
      </c>
      <c r="AS401" s="7">
        <f t="shared" si="561"/>
        <v>0</v>
      </c>
      <c r="AT401" s="7">
        <f>IF(U401&gt;0,ROUNDDOWN(AL401*方案参数!$AF$13,0)*(1-AJ401)+ROUNDDOWN(AM401*方案参数!$AF$13,0)*AJ401,0)</f>
        <v>1257256</v>
      </c>
      <c r="AU401" s="7">
        <f t="shared" si="562"/>
        <v>3352683</v>
      </c>
      <c r="AV401" s="1">
        <f t="shared" si="563"/>
        <v>2</v>
      </c>
      <c r="AW401" s="1">
        <f t="shared" si="556"/>
        <v>10</v>
      </c>
      <c r="AX401" s="1">
        <f t="shared" si="564"/>
        <v>2</v>
      </c>
      <c r="AY401" s="1">
        <f>MIN(20,MAX(0,O401+0+1-0))</f>
        <v>9</v>
      </c>
      <c r="AZ401" s="1">
        <f t="shared" si="565"/>
        <v>5</v>
      </c>
      <c r="BA401" s="1">
        <f t="shared" si="547"/>
        <v>5</v>
      </c>
      <c r="BB401" s="1">
        <f t="shared" si="555"/>
        <v>20</v>
      </c>
      <c r="BC401" s="1">
        <f t="shared" si="553"/>
        <v>3</v>
      </c>
      <c r="BD401" s="1">
        <f t="shared" si="534"/>
        <v>0</v>
      </c>
      <c r="BE401" s="1">
        <f>MAX(0,U401-IF(AF401&gt;0,1,0))+0</f>
        <v>0</v>
      </c>
      <c r="BF401" s="1">
        <f t="shared" si="557"/>
        <v>4</v>
      </c>
      <c r="BG401" s="1">
        <f t="shared" si="544"/>
        <v>1</v>
      </c>
      <c r="BH401" s="1">
        <f t="shared" si="528"/>
        <v>1</v>
      </c>
      <c r="BI401" s="1">
        <f t="shared" si="545"/>
        <v>1</v>
      </c>
      <c r="BJ401" s="1">
        <f t="shared" si="548"/>
        <v>1</v>
      </c>
      <c r="BK401" s="1">
        <f t="shared" si="549"/>
        <v>1</v>
      </c>
      <c r="BL401" s="1">
        <f t="shared" si="554"/>
        <v>1</v>
      </c>
      <c r="BM401" s="1">
        <f t="shared" si="552"/>
        <v>1</v>
      </c>
      <c r="BN401" s="1">
        <f t="shared" si="529"/>
        <v>1</v>
      </c>
      <c r="BO401" s="1">
        <f t="shared" si="530"/>
        <v>1</v>
      </c>
    </row>
    <row r="402" spans="1:67" ht="30.95" customHeight="1">
      <c r="A402" s="1">
        <f>11</f>
        <v>11</v>
      </c>
      <c r="B402" s="1">
        <f>固定流程!A6</f>
        <v>1</v>
      </c>
      <c r="C402" s="1">
        <f>14</f>
        <v>14</v>
      </c>
      <c r="D402" s="1">
        <f>1</f>
        <v>1</v>
      </c>
      <c r="E402" s="1">
        <f>固定流程!C6</f>
        <v>1</v>
      </c>
      <c r="F402" s="1">
        <f>固定流程!G6</f>
        <v>3</v>
      </c>
      <c r="G402" s="1" t="str">
        <f>固定流程!H6</f>
        <v>RHI_ULT</v>
      </c>
      <c r="H402" s="1">
        <f>固定流程!F6</f>
        <v>1</v>
      </c>
      <c r="I402" s="1">
        <f>INDEX(配置与结果!$B$15:$B$18,F402)</f>
        <v>2597</v>
      </c>
      <c r="J402" s="1">
        <f>INDEX(配置与结果!$D$15:$D$18,F402)</f>
        <v>0.255</v>
      </c>
      <c r="K402" s="1">
        <f>INDEX(配置与结果!$E$15:$E$18,F402)</f>
        <v>1.55</v>
      </c>
      <c r="L402" s="1">
        <f>0</f>
        <v>0</v>
      </c>
      <c r="M402" s="1">
        <f>0</f>
        <v>0</v>
      </c>
      <c r="N402" s="1">
        <f>0</f>
        <v>0</v>
      </c>
      <c r="O402" s="1">
        <f>0</f>
        <v>0</v>
      </c>
      <c r="P402" s="1">
        <f>MIN(方案参数!$AI$14,0+方案参数!$AJ$14+0)</f>
        <v>1</v>
      </c>
      <c r="Q402" s="1">
        <f>0</f>
        <v>0</v>
      </c>
      <c r="R402" s="1">
        <f>0</f>
        <v>0</v>
      </c>
      <c r="S402" s="1">
        <f>0</f>
        <v>0</v>
      </c>
      <c r="T402" s="1">
        <f>0+0</f>
        <v>0</v>
      </c>
      <c r="U402" s="1">
        <f>0</f>
        <v>0</v>
      </c>
      <c r="V402" s="1">
        <f>0</f>
        <v>0</v>
      </c>
      <c r="W402" s="1">
        <f>0</f>
        <v>0</v>
      </c>
      <c r="X402" s="1">
        <f>0</f>
        <v>0</v>
      </c>
      <c r="Y402" s="1">
        <f>0</f>
        <v>0</v>
      </c>
      <c r="Z402" s="1">
        <f>0</f>
        <v>0</v>
      </c>
      <c r="AA402" s="1">
        <f>MAX(0,0)</f>
        <v>0</v>
      </c>
      <c r="AB402" s="1">
        <f>0</f>
        <v>0</v>
      </c>
      <c r="AC402" s="1">
        <f>MAX(0,0)</f>
        <v>0</v>
      </c>
      <c r="AD402" s="1">
        <f>ROUNDDOWN(I402*(1+IF(F402=3,0.05+方案参数!$Y$14+AA402*0.12,IF(F402=4,方案参数!$BZ$14*方案参数!$AS$14,0)))+IF(AND(X402=1,F402&lt;&gt;3),方案参数!$CC$14,0)+AC402*方案参数!$CB$14,0)</f>
        <v>2986</v>
      </c>
      <c r="AE402" s="1">
        <f>IF(OR(F402=1,F402=4),配置与结果!$B$24,配置与结果!$B$25)*MAX(0,1-INDEX(配置与结果!$I$15:$I$18,F402))</f>
        <v>1000</v>
      </c>
      <c r="AF402" s="1">
        <f>0</f>
        <v>0</v>
      </c>
      <c r="AG402" s="1">
        <f>MAX(配置与结果!$B$32,1+INDEX(配置与结果!$F$15:$F$18,F402)+0+Q402*方案参数!$W$14+Y402*(方案参数!$AN$14+MIN(方案参数!$AO$14,P402*0.03))+AB402*方案参数!$BZ$14*0.025-配置与结果!$B$28)</f>
        <v>0.6349999999999999</v>
      </c>
      <c r="AH402" s="1">
        <f>MAX(0,1+INDEX(配置与结果!$G$15:$G$18,F402)+W402*方案参数!$AG$14)</f>
        <v>1</v>
      </c>
      <c r="AI402" s="1">
        <f>IF(OR(INDEX(配置与结果!$K$15:$K$18,F402)=1,G402="RHI_BERRY"),1+配置与结果!$B$33+P402*方案参数!$AH$14,1)</f>
        <v>1</v>
      </c>
      <c r="AJ402" s="1">
        <f>MIN(1,MAX(0,J402+方案参数!$AB$14-配置与结果!$B$27))</f>
        <v>0.85499999999999998</v>
      </c>
      <c r="AK402" s="1">
        <f>MAX(1,K402+IF(F402=2,0.15+方案参数!$CH$14,0)+BN402*方案参数!$X$14+R402*方案参数!$AA$14+0-配置与结果!$B$26+Z402*(方案参数!$AP$14+MIN(方案参数!$AQ$14,P402*0.03)))</f>
        <v>1.1499999999999999</v>
      </c>
      <c r="AL402" s="7">
        <f>ROUNDDOWN(MAX(AD402*配置与结果!$B$31,AD402-AE402)*AF402*AG402*AH402*AI402,0)</f>
        <v>0</v>
      </c>
      <c r="AM402" s="7">
        <f>ROUNDDOWN(MAX(AD402*配置与结果!$B$31,AD402-AE402)*AF402*AG402*AH402*AI402*AK402,0)</f>
        <v>0</v>
      </c>
      <c r="AN402" s="7">
        <f t="shared" si="558"/>
        <v>0</v>
      </c>
      <c r="AO402" s="7">
        <f>0</f>
        <v>0</v>
      </c>
      <c r="AP402" s="7">
        <f>MAX(0,1+INDEX(配置与结果!$J$15:$J$18,F402)+IF(T402&gt;0,方案参数!$BY$14,0)-配置与结果!$B$30)</f>
        <v>1</v>
      </c>
      <c r="AQ402" s="7">
        <f t="shared" si="559"/>
        <v>0</v>
      </c>
      <c r="AR402" s="7">
        <f t="shared" si="560"/>
        <v>0</v>
      </c>
      <c r="AS402" s="7">
        <f t="shared" si="561"/>
        <v>0</v>
      </c>
      <c r="AT402" s="7">
        <f>0</f>
        <v>0</v>
      </c>
      <c r="AU402" s="7">
        <f t="shared" si="562"/>
        <v>0</v>
      </c>
      <c r="AV402" s="1">
        <f t="shared" si="563"/>
        <v>0</v>
      </c>
      <c r="AW402" s="1">
        <f t="shared" si="556"/>
        <v>0</v>
      </c>
      <c r="AX402" s="1">
        <f t="shared" si="564"/>
        <v>0</v>
      </c>
      <c r="AY402" s="1">
        <f>MIN(20,MAX(0,O402+0+0-0))</f>
        <v>0</v>
      </c>
      <c r="AZ402" s="1">
        <f t="shared" si="565"/>
        <v>1</v>
      </c>
      <c r="BA402" s="1">
        <f>MIN(6,Q402+1)</f>
        <v>1</v>
      </c>
      <c r="BB402" s="1">
        <f>MIN(30,R402+5)</f>
        <v>5</v>
      </c>
      <c r="BC402" s="1">
        <f t="shared" si="553"/>
        <v>0</v>
      </c>
      <c r="BD402" s="1">
        <f t="shared" si="534"/>
        <v>0</v>
      </c>
      <c r="BE402" s="1">
        <f>0</f>
        <v>0</v>
      </c>
      <c r="BF402" s="1">
        <f t="shared" si="557"/>
        <v>0</v>
      </c>
      <c r="BG402" s="1">
        <f t="shared" si="544"/>
        <v>0</v>
      </c>
      <c r="BH402" s="1">
        <f>MAX(X402,1)</f>
        <v>1</v>
      </c>
      <c r="BI402" s="1">
        <f t="shared" si="545"/>
        <v>0</v>
      </c>
      <c r="BJ402" s="1">
        <f t="shared" si="548"/>
        <v>0</v>
      </c>
      <c r="BK402" s="1">
        <f t="shared" si="549"/>
        <v>0</v>
      </c>
      <c r="BL402" s="1">
        <f t="shared" si="554"/>
        <v>0</v>
      </c>
      <c r="BM402" s="1">
        <f t="shared" si="552"/>
        <v>0</v>
      </c>
      <c r="BN402" s="1">
        <f>0</f>
        <v>0</v>
      </c>
      <c r="BO402" s="1">
        <f>MAX(BN402,1)</f>
        <v>1</v>
      </c>
    </row>
    <row r="403" spans="1:67" ht="30.95" customHeight="1">
      <c r="A403" s="1">
        <f>11</f>
        <v>11</v>
      </c>
      <c r="B403" s="1">
        <f>固定流程!A7</f>
        <v>2</v>
      </c>
      <c r="C403" s="1">
        <f>14</f>
        <v>14</v>
      </c>
      <c r="D403" s="1">
        <f>1</f>
        <v>1</v>
      </c>
      <c r="E403" s="1">
        <f>固定流程!C7</f>
        <v>1</v>
      </c>
      <c r="F403" s="1">
        <f>固定流程!G7</f>
        <v>3</v>
      </c>
      <c r="G403" s="1" t="str">
        <f>固定流程!H7</f>
        <v>RHI_BUFF</v>
      </c>
      <c r="H403" s="1">
        <f>固定流程!F7</f>
        <v>1</v>
      </c>
      <c r="I403" s="1">
        <f>INDEX(配置与结果!$B$15:$B$18,F403)</f>
        <v>2597</v>
      </c>
      <c r="J403" s="1">
        <f>INDEX(配置与结果!$D$15:$D$18,F403)</f>
        <v>0.255</v>
      </c>
      <c r="K403" s="1">
        <f>INDEX(配置与结果!$E$15:$E$18,F403)</f>
        <v>1.55</v>
      </c>
      <c r="L403" s="1">
        <f t="shared" ref="L403:O408" si="566">AV402</f>
        <v>0</v>
      </c>
      <c r="M403" s="1">
        <f t="shared" si="566"/>
        <v>0</v>
      </c>
      <c r="N403" s="1">
        <f t="shared" si="566"/>
        <v>0</v>
      </c>
      <c r="O403" s="1">
        <f t="shared" si="566"/>
        <v>0</v>
      </c>
      <c r="P403" s="1">
        <f>MIN(方案参数!$AI$14,AZ402+0+方案参数!$AK$14)</f>
        <v>3</v>
      </c>
      <c r="Q403" s="1">
        <f t="shared" ref="Q403:Q437" si="567">BA402</f>
        <v>1</v>
      </c>
      <c r="R403" s="1">
        <f t="shared" ref="R403:R437" si="568">BB402</f>
        <v>5</v>
      </c>
      <c r="S403" s="1">
        <f t="shared" ref="S403:S437" si="569">BC402</f>
        <v>0</v>
      </c>
      <c r="T403" s="1">
        <f t="shared" ref="T403:T416" si="570">BD402+0</f>
        <v>0</v>
      </c>
      <c r="U403" s="1">
        <f t="shared" ref="U403:U437" si="571">BE402</f>
        <v>0</v>
      </c>
      <c r="V403" s="1">
        <f t="shared" ref="V403:V437" si="572">BF402</f>
        <v>0</v>
      </c>
      <c r="W403" s="1">
        <f t="shared" ref="W403:W437" si="573">BG402</f>
        <v>0</v>
      </c>
      <c r="X403" s="1">
        <f t="shared" ref="X403:X437" si="574">BH402</f>
        <v>1</v>
      </c>
      <c r="Y403" s="1">
        <f t="shared" ref="Y403:Y437" si="575">BI402</f>
        <v>0</v>
      </c>
      <c r="Z403" s="1">
        <f t="shared" ref="Z403:Z437" si="576">BJ402</f>
        <v>0</v>
      </c>
      <c r="AA403" s="1">
        <f t="shared" ref="AA403:AA408" si="577">MAX(BK402,0)</f>
        <v>0</v>
      </c>
      <c r="AB403" s="1">
        <f t="shared" ref="AB403:AB437" si="578">BL402</f>
        <v>0</v>
      </c>
      <c r="AC403" s="1">
        <f t="shared" ref="AC403:AC416" si="579">MAX(BM402,0)</f>
        <v>0</v>
      </c>
      <c r="AD403" s="1">
        <f>ROUNDDOWN(I403*(1+IF(F403=3,0.05+方案参数!$Y$14+AA403*0.12,IF(F403=4,方案参数!$BZ$14*方案参数!$AS$14,0)))+IF(AND(X403=1,F403&lt;&gt;3),方案参数!$CC$14,0)+AC403*方案参数!$CB$14,0)</f>
        <v>2986</v>
      </c>
      <c r="AE403" s="1">
        <f>IF(OR(F403=1,F403=4),配置与结果!$B$24,配置与结果!$B$25)*MAX(0,1-INDEX(配置与结果!$I$15:$I$18,F403))</f>
        <v>1000</v>
      </c>
      <c r="AF403" s="1">
        <f>0</f>
        <v>0</v>
      </c>
      <c r="AG403" s="1">
        <f>MAX(配置与结果!$B$32,1+INDEX(配置与结果!$F$15:$F$18,F403)+0+Q403*方案参数!$W$14+Y403*(方案参数!$AN$14+MIN(方案参数!$AO$14,P403*0.03))+AB403*方案参数!$BZ$14*0.025-配置与结果!$B$28)</f>
        <v>0.65499999999999992</v>
      </c>
      <c r="AH403" s="1">
        <f>MAX(0,1+INDEX(配置与结果!$G$15:$G$18,F403)+W403*方案参数!$AG$14)</f>
        <v>1</v>
      </c>
      <c r="AI403" s="1">
        <f>IF(OR(INDEX(配置与结果!$K$15:$K$18,F403)=1,G403="RHI_BERRY"),1+配置与结果!$B$33+P403*方案参数!$AH$14,1)</f>
        <v>1</v>
      </c>
      <c r="AJ403" s="1">
        <f>MIN(1,MAX(0,J403+方案参数!$AB$14-配置与结果!$B$27))</f>
        <v>0.85499999999999998</v>
      </c>
      <c r="AK403" s="1">
        <f>MAX(1,K403+IF(F403=2,0.15+方案参数!$CH$14,0)+BN403*方案参数!$X$14+R403*方案参数!$AA$14+0-配置与结果!$B$26+Z403*(方案参数!$AP$14+MIN(方案参数!$AQ$14,P403*0.03)))</f>
        <v>1.33</v>
      </c>
      <c r="AL403" s="7">
        <f>ROUNDDOWN(MAX(AD403*配置与结果!$B$31,AD403-AE403)*AF403*AG403*AH403*AI403,0)</f>
        <v>0</v>
      </c>
      <c r="AM403" s="7">
        <f>ROUNDDOWN(MAX(AD403*配置与结果!$B$31,AD403-AE403)*AF403*AG403*AH403*AI403*AK403,0)</f>
        <v>0</v>
      </c>
      <c r="AN403" s="7">
        <f t="shared" si="558"/>
        <v>0</v>
      </c>
      <c r="AO403" s="7">
        <f>0</f>
        <v>0</v>
      </c>
      <c r="AP403" s="7">
        <f>MAX(0,1+INDEX(配置与结果!$J$15:$J$18,F403)+IF(T403&gt;0,方案参数!$BY$14,0)-配置与结果!$B$30)</f>
        <v>1</v>
      </c>
      <c r="AQ403" s="7">
        <f t="shared" si="559"/>
        <v>0</v>
      </c>
      <c r="AR403" s="7">
        <f t="shared" si="560"/>
        <v>0</v>
      </c>
      <c r="AS403" s="7">
        <f t="shared" si="561"/>
        <v>0</v>
      </c>
      <c r="AT403" s="7">
        <f>0</f>
        <v>0</v>
      </c>
      <c r="AU403" s="7">
        <f t="shared" si="562"/>
        <v>0</v>
      </c>
      <c r="AV403" s="1">
        <f t="shared" si="563"/>
        <v>0</v>
      </c>
      <c r="AW403" s="1">
        <f t="shared" si="556"/>
        <v>0</v>
      </c>
      <c r="AX403" s="1">
        <f t="shared" si="564"/>
        <v>0</v>
      </c>
      <c r="AY403" s="1">
        <f>MIN(20,MAX(0,O403+0+0-0))</f>
        <v>0</v>
      </c>
      <c r="AZ403" s="1">
        <f t="shared" si="565"/>
        <v>3</v>
      </c>
      <c r="BA403" s="1">
        <f>MIN(6,Q403+1)</f>
        <v>2</v>
      </c>
      <c r="BB403" s="1">
        <f t="shared" ref="BB403:BB416" si="580">MIN(30,R403+0)</f>
        <v>5</v>
      </c>
      <c r="BC403" s="1">
        <f t="shared" si="553"/>
        <v>0</v>
      </c>
      <c r="BD403" s="1">
        <f t="shared" si="534"/>
        <v>0</v>
      </c>
      <c r="BE403" s="1">
        <f t="shared" ref="BE403:BE424" si="581">BE402</f>
        <v>0</v>
      </c>
      <c r="BF403" s="1">
        <f t="shared" si="557"/>
        <v>0</v>
      </c>
      <c r="BG403" s="1">
        <f>MAX(W403,1)</f>
        <v>1</v>
      </c>
      <c r="BH403" s="1">
        <f t="shared" ref="BH403:BH437" si="582">MAX(X403,0)</f>
        <v>1</v>
      </c>
      <c r="BI403" s="1">
        <f>MAX(Y403,1)</f>
        <v>1</v>
      </c>
      <c r="BJ403" s="1">
        <f t="shared" si="548"/>
        <v>0</v>
      </c>
      <c r="BK403" s="1">
        <f t="shared" si="549"/>
        <v>0</v>
      </c>
      <c r="BL403" s="1">
        <f t="shared" si="554"/>
        <v>0</v>
      </c>
      <c r="BM403" s="1">
        <f t="shared" si="552"/>
        <v>0</v>
      </c>
      <c r="BN403" s="1">
        <f t="shared" ref="BN403:BN437" si="583">BO402</f>
        <v>1</v>
      </c>
      <c r="BO403" s="1">
        <f t="shared" ref="BO403:BO437" si="584">MAX(BN403,0)</f>
        <v>1</v>
      </c>
    </row>
    <row r="404" spans="1:67" ht="30.95" customHeight="1">
      <c r="A404" s="1">
        <f>11</f>
        <v>11</v>
      </c>
      <c r="B404" s="1">
        <f>固定流程!A8</f>
        <v>3</v>
      </c>
      <c r="C404" s="1">
        <f>14</f>
        <v>14</v>
      </c>
      <c r="D404" s="1">
        <f>1</f>
        <v>1</v>
      </c>
      <c r="E404" s="1">
        <f>固定流程!C8</f>
        <v>1</v>
      </c>
      <c r="F404" s="1">
        <f>固定流程!G8</f>
        <v>1</v>
      </c>
      <c r="G404" s="1" t="str">
        <f>固定流程!H8</f>
        <v>LILYA_COBRA</v>
      </c>
      <c r="H404" s="1">
        <f>固定流程!F8</f>
        <v>1</v>
      </c>
      <c r="I404" s="1">
        <f>INDEX(配置与结果!$B$15:$B$18,F404)</f>
        <v>2296</v>
      </c>
      <c r="J404" s="1">
        <f>INDEX(配置与结果!$D$15:$D$18,F404)</f>
        <v>0.7</v>
      </c>
      <c r="K404" s="1">
        <f>INDEX(配置与结果!$E$15:$E$18,F404)</f>
        <v>2.0249999999999999</v>
      </c>
      <c r="L404" s="1">
        <f t="shared" si="566"/>
        <v>0</v>
      </c>
      <c r="M404" s="1">
        <f t="shared" si="566"/>
        <v>0</v>
      </c>
      <c r="N404" s="1">
        <f t="shared" si="566"/>
        <v>0</v>
      </c>
      <c r="O404" s="1">
        <f t="shared" si="566"/>
        <v>0</v>
      </c>
      <c r="P404" s="1">
        <f>MIN(方案参数!$AI$14,AZ403+0+0)</f>
        <v>3</v>
      </c>
      <c r="Q404" s="1">
        <f t="shared" si="567"/>
        <v>2</v>
      </c>
      <c r="R404" s="1">
        <f t="shared" si="568"/>
        <v>5</v>
      </c>
      <c r="S404" s="1">
        <f t="shared" si="569"/>
        <v>0</v>
      </c>
      <c r="T404" s="1">
        <f t="shared" si="570"/>
        <v>0</v>
      </c>
      <c r="U404" s="1">
        <f t="shared" si="571"/>
        <v>0</v>
      </c>
      <c r="V404" s="1">
        <f t="shared" si="572"/>
        <v>0</v>
      </c>
      <c r="W404" s="1">
        <f t="shared" si="573"/>
        <v>1</v>
      </c>
      <c r="X404" s="1">
        <f t="shared" si="574"/>
        <v>1</v>
      </c>
      <c r="Y404" s="1">
        <f t="shared" si="575"/>
        <v>1</v>
      </c>
      <c r="Z404" s="1">
        <f t="shared" si="576"/>
        <v>0</v>
      </c>
      <c r="AA404" s="1">
        <f t="shared" si="577"/>
        <v>0</v>
      </c>
      <c r="AB404" s="1">
        <f t="shared" si="578"/>
        <v>0</v>
      </c>
      <c r="AC404" s="1">
        <f t="shared" si="579"/>
        <v>0</v>
      </c>
      <c r="AD404" s="1">
        <f>ROUNDDOWN(I404*(1+IF(F404=3,0.05+方案参数!$Y$14+AA404*0.12,IF(F404=4,方案参数!$BZ$14*方案参数!$AS$14,0)))+IF(AND(X404=1,F404&lt;&gt;3),方案参数!$CC$14,0)+AC404*方案参数!$CB$14,0)</f>
        <v>2534</v>
      </c>
      <c r="AE404" s="1">
        <f>IF(OR(F404=1,F404=4),配置与结果!$B$24,配置与结果!$B$25)*MAX(0,1-INDEX(配置与结果!$I$15:$I$18,F404))</f>
        <v>1200</v>
      </c>
      <c r="AF404" s="1">
        <f>0</f>
        <v>0</v>
      </c>
      <c r="AG404" s="1">
        <f>MAX(配置与结果!$B$32,1+INDEX(配置与结果!$F$15:$F$18,F404)+0.08+方案参数!$CD$14+Q404*方案参数!$W$14+Y404*(方案参数!$AN$14+MIN(方案参数!$AO$14,P404*0.03))+AB404*方案参数!$BZ$14*0.025-配置与结果!$B$28)</f>
        <v>1.2200000000000002</v>
      </c>
      <c r="AH404" s="1">
        <f>MAX(0,1+INDEX(配置与结果!$G$15:$G$18,F404)+W404*方案参数!$AG$14)</f>
        <v>1.3</v>
      </c>
      <c r="AI404" s="1">
        <f>IF(OR(INDEX(配置与结果!$K$15:$K$18,F404)=1,G404="RHI_BERRY"),1+配置与结果!$B$33+P404*方案参数!$AH$14,1)</f>
        <v>1</v>
      </c>
      <c r="AJ404" s="1">
        <f>MIN(1,MAX(0,J404+方案参数!$AB$14-配置与结果!$B$27))</f>
        <v>1</v>
      </c>
      <c r="AK404" s="1">
        <f>MAX(1,K404+IF(F404=2,0.15+方案参数!$CH$14,0)+BN404*方案参数!$X$14+R404*方案参数!$AA$14+0-配置与结果!$B$26+Z404*(方案参数!$AP$14+MIN(方案参数!$AQ$14,P404*0.03)))</f>
        <v>1.8050000000000002</v>
      </c>
      <c r="AL404" s="7">
        <f>ROUNDDOWN(MAX(AD404*配置与结果!$B$31,AD404-AE404)*AF404*AG404*AH404*AI404,0)</f>
        <v>0</v>
      </c>
      <c r="AM404" s="7">
        <f>ROUNDDOWN(MAX(AD404*配置与结果!$B$31,AD404-AE404)*AF404*AG404*AH404*AI404*AK404,0)</f>
        <v>0</v>
      </c>
      <c r="AN404" s="7">
        <f t="shared" si="558"/>
        <v>0</v>
      </c>
      <c r="AO404" s="7">
        <f>0</f>
        <v>0</v>
      </c>
      <c r="AP404" s="7">
        <f>MAX(0,1+INDEX(配置与结果!$J$15:$J$18,F404)+IF(T404&gt;0,方案参数!$BY$14,0)-配置与结果!$B$30)</f>
        <v>1</v>
      </c>
      <c r="AQ404" s="7">
        <f t="shared" si="559"/>
        <v>0</v>
      </c>
      <c r="AR404" s="7">
        <f t="shared" si="560"/>
        <v>0</v>
      </c>
      <c r="AS404" s="7">
        <f t="shared" si="561"/>
        <v>0</v>
      </c>
      <c r="AT404" s="7">
        <f>0</f>
        <v>0</v>
      </c>
      <c r="AU404" s="7">
        <f t="shared" si="562"/>
        <v>0</v>
      </c>
      <c r="AV404" s="1">
        <f t="shared" si="563"/>
        <v>1</v>
      </c>
      <c r="AW404" s="1">
        <f>MIN(10,M404+方案参数!$BD$14+0)</f>
        <v>3</v>
      </c>
      <c r="AX404" s="1">
        <f t="shared" si="564"/>
        <v>0</v>
      </c>
      <c r="AY404" s="1">
        <f>MIN(20,MAX(0,O404+6+0-0))</f>
        <v>6</v>
      </c>
      <c r="AZ404" s="1">
        <f t="shared" si="565"/>
        <v>3</v>
      </c>
      <c r="BA404" s="1">
        <f>MIN(6,Q404+0)</f>
        <v>2</v>
      </c>
      <c r="BB404" s="1">
        <f t="shared" si="580"/>
        <v>5</v>
      </c>
      <c r="BC404" s="1">
        <f t="shared" si="553"/>
        <v>0</v>
      </c>
      <c r="BD404" s="1">
        <f t="shared" si="534"/>
        <v>0</v>
      </c>
      <c r="BE404" s="1">
        <f t="shared" si="581"/>
        <v>0</v>
      </c>
      <c r="BF404" s="1">
        <f t="shared" si="557"/>
        <v>0</v>
      </c>
      <c r="BG404" s="1">
        <f t="shared" ref="BG404:BG414" si="585">MAX(W404,0)</f>
        <v>1</v>
      </c>
      <c r="BH404" s="1">
        <f t="shared" si="582"/>
        <v>1</v>
      </c>
      <c r="BI404" s="1">
        <f t="shared" ref="BI404:BI414" si="586">MAX(Y404,0)</f>
        <v>1</v>
      </c>
      <c r="BJ404" s="1">
        <f t="shared" si="548"/>
        <v>0</v>
      </c>
      <c r="BK404" s="1">
        <f t="shared" si="549"/>
        <v>0</v>
      </c>
      <c r="BL404" s="1">
        <f t="shared" si="554"/>
        <v>0</v>
      </c>
      <c r="BM404" s="1">
        <f t="shared" si="552"/>
        <v>0</v>
      </c>
      <c r="BN404" s="1">
        <f t="shared" si="583"/>
        <v>1</v>
      </c>
      <c r="BO404" s="1">
        <f t="shared" si="584"/>
        <v>1</v>
      </c>
    </row>
    <row r="405" spans="1:67" ht="30.95" customHeight="1">
      <c r="A405" s="1">
        <f>11</f>
        <v>11</v>
      </c>
      <c r="B405" s="1">
        <f>固定流程!A9</f>
        <v>4</v>
      </c>
      <c r="C405" s="1">
        <f>14</f>
        <v>14</v>
      </c>
      <c r="D405" s="1">
        <f>1</f>
        <v>1</v>
      </c>
      <c r="E405" s="1">
        <f>固定流程!C9</f>
        <v>1</v>
      </c>
      <c r="F405" s="1">
        <f>固定流程!G9</f>
        <v>1</v>
      </c>
      <c r="G405" s="1" t="str">
        <f>固定流程!H9</f>
        <v>LILYA_DIVE</v>
      </c>
      <c r="H405" s="1">
        <f>固定流程!F9</f>
        <v>1</v>
      </c>
      <c r="I405" s="1">
        <f>INDEX(配置与结果!$B$15:$B$18,F405)</f>
        <v>2296</v>
      </c>
      <c r="J405" s="1">
        <f>INDEX(配置与结果!$D$15:$D$18,F405)</f>
        <v>0.7</v>
      </c>
      <c r="K405" s="1">
        <f>INDEX(配置与结果!$E$15:$E$18,F405)</f>
        <v>2.0249999999999999</v>
      </c>
      <c r="L405" s="1">
        <f t="shared" si="566"/>
        <v>1</v>
      </c>
      <c r="M405" s="1">
        <f t="shared" si="566"/>
        <v>3</v>
      </c>
      <c r="N405" s="1">
        <f t="shared" si="566"/>
        <v>0</v>
      </c>
      <c r="O405" s="1">
        <f t="shared" si="566"/>
        <v>6</v>
      </c>
      <c r="P405" s="1">
        <f>MIN(方案参数!$AI$14,AZ404+0+0)</f>
        <v>3</v>
      </c>
      <c r="Q405" s="1">
        <f t="shared" si="567"/>
        <v>2</v>
      </c>
      <c r="R405" s="1">
        <f t="shared" si="568"/>
        <v>5</v>
      </c>
      <c r="S405" s="1">
        <f t="shared" si="569"/>
        <v>0</v>
      </c>
      <c r="T405" s="1">
        <f t="shared" si="570"/>
        <v>0</v>
      </c>
      <c r="U405" s="1">
        <f t="shared" si="571"/>
        <v>0</v>
      </c>
      <c r="V405" s="1">
        <f t="shared" si="572"/>
        <v>0</v>
      </c>
      <c r="W405" s="1">
        <f t="shared" si="573"/>
        <v>1</v>
      </c>
      <c r="X405" s="1">
        <f t="shared" si="574"/>
        <v>1</v>
      </c>
      <c r="Y405" s="1">
        <f t="shared" si="575"/>
        <v>1</v>
      </c>
      <c r="Z405" s="1">
        <f t="shared" si="576"/>
        <v>0</v>
      </c>
      <c r="AA405" s="1">
        <f t="shared" si="577"/>
        <v>0</v>
      </c>
      <c r="AB405" s="1">
        <f t="shared" si="578"/>
        <v>0</v>
      </c>
      <c r="AC405" s="1">
        <f t="shared" si="579"/>
        <v>0</v>
      </c>
      <c r="AD405" s="1">
        <f>ROUNDDOWN(I405*(1+IF(F405=3,0.05+方案参数!$Y$14+AA405*0.12,IF(F405=4,方案参数!$BZ$14*方案参数!$AS$14,0)))+IF(AND(X405=1,F405&lt;&gt;3),方案参数!$CC$14,0)+AC405*方案参数!$CB$14,0)</f>
        <v>2534</v>
      </c>
      <c r="AE405" s="1">
        <f>IF(OR(F405=1,F405=4),配置与结果!$B$24,配置与结果!$B$25)*MAX(0,1-INDEX(配置与结果!$I$15:$I$18,F405))</f>
        <v>1200</v>
      </c>
      <c r="AF405" s="1">
        <f>(IF(L405=1,方案参数!$AW$14,IF(L405=2,方案参数!$AX$14,0))+方案参数!$AV$14)*H405</f>
        <v>6</v>
      </c>
      <c r="AG405" s="1">
        <f>MAX(配置与结果!$B$32,1+INDEX(配置与结果!$F$15:$F$18,F405)+0.08+方案参数!$CD$14+Q405*方案参数!$W$14+Y405*(方案参数!$AN$14+MIN(方案参数!$AO$14,P405*0.03))+AB405*方案参数!$BZ$14*0.025+IF(L405=1,方案参数!$AY$14+(H405-1)*0.1,IF(L405=2,方案参数!$AZ$14+(H405-1)*0.2,0))-配置与结果!$B$28)</f>
        <v>1.3200000000000003</v>
      </c>
      <c r="AH405" s="1">
        <f>MAX(0,1+INDEX(配置与结果!$G$15:$G$18,F405)+W405*方案参数!$AG$14+IF(L405=1,方案参数!$BA$14,IF(L405=2,方案参数!$BB$14,0))+M405*方案参数!$BC$14)</f>
        <v>2.08</v>
      </c>
      <c r="AI405" s="1">
        <f>IF(OR(INDEX(配置与结果!$K$15:$K$18,F405)=1,G405="RHI_BERRY"),1+配置与结果!$B$33+P405*方案参数!$AH$14,1)</f>
        <v>1</v>
      </c>
      <c r="AJ405" s="1">
        <f>MIN(1,MAX(0,J405+方案参数!$AB$14-配置与结果!$B$27))</f>
        <v>1</v>
      </c>
      <c r="AK405" s="1">
        <f>MAX(1,K405+IF(F405=2,0.15+方案参数!$CH$14,0)+BN405*方案参数!$X$14+R405*方案参数!$AA$14+0-配置与结果!$B$26+Z405*(方案参数!$AP$14+MIN(方案参数!$AQ$14,P405*0.03)))</f>
        <v>1.8050000000000002</v>
      </c>
      <c r="AL405" s="7">
        <f>ROUNDDOWN(MAX(AD405*配置与结果!$B$31,AD405-AE405)*AF405*AG405*AH405*AI405,0)</f>
        <v>21975</v>
      </c>
      <c r="AM405" s="7">
        <f>ROUNDDOWN(MAX(AD405*配置与结果!$B$31,AD405-AE405)*AF405*AG405*AH405*AI405*AK405,0)</f>
        <v>39666</v>
      </c>
      <c r="AN405" s="7">
        <f t="shared" si="558"/>
        <v>39666</v>
      </c>
      <c r="AO405" s="7">
        <f>0</f>
        <v>0</v>
      </c>
      <c r="AP405" s="7">
        <f>MAX(0,1+INDEX(配置与结果!$J$15:$J$18,F405)+IF(T405&gt;0,方案参数!$BY$14,0)-配置与结果!$B$30)</f>
        <v>1</v>
      </c>
      <c r="AQ405" s="7">
        <f t="shared" si="559"/>
        <v>0</v>
      </c>
      <c r="AR405" s="7">
        <f t="shared" si="560"/>
        <v>0</v>
      </c>
      <c r="AS405" s="7">
        <f t="shared" si="561"/>
        <v>0</v>
      </c>
      <c r="AT405" s="7">
        <f>0</f>
        <v>0</v>
      </c>
      <c r="AU405" s="7">
        <f t="shared" si="562"/>
        <v>39666</v>
      </c>
      <c r="AV405" s="1">
        <f t="shared" si="563"/>
        <v>1</v>
      </c>
      <c r="AW405" s="1">
        <f>MIN(10,M405+0+IF(L405=1,方案参数!$BE$14,0))</f>
        <v>4</v>
      </c>
      <c r="AX405" s="1">
        <f t="shared" si="564"/>
        <v>0</v>
      </c>
      <c r="AY405" s="1">
        <f t="shared" ref="AY405:AY420" si="587">MIN(20,MAX(0,O405+0+0-0))</f>
        <v>6</v>
      </c>
      <c r="AZ405" s="1">
        <f t="shared" si="565"/>
        <v>3</v>
      </c>
      <c r="BA405" s="1">
        <f>MIN(6,Q405+0)</f>
        <v>2</v>
      </c>
      <c r="BB405" s="1">
        <f t="shared" si="580"/>
        <v>5</v>
      </c>
      <c r="BC405" s="1">
        <f t="shared" si="553"/>
        <v>0</v>
      </c>
      <c r="BD405" s="1">
        <f t="shared" si="534"/>
        <v>0</v>
      </c>
      <c r="BE405" s="1">
        <f t="shared" si="581"/>
        <v>0</v>
      </c>
      <c r="BF405" s="1">
        <f t="shared" si="557"/>
        <v>0</v>
      </c>
      <c r="BG405" s="1">
        <f t="shared" si="585"/>
        <v>1</v>
      </c>
      <c r="BH405" s="1">
        <f t="shared" si="582"/>
        <v>1</v>
      </c>
      <c r="BI405" s="1">
        <f t="shared" si="586"/>
        <v>1</v>
      </c>
      <c r="BJ405" s="1">
        <f t="shared" si="548"/>
        <v>0</v>
      </c>
      <c r="BK405" s="1">
        <f t="shared" si="549"/>
        <v>0</v>
      </c>
      <c r="BL405" s="1">
        <f t="shared" si="554"/>
        <v>0</v>
      </c>
      <c r="BM405" s="1">
        <f t="shared" si="552"/>
        <v>0</v>
      </c>
      <c r="BN405" s="1">
        <f t="shared" si="583"/>
        <v>1</v>
      </c>
      <c r="BO405" s="1">
        <f t="shared" si="584"/>
        <v>1</v>
      </c>
    </row>
    <row r="406" spans="1:67" ht="30.95" customHeight="1">
      <c r="A406" s="1">
        <f>11</f>
        <v>11</v>
      </c>
      <c r="B406" s="1">
        <f>固定流程!A10</f>
        <v>5</v>
      </c>
      <c r="C406" s="1">
        <f>14</f>
        <v>14</v>
      </c>
      <c r="D406" s="1">
        <f>1</f>
        <v>1</v>
      </c>
      <c r="E406" s="1">
        <f>固定流程!C10</f>
        <v>1</v>
      </c>
      <c r="F406" s="1">
        <f>固定流程!G10</f>
        <v>2</v>
      </c>
      <c r="G406" s="1" t="str">
        <f>固定流程!H10</f>
        <v>37_TRIANGLE</v>
      </c>
      <c r="H406" s="1">
        <f>固定流程!F10</f>
        <v>1</v>
      </c>
      <c r="I406" s="1">
        <f>INDEX(配置与结果!$B$15:$B$18,F406)</f>
        <v>2306</v>
      </c>
      <c r="J406" s="1">
        <f>INDEX(配置与结果!$D$15:$D$18,F406)</f>
        <v>0.46</v>
      </c>
      <c r="K406" s="1">
        <f>INDEX(配置与结果!$E$15:$E$18,F406)</f>
        <v>1.9279999999999999</v>
      </c>
      <c r="L406" s="1">
        <f t="shared" si="566"/>
        <v>1</v>
      </c>
      <c r="M406" s="1">
        <f t="shared" si="566"/>
        <v>4</v>
      </c>
      <c r="N406" s="1">
        <f t="shared" si="566"/>
        <v>0</v>
      </c>
      <c r="O406" s="1">
        <f t="shared" si="566"/>
        <v>6</v>
      </c>
      <c r="P406" s="1">
        <f>MIN(方案参数!$AI$14,AZ405+0+0)</f>
        <v>3</v>
      </c>
      <c r="Q406" s="1">
        <f t="shared" si="567"/>
        <v>2</v>
      </c>
      <c r="R406" s="1">
        <f t="shared" si="568"/>
        <v>5</v>
      </c>
      <c r="S406" s="1">
        <f t="shared" si="569"/>
        <v>0</v>
      </c>
      <c r="T406" s="1">
        <f t="shared" si="570"/>
        <v>0</v>
      </c>
      <c r="U406" s="1">
        <f t="shared" si="571"/>
        <v>0</v>
      </c>
      <c r="V406" s="1">
        <f t="shared" si="572"/>
        <v>0</v>
      </c>
      <c r="W406" s="1">
        <f t="shared" si="573"/>
        <v>1</v>
      </c>
      <c r="X406" s="1">
        <f t="shared" si="574"/>
        <v>1</v>
      </c>
      <c r="Y406" s="1">
        <f t="shared" si="575"/>
        <v>1</v>
      </c>
      <c r="Z406" s="1">
        <f t="shared" si="576"/>
        <v>0</v>
      </c>
      <c r="AA406" s="1">
        <f t="shared" si="577"/>
        <v>0</v>
      </c>
      <c r="AB406" s="1">
        <f t="shared" si="578"/>
        <v>0</v>
      </c>
      <c r="AC406" s="1">
        <f t="shared" si="579"/>
        <v>0</v>
      </c>
      <c r="AD406" s="1">
        <f>ROUNDDOWN(I406*(1+IF(F406=3,0.05+方案参数!$Y$14+AA406*0.12,IF(F406=4,方案参数!$BZ$14*方案参数!$AS$14,0)))+IF(AND(X406=1,F406&lt;&gt;3),方案参数!$CC$14,0)+AC406*方案参数!$CB$14,0)</f>
        <v>2544</v>
      </c>
      <c r="AE406" s="1">
        <f>IF(OR(F406=1,F406=4),配置与结果!$B$24,配置与结果!$B$25)*MAX(0,1-INDEX(配置与结果!$I$15:$I$18,F406))</f>
        <v>1000</v>
      </c>
      <c r="AF406" s="1">
        <f>方案参数!$BS$14*IF(H406=1,1,IF(H406=2,1.5,2.5))</f>
        <v>3</v>
      </c>
      <c r="AG406" s="1">
        <f>MAX(配置与结果!$B$32,1+INDEX(配置与结果!$F$15:$F$18,F406)+0+Q406*方案参数!$W$14+Y406*(方案参数!$AN$14+MIN(方案参数!$AO$14,P406*0.03))+AB406*方案参数!$BZ$14*0.025-配置与结果!$B$28)</f>
        <v>0.8849999999999999</v>
      </c>
      <c r="AH406" s="1">
        <f>MAX(0,1+INDEX(配置与结果!$G$15:$G$18,F406)+W406*方案参数!$AG$14)</f>
        <v>1.3</v>
      </c>
      <c r="AI406" s="1">
        <f>IF(OR(INDEX(配置与结果!$K$15:$K$18,F406)=1,G406="RHI_BERRY"),1+配置与结果!$B$33+P406*方案参数!$AH$14,1)</f>
        <v>1</v>
      </c>
      <c r="AJ406" s="1">
        <f>MIN(1,MAX(0,J406+方案参数!$AB$14-配置与结果!$B$27))</f>
        <v>1</v>
      </c>
      <c r="AK406" s="1">
        <f>MAX(1,K406+IF(F406=2,0.15+方案参数!$CH$14,0)+BN406*方案参数!$X$14+R406*方案参数!$AA$14+0-配置与结果!$B$26+Z406*(方案参数!$AP$14+MIN(方案参数!$AQ$14,P406*0.03)))</f>
        <v>1.9780000000000002</v>
      </c>
      <c r="AL406" s="7">
        <f>ROUNDDOWN(MAX(AD406*配置与结果!$B$31,AD406-AE406)*AF406*AG406*AH406*AI406,0)</f>
        <v>5329</v>
      </c>
      <c r="AM406" s="7">
        <f>ROUNDDOWN(MAX(AD406*配置与结果!$B$31,AD406-AE406)*AF406*AG406*AH406*AI406*AK406,0)</f>
        <v>10540</v>
      </c>
      <c r="AN406" s="7">
        <f t="shared" si="558"/>
        <v>10540</v>
      </c>
      <c r="AO406" s="7">
        <f>方案参数!$BU$14*IF(H406=1,1,IF(H406=2,1.5,2.5))</f>
        <v>1</v>
      </c>
      <c r="AP406" s="7">
        <f>MAX(0,1+INDEX(配置与结果!$J$15:$J$18,F406)+IF(T406&gt;0,方案参数!$BY$14,0)-配置与结果!$B$30)</f>
        <v>1</v>
      </c>
      <c r="AQ406" s="7">
        <f t="shared" si="559"/>
        <v>2544</v>
      </c>
      <c r="AR406" s="7">
        <f t="shared" si="560"/>
        <v>5032</v>
      </c>
      <c r="AS406" s="7">
        <f t="shared" si="561"/>
        <v>5032</v>
      </c>
      <c r="AT406" s="7">
        <f>0</f>
        <v>0</v>
      </c>
      <c r="AU406" s="7">
        <f t="shared" si="562"/>
        <v>15572</v>
      </c>
      <c r="AV406" s="1">
        <f t="shared" si="563"/>
        <v>1</v>
      </c>
      <c r="AW406" s="1">
        <f>MIN(10,M406+0+0)</f>
        <v>4</v>
      </c>
      <c r="AX406" s="1">
        <f t="shared" si="564"/>
        <v>0</v>
      </c>
      <c r="AY406" s="1">
        <f t="shared" si="587"/>
        <v>6</v>
      </c>
      <c r="AZ406" s="1">
        <f t="shared" si="565"/>
        <v>3</v>
      </c>
      <c r="BA406" s="1">
        <f>MIN(6,Q406+0)</f>
        <v>2</v>
      </c>
      <c r="BB406" s="1">
        <f t="shared" si="580"/>
        <v>5</v>
      </c>
      <c r="BC406" s="1">
        <f t="shared" si="553"/>
        <v>0</v>
      </c>
      <c r="BD406" s="1">
        <f>MAX(0,T406-IF(AO406&gt;0,1,0))+1</f>
        <v>1</v>
      </c>
      <c r="BE406" s="1">
        <f t="shared" si="581"/>
        <v>0</v>
      </c>
      <c r="BF406" s="1">
        <f t="shared" si="557"/>
        <v>0</v>
      </c>
      <c r="BG406" s="1">
        <f t="shared" si="585"/>
        <v>1</v>
      </c>
      <c r="BH406" s="1">
        <f t="shared" si="582"/>
        <v>1</v>
      </c>
      <c r="BI406" s="1">
        <f t="shared" si="586"/>
        <v>1</v>
      </c>
      <c r="BJ406" s="1">
        <f t="shared" si="548"/>
        <v>0</v>
      </c>
      <c r="BK406" s="1">
        <f t="shared" si="549"/>
        <v>0</v>
      </c>
      <c r="BL406" s="1">
        <f t="shared" si="554"/>
        <v>0</v>
      </c>
      <c r="BM406" s="1">
        <f t="shared" si="552"/>
        <v>0</v>
      </c>
      <c r="BN406" s="1">
        <f t="shared" si="583"/>
        <v>1</v>
      </c>
      <c r="BO406" s="1">
        <f t="shared" si="584"/>
        <v>1</v>
      </c>
    </row>
    <row r="407" spans="1:67" ht="30.95" customHeight="1">
      <c r="A407" s="1">
        <f>11</f>
        <v>11</v>
      </c>
      <c r="B407" s="1">
        <f>固定流程!A11</f>
        <v>6</v>
      </c>
      <c r="C407" s="1">
        <f>14</f>
        <v>14</v>
      </c>
      <c r="D407" s="1">
        <f>1</f>
        <v>1</v>
      </c>
      <c r="E407" s="1">
        <f>固定流程!C11</f>
        <v>1</v>
      </c>
      <c r="F407" s="1">
        <f>固定流程!G11</f>
        <v>2</v>
      </c>
      <c r="G407" s="1" t="str">
        <f>固定流程!H11</f>
        <v>37_FOLLOW</v>
      </c>
      <c r="H407" s="1">
        <f>固定流程!F11</f>
        <v>1</v>
      </c>
      <c r="I407" s="1">
        <f>INDEX(配置与结果!$B$15:$B$18,F407)</f>
        <v>2306</v>
      </c>
      <c r="J407" s="1">
        <f>INDEX(配置与结果!$D$15:$D$18,F407)</f>
        <v>0.46</v>
      </c>
      <c r="K407" s="1">
        <f>INDEX(配置与结果!$E$15:$E$18,F407)</f>
        <v>1.9279999999999999</v>
      </c>
      <c r="L407" s="1">
        <f t="shared" si="566"/>
        <v>1</v>
      </c>
      <c r="M407" s="1">
        <f t="shared" si="566"/>
        <v>4</v>
      </c>
      <c r="N407" s="1">
        <f t="shared" si="566"/>
        <v>0</v>
      </c>
      <c r="O407" s="1">
        <f t="shared" si="566"/>
        <v>6</v>
      </c>
      <c r="P407" s="1">
        <f>MIN(方案参数!$AI$14,AZ406+0+0)</f>
        <v>3</v>
      </c>
      <c r="Q407" s="1">
        <f t="shared" si="567"/>
        <v>2</v>
      </c>
      <c r="R407" s="1">
        <f t="shared" si="568"/>
        <v>5</v>
      </c>
      <c r="S407" s="1">
        <f t="shared" si="569"/>
        <v>0</v>
      </c>
      <c r="T407" s="1">
        <f t="shared" si="570"/>
        <v>1</v>
      </c>
      <c r="U407" s="1">
        <f t="shared" si="571"/>
        <v>0</v>
      </c>
      <c r="V407" s="1">
        <f t="shared" si="572"/>
        <v>0</v>
      </c>
      <c r="W407" s="1">
        <f t="shared" si="573"/>
        <v>1</v>
      </c>
      <c r="X407" s="1">
        <f t="shared" si="574"/>
        <v>1</v>
      </c>
      <c r="Y407" s="1">
        <f t="shared" si="575"/>
        <v>1</v>
      </c>
      <c r="Z407" s="1">
        <f t="shared" si="576"/>
        <v>0</v>
      </c>
      <c r="AA407" s="1">
        <f t="shared" si="577"/>
        <v>0</v>
      </c>
      <c r="AB407" s="1">
        <f t="shared" si="578"/>
        <v>0</v>
      </c>
      <c r="AC407" s="1">
        <f t="shared" si="579"/>
        <v>0</v>
      </c>
      <c r="AD407" s="1">
        <f>ROUNDDOWN(I407*(1+IF(F407=3,0.05+方案参数!$Y$14+AA407*0.12,IF(F407=4,方案参数!$BZ$14*方案参数!$AS$14,0)))+IF(AND(X407=1,F407&lt;&gt;3),方案参数!$CC$14,0)+AC407*方案参数!$CB$14,0)</f>
        <v>2544</v>
      </c>
      <c r="AE407" s="1">
        <f>IF(OR(F407=1,F407=4),配置与结果!$B$24,配置与结果!$B$25)*MAX(0,1-INDEX(配置与结果!$I$15:$I$18,F407))</f>
        <v>1000</v>
      </c>
      <c r="AF407" s="1">
        <f>方案参数!$BV$14</f>
        <v>4.5</v>
      </c>
      <c r="AG407" s="1">
        <f>MAX(配置与结果!$B$32,1+INDEX(配置与结果!$F$15:$F$18,F407)+0+Q407*方案参数!$W$14+Y407*(方案参数!$AN$14+MIN(方案参数!$AO$14,P407*0.03))+AB407*方案参数!$BZ$14*0.025-配置与结果!$B$28)</f>
        <v>0.8849999999999999</v>
      </c>
      <c r="AH407" s="1">
        <f>MAX(0,1+INDEX(配置与结果!$G$15:$G$18,F407)+W407*方案参数!$AG$14)</f>
        <v>1.3</v>
      </c>
      <c r="AI407" s="1">
        <f>IF(OR(INDEX(配置与结果!$K$15:$K$18,F407)=1,G407="RHI_BERRY"),1+配置与结果!$B$33+P407*方案参数!$AH$14,1)</f>
        <v>1</v>
      </c>
      <c r="AJ407" s="1">
        <f>MIN(1,MAX(0,J407+方案参数!$AB$14-配置与结果!$B$27))</f>
        <v>1</v>
      </c>
      <c r="AK407" s="1">
        <f>MAX(1,K407+IF(F407=2,0.15+方案参数!$CH$14,0)+BN407*方案参数!$X$14+R407*方案参数!$AA$14+0-配置与结果!$B$26+Z407*(方案参数!$AP$14+MIN(方案参数!$AQ$14,P407*0.03)))</f>
        <v>1.9780000000000002</v>
      </c>
      <c r="AL407" s="7">
        <f>ROUNDDOWN(MAX(AD407*配置与结果!$B$31,AD407-AE407)*AF407*AG407*AH407*AI407,0)</f>
        <v>7993</v>
      </c>
      <c r="AM407" s="7">
        <f>ROUNDDOWN(MAX(AD407*配置与结果!$B$31,AD407-AE407)*AF407*AG407*AH407*AI407*AK407,0)</f>
        <v>15811</v>
      </c>
      <c r="AN407" s="7">
        <f t="shared" si="558"/>
        <v>15811</v>
      </c>
      <c r="AO407" s="7">
        <f>方案参数!$BW$14</f>
        <v>1.5</v>
      </c>
      <c r="AP407" s="7">
        <f>MAX(0,1+INDEX(配置与结果!$J$15:$J$18,F407)+IF(T407&gt;0,方案参数!$BY$14,0)-配置与结果!$B$30)</f>
        <v>2</v>
      </c>
      <c r="AQ407" s="7">
        <f t="shared" si="559"/>
        <v>7632</v>
      </c>
      <c r="AR407" s="7">
        <f t="shared" si="560"/>
        <v>15096</v>
      </c>
      <c r="AS407" s="7">
        <f t="shared" si="561"/>
        <v>15096</v>
      </c>
      <c r="AT407" s="7">
        <f>0</f>
        <v>0</v>
      </c>
      <c r="AU407" s="7">
        <f t="shared" si="562"/>
        <v>30907</v>
      </c>
      <c r="AV407" s="1">
        <f t="shared" si="563"/>
        <v>1</v>
      </c>
      <c r="AW407" s="1">
        <f>MIN(10,M407+0+0)</f>
        <v>4</v>
      </c>
      <c r="AX407" s="1">
        <f t="shared" si="564"/>
        <v>0</v>
      </c>
      <c r="AY407" s="1">
        <f t="shared" si="587"/>
        <v>6</v>
      </c>
      <c r="AZ407" s="1">
        <f t="shared" si="565"/>
        <v>3</v>
      </c>
      <c r="BA407" s="1">
        <f>MIN(6,Q407+0)</f>
        <v>2</v>
      </c>
      <c r="BB407" s="1">
        <f t="shared" si="580"/>
        <v>5</v>
      </c>
      <c r="BC407" s="1">
        <f t="shared" si="553"/>
        <v>0</v>
      </c>
      <c r="BD407" s="1">
        <f t="shared" ref="BD407:BD441" si="588">MAX(0,T407-IF(AO407&gt;0,1,0))+0</f>
        <v>0</v>
      </c>
      <c r="BE407" s="1">
        <f t="shared" si="581"/>
        <v>0</v>
      </c>
      <c r="BF407" s="1">
        <f>MIN(4,V407+1)</f>
        <v>1</v>
      </c>
      <c r="BG407" s="1">
        <f t="shared" si="585"/>
        <v>1</v>
      </c>
      <c r="BH407" s="1">
        <f t="shared" si="582"/>
        <v>1</v>
      </c>
      <c r="BI407" s="1">
        <f t="shared" si="586"/>
        <v>1</v>
      </c>
      <c r="BJ407" s="1">
        <f t="shared" si="548"/>
        <v>0</v>
      </c>
      <c r="BK407" s="1">
        <f t="shared" si="549"/>
        <v>0</v>
      </c>
      <c r="BL407" s="1">
        <f t="shared" si="554"/>
        <v>0</v>
      </c>
      <c r="BM407" s="1">
        <f t="shared" si="552"/>
        <v>0</v>
      </c>
      <c r="BN407" s="1">
        <f t="shared" si="583"/>
        <v>1</v>
      </c>
      <c r="BO407" s="1">
        <f t="shared" si="584"/>
        <v>1</v>
      </c>
    </row>
    <row r="408" spans="1:67" ht="30.95" customHeight="1">
      <c r="A408" s="1">
        <f>11</f>
        <v>11</v>
      </c>
      <c r="B408" s="1">
        <f>固定流程!A12</f>
        <v>7</v>
      </c>
      <c r="C408" s="1">
        <f>14</f>
        <v>14</v>
      </c>
      <c r="D408" s="1">
        <f>1</f>
        <v>1</v>
      </c>
      <c r="E408" s="1">
        <f>固定流程!C12</f>
        <v>1</v>
      </c>
      <c r="F408" s="1">
        <f>固定流程!G12</f>
        <v>4</v>
      </c>
      <c r="G408" s="1" t="str">
        <f>固定流程!H12</f>
        <v>J_HARD</v>
      </c>
      <c r="H408" s="1">
        <f>固定流程!F12</f>
        <v>1</v>
      </c>
      <c r="I408" s="1">
        <f>INDEX(配置与结果!$B$15:$B$18,F408)</f>
        <v>1906</v>
      </c>
      <c r="J408" s="1">
        <f>INDEX(配置与结果!$D$15:$D$18,F408)</f>
        <v>0.36699999999999999</v>
      </c>
      <c r="K408" s="1">
        <f>INDEX(配置与结果!$E$15:$E$18,F408)</f>
        <v>1.7170000000000001</v>
      </c>
      <c r="L408" s="1">
        <f t="shared" si="566"/>
        <v>1</v>
      </c>
      <c r="M408" s="1">
        <f t="shared" si="566"/>
        <v>4</v>
      </c>
      <c r="N408" s="1">
        <f t="shared" si="566"/>
        <v>0</v>
      </c>
      <c r="O408" s="1">
        <f t="shared" si="566"/>
        <v>6</v>
      </c>
      <c r="P408" s="1">
        <f>MIN(方案参数!$AI$14,AZ407+0+0)</f>
        <v>3</v>
      </c>
      <c r="Q408" s="1">
        <f t="shared" si="567"/>
        <v>2</v>
      </c>
      <c r="R408" s="1">
        <f t="shared" si="568"/>
        <v>5</v>
      </c>
      <c r="S408" s="1">
        <f t="shared" si="569"/>
        <v>0</v>
      </c>
      <c r="T408" s="1">
        <f t="shared" si="570"/>
        <v>0</v>
      </c>
      <c r="U408" s="1">
        <f t="shared" si="571"/>
        <v>0</v>
      </c>
      <c r="V408" s="1">
        <f t="shared" si="572"/>
        <v>1</v>
      </c>
      <c r="W408" s="1">
        <f t="shared" si="573"/>
        <v>1</v>
      </c>
      <c r="X408" s="1">
        <f t="shared" si="574"/>
        <v>1</v>
      </c>
      <c r="Y408" s="1">
        <f t="shared" si="575"/>
        <v>1</v>
      </c>
      <c r="Z408" s="1">
        <f t="shared" si="576"/>
        <v>0</v>
      </c>
      <c r="AA408" s="1">
        <f t="shared" si="577"/>
        <v>0</v>
      </c>
      <c r="AB408" s="1">
        <f t="shared" si="578"/>
        <v>0</v>
      </c>
      <c r="AC408" s="1">
        <f t="shared" si="579"/>
        <v>0</v>
      </c>
      <c r="AD408" s="1">
        <f>ROUNDDOWN(I408*(1+IF(F408=3,0.05+方案参数!$Y$14+AA408*0.12,IF(F408=4,方案参数!$BZ$14*方案参数!$AS$14,0)))+IF(AND(X408=1,F408&lt;&gt;3),方案参数!$CC$14,0)+AC408*方案参数!$CB$14,0)</f>
        <v>2811</v>
      </c>
      <c r="AE408" s="1">
        <f>IF(OR(F408=1,F408=4),配置与结果!$B$24,配置与结果!$B$25)*MAX(0,1-INDEX(配置与结果!$I$15:$I$18,F408))</f>
        <v>1200</v>
      </c>
      <c r="AF408" s="1">
        <f>3.6*IF(H408=1,1,IF(H408=2,1.5,2.5))</f>
        <v>3.6</v>
      </c>
      <c r="AG408" s="1">
        <f>MAX(配置与结果!$B$32,1+INDEX(配置与结果!$F$15:$F$18,F408)+0.08+Q408*方案参数!$W$14+Y408*(方案参数!$AN$14+MIN(方案参数!$AO$14,P408*0.03))+AB408*方案参数!$BZ$14*0.025+0.1+IF(方案参数!$BZ$14&gt;=30,方案参数!$BZ$14*0.01,0)-配置与结果!$B$28)</f>
        <v>1.4350000000000001</v>
      </c>
      <c r="AH408" s="1">
        <f>MAX(0,1+INDEX(配置与结果!$G$15:$G$18,F408)+W408*方案参数!$AG$14)</f>
        <v>1.3</v>
      </c>
      <c r="AI408" s="1">
        <f>IF(OR(INDEX(配置与结果!$K$15:$K$18,F408)=1,G408="RHI_BERRY"),1+配置与结果!$B$33+P408*方案参数!$AH$14,1)</f>
        <v>1</v>
      </c>
      <c r="AJ408" s="1">
        <f>MIN(1,MAX(0,J408+方案参数!$AB$14-配置与结果!$B$27))</f>
        <v>0.96699999999999997</v>
      </c>
      <c r="AK408" s="1">
        <f>MAX(1,K408+IF(F408=2,0.15+方案参数!$CH$14,0)+BN408*方案参数!$X$14+R408*方案参数!$AA$14+0-配置与结果!$B$26+Z408*(方案参数!$AP$14+MIN(方案参数!$AQ$14,P408*0.03)))</f>
        <v>1.4969999999999999</v>
      </c>
      <c r="AL408" s="7">
        <f>ROUNDDOWN(MAX(AD408*配置与结果!$B$31,AD408-AE408)*AF408*AG408*AH408*AI408,0)</f>
        <v>10819</v>
      </c>
      <c r="AM408" s="7">
        <f>ROUNDDOWN(MAX(AD408*配置与结果!$B$31,AD408-AE408)*AF408*AG408*AH408*AI408*AK408,0)</f>
        <v>16196</v>
      </c>
      <c r="AN408" s="7">
        <f t="shared" si="558"/>
        <v>16018.558999999999</v>
      </c>
      <c r="AO408" s="7">
        <f>0</f>
        <v>0</v>
      </c>
      <c r="AP408" s="7">
        <f>MAX(0,1+INDEX(配置与结果!$J$15:$J$18,F408)+IF(T408&gt;0,方案参数!$BY$14,0)-配置与结果!$B$30)</f>
        <v>1</v>
      </c>
      <c r="AQ408" s="7">
        <f t="shared" si="559"/>
        <v>0</v>
      </c>
      <c r="AR408" s="7">
        <f t="shared" si="560"/>
        <v>0</v>
      </c>
      <c r="AS408" s="7">
        <f t="shared" si="561"/>
        <v>0</v>
      </c>
      <c r="AT408" s="7">
        <f>0</f>
        <v>0</v>
      </c>
      <c r="AU408" s="7">
        <f t="shared" si="562"/>
        <v>16018.558999999999</v>
      </c>
      <c r="AV408" s="1">
        <f t="shared" si="563"/>
        <v>1</v>
      </c>
      <c r="AW408" s="1">
        <f>MIN(10,M408+0+0)</f>
        <v>4</v>
      </c>
      <c r="AX408" s="1">
        <f t="shared" si="564"/>
        <v>0</v>
      </c>
      <c r="AY408" s="1">
        <f t="shared" si="587"/>
        <v>6</v>
      </c>
      <c r="AZ408" s="1">
        <f t="shared" si="565"/>
        <v>3</v>
      </c>
      <c r="BA408" s="1">
        <f>MIN(6,Q408+0)</f>
        <v>2</v>
      </c>
      <c r="BB408" s="1">
        <f t="shared" si="580"/>
        <v>5</v>
      </c>
      <c r="BC408" s="1">
        <f>MIN(3,S408+1)</f>
        <v>1</v>
      </c>
      <c r="BD408" s="1">
        <f t="shared" si="588"/>
        <v>0</v>
      </c>
      <c r="BE408" s="1">
        <f t="shared" si="581"/>
        <v>0</v>
      </c>
      <c r="BF408" s="1">
        <f>MIN(4,V408+0)</f>
        <v>1</v>
      </c>
      <c r="BG408" s="1">
        <f t="shared" si="585"/>
        <v>1</v>
      </c>
      <c r="BH408" s="1">
        <f t="shared" si="582"/>
        <v>1</v>
      </c>
      <c r="BI408" s="1">
        <f t="shared" si="586"/>
        <v>1</v>
      </c>
      <c r="BJ408" s="1">
        <f t="shared" si="548"/>
        <v>0</v>
      </c>
      <c r="BK408" s="1">
        <f t="shared" si="549"/>
        <v>0</v>
      </c>
      <c r="BL408" s="1">
        <f t="shared" si="554"/>
        <v>0</v>
      </c>
      <c r="BM408" s="1">
        <f t="shared" si="552"/>
        <v>0</v>
      </c>
      <c r="BN408" s="1">
        <f t="shared" si="583"/>
        <v>1</v>
      </c>
      <c r="BO408" s="1">
        <f t="shared" si="584"/>
        <v>1</v>
      </c>
    </row>
    <row r="409" spans="1:67" ht="30.95" customHeight="1">
      <c r="A409" s="1">
        <f>11</f>
        <v>11</v>
      </c>
      <c r="B409" s="1">
        <f>固定流程!A13</f>
        <v>8</v>
      </c>
      <c r="C409" s="1">
        <f>14</f>
        <v>14</v>
      </c>
      <c r="D409" s="1">
        <f>1</f>
        <v>1</v>
      </c>
      <c r="E409" s="1">
        <f>固定流程!C13</f>
        <v>2</v>
      </c>
      <c r="F409" s="1">
        <f>固定流程!G13</f>
        <v>3</v>
      </c>
      <c r="G409" s="1" t="str">
        <f>固定流程!H13</f>
        <v>RHI_ATTACK</v>
      </c>
      <c r="H409" s="1">
        <f>固定流程!F13</f>
        <v>1</v>
      </c>
      <c r="I409" s="1">
        <f>INDEX(配置与结果!$B$15:$B$18,F409)</f>
        <v>2597</v>
      </c>
      <c r="J409" s="1">
        <f>INDEX(配置与结果!$D$15:$D$18,F409)</f>
        <v>0.255</v>
      </c>
      <c r="K409" s="1">
        <f>INDEX(配置与结果!$E$15:$E$18,F409)</f>
        <v>1.55</v>
      </c>
      <c r="L409" s="1">
        <f>IF(AV408=1,IF(M409&gt;=10,2,1),IF(AV408=2,IF(AX408&lt;=1,0,2),0))</f>
        <v>1</v>
      </c>
      <c r="M409" s="1">
        <f>IF(AND(AV408=2,AX408&lt;=1),0,MIN(10,AW408+IF(AV408=1,3,0)))</f>
        <v>7</v>
      </c>
      <c r="N409" s="1">
        <f>IF(AND(AV408=1,M409&gt;=10),2,IF(AV408=2,MAX(0,AX408-1),0))</f>
        <v>0</v>
      </c>
      <c r="O409" s="1">
        <f t="shared" ref="O409:O437" si="589">AY408</f>
        <v>6</v>
      </c>
      <c r="P409" s="1">
        <f>MIN(方案参数!$AI$14,AZ408+方案参数!$AJ$14+方案参数!$AK$14)</f>
        <v>5</v>
      </c>
      <c r="Q409" s="1">
        <f t="shared" si="567"/>
        <v>2</v>
      </c>
      <c r="R409" s="1">
        <f t="shared" si="568"/>
        <v>5</v>
      </c>
      <c r="S409" s="1">
        <f t="shared" si="569"/>
        <v>1</v>
      </c>
      <c r="T409" s="1">
        <f t="shared" si="570"/>
        <v>0</v>
      </c>
      <c r="U409" s="1">
        <f t="shared" si="571"/>
        <v>0</v>
      </c>
      <c r="V409" s="1">
        <f t="shared" si="572"/>
        <v>1</v>
      </c>
      <c r="W409" s="1">
        <f t="shared" si="573"/>
        <v>1</v>
      </c>
      <c r="X409" s="1">
        <f t="shared" si="574"/>
        <v>1</v>
      </c>
      <c r="Y409" s="1">
        <f t="shared" si="575"/>
        <v>1</v>
      </c>
      <c r="Z409" s="1">
        <f t="shared" si="576"/>
        <v>0</v>
      </c>
      <c r="AA409" s="1">
        <f>MAX(BK408,1)</f>
        <v>1</v>
      </c>
      <c r="AB409" s="1">
        <f t="shared" si="578"/>
        <v>0</v>
      </c>
      <c r="AC409" s="1">
        <f t="shared" si="579"/>
        <v>0</v>
      </c>
      <c r="AD409" s="1">
        <f>ROUNDDOWN(I409*(1+IF(F409=3,0.05+方案参数!$Y$14+AA409*0.12,IF(F409=4,方案参数!$BZ$14*方案参数!$AS$14,0)))+IF(AND(X409=1,F409&lt;&gt;3),方案参数!$CC$14,0)+AC409*方案参数!$CB$14,0)</f>
        <v>3298</v>
      </c>
      <c r="AE409" s="1">
        <f>IF(OR(F409=1,F409=4),配置与结果!$B$24,配置与结果!$B$25)*MAX(0,1-INDEX(配置与结果!$I$15:$I$18,F409))</f>
        <v>1000</v>
      </c>
      <c r="AF409" s="1">
        <f>4</f>
        <v>4</v>
      </c>
      <c r="AG409" s="1">
        <f>MAX(配置与结果!$B$32,1+INDEX(配置与结果!$F$15:$F$18,F409)+0+Q409*方案参数!$W$14+Y409*(方案参数!$AN$14+MIN(方案参数!$AO$14,P409*0.03))+AB409*方案参数!$BZ$14*0.025-配置与结果!$B$28)</f>
        <v>0.97499999999999998</v>
      </c>
      <c r="AH409" s="1">
        <f>MAX(0,1+INDEX(配置与结果!$G$15:$G$18,F409)+W409*方案参数!$AG$14)</f>
        <v>1.3</v>
      </c>
      <c r="AI409" s="1">
        <f>IF(OR(INDEX(配置与结果!$K$15:$K$18,F409)=1,G409="RHI_BERRY"),1+配置与结果!$B$33+P409*方案参数!$AH$14,1)</f>
        <v>1</v>
      </c>
      <c r="AJ409" s="1">
        <f>MIN(1,MAX(0,J409+方案参数!$AB$14-配置与结果!$B$27))</f>
        <v>0.85499999999999998</v>
      </c>
      <c r="AK409" s="1">
        <f>MAX(1,K409+IF(F409=2,0.15+方案参数!$CH$14,0)+BN409*方案参数!$X$14+R409*方案参数!$AA$14+0-配置与结果!$B$26+Z409*(方案参数!$AP$14+MIN(方案参数!$AQ$14,P409*0.03)))</f>
        <v>1.33</v>
      </c>
      <c r="AL409" s="7">
        <f>ROUNDDOWN(MAX(AD409*配置与结果!$B$31,AD409-AE409)*AF409*AG409*AH409*AI409,0)</f>
        <v>11650</v>
      </c>
      <c r="AM409" s="7">
        <f>ROUNDDOWN(MAX(AD409*配置与结果!$B$31,AD409-AE409)*AF409*AG409*AH409*AI409*AK409,0)</f>
        <v>15495</v>
      </c>
      <c r="AN409" s="7">
        <f t="shared" si="558"/>
        <v>14937.475</v>
      </c>
      <c r="AO409" s="7">
        <f>0</f>
        <v>0</v>
      </c>
      <c r="AP409" s="7">
        <f>MAX(0,1+INDEX(配置与结果!$J$15:$J$18,F409)+IF(T409&gt;0,方案参数!$BY$14,0)-配置与结果!$B$30)</f>
        <v>1</v>
      </c>
      <c r="AQ409" s="7">
        <f t="shared" si="559"/>
        <v>0</v>
      </c>
      <c r="AR409" s="7">
        <f t="shared" si="560"/>
        <v>0</v>
      </c>
      <c r="AS409" s="7">
        <f t="shared" si="561"/>
        <v>0</v>
      </c>
      <c r="AT409" s="7">
        <f>0</f>
        <v>0</v>
      </c>
      <c r="AU409" s="7">
        <f t="shared" si="562"/>
        <v>14937.475</v>
      </c>
      <c r="AV409" s="1">
        <f t="shared" si="563"/>
        <v>1</v>
      </c>
      <c r="AW409" s="1">
        <f>MIN(10,M409+0+0)</f>
        <v>7</v>
      </c>
      <c r="AX409" s="1">
        <f t="shared" si="564"/>
        <v>0</v>
      </c>
      <c r="AY409" s="1">
        <f t="shared" si="587"/>
        <v>6</v>
      </c>
      <c r="AZ409" s="1">
        <f t="shared" si="565"/>
        <v>5</v>
      </c>
      <c r="BA409" s="1">
        <f>MIN(6,Q409+1)</f>
        <v>3</v>
      </c>
      <c r="BB409" s="1">
        <f t="shared" si="580"/>
        <v>5</v>
      </c>
      <c r="BC409" s="1">
        <f>MIN(3,S409+0)</f>
        <v>1</v>
      </c>
      <c r="BD409" s="1">
        <f t="shared" si="588"/>
        <v>0</v>
      </c>
      <c r="BE409" s="1">
        <f t="shared" si="581"/>
        <v>0</v>
      </c>
      <c r="BF409" s="1">
        <f>MIN(4,V409+0)</f>
        <v>1</v>
      </c>
      <c r="BG409" s="1">
        <f t="shared" si="585"/>
        <v>1</v>
      </c>
      <c r="BH409" s="1">
        <f t="shared" si="582"/>
        <v>1</v>
      </c>
      <c r="BI409" s="1">
        <f t="shared" si="586"/>
        <v>1</v>
      </c>
      <c r="BJ409" s="1">
        <f>MAX(Z409,1)</f>
        <v>1</v>
      </c>
      <c r="BK409" s="1">
        <f>MAX(AA409,1)</f>
        <v>1</v>
      </c>
      <c r="BL409" s="1">
        <f t="shared" si="554"/>
        <v>0</v>
      </c>
      <c r="BM409" s="1">
        <f t="shared" si="552"/>
        <v>0</v>
      </c>
      <c r="BN409" s="1">
        <f t="shared" si="583"/>
        <v>1</v>
      </c>
      <c r="BO409" s="1">
        <f t="shared" si="584"/>
        <v>1</v>
      </c>
    </row>
    <row r="410" spans="1:67" ht="30.95" customHeight="1">
      <c r="A410" s="1">
        <f>11</f>
        <v>11</v>
      </c>
      <c r="B410" s="1">
        <f>固定流程!A14</f>
        <v>9</v>
      </c>
      <c r="C410" s="1">
        <f>14</f>
        <v>14</v>
      </c>
      <c r="D410" s="1">
        <f>1</f>
        <v>1</v>
      </c>
      <c r="E410" s="1">
        <f>固定流程!C14</f>
        <v>2</v>
      </c>
      <c r="F410" s="1">
        <f>固定流程!G14</f>
        <v>1</v>
      </c>
      <c r="G410" s="1" t="str">
        <f>固定流程!H14</f>
        <v>LILYA_DIVE</v>
      </c>
      <c r="H410" s="1">
        <f>固定流程!F14</f>
        <v>3</v>
      </c>
      <c r="I410" s="1">
        <f>INDEX(配置与结果!$B$15:$B$18,F410)</f>
        <v>2296</v>
      </c>
      <c r="J410" s="1">
        <f>INDEX(配置与结果!$D$15:$D$18,F410)</f>
        <v>0.7</v>
      </c>
      <c r="K410" s="1">
        <f>INDEX(配置与结果!$E$15:$E$18,F410)</f>
        <v>2.0249999999999999</v>
      </c>
      <c r="L410" s="1">
        <f t="shared" ref="L410:N414" si="590">AV409</f>
        <v>1</v>
      </c>
      <c r="M410" s="1">
        <f t="shared" si="590"/>
        <v>7</v>
      </c>
      <c r="N410" s="1">
        <f t="shared" si="590"/>
        <v>0</v>
      </c>
      <c r="O410" s="1">
        <f t="shared" si="589"/>
        <v>6</v>
      </c>
      <c r="P410" s="1">
        <f>MIN(方案参数!$AI$14,AZ409+0+0)</f>
        <v>5</v>
      </c>
      <c r="Q410" s="1">
        <f t="shared" si="567"/>
        <v>3</v>
      </c>
      <c r="R410" s="1">
        <f t="shared" si="568"/>
        <v>5</v>
      </c>
      <c r="S410" s="1">
        <f t="shared" si="569"/>
        <v>1</v>
      </c>
      <c r="T410" s="1">
        <f t="shared" si="570"/>
        <v>0</v>
      </c>
      <c r="U410" s="1">
        <f t="shared" si="571"/>
        <v>0</v>
      </c>
      <c r="V410" s="1">
        <f t="shared" si="572"/>
        <v>1</v>
      </c>
      <c r="W410" s="1">
        <f t="shared" si="573"/>
        <v>1</v>
      </c>
      <c r="X410" s="1">
        <f t="shared" si="574"/>
        <v>1</v>
      </c>
      <c r="Y410" s="1">
        <f t="shared" si="575"/>
        <v>1</v>
      </c>
      <c r="Z410" s="1">
        <f t="shared" si="576"/>
        <v>1</v>
      </c>
      <c r="AA410" s="1">
        <f t="shared" ref="AA410:AA415" si="591">MAX(BK409,0)</f>
        <v>1</v>
      </c>
      <c r="AB410" s="1">
        <f t="shared" si="578"/>
        <v>0</v>
      </c>
      <c r="AC410" s="1">
        <f t="shared" si="579"/>
        <v>0</v>
      </c>
      <c r="AD410" s="1">
        <f>ROUNDDOWN(I410*(1+IF(F410=3,0.05+方案参数!$Y$14+AA410*0.12,IF(F410=4,方案参数!$BZ$14*方案参数!$AS$14,0)))+IF(AND(X410=1,F410&lt;&gt;3),方案参数!$CC$14,0)+AC410*方案参数!$CB$14,0)</f>
        <v>2534</v>
      </c>
      <c r="AE410" s="1">
        <f>IF(OR(F410=1,F410=4),配置与结果!$B$24,配置与结果!$B$25)*MAX(0,1-INDEX(配置与结果!$I$15:$I$18,F410))</f>
        <v>1200</v>
      </c>
      <c r="AF410" s="1">
        <f>(IF(L410=1,方案参数!$AW$14,IF(L410=2,方案参数!$AX$14,0))+方案参数!$AV$14)*H410</f>
        <v>18</v>
      </c>
      <c r="AG410" s="1">
        <f>MAX(配置与结果!$B$32,1+INDEX(配置与结果!$F$15:$F$18,F410)+0.08+方案参数!$CD$14+Q410*方案参数!$W$14+Y410*(方案参数!$AN$14+MIN(方案参数!$AO$14,P410*0.03))+AB410*方案参数!$BZ$14*0.025+IF(L410=1,方案参数!$AY$14+(H410-1)*0.1,IF(L410=2,方案参数!$AZ$14+(H410-1)*0.2,0))-配置与结果!$B$28)</f>
        <v>1.6</v>
      </c>
      <c r="AH410" s="1">
        <f>MAX(0,1+INDEX(配置与结果!$G$15:$G$18,F410)+W410*方案参数!$AG$14+IF(L410=1,方案参数!$BA$14,IF(L410=2,方案参数!$BB$14,0))+M410*方案参数!$BC$14)</f>
        <v>2.3199999999999998</v>
      </c>
      <c r="AI410" s="1">
        <f>IF(OR(INDEX(配置与结果!$K$15:$K$18,F410)=1,G410="RHI_BERRY"),1+配置与结果!$B$33+P410*方案参数!$AH$14,1)</f>
        <v>1</v>
      </c>
      <c r="AJ410" s="1">
        <f>MIN(1,MAX(0,J410+方案参数!$AB$14-配置与结果!$B$27))</f>
        <v>1</v>
      </c>
      <c r="AK410" s="1">
        <f>MAX(1,K410+IF(F410=2,0.15+方案参数!$CH$14,0)+BN410*方案参数!$X$14+R410*方案参数!$AA$14+0-配置与结果!$B$26+Z410*(方案参数!$AP$14+MIN(方案参数!$AQ$14,P410*0.03)))</f>
        <v>2.105</v>
      </c>
      <c r="AL410" s="7">
        <f>ROUNDDOWN(MAX(AD410*配置与结果!$B$31,AD410-AE410)*AF410*AG410*AH410*AI410,0)</f>
        <v>89132</v>
      </c>
      <c r="AM410" s="7">
        <f>ROUNDDOWN(MAX(AD410*配置与结果!$B$31,AD410-AE410)*AF410*AG410*AH410*AI410*AK410,0)</f>
        <v>187624</v>
      </c>
      <c r="AN410" s="7">
        <f t="shared" si="558"/>
        <v>187624</v>
      </c>
      <c r="AO410" s="7">
        <f>0</f>
        <v>0</v>
      </c>
      <c r="AP410" s="7">
        <f>MAX(0,1+INDEX(配置与结果!$J$15:$J$18,F410)+IF(T410&gt;0,方案参数!$BY$14,0)-配置与结果!$B$30)</f>
        <v>1</v>
      </c>
      <c r="AQ410" s="7">
        <f t="shared" si="559"/>
        <v>0</v>
      </c>
      <c r="AR410" s="7">
        <f t="shared" si="560"/>
        <v>0</v>
      </c>
      <c r="AS410" s="7">
        <f t="shared" si="561"/>
        <v>0</v>
      </c>
      <c r="AT410" s="7">
        <f>0</f>
        <v>0</v>
      </c>
      <c r="AU410" s="7">
        <f t="shared" si="562"/>
        <v>187624</v>
      </c>
      <c r="AV410" s="1">
        <f t="shared" si="563"/>
        <v>1</v>
      </c>
      <c r="AW410" s="1">
        <f>MIN(10,M410+0+IF(L410=1,方案参数!$BE$14,0))</f>
        <v>8</v>
      </c>
      <c r="AX410" s="1">
        <f t="shared" si="564"/>
        <v>0</v>
      </c>
      <c r="AY410" s="1">
        <f t="shared" si="587"/>
        <v>6</v>
      </c>
      <c r="AZ410" s="1">
        <f t="shared" si="565"/>
        <v>5</v>
      </c>
      <c r="BA410" s="1">
        <f>MIN(6,Q410+0)</f>
        <v>3</v>
      </c>
      <c r="BB410" s="1">
        <f t="shared" si="580"/>
        <v>5</v>
      </c>
      <c r="BC410" s="1">
        <f>MIN(3,S410+0)</f>
        <v>1</v>
      </c>
      <c r="BD410" s="1">
        <f t="shared" si="588"/>
        <v>0</v>
      </c>
      <c r="BE410" s="1">
        <f t="shared" si="581"/>
        <v>0</v>
      </c>
      <c r="BF410" s="1">
        <f>MIN(4,V410+0)</f>
        <v>1</v>
      </c>
      <c r="BG410" s="1">
        <f t="shared" si="585"/>
        <v>1</v>
      </c>
      <c r="BH410" s="1">
        <f t="shared" si="582"/>
        <v>1</v>
      </c>
      <c r="BI410" s="1">
        <f t="shared" si="586"/>
        <v>1</v>
      </c>
      <c r="BJ410" s="1">
        <f t="shared" ref="BJ410:BK415" si="592">MAX(Z410,0)</f>
        <v>1</v>
      </c>
      <c r="BK410" s="1">
        <f t="shared" si="592"/>
        <v>1</v>
      </c>
      <c r="BL410" s="1">
        <f t="shared" si="554"/>
        <v>0</v>
      </c>
      <c r="BM410" s="1">
        <f t="shared" si="552"/>
        <v>0</v>
      </c>
      <c r="BN410" s="1">
        <f t="shared" si="583"/>
        <v>1</v>
      </c>
      <c r="BO410" s="1">
        <f t="shared" si="584"/>
        <v>1</v>
      </c>
    </row>
    <row r="411" spans="1:67" ht="30.95" customHeight="1">
      <c r="A411" s="1">
        <f>11</f>
        <v>11</v>
      </c>
      <c r="B411" s="1">
        <f>固定流程!A15</f>
        <v>10</v>
      </c>
      <c r="C411" s="1">
        <f>14</f>
        <v>14</v>
      </c>
      <c r="D411" s="1">
        <f>1</f>
        <v>1</v>
      </c>
      <c r="E411" s="1">
        <f>固定流程!C15</f>
        <v>2</v>
      </c>
      <c r="F411" s="1">
        <f>固定流程!G15</f>
        <v>4</v>
      </c>
      <c r="G411" s="1" t="str">
        <f>固定流程!H15</f>
        <v>J_HARD</v>
      </c>
      <c r="H411" s="1">
        <f>固定流程!F15</f>
        <v>1</v>
      </c>
      <c r="I411" s="1">
        <f>INDEX(配置与结果!$B$15:$B$18,F411)</f>
        <v>1906</v>
      </c>
      <c r="J411" s="1">
        <f>INDEX(配置与结果!$D$15:$D$18,F411)</f>
        <v>0.36699999999999999</v>
      </c>
      <c r="K411" s="1">
        <f>INDEX(配置与结果!$E$15:$E$18,F411)</f>
        <v>1.7170000000000001</v>
      </c>
      <c r="L411" s="1">
        <f t="shared" si="590"/>
        <v>1</v>
      </c>
      <c r="M411" s="1">
        <f t="shared" si="590"/>
        <v>8</v>
      </c>
      <c r="N411" s="1">
        <f t="shared" si="590"/>
        <v>0</v>
      </c>
      <c r="O411" s="1">
        <f t="shared" si="589"/>
        <v>6</v>
      </c>
      <c r="P411" s="1">
        <f>MIN(方案参数!$AI$14,AZ410+0+0)</f>
        <v>5</v>
      </c>
      <c r="Q411" s="1">
        <f t="shared" si="567"/>
        <v>3</v>
      </c>
      <c r="R411" s="1">
        <f t="shared" si="568"/>
        <v>5</v>
      </c>
      <c r="S411" s="1">
        <f t="shared" si="569"/>
        <v>1</v>
      </c>
      <c r="T411" s="1">
        <f t="shared" si="570"/>
        <v>0</v>
      </c>
      <c r="U411" s="1">
        <f t="shared" si="571"/>
        <v>0</v>
      </c>
      <c r="V411" s="1">
        <f t="shared" si="572"/>
        <v>1</v>
      </c>
      <c r="W411" s="1">
        <f t="shared" si="573"/>
        <v>1</v>
      </c>
      <c r="X411" s="1">
        <f t="shared" si="574"/>
        <v>1</v>
      </c>
      <c r="Y411" s="1">
        <f t="shared" si="575"/>
        <v>1</v>
      </c>
      <c r="Z411" s="1">
        <f t="shared" si="576"/>
        <v>1</v>
      </c>
      <c r="AA411" s="1">
        <f t="shared" si="591"/>
        <v>1</v>
      </c>
      <c r="AB411" s="1">
        <f t="shared" si="578"/>
        <v>0</v>
      </c>
      <c r="AC411" s="1">
        <f t="shared" si="579"/>
        <v>0</v>
      </c>
      <c r="AD411" s="1">
        <f>ROUNDDOWN(I411*(1+IF(F411=3,0.05+方案参数!$Y$14+AA411*0.12,IF(F411=4,方案参数!$BZ$14*方案参数!$AS$14,0)))+IF(AND(X411=1,F411&lt;&gt;3),方案参数!$CC$14,0)+AC411*方案参数!$CB$14,0)</f>
        <v>2811</v>
      </c>
      <c r="AE411" s="1">
        <f>IF(OR(F411=1,F411=4),配置与结果!$B$24,配置与结果!$B$25)*MAX(0,1-INDEX(配置与结果!$I$15:$I$18,F411))</f>
        <v>1200</v>
      </c>
      <c r="AF411" s="1">
        <f>3.6*IF(H411=1,1,IF(H411=2,1.5,2.5))</f>
        <v>3.6</v>
      </c>
      <c r="AG411" s="1">
        <f>MAX(配置与结果!$B$32,1+INDEX(配置与结果!$F$15:$F$18,F411)+0.08+Q411*方案参数!$W$14+Y411*(方案参数!$AN$14+MIN(方案参数!$AO$14,P411*0.03))+AB411*方案参数!$BZ$14*0.025+0.1+IF(方案参数!$BZ$14&gt;=30,方案参数!$BZ$14*0.01,0)-配置与结果!$B$28)</f>
        <v>1.5150000000000001</v>
      </c>
      <c r="AH411" s="1">
        <f>MAX(0,1+INDEX(配置与结果!$G$15:$G$18,F411)+W411*方案参数!$AG$14)</f>
        <v>1.3</v>
      </c>
      <c r="AI411" s="1">
        <f>IF(OR(INDEX(配置与结果!$K$15:$K$18,F411)=1,G411="RHI_BERRY"),1+配置与结果!$B$33+P411*方案参数!$AH$14,1)</f>
        <v>1</v>
      </c>
      <c r="AJ411" s="1">
        <f>MIN(1,MAX(0,J411+方案参数!$AB$14-配置与结果!$B$27))</f>
        <v>0.96699999999999997</v>
      </c>
      <c r="AK411" s="1">
        <f>MAX(1,K411+IF(F411=2,0.15+方案参数!$CH$14,0)+BN411*方案参数!$X$14+R411*方案参数!$AA$14+0-配置与结果!$B$26+Z411*(方案参数!$AP$14+MIN(方案参数!$AQ$14,P411*0.03)))</f>
        <v>1.7969999999999999</v>
      </c>
      <c r="AL411" s="7">
        <f>ROUNDDOWN(MAX(AD411*配置与结果!$B$31,AD411-AE411)*AF411*AG411*AH411*AI411,0)</f>
        <v>11422</v>
      </c>
      <c r="AM411" s="7">
        <f>ROUNDDOWN(MAX(AD411*配置与结果!$B$31,AD411-AE411)*AF411*AG411*AH411*AI411*AK411,0)</f>
        <v>20525</v>
      </c>
      <c r="AN411" s="7">
        <f t="shared" si="558"/>
        <v>20224.600999999999</v>
      </c>
      <c r="AO411" s="7">
        <f>0</f>
        <v>0</v>
      </c>
      <c r="AP411" s="7">
        <f>MAX(0,1+INDEX(配置与结果!$J$15:$J$18,F411)+IF(T411&gt;0,方案参数!$BY$14,0)-配置与结果!$B$30)</f>
        <v>1</v>
      </c>
      <c r="AQ411" s="7">
        <f t="shared" si="559"/>
        <v>0</v>
      </c>
      <c r="AR411" s="7">
        <f t="shared" si="560"/>
        <v>0</v>
      </c>
      <c r="AS411" s="7">
        <f t="shared" si="561"/>
        <v>0</v>
      </c>
      <c r="AT411" s="7">
        <f>0</f>
        <v>0</v>
      </c>
      <c r="AU411" s="7">
        <f t="shared" si="562"/>
        <v>20224.600999999999</v>
      </c>
      <c r="AV411" s="1">
        <f t="shared" si="563"/>
        <v>1</v>
      </c>
      <c r="AW411" s="1">
        <f t="shared" ref="AW411:AW421" si="593">MIN(10,M411+0+0)</f>
        <v>8</v>
      </c>
      <c r="AX411" s="1">
        <f t="shared" si="564"/>
        <v>0</v>
      </c>
      <c r="AY411" s="1">
        <f t="shared" si="587"/>
        <v>6</v>
      </c>
      <c r="AZ411" s="1">
        <f t="shared" si="565"/>
        <v>5</v>
      </c>
      <c r="BA411" s="1">
        <f>MIN(6,Q411+0)</f>
        <v>3</v>
      </c>
      <c r="BB411" s="1">
        <f t="shared" si="580"/>
        <v>5</v>
      </c>
      <c r="BC411" s="1">
        <f>MIN(3,S411+1)</f>
        <v>2</v>
      </c>
      <c r="BD411" s="1">
        <f t="shared" si="588"/>
        <v>0</v>
      </c>
      <c r="BE411" s="1">
        <f t="shared" si="581"/>
        <v>0</v>
      </c>
      <c r="BF411" s="1">
        <f>MIN(4,V411+0)</f>
        <v>1</v>
      </c>
      <c r="BG411" s="1">
        <f t="shared" si="585"/>
        <v>1</v>
      </c>
      <c r="BH411" s="1">
        <f t="shared" si="582"/>
        <v>1</v>
      </c>
      <c r="BI411" s="1">
        <f t="shared" si="586"/>
        <v>1</v>
      </c>
      <c r="BJ411" s="1">
        <f t="shared" si="592"/>
        <v>1</v>
      </c>
      <c r="BK411" s="1">
        <f t="shared" si="592"/>
        <v>1</v>
      </c>
      <c r="BL411" s="1">
        <f t="shared" si="554"/>
        <v>0</v>
      </c>
      <c r="BM411" s="1">
        <f t="shared" si="552"/>
        <v>0</v>
      </c>
      <c r="BN411" s="1">
        <f t="shared" si="583"/>
        <v>1</v>
      </c>
      <c r="BO411" s="1">
        <f t="shared" si="584"/>
        <v>1</v>
      </c>
    </row>
    <row r="412" spans="1:67" ht="30.95" customHeight="1">
      <c r="A412" s="1">
        <f>11</f>
        <v>11</v>
      </c>
      <c r="B412" s="1">
        <f>固定流程!A16</f>
        <v>11</v>
      </c>
      <c r="C412" s="1">
        <f>14</f>
        <v>14</v>
      </c>
      <c r="D412" s="1">
        <f>1</f>
        <v>1</v>
      </c>
      <c r="E412" s="1">
        <f>固定流程!C16</f>
        <v>2</v>
      </c>
      <c r="F412" s="1">
        <f>固定流程!G16</f>
        <v>2</v>
      </c>
      <c r="G412" s="1" t="str">
        <f>固定流程!H16</f>
        <v>37_CURVE</v>
      </c>
      <c r="H412" s="1">
        <f>固定流程!F16</f>
        <v>1</v>
      </c>
      <c r="I412" s="1">
        <f>INDEX(配置与结果!$B$15:$B$18,F412)</f>
        <v>2306</v>
      </c>
      <c r="J412" s="1">
        <f>INDEX(配置与结果!$D$15:$D$18,F412)</f>
        <v>0.46</v>
      </c>
      <c r="K412" s="1">
        <f>INDEX(配置与结果!$E$15:$E$18,F412)</f>
        <v>1.9279999999999999</v>
      </c>
      <c r="L412" s="1">
        <f t="shared" si="590"/>
        <v>1</v>
      </c>
      <c r="M412" s="1">
        <f t="shared" si="590"/>
        <v>8</v>
      </c>
      <c r="N412" s="1">
        <f t="shared" si="590"/>
        <v>0</v>
      </c>
      <c r="O412" s="1">
        <f t="shared" si="589"/>
        <v>6</v>
      </c>
      <c r="P412" s="1">
        <f>MIN(方案参数!$AI$14,AZ411+0+0)</f>
        <v>5</v>
      </c>
      <c r="Q412" s="1">
        <f t="shared" si="567"/>
        <v>3</v>
      </c>
      <c r="R412" s="1">
        <f t="shared" si="568"/>
        <v>5</v>
      </c>
      <c r="S412" s="1">
        <f t="shared" si="569"/>
        <v>2</v>
      </c>
      <c r="T412" s="1">
        <f t="shared" si="570"/>
        <v>0</v>
      </c>
      <c r="U412" s="1">
        <f t="shared" si="571"/>
        <v>0</v>
      </c>
      <c r="V412" s="1">
        <f t="shared" si="572"/>
        <v>1</v>
      </c>
      <c r="W412" s="1">
        <f t="shared" si="573"/>
        <v>1</v>
      </c>
      <c r="X412" s="1">
        <f t="shared" si="574"/>
        <v>1</v>
      </c>
      <c r="Y412" s="1">
        <f t="shared" si="575"/>
        <v>1</v>
      </c>
      <c r="Z412" s="1">
        <f t="shared" si="576"/>
        <v>1</v>
      </c>
      <c r="AA412" s="1">
        <f t="shared" si="591"/>
        <v>1</v>
      </c>
      <c r="AB412" s="1">
        <f t="shared" si="578"/>
        <v>0</v>
      </c>
      <c r="AC412" s="1">
        <f t="shared" si="579"/>
        <v>0</v>
      </c>
      <c r="AD412" s="1">
        <f>ROUNDDOWN(I412*(1+IF(F412=3,0.05+方案参数!$Y$14+AA412*0.12,IF(F412=4,方案参数!$BZ$14*方案参数!$AS$14,0)))+IF(AND(X412=1,F412&lt;&gt;3),方案参数!$CC$14,0)+AC412*方案参数!$CB$14,0)</f>
        <v>2544</v>
      </c>
      <c r="AE412" s="1">
        <f>IF(OR(F412=1,F412=4),配置与结果!$B$24,配置与结果!$B$25)*MAX(0,1-INDEX(配置与结果!$I$15:$I$18,F412))</f>
        <v>1000</v>
      </c>
      <c r="AF412" s="1">
        <f>方案参数!$BT$14*IF(H412=1,1,IF(H412=2,1.5,2.5))</f>
        <v>1.6</v>
      </c>
      <c r="AG412" s="1">
        <f>MAX(配置与结果!$B$32,1+INDEX(配置与结果!$F$15:$F$18,F412)+0+Q412*方案参数!$W$14+Y412*(方案参数!$AN$14+MIN(方案参数!$AO$14,P412*0.03))+AB412*方案参数!$BZ$14*0.025-配置与结果!$B$28)</f>
        <v>0.96499999999999997</v>
      </c>
      <c r="AH412" s="1">
        <f>MAX(0,1+INDEX(配置与结果!$G$15:$G$18,F412)+W412*方案参数!$AG$14)</f>
        <v>1.3</v>
      </c>
      <c r="AI412" s="1">
        <f>IF(OR(INDEX(配置与结果!$K$15:$K$18,F412)=1,G412="RHI_BERRY"),1+配置与结果!$B$33+P412*方案参数!$AH$14,1)</f>
        <v>1</v>
      </c>
      <c r="AJ412" s="1">
        <f>MIN(1,MAX(0,J412+方案参数!$AB$14-配置与结果!$B$27))</f>
        <v>1</v>
      </c>
      <c r="AK412" s="1">
        <f>MAX(1,K412+IF(F412=2,0.15+方案参数!$CH$14,0)+BN412*方案参数!$X$14+R412*方案参数!$AA$14+0-配置与结果!$B$26+Z412*(方案参数!$AP$14+MIN(方案参数!$AQ$14,P412*0.03)))</f>
        <v>2.278</v>
      </c>
      <c r="AL412" s="7">
        <f>ROUNDDOWN(MAX(AD412*配置与结果!$B$31,AD412-AE412)*AF412*AG412*AH412*AI412,0)</f>
        <v>3099</v>
      </c>
      <c r="AM412" s="7">
        <f>ROUNDDOWN(MAX(AD412*配置与结果!$B$31,AD412-AE412)*AF412*AG412*AH412*AI412*AK412,0)</f>
        <v>7059</v>
      </c>
      <c r="AN412" s="7">
        <f t="shared" si="558"/>
        <v>7059</v>
      </c>
      <c r="AO412" s="7">
        <f>方案参数!$BU$14*IF(H412=1,1,IF(H412=2,1.5,2.5))</f>
        <v>1</v>
      </c>
      <c r="AP412" s="7">
        <f>MAX(0,1+INDEX(配置与结果!$J$15:$J$18,F412)+IF(T412&gt;0,方案参数!$BY$14,0)-配置与结果!$B$30)</f>
        <v>1</v>
      </c>
      <c r="AQ412" s="7">
        <f t="shared" si="559"/>
        <v>2544</v>
      </c>
      <c r="AR412" s="7">
        <f t="shared" si="560"/>
        <v>5795</v>
      </c>
      <c r="AS412" s="7">
        <f t="shared" si="561"/>
        <v>5795</v>
      </c>
      <c r="AT412" s="7">
        <f>0</f>
        <v>0</v>
      </c>
      <c r="AU412" s="7">
        <f t="shared" si="562"/>
        <v>12854</v>
      </c>
      <c r="AV412" s="1">
        <f t="shared" si="563"/>
        <v>1</v>
      </c>
      <c r="AW412" s="1">
        <f t="shared" si="593"/>
        <v>8</v>
      </c>
      <c r="AX412" s="1">
        <f t="shared" si="564"/>
        <v>0</v>
      </c>
      <c r="AY412" s="1">
        <f t="shared" si="587"/>
        <v>6</v>
      </c>
      <c r="AZ412" s="1">
        <f t="shared" si="565"/>
        <v>5</v>
      </c>
      <c r="BA412" s="1">
        <f>MIN(6,Q412+0)</f>
        <v>3</v>
      </c>
      <c r="BB412" s="1">
        <f t="shared" si="580"/>
        <v>5</v>
      </c>
      <c r="BC412" s="1">
        <f t="shared" ref="BC412:BC418" si="594">MIN(3,S412+0)</f>
        <v>2</v>
      </c>
      <c r="BD412" s="1">
        <f t="shared" si="588"/>
        <v>0</v>
      </c>
      <c r="BE412" s="1">
        <f t="shared" si="581"/>
        <v>0</v>
      </c>
      <c r="BF412" s="1">
        <f>MIN(4,V412+0)</f>
        <v>1</v>
      </c>
      <c r="BG412" s="1">
        <f t="shared" si="585"/>
        <v>1</v>
      </c>
      <c r="BH412" s="1">
        <f t="shared" si="582"/>
        <v>1</v>
      </c>
      <c r="BI412" s="1">
        <f t="shared" si="586"/>
        <v>1</v>
      </c>
      <c r="BJ412" s="1">
        <f t="shared" si="592"/>
        <v>1</v>
      </c>
      <c r="BK412" s="1">
        <f t="shared" si="592"/>
        <v>1</v>
      </c>
      <c r="BL412" s="1">
        <f t="shared" si="554"/>
        <v>0</v>
      </c>
      <c r="BM412" s="1">
        <f t="shared" si="552"/>
        <v>0</v>
      </c>
      <c r="BN412" s="1">
        <f t="shared" si="583"/>
        <v>1</v>
      </c>
      <c r="BO412" s="1">
        <f t="shared" si="584"/>
        <v>1</v>
      </c>
    </row>
    <row r="413" spans="1:67" ht="30.95" customHeight="1">
      <c r="A413" s="1">
        <f>11</f>
        <v>11</v>
      </c>
      <c r="B413" s="1">
        <f>固定流程!A17</f>
        <v>12</v>
      </c>
      <c r="C413" s="1">
        <f>14</f>
        <v>14</v>
      </c>
      <c r="D413" s="1">
        <f>1</f>
        <v>1</v>
      </c>
      <c r="E413" s="1">
        <f>固定流程!C17</f>
        <v>2</v>
      </c>
      <c r="F413" s="1">
        <f>固定流程!G17</f>
        <v>2</v>
      </c>
      <c r="G413" s="1" t="str">
        <f>固定流程!H17</f>
        <v>37_FOLLOW</v>
      </c>
      <c r="H413" s="1">
        <f>固定流程!F17</f>
        <v>1</v>
      </c>
      <c r="I413" s="1">
        <f>INDEX(配置与结果!$B$15:$B$18,F413)</f>
        <v>2306</v>
      </c>
      <c r="J413" s="1">
        <f>INDEX(配置与结果!$D$15:$D$18,F413)</f>
        <v>0.46</v>
      </c>
      <c r="K413" s="1">
        <f>INDEX(配置与结果!$E$15:$E$18,F413)</f>
        <v>1.9279999999999999</v>
      </c>
      <c r="L413" s="1">
        <f t="shared" si="590"/>
        <v>1</v>
      </c>
      <c r="M413" s="1">
        <f t="shared" si="590"/>
        <v>8</v>
      </c>
      <c r="N413" s="1">
        <f t="shared" si="590"/>
        <v>0</v>
      </c>
      <c r="O413" s="1">
        <f t="shared" si="589"/>
        <v>6</v>
      </c>
      <c r="P413" s="1">
        <f>MIN(方案参数!$AI$14,AZ412+0+0)</f>
        <v>5</v>
      </c>
      <c r="Q413" s="1">
        <f t="shared" si="567"/>
        <v>3</v>
      </c>
      <c r="R413" s="1">
        <f t="shared" si="568"/>
        <v>5</v>
      </c>
      <c r="S413" s="1">
        <f t="shared" si="569"/>
        <v>2</v>
      </c>
      <c r="T413" s="1">
        <f t="shared" si="570"/>
        <v>0</v>
      </c>
      <c r="U413" s="1">
        <f t="shared" si="571"/>
        <v>0</v>
      </c>
      <c r="V413" s="1">
        <f t="shared" si="572"/>
        <v>1</v>
      </c>
      <c r="W413" s="1">
        <f t="shared" si="573"/>
        <v>1</v>
      </c>
      <c r="X413" s="1">
        <f t="shared" si="574"/>
        <v>1</v>
      </c>
      <c r="Y413" s="1">
        <f t="shared" si="575"/>
        <v>1</v>
      </c>
      <c r="Z413" s="1">
        <f t="shared" si="576"/>
        <v>1</v>
      </c>
      <c r="AA413" s="1">
        <f t="shared" si="591"/>
        <v>1</v>
      </c>
      <c r="AB413" s="1">
        <f t="shared" si="578"/>
        <v>0</v>
      </c>
      <c r="AC413" s="1">
        <f t="shared" si="579"/>
        <v>0</v>
      </c>
      <c r="AD413" s="1">
        <f>ROUNDDOWN(I413*(1+IF(F413=3,0.05+方案参数!$Y$14+AA413*0.12,IF(F413=4,方案参数!$BZ$14*方案参数!$AS$14,0)))+IF(AND(X413=1,F413&lt;&gt;3),方案参数!$CC$14,0)+AC413*方案参数!$CB$14,0)</f>
        <v>2544</v>
      </c>
      <c r="AE413" s="1">
        <f>IF(OR(F413=1,F413=4),配置与结果!$B$24,配置与结果!$B$25)*MAX(0,1-INDEX(配置与结果!$I$15:$I$18,F413))</f>
        <v>1000</v>
      </c>
      <c r="AF413" s="1">
        <f>方案参数!$BV$14</f>
        <v>4.5</v>
      </c>
      <c r="AG413" s="1">
        <f>MAX(配置与结果!$B$32,1+INDEX(配置与结果!$F$15:$F$18,F413)+0+Q413*方案参数!$W$14+Y413*(方案参数!$AN$14+MIN(方案参数!$AO$14,P413*0.03))+AB413*方案参数!$BZ$14*0.025-配置与结果!$B$28)</f>
        <v>0.96499999999999997</v>
      </c>
      <c r="AH413" s="1">
        <f>MAX(0,1+INDEX(配置与结果!$G$15:$G$18,F413)+W413*方案参数!$AG$14)</f>
        <v>1.3</v>
      </c>
      <c r="AI413" s="1">
        <f>IF(OR(INDEX(配置与结果!$K$15:$K$18,F413)=1,G413="RHI_BERRY"),1+配置与结果!$B$33+P413*方案参数!$AH$14,1)</f>
        <v>1</v>
      </c>
      <c r="AJ413" s="1">
        <f>MIN(1,MAX(0,J413+方案参数!$AB$14-配置与结果!$B$27))</f>
        <v>1</v>
      </c>
      <c r="AK413" s="1">
        <f>MAX(1,K413+IF(F413=2,0.15+方案参数!$CH$14,0)+BN413*方案参数!$X$14+R413*方案参数!$AA$14+0-配置与结果!$B$26+Z413*(方案参数!$AP$14+MIN(方案参数!$AQ$14,P413*0.03)))</f>
        <v>2.278</v>
      </c>
      <c r="AL413" s="7">
        <f>ROUNDDOWN(MAX(AD413*配置与结果!$B$31,AD413-AE413)*AF413*AG413*AH413*AI413,0)</f>
        <v>8716</v>
      </c>
      <c r="AM413" s="7">
        <f>ROUNDDOWN(MAX(AD413*配置与结果!$B$31,AD413-AE413)*AF413*AG413*AH413*AI413*AK413,0)</f>
        <v>19855</v>
      </c>
      <c r="AN413" s="7">
        <f t="shared" si="558"/>
        <v>19855</v>
      </c>
      <c r="AO413" s="7">
        <f>方案参数!$BW$14</f>
        <v>1.5</v>
      </c>
      <c r="AP413" s="7">
        <f>MAX(0,1+INDEX(配置与结果!$J$15:$J$18,F413)+IF(T413&gt;0,方案参数!$BY$14,0)-配置与结果!$B$30)</f>
        <v>1</v>
      </c>
      <c r="AQ413" s="7">
        <f t="shared" si="559"/>
        <v>3816</v>
      </c>
      <c r="AR413" s="7">
        <f t="shared" si="560"/>
        <v>8692</v>
      </c>
      <c r="AS413" s="7">
        <f t="shared" si="561"/>
        <v>8692</v>
      </c>
      <c r="AT413" s="7">
        <f>0</f>
        <v>0</v>
      </c>
      <c r="AU413" s="7">
        <f t="shared" si="562"/>
        <v>28547</v>
      </c>
      <c r="AV413" s="1">
        <f t="shared" si="563"/>
        <v>1</v>
      </c>
      <c r="AW413" s="1">
        <f t="shared" si="593"/>
        <v>8</v>
      </c>
      <c r="AX413" s="1">
        <f t="shared" si="564"/>
        <v>0</v>
      </c>
      <c r="AY413" s="1">
        <f t="shared" si="587"/>
        <v>6</v>
      </c>
      <c r="AZ413" s="1">
        <f t="shared" si="565"/>
        <v>5</v>
      </c>
      <c r="BA413" s="1">
        <f>MIN(6,Q413+0)</f>
        <v>3</v>
      </c>
      <c r="BB413" s="1">
        <f t="shared" si="580"/>
        <v>5</v>
      </c>
      <c r="BC413" s="1">
        <f t="shared" si="594"/>
        <v>2</v>
      </c>
      <c r="BD413" s="1">
        <f t="shared" si="588"/>
        <v>0</v>
      </c>
      <c r="BE413" s="1">
        <f t="shared" si="581"/>
        <v>0</v>
      </c>
      <c r="BF413" s="1">
        <f>MIN(4,V413+1)</f>
        <v>2</v>
      </c>
      <c r="BG413" s="1">
        <f t="shared" si="585"/>
        <v>1</v>
      </c>
      <c r="BH413" s="1">
        <f t="shared" si="582"/>
        <v>1</v>
      </c>
      <c r="BI413" s="1">
        <f t="shared" si="586"/>
        <v>1</v>
      </c>
      <c r="BJ413" s="1">
        <f t="shared" si="592"/>
        <v>1</v>
      </c>
      <c r="BK413" s="1">
        <f t="shared" si="592"/>
        <v>1</v>
      </c>
      <c r="BL413" s="1">
        <f t="shared" si="554"/>
        <v>0</v>
      </c>
      <c r="BM413" s="1">
        <f t="shared" si="552"/>
        <v>0</v>
      </c>
      <c r="BN413" s="1">
        <f t="shared" si="583"/>
        <v>1</v>
      </c>
      <c r="BO413" s="1">
        <f t="shared" si="584"/>
        <v>1</v>
      </c>
    </row>
    <row r="414" spans="1:67" ht="30.95" customHeight="1">
      <c r="A414" s="1">
        <f>11</f>
        <v>11</v>
      </c>
      <c r="B414" s="1">
        <f>固定流程!A18</f>
        <v>13</v>
      </c>
      <c r="C414" s="1">
        <f>14</f>
        <v>14</v>
      </c>
      <c r="D414" s="1">
        <f>1</f>
        <v>1</v>
      </c>
      <c r="E414" s="1">
        <f>固定流程!C18</f>
        <v>2</v>
      </c>
      <c r="F414" s="1">
        <f>固定流程!G18</f>
        <v>3</v>
      </c>
      <c r="G414" s="1" t="str">
        <f>固定流程!H18</f>
        <v>RHI_BERRY</v>
      </c>
      <c r="H414" s="1">
        <f>固定流程!F18</f>
        <v>1</v>
      </c>
      <c r="I414" s="1">
        <f>INDEX(配置与结果!$B$15:$B$18,F414)</f>
        <v>2597</v>
      </c>
      <c r="J414" s="1">
        <f>INDEX(配置与结果!$D$15:$D$18,F414)</f>
        <v>0.255</v>
      </c>
      <c r="K414" s="1">
        <f>INDEX(配置与结果!$E$15:$E$18,F414)</f>
        <v>1.55</v>
      </c>
      <c r="L414" s="1">
        <f t="shared" si="590"/>
        <v>1</v>
      </c>
      <c r="M414" s="1">
        <f t="shared" si="590"/>
        <v>8</v>
      </c>
      <c r="N414" s="1">
        <f t="shared" si="590"/>
        <v>0</v>
      </c>
      <c r="O414" s="1">
        <f t="shared" si="589"/>
        <v>6</v>
      </c>
      <c r="P414" s="1">
        <f>MIN(方案参数!$AI$14,AZ413+0+0)</f>
        <v>5</v>
      </c>
      <c r="Q414" s="1">
        <f t="shared" si="567"/>
        <v>3</v>
      </c>
      <c r="R414" s="1">
        <f t="shared" si="568"/>
        <v>5</v>
      </c>
      <c r="S414" s="1">
        <f t="shared" si="569"/>
        <v>2</v>
      </c>
      <c r="T414" s="1">
        <f t="shared" si="570"/>
        <v>0</v>
      </c>
      <c r="U414" s="1">
        <f t="shared" si="571"/>
        <v>0</v>
      </c>
      <c r="V414" s="1">
        <f t="shared" si="572"/>
        <v>2</v>
      </c>
      <c r="W414" s="1">
        <f t="shared" si="573"/>
        <v>1</v>
      </c>
      <c r="X414" s="1">
        <f t="shared" si="574"/>
        <v>1</v>
      </c>
      <c r="Y414" s="1">
        <f t="shared" si="575"/>
        <v>1</v>
      </c>
      <c r="Z414" s="1">
        <f t="shared" si="576"/>
        <v>1</v>
      </c>
      <c r="AA414" s="1">
        <f t="shared" si="591"/>
        <v>1</v>
      </c>
      <c r="AB414" s="1">
        <f t="shared" si="578"/>
        <v>0</v>
      </c>
      <c r="AC414" s="1">
        <f t="shared" si="579"/>
        <v>0</v>
      </c>
      <c r="AD414" s="1">
        <f>ROUNDDOWN(I414*(1+IF(F414=3,0.05+方案参数!$Y$14+AA414*0.12,IF(F414=4,方案参数!$BZ$14*方案参数!$AS$14,0)))+IF(AND(X414=1,F414&lt;&gt;3),方案参数!$CC$14,0)+AC414*方案参数!$CB$14,0)</f>
        <v>3298</v>
      </c>
      <c r="AE414" s="1">
        <f>IF(OR(F414=1,F414=4),配置与结果!$B$24,配置与结果!$B$25)*MAX(0,1-INDEX(配置与结果!$I$15:$I$18,F414))</f>
        <v>1000</v>
      </c>
      <c r="AF414" s="1">
        <f>方案参数!$CF$14+P414*方案参数!$CG$14</f>
        <v>22.5</v>
      </c>
      <c r="AG414" s="1">
        <f>MAX(配置与结果!$B$32,1+INDEX(配置与结果!$F$15:$F$18,F414)+0+Q414*方案参数!$W$14+Y414*(方案参数!$AN$14+MIN(方案参数!$AO$14,P414*0.03))+AB414*方案参数!$BZ$14*0.025-配置与结果!$B$28)</f>
        <v>0.995</v>
      </c>
      <c r="AH414" s="1">
        <f>MAX(0,1+INDEX(配置与结果!$G$15:$G$18,F414)+W414*方案参数!$AG$14)</f>
        <v>1.3</v>
      </c>
      <c r="AI414" s="1">
        <f>IF(OR(INDEX(配置与结果!$K$15:$K$18,F414)=1,G414="RHI_BERRY"),1+配置与结果!$B$33+P414*方案参数!$AH$14,1)</f>
        <v>1.5</v>
      </c>
      <c r="AJ414" s="1">
        <f>MIN(1,MAX(0,J414+方案参数!$AB$14-配置与结果!$B$27))</f>
        <v>0.85499999999999998</v>
      </c>
      <c r="AK414" s="1">
        <f>MAX(1,K414+IF(F414=2,0.15+方案参数!$CH$14,0)+BN414*方案参数!$X$14+R414*方案参数!$AA$14+0-配置与结果!$B$26+Z414*(方案参数!$AP$14+MIN(方案参数!$AQ$14,P414*0.03)))</f>
        <v>1.6300000000000001</v>
      </c>
      <c r="AL414" s="7">
        <f>ROUNDDOWN(MAX(AD414*配置与结果!$B$31,AD414-AE414)*AF414*AG414*AH414*AI414,0)</f>
        <v>100320</v>
      </c>
      <c r="AM414" s="7">
        <f>ROUNDDOWN(MAX(AD414*配置与结果!$B$31,AD414-AE414)*AF414*AG414*AH414*AI414*AK414,0)</f>
        <v>163522</v>
      </c>
      <c r="AN414" s="7">
        <f t="shared" si="558"/>
        <v>154357.71</v>
      </c>
      <c r="AO414" s="7">
        <f>0</f>
        <v>0</v>
      </c>
      <c r="AP414" s="7">
        <f>MAX(0,1+INDEX(配置与结果!$J$15:$J$18,F414)+IF(T414&gt;0,方案参数!$BY$14,0)-配置与结果!$B$30)</f>
        <v>1</v>
      </c>
      <c r="AQ414" s="7">
        <f t="shared" si="559"/>
        <v>0</v>
      </c>
      <c r="AR414" s="7">
        <f t="shared" si="560"/>
        <v>0</v>
      </c>
      <c r="AS414" s="7">
        <f t="shared" si="561"/>
        <v>0</v>
      </c>
      <c r="AT414" s="7">
        <f>0</f>
        <v>0</v>
      </c>
      <c r="AU414" s="7">
        <f t="shared" si="562"/>
        <v>154357.71</v>
      </c>
      <c r="AV414" s="1">
        <f t="shared" si="563"/>
        <v>1</v>
      </c>
      <c r="AW414" s="1">
        <f t="shared" si="593"/>
        <v>8</v>
      </c>
      <c r="AX414" s="1">
        <f t="shared" si="564"/>
        <v>0</v>
      </c>
      <c r="AY414" s="1">
        <f t="shared" si="587"/>
        <v>6</v>
      </c>
      <c r="AZ414" s="1">
        <f t="shared" si="565"/>
        <v>5</v>
      </c>
      <c r="BA414" s="1">
        <f>MIN(6,Q414+0)</f>
        <v>3</v>
      </c>
      <c r="BB414" s="1">
        <f t="shared" si="580"/>
        <v>5</v>
      </c>
      <c r="BC414" s="1">
        <f t="shared" si="594"/>
        <v>2</v>
      </c>
      <c r="BD414" s="1">
        <f t="shared" si="588"/>
        <v>0</v>
      </c>
      <c r="BE414" s="1">
        <f t="shared" si="581"/>
        <v>0</v>
      </c>
      <c r="BF414" s="1">
        <f>MIN(4,V414+0)</f>
        <v>2</v>
      </c>
      <c r="BG414" s="1">
        <f t="shared" si="585"/>
        <v>1</v>
      </c>
      <c r="BH414" s="1">
        <f t="shared" si="582"/>
        <v>1</v>
      </c>
      <c r="BI414" s="1">
        <f t="shared" si="586"/>
        <v>1</v>
      </c>
      <c r="BJ414" s="1">
        <f t="shared" si="592"/>
        <v>1</v>
      </c>
      <c r="BK414" s="1">
        <f t="shared" si="592"/>
        <v>1</v>
      </c>
      <c r="BL414" s="1">
        <f t="shared" si="554"/>
        <v>0</v>
      </c>
      <c r="BM414" s="1">
        <f t="shared" si="552"/>
        <v>0</v>
      </c>
      <c r="BN414" s="1">
        <f t="shared" si="583"/>
        <v>1</v>
      </c>
      <c r="BO414" s="1">
        <f t="shared" si="584"/>
        <v>1</v>
      </c>
    </row>
    <row r="415" spans="1:67" ht="30.95" customHeight="1">
      <c r="A415" s="1">
        <f>11</f>
        <v>11</v>
      </c>
      <c r="B415" s="1">
        <f>固定流程!A19</f>
        <v>14</v>
      </c>
      <c r="C415" s="1">
        <f>14</f>
        <v>14</v>
      </c>
      <c r="D415" s="1">
        <f>1</f>
        <v>1</v>
      </c>
      <c r="E415" s="1">
        <f>固定流程!C19</f>
        <v>3</v>
      </c>
      <c r="F415" s="1">
        <f>固定流程!G19</f>
        <v>3</v>
      </c>
      <c r="G415" s="1" t="str">
        <f>固定流程!H19</f>
        <v>RHI_BUFF</v>
      </c>
      <c r="H415" s="1">
        <f>固定流程!F19</f>
        <v>1</v>
      </c>
      <c r="I415" s="1">
        <f>INDEX(配置与结果!$B$15:$B$18,F415)</f>
        <v>2597</v>
      </c>
      <c r="J415" s="1">
        <f>INDEX(配置与结果!$D$15:$D$18,F415)</f>
        <v>0.255</v>
      </c>
      <c r="K415" s="1">
        <f>INDEX(配置与结果!$E$15:$E$18,F415)</f>
        <v>1.55</v>
      </c>
      <c r="L415" s="1">
        <f>IF(AV414=1,IF(M415&gt;=10,2,1),IF(AV414=2,IF(AX414&lt;=1,0,2),0))</f>
        <v>2</v>
      </c>
      <c r="M415" s="1">
        <f>IF(AND(AV414=2,AX414&lt;=1),0,MIN(10,AW414+IF(AV414=1,3,0)))</f>
        <v>10</v>
      </c>
      <c r="N415" s="1">
        <f>IF(AND(AV414=1,M415&gt;=10),2,IF(AV414=2,MAX(0,AX414-1),0))</f>
        <v>2</v>
      </c>
      <c r="O415" s="1">
        <f t="shared" si="589"/>
        <v>6</v>
      </c>
      <c r="P415" s="1">
        <f>MIN(方案参数!$AI$14,AZ414+方案参数!$AJ$14+方案参数!$AK$14)</f>
        <v>5</v>
      </c>
      <c r="Q415" s="1">
        <f t="shared" si="567"/>
        <v>3</v>
      </c>
      <c r="R415" s="1">
        <f t="shared" si="568"/>
        <v>5</v>
      </c>
      <c r="S415" s="1">
        <f t="shared" si="569"/>
        <v>2</v>
      </c>
      <c r="T415" s="1">
        <f t="shared" si="570"/>
        <v>0</v>
      </c>
      <c r="U415" s="1">
        <f t="shared" si="571"/>
        <v>0</v>
      </c>
      <c r="V415" s="1">
        <f t="shared" si="572"/>
        <v>2</v>
      </c>
      <c r="W415" s="1">
        <f t="shared" si="573"/>
        <v>1</v>
      </c>
      <c r="X415" s="1">
        <f t="shared" si="574"/>
        <v>1</v>
      </c>
      <c r="Y415" s="1">
        <f t="shared" si="575"/>
        <v>1</v>
      </c>
      <c r="Z415" s="1">
        <f t="shared" si="576"/>
        <v>1</v>
      </c>
      <c r="AA415" s="1">
        <f t="shared" si="591"/>
        <v>1</v>
      </c>
      <c r="AB415" s="1">
        <f t="shared" si="578"/>
        <v>0</v>
      </c>
      <c r="AC415" s="1">
        <f t="shared" si="579"/>
        <v>0</v>
      </c>
      <c r="AD415" s="1">
        <f>ROUNDDOWN(I415*(1+IF(F415=3,0.05+方案参数!$Y$14+AA415*0.12,IF(F415=4,方案参数!$BZ$14*方案参数!$AS$14,0)))+IF(AND(X415=1,F415&lt;&gt;3),方案参数!$CC$14,0)+AC415*方案参数!$CB$14,0)</f>
        <v>3298</v>
      </c>
      <c r="AE415" s="1">
        <f>IF(OR(F415=1,F415=4),配置与结果!$B$24,配置与结果!$B$25)*MAX(0,1-INDEX(配置与结果!$I$15:$I$18,F415))</f>
        <v>1000</v>
      </c>
      <c r="AF415" s="1">
        <f>0</f>
        <v>0</v>
      </c>
      <c r="AG415" s="1">
        <f>MAX(配置与结果!$B$32,1+INDEX(配置与结果!$F$15:$F$18,F415)+0+Q415*方案参数!$W$14+Y415*(方案参数!$AN$14+MIN(方案参数!$AO$14,P415*0.03))+AB415*方案参数!$BZ$14*0.025-配置与结果!$B$28)</f>
        <v>0.995</v>
      </c>
      <c r="AH415" s="1">
        <f>MAX(0,1+INDEX(配置与结果!$G$15:$G$18,F415)+W415*方案参数!$AG$14)</f>
        <v>1.3</v>
      </c>
      <c r="AI415" s="1">
        <f>IF(OR(INDEX(配置与结果!$K$15:$K$18,F415)=1,G415="RHI_BERRY"),1+配置与结果!$B$33+P415*方案参数!$AH$14,1)</f>
        <v>1</v>
      </c>
      <c r="AJ415" s="1">
        <f>MIN(1,MAX(0,J415+方案参数!$AB$14-配置与结果!$B$27))</f>
        <v>0.85499999999999998</v>
      </c>
      <c r="AK415" s="1">
        <f>MAX(1,K415+IF(F415=2,0.15+方案参数!$CH$14,0)+BN415*方案参数!$X$14+R415*方案参数!$AA$14+0-配置与结果!$B$26+Z415*(方案参数!$AP$14+MIN(方案参数!$AQ$14,P415*0.03)))</f>
        <v>1.6300000000000001</v>
      </c>
      <c r="AL415" s="7">
        <f>ROUNDDOWN(MAX(AD415*配置与结果!$B$31,AD415-AE415)*AF415*AG415*AH415*AI415,0)</f>
        <v>0</v>
      </c>
      <c r="AM415" s="7">
        <f>ROUNDDOWN(MAX(AD415*配置与结果!$B$31,AD415-AE415)*AF415*AG415*AH415*AI415*AK415,0)</f>
        <v>0</v>
      </c>
      <c r="AN415" s="7">
        <f t="shared" si="558"/>
        <v>0</v>
      </c>
      <c r="AO415" s="7">
        <f>0</f>
        <v>0</v>
      </c>
      <c r="AP415" s="7">
        <f>MAX(0,1+INDEX(配置与结果!$J$15:$J$18,F415)+IF(T415&gt;0,方案参数!$BY$14,0)-配置与结果!$B$30)</f>
        <v>1</v>
      </c>
      <c r="AQ415" s="7">
        <f t="shared" si="559"/>
        <v>0</v>
      </c>
      <c r="AR415" s="7">
        <f t="shared" si="560"/>
        <v>0</v>
      </c>
      <c r="AS415" s="7">
        <f t="shared" si="561"/>
        <v>0</v>
      </c>
      <c r="AT415" s="7">
        <f>0</f>
        <v>0</v>
      </c>
      <c r="AU415" s="7">
        <f t="shared" si="562"/>
        <v>0</v>
      </c>
      <c r="AV415" s="1">
        <f t="shared" si="563"/>
        <v>2</v>
      </c>
      <c r="AW415" s="1">
        <f t="shared" si="593"/>
        <v>10</v>
      </c>
      <c r="AX415" s="1">
        <f t="shared" si="564"/>
        <v>2</v>
      </c>
      <c r="AY415" s="1">
        <f t="shared" si="587"/>
        <v>6</v>
      </c>
      <c r="AZ415" s="1">
        <f t="shared" si="565"/>
        <v>5</v>
      </c>
      <c r="BA415" s="1">
        <f>MIN(6,Q415+1)</f>
        <v>4</v>
      </c>
      <c r="BB415" s="1">
        <f t="shared" si="580"/>
        <v>5</v>
      </c>
      <c r="BC415" s="1">
        <f t="shared" si="594"/>
        <v>2</v>
      </c>
      <c r="BD415" s="1">
        <f t="shared" si="588"/>
        <v>0</v>
      </c>
      <c r="BE415" s="1">
        <f t="shared" si="581"/>
        <v>0</v>
      </c>
      <c r="BF415" s="1">
        <f>MIN(4,V415+0)</f>
        <v>2</v>
      </c>
      <c r="BG415" s="1">
        <f>MAX(W415,1)</f>
        <v>1</v>
      </c>
      <c r="BH415" s="1">
        <f t="shared" si="582"/>
        <v>1</v>
      </c>
      <c r="BI415" s="1">
        <f>MAX(Y415,1)</f>
        <v>1</v>
      </c>
      <c r="BJ415" s="1">
        <f t="shared" si="592"/>
        <v>1</v>
      </c>
      <c r="BK415" s="1">
        <f t="shared" si="592"/>
        <v>1</v>
      </c>
      <c r="BL415" s="1">
        <f t="shared" si="554"/>
        <v>0</v>
      </c>
      <c r="BM415" s="1">
        <f t="shared" si="552"/>
        <v>0</v>
      </c>
      <c r="BN415" s="1">
        <f t="shared" si="583"/>
        <v>1</v>
      </c>
      <c r="BO415" s="1">
        <f t="shared" si="584"/>
        <v>1</v>
      </c>
    </row>
    <row r="416" spans="1:67" ht="30.95" customHeight="1">
      <c r="A416" s="1">
        <f>11</f>
        <v>11</v>
      </c>
      <c r="B416" s="1">
        <f>固定流程!A20</f>
        <v>15</v>
      </c>
      <c r="C416" s="1">
        <f>14</f>
        <v>14</v>
      </c>
      <c r="D416" s="1">
        <f>1</f>
        <v>1</v>
      </c>
      <c r="E416" s="1">
        <f>固定流程!C20</f>
        <v>3</v>
      </c>
      <c r="F416" s="1">
        <f>固定流程!G20</f>
        <v>3</v>
      </c>
      <c r="G416" s="1" t="str">
        <f>固定流程!H20</f>
        <v>RHI_ATTACK</v>
      </c>
      <c r="H416" s="1">
        <f>固定流程!F20</f>
        <v>1</v>
      </c>
      <c r="I416" s="1">
        <f>INDEX(配置与结果!$B$15:$B$18,F416)</f>
        <v>2597</v>
      </c>
      <c r="J416" s="1">
        <f>INDEX(配置与结果!$D$15:$D$18,F416)</f>
        <v>0.255</v>
      </c>
      <c r="K416" s="1">
        <f>INDEX(配置与结果!$E$15:$E$18,F416)</f>
        <v>1.55</v>
      </c>
      <c r="L416" s="1">
        <f t="shared" ref="L416:L437" si="595">AV415</f>
        <v>2</v>
      </c>
      <c r="M416" s="1">
        <f t="shared" ref="M416:M437" si="596">AW415</f>
        <v>10</v>
      </c>
      <c r="N416" s="1">
        <f t="shared" ref="N416:N437" si="597">AX415</f>
        <v>2</v>
      </c>
      <c r="O416" s="1">
        <f t="shared" si="589"/>
        <v>6</v>
      </c>
      <c r="P416" s="1">
        <f>MIN(方案参数!$AI$14,AZ415+0+方案参数!$AK$14)</f>
        <v>5</v>
      </c>
      <c r="Q416" s="1">
        <f t="shared" si="567"/>
        <v>4</v>
      </c>
      <c r="R416" s="1">
        <f t="shared" si="568"/>
        <v>5</v>
      </c>
      <c r="S416" s="1">
        <f t="shared" si="569"/>
        <v>2</v>
      </c>
      <c r="T416" s="1">
        <f t="shared" si="570"/>
        <v>0</v>
      </c>
      <c r="U416" s="1">
        <f t="shared" si="571"/>
        <v>0</v>
      </c>
      <c r="V416" s="1">
        <f t="shared" si="572"/>
        <v>2</v>
      </c>
      <c r="W416" s="1">
        <f t="shared" si="573"/>
        <v>1</v>
      </c>
      <c r="X416" s="1">
        <f t="shared" si="574"/>
        <v>1</v>
      </c>
      <c r="Y416" s="1">
        <f t="shared" si="575"/>
        <v>1</v>
      </c>
      <c r="Z416" s="1">
        <f t="shared" si="576"/>
        <v>1</v>
      </c>
      <c r="AA416" s="1">
        <f>MAX(BK415,1)</f>
        <v>1</v>
      </c>
      <c r="AB416" s="1">
        <f t="shared" si="578"/>
        <v>0</v>
      </c>
      <c r="AC416" s="1">
        <f t="shared" si="579"/>
        <v>0</v>
      </c>
      <c r="AD416" s="1">
        <f>ROUNDDOWN(I416*(1+IF(F416=3,0.05+方案参数!$Y$14+AA416*0.12,IF(F416=4,方案参数!$BZ$14*方案参数!$AS$14,0)))+IF(AND(X416=1,F416&lt;&gt;3),方案参数!$CC$14,0)+AC416*方案参数!$CB$14,0)</f>
        <v>3298</v>
      </c>
      <c r="AE416" s="1">
        <f>IF(OR(F416=1,F416=4),配置与结果!$B$24,配置与结果!$B$25)*MAX(0,1-INDEX(配置与结果!$I$15:$I$18,F416))</f>
        <v>1000</v>
      </c>
      <c r="AF416" s="1">
        <f>4</f>
        <v>4</v>
      </c>
      <c r="AG416" s="1">
        <f>MAX(配置与结果!$B$32,1+INDEX(配置与结果!$F$15:$F$18,F416)+0+Q416*方案参数!$W$14+Y416*(方案参数!$AN$14+MIN(方案参数!$AO$14,P416*0.03))+AB416*方案参数!$BZ$14*0.025-配置与结果!$B$28)</f>
        <v>1.0150000000000001</v>
      </c>
      <c r="AH416" s="1">
        <f>MAX(0,1+INDEX(配置与结果!$G$15:$G$18,F416)+W416*方案参数!$AG$14)</f>
        <v>1.3</v>
      </c>
      <c r="AI416" s="1">
        <f>IF(OR(INDEX(配置与结果!$K$15:$K$18,F416)=1,G416="RHI_BERRY"),1+配置与结果!$B$33+P416*方案参数!$AH$14,1)</f>
        <v>1</v>
      </c>
      <c r="AJ416" s="1">
        <f>MIN(1,MAX(0,J416+方案参数!$AB$14-配置与结果!$B$27))</f>
        <v>0.85499999999999998</v>
      </c>
      <c r="AK416" s="1">
        <f>MAX(1,K416+IF(F416=2,0.15+方案参数!$CH$14,0)+BN416*方案参数!$X$14+R416*方案参数!$AA$14+0-配置与结果!$B$26+Z416*(方案参数!$AP$14+MIN(方案参数!$AQ$14,P416*0.03)))</f>
        <v>1.6300000000000001</v>
      </c>
      <c r="AL416" s="7">
        <f>ROUNDDOWN(MAX(AD416*配置与结果!$B$31,AD416-AE416)*AF416*AG416*AH416*AI416,0)</f>
        <v>12128</v>
      </c>
      <c r="AM416" s="7">
        <f>ROUNDDOWN(MAX(AD416*配置与结果!$B$31,AD416-AE416)*AF416*AG416*AH416*AI416*AK416,0)</f>
        <v>19770</v>
      </c>
      <c r="AN416" s="7">
        <f t="shared" si="558"/>
        <v>18661.91</v>
      </c>
      <c r="AO416" s="7">
        <f>0</f>
        <v>0</v>
      </c>
      <c r="AP416" s="7">
        <f>MAX(0,1+INDEX(配置与结果!$J$15:$J$18,F416)+IF(T416&gt;0,方案参数!$BY$14,0)-配置与结果!$B$30)</f>
        <v>1</v>
      </c>
      <c r="AQ416" s="7">
        <f t="shared" si="559"/>
        <v>0</v>
      </c>
      <c r="AR416" s="7">
        <f t="shared" si="560"/>
        <v>0</v>
      </c>
      <c r="AS416" s="7">
        <f t="shared" si="561"/>
        <v>0</v>
      </c>
      <c r="AT416" s="7">
        <f>0</f>
        <v>0</v>
      </c>
      <c r="AU416" s="7">
        <f t="shared" si="562"/>
        <v>18661.91</v>
      </c>
      <c r="AV416" s="1">
        <f t="shared" si="563"/>
        <v>2</v>
      </c>
      <c r="AW416" s="1">
        <f t="shared" si="593"/>
        <v>10</v>
      </c>
      <c r="AX416" s="1">
        <f t="shared" si="564"/>
        <v>2</v>
      </c>
      <c r="AY416" s="1">
        <f t="shared" si="587"/>
        <v>6</v>
      </c>
      <c r="AZ416" s="1">
        <f t="shared" si="565"/>
        <v>5</v>
      </c>
      <c r="BA416" s="1">
        <f>MIN(6,Q416+1)</f>
        <v>5</v>
      </c>
      <c r="BB416" s="1">
        <f t="shared" si="580"/>
        <v>5</v>
      </c>
      <c r="BC416" s="1">
        <f t="shared" si="594"/>
        <v>2</v>
      </c>
      <c r="BD416" s="1">
        <f t="shared" si="588"/>
        <v>0</v>
      </c>
      <c r="BE416" s="1">
        <f t="shared" si="581"/>
        <v>0</v>
      </c>
      <c r="BF416" s="1">
        <f>MIN(4,V416+0)</f>
        <v>2</v>
      </c>
      <c r="BG416" s="1">
        <f t="shared" ref="BG416:BG438" si="598">MAX(W416,0)</f>
        <v>1</v>
      </c>
      <c r="BH416" s="1">
        <f t="shared" si="582"/>
        <v>1</v>
      </c>
      <c r="BI416" s="1">
        <f t="shared" ref="BI416:BI438" si="599">MAX(Y416,0)</f>
        <v>1</v>
      </c>
      <c r="BJ416" s="1">
        <f>MAX(Z416,1)</f>
        <v>1</v>
      </c>
      <c r="BK416" s="1">
        <f>MAX(AA416,1)</f>
        <v>1</v>
      </c>
      <c r="BL416" s="1">
        <f t="shared" si="554"/>
        <v>0</v>
      </c>
      <c r="BM416" s="1">
        <f t="shared" si="552"/>
        <v>0</v>
      </c>
      <c r="BN416" s="1">
        <f t="shared" si="583"/>
        <v>1</v>
      </c>
      <c r="BO416" s="1">
        <f t="shared" si="584"/>
        <v>1</v>
      </c>
    </row>
    <row r="417" spans="1:67" ht="30.95" customHeight="1">
      <c r="A417" s="1">
        <f>11</f>
        <v>11</v>
      </c>
      <c r="B417" s="1">
        <f>固定流程!A21</f>
        <v>16</v>
      </c>
      <c r="C417" s="1">
        <f>14</f>
        <v>14</v>
      </c>
      <c r="D417" s="1">
        <f>1</f>
        <v>1</v>
      </c>
      <c r="E417" s="1">
        <f>固定流程!C21</f>
        <v>3</v>
      </c>
      <c r="F417" s="1">
        <f>固定流程!G21</f>
        <v>2</v>
      </c>
      <c r="G417" s="1" t="str">
        <f>固定流程!H21</f>
        <v>37_ULT</v>
      </c>
      <c r="H417" s="1">
        <f>固定流程!F21</f>
        <v>1</v>
      </c>
      <c r="I417" s="1">
        <f>INDEX(配置与结果!$B$15:$B$18,F417)</f>
        <v>2306</v>
      </c>
      <c r="J417" s="1">
        <f>INDEX(配置与结果!$D$15:$D$18,F417)</f>
        <v>0.46</v>
      </c>
      <c r="K417" s="1">
        <f>INDEX(配置与结果!$E$15:$E$18,F417)</f>
        <v>1.9279999999999999</v>
      </c>
      <c r="L417" s="1">
        <f t="shared" si="595"/>
        <v>2</v>
      </c>
      <c r="M417" s="1">
        <f t="shared" si="596"/>
        <v>10</v>
      </c>
      <c r="N417" s="1">
        <f t="shared" si="597"/>
        <v>2</v>
      </c>
      <c r="O417" s="1">
        <f t="shared" si="589"/>
        <v>6</v>
      </c>
      <c r="P417" s="1">
        <f>MIN(方案参数!$AI$14,AZ416+0+0)</f>
        <v>5</v>
      </c>
      <c r="Q417" s="1">
        <f t="shared" si="567"/>
        <v>5</v>
      </c>
      <c r="R417" s="1">
        <f t="shared" si="568"/>
        <v>5</v>
      </c>
      <c r="S417" s="1">
        <f t="shared" si="569"/>
        <v>2</v>
      </c>
      <c r="T417" s="1">
        <f>BD416+方案参数!$BX$14</f>
        <v>3</v>
      </c>
      <c r="U417" s="1">
        <f t="shared" si="571"/>
        <v>0</v>
      </c>
      <c r="V417" s="1">
        <f t="shared" si="572"/>
        <v>2</v>
      </c>
      <c r="W417" s="1">
        <f t="shared" si="573"/>
        <v>1</v>
      </c>
      <c r="X417" s="1">
        <f t="shared" si="574"/>
        <v>1</v>
      </c>
      <c r="Y417" s="1">
        <f t="shared" si="575"/>
        <v>1</v>
      </c>
      <c r="Z417" s="1">
        <f t="shared" si="576"/>
        <v>1</v>
      </c>
      <c r="AA417" s="1">
        <f t="shared" ref="AA417:AA437" si="600">MAX(BK416,0)</f>
        <v>1</v>
      </c>
      <c r="AB417" s="1">
        <f t="shared" si="578"/>
        <v>0</v>
      </c>
      <c r="AC417" s="1">
        <f>MAX(BM416,1)</f>
        <v>1</v>
      </c>
      <c r="AD417" s="1">
        <f>ROUNDDOWN(I417*(1+IF(F417=3,0.05+方案参数!$Y$14+AA417*0.12,IF(F417=4,方案参数!$BZ$14*方案参数!$AS$14,0)))+IF(AND(X417=1,F417&lt;&gt;3),方案参数!$CC$14,0)+AC417*方案参数!$CB$14,0)</f>
        <v>3144</v>
      </c>
      <c r="AE417" s="1">
        <f>IF(OR(F417=1,F417=4),配置与结果!$B$24,配置与结果!$B$25)*MAX(0,1-INDEX(配置与结果!$I$15:$I$18,F417))</f>
        <v>1000</v>
      </c>
      <c r="AF417" s="1">
        <f>0</f>
        <v>0</v>
      </c>
      <c r="AG417" s="1">
        <f>MAX(配置与结果!$B$32,1+INDEX(配置与结果!$F$15:$F$18,F417)+0+Q417*方案参数!$W$14+Y417*(方案参数!$AN$14+MIN(方案参数!$AO$14,P417*0.03))+AB417*方案参数!$BZ$14*0.025-配置与结果!$B$28)</f>
        <v>1.0049999999999999</v>
      </c>
      <c r="AH417" s="1">
        <f>MAX(0,1+INDEX(配置与结果!$G$15:$G$18,F417)+W417*方案参数!$AG$14)</f>
        <v>1.3</v>
      </c>
      <c r="AI417" s="1">
        <f>IF(OR(INDEX(配置与结果!$K$15:$K$18,F417)=1,G417="RHI_BERRY"),1+配置与结果!$B$33+P417*方案参数!$AH$14,1)</f>
        <v>1</v>
      </c>
      <c r="AJ417" s="1">
        <f>MIN(1,MAX(0,J417+方案参数!$AB$14-配置与结果!$B$27))</f>
        <v>1</v>
      </c>
      <c r="AK417" s="1">
        <f>MAX(1,K417+IF(F417=2,0.15+方案参数!$CH$14,0)+BN417*方案参数!$X$14+R417*方案参数!$AA$14+0-配置与结果!$B$26+Z417*(方案参数!$AP$14+MIN(方案参数!$AQ$14,P417*0.03)))</f>
        <v>2.278</v>
      </c>
      <c r="AL417" s="7">
        <f>ROUNDDOWN(MAX(AD417*配置与结果!$B$31,AD417-AE417)*AF417*AG417*AH417*AI417,0)</f>
        <v>0</v>
      </c>
      <c r="AM417" s="7">
        <f>ROUNDDOWN(MAX(AD417*配置与结果!$B$31,AD417-AE417)*AF417*AG417*AH417*AI417*AK417,0)</f>
        <v>0</v>
      </c>
      <c r="AN417" s="7">
        <f t="shared" si="558"/>
        <v>0</v>
      </c>
      <c r="AO417" s="7">
        <f>0</f>
        <v>0</v>
      </c>
      <c r="AP417" s="7">
        <f>MAX(0,1+INDEX(配置与结果!$J$15:$J$18,F417)+IF(T417&gt;0,方案参数!$BY$14,0)-配置与结果!$B$30)</f>
        <v>2</v>
      </c>
      <c r="AQ417" s="7">
        <f t="shared" si="559"/>
        <v>0</v>
      </c>
      <c r="AR417" s="7">
        <f t="shared" si="560"/>
        <v>0</v>
      </c>
      <c r="AS417" s="7">
        <f t="shared" si="561"/>
        <v>0</v>
      </c>
      <c r="AT417" s="7">
        <f>0</f>
        <v>0</v>
      </c>
      <c r="AU417" s="7">
        <f t="shared" si="562"/>
        <v>0</v>
      </c>
      <c r="AV417" s="1">
        <f t="shared" si="563"/>
        <v>2</v>
      </c>
      <c r="AW417" s="1">
        <f t="shared" si="593"/>
        <v>10</v>
      </c>
      <c r="AX417" s="1">
        <f t="shared" si="564"/>
        <v>2</v>
      </c>
      <c r="AY417" s="1">
        <f t="shared" si="587"/>
        <v>6</v>
      </c>
      <c r="AZ417" s="1">
        <f t="shared" si="565"/>
        <v>5</v>
      </c>
      <c r="BA417" s="1">
        <f t="shared" ref="BA417:BA437" si="601">MIN(6,Q417+0)</f>
        <v>5</v>
      </c>
      <c r="BB417" s="1">
        <f>MIN(30,R417+5)</f>
        <v>10</v>
      </c>
      <c r="BC417" s="1">
        <f t="shared" si="594"/>
        <v>2</v>
      </c>
      <c r="BD417" s="1">
        <f t="shared" si="588"/>
        <v>3</v>
      </c>
      <c r="BE417" s="1">
        <f t="shared" si="581"/>
        <v>0</v>
      </c>
      <c r="BF417" s="1">
        <f>MIN(4,V417+0)</f>
        <v>2</v>
      </c>
      <c r="BG417" s="1">
        <f t="shared" si="598"/>
        <v>1</v>
      </c>
      <c r="BH417" s="1">
        <f t="shared" si="582"/>
        <v>1</v>
      </c>
      <c r="BI417" s="1">
        <f t="shared" si="599"/>
        <v>1</v>
      </c>
      <c r="BJ417" s="1">
        <f t="shared" ref="BJ417:BJ444" si="602">MAX(Z417,0)</f>
        <v>1</v>
      </c>
      <c r="BK417" s="1">
        <f t="shared" ref="BK417:BK444" si="603">MAX(AA417,0)</f>
        <v>1</v>
      </c>
      <c r="BL417" s="1">
        <f t="shared" si="554"/>
        <v>0</v>
      </c>
      <c r="BM417" s="1">
        <f>MAX(AC417,1)</f>
        <v>1</v>
      </c>
      <c r="BN417" s="1">
        <f t="shared" si="583"/>
        <v>1</v>
      </c>
      <c r="BO417" s="1">
        <f t="shared" si="584"/>
        <v>1</v>
      </c>
    </row>
    <row r="418" spans="1:67" ht="30.95" customHeight="1">
      <c r="A418" s="1">
        <f>11</f>
        <v>11</v>
      </c>
      <c r="B418" s="1">
        <f>固定流程!A22</f>
        <v>17</v>
      </c>
      <c r="C418" s="1">
        <f>14</f>
        <v>14</v>
      </c>
      <c r="D418" s="1">
        <f>1</f>
        <v>1</v>
      </c>
      <c r="E418" s="1">
        <f>固定流程!C22</f>
        <v>3</v>
      </c>
      <c r="F418" s="1">
        <f>固定流程!G22</f>
        <v>2</v>
      </c>
      <c r="G418" s="1" t="str">
        <f>固定流程!H22</f>
        <v>37_FOLLOW</v>
      </c>
      <c r="H418" s="1">
        <f>固定流程!F22</f>
        <v>1</v>
      </c>
      <c r="I418" s="1">
        <f>INDEX(配置与结果!$B$15:$B$18,F418)</f>
        <v>2306</v>
      </c>
      <c r="J418" s="1">
        <f>INDEX(配置与结果!$D$15:$D$18,F418)</f>
        <v>0.46</v>
      </c>
      <c r="K418" s="1">
        <f>INDEX(配置与结果!$E$15:$E$18,F418)</f>
        <v>1.9279999999999999</v>
      </c>
      <c r="L418" s="1">
        <f t="shared" si="595"/>
        <v>2</v>
      </c>
      <c r="M418" s="1">
        <f t="shared" si="596"/>
        <v>10</v>
      </c>
      <c r="N418" s="1">
        <f t="shared" si="597"/>
        <v>2</v>
      </c>
      <c r="O418" s="1">
        <f t="shared" si="589"/>
        <v>6</v>
      </c>
      <c r="P418" s="1">
        <f>MIN(方案参数!$AI$14,AZ417+0+0)</f>
        <v>5</v>
      </c>
      <c r="Q418" s="1">
        <f t="shared" si="567"/>
        <v>5</v>
      </c>
      <c r="R418" s="1">
        <f t="shared" si="568"/>
        <v>10</v>
      </c>
      <c r="S418" s="1">
        <f t="shared" si="569"/>
        <v>2</v>
      </c>
      <c r="T418" s="1">
        <f t="shared" ref="T418:T437" si="604">BD417+0</f>
        <v>3</v>
      </c>
      <c r="U418" s="1">
        <f t="shared" si="571"/>
        <v>0</v>
      </c>
      <c r="V418" s="1">
        <f t="shared" si="572"/>
        <v>2</v>
      </c>
      <c r="W418" s="1">
        <f t="shared" si="573"/>
        <v>1</v>
      </c>
      <c r="X418" s="1">
        <f t="shared" si="574"/>
        <v>1</v>
      </c>
      <c r="Y418" s="1">
        <f t="shared" si="575"/>
        <v>1</v>
      </c>
      <c r="Z418" s="1">
        <f t="shared" si="576"/>
        <v>1</v>
      </c>
      <c r="AA418" s="1">
        <f t="shared" si="600"/>
        <v>1</v>
      </c>
      <c r="AB418" s="1">
        <f t="shared" si="578"/>
        <v>0</v>
      </c>
      <c r="AC418" s="1">
        <f t="shared" ref="AC418:AC437" si="605">MAX(BM417,0)</f>
        <v>1</v>
      </c>
      <c r="AD418" s="1">
        <f>ROUNDDOWN(I418*(1+IF(F418=3,0.05+方案参数!$Y$14+AA418*0.12,IF(F418=4,方案参数!$BZ$14*方案参数!$AS$14,0)))+IF(AND(X418=1,F418&lt;&gt;3),方案参数!$CC$14,0)+AC418*方案参数!$CB$14,0)</f>
        <v>3144</v>
      </c>
      <c r="AE418" s="1">
        <f>IF(OR(F418=1,F418=4),配置与结果!$B$24,配置与结果!$B$25)*MAX(0,1-INDEX(配置与结果!$I$15:$I$18,F418))</f>
        <v>1000</v>
      </c>
      <c r="AF418" s="1">
        <f>方案参数!$BV$14</f>
        <v>4.5</v>
      </c>
      <c r="AG418" s="1">
        <f>MAX(配置与结果!$B$32,1+INDEX(配置与结果!$F$15:$F$18,F418)+0+Q418*方案参数!$W$14+Y418*(方案参数!$AN$14+MIN(方案参数!$AO$14,P418*0.03))+AB418*方案参数!$BZ$14*0.025-配置与结果!$B$28)</f>
        <v>1.0049999999999999</v>
      </c>
      <c r="AH418" s="1">
        <f>MAX(0,1+INDEX(配置与结果!$G$15:$G$18,F418)+W418*方案参数!$AG$14)</f>
        <v>1.3</v>
      </c>
      <c r="AI418" s="1">
        <f>IF(OR(INDEX(配置与结果!$K$15:$K$18,F418)=1,G418="RHI_BERRY"),1+配置与结果!$B$33+P418*方案参数!$AH$14,1)</f>
        <v>1</v>
      </c>
      <c r="AJ418" s="1">
        <f>MIN(1,MAX(0,J418+方案参数!$AB$14-配置与结果!$B$27))</f>
        <v>1</v>
      </c>
      <c r="AK418" s="1">
        <f>MAX(1,K418+IF(F418=2,0.15+方案参数!$CH$14,0)+BN418*方案参数!$X$14+R418*方案参数!$AA$14+0-配置与结果!$B$26+Z418*(方案参数!$AP$14+MIN(方案参数!$AQ$14,P418*0.03)))</f>
        <v>2.298</v>
      </c>
      <c r="AL418" s="7">
        <f>ROUNDDOWN(MAX(AD418*配置与结果!$B$31,AD418-AE418)*AF418*AG418*AH418*AI418,0)</f>
        <v>12605</v>
      </c>
      <c r="AM418" s="7">
        <f>ROUNDDOWN(MAX(AD418*配置与结果!$B$31,AD418-AE418)*AF418*AG418*AH418*AI418*AK418,0)</f>
        <v>28966</v>
      </c>
      <c r="AN418" s="7">
        <f t="shared" si="558"/>
        <v>28966</v>
      </c>
      <c r="AO418" s="7">
        <f>方案参数!$BW$14</f>
        <v>1.5</v>
      </c>
      <c r="AP418" s="7">
        <f>MAX(0,1+INDEX(配置与结果!$J$15:$J$18,F418)+IF(T418&gt;0,方案参数!$BY$14,0)-配置与结果!$B$30)</f>
        <v>2</v>
      </c>
      <c r="AQ418" s="7">
        <f t="shared" si="559"/>
        <v>9432</v>
      </c>
      <c r="AR418" s="7">
        <f t="shared" si="560"/>
        <v>21674</v>
      </c>
      <c r="AS418" s="7">
        <f t="shared" si="561"/>
        <v>21674</v>
      </c>
      <c r="AT418" s="7">
        <f>0</f>
        <v>0</v>
      </c>
      <c r="AU418" s="7">
        <f t="shared" si="562"/>
        <v>50640</v>
      </c>
      <c r="AV418" s="1">
        <f t="shared" si="563"/>
        <v>2</v>
      </c>
      <c r="AW418" s="1">
        <f t="shared" si="593"/>
        <v>10</v>
      </c>
      <c r="AX418" s="1">
        <f t="shared" si="564"/>
        <v>2</v>
      </c>
      <c r="AY418" s="1">
        <f t="shared" si="587"/>
        <v>6</v>
      </c>
      <c r="AZ418" s="1">
        <f t="shared" si="565"/>
        <v>5</v>
      </c>
      <c r="BA418" s="1">
        <f t="shared" si="601"/>
        <v>5</v>
      </c>
      <c r="BB418" s="1">
        <f>MIN(30,R418+0)</f>
        <v>10</v>
      </c>
      <c r="BC418" s="1">
        <f t="shared" si="594"/>
        <v>2</v>
      </c>
      <c r="BD418" s="1">
        <f t="shared" si="588"/>
        <v>2</v>
      </c>
      <c r="BE418" s="1">
        <f t="shared" si="581"/>
        <v>0</v>
      </c>
      <c r="BF418" s="1">
        <f>MIN(4,V418+1)</f>
        <v>3</v>
      </c>
      <c r="BG418" s="1">
        <f t="shared" si="598"/>
        <v>1</v>
      </c>
      <c r="BH418" s="1">
        <f t="shared" si="582"/>
        <v>1</v>
      </c>
      <c r="BI418" s="1">
        <f t="shared" si="599"/>
        <v>1</v>
      </c>
      <c r="BJ418" s="1">
        <f t="shared" si="602"/>
        <v>1</v>
      </c>
      <c r="BK418" s="1">
        <f t="shared" si="603"/>
        <v>1</v>
      </c>
      <c r="BL418" s="1">
        <f t="shared" si="554"/>
        <v>0</v>
      </c>
      <c r="BM418" s="1">
        <f t="shared" ref="BM418:BM452" si="606">MAX(AC418,0)</f>
        <v>1</v>
      </c>
      <c r="BN418" s="1">
        <f t="shared" si="583"/>
        <v>1</v>
      </c>
      <c r="BO418" s="1">
        <f t="shared" si="584"/>
        <v>1</v>
      </c>
    </row>
    <row r="419" spans="1:67" ht="30.95" customHeight="1">
      <c r="A419" s="1">
        <f>11</f>
        <v>11</v>
      </c>
      <c r="B419" s="1">
        <f>固定流程!A23</f>
        <v>18</v>
      </c>
      <c r="C419" s="1">
        <f>14</f>
        <v>14</v>
      </c>
      <c r="D419" s="1">
        <f>1</f>
        <v>1</v>
      </c>
      <c r="E419" s="1">
        <f>固定流程!C23</f>
        <v>3</v>
      </c>
      <c r="F419" s="1">
        <f>固定流程!G23</f>
        <v>4</v>
      </c>
      <c r="G419" s="1" t="str">
        <f>固定流程!H23</f>
        <v>J_HARD</v>
      </c>
      <c r="H419" s="1">
        <f>固定流程!F23</f>
        <v>1</v>
      </c>
      <c r="I419" s="1">
        <f>INDEX(配置与结果!$B$15:$B$18,F419)</f>
        <v>1906</v>
      </c>
      <c r="J419" s="1">
        <f>INDEX(配置与结果!$D$15:$D$18,F419)</f>
        <v>0.36699999999999999</v>
      </c>
      <c r="K419" s="1">
        <f>INDEX(配置与结果!$E$15:$E$18,F419)</f>
        <v>1.7170000000000001</v>
      </c>
      <c r="L419" s="1">
        <f t="shared" si="595"/>
        <v>2</v>
      </c>
      <c r="M419" s="1">
        <f t="shared" si="596"/>
        <v>10</v>
      </c>
      <c r="N419" s="1">
        <f t="shared" si="597"/>
        <v>2</v>
      </c>
      <c r="O419" s="1">
        <f t="shared" si="589"/>
        <v>6</v>
      </c>
      <c r="P419" s="1">
        <f>MIN(方案参数!$AI$14,AZ418+0+0)</f>
        <v>5</v>
      </c>
      <c r="Q419" s="1">
        <f t="shared" si="567"/>
        <v>5</v>
      </c>
      <c r="R419" s="1">
        <f t="shared" si="568"/>
        <v>10</v>
      </c>
      <c r="S419" s="1">
        <f t="shared" si="569"/>
        <v>2</v>
      </c>
      <c r="T419" s="1">
        <f t="shared" si="604"/>
        <v>2</v>
      </c>
      <c r="U419" s="1">
        <f t="shared" si="571"/>
        <v>0</v>
      </c>
      <c r="V419" s="1">
        <f t="shared" si="572"/>
        <v>3</v>
      </c>
      <c r="W419" s="1">
        <f t="shared" si="573"/>
        <v>1</v>
      </c>
      <c r="X419" s="1">
        <f t="shared" si="574"/>
        <v>1</v>
      </c>
      <c r="Y419" s="1">
        <f t="shared" si="575"/>
        <v>1</v>
      </c>
      <c r="Z419" s="1">
        <f t="shared" si="576"/>
        <v>1</v>
      </c>
      <c r="AA419" s="1">
        <f t="shared" si="600"/>
        <v>1</v>
      </c>
      <c r="AB419" s="1">
        <f t="shared" si="578"/>
        <v>0</v>
      </c>
      <c r="AC419" s="1">
        <f t="shared" si="605"/>
        <v>1</v>
      </c>
      <c r="AD419" s="1">
        <f>ROUNDDOWN(I419*(1+IF(F419=3,0.05+方案参数!$Y$14+AA419*0.12,IF(F419=4,方案参数!$BZ$14*方案参数!$AS$14,0)))+IF(AND(X419=1,F419&lt;&gt;3),方案参数!$CC$14,0)+AC419*方案参数!$CB$14,0)</f>
        <v>3411</v>
      </c>
      <c r="AE419" s="1">
        <f>IF(OR(F419=1,F419=4),配置与结果!$B$24,配置与结果!$B$25)*MAX(0,1-INDEX(配置与结果!$I$15:$I$18,F419))</f>
        <v>1200</v>
      </c>
      <c r="AF419" s="1">
        <f>3.6*IF(H419=1,1,IF(H419=2,1.5,2.5))</f>
        <v>3.6</v>
      </c>
      <c r="AG419" s="1">
        <f>MAX(配置与结果!$B$32,1+INDEX(配置与结果!$F$15:$F$18,F419)+0.08+Q419*方案参数!$W$14+Y419*(方案参数!$AN$14+MIN(方案参数!$AO$14,P419*0.03))+AB419*方案参数!$BZ$14*0.025+0.1+IF(方案参数!$BZ$14&gt;=30,方案参数!$BZ$14*0.01,0)-配置与结果!$B$28)</f>
        <v>1.5550000000000002</v>
      </c>
      <c r="AH419" s="1">
        <f>MAX(0,1+INDEX(配置与结果!$G$15:$G$18,F419)+W419*方案参数!$AG$14)</f>
        <v>1.3</v>
      </c>
      <c r="AI419" s="1">
        <f>IF(OR(INDEX(配置与结果!$K$15:$K$18,F419)=1,G419="RHI_BERRY"),1+配置与结果!$B$33+P419*方案参数!$AH$14,1)</f>
        <v>1</v>
      </c>
      <c r="AJ419" s="1">
        <f>MIN(1,MAX(0,J419+方案参数!$AB$14-配置与结果!$B$27))</f>
        <v>0.96699999999999997</v>
      </c>
      <c r="AK419" s="1">
        <f>MAX(1,K419+IF(F419=2,0.15+方案参数!$CH$14,0)+BN419*方案参数!$X$14+R419*方案参数!$AA$14+0-配置与结果!$B$26+Z419*(方案参数!$AP$14+MIN(方案参数!$AQ$14,P419*0.03)))</f>
        <v>1.8169999999999999</v>
      </c>
      <c r="AL419" s="7">
        <f>ROUNDDOWN(MAX(AD419*配置与结果!$B$31,AD419-AE419)*AF419*AG419*AH419*AI419,0)</f>
        <v>16090</v>
      </c>
      <c r="AM419" s="7">
        <f>ROUNDDOWN(MAX(AD419*配置与结果!$B$31,AD419-AE419)*AF419*AG419*AH419*AI419*AK419,0)</f>
        <v>29236</v>
      </c>
      <c r="AN419" s="7">
        <f t="shared" si="558"/>
        <v>28802.182000000001</v>
      </c>
      <c r="AO419" s="7">
        <f>0</f>
        <v>0</v>
      </c>
      <c r="AP419" s="7">
        <f>MAX(0,1+INDEX(配置与结果!$J$15:$J$18,F419)+IF(T419&gt;0,方案参数!$BY$14,0)-配置与结果!$B$30)</f>
        <v>2</v>
      </c>
      <c r="AQ419" s="7">
        <f t="shared" si="559"/>
        <v>0</v>
      </c>
      <c r="AR419" s="7">
        <f t="shared" si="560"/>
        <v>0</v>
      </c>
      <c r="AS419" s="7">
        <f t="shared" si="561"/>
        <v>0</v>
      </c>
      <c r="AT419" s="7">
        <f>0</f>
        <v>0</v>
      </c>
      <c r="AU419" s="7">
        <f t="shared" si="562"/>
        <v>28802.182000000001</v>
      </c>
      <c r="AV419" s="1">
        <f t="shared" si="563"/>
        <v>2</v>
      </c>
      <c r="AW419" s="1">
        <f t="shared" si="593"/>
        <v>10</v>
      </c>
      <c r="AX419" s="1">
        <f t="shared" si="564"/>
        <v>2</v>
      </c>
      <c r="AY419" s="1">
        <f t="shared" si="587"/>
        <v>6</v>
      </c>
      <c r="AZ419" s="1">
        <f t="shared" si="565"/>
        <v>5</v>
      </c>
      <c r="BA419" s="1">
        <f t="shared" si="601"/>
        <v>5</v>
      </c>
      <c r="BB419" s="1">
        <f>MIN(30,R419+0)</f>
        <v>10</v>
      </c>
      <c r="BC419" s="1">
        <f>MIN(3,S419+1)</f>
        <v>3</v>
      </c>
      <c r="BD419" s="1">
        <f t="shared" si="588"/>
        <v>2</v>
      </c>
      <c r="BE419" s="1">
        <f t="shared" si="581"/>
        <v>0</v>
      </c>
      <c r="BF419" s="1">
        <f>MIN(4,V419+0)</f>
        <v>3</v>
      </c>
      <c r="BG419" s="1">
        <f t="shared" si="598"/>
        <v>1</v>
      </c>
      <c r="BH419" s="1">
        <f t="shared" si="582"/>
        <v>1</v>
      </c>
      <c r="BI419" s="1">
        <f t="shared" si="599"/>
        <v>1</v>
      </c>
      <c r="BJ419" s="1">
        <f t="shared" si="602"/>
        <v>1</v>
      </c>
      <c r="BK419" s="1">
        <f t="shared" si="603"/>
        <v>1</v>
      </c>
      <c r="BL419" s="1">
        <f t="shared" si="554"/>
        <v>0</v>
      </c>
      <c r="BM419" s="1">
        <f t="shared" si="606"/>
        <v>1</v>
      </c>
      <c r="BN419" s="1">
        <f t="shared" si="583"/>
        <v>1</v>
      </c>
      <c r="BO419" s="1">
        <f t="shared" si="584"/>
        <v>1</v>
      </c>
    </row>
    <row r="420" spans="1:67" ht="30.95" customHeight="1">
      <c r="A420" s="1">
        <f>11</f>
        <v>11</v>
      </c>
      <c r="B420" s="1">
        <f>固定流程!A24</f>
        <v>19</v>
      </c>
      <c r="C420" s="1">
        <f>14</f>
        <v>14</v>
      </c>
      <c r="D420" s="1">
        <f>1</f>
        <v>1</v>
      </c>
      <c r="E420" s="1">
        <f>固定流程!C24</f>
        <v>3</v>
      </c>
      <c r="F420" s="1">
        <f>固定流程!G24</f>
        <v>4</v>
      </c>
      <c r="G420" s="1" t="str">
        <f>固定流程!H24</f>
        <v>J_ULT</v>
      </c>
      <c r="H420" s="1">
        <f>固定流程!F24</f>
        <v>1</v>
      </c>
      <c r="I420" s="1">
        <f>INDEX(配置与结果!$B$15:$B$18,F420)</f>
        <v>1906</v>
      </c>
      <c r="J420" s="1">
        <f>INDEX(配置与结果!$D$15:$D$18,F420)</f>
        <v>0.36699999999999999</v>
      </c>
      <c r="K420" s="1">
        <f>INDEX(配置与结果!$E$15:$E$18,F420)</f>
        <v>1.7170000000000001</v>
      </c>
      <c r="L420" s="1">
        <f t="shared" si="595"/>
        <v>2</v>
      </c>
      <c r="M420" s="1">
        <f t="shared" si="596"/>
        <v>10</v>
      </c>
      <c r="N420" s="1">
        <f t="shared" si="597"/>
        <v>2</v>
      </c>
      <c r="O420" s="1">
        <f t="shared" si="589"/>
        <v>6</v>
      </c>
      <c r="P420" s="1">
        <f>MIN(方案参数!$AI$14,AZ419+0+0)</f>
        <v>5</v>
      </c>
      <c r="Q420" s="1">
        <f t="shared" si="567"/>
        <v>5</v>
      </c>
      <c r="R420" s="1">
        <f t="shared" si="568"/>
        <v>10</v>
      </c>
      <c r="S420" s="1">
        <f t="shared" si="569"/>
        <v>3</v>
      </c>
      <c r="T420" s="1">
        <f t="shared" si="604"/>
        <v>2</v>
      </c>
      <c r="U420" s="1">
        <f t="shared" si="571"/>
        <v>0</v>
      </c>
      <c r="V420" s="1">
        <f t="shared" si="572"/>
        <v>3</v>
      </c>
      <c r="W420" s="1">
        <f t="shared" si="573"/>
        <v>1</v>
      </c>
      <c r="X420" s="1">
        <f t="shared" si="574"/>
        <v>1</v>
      </c>
      <c r="Y420" s="1">
        <f t="shared" si="575"/>
        <v>1</v>
      </c>
      <c r="Z420" s="1">
        <f t="shared" si="576"/>
        <v>1</v>
      </c>
      <c r="AA420" s="1">
        <f t="shared" si="600"/>
        <v>1</v>
      </c>
      <c r="AB420" s="1">
        <f t="shared" si="578"/>
        <v>0</v>
      </c>
      <c r="AC420" s="1">
        <f t="shared" si="605"/>
        <v>1</v>
      </c>
      <c r="AD420" s="1">
        <f>ROUNDDOWN(I420*(1+IF(F420=3,0.05+方案参数!$Y$14+AA420*0.12,IF(F420=4,方案参数!$BZ$14*方案参数!$AS$14,0)))+IF(AND(X420=1,F420&lt;&gt;3),方案参数!$CC$14,0)+AC420*方案参数!$CB$14,0)</f>
        <v>3411</v>
      </c>
      <c r="AE420" s="1">
        <f>IF(OR(F420=1,F420=4),配置与结果!$B$24,配置与结果!$B$25)*MAX(0,1-INDEX(配置与结果!$I$15:$I$18,F420))</f>
        <v>1200</v>
      </c>
      <c r="AF420" s="1">
        <f>方案参数!$AT$14+MAX(0,配置与结果!$H$26+方案参数!$BZ$14-30)*方案参数!$AU$14*配置与结果!$H$27</f>
        <v>42</v>
      </c>
      <c r="AG420" s="1">
        <f>MAX(配置与结果!$B$32,1+INDEX(配置与结果!$F$15:$F$18,F420)+0.08+Q420*方案参数!$W$14+Y420*(方案参数!$AN$14+MIN(方案参数!$AO$14,P420*0.03))+AB420*方案参数!$BZ$14*0.025-配置与结果!$B$28)</f>
        <v>1.105</v>
      </c>
      <c r="AH420" s="1">
        <f>MAX(0,1+INDEX(配置与结果!$H$15:$H$18,F420)+W420*方案参数!$AG$14+S420*方案参数!$Z$14)</f>
        <v>1.42</v>
      </c>
      <c r="AI420" s="1">
        <f>IF(OR(INDEX(配置与结果!$K$15:$K$18,F420)=1,G420="RHI_BERRY"),1+配置与结果!$B$33+P420*方案参数!$AH$14,1)</f>
        <v>1</v>
      </c>
      <c r="AJ420" s="1">
        <f>MIN(1,MAX(0,J420+方案参数!$AB$14-配置与结果!$B$27))</f>
        <v>0.96699999999999997</v>
      </c>
      <c r="AK420" s="1">
        <f>MAX(1,K420+IF(F420=2,0.15+方案参数!$CH$14,0)+BN420*方案参数!$X$14+R420*方案参数!$AA$14+0-配置与结果!$B$26+Z420*(方案参数!$AP$14+MIN(方案参数!$AQ$14,P420*0.03)))</f>
        <v>1.8169999999999999</v>
      </c>
      <c r="AL420" s="7">
        <f>ROUNDDOWN(MAX(AD420*配置与结果!$B$31,AD420-AE420)*AF420*AG420*AH420*AI420,0)</f>
        <v>145709</v>
      </c>
      <c r="AM420" s="7">
        <f>ROUNDDOWN(MAX(AD420*配置与结果!$B$31,AD420-AE420)*AF420*AG420*AH420*AI420*AK420,0)</f>
        <v>264754</v>
      </c>
      <c r="AN420" s="7">
        <f t="shared" si="558"/>
        <v>260825.51499999998</v>
      </c>
      <c r="AO420" s="7">
        <f>0</f>
        <v>0</v>
      </c>
      <c r="AP420" s="7">
        <f>MAX(0,1+INDEX(配置与结果!$J$15:$J$18,F420)+IF(T420&gt;0,方案参数!$BY$14,0)-配置与结果!$B$30)</f>
        <v>2</v>
      </c>
      <c r="AQ420" s="7">
        <f t="shared" si="559"/>
        <v>0</v>
      </c>
      <c r="AR420" s="7">
        <f t="shared" si="560"/>
        <v>0</v>
      </c>
      <c r="AS420" s="7">
        <f t="shared" si="561"/>
        <v>0</v>
      </c>
      <c r="AT420" s="7">
        <f>0</f>
        <v>0</v>
      </c>
      <c r="AU420" s="7">
        <f t="shared" si="562"/>
        <v>260825.51499999998</v>
      </c>
      <c r="AV420" s="1">
        <f t="shared" si="563"/>
        <v>2</v>
      </c>
      <c r="AW420" s="1">
        <f t="shared" si="593"/>
        <v>10</v>
      </c>
      <c r="AX420" s="1">
        <f t="shared" si="564"/>
        <v>2</v>
      </c>
      <c r="AY420" s="1">
        <f t="shared" si="587"/>
        <v>6</v>
      </c>
      <c r="AZ420" s="1">
        <f t="shared" si="565"/>
        <v>5</v>
      </c>
      <c r="BA420" s="1">
        <f t="shared" si="601"/>
        <v>5</v>
      </c>
      <c r="BB420" s="1">
        <f>MIN(30,R420+5)</f>
        <v>15</v>
      </c>
      <c r="BC420" s="1">
        <f t="shared" ref="BC420:BC443" si="607">MIN(3,S420+0)</f>
        <v>3</v>
      </c>
      <c r="BD420" s="1">
        <f t="shared" si="588"/>
        <v>2</v>
      </c>
      <c r="BE420" s="1">
        <f t="shared" si="581"/>
        <v>0</v>
      </c>
      <c r="BF420" s="1">
        <f>MIN(4,V420+0)</f>
        <v>3</v>
      </c>
      <c r="BG420" s="1">
        <f t="shared" si="598"/>
        <v>1</v>
      </c>
      <c r="BH420" s="1">
        <f t="shared" si="582"/>
        <v>1</v>
      </c>
      <c r="BI420" s="1">
        <f t="shared" si="599"/>
        <v>1</v>
      </c>
      <c r="BJ420" s="1">
        <f t="shared" si="602"/>
        <v>1</v>
      </c>
      <c r="BK420" s="1">
        <f t="shared" si="603"/>
        <v>1</v>
      </c>
      <c r="BL420" s="1">
        <f>MAX(AB420,1)</f>
        <v>1</v>
      </c>
      <c r="BM420" s="1">
        <f t="shared" si="606"/>
        <v>1</v>
      </c>
      <c r="BN420" s="1">
        <f t="shared" si="583"/>
        <v>1</v>
      </c>
      <c r="BO420" s="1">
        <f t="shared" si="584"/>
        <v>1</v>
      </c>
    </row>
    <row r="421" spans="1:67" ht="30.95" customHeight="1">
      <c r="A421" s="1">
        <f>11</f>
        <v>11</v>
      </c>
      <c r="B421" s="1">
        <f>固定流程!A25</f>
        <v>20</v>
      </c>
      <c r="C421" s="1">
        <f>14</f>
        <v>14</v>
      </c>
      <c r="D421" s="1">
        <f>1</f>
        <v>1</v>
      </c>
      <c r="E421" s="1">
        <f>固定流程!C25</f>
        <v>3</v>
      </c>
      <c r="F421" s="1">
        <f>固定流程!G25</f>
        <v>1</v>
      </c>
      <c r="G421" s="1" t="str">
        <f>固定流程!H25</f>
        <v>LILYA_ULT</v>
      </c>
      <c r="H421" s="1">
        <f>固定流程!F25</f>
        <v>1</v>
      </c>
      <c r="I421" s="1">
        <f>INDEX(配置与结果!$B$15:$B$18,F421)</f>
        <v>2296</v>
      </c>
      <c r="J421" s="1">
        <f>INDEX(配置与结果!$D$15:$D$18,F421)</f>
        <v>0.7</v>
      </c>
      <c r="K421" s="1">
        <f>INDEX(配置与结果!$E$15:$E$18,F421)</f>
        <v>2.0249999999999999</v>
      </c>
      <c r="L421" s="1">
        <f t="shared" si="595"/>
        <v>2</v>
      </c>
      <c r="M421" s="1">
        <f t="shared" si="596"/>
        <v>10</v>
      </c>
      <c r="N421" s="1">
        <f t="shared" si="597"/>
        <v>2</v>
      </c>
      <c r="O421" s="1">
        <f t="shared" si="589"/>
        <v>6</v>
      </c>
      <c r="P421" s="1">
        <f>MIN(方案参数!$AI$14,AZ420+0+0)</f>
        <v>5</v>
      </c>
      <c r="Q421" s="1">
        <f t="shared" si="567"/>
        <v>5</v>
      </c>
      <c r="R421" s="1">
        <f t="shared" si="568"/>
        <v>15</v>
      </c>
      <c r="S421" s="1">
        <f t="shared" si="569"/>
        <v>3</v>
      </c>
      <c r="T421" s="1">
        <f t="shared" si="604"/>
        <v>2</v>
      </c>
      <c r="U421" s="1">
        <f t="shared" si="571"/>
        <v>0</v>
      </c>
      <c r="V421" s="1">
        <f t="shared" si="572"/>
        <v>3</v>
      </c>
      <c r="W421" s="1">
        <f t="shared" si="573"/>
        <v>1</v>
      </c>
      <c r="X421" s="1">
        <f t="shared" si="574"/>
        <v>1</v>
      </c>
      <c r="Y421" s="1">
        <f t="shared" si="575"/>
        <v>1</v>
      </c>
      <c r="Z421" s="1">
        <f t="shared" si="576"/>
        <v>1</v>
      </c>
      <c r="AA421" s="1">
        <f t="shared" si="600"/>
        <v>1</v>
      </c>
      <c r="AB421" s="1">
        <f t="shared" si="578"/>
        <v>1</v>
      </c>
      <c r="AC421" s="1">
        <f t="shared" si="605"/>
        <v>1</v>
      </c>
      <c r="AD421" s="1">
        <f>ROUNDDOWN(I421*(1+IF(F421=3,0.05+方案参数!$Y$14+AA421*0.12,IF(F421=4,方案参数!$BZ$14*方案参数!$AS$14,0)))+IF(AND(X421=1,F421&lt;&gt;3),方案参数!$CC$14,0)+AC421*方案参数!$CB$14,0)</f>
        <v>3134</v>
      </c>
      <c r="AE421" s="1">
        <f>IF(OR(F421=1,F421=4),配置与结果!$B$24,配置与结果!$B$25)*MAX(0,1-INDEX(配置与结果!$I$15:$I$18,F421)+IF(O421&gt;=6,方案参数!$BK$14,0))</f>
        <v>1440</v>
      </c>
      <c r="AF421" s="1">
        <f>方案参数!$BG$14+IF(O421&gt;=6,方案参数!$BH$14,0)</f>
        <v>36</v>
      </c>
      <c r="AG421" s="1">
        <f>MAX(配置与结果!$B$32,1+INDEX(配置与结果!$F$15:$F$18,F421)+0.08+方案参数!$CD$14+Q421*方案参数!$W$14+Y421*(方案参数!$AN$14+MIN(方案参数!$AO$14,P421*0.03))+AB421*方案参数!$BZ$14*0.025-配置与结果!$B$28)</f>
        <v>2.2150000000000003</v>
      </c>
      <c r="AH421" s="1">
        <f>MAX(0,1+INDEX(配置与结果!$H$15:$H$18,F421)+W421*方案参数!$AG$14+O421*方案参数!$BF$14+IF(O421&gt;=6,方案参数!$BI$14,0))</f>
        <v>2.4500000000000002</v>
      </c>
      <c r="AI421" s="1">
        <f>IF(OR(INDEX(配置与结果!$K$15:$K$18,F421)=1,G421="RHI_BERRY"),1+配置与结果!$B$33+P421*方案参数!$AH$14,1)</f>
        <v>1</v>
      </c>
      <c r="AJ421" s="1">
        <f>MIN(1,MAX(0,J421+方案参数!$AB$14-配置与结果!$B$27))</f>
        <v>1</v>
      </c>
      <c r="AK421" s="1">
        <f>MAX(1,K421+IF(F421=2,0.15+方案参数!$CH$14,0)+BN421*方案参数!$X$14+R421*方案参数!$AA$14+IF(O421&gt;=6,方案参数!$BJ$14,0)-配置与结果!$B$26+Z421*(方案参数!$AP$14+MIN(方案参数!$AQ$14,P421*0.03)))</f>
        <v>3.145</v>
      </c>
      <c r="AL421" s="7">
        <f>ROUNDDOWN(MAX(AD421*配置与结果!$B$31,AD421-AE421)*AF421*AG421*AH421*AI421,0)</f>
        <v>330944</v>
      </c>
      <c r="AM421" s="7">
        <f>ROUNDDOWN(MAX(AD421*配置与结果!$B$31,AD421-AE421)*AF421*AG421*AH421*AI421*AK421,0)</f>
        <v>1040821</v>
      </c>
      <c r="AN421" s="7">
        <f t="shared" si="558"/>
        <v>1040821</v>
      </c>
      <c r="AO421" s="7">
        <f>0</f>
        <v>0</v>
      </c>
      <c r="AP421" s="7">
        <f>MAX(0,1+INDEX(配置与结果!$J$15:$J$18,F421)+IF(T421&gt;0,方案参数!$BY$14,0)-配置与结果!$B$30)</f>
        <v>2</v>
      </c>
      <c r="AQ421" s="7">
        <f t="shared" si="559"/>
        <v>0</v>
      </c>
      <c r="AR421" s="7">
        <f t="shared" si="560"/>
        <v>0</v>
      </c>
      <c r="AS421" s="7">
        <f t="shared" si="561"/>
        <v>0</v>
      </c>
      <c r="AT421" s="7">
        <f>0</f>
        <v>0</v>
      </c>
      <c r="AU421" s="7">
        <f t="shared" si="562"/>
        <v>1040821</v>
      </c>
      <c r="AV421" s="1">
        <f t="shared" si="563"/>
        <v>2</v>
      </c>
      <c r="AW421" s="1">
        <f t="shared" si="593"/>
        <v>10</v>
      </c>
      <c r="AX421" s="1">
        <f t="shared" si="564"/>
        <v>2</v>
      </c>
      <c r="AY421" s="1">
        <f>MIN(20,MAX(0,O421+0+0-IF(O421&gt;=6,6,0)))</f>
        <v>0</v>
      </c>
      <c r="AZ421" s="1">
        <f t="shared" si="565"/>
        <v>5</v>
      </c>
      <c r="BA421" s="1">
        <f t="shared" si="601"/>
        <v>5</v>
      </c>
      <c r="BB421" s="1">
        <f>MIN(30,R421+5)</f>
        <v>20</v>
      </c>
      <c r="BC421" s="1">
        <f t="shared" si="607"/>
        <v>3</v>
      </c>
      <c r="BD421" s="1">
        <f t="shared" si="588"/>
        <v>2</v>
      </c>
      <c r="BE421" s="1">
        <f t="shared" si="581"/>
        <v>0</v>
      </c>
      <c r="BF421" s="1">
        <f>MIN(4,V421+0)</f>
        <v>3</v>
      </c>
      <c r="BG421" s="1">
        <f t="shared" si="598"/>
        <v>1</v>
      </c>
      <c r="BH421" s="1">
        <f t="shared" si="582"/>
        <v>1</v>
      </c>
      <c r="BI421" s="1">
        <f t="shared" si="599"/>
        <v>1</v>
      </c>
      <c r="BJ421" s="1">
        <f t="shared" si="602"/>
        <v>1</v>
      </c>
      <c r="BK421" s="1">
        <f t="shared" si="603"/>
        <v>1</v>
      </c>
      <c r="BL421" s="1">
        <f t="shared" ref="BL421:BL455" si="608">MAX(AB421,0)</f>
        <v>1</v>
      </c>
      <c r="BM421" s="1">
        <f t="shared" si="606"/>
        <v>1</v>
      </c>
      <c r="BN421" s="1">
        <f t="shared" si="583"/>
        <v>1</v>
      </c>
      <c r="BO421" s="1">
        <f t="shared" si="584"/>
        <v>1</v>
      </c>
    </row>
    <row r="422" spans="1:67" ht="30.95" customHeight="1">
      <c r="A422" s="1">
        <f>11</f>
        <v>11</v>
      </c>
      <c r="B422" s="1">
        <f>固定流程!A26</f>
        <v>21</v>
      </c>
      <c r="C422" s="1">
        <f>14</f>
        <v>14</v>
      </c>
      <c r="D422" s="1">
        <f>1</f>
        <v>1</v>
      </c>
      <c r="E422" s="1">
        <f>固定流程!C26</f>
        <v>3</v>
      </c>
      <c r="F422" s="1">
        <f>固定流程!G26</f>
        <v>1</v>
      </c>
      <c r="G422" s="1" t="str">
        <f>固定流程!H26</f>
        <v>LILYA_DIVE</v>
      </c>
      <c r="H422" s="1">
        <f>固定流程!F26</f>
        <v>3</v>
      </c>
      <c r="I422" s="1">
        <f>INDEX(配置与结果!$B$15:$B$18,F422)</f>
        <v>2296</v>
      </c>
      <c r="J422" s="1">
        <f>INDEX(配置与结果!$D$15:$D$18,F422)</f>
        <v>0.7</v>
      </c>
      <c r="K422" s="1">
        <f>INDEX(配置与结果!$E$15:$E$18,F422)</f>
        <v>2.0249999999999999</v>
      </c>
      <c r="L422" s="1">
        <f t="shared" si="595"/>
        <v>2</v>
      </c>
      <c r="M422" s="1">
        <f t="shared" si="596"/>
        <v>10</v>
      </c>
      <c r="N422" s="1">
        <f t="shared" si="597"/>
        <v>2</v>
      </c>
      <c r="O422" s="1">
        <f t="shared" si="589"/>
        <v>0</v>
      </c>
      <c r="P422" s="1">
        <f>MIN(方案参数!$AI$14,AZ421+0+0)</f>
        <v>5</v>
      </c>
      <c r="Q422" s="1">
        <f t="shared" si="567"/>
        <v>5</v>
      </c>
      <c r="R422" s="1">
        <f t="shared" si="568"/>
        <v>20</v>
      </c>
      <c r="S422" s="1">
        <f t="shared" si="569"/>
        <v>3</v>
      </c>
      <c r="T422" s="1">
        <f t="shared" si="604"/>
        <v>2</v>
      </c>
      <c r="U422" s="1">
        <f t="shared" si="571"/>
        <v>0</v>
      </c>
      <c r="V422" s="1">
        <f t="shared" si="572"/>
        <v>3</v>
      </c>
      <c r="W422" s="1">
        <f t="shared" si="573"/>
        <v>1</v>
      </c>
      <c r="X422" s="1">
        <f t="shared" si="574"/>
        <v>1</v>
      </c>
      <c r="Y422" s="1">
        <f t="shared" si="575"/>
        <v>1</v>
      </c>
      <c r="Z422" s="1">
        <f t="shared" si="576"/>
        <v>1</v>
      </c>
      <c r="AA422" s="1">
        <f t="shared" si="600"/>
        <v>1</v>
      </c>
      <c r="AB422" s="1">
        <f t="shared" si="578"/>
        <v>1</v>
      </c>
      <c r="AC422" s="1">
        <f t="shared" si="605"/>
        <v>1</v>
      </c>
      <c r="AD422" s="1">
        <f>ROUNDDOWN(I422*(1+IF(F422=3,0.05+方案参数!$Y$14+AA422*0.12,IF(F422=4,方案参数!$BZ$14*方案参数!$AS$14,0)))+IF(AND(X422=1,F422&lt;&gt;3),方案参数!$CC$14,0)+AC422*方案参数!$CB$14,0)</f>
        <v>3134</v>
      </c>
      <c r="AE422" s="1">
        <f>IF(OR(F422=1,F422=4),配置与结果!$B$24,配置与结果!$B$25)*MAX(0,1-INDEX(配置与结果!$I$15:$I$18,F422))</f>
        <v>1200</v>
      </c>
      <c r="AF422" s="1">
        <f>(IF(L422=1,方案参数!$AW$14,IF(L422=2,方案参数!$AX$14,0))+方案参数!$AV$14)*H422</f>
        <v>30</v>
      </c>
      <c r="AG422" s="1">
        <f>MAX(配置与结果!$B$32,1+INDEX(配置与结果!$F$15:$F$18,F422)+0.08+方案参数!$CD$14+Q422*方案参数!$W$14+Y422*(方案参数!$AN$14+MIN(方案参数!$AO$14,P422*0.03))+AB422*方案参数!$BZ$14*0.025+IF(L422=1,方案参数!$AY$14+(H422-1)*0.1,IF(L422=2,方案参数!$AZ$14+(H422-1)*0.2,0))-配置与结果!$B$28)</f>
        <v>2.8150000000000004</v>
      </c>
      <c r="AH422" s="1">
        <f>MAX(0,1+INDEX(配置与结果!$G$15:$G$18,F422)+W422*方案参数!$AG$14+IF(L422=1,方案参数!$BA$14,IF(L422=2,方案参数!$BB$14,0))+M422*方案参数!$BC$14)</f>
        <v>3.1</v>
      </c>
      <c r="AI422" s="1">
        <f>IF(OR(INDEX(配置与结果!$K$15:$K$18,F422)=1,G422="RHI_BERRY"),1+配置与结果!$B$33+P422*方案参数!$AH$14,1)</f>
        <v>1</v>
      </c>
      <c r="AJ422" s="1">
        <f>MIN(1,MAX(0,J422+方案参数!$AB$14-配置与结果!$B$27))</f>
        <v>1</v>
      </c>
      <c r="AK422" s="1">
        <f>MAX(1,K422+IF(F422=2,0.15+方案参数!$CH$14,0)+BN422*方案参数!$X$14+R422*方案参数!$AA$14+0-配置与结果!$B$26+Z422*(方案参数!$AP$14+MIN(方案参数!$AQ$14,P422*0.03)))</f>
        <v>2.165</v>
      </c>
      <c r="AL422" s="7">
        <f>ROUNDDOWN(MAX(AD422*配置与结果!$B$31,AD422-AE422)*AF422*AG422*AH422*AI422,0)</f>
        <v>506311</v>
      </c>
      <c r="AM422" s="7">
        <f>ROUNDDOWN(MAX(AD422*配置与结果!$B$31,AD422-AE422)*AF422*AG422*AH422*AI422*AK422,0)</f>
        <v>1096164</v>
      </c>
      <c r="AN422" s="7">
        <f t="shared" si="558"/>
        <v>1096164</v>
      </c>
      <c r="AO422" s="7">
        <f>0</f>
        <v>0</v>
      </c>
      <c r="AP422" s="7">
        <f>MAX(0,1+INDEX(配置与结果!$J$15:$J$18,F422)+IF(T422&gt;0,方案参数!$BY$14,0)-配置与结果!$B$30)</f>
        <v>2</v>
      </c>
      <c r="AQ422" s="7">
        <f t="shared" si="559"/>
        <v>0</v>
      </c>
      <c r="AR422" s="7">
        <f t="shared" si="560"/>
        <v>0</v>
      </c>
      <c r="AS422" s="7">
        <f t="shared" si="561"/>
        <v>0</v>
      </c>
      <c r="AT422" s="7">
        <f>0</f>
        <v>0</v>
      </c>
      <c r="AU422" s="7">
        <f t="shared" si="562"/>
        <v>1096164</v>
      </c>
      <c r="AV422" s="1">
        <f t="shared" si="563"/>
        <v>2</v>
      </c>
      <c r="AW422" s="1">
        <f>MIN(10,M422+0+IF(L422=1,方案参数!$BE$14,0))</f>
        <v>10</v>
      </c>
      <c r="AX422" s="1">
        <f t="shared" si="564"/>
        <v>2</v>
      </c>
      <c r="AY422" s="1">
        <f>MIN(20,MAX(0,O422+0+0-0))</f>
        <v>0</v>
      </c>
      <c r="AZ422" s="1">
        <f t="shared" si="565"/>
        <v>5</v>
      </c>
      <c r="BA422" s="1">
        <f t="shared" si="601"/>
        <v>5</v>
      </c>
      <c r="BB422" s="1">
        <f t="shared" ref="BB422:BB437" si="609">MIN(30,R422+0)</f>
        <v>20</v>
      </c>
      <c r="BC422" s="1">
        <f t="shared" si="607"/>
        <v>3</v>
      </c>
      <c r="BD422" s="1">
        <f t="shared" si="588"/>
        <v>2</v>
      </c>
      <c r="BE422" s="1">
        <f t="shared" si="581"/>
        <v>0</v>
      </c>
      <c r="BF422" s="1">
        <f>MIN(4,V422+0)</f>
        <v>3</v>
      </c>
      <c r="BG422" s="1">
        <f t="shared" si="598"/>
        <v>1</v>
      </c>
      <c r="BH422" s="1">
        <f t="shared" si="582"/>
        <v>1</v>
      </c>
      <c r="BI422" s="1">
        <f t="shared" si="599"/>
        <v>1</v>
      </c>
      <c r="BJ422" s="1">
        <f t="shared" si="602"/>
        <v>1</v>
      </c>
      <c r="BK422" s="1">
        <f t="shared" si="603"/>
        <v>1</v>
      </c>
      <c r="BL422" s="1">
        <f t="shared" si="608"/>
        <v>1</v>
      </c>
      <c r="BM422" s="1">
        <f t="shared" si="606"/>
        <v>1</v>
      </c>
      <c r="BN422" s="1">
        <f t="shared" si="583"/>
        <v>1</v>
      </c>
      <c r="BO422" s="1">
        <f t="shared" si="584"/>
        <v>1</v>
      </c>
    </row>
    <row r="423" spans="1:67" ht="30.95" customHeight="1">
      <c r="A423" s="1">
        <f>11</f>
        <v>11</v>
      </c>
      <c r="B423" s="1">
        <f>固定流程!A27</f>
        <v>22</v>
      </c>
      <c r="C423" s="1">
        <f>14</f>
        <v>14</v>
      </c>
      <c r="D423" s="1">
        <f>1</f>
        <v>1</v>
      </c>
      <c r="E423" s="1">
        <f>固定流程!C27</f>
        <v>3</v>
      </c>
      <c r="F423" s="1">
        <f>固定流程!G27</f>
        <v>3</v>
      </c>
      <c r="G423" s="1" t="str">
        <f>固定流程!H27</f>
        <v>RHI_BERRY</v>
      </c>
      <c r="H423" s="1">
        <f>固定流程!F27</f>
        <v>1</v>
      </c>
      <c r="I423" s="1">
        <f>INDEX(配置与结果!$B$15:$B$18,F423)</f>
        <v>2597</v>
      </c>
      <c r="J423" s="1">
        <f>INDEX(配置与结果!$D$15:$D$18,F423)</f>
        <v>0.255</v>
      </c>
      <c r="K423" s="1">
        <f>INDEX(配置与结果!$E$15:$E$18,F423)</f>
        <v>1.55</v>
      </c>
      <c r="L423" s="1">
        <f t="shared" si="595"/>
        <v>2</v>
      </c>
      <c r="M423" s="1">
        <f t="shared" si="596"/>
        <v>10</v>
      </c>
      <c r="N423" s="1">
        <f t="shared" si="597"/>
        <v>2</v>
      </c>
      <c r="O423" s="1">
        <f t="shared" si="589"/>
        <v>0</v>
      </c>
      <c r="P423" s="1">
        <f>MIN(方案参数!$AI$14,AZ422+0+0)</f>
        <v>5</v>
      </c>
      <c r="Q423" s="1">
        <f t="shared" si="567"/>
        <v>5</v>
      </c>
      <c r="R423" s="1">
        <f t="shared" si="568"/>
        <v>20</v>
      </c>
      <c r="S423" s="1">
        <f t="shared" si="569"/>
        <v>3</v>
      </c>
      <c r="T423" s="1">
        <f t="shared" si="604"/>
        <v>2</v>
      </c>
      <c r="U423" s="1">
        <f t="shared" si="571"/>
        <v>0</v>
      </c>
      <c r="V423" s="1">
        <f t="shared" si="572"/>
        <v>3</v>
      </c>
      <c r="W423" s="1">
        <f t="shared" si="573"/>
        <v>1</v>
      </c>
      <c r="X423" s="1">
        <f t="shared" si="574"/>
        <v>1</v>
      </c>
      <c r="Y423" s="1">
        <f t="shared" si="575"/>
        <v>1</v>
      </c>
      <c r="Z423" s="1">
        <f t="shared" si="576"/>
        <v>1</v>
      </c>
      <c r="AA423" s="1">
        <f t="shared" si="600"/>
        <v>1</v>
      </c>
      <c r="AB423" s="1">
        <f t="shared" si="578"/>
        <v>1</v>
      </c>
      <c r="AC423" s="1">
        <f t="shared" si="605"/>
        <v>1</v>
      </c>
      <c r="AD423" s="1">
        <f>ROUNDDOWN(I423*(1+IF(F423=3,0.05+方案参数!$Y$14+AA423*0.12,IF(F423=4,方案参数!$BZ$14*方案参数!$AS$14,0)))+IF(AND(X423=1,F423&lt;&gt;3),方案参数!$CC$14,0)+AC423*方案参数!$CB$14,0)</f>
        <v>3898</v>
      </c>
      <c r="AE423" s="1">
        <f>IF(OR(F423=1,F423=4),配置与结果!$B$24,配置与结果!$B$25)*MAX(0,1-INDEX(配置与结果!$I$15:$I$18,F423))</f>
        <v>1000</v>
      </c>
      <c r="AF423" s="1">
        <f>方案参数!$CF$14+P423*方案参数!$CG$14</f>
        <v>22.5</v>
      </c>
      <c r="AG423" s="1">
        <f>MAX(配置与结果!$B$32,1+INDEX(配置与结果!$F$15:$F$18,F423)+0+Q423*方案参数!$W$14+Y423*(方案参数!$AN$14+MIN(方案参数!$AO$14,P423*0.03))+AB423*方案参数!$BZ$14*0.025-配置与结果!$B$28)</f>
        <v>1.9100000000000001</v>
      </c>
      <c r="AH423" s="1">
        <f>MAX(0,1+INDEX(配置与结果!$G$15:$G$18,F423)+W423*方案参数!$AG$14)</f>
        <v>1.3</v>
      </c>
      <c r="AI423" s="1">
        <f>IF(OR(INDEX(配置与结果!$K$15:$K$18,F423)=1,G423="RHI_BERRY"),1+配置与结果!$B$33+P423*方案参数!$AH$14,1)</f>
        <v>1.5</v>
      </c>
      <c r="AJ423" s="1">
        <f>MIN(1,MAX(0,J423+方案参数!$AB$14-配置与结果!$B$27))</f>
        <v>0.85499999999999998</v>
      </c>
      <c r="AK423" s="1">
        <f>MAX(1,K423+IF(F423=2,0.15+方案参数!$CH$14,0)+BN423*方案参数!$X$14+R423*方案参数!$AA$14+0-配置与结果!$B$26+Z423*(方案参数!$AP$14+MIN(方案参数!$AQ$14,P423*0.03)))</f>
        <v>1.6900000000000002</v>
      </c>
      <c r="AL423" s="7">
        <f>ROUNDDOWN(MAX(AD423*配置与结果!$B$31,AD423-AE423)*AF423*AG423*AH423*AI423,0)</f>
        <v>242856</v>
      </c>
      <c r="AM423" s="7">
        <f>ROUNDDOWN(MAX(AD423*配置与结果!$B$31,AD423-AE423)*AF423*AG423*AH423*AI423*AK423,0)</f>
        <v>410426</v>
      </c>
      <c r="AN423" s="7">
        <f t="shared" si="558"/>
        <v>386128.35</v>
      </c>
      <c r="AO423" s="7">
        <f>0</f>
        <v>0</v>
      </c>
      <c r="AP423" s="7">
        <f>MAX(0,1+INDEX(配置与结果!$J$15:$J$18,F423)+IF(T423&gt;0,方案参数!$BY$14,0)-配置与结果!$B$30)</f>
        <v>2</v>
      </c>
      <c r="AQ423" s="7">
        <f t="shared" si="559"/>
        <v>0</v>
      </c>
      <c r="AR423" s="7">
        <f t="shared" si="560"/>
        <v>0</v>
      </c>
      <c r="AS423" s="7">
        <f t="shared" si="561"/>
        <v>0</v>
      </c>
      <c r="AT423" s="7">
        <f>0</f>
        <v>0</v>
      </c>
      <c r="AU423" s="7">
        <f t="shared" si="562"/>
        <v>386128.35</v>
      </c>
      <c r="AV423" s="1">
        <f t="shared" si="563"/>
        <v>2</v>
      </c>
      <c r="AW423" s="1">
        <f t="shared" ref="AW423:AW439" si="610">MIN(10,M423+0+0)</f>
        <v>10</v>
      </c>
      <c r="AX423" s="1">
        <f t="shared" si="564"/>
        <v>2</v>
      </c>
      <c r="AY423" s="1">
        <f>MIN(20,MAX(0,O423+0+0-0))</f>
        <v>0</v>
      </c>
      <c r="AZ423" s="1">
        <f t="shared" si="565"/>
        <v>5</v>
      </c>
      <c r="BA423" s="1">
        <f t="shared" si="601"/>
        <v>5</v>
      </c>
      <c r="BB423" s="1">
        <f t="shared" si="609"/>
        <v>20</v>
      </c>
      <c r="BC423" s="1">
        <f t="shared" si="607"/>
        <v>3</v>
      </c>
      <c r="BD423" s="1">
        <f t="shared" si="588"/>
        <v>2</v>
      </c>
      <c r="BE423" s="1">
        <f t="shared" si="581"/>
        <v>0</v>
      </c>
      <c r="BF423" s="1">
        <f>MIN(4,V423+0)</f>
        <v>3</v>
      </c>
      <c r="BG423" s="1">
        <f t="shared" si="598"/>
        <v>1</v>
      </c>
      <c r="BH423" s="1">
        <f t="shared" si="582"/>
        <v>1</v>
      </c>
      <c r="BI423" s="1">
        <f t="shared" si="599"/>
        <v>1</v>
      </c>
      <c r="BJ423" s="1">
        <f t="shared" si="602"/>
        <v>1</v>
      </c>
      <c r="BK423" s="1">
        <f t="shared" si="603"/>
        <v>1</v>
      </c>
      <c r="BL423" s="1">
        <f t="shared" si="608"/>
        <v>1</v>
      </c>
      <c r="BM423" s="1">
        <f t="shared" si="606"/>
        <v>1</v>
      </c>
      <c r="BN423" s="1">
        <f t="shared" si="583"/>
        <v>1</v>
      </c>
      <c r="BO423" s="1">
        <f t="shared" si="584"/>
        <v>1</v>
      </c>
    </row>
    <row r="424" spans="1:67" ht="30.95" customHeight="1">
      <c r="A424" s="1">
        <f>11</f>
        <v>11</v>
      </c>
      <c r="B424" s="1">
        <f>固定流程!A28</f>
        <v>23</v>
      </c>
      <c r="C424" s="1">
        <f>14</f>
        <v>14</v>
      </c>
      <c r="D424" s="1">
        <f>1</f>
        <v>1</v>
      </c>
      <c r="E424" s="1">
        <f>固定流程!C28</f>
        <v>3</v>
      </c>
      <c r="F424" s="1">
        <f>固定流程!G28</f>
        <v>2</v>
      </c>
      <c r="G424" s="1" t="str">
        <f>固定流程!H28</f>
        <v>37_FOLLOW</v>
      </c>
      <c r="H424" s="1">
        <f>固定流程!F28</f>
        <v>1</v>
      </c>
      <c r="I424" s="1">
        <f>INDEX(配置与结果!$B$15:$B$18,F424)</f>
        <v>2306</v>
      </c>
      <c r="J424" s="1">
        <f>INDEX(配置与结果!$D$15:$D$18,F424)</f>
        <v>0.46</v>
      </c>
      <c r="K424" s="1">
        <f>INDEX(配置与结果!$E$15:$E$18,F424)</f>
        <v>1.9279999999999999</v>
      </c>
      <c r="L424" s="1">
        <f t="shared" si="595"/>
        <v>2</v>
      </c>
      <c r="M424" s="1">
        <f t="shared" si="596"/>
        <v>10</v>
      </c>
      <c r="N424" s="1">
        <f t="shared" si="597"/>
        <v>2</v>
      </c>
      <c r="O424" s="1">
        <f t="shared" si="589"/>
        <v>0</v>
      </c>
      <c r="P424" s="1">
        <f>MIN(方案参数!$AI$14,AZ423+0+0)</f>
        <v>5</v>
      </c>
      <c r="Q424" s="1">
        <f t="shared" si="567"/>
        <v>5</v>
      </c>
      <c r="R424" s="1">
        <f t="shared" si="568"/>
        <v>20</v>
      </c>
      <c r="S424" s="1">
        <f t="shared" si="569"/>
        <v>3</v>
      </c>
      <c r="T424" s="1">
        <f t="shared" si="604"/>
        <v>2</v>
      </c>
      <c r="U424" s="1">
        <f t="shared" si="571"/>
        <v>0</v>
      </c>
      <c r="V424" s="1">
        <f t="shared" si="572"/>
        <v>3</v>
      </c>
      <c r="W424" s="1">
        <f t="shared" si="573"/>
        <v>1</v>
      </c>
      <c r="X424" s="1">
        <f t="shared" si="574"/>
        <v>1</v>
      </c>
      <c r="Y424" s="1">
        <f t="shared" si="575"/>
        <v>1</v>
      </c>
      <c r="Z424" s="1">
        <f t="shared" si="576"/>
        <v>1</v>
      </c>
      <c r="AA424" s="1">
        <f t="shared" si="600"/>
        <v>1</v>
      </c>
      <c r="AB424" s="1">
        <f t="shared" si="578"/>
        <v>1</v>
      </c>
      <c r="AC424" s="1">
        <f t="shared" si="605"/>
        <v>1</v>
      </c>
      <c r="AD424" s="1">
        <f>ROUNDDOWN(I424*(1+IF(F424=3,0.05+方案参数!$Y$14+AA424*0.12,IF(F424=4,方案参数!$BZ$14*方案参数!$AS$14,0)))+IF(AND(X424=1,F424&lt;&gt;3),方案参数!$CC$14,0)+AC424*方案参数!$CB$14,0)</f>
        <v>3144</v>
      </c>
      <c r="AE424" s="1">
        <f>IF(OR(F424=1,F424=4),配置与结果!$B$24,配置与结果!$B$25)*MAX(0,1-INDEX(配置与结果!$I$15:$I$18,F424))</f>
        <v>1000</v>
      </c>
      <c r="AF424" s="1">
        <f>方案参数!$BV$14</f>
        <v>4.5</v>
      </c>
      <c r="AG424" s="1">
        <f>MAX(配置与结果!$B$32,1+INDEX(配置与结果!$F$15:$F$18,F424)+0+Q424*方案参数!$W$14+Y424*(方案参数!$AN$14+MIN(方案参数!$AO$14,P424*0.03))+AB424*方案参数!$BZ$14*0.025-配置与结果!$B$28)</f>
        <v>1.8800000000000003</v>
      </c>
      <c r="AH424" s="1">
        <f>MAX(0,1+INDEX(配置与结果!$G$15:$G$18,F424)+W424*方案参数!$AG$14)</f>
        <v>1.3</v>
      </c>
      <c r="AI424" s="1">
        <f>IF(OR(INDEX(配置与结果!$K$15:$K$18,F424)=1,G424="RHI_BERRY"),1+配置与结果!$B$33+P424*方案参数!$AH$14,1)</f>
        <v>1</v>
      </c>
      <c r="AJ424" s="1">
        <f>MIN(1,MAX(0,J424+方案参数!$AB$14-配置与结果!$B$27))</f>
        <v>1</v>
      </c>
      <c r="AK424" s="1">
        <f>MAX(1,K424+IF(F424=2,0.15+方案参数!$CH$14,0)+BN424*方案参数!$X$14+R424*方案参数!$AA$14+0-配置与结果!$B$26+Z424*(方案参数!$AP$14+MIN(方案参数!$AQ$14,P424*0.03)))</f>
        <v>2.3380000000000001</v>
      </c>
      <c r="AL424" s="7">
        <f>ROUNDDOWN(MAX(AD424*配置与结果!$B$31,AD424-AE424)*AF424*AG424*AH424*AI424,0)</f>
        <v>23579</v>
      </c>
      <c r="AM424" s="7">
        <f>ROUNDDOWN(MAX(AD424*配置与结果!$B$31,AD424-AE424)*AF424*AG424*AH424*AI424*AK424,0)</f>
        <v>55129</v>
      </c>
      <c r="AN424" s="7">
        <f t="shared" si="558"/>
        <v>55129</v>
      </c>
      <c r="AO424" s="7">
        <f>方案参数!$BW$14</f>
        <v>1.5</v>
      </c>
      <c r="AP424" s="7">
        <f>MAX(0,1+INDEX(配置与结果!$J$15:$J$18,F424)+IF(T424&gt;0,方案参数!$BY$14,0)-配置与结果!$B$30)</f>
        <v>2</v>
      </c>
      <c r="AQ424" s="7">
        <f t="shared" si="559"/>
        <v>9432</v>
      </c>
      <c r="AR424" s="7">
        <f t="shared" si="560"/>
        <v>22052</v>
      </c>
      <c r="AS424" s="7">
        <f t="shared" si="561"/>
        <v>22052</v>
      </c>
      <c r="AT424" s="7">
        <f>0</f>
        <v>0</v>
      </c>
      <c r="AU424" s="7">
        <f t="shared" si="562"/>
        <v>77181</v>
      </c>
      <c r="AV424" s="1">
        <f t="shared" si="563"/>
        <v>2</v>
      </c>
      <c r="AW424" s="1">
        <f t="shared" si="610"/>
        <v>10</v>
      </c>
      <c r="AX424" s="1">
        <f t="shared" si="564"/>
        <v>2</v>
      </c>
      <c r="AY424" s="1">
        <f>MIN(20,MAX(0,O424+0+0-0))</f>
        <v>0</v>
      </c>
      <c r="AZ424" s="1">
        <f t="shared" si="565"/>
        <v>5</v>
      </c>
      <c r="BA424" s="1">
        <f t="shared" si="601"/>
        <v>5</v>
      </c>
      <c r="BB424" s="1">
        <f t="shared" si="609"/>
        <v>20</v>
      </c>
      <c r="BC424" s="1">
        <f t="shared" si="607"/>
        <v>3</v>
      </c>
      <c r="BD424" s="1">
        <f t="shared" si="588"/>
        <v>1</v>
      </c>
      <c r="BE424" s="1">
        <f t="shared" si="581"/>
        <v>0</v>
      </c>
      <c r="BF424" s="1">
        <f>MIN(4,V424+1)</f>
        <v>4</v>
      </c>
      <c r="BG424" s="1">
        <f t="shared" si="598"/>
        <v>1</v>
      </c>
      <c r="BH424" s="1">
        <f t="shared" si="582"/>
        <v>1</v>
      </c>
      <c r="BI424" s="1">
        <f t="shared" si="599"/>
        <v>1</v>
      </c>
      <c r="BJ424" s="1">
        <f t="shared" si="602"/>
        <v>1</v>
      </c>
      <c r="BK424" s="1">
        <f t="shared" si="603"/>
        <v>1</v>
      </c>
      <c r="BL424" s="1">
        <f t="shared" si="608"/>
        <v>1</v>
      </c>
      <c r="BM424" s="1">
        <f t="shared" si="606"/>
        <v>1</v>
      </c>
      <c r="BN424" s="1">
        <f t="shared" si="583"/>
        <v>1</v>
      </c>
      <c r="BO424" s="1">
        <f t="shared" si="584"/>
        <v>1</v>
      </c>
    </row>
    <row r="425" spans="1:67" ht="30.95" customHeight="1">
      <c r="A425" s="1">
        <f>11</f>
        <v>11</v>
      </c>
      <c r="B425" s="1">
        <f>固定流程!A29</f>
        <v>24</v>
      </c>
      <c r="C425" s="1">
        <f>14</f>
        <v>14</v>
      </c>
      <c r="D425" s="1">
        <f>2</f>
        <v>2</v>
      </c>
      <c r="E425" s="1">
        <f>固定流程!C29</f>
        <v>3</v>
      </c>
      <c r="F425" s="1">
        <f>固定流程!G29</f>
        <v>1</v>
      </c>
      <c r="G425" s="1" t="str">
        <f>固定流程!H29</f>
        <v>LILYA_WEAK</v>
      </c>
      <c r="H425" s="1">
        <f>固定流程!F29</f>
        <v>1</v>
      </c>
      <c r="I425" s="1">
        <f>INDEX(配置与结果!$B$15:$B$18,F425)</f>
        <v>2296</v>
      </c>
      <c r="J425" s="1">
        <f>INDEX(配置与结果!$D$15:$D$18,F425)</f>
        <v>0.7</v>
      </c>
      <c r="K425" s="1">
        <f>INDEX(配置与结果!$E$15:$E$18,F425)</f>
        <v>2.0249999999999999</v>
      </c>
      <c r="L425" s="1">
        <f t="shared" si="595"/>
        <v>2</v>
      </c>
      <c r="M425" s="1">
        <f t="shared" si="596"/>
        <v>10</v>
      </c>
      <c r="N425" s="1">
        <f t="shared" si="597"/>
        <v>2</v>
      </c>
      <c r="O425" s="1">
        <f t="shared" si="589"/>
        <v>0</v>
      </c>
      <c r="P425" s="1">
        <f>MIN(方案参数!$AI$14,AZ424+0+0)</f>
        <v>5</v>
      </c>
      <c r="Q425" s="1">
        <f t="shared" si="567"/>
        <v>5</v>
      </c>
      <c r="R425" s="1">
        <f t="shared" si="568"/>
        <v>20</v>
      </c>
      <c r="S425" s="1">
        <f t="shared" si="569"/>
        <v>3</v>
      </c>
      <c r="T425" s="1">
        <f t="shared" si="604"/>
        <v>1</v>
      </c>
      <c r="U425" s="1">
        <f t="shared" si="571"/>
        <v>0</v>
      </c>
      <c r="V425" s="1">
        <f t="shared" si="572"/>
        <v>4</v>
      </c>
      <c r="W425" s="1">
        <f t="shared" si="573"/>
        <v>1</v>
      </c>
      <c r="X425" s="1">
        <f t="shared" si="574"/>
        <v>1</v>
      </c>
      <c r="Y425" s="1">
        <f t="shared" si="575"/>
        <v>1</v>
      </c>
      <c r="Z425" s="1">
        <f t="shared" si="576"/>
        <v>1</v>
      </c>
      <c r="AA425" s="1">
        <f t="shared" si="600"/>
        <v>1</v>
      </c>
      <c r="AB425" s="1">
        <f t="shared" si="578"/>
        <v>1</v>
      </c>
      <c r="AC425" s="1">
        <f t="shared" si="605"/>
        <v>1</v>
      </c>
      <c r="AD425" s="1">
        <f>ROUNDDOWN(I425*(1+IF(F425=3,0.05+方案参数!$Y$14+AA425*0.12,IF(F425=4,方案参数!$BZ$14*方案参数!$AS$14,0)))+IF(AND(X425=1,F425&lt;&gt;3),方案参数!$CC$14,0)+AC425*方案参数!$CB$14,0)</f>
        <v>3134</v>
      </c>
      <c r="AE425" s="1">
        <f>IF(OR(F425=1,F425=4),配置与结果!$B$24,配置与结果!$B$25)*MAX(0,1-INDEX(配置与结果!$I$15:$I$18,F425))</f>
        <v>1200</v>
      </c>
      <c r="AF425" s="1">
        <f>方案参数!$BL$14</f>
        <v>9</v>
      </c>
      <c r="AG425" s="1">
        <f>MAX(配置与结果!$B$32,1+INDEX(配置与结果!$F$15:$F$18,F425)+0.08+方案参数!$CD$14+Q425*方案参数!$W$14+Y425*(方案参数!$AN$14+MIN(方案参数!$AO$14,P425*0.03))+AB425*方案参数!$BZ$14*0.025-配置与结果!$B$28+方案参数!$AE$14)</f>
        <v>2.915</v>
      </c>
      <c r="AH425" s="1">
        <f>MAX(0,1+V425*方案参数!$U$14+0*方案参数!$V$14+方案参数!$AE$14-配置与结果!$B$29)</f>
        <v>1.8599999999999999</v>
      </c>
      <c r="AI425" s="1">
        <f>IF(OR(INDEX(配置与结果!$K$15:$K$18,F425)=1,G425="RHI_BERRY"),1+配置与结果!$B$33+P425*方案参数!$AH$14,1)</f>
        <v>1</v>
      </c>
      <c r="AJ425" s="1">
        <f>MIN(1,MAX(0,J425+方案参数!$AB$14-配置与结果!$B$27))</f>
        <v>1</v>
      </c>
      <c r="AK425" s="1">
        <f>MAX(1,K425+IF(F425=2,0.15+方案参数!$CH$14,0)+BN425*方案参数!$X$14+R425*方案参数!$AA$14+方案参数!$BP$14-配置与结果!$B$26+Z425*(方案参数!$AP$14+MIN(方案参数!$AQ$14,P425*0.03)))</f>
        <v>2.7650000000000001</v>
      </c>
      <c r="AL425" s="7">
        <f>ROUNDDOWN(MAX(AD425*配置与结果!$B$31,AD425-AE425)*AF425*AG425*AH425*AI425,0)</f>
        <v>94373</v>
      </c>
      <c r="AM425" s="7">
        <f>ROUNDDOWN(MAX(AD425*配置与结果!$B$31,AD425-AE425)*AF425*AG425*AH425*AI425*AK425,0)</f>
        <v>260942</v>
      </c>
      <c r="AN425" s="7">
        <f t="shared" si="558"/>
        <v>260942</v>
      </c>
      <c r="AO425" s="7">
        <f>0</f>
        <v>0</v>
      </c>
      <c r="AP425" s="7">
        <f>MAX(0,1+INDEX(配置与结果!$J$15:$J$18,F425)+IF(T425&gt;0,方案参数!$BY$14,0)-配置与结果!$B$30)</f>
        <v>2</v>
      </c>
      <c r="AQ425" s="7">
        <f t="shared" si="559"/>
        <v>0</v>
      </c>
      <c r="AR425" s="7">
        <f t="shared" si="560"/>
        <v>0</v>
      </c>
      <c r="AS425" s="7">
        <f t="shared" si="561"/>
        <v>0</v>
      </c>
      <c r="AT425" s="7">
        <f>IF(U425&gt;0,ROUNDDOWN(AL425*方案参数!$AF$14,0)*(1-AJ425)+ROUNDDOWN(AM425*方案参数!$AF$14,0)*AJ425,0)</f>
        <v>0</v>
      </c>
      <c r="AU425" s="7">
        <f t="shared" si="562"/>
        <v>260942</v>
      </c>
      <c r="AV425" s="1">
        <f t="shared" si="563"/>
        <v>2</v>
      </c>
      <c r="AW425" s="1">
        <f t="shared" si="610"/>
        <v>10</v>
      </c>
      <c r="AX425" s="1">
        <f t="shared" si="564"/>
        <v>2</v>
      </c>
      <c r="AY425" s="1">
        <f>MIN(20,MAX(0,O425+0+1-0))</f>
        <v>1</v>
      </c>
      <c r="AZ425" s="1">
        <f t="shared" si="565"/>
        <v>5</v>
      </c>
      <c r="BA425" s="1">
        <f t="shared" si="601"/>
        <v>5</v>
      </c>
      <c r="BB425" s="1">
        <f t="shared" si="609"/>
        <v>20</v>
      </c>
      <c r="BC425" s="1">
        <f t="shared" si="607"/>
        <v>3</v>
      </c>
      <c r="BD425" s="1">
        <f t="shared" si="588"/>
        <v>1</v>
      </c>
      <c r="BE425" s="1">
        <f>MAX(0,U425-IF(AF425&gt;0,1,0))+0</f>
        <v>0</v>
      </c>
      <c r="BF425" s="1">
        <f t="shared" ref="BF425:BF442" si="611">MIN(4,V425+0)</f>
        <v>4</v>
      </c>
      <c r="BG425" s="1">
        <f t="shared" si="598"/>
        <v>1</v>
      </c>
      <c r="BH425" s="1">
        <f t="shared" si="582"/>
        <v>1</v>
      </c>
      <c r="BI425" s="1">
        <f t="shared" si="599"/>
        <v>1</v>
      </c>
      <c r="BJ425" s="1">
        <f t="shared" si="602"/>
        <v>1</v>
      </c>
      <c r="BK425" s="1">
        <f t="shared" si="603"/>
        <v>1</v>
      </c>
      <c r="BL425" s="1">
        <f t="shared" si="608"/>
        <v>1</v>
      </c>
      <c r="BM425" s="1">
        <f t="shared" si="606"/>
        <v>1</v>
      </c>
      <c r="BN425" s="1">
        <f t="shared" si="583"/>
        <v>1</v>
      </c>
      <c r="BO425" s="1">
        <f t="shared" si="584"/>
        <v>1</v>
      </c>
    </row>
    <row r="426" spans="1:67" ht="30.95" customHeight="1">
      <c r="A426" s="1">
        <f>11</f>
        <v>11</v>
      </c>
      <c r="B426" s="1">
        <f>固定流程!A30</f>
        <v>25</v>
      </c>
      <c r="C426" s="1">
        <f>14</f>
        <v>14</v>
      </c>
      <c r="D426" s="1">
        <f>2</f>
        <v>2</v>
      </c>
      <c r="E426" s="1">
        <f>固定流程!C30</f>
        <v>3</v>
      </c>
      <c r="F426" s="1">
        <f>固定流程!G30</f>
        <v>1</v>
      </c>
      <c r="G426" s="1" t="str">
        <f>固定流程!H30</f>
        <v>LILYA_WEAK</v>
      </c>
      <c r="H426" s="1">
        <f>固定流程!F30</f>
        <v>1</v>
      </c>
      <c r="I426" s="1">
        <f>INDEX(配置与结果!$B$15:$B$18,F426)</f>
        <v>2296</v>
      </c>
      <c r="J426" s="1">
        <f>INDEX(配置与结果!$D$15:$D$18,F426)</f>
        <v>0.7</v>
      </c>
      <c r="K426" s="1">
        <f>INDEX(配置与结果!$E$15:$E$18,F426)</f>
        <v>2.0249999999999999</v>
      </c>
      <c r="L426" s="1">
        <f t="shared" si="595"/>
        <v>2</v>
      </c>
      <c r="M426" s="1">
        <f t="shared" si="596"/>
        <v>10</v>
      </c>
      <c r="N426" s="1">
        <f t="shared" si="597"/>
        <v>2</v>
      </c>
      <c r="O426" s="1">
        <f t="shared" si="589"/>
        <v>1</v>
      </c>
      <c r="P426" s="1">
        <f>MIN(方案参数!$AI$14,AZ425+0+0)</f>
        <v>5</v>
      </c>
      <c r="Q426" s="1">
        <f t="shared" si="567"/>
        <v>5</v>
      </c>
      <c r="R426" s="1">
        <f t="shared" si="568"/>
        <v>20</v>
      </c>
      <c r="S426" s="1">
        <f t="shared" si="569"/>
        <v>3</v>
      </c>
      <c r="T426" s="1">
        <f t="shared" si="604"/>
        <v>1</v>
      </c>
      <c r="U426" s="1">
        <f t="shared" si="571"/>
        <v>0</v>
      </c>
      <c r="V426" s="1">
        <f t="shared" si="572"/>
        <v>4</v>
      </c>
      <c r="W426" s="1">
        <f t="shared" si="573"/>
        <v>1</v>
      </c>
      <c r="X426" s="1">
        <f t="shared" si="574"/>
        <v>1</v>
      </c>
      <c r="Y426" s="1">
        <f t="shared" si="575"/>
        <v>1</v>
      </c>
      <c r="Z426" s="1">
        <f t="shared" si="576"/>
        <v>1</v>
      </c>
      <c r="AA426" s="1">
        <f t="shared" si="600"/>
        <v>1</v>
      </c>
      <c r="AB426" s="1">
        <f t="shared" si="578"/>
        <v>1</v>
      </c>
      <c r="AC426" s="1">
        <f t="shared" si="605"/>
        <v>1</v>
      </c>
      <c r="AD426" s="1">
        <f>ROUNDDOWN(I426*(1+IF(F426=3,0.05+方案参数!$Y$14+AA426*0.12,IF(F426=4,方案参数!$BZ$14*方案参数!$AS$14,0)))+IF(AND(X426=1,F426&lt;&gt;3),方案参数!$CC$14,0)+AC426*方案参数!$CB$14,0)</f>
        <v>3134</v>
      </c>
      <c r="AE426" s="1">
        <f>IF(OR(F426=1,F426=4),配置与结果!$B$24,配置与结果!$B$25)*MAX(0,1-INDEX(配置与结果!$I$15:$I$18,F426))</f>
        <v>1200</v>
      </c>
      <c r="AF426" s="1">
        <f>方案参数!$BL$14</f>
        <v>9</v>
      </c>
      <c r="AG426" s="1">
        <f>MAX(配置与结果!$B$32,1+INDEX(配置与结果!$F$15:$F$18,F426)+0.08+方案参数!$CD$14+Q426*方案参数!$W$14+Y426*(方案参数!$AN$14+MIN(方案参数!$AO$14,P426*0.03))+AB426*方案参数!$BZ$14*0.025-配置与结果!$B$28+方案参数!$AE$14)</f>
        <v>2.915</v>
      </c>
      <c r="AH426" s="1">
        <f>MAX(0,1+V426*方案参数!$U$14+1*方案参数!$V$14+方案参数!$AE$14-配置与结果!$B$29)</f>
        <v>1.92</v>
      </c>
      <c r="AI426" s="1">
        <f>IF(OR(INDEX(配置与结果!$K$15:$K$18,F426)=1,G426="RHI_BERRY"),1+配置与结果!$B$33+P426*方案参数!$AH$14,1)</f>
        <v>1</v>
      </c>
      <c r="AJ426" s="1">
        <f>MIN(1,MAX(0,J426+方案参数!$AB$14-配置与结果!$B$27))</f>
        <v>1</v>
      </c>
      <c r="AK426" s="1">
        <f>MAX(1,K426+IF(F426=2,0.15+方案参数!$CH$14,0)+BN426*方案参数!$X$14+R426*方案参数!$AA$14+方案参数!$BP$14-配置与结果!$B$26+Z426*(方案参数!$AP$14+MIN(方案参数!$AQ$14,P426*0.03)))</f>
        <v>2.7650000000000001</v>
      </c>
      <c r="AL426" s="7">
        <f>ROUNDDOWN(MAX(AD426*配置与结果!$B$31,AD426-AE426)*AF426*AG426*AH426*AI426,0)</f>
        <v>97417</v>
      </c>
      <c r="AM426" s="7">
        <f>ROUNDDOWN(MAX(AD426*配置与结果!$B$31,AD426-AE426)*AF426*AG426*AH426*AI426*AK426,0)</f>
        <v>269360</v>
      </c>
      <c r="AN426" s="7">
        <f t="shared" si="558"/>
        <v>269360</v>
      </c>
      <c r="AO426" s="7">
        <f>0</f>
        <v>0</v>
      </c>
      <c r="AP426" s="7">
        <f>MAX(0,1+INDEX(配置与结果!$J$15:$J$18,F426)+IF(T426&gt;0,方案参数!$BY$14,0)-配置与结果!$B$30)</f>
        <v>2</v>
      </c>
      <c r="AQ426" s="7">
        <f t="shared" si="559"/>
        <v>0</v>
      </c>
      <c r="AR426" s="7">
        <f t="shared" si="560"/>
        <v>0</v>
      </c>
      <c r="AS426" s="7">
        <f t="shared" si="561"/>
        <v>0</v>
      </c>
      <c r="AT426" s="7">
        <f>IF(U426&gt;0,ROUNDDOWN(AL426*方案参数!$AF$14,0)*(1-AJ426)+ROUNDDOWN(AM426*方案参数!$AF$14,0)*AJ426,0)</f>
        <v>0</v>
      </c>
      <c r="AU426" s="7">
        <f t="shared" si="562"/>
        <v>269360</v>
      </c>
      <c r="AV426" s="1">
        <f t="shared" si="563"/>
        <v>2</v>
      </c>
      <c r="AW426" s="1">
        <f t="shared" si="610"/>
        <v>10</v>
      </c>
      <c r="AX426" s="1">
        <f t="shared" si="564"/>
        <v>2</v>
      </c>
      <c r="AY426" s="1">
        <f>MIN(20,MAX(0,O426+0+1-0))</f>
        <v>2</v>
      </c>
      <c r="AZ426" s="1">
        <f t="shared" si="565"/>
        <v>5</v>
      </c>
      <c r="BA426" s="1">
        <f t="shared" si="601"/>
        <v>5</v>
      </c>
      <c r="BB426" s="1">
        <f t="shared" si="609"/>
        <v>20</v>
      </c>
      <c r="BC426" s="1">
        <f t="shared" si="607"/>
        <v>3</v>
      </c>
      <c r="BD426" s="1">
        <f t="shared" si="588"/>
        <v>1</v>
      </c>
      <c r="BE426" s="1">
        <f>MAX(0,U426-IF(AF426&gt;0,1,0))+0</f>
        <v>0</v>
      </c>
      <c r="BF426" s="1">
        <f t="shared" si="611"/>
        <v>4</v>
      </c>
      <c r="BG426" s="1">
        <f t="shared" si="598"/>
        <v>1</v>
      </c>
      <c r="BH426" s="1">
        <f t="shared" si="582"/>
        <v>1</v>
      </c>
      <c r="BI426" s="1">
        <f t="shared" si="599"/>
        <v>1</v>
      </c>
      <c r="BJ426" s="1">
        <f t="shared" si="602"/>
        <v>1</v>
      </c>
      <c r="BK426" s="1">
        <f t="shared" si="603"/>
        <v>1</v>
      </c>
      <c r="BL426" s="1">
        <f t="shared" si="608"/>
        <v>1</v>
      </c>
      <c r="BM426" s="1">
        <f t="shared" si="606"/>
        <v>1</v>
      </c>
      <c r="BN426" s="1">
        <f t="shared" si="583"/>
        <v>1</v>
      </c>
      <c r="BO426" s="1">
        <f t="shared" si="584"/>
        <v>1</v>
      </c>
    </row>
    <row r="427" spans="1:67" ht="30.95" customHeight="1">
      <c r="A427" s="1">
        <f>11</f>
        <v>11</v>
      </c>
      <c r="B427" s="1">
        <f>固定流程!A31</f>
        <v>26</v>
      </c>
      <c r="C427" s="1">
        <f>14</f>
        <v>14</v>
      </c>
      <c r="D427" s="1">
        <f>2</f>
        <v>2</v>
      </c>
      <c r="E427" s="1">
        <f>固定流程!C31</f>
        <v>3</v>
      </c>
      <c r="F427" s="1">
        <f>固定流程!G31</f>
        <v>2</v>
      </c>
      <c r="G427" s="1" t="str">
        <f>固定流程!H31</f>
        <v>37_WEAK</v>
      </c>
      <c r="H427" s="1">
        <f>固定流程!F31</f>
        <v>1</v>
      </c>
      <c r="I427" s="1">
        <f>INDEX(配置与结果!$B$15:$B$18,F427)</f>
        <v>2306</v>
      </c>
      <c r="J427" s="1">
        <f>INDEX(配置与结果!$D$15:$D$18,F427)</f>
        <v>0.46</v>
      </c>
      <c r="K427" s="1">
        <f>INDEX(配置与结果!$E$15:$E$18,F427)</f>
        <v>1.9279999999999999</v>
      </c>
      <c r="L427" s="1">
        <f t="shared" si="595"/>
        <v>2</v>
      </c>
      <c r="M427" s="1">
        <f t="shared" si="596"/>
        <v>10</v>
      </c>
      <c r="N427" s="1">
        <f t="shared" si="597"/>
        <v>2</v>
      </c>
      <c r="O427" s="1">
        <f t="shared" si="589"/>
        <v>2</v>
      </c>
      <c r="P427" s="1">
        <f>MIN(方案参数!$AI$14,AZ426+0+0)</f>
        <v>5</v>
      </c>
      <c r="Q427" s="1">
        <f t="shared" si="567"/>
        <v>5</v>
      </c>
      <c r="R427" s="1">
        <f t="shared" si="568"/>
        <v>20</v>
      </c>
      <c r="S427" s="1">
        <f t="shared" si="569"/>
        <v>3</v>
      </c>
      <c r="T427" s="1">
        <f t="shared" si="604"/>
        <v>1</v>
      </c>
      <c r="U427" s="1">
        <f t="shared" si="571"/>
        <v>0</v>
      </c>
      <c r="V427" s="1">
        <f t="shared" si="572"/>
        <v>4</v>
      </c>
      <c r="W427" s="1">
        <f t="shared" si="573"/>
        <v>1</v>
      </c>
      <c r="X427" s="1">
        <f t="shared" si="574"/>
        <v>1</v>
      </c>
      <c r="Y427" s="1">
        <f t="shared" si="575"/>
        <v>1</v>
      </c>
      <c r="Z427" s="1">
        <f t="shared" si="576"/>
        <v>1</v>
      </c>
      <c r="AA427" s="1">
        <f t="shared" si="600"/>
        <v>1</v>
      </c>
      <c r="AB427" s="1">
        <f t="shared" si="578"/>
        <v>1</v>
      </c>
      <c r="AC427" s="1">
        <f t="shared" si="605"/>
        <v>1</v>
      </c>
      <c r="AD427" s="1">
        <f>ROUNDDOWN(I427*(1+IF(F427=3,0.05+方案参数!$Y$14+AA427*0.12,IF(F427=4,方案参数!$BZ$14*方案参数!$AS$14,0)))+IF(AND(X427=1,F427&lt;&gt;3),方案参数!$CC$14,0)+AC427*方案参数!$CB$14,0)</f>
        <v>3144</v>
      </c>
      <c r="AE427" s="1">
        <f>IF(OR(F427=1,F427=4),配置与结果!$B$24,配置与结果!$B$25)*MAX(0,1-INDEX(配置与结果!$I$15:$I$18,F427))</f>
        <v>1000</v>
      </c>
      <c r="AF427" s="1">
        <f>方案参数!$CE$14</f>
        <v>9</v>
      </c>
      <c r="AG427" s="1">
        <f>MAX(配置与结果!$B$32,1+INDEX(配置与结果!$F$15:$F$18,F427)+0+Q427*方案参数!$W$14+Y427*(方案参数!$AN$14+MIN(方案参数!$AO$14,P427*0.03))+AB427*方案参数!$BZ$14*0.025-配置与结果!$B$28+方案参数!$AE$14)</f>
        <v>2.58</v>
      </c>
      <c r="AH427" s="1">
        <f>MAX(0,1+V427*方案参数!$U$14+方案参数!$AE$14-配置与结果!$B$29)</f>
        <v>1.8599999999999999</v>
      </c>
      <c r="AI427" s="1">
        <f>IF(OR(INDEX(配置与结果!$K$15:$K$18,F427)=1,G427="RHI_BERRY"),1+配置与结果!$B$33+P427*方案参数!$AH$14,1)</f>
        <v>1</v>
      </c>
      <c r="AJ427" s="1">
        <f>MIN(1,MAX(0,J427+方案参数!$AB$14-配置与结果!$B$27))</f>
        <v>1</v>
      </c>
      <c r="AK427" s="1">
        <f>MAX(1,K427+IF(F427=2,0.15+方案参数!$CH$14,0)+BN427*方案参数!$X$14+R427*方案参数!$AA$14+0-配置与结果!$B$26+Z427*(方案参数!$AP$14+MIN(方案参数!$AQ$14,P427*0.03)))</f>
        <v>2.3380000000000001</v>
      </c>
      <c r="AL427" s="7">
        <f>ROUNDDOWN(MAX(AD427*配置与结果!$B$31,AD427-AE427)*AF427*AG427*AH427*AI427,0)</f>
        <v>92597</v>
      </c>
      <c r="AM427" s="7">
        <f>ROUNDDOWN(MAX(AD427*配置与结果!$B$31,AD427-AE427)*AF427*AG427*AH427*AI427*AK427,0)</f>
        <v>216493</v>
      </c>
      <c r="AN427" s="7">
        <f t="shared" si="558"/>
        <v>216493</v>
      </c>
      <c r="AO427" s="7">
        <f>0</f>
        <v>0</v>
      </c>
      <c r="AP427" s="7">
        <f>MAX(0,1+INDEX(配置与结果!$J$15:$J$18,F427)+IF(T427&gt;0,方案参数!$BY$14,0)-配置与结果!$B$30)</f>
        <v>2</v>
      </c>
      <c r="AQ427" s="7">
        <f t="shared" si="559"/>
        <v>0</v>
      </c>
      <c r="AR427" s="7">
        <f t="shared" si="560"/>
        <v>0</v>
      </c>
      <c r="AS427" s="7">
        <f t="shared" si="561"/>
        <v>0</v>
      </c>
      <c r="AT427" s="7">
        <f>IF(U427&gt;0,ROUNDDOWN(AL427*方案参数!$AF$14,0)*(1-AJ427)+ROUNDDOWN(AM427*方案参数!$AF$14,0)*AJ427,0)</f>
        <v>0</v>
      </c>
      <c r="AU427" s="7">
        <f t="shared" si="562"/>
        <v>216493</v>
      </c>
      <c r="AV427" s="1">
        <f t="shared" si="563"/>
        <v>2</v>
      </c>
      <c r="AW427" s="1">
        <f t="shared" si="610"/>
        <v>10</v>
      </c>
      <c r="AX427" s="1">
        <f t="shared" si="564"/>
        <v>2</v>
      </c>
      <c r="AY427" s="1">
        <f>MIN(20,MAX(0,O427+0+0-0))</f>
        <v>2</v>
      </c>
      <c r="AZ427" s="1">
        <f t="shared" si="565"/>
        <v>5</v>
      </c>
      <c r="BA427" s="1">
        <f t="shared" si="601"/>
        <v>5</v>
      </c>
      <c r="BB427" s="1">
        <f t="shared" si="609"/>
        <v>20</v>
      </c>
      <c r="BC427" s="1">
        <f t="shared" si="607"/>
        <v>3</v>
      </c>
      <c r="BD427" s="1">
        <f t="shared" si="588"/>
        <v>1</v>
      </c>
      <c r="BE427" s="1">
        <f>MAX(0,U427-IF(AF427&gt;0,1,0))+1</f>
        <v>1</v>
      </c>
      <c r="BF427" s="1">
        <f t="shared" si="611"/>
        <v>4</v>
      </c>
      <c r="BG427" s="1">
        <f t="shared" si="598"/>
        <v>1</v>
      </c>
      <c r="BH427" s="1">
        <f t="shared" si="582"/>
        <v>1</v>
      </c>
      <c r="BI427" s="1">
        <f t="shared" si="599"/>
        <v>1</v>
      </c>
      <c r="BJ427" s="1">
        <f t="shared" si="602"/>
        <v>1</v>
      </c>
      <c r="BK427" s="1">
        <f t="shared" si="603"/>
        <v>1</v>
      </c>
      <c r="BL427" s="1">
        <f t="shared" si="608"/>
        <v>1</v>
      </c>
      <c r="BM427" s="1">
        <f t="shared" si="606"/>
        <v>1</v>
      </c>
      <c r="BN427" s="1">
        <f t="shared" si="583"/>
        <v>1</v>
      </c>
      <c r="BO427" s="1">
        <f t="shared" si="584"/>
        <v>1</v>
      </c>
    </row>
    <row r="428" spans="1:67" ht="30.95" customHeight="1">
      <c r="A428" s="1">
        <f>11</f>
        <v>11</v>
      </c>
      <c r="B428" s="1">
        <f>固定流程!A32</f>
        <v>27</v>
      </c>
      <c r="C428" s="1">
        <f>14</f>
        <v>14</v>
      </c>
      <c r="D428" s="1">
        <f>2</f>
        <v>2</v>
      </c>
      <c r="E428" s="1">
        <f>固定流程!C32</f>
        <v>3</v>
      </c>
      <c r="F428" s="1">
        <f>固定流程!G32</f>
        <v>1</v>
      </c>
      <c r="G428" s="1" t="str">
        <f>固定流程!H32</f>
        <v>LILYA_THIRD</v>
      </c>
      <c r="H428" s="1">
        <f>固定流程!F32</f>
        <v>1</v>
      </c>
      <c r="I428" s="1">
        <f>INDEX(配置与结果!$B$15:$B$18,F428)</f>
        <v>2296</v>
      </c>
      <c r="J428" s="1">
        <f>INDEX(配置与结果!$D$15:$D$18,F428)</f>
        <v>0.7</v>
      </c>
      <c r="K428" s="1">
        <f>INDEX(配置与结果!$E$15:$E$18,F428)</f>
        <v>2.0249999999999999</v>
      </c>
      <c r="L428" s="1">
        <f t="shared" si="595"/>
        <v>2</v>
      </c>
      <c r="M428" s="1">
        <f t="shared" si="596"/>
        <v>10</v>
      </c>
      <c r="N428" s="1">
        <f t="shared" si="597"/>
        <v>2</v>
      </c>
      <c r="O428" s="1">
        <f t="shared" si="589"/>
        <v>2</v>
      </c>
      <c r="P428" s="1">
        <f>MIN(方案参数!$AI$14,AZ427+0+0)</f>
        <v>5</v>
      </c>
      <c r="Q428" s="1">
        <f t="shared" si="567"/>
        <v>5</v>
      </c>
      <c r="R428" s="1">
        <f t="shared" si="568"/>
        <v>20</v>
      </c>
      <c r="S428" s="1">
        <f t="shared" si="569"/>
        <v>3</v>
      </c>
      <c r="T428" s="1">
        <f t="shared" si="604"/>
        <v>1</v>
      </c>
      <c r="U428" s="1">
        <f t="shared" si="571"/>
        <v>1</v>
      </c>
      <c r="V428" s="1">
        <f t="shared" si="572"/>
        <v>4</v>
      </c>
      <c r="W428" s="1">
        <f t="shared" si="573"/>
        <v>1</v>
      </c>
      <c r="X428" s="1">
        <f t="shared" si="574"/>
        <v>1</v>
      </c>
      <c r="Y428" s="1">
        <f t="shared" si="575"/>
        <v>1</v>
      </c>
      <c r="Z428" s="1">
        <f t="shared" si="576"/>
        <v>1</v>
      </c>
      <c r="AA428" s="1">
        <f t="shared" si="600"/>
        <v>1</v>
      </c>
      <c r="AB428" s="1">
        <f t="shared" si="578"/>
        <v>1</v>
      </c>
      <c r="AC428" s="1">
        <f t="shared" si="605"/>
        <v>1</v>
      </c>
      <c r="AD428" s="1">
        <f>ROUNDDOWN(I428*(1+IF(F428=3,0.05+方案参数!$Y$14+AA428*0.12,IF(F428=4,方案参数!$BZ$14*方案参数!$AS$14,0)))+IF(AND(X428=1,F428&lt;&gt;3),方案参数!$CC$14,0)+AC428*方案参数!$CB$14,0)</f>
        <v>3134</v>
      </c>
      <c r="AE428" s="1">
        <f>IF(OR(F428=1,F428=4),配置与结果!$B$24,配置与结果!$B$25)*MAX(0,1-INDEX(配置与结果!$I$15:$I$18,F428))</f>
        <v>1200</v>
      </c>
      <c r="AF428" s="1">
        <f>方案参数!$BM$14</f>
        <v>20</v>
      </c>
      <c r="AG428" s="1">
        <f>MAX(配置与结果!$B$32,1+INDEX(配置与结果!$F$15:$F$18,F428)+0.08+方案参数!$CD$14+Q428*方案参数!$W$14+Y428*(方案参数!$AN$14+MIN(方案参数!$AO$14,P428*0.03))+AB428*方案参数!$BZ$14*0.025-配置与结果!$B$28+方案参数!$AE$14)</f>
        <v>2.915</v>
      </c>
      <c r="AH428" s="1">
        <f>MAX(0,1+V428*方案参数!$U$14+3*方案参数!$V$14+方案参数!$AE$14-配置与结果!$B$29)</f>
        <v>2.04</v>
      </c>
      <c r="AI428" s="1">
        <f>IF(OR(INDEX(配置与结果!$K$15:$K$18,F428)=1,G428="RHI_BERRY"),1+配置与结果!$B$33+P428*方案参数!$AH$14,1)</f>
        <v>1</v>
      </c>
      <c r="AJ428" s="1">
        <f>MIN(1,MAX(0,J428+方案参数!$AB$14-配置与结果!$B$27))</f>
        <v>1</v>
      </c>
      <c r="AK428" s="1">
        <f>MAX(1,K428+IF(F428=2,0.15+方案参数!$CH$14,0)+BN428*方案参数!$X$14+R428*方案参数!$AA$14+方案参数!$BQ$14-配置与结果!$B$26+Z428*(方案参数!$AP$14+MIN(方案参数!$AQ$14,P428*0.03)))</f>
        <v>2.9650000000000003</v>
      </c>
      <c r="AL428" s="7">
        <f>ROUNDDOWN(MAX(AD428*配置与结果!$B$31,AD428-AE428)*AF428*AG428*AH428*AI428,0)</f>
        <v>230014</v>
      </c>
      <c r="AM428" s="7">
        <f>ROUNDDOWN(MAX(AD428*配置与结果!$B$31,AD428-AE428)*AF428*AG428*AH428*AI428*AK428,0)</f>
        <v>681992</v>
      </c>
      <c r="AN428" s="7">
        <f t="shared" si="558"/>
        <v>681992</v>
      </c>
      <c r="AO428" s="7">
        <f>0</f>
        <v>0</v>
      </c>
      <c r="AP428" s="7">
        <f>MAX(0,1+INDEX(配置与结果!$J$15:$J$18,F428)+IF(T428&gt;0,方案参数!$BY$14,0)-配置与结果!$B$30)</f>
        <v>2</v>
      </c>
      <c r="AQ428" s="7">
        <f t="shared" si="559"/>
        <v>0</v>
      </c>
      <c r="AR428" s="7">
        <f t="shared" si="560"/>
        <v>0</v>
      </c>
      <c r="AS428" s="7">
        <f t="shared" si="561"/>
        <v>0</v>
      </c>
      <c r="AT428" s="7">
        <f>IF(U428&gt;0,ROUNDDOWN(AL428*方案参数!$AF$14,0)*(1-AJ428)+ROUNDDOWN(AM428*方案参数!$AF$14,0)*AJ428,0)</f>
        <v>409195</v>
      </c>
      <c r="AU428" s="7">
        <f t="shared" si="562"/>
        <v>1091187</v>
      </c>
      <c r="AV428" s="1">
        <f t="shared" si="563"/>
        <v>2</v>
      </c>
      <c r="AW428" s="1">
        <f t="shared" si="610"/>
        <v>10</v>
      </c>
      <c r="AX428" s="1">
        <f t="shared" si="564"/>
        <v>2</v>
      </c>
      <c r="AY428" s="1">
        <f>MIN(20,MAX(0,O428+0+1-0))</f>
        <v>3</v>
      </c>
      <c r="AZ428" s="1">
        <f t="shared" si="565"/>
        <v>5</v>
      </c>
      <c r="BA428" s="1">
        <f t="shared" si="601"/>
        <v>5</v>
      </c>
      <c r="BB428" s="1">
        <f t="shared" si="609"/>
        <v>20</v>
      </c>
      <c r="BC428" s="1">
        <f t="shared" si="607"/>
        <v>3</v>
      </c>
      <c r="BD428" s="1">
        <f t="shared" si="588"/>
        <v>1</v>
      </c>
      <c r="BE428" s="1">
        <f>MAX(0,U428-IF(AF428&gt;0,1,0))+0</f>
        <v>0</v>
      </c>
      <c r="BF428" s="1">
        <f t="shared" si="611"/>
        <v>4</v>
      </c>
      <c r="BG428" s="1">
        <f t="shared" si="598"/>
        <v>1</v>
      </c>
      <c r="BH428" s="1">
        <f t="shared" si="582"/>
        <v>1</v>
      </c>
      <c r="BI428" s="1">
        <f t="shared" si="599"/>
        <v>1</v>
      </c>
      <c r="BJ428" s="1">
        <f t="shared" si="602"/>
        <v>1</v>
      </c>
      <c r="BK428" s="1">
        <f t="shared" si="603"/>
        <v>1</v>
      </c>
      <c r="BL428" s="1">
        <f t="shared" si="608"/>
        <v>1</v>
      </c>
      <c r="BM428" s="1">
        <f t="shared" si="606"/>
        <v>1</v>
      </c>
      <c r="BN428" s="1">
        <f t="shared" si="583"/>
        <v>1</v>
      </c>
      <c r="BO428" s="1">
        <f t="shared" si="584"/>
        <v>1</v>
      </c>
    </row>
    <row r="429" spans="1:67" ht="30.95" customHeight="1">
      <c r="A429" s="1">
        <f>11</f>
        <v>11</v>
      </c>
      <c r="B429" s="1">
        <f>固定流程!A33</f>
        <v>28</v>
      </c>
      <c r="C429" s="1">
        <f>14</f>
        <v>14</v>
      </c>
      <c r="D429" s="1">
        <f>2</f>
        <v>2</v>
      </c>
      <c r="E429" s="1">
        <f>固定流程!C33</f>
        <v>3</v>
      </c>
      <c r="F429" s="1">
        <f>固定流程!G33</f>
        <v>1</v>
      </c>
      <c r="G429" s="1" t="str">
        <f>固定流程!H33</f>
        <v>LILYA_WEAK</v>
      </c>
      <c r="H429" s="1">
        <f>固定流程!F33</f>
        <v>1</v>
      </c>
      <c r="I429" s="1">
        <f>INDEX(配置与结果!$B$15:$B$18,F429)</f>
        <v>2296</v>
      </c>
      <c r="J429" s="1">
        <f>INDEX(配置与结果!$D$15:$D$18,F429)</f>
        <v>0.7</v>
      </c>
      <c r="K429" s="1">
        <f>INDEX(配置与结果!$E$15:$E$18,F429)</f>
        <v>2.0249999999999999</v>
      </c>
      <c r="L429" s="1">
        <f t="shared" si="595"/>
        <v>2</v>
      </c>
      <c r="M429" s="1">
        <f t="shared" si="596"/>
        <v>10</v>
      </c>
      <c r="N429" s="1">
        <f t="shared" si="597"/>
        <v>2</v>
      </c>
      <c r="O429" s="1">
        <f t="shared" si="589"/>
        <v>3</v>
      </c>
      <c r="P429" s="1">
        <f>MIN(方案参数!$AI$14,AZ428+0+0)</f>
        <v>5</v>
      </c>
      <c r="Q429" s="1">
        <f t="shared" si="567"/>
        <v>5</v>
      </c>
      <c r="R429" s="1">
        <f t="shared" si="568"/>
        <v>20</v>
      </c>
      <c r="S429" s="1">
        <f t="shared" si="569"/>
        <v>3</v>
      </c>
      <c r="T429" s="1">
        <f t="shared" si="604"/>
        <v>1</v>
      </c>
      <c r="U429" s="1">
        <f t="shared" si="571"/>
        <v>0</v>
      </c>
      <c r="V429" s="1">
        <f t="shared" si="572"/>
        <v>4</v>
      </c>
      <c r="W429" s="1">
        <f t="shared" si="573"/>
        <v>1</v>
      </c>
      <c r="X429" s="1">
        <f t="shared" si="574"/>
        <v>1</v>
      </c>
      <c r="Y429" s="1">
        <f t="shared" si="575"/>
        <v>1</v>
      </c>
      <c r="Z429" s="1">
        <f t="shared" si="576"/>
        <v>1</v>
      </c>
      <c r="AA429" s="1">
        <f t="shared" si="600"/>
        <v>1</v>
      </c>
      <c r="AB429" s="1">
        <f t="shared" si="578"/>
        <v>1</v>
      </c>
      <c r="AC429" s="1">
        <f t="shared" si="605"/>
        <v>1</v>
      </c>
      <c r="AD429" s="1">
        <f>ROUNDDOWN(I429*(1+IF(F429=3,0.05+方案参数!$Y$14+AA429*0.12,IF(F429=4,方案参数!$BZ$14*方案参数!$AS$14,0)))+IF(AND(X429=1,F429&lt;&gt;3),方案参数!$CC$14,0)+AC429*方案参数!$CB$14,0)</f>
        <v>3134</v>
      </c>
      <c r="AE429" s="1">
        <f>IF(OR(F429=1,F429=4),配置与结果!$B$24,配置与结果!$B$25)*MAX(0,1-INDEX(配置与结果!$I$15:$I$18,F429))</f>
        <v>1200</v>
      </c>
      <c r="AF429" s="1">
        <f>方案参数!$BL$14</f>
        <v>9</v>
      </c>
      <c r="AG429" s="1">
        <f>MAX(配置与结果!$B$32,1+INDEX(配置与结果!$F$15:$F$18,F429)+0.08+方案参数!$CD$14+Q429*方案参数!$W$14+Y429*(方案参数!$AN$14+MIN(方案参数!$AO$14,P429*0.03))+AB429*方案参数!$BZ$14*0.025-配置与结果!$B$28+方案参数!$AE$14)</f>
        <v>2.915</v>
      </c>
      <c r="AH429" s="1">
        <f>MAX(0,1+V429*方案参数!$U$14+4*方案参数!$V$14+方案参数!$AE$14-配置与结果!$B$29)</f>
        <v>2.0999999999999996</v>
      </c>
      <c r="AI429" s="1">
        <f>IF(OR(INDEX(配置与结果!$K$15:$K$18,F429)=1,G429="RHI_BERRY"),1+配置与结果!$B$33+P429*方案参数!$AH$14,1)</f>
        <v>1</v>
      </c>
      <c r="AJ429" s="1">
        <f>MIN(1,MAX(0,J429+方案参数!$AB$14-配置与结果!$B$27))</f>
        <v>1</v>
      </c>
      <c r="AK429" s="1">
        <f>MAX(1,K429+IF(F429=2,0.15+方案参数!$CH$14,0)+BN429*方案参数!$X$14+R429*方案参数!$AA$14+方案参数!$BP$14-配置与结果!$B$26+Z429*(方案参数!$AP$14+MIN(方案参数!$AQ$14,P429*0.03)))</f>
        <v>2.7650000000000001</v>
      </c>
      <c r="AL429" s="7">
        <f>ROUNDDOWN(MAX(AD429*配置与结果!$B$31,AD429-AE429)*AF429*AG429*AH429*AI429,0)</f>
        <v>106550</v>
      </c>
      <c r="AM429" s="7">
        <f>ROUNDDOWN(MAX(AD429*配置与结果!$B$31,AD429-AE429)*AF429*AG429*AH429*AI429*AK429,0)</f>
        <v>294613</v>
      </c>
      <c r="AN429" s="7">
        <f t="shared" si="558"/>
        <v>294613</v>
      </c>
      <c r="AO429" s="7">
        <f>0</f>
        <v>0</v>
      </c>
      <c r="AP429" s="7">
        <f>MAX(0,1+INDEX(配置与结果!$J$15:$J$18,F429)+IF(T429&gt;0,方案参数!$BY$14,0)-配置与结果!$B$30)</f>
        <v>2</v>
      </c>
      <c r="AQ429" s="7">
        <f t="shared" si="559"/>
        <v>0</v>
      </c>
      <c r="AR429" s="7">
        <f t="shared" si="560"/>
        <v>0</v>
      </c>
      <c r="AS429" s="7">
        <f t="shared" si="561"/>
        <v>0</v>
      </c>
      <c r="AT429" s="7">
        <f>IF(U429&gt;0,ROUNDDOWN(AL429*方案参数!$AF$14,0)*(1-AJ429)+ROUNDDOWN(AM429*方案参数!$AF$14,0)*AJ429,0)</f>
        <v>0</v>
      </c>
      <c r="AU429" s="7">
        <f t="shared" si="562"/>
        <v>294613</v>
      </c>
      <c r="AV429" s="1">
        <f t="shared" si="563"/>
        <v>2</v>
      </c>
      <c r="AW429" s="1">
        <f t="shared" si="610"/>
        <v>10</v>
      </c>
      <c r="AX429" s="1">
        <f t="shared" si="564"/>
        <v>2</v>
      </c>
      <c r="AY429" s="1">
        <f>MIN(20,MAX(0,O429+0+1-0))</f>
        <v>4</v>
      </c>
      <c r="AZ429" s="1">
        <f t="shared" si="565"/>
        <v>5</v>
      </c>
      <c r="BA429" s="1">
        <f t="shared" si="601"/>
        <v>5</v>
      </c>
      <c r="BB429" s="1">
        <f t="shared" si="609"/>
        <v>20</v>
      </c>
      <c r="BC429" s="1">
        <f t="shared" si="607"/>
        <v>3</v>
      </c>
      <c r="BD429" s="1">
        <f t="shared" si="588"/>
        <v>1</v>
      </c>
      <c r="BE429" s="1">
        <f>MAX(0,U429-IF(AF429&gt;0,1,0))+0</f>
        <v>0</v>
      </c>
      <c r="BF429" s="1">
        <f t="shared" si="611"/>
        <v>4</v>
      </c>
      <c r="BG429" s="1">
        <f t="shared" si="598"/>
        <v>1</v>
      </c>
      <c r="BH429" s="1">
        <f t="shared" si="582"/>
        <v>1</v>
      </c>
      <c r="BI429" s="1">
        <f t="shared" si="599"/>
        <v>1</v>
      </c>
      <c r="BJ429" s="1">
        <f t="shared" si="602"/>
        <v>1</v>
      </c>
      <c r="BK429" s="1">
        <f t="shared" si="603"/>
        <v>1</v>
      </c>
      <c r="BL429" s="1">
        <f t="shared" si="608"/>
        <v>1</v>
      </c>
      <c r="BM429" s="1">
        <f t="shared" si="606"/>
        <v>1</v>
      </c>
      <c r="BN429" s="1">
        <f t="shared" si="583"/>
        <v>1</v>
      </c>
      <c r="BO429" s="1">
        <f t="shared" si="584"/>
        <v>1</v>
      </c>
    </row>
    <row r="430" spans="1:67" ht="30.95" customHeight="1">
      <c r="A430" s="1">
        <f>11</f>
        <v>11</v>
      </c>
      <c r="B430" s="1">
        <f>固定流程!A34</f>
        <v>29</v>
      </c>
      <c r="C430" s="1">
        <f>14</f>
        <v>14</v>
      </c>
      <c r="D430" s="1">
        <f>2</f>
        <v>2</v>
      </c>
      <c r="E430" s="1">
        <f>固定流程!C34</f>
        <v>3</v>
      </c>
      <c r="F430" s="1">
        <f>固定流程!G34</f>
        <v>1</v>
      </c>
      <c r="G430" s="1" t="str">
        <f>固定流程!H34</f>
        <v>LILYA_WEAK</v>
      </c>
      <c r="H430" s="1">
        <f>固定流程!F34</f>
        <v>1</v>
      </c>
      <c r="I430" s="1">
        <f>INDEX(配置与结果!$B$15:$B$18,F430)</f>
        <v>2296</v>
      </c>
      <c r="J430" s="1">
        <f>INDEX(配置与结果!$D$15:$D$18,F430)</f>
        <v>0.7</v>
      </c>
      <c r="K430" s="1">
        <f>INDEX(配置与结果!$E$15:$E$18,F430)</f>
        <v>2.0249999999999999</v>
      </c>
      <c r="L430" s="1">
        <f t="shared" si="595"/>
        <v>2</v>
      </c>
      <c r="M430" s="1">
        <f t="shared" si="596"/>
        <v>10</v>
      </c>
      <c r="N430" s="1">
        <f t="shared" si="597"/>
        <v>2</v>
      </c>
      <c r="O430" s="1">
        <f t="shared" si="589"/>
        <v>4</v>
      </c>
      <c r="P430" s="1">
        <f>MIN(方案参数!$AI$14,AZ429+0+0)</f>
        <v>5</v>
      </c>
      <c r="Q430" s="1">
        <f t="shared" si="567"/>
        <v>5</v>
      </c>
      <c r="R430" s="1">
        <f t="shared" si="568"/>
        <v>20</v>
      </c>
      <c r="S430" s="1">
        <f t="shared" si="569"/>
        <v>3</v>
      </c>
      <c r="T430" s="1">
        <f t="shared" si="604"/>
        <v>1</v>
      </c>
      <c r="U430" s="1">
        <f t="shared" si="571"/>
        <v>0</v>
      </c>
      <c r="V430" s="1">
        <f t="shared" si="572"/>
        <v>4</v>
      </c>
      <c r="W430" s="1">
        <f t="shared" si="573"/>
        <v>1</v>
      </c>
      <c r="X430" s="1">
        <f t="shared" si="574"/>
        <v>1</v>
      </c>
      <c r="Y430" s="1">
        <f t="shared" si="575"/>
        <v>1</v>
      </c>
      <c r="Z430" s="1">
        <f t="shared" si="576"/>
        <v>1</v>
      </c>
      <c r="AA430" s="1">
        <f t="shared" si="600"/>
        <v>1</v>
      </c>
      <c r="AB430" s="1">
        <f t="shared" si="578"/>
        <v>1</v>
      </c>
      <c r="AC430" s="1">
        <f t="shared" si="605"/>
        <v>1</v>
      </c>
      <c r="AD430" s="1">
        <f>ROUNDDOWN(I430*(1+IF(F430=3,0.05+方案参数!$Y$14+AA430*0.12,IF(F430=4,方案参数!$BZ$14*方案参数!$AS$14,0)))+IF(AND(X430=1,F430&lt;&gt;3),方案参数!$CC$14,0)+AC430*方案参数!$CB$14,0)</f>
        <v>3134</v>
      </c>
      <c r="AE430" s="1">
        <f>IF(OR(F430=1,F430=4),配置与结果!$B$24,配置与结果!$B$25)*MAX(0,1-INDEX(配置与结果!$I$15:$I$18,F430))</f>
        <v>1200</v>
      </c>
      <c r="AF430" s="1">
        <f>方案参数!$BL$14</f>
        <v>9</v>
      </c>
      <c r="AG430" s="1">
        <f>MAX(配置与结果!$B$32,1+INDEX(配置与结果!$F$15:$F$18,F430)+0.08+方案参数!$CD$14+Q430*方案参数!$W$14+Y430*(方案参数!$AN$14+MIN(方案参数!$AO$14,P430*0.03))+AB430*方案参数!$BZ$14*0.025-配置与结果!$B$28+方案参数!$AE$14)</f>
        <v>2.915</v>
      </c>
      <c r="AH430" s="1">
        <f>MAX(0,1+V430*方案参数!$U$14+5*方案参数!$V$14+方案参数!$AE$14-配置与结果!$B$29)</f>
        <v>2.16</v>
      </c>
      <c r="AI430" s="1">
        <f>IF(OR(INDEX(配置与结果!$K$15:$K$18,F430)=1,G430="RHI_BERRY"),1+配置与结果!$B$33+P430*方案参数!$AH$14,1)</f>
        <v>1</v>
      </c>
      <c r="AJ430" s="1">
        <f>MIN(1,MAX(0,J430+方案参数!$AB$14-配置与结果!$B$27))</f>
        <v>1</v>
      </c>
      <c r="AK430" s="1">
        <f>MAX(1,K430+IF(F430=2,0.15+方案参数!$CH$14,0)+BN430*方案参数!$X$14+R430*方案参数!$AA$14+方案参数!$BP$14-配置与结果!$B$26+Z430*(方案参数!$AP$14+MIN(方案参数!$AQ$14,P430*0.03)))</f>
        <v>2.7650000000000001</v>
      </c>
      <c r="AL430" s="7">
        <f>ROUNDDOWN(MAX(AD430*配置与结果!$B$31,AD430-AE430)*AF430*AG430*AH430*AI430,0)</f>
        <v>109595</v>
      </c>
      <c r="AM430" s="7">
        <f>ROUNDDOWN(MAX(AD430*配置与结果!$B$31,AD430-AE430)*AF430*AG430*AH430*AI430*AK430,0)</f>
        <v>303030</v>
      </c>
      <c r="AN430" s="7">
        <f t="shared" si="558"/>
        <v>303030</v>
      </c>
      <c r="AO430" s="7">
        <f>0</f>
        <v>0</v>
      </c>
      <c r="AP430" s="7">
        <f>MAX(0,1+INDEX(配置与结果!$J$15:$J$18,F430)+IF(T430&gt;0,方案参数!$BY$14,0)-配置与结果!$B$30)</f>
        <v>2</v>
      </c>
      <c r="AQ430" s="7">
        <f t="shared" si="559"/>
        <v>0</v>
      </c>
      <c r="AR430" s="7">
        <f t="shared" si="560"/>
        <v>0</v>
      </c>
      <c r="AS430" s="7">
        <f t="shared" si="561"/>
        <v>0</v>
      </c>
      <c r="AT430" s="7">
        <f>IF(U430&gt;0,ROUNDDOWN(AL430*方案参数!$AF$14,0)*(1-AJ430)+ROUNDDOWN(AM430*方案参数!$AF$14,0)*AJ430,0)</f>
        <v>0</v>
      </c>
      <c r="AU430" s="7">
        <f t="shared" si="562"/>
        <v>303030</v>
      </c>
      <c r="AV430" s="1">
        <f t="shared" si="563"/>
        <v>2</v>
      </c>
      <c r="AW430" s="1">
        <f t="shared" si="610"/>
        <v>10</v>
      </c>
      <c r="AX430" s="1">
        <f t="shared" si="564"/>
        <v>2</v>
      </c>
      <c r="AY430" s="1">
        <f>MIN(20,MAX(0,O430+0+1-0))</f>
        <v>5</v>
      </c>
      <c r="AZ430" s="1">
        <f t="shared" si="565"/>
        <v>5</v>
      </c>
      <c r="BA430" s="1">
        <f t="shared" si="601"/>
        <v>5</v>
      </c>
      <c r="BB430" s="1">
        <f t="shared" si="609"/>
        <v>20</v>
      </c>
      <c r="BC430" s="1">
        <f t="shared" si="607"/>
        <v>3</v>
      </c>
      <c r="BD430" s="1">
        <f t="shared" si="588"/>
        <v>1</v>
      </c>
      <c r="BE430" s="1">
        <f>MAX(0,U430-IF(AF430&gt;0,1,0))+0</f>
        <v>0</v>
      </c>
      <c r="BF430" s="1">
        <f t="shared" si="611"/>
        <v>4</v>
      </c>
      <c r="BG430" s="1">
        <f t="shared" si="598"/>
        <v>1</v>
      </c>
      <c r="BH430" s="1">
        <f t="shared" si="582"/>
        <v>1</v>
      </c>
      <c r="BI430" s="1">
        <f t="shared" si="599"/>
        <v>1</v>
      </c>
      <c r="BJ430" s="1">
        <f t="shared" si="602"/>
        <v>1</v>
      </c>
      <c r="BK430" s="1">
        <f t="shared" si="603"/>
        <v>1</v>
      </c>
      <c r="BL430" s="1">
        <f t="shared" si="608"/>
        <v>1</v>
      </c>
      <c r="BM430" s="1">
        <f t="shared" si="606"/>
        <v>1</v>
      </c>
      <c r="BN430" s="1">
        <f t="shared" si="583"/>
        <v>1</v>
      </c>
      <c r="BO430" s="1">
        <f t="shared" si="584"/>
        <v>1</v>
      </c>
    </row>
    <row r="431" spans="1:67" ht="30.95" customHeight="1">
      <c r="A431" s="1">
        <f>11</f>
        <v>11</v>
      </c>
      <c r="B431" s="1">
        <f>固定流程!A35</f>
        <v>30</v>
      </c>
      <c r="C431" s="1">
        <f>14</f>
        <v>14</v>
      </c>
      <c r="D431" s="1">
        <f>2</f>
        <v>2</v>
      </c>
      <c r="E431" s="1">
        <f>固定流程!C35</f>
        <v>3</v>
      </c>
      <c r="F431" s="1">
        <f>固定流程!G35</f>
        <v>2</v>
      </c>
      <c r="G431" s="1" t="str">
        <f>固定流程!H35</f>
        <v>37_WEAK</v>
      </c>
      <c r="H431" s="1">
        <f>固定流程!F35</f>
        <v>1</v>
      </c>
      <c r="I431" s="1">
        <f>INDEX(配置与结果!$B$15:$B$18,F431)</f>
        <v>2306</v>
      </c>
      <c r="J431" s="1">
        <f>INDEX(配置与结果!$D$15:$D$18,F431)</f>
        <v>0.46</v>
      </c>
      <c r="K431" s="1">
        <f>INDEX(配置与结果!$E$15:$E$18,F431)</f>
        <v>1.9279999999999999</v>
      </c>
      <c r="L431" s="1">
        <f t="shared" si="595"/>
        <v>2</v>
      </c>
      <c r="M431" s="1">
        <f t="shared" si="596"/>
        <v>10</v>
      </c>
      <c r="N431" s="1">
        <f t="shared" si="597"/>
        <v>2</v>
      </c>
      <c r="O431" s="1">
        <f t="shared" si="589"/>
        <v>5</v>
      </c>
      <c r="P431" s="1">
        <f>MIN(方案参数!$AI$14,AZ430+0+0)</f>
        <v>5</v>
      </c>
      <c r="Q431" s="1">
        <f t="shared" si="567"/>
        <v>5</v>
      </c>
      <c r="R431" s="1">
        <f t="shared" si="568"/>
        <v>20</v>
      </c>
      <c r="S431" s="1">
        <f t="shared" si="569"/>
        <v>3</v>
      </c>
      <c r="T431" s="1">
        <f t="shared" si="604"/>
        <v>1</v>
      </c>
      <c r="U431" s="1">
        <f t="shared" si="571"/>
        <v>0</v>
      </c>
      <c r="V431" s="1">
        <f t="shared" si="572"/>
        <v>4</v>
      </c>
      <c r="W431" s="1">
        <f t="shared" si="573"/>
        <v>1</v>
      </c>
      <c r="X431" s="1">
        <f t="shared" si="574"/>
        <v>1</v>
      </c>
      <c r="Y431" s="1">
        <f t="shared" si="575"/>
        <v>1</v>
      </c>
      <c r="Z431" s="1">
        <f t="shared" si="576"/>
        <v>1</v>
      </c>
      <c r="AA431" s="1">
        <f t="shared" si="600"/>
        <v>1</v>
      </c>
      <c r="AB431" s="1">
        <f t="shared" si="578"/>
        <v>1</v>
      </c>
      <c r="AC431" s="1">
        <f t="shared" si="605"/>
        <v>1</v>
      </c>
      <c r="AD431" s="1">
        <f>ROUNDDOWN(I431*(1+IF(F431=3,0.05+方案参数!$Y$14+AA431*0.12,IF(F431=4,方案参数!$BZ$14*方案参数!$AS$14,0)))+IF(AND(X431=1,F431&lt;&gt;3),方案参数!$CC$14,0)+AC431*方案参数!$CB$14,0)</f>
        <v>3144</v>
      </c>
      <c r="AE431" s="1">
        <f>IF(OR(F431=1,F431=4),配置与结果!$B$24,配置与结果!$B$25)*MAX(0,1-INDEX(配置与结果!$I$15:$I$18,F431))</f>
        <v>1000</v>
      </c>
      <c r="AF431" s="1">
        <f>方案参数!$CE$14</f>
        <v>9</v>
      </c>
      <c r="AG431" s="1">
        <f>MAX(配置与结果!$B$32,1+INDEX(配置与结果!$F$15:$F$18,F431)+0+Q431*方案参数!$W$14+Y431*(方案参数!$AN$14+MIN(方案参数!$AO$14,P431*0.03))+AB431*方案参数!$BZ$14*0.025-配置与结果!$B$28+方案参数!$AE$14)</f>
        <v>2.58</v>
      </c>
      <c r="AH431" s="1">
        <f>MAX(0,1+V431*方案参数!$U$14+方案参数!$AE$14-配置与结果!$B$29)</f>
        <v>1.8599999999999999</v>
      </c>
      <c r="AI431" s="1">
        <f>IF(OR(INDEX(配置与结果!$K$15:$K$18,F431)=1,G431="RHI_BERRY"),1+配置与结果!$B$33+P431*方案参数!$AH$14,1)</f>
        <v>1</v>
      </c>
      <c r="AJ431" s="1">
        <f>MIN(1,MAX(0,J431+方案参数!$AB$14-配置与结果!$B$27))</f>
        <v>1</v>
      </c>
      <c r="AK431" s="1">
        <f>MAX(1,K431+IF(F431=2,0.15+方案参数!$CH$14,0)+BN431*方案参数!$X$14+R431*方案参数!$AA$14+0-配置与结果!$B$26+Z431*(方案参数!$AP$14+MIN(方案参数!$AQ$14,P431*0.03)))</f>
        <v>2.3380000000000001</v>
      </c>
      <c r="AL431" s="7">
        <f>ROUNDDOWN(MAX(AD431*配置与结果!$B$31,AD431-AE431)*AF431*AG431*AH431*AI431,0)</f>
        <v>92597</v>
      </c>
      <c r="AM431" s="7">
        <f>ROUNDDOWN(MAX(AD431*配置与结果!$B$31,AD431-AE431)*AF431*AG431*AH431*AI431*AK431,0)</f>
        <v>216493</v>
      </c>
      <c r="AN431" s="7">
        <f t="shared" si="558"/>
        <v>216493</v>
      </c>
      <c r="AO431" s="7">
        <f>0</f>
        <v>0</v>
      </c>
      <c r="AP431" s="7">
        <f>MAX(0,1+INDEX(配置与结果!$J$15:$J$18,F431)+IF(T431&gt;0,方案参数!$BY$14,0)-配置与结果!$B$30)</f>
        <v>2</v>
      </c>
      <c r="AQ431" s="7">
        <f t="shared" si="559"/>
        <v>0</v>
      </c>
      <c r="AR431" s="7">
        <f t="shared" si="560"/>
        <v>0</v>
      </c>
      <c r="AS431" s="7">
        <f t="shared" si="561"/>
        <v>0</v>
      </c>
      <c r="AT431" s="7">
        <f>IF(U431&gt;0,ROUNDDOWN(AL431*方案参数!$AF$14,0)*(1-AJ431)+ROUNDDOWN(AM431*方案参数!$AF$14,0)*AJ431,0)</f>
        <v>0</v>
      </c>
      <c r="AU431" s="7">
        <f t="shared" si="562"/>
        <v>216493</v>
      </c>
      <c r="AV431" s="1">
        <f t="shared" si="563"/>
        <v>2</v>
      </c>
      <c r="AW431" s="1">
        <f t="shared" si="610"/>
        <v>10</v>
      </c>
      <c r="AX431" s="1">
        <f t="shared" si="564"/>
        <v>2</v>
      </c>
      <c r="AY431" s="1">
        <f>MIN(20,MAX(0,O431+0+0-0))</f>
        <v>5</v>
      </c>
      <c r="AZ431" s="1">
        <f t="shared" si="565"/>
        <v>5</v>
      </c>
      <c r="BA431" s="1">
        <f t="shared" si="601"/>
        <v>5</v>
      </c>
      <c r="BB431" s="1">
        <f t="shared" si="609"/>
        <v>20</v>
      </c>
      <c r="BC431" s="1">
        <f t="shared" si="607"/>
        <v>3</v>
      </c>
      <c r="BD431" s="1">
        <f t="shared" si="588"/>
        <v>1</v>
      </c>
      <c r="BE431" s="1">
        <f>MAX(0,U431-IF(AF431&gt;0,1,0))+1</f>
        <v>1</v>
      </c>
      <c r="BF431" s="1">
        <f t="shared" si="611"/>
        <v>4</v>
      </c>
      <c r="BG431" s="1">
        <f t="shared" si="598"/>
        <v>1</v>
      </c>
      <c r="BH431" s="1">
        <f t="shared" si="582"/>
        <v>1</v>
      </c>
      <c r="BI431" s="1">
        <f t="shared" si="599"/>
        <v>1</v>
      </c>
      <c r="BJ431" s="1">
        <f t="shared" si="602"/>
        <v>1</v>
      </c>
      <c r="BK431" s="1">
        <f t="shared" si="603"/>
        <v>1</v>
      </c>
      <c r="BL431" s="1">
        <f t="shared" si="608"/>
        <v>1</v>
      </c>
      <c r="BM431" s="1">
        <f t="shared" si="606"/>
        <v>1</v>
      </c>
      <c r="BN431" s="1">
        <f t="shared" si="583"/>
        <v>1</v>
      </c>
      <c r="BO431" s="1">
        <f t="shared" si="584"/>
        <v>1</v>
      </c>
    </row>
    <row r="432" spans="1:67" ht="30.95" customHeight="1">
      <c r="A432" s="1">
        <f>11</f>
        <v>11</v>
      </c>
      <c r="B432" s="1">
        <f>固定流程!A36</f>
        <v>31</v>
      </c>
      <c r="C432" s="1">
        <f>14</f>
        <v>14</v>
      </c>
      <c r="D432" s="1">
        <f>2</f>
        <v>2</v>
      </c>
      <c r="E432" s="1">
        <f>固定流程!C36</f>
        <v>3</v>
      </c>
      <c r="F432" s="1">
        <f>固定流程!G36</f>
        <v>1</v>
      </c>
      <c r="G432" s="1" t="str">
        <f>固定流程!H36</f>
        <v>LILYA_THIRD</v>
      </c>
      <c r="H432" s="1">
        <f>固定流程!F36</f>
        <v>1</v>
      </c>
      <c r="I432" s="1">
        <f>INDEX(配置与结果!$B$15:$B$18,F432)</f>
        <v>2296</v>
      </c>
      <c r="J432" s="1">
        <f>INDEX(配置与结果!$D$15:$D$18,F432)</f>
        <v>0.7</v>
      </c>
      <c r="K432" s="1">
        <f>INDEX(配置与结果!$E$15:$E$18,F432)</f>
        <v>2.0249999999999999</v>
      </c>
      <c r="L432" s="1">
        <f t="shared" si="595"/>
        <v>2</v>
      </c>
      <c r="M432" s="1">
        <f t="shared" si="596"/>
        <v>10</v>
      </c>
      <c r="N432" s="1">
        <f t="shared" si="597"/>
        <v>2</v>
      </c>
      <c r="O432" s="1">
        <f t="shared" si="589"/>
        <v>5</v>
      </c>
      <c r="P432" s="1">
        <f>MIN(方案参数!$AI$14,AZ431+0+0)</f>
        <v>5</v>
      </c>
      <c r="Q432" s="1">
        <f t="shared" si="567"/>
        <v>5</v>
      </c>
      <c r="R432" s="1">
        <f t="shared" si="568"/>
        <v>20</v>
      </c>
      <c r="S432" s="1">
        <f t="shared" si="569"/>
        <v>3</v>
      </c>
      <c r="T432" s="1">
        <f t="shared" si="604"/>
        <v>1</v>
      </c>
      <c r="U432" s="1">
        <f t="shared" si="571"/>
        <v>1</v>
      </c>
      <c r="V432" s="1">
        <f t="shared" si="572"/>
        <v>4</v>
      </c>
      <c r="W432" s="1">
        <f t="shared" si="573"/>
        <v>1</v>
      </c>
      <c r="X432" s="1">
        <f t="shared" si="574"/>
        <v>1</v>
      </c>
      <c r="Y432" s="1">
        <f t="shared" si="575"/>
        <v>1</v>
      </c>
      <c r="Z432" s="1">
        <f t="shared" si="576"/>
        <v>1</v>
      </c>
      <c r="AA432" s="1">
        <f t="shared" si="600"/>
        <v>1</v>
      </c>
      <c r="AB432" s="1">
        <f t="shared" si="578"/>
        <v>1</v>
      </c>
      <c r="AC432" s="1">
        <f t="shared" si="605"/>
        <v>1</v>
      </c>
      <c r="AD432" s="1">
        <f>ROUNDDOWN(I432*(1+IF(F432=3,0.05+方案参数!$Y$14+AA432*0.12,IF(F432=4,方案参数!$BZ$14*方案参数!$AS$14,0)))+IF(AND(X432=1,F432&lt;&gt;3),方案参数!$CC$14,0)+AC432*方案参数!$CB$14,0)</f>
        <v>3134</v>
      </c>
      <c r="AE432" s="1">
        <f>IF(OR(F432=1,F432=4),配置与结果!$B$24,配置与结果!$B$25)*MAX(0,1-INDEX(配置与结果!$I$15:$I$18,F432))</f>
        <v>1200</v>
      </c>
      <c r="AF432" s="1">
        <f>方案参数!$BM$14</f>
        <v>20</v>
      </c>
      <c r="AG432" s="1">
        <f>MAX(配置与结果!$B$32,1+INDEX(配置与结果!$F$15:$F$18,F432)+0.08+方案参数!$CD$14+Q432*方案参数!$W$14+Y432*(方案参数!$AN$14+MIN(方案参数!$AO$14,P432*0.03))+AB432*方案参数!$BZ$14*0.025-配置与结果!$B$28+方案参数!$AE$14)</f>
        <v>2.915</v>
      </c>
      <c r="AH432" s="1">
        <f>MAX(0,1+V432*方案参数!$U$14+7*方案参数!$V$14+方案参数!$AE$14-配置与结果!$B$29)</f>
        <v>2.2799999999999998</v>
      </c>
      <c r="AI432" s="1">
        <f>IF(OR(INDEX(配置与结果!$K$15:$K$18,F432)=1,G432="RHI_BERRY"),1+配置与结果!$B$33+P432*方案参数!$AH$14,1)</f>
        <v>1</v>
      </c>
      <c r="AJ432" s="1">
        <f>MIN(1,MAX(0,J432+方案参数!$AB$14-配置与结果!$B$27))</f>
        <v>1</v>
      </c>
      <c r="AK432" s="1">
        <f>MAX(1,K432+IF(F432=2,0.15+方案参数!$CH$14,0)+BN432*方案参数!$X$14+R432*方案参数!$AA$14+方案参数!$BQ$14-配置与结果!$B$26+Z432*(方案参数!$AP$14+MIN(方案参数!$AQ$14,P432*0.03)))</f>
        <v>2.9650000000000003</v>
      </c>
      <c r="AL432" s="7">
        <f>ROUNDDOWN(MAX(AD432*配置与结果!$B$31,AD432-AE432)*AF432*AG432*AH432*AI432,0)</f>
        <v>257075</v>
      </c>
      <c r="AM432" s="7">
        <f>ROUNDDOWN(MAX(AD432*配置与结果!$B$31,AD432-AE432)*AF432*AG432*AH432*AI432*AK432,0)</f>
        <v>762227</v>
      </c>
      <c r="AN432" s="7">
        <f t="shared" si="558"/>
        <v>762227</v>
      </c>
      <c r="AO432" s="7">
        <f>0</f>
        <v>0</v>
      </c>
      <c r="AP432" s="7">
        <f>MAX(0,1+INDEX(配置与结果!$J$15:$J$18,F432)+IF(T432&gt;0,方案参数!$BY$14,0)-配置与结果!$B$30)</f>
        <v>2</v>
      </c>
      <c r="AQ432" s="7">
        <f t="shared" si="559"/>
        <v>0</v>
      </c>
      <c r="AR432" s="7">
        <f t="shared" si="560"/>
        <v>0</v>
      </c>
      <c r="AS432" s="7">
        <f t="shared" si="561"/>
        <v>0</v>
      </c>
      <c r="AT432" s="7">
        <f>IF(U432&gt;0,ROUNDDOWN(AL432*方案参数!$AF$14,0)*(1-AJ432)+ROUNDDOWN(AM432*方案参数!$AF$14,0)*AJ432,0)</f>
        <v>457336</v>
      </c>
      <c r="AU432" s="7">
        <f t="shared" si="562"/>
        <v>1219563</v>
      </c>
      <c r="AV432" s="1">
        <f t="shared" si="563"/>
        <v>2</v>
      </c>
      <c r="AW432" s="1">
        <f t="shared" si="610"/>
        <v>10</v>
      </c>
      <c r="AX432" s="1">
        <f t="shared" si="564"/>
        <v>2</v>
      </c>
      <c r="AY432" s="1">
        <f>MIN(20,MAX(0,O432+0+1-0))</f>
        <v>6</v>
      </c>
      <c r="AZ432" s="1">
        <f t="shared" si="565"/>
        <v>5</v>
      </c>
      <c r="BA432" s="1">
        <f t="shared" si="601"/>
        <v>5</v>
      </c>
      <c r="BB432" s="1">
        <f t="shared" si="609"/>
        <v>20</v>
      </c>
      <c r="BC432" s="1">
        <f t="shared" si="607"/>
        <v>3</v>
      </c>
      <c r="BD432" s="1">
        <f t="shared" si="588"/>
        <v>1</v>
      </c>
      <c r="BE432" s="1">
        <f>MAX(0,U432-IF(AF432&gt;0,1,0))+0</f>
        <v>0</v>
      </c>
      <c r="BF432" s="1">
        <f t="shared" si="611"/>
        <v>4</v>
      </c>
      <c r="BG432" s="1">
        <f t="shared" si="598"/>
        <v>1</v>
      </c>
      <c r="BH432" s="1">
        <f t="shared" si="582"/>
        <v>1</v>
      </c>
      <c r="BI432" s="1">
        <f t="shared" si="599"/>
        <v>1</v>
      </c>
      <c r="BJ432" s="1">
        <f t="shared" si="602"/>
        <v>1</v>
      </c>
      <c r="BK432" s="1">
        <f t="shared" si="603"/>
        <v>1</v>
      </c>
      <c r="BL432" s="1">
        <f t="shared" si="608"/>
        <v>1</v>
      </c>
      <c r="BM432" s="1">
        <f t="shared" si="606"/>
        <v>1</v>
      </c>
      <c r="BN432" s="1">
        <f t="shared" si="583"/>
        <v>1</v>
      </c>
      <c r="BO432" s="1">
        <f t="shared" si="584"/>
        <v>1</v>
      </c>
    </row>
    <row r="433" spans="1:67" ht="30.95" customHeight="1">
      <c r="A433" s="1">
        <f>11</f>
        <v>11</v>
      </c>
      <c r="B433" s="1">
        <f>固定流程!A37</f>
        <v>32</v>
      </c>
      <c r="C433" s="1">
        <f>14</f>
        <v>14</v>
      </c>
      <c r="D433" s="1">
        <f>2</f>
        <v>2</v>
      </c>
      <c r="E433" s="1">
        <f>固定流程!C37</f>
        <v>3</v>
      </c>
      <c r="F433" s="1">
        <f>固定流程!G37</f>
        <v>1</v>
      </c>
      <c r="G433" s="1" t="str">
        <f>固定流程!H37</f>
        <v>LILYA_WEAK</v>
      </c>
      <c r="H433" s="1">
        <f>固定流程!F37</f>
        <v>1</v>
      </c>
      <c r="I433" s="1">
        <f>INDEX(配置与结果!$B$15:$B$18,F433)</f>
        <v>2296</v>
      </c>
      <c r="J433" s="1">
        <f>INDEX(配置与结果!$D$15:$D$18,F433)</f>
        <v>0.7</v>
      </c>
      <c r="K433" s="1">
        <f>INDEX(配置与结果!$E$15:$E$18,F433)</f>
        <v>2.0249999999999999</v>
      </c>
      <c r="L433" s="1">
        <f t="shared" si="595"/>
        <v>2</v>
      </c>
      <c r="M433" s="1">
        <f t="shared" si="596"/>
        <v>10</v>
      </c>
      <c r="N433" s="1">
        <f t="shared" si="597"/>
        <v>2</v>
      </c>
      <c r="O433" s="1">
        <f t="shared" si="589"/>
        <v>6</v>
      </c>
      <c r="P433" s="1">
        <f>MIN(方案参数!$AI$14,AZ432+0+0)</f>
        <v>5</v>
      </c>
      <c r="Q433" s="1">
        <f t="shared" si="567"/>
        <v>5</v>
      </c>
      <c r="R433" s="1">
        <f t="shared" si="568"/>
        <v>20</v>
      </c>
      <c r="S433" s="1">
        <f t="shared" si="569"/>
        <v>3</v>
      </c>
      <c r="T433" s="1">
        <f t="shared" si="604"/>
        <v>1</v>
      </c>
      <c r="U433" s="1">
        <f t="shared" si="571"/>
        <v>0</v>
      </c>
      <c r="V433" s="1">
        <f t="shared" si="572"/>
        <v>4</v>
      </c>
      <c r="W433" s="1">
        <f t="shared" si="573"/>
        <v>1</v>
      </c>
      <c r="X433" s="1">
        <f t="shared" si="574"/>
        <v>1</v>
      </c>
      <c r="Y433" s="1">
        <f t="shared" si="575"/>
        <v>1</v>
      </c>
      <c r="Z433" s="1">
        <f t="shared" si="576"/>
        <v>1</v>
      </c>
      <c r="AA433" s="1">
        <f t="shared" si="600"/>
        <v>1</v>
      </c>
      <c r="AB433" s="1">
        <f t="shared" si="578"/>
        <v>1</v>
      </c>
      <c r="AC433" s="1">
        <f t="shared" si="605"/>
        <v>1</v>
      </c>
      <c r="AD433" s="1">
        <f>ROUNDDOWN(I433*(1+IF(F433=3,0.05+方案参数!$Y$14+AA433*0.12,IF(F433=4,方案参数!$BZ$14*方案参数!$AS$14,0)))+IF(AND(X433=1,F433&lt;&gt;3),方案参数!$CC$14,0)+AC433*方案参数!$CB$14,0)</f>
        <v>3134</v>
      </c>
      <c r="AE433" s="1">
        <f>IF(OR(F433=1,F433=4),配置与结果!$B$24,配置与结果!$B$25)*MAX(0,1-INDEX(配置与结果!$I$15:$I$18,F433))</f>
        <v>1200</v>
      </c>
      <c r="AF433" s="1">
        <f>方案参数!$BL$14</f>
        <v>9</v>
      </c>
      <c r="AG433" s="1">
        <f>MAX(配置与结果!$B$32,1+INDEX(配置与结果!$F$15:$F$18,F433)+0.08+方案参数!$CD$14+Q433*方案参数!$W$14+Y433*(方案参数!$AN$14+MIN(方案参数!$AO$14,P433*0.03))+AB433*方案参数!$BZ$14*0.025-配置与结果!$B$28+方案参数!$AE$14)</f>
        <v>2.915</v>
      </c>
      <c r="AH433" s="1">
        <f>MAX(0,1+V433*方案参数!$U$14+8*方案参数!$V$14+方案参数!$AE$14-配置与结果!$B$29)</f>
        <v>2.34</v>
      </c>
      <c r="AI433" s="1">
        <f>IF(OR(INDEX(配置与结果!$K$15:$K$18,F433)=1,G433="RHI_BERRY"),1+配置与结果!$B$33+P433*方案参数!$AH$14,1)</f>
        <v>1</v>
      </c>
      <c r="AJ433" s="1">
        <f>MIN(1,MAX(0,J433+方案参数!$AB$14-配置与结果!$B$27))</f>
        <v>1</v>
      </c>
      <c r="AK433" s="1">
        <f>MAX(1,K433+IF(F433=2,0.15+方案参数!$CH$14,0)+BN433*方案参数!$X$14+R433*方案参数!$AA$14+方案参数!$BP$14-配置与结果!$B$26+Z433*(方案参数!$AP$14+MIN(方案参数!$AQ$14,P433*0.03)))</f>
        <v>2.7650000000000001</v>
      </c>
      <c r="AL433" s="7">
        <f>ROUNDDOWN(MAX(AD433*配置与结果!$B$31,AD433-AE433)*AF433*AG433*AH433*AI433,0)</f>
        <v>118728</v>
      </c>
      <c r="AM433" s="7">
        <f>ROUNDDOWN(MAX(AD433*配置与结果!$B$31,AD433-AE433)*AF433*AG433*AH433*AI433*AK433,0)</f>
        <v>328283</v>
      </c>
      <c r="AN433" s="7">
        <f t="shared" si="558"/>
        <v>328283</v>
      </c>
      <c r="AO433" s="7">
        <f>0</f>
        <v>0</v>
      </c>
      <c r="AP433" s="7">
        <f>MAX(0,1+INDEX(配置与结果!$J$15:$J$18,F433)+IF(T433&gt;0,方案参数!$BY$14,0)-配置与结果!$B$30)</f>
        <v>2</v>
      </c>
      <c r="AQ433" s="7">
        <f t="shared" si="559"/>
        <v>0</v>
      </c>
      <c r="AR433" s="7">
        <f t="shared" si="560"/>
        <v>0</v>
      </c>
      <c r="AS433" s="7">
        <f t="shared" si="561"/>
        <v>0</v>
      </c>
      <c r="AT433" s="7">
        <f>IF(U433&gt;0,ROUNDDOWN(AL433*方案参数!$AF$14,0)*(1-AJ433)+ROUNDDOWN(AM433*方案参数!$AF$14,0)*AJ433,0)</f>
        <v>0</v>
      </c>
      <c r="AU433" s="7">
        <f t="shared" si="562"/>
        <v>328283</v>
      </c>
      <c r="AV433" s="1">
        <f t="shared" si="563"/>
        <v>2</v>
      </c>
      <c r="AW433" s="1">
        <f t="shared" si="610"/>
        <v>10</v>
      </c>
      <c r="AX433" s="1">
        <f t="shared" si="564"/>
        <v>2</v>
      </c>
      <c r="AY433" s="1">
        <f>MIN(20,MAX(0,O433+0+1-0))</f>
        <v>7</v>
      </c>
      <c r="AZ433" s="1">
        <f t="shared" si="565"/>
        <v>5</v>
      </c>
      <c r="BA433" s="1">
        <f t="shared" si="601"/>
        <v>5</v>
      </c>
      <c r="BB433" s="1">
        <f t="shared" si="609"/>
        <v>20</v>
      </c>
      <c r="BC433" s="1">
        <f t="shared" si="607"/>
        <v>3</v>
      </c>
      <c r="BD433" s="1">
        <f t="shared" si="588"/>
        <v>1</v>
      </c>
      <c r="BE433" s="1">
        <f>MAX(0,U433-IF(AF433&gt;0,1,0))+0</f>
        <v>0</v>
      </c>
      <c r="BF433" s="1">
        <f t="shared" si="611"/>
        <v>4</v>
      </c>
      <c r="BG433" s="1">
        <f t="shared" si="598"/>
        <v>1</v>
      </c>
      <c r="BH433" s="1">
        <f t="shared" si="582"/>
        <v>1</v>
      </c>
      <c r="BI433" s="1">
        <f t="shared" si="599"/>
        <v>1</v>
      </c>
      <c r="BJ433" s="1">
        <f t="shared" si="602"/>
        <v>1</v>
      </c>
      <c r="BK433" s="1">
        <f t="shared" si="603"/>
        <v>1</v>
      </c>
      <c r="BL433" s="1">
        <f t="shared" si="608"/>
        <v>1</v>
      </c>
      <c r="BM433" s="1">
        <f t="shared" si="606"/>
        <v>1</v>
      </c>
      <c r="BN433" s="1">
        <f t="shared" si="583"/>
        <v>1</v>
      </c>
      <c r="BO433" s="1">
        <f t="shared" si="584"/>
        <v>1</v>
      </c>
    </row>
    <row r="434" spans="1:67" ht="30.95" customHeight="1">
      <c r="A434" s="1">
        <f>11</f>
        <v>11</v>
      </c>
      <c r="B434" s="1">
        <f>固定流程!A38</f>
        <v>33</v>
      </c>
      <c r="C434" s="1">
        <f>14</f>
        <v>14</v>
      </c>
      <c r="D434" s="1">
        <f>2</f>
        <v>2</v>
      </c>
      <c r="E434" s="1">
        <f>固定流程!C38</f>
        <v>3</v>
      </c>
      <c r="F434" s="1">
        <f>固定流程!G38</f>
        <v>1</v>
      </c>
      <c r="G434" s="1" t="str">
        <f>固定流程!H38</f>
        <v>LILYA_WEAK</v>
      </c>
      <c r="H434" s="1">
        <f>固定流程!F38</f>
        <v>1</v>
      </c>
      <c r="I434" s="1">
        <f>INDEX(配置与结果!$B$15:$B$18,F434)</f>
        <v>2296</v>
      </c>
      <c r="J434" s="1">
        <f>INDEX(配置与结果!$D$15:$D$18,F434)</f>
        <v>0.7</v>
      </c>
      <c r="K434" s="1">
        <f>INDEX(配置与结果!$E$15:$E$18,F434)</f>
        <v>2.0249999999999999</v>
      </c>
      <c r="L434" s="1">
        <f t="shared" si="595"/>
        <v>2</v>
      </c>
      <c r="M434" s="1">
        <f t="shared" si="596"/>
        <v>10</v>
      </c>
      <c r="N434" s="1">
        <f t="shared" si="597"/>
        <v>2</v>
      </c>
      <c r="O434" s="1">
        <f t="shared" si="589"/>
        <v>7</v>
      </c>
      <c r="P434" s="1">
        <f>MIN(方案参数!$AI$14,AZ433+0+0)</f>
        <v>5</v>
      </c>
      <c r="Q434" s="1">
        <f t="shared" si="567"/>
        <v>5</v>
      </c>
      <c r="R434" s="1">
        <f t="shared" si="568"/>
        <v>20</v>
      </c>
      <c r="S434" s="1">
        <f t="shared" si="569"/>
        <v>3</v>
      </c>
      <c r="T434" s="1">
        <f t="shared" si="604"/>
        <v>1</v>
      </c>
      <c r="U434" s="1">
        <f t="shared" si="571"/>
        <v>0</v>
      </c>
      <c r="V434" s="1">
        <f t="shared" si="572"/>
        <v>4</v>
      </c>
      <c r="W434" s="1">
        <f t="shared" si="573"/>
        <v>1</v>
      </c>
      <c r="X434" s="1">
        <f t="shared" si="574"/>
        <v>1</v>
      </c>
      <c r="Y434" s="1">
        <f t="shared" si="575"/>
        <v>1</v>
      </c>
      <c r="Z434" s="1">
        <f t="shared" si="576"/>
        <v>1</v>
      </c>
      <c r="AA434" s="1">
        <f t="shared" si="600"/>
        <v>1</v>
      </c>
      <c r="AB434" s="1">
        <f t="shared" si="578"/>
        <v>1</v>
      </c>
      <c r="AC434" s="1">
        <f t="shared" si="605"/>
        <v>1</v>
      </c>
      <c r="AD434" s="1">
        <f>ROUNDDOWN(I434*(1+IF(F434=3,0.05+方案参数!$Y$14+AA434*0.12,IF(F434=4,方案参数!$BZ$14*方案参数!$AS$14,0)))+IF(AND(X434=1,F434&lt;&gt;3),方案参数!$CC$14,0)+AC434*方案参数!$CB$14,0)</f>
        <v>3134</v>
      </c>
      <c r="AE434" s="1">
        <f>IF(OR(F434=1,F434=4),配置与结果!$B$24,配置与结果!$B$25)*MAX(0,1-INDEX(配置与结果!$I$15:$I$18,F434))</f>
        <v>1200</v>
      </c>
      <c r="AF434" s="1">
        <f>方案参数!$BL$14</f>
        <v>9</v>
      </c>
      <c r="AG434" s="1">
        <f>MAX(配置与结果!$B$32,1+INDEX(配置与结果!$F$15:$F$18,F434)+0.08+方案参数!$CD$14+Q434*方案参数!$W$14+Y434*(方案参数!$AN$14+MIN(方案参数!$AO$14,P434*0.03))+AB434*方案参数!$BZ$14*0.025-配置与结果!$B$28+方案参数!$AE$14)</f>
        <v>2.915</v>
      </c>
      <c r="AH434" s="1">
        <f>MAX(0,1+V434*方案参数!$U$14+9*方案参数!$V$14+方案参数!$AE$14-配置与结果!$B$29)</f>
        <v>2.4</v>
      </c>
      <c r="AI434" s="1">
        <f>IF(OR(INDEX(配置与结果!$K$15:$K$18,F434)=1,G434="RHI_BERRY"),1+配置与结果!$B$33+P434*方案参数!$AH$14,1)</f>
        <v>1</v>
      </c>
      <c r="AJ434" s="1">
        <f>MIN(1,MAX(0,J434+方案参数!$AB$14-配置与结果!$B$27))</f>
        <v>1</v>
      </c>
      <c r="AK434" s="1">
        <f>MAX(1,K434+IF(F434=2,0.15+方案参数!$CH$14,0)+BN434*方案参数!$X$14+R434*方案参数!$AA$14+方案参数!$BP$14-配置与结果!$B$26+Z434*(方案参数!$AP$14+MIN(方案参数!$AQ$14,P434*0.03)))</f>
        <v>2.7650000000000001</v>
      </c>
      <c r="AL434" s="7">
        <f>ROUNDDOWN(MAX(AD434*配置与结果!$B$31,AD434-AE434)*AF434*AG434*AH434*AI434,0)</f>
        <v>121772</v>
      </c>
      <c r="AM434" s="7">
        <f>ROUNDDOWN(MAX(AD434*配置与结果!$B$31,AD434-AE434)*AF434*AG434*AH434*AI434*AK434,0)</f>
        <v>336700</v>
      </c>
      <c r="AN434" s="7">
        <f t="shared" si="558"/>
        <v>336700</v>
      </c>
      <c r="AO434" s="7">
        <f>0</f>
        <v>0</v>
      </c>
      <c r="AP434" s="7">
        <f>MAX(0,1+INDEX(配置与结果!$J$15:$J$18,F434)+IF(T434&gt;0,方案参数!$BY$14,0)-配置与结果!$B$30)</f>
        <v>2</v>
      </c>
      <c r="AQ434" s="7">
        <f t="shared" si="559"/>
        <v>0</v>
      </c>
      <c r="AR434" s="7">
        <f t="shared" si="560"/>
        <v>0</v>
      </c>
      <c r="AS434" s="7">
        <f t="shared" si="561"/>
        <v>0</v>
      </c>
      <c r="AT434" s="7">
        <f>IF(U434&gt;0,ROUNDDOWN(AL434*方案参数!$AF$14,0)*(1-AJ434)+ROUNDDOWN(AM434*方案参数!$AF$14,0)*AJ434,0)</f>
        <v>0</v>
      </c>
      <c r="AU434" s="7">
        <f t="shared" si="562"/>
        <v>336700</v>
      </c>
      <c r="AV434" s="1">
        <f t="shared" si="563"/>
        <v>2</v>
      </c>
      <c r="AW434" s="1">
        <f t="shared" si="610"/>
        <v>10</v>
      </c>
      <c r="AX434" s="1">
        <f t="shared" si="564"/>
        <v>2</v>
      </c>
      <c r="AY434" s="1">
        <f>MIN(20,MAX(0,O434+0+1-0))</f>
        <v>8</v>
      </c>
      <c r="AZ434" s="1">
        <f t="shared" si="565"/>
        <v>5</v>
      </c>
      <c r="BA434" s="1">
        <f t="shared" si="601"/>
        <v>5</v>
      </c>
      <c r="BB434" s="1">
        <f t="shared" si="609"/>
        <v>20</v>
      </c>
      <c r="BC434" s="1">
        <f t="shared" si="607"/>
        <v>3</v>
      </c>
      <c r="BD434" s="1">
        <f t="shared" si="588"/>
        <v>1</v>
      </c>
      <c r="BE434" s="1">
        <f>MAX(0,U434-IF(AF434&gt;0,1,0))+0</f>
        <v>0</v>
      </c>
      <c r="BF434" s="1">
        <f t="shared" si="611"/>
        <v>4</v>
      </c>
      <c r="BG434" s="1">
        <f t="shared" si="598"/>
        <v>1</v>
      </c>
      <c r="BH434" s="1">
        <f t="shared" si="582"/>
        <v>1</v>
      </c>
      <c r="BI434" s="1">
        <f t="shared" si="599"/>
        <v>1</v>
      </c>
      <c r="BJ434" s="1">
        <f t="shared" si="602"/>
        <v>1</v>
      </c>
      <c r="BK434" s="1">
        <f t="shared" si="603"/>
        <v>1</v>
      </c>
      <c r="BL434" s="1">
        <f t="shared" si="608"/>
        <v>1</v>
      </c>
      <c r="BM434" s="1">
        <f t="shared" si="606"/>
        <v>1</v>
      </c>
      <c r="BN434" s="1">
        <f t="shared" si="583"/>
        <v>1</v>
      </c>
      <c r="BO434" s="1">
        <f t="shared" si="584"/>
        <v>1</v>
      </c>
    </row>
    <row r="435" spans="1:67" ht="30.95" customHeight="1">
      <c r="A435" s="1">
        <f>11</f>
        <v>11</v>
      </c>
      <c r="B435" s="1">
        <f>固定流程!A39</f>
        <v>34</v>
      </c>
      <c r="C435" s="1">
        <f>14</f>
        <v>14</v>
      </c>
      <c r="D435" s="1">
        <f>2</f>
        <v>2</v>
      </c>
      <c r="E435" s="1">
        <f>固定流程!C39</f>
        <v>3</v>
      </c>
      <c r="F435" s="1">
        <f>固定流程!G39</f>
        <v>2</v>
      </c>
      <c r="G435" s="1" t="str">
        <f>固定流程!H39</f>
        <v>37_WEAK</v>
      </c>
      <c r="H435" s="1">
        <f>固定流程!F39</f>
        <v>1</v>
      </c>
      <c r="I435" s="1">
        <f>INDEX(配置与结果!$B$15:$B$18,F435)</f>
        <v>2306</v>
      </c>
      <c r="J435" s="1">
        <f>INDEX(配置与结果!$D$15:$D$18,F435)</f>
        <v>0.46</v>
      </c>
      <c r="K435" s="1">
        <f>INDEX(配置与结果!$E$15:$E$18,F435)</f>
        <v>1.9279999999999999</v>
      </c>
      <c r="L435" s="1">
        <f t="shared" si="595"/>
        <v>2</v>
      </c>
      <c r="M435" s="1">
        <f t="shared" si="596"/>
        <v>10</v>
      </c>
      <c r="N435" s="1">
        <f t="shared" si="597"/>
        <v>2</v>
      </c>
      <c r="O435" s="1">
        <f t="shared" si="589"/>
        <v>8</v>
      </c>
      <c r="P435" s="1">
        <f>MIN(方案参数!$AI$14,AZ434+0+0)</f>
        <v>5</v>
      </c>
      <c r="Q435" s="1">
        <f t="shared" si="567"/>
        <v>5</v>
      </c>
      <c r="R435" s="1">
        <f t="shared" si="568"/>
        <v>20</v>
      </c>
      <c r="S435" s="1">
        <f t="shared" si="569"/>
        <v>3</v>
      </c>
      <c r="T435" s="1">
        <f t="shared" si="604"/>
        <v>1</v>
      </c>
      <c r="U435" s="1">
        <f t="shared" si="571"/>
        <v>0</v>
      </c>
      <c r="V435" s="1">
        <f t="shared" si="572"/>
        <v>4</v>
      </c>
      <c r="W435" s="1">
        <f t="shared" si="573"/>
        <v>1</v>
      </c>
      <c r="X435" s="1">
        <f t="shared" si="574"/>
        <v>1</v>
      </c>
      <c r="Y435" s="1">
        <f t="shared" si="575"/>
        <v>1</v>
      </c>
      <c r="Z435" s="1">
        <f t="shared" si="576"/>
        <v>1</v>
      </c>
      <c r="AA435" s="1">
        <f t="shared" si="600"/>
        <v>1</v>
      </c>
      <c r="AB435" s="1">
        <f t="shared" si="578"/>
        <v>1</v>
      </c>
      <c r="AC435" s="1">
        <f t="shared" si="605"/>
        <v>1</v>
      </c>
      <c r="AD435" s="1">
        <f>ROUNDDOWN(I435*(1+IF(F435=3,0.05+方案参数!$Y$14+AA435*0.12,IF(F435=4,方案参数!$BZ$14*方案参数!$AS$14,0)))+IF(AND(X435=1,F435&lt;&gt;3),方案参数!$CC$14,0)+AC435*方案参数!$CB$14,0)</f>
        <v>3144</v>
      </c>
      <c r="AE435" s="1">
        <f>IF(OR(F435=1,F435=4),配置与结果!$B$24,配置与结果!$B$25)*MAX(0,1-INDEX(配置与结果!$I$15:$I$18,F435))</f>
        <v>1000</v>
      </c>
      <c r="AF435" s="1">
        <f>方案参数!$CE$14</f>
        <v>9</v>
      </c>
      <c r="AG435" s="1">
        <f>MAX(配置与结果!$B$32,1+INDEX(配置与结果!$F$15:$F$18,F435)+0+Q435*方案参数!$W$14+Y435*(方案参数!$AN$14+MIN(方案参数!$AO$14,P435*0.03))+AB435*方案参数!$BZ$14*0.025-配置与结果!$B$28+方案参数!$AE$14)</f>
        <v>2.58</v>
      </c>
      <c r="AH435" s="1">
        <f>MAX(0,1+V435*方案参数!$U$14+方案参数!$AE$14-配置与结果!$B$29)</f>
        <v>1.8599999999999999</v>
      </c>
      <c r="AI435" s="1">
        <f>IF(OR(INDEX(配置与结果!$K$15:$K$18,F435)=1,G435="RHI_BERRY"),1+配置与结果!$B$33+P435*方案参数!$AH$14,1)</f>
        <v>1</v>
      </c>
      <c r="AJ435" s="1">
        <f>MIN(1,MAX(0,J435+方案参数!$AB$14-配置与结果!$B$27))</f>
        <v>1</v>
      </c>
      <c r="AK435" s="1">
        <f>MAX(1,K435+IF(F435=2,0.15+方案参数!$CH$14,0)+BN435*方案参数!$X$14+R435*方案参数!$AA$14+0-配置与结果!$B$26+Z435*(方案参数!$AP$14+MIN(方案参数!$AQ$14,P435*0.03)))</f>
        <v>2.3380000000000001</v>
      </c>
      <c r="AL435" s="7">
        <f>ROUNDDOWN(MAX(AD435*配置与结果!$B$31,AD435-AE435)*AF435*AG435*AH435*AI435,0)</f>
        <v>92597</v>
      </c>
      <c r="AM435" s="7">
        <f>ROUNDDOWN(MAX(AD435*配置与结果!$B$31,AD435-AE435)*AF435*AG435*AH435*AI435*AK435,0)</f>
        <v>216493</v>
      </c>
      <c r="AN435" s="7">
        <f t="shared" si="558"/>
        <v>216493</v>
      </c>
      <c r="AO435" s="7">
        <f>0</f>
        <v>0</v>
      </c>
      <c r="AP435" s="7">
        <f>MAX(0,1+INDEX(配置与结果!$J$15:$J$18,F435)+IF(T435&gt;0,方案参数!$BY$14,0)-配置与结果!$B$30)</f>
        <v>2</v>
      </c>
      <c r="AQ435" s="7">
        <f t="shared" si="559"/>
        <v>0</v>
      </c>
      <c r="AR435" s="7">
        <f t="shared" si="560"/>
        <v>0</v>
      </c>
      <c r="AS435" s="7">
        <f t="shared" si="561"/>
        <v>0</v>
      </c>
      <c r="AT435" s="7">
        <f>IF(U435&gt;0,ROUNDDOWN(AL435*方案参数!$AF$14,0)*(1-AJ435)+ROUNDDOWN(AM435*方案参数!$AF$14,0)*AJ435,0)</f>
        <v>0</v>
      </c>
      <c r="AU435" s="7">
        <f t="shared" si="562"/>
        <v>216493</v>
      </c>
      <c r="AV435" s="1">
        <f t="shared" si="563"/>
        <v>2</v>
      </c>
      <c r="AW435" s="1">
        <f t="shared" si="610"/>
        <v>10</v>
      </c>
      <c r="AX435" s="1">
        <f t="shared" si="564"/>
        <v>2</v>
      </c>
      <c r="AY435" s="1">
        <f>MIN(20,MAX(0,O435+0+0-0))</f>
        <v>8</v>
      </c>
      <c r="AZ435" s="1">
        <f t="shared" si="565"/>
        <v>5</v>
      </c>
      <c r="BA435" s="1">
        <f t="shared" si="601"/>
        <v>5</v>
      </c>
      <c r="BB435" s="1">
        <f t="shared" si="609"/>
        <v>20</v>
      </c>
      <c r="BC435" s="1">
        <f t="shared" si="607"/>
        <v>3</v>
      </c>
      <c r="BD435" s="1">
        <f t="shared" si="588"/>
        <v>1</v>
      </c>
      <c r="BE435" s="1">
        <f>MAX(0,U435-IF(AF435&gt;0,1,0))+1</f>
        <v>1</v>
      </c>
      <c r="BF435" s="1">
        <f t="shared" si="611"/>
        <v>4</v>
      </c>
      <c r="BG435" s="1">
        <f t="shared" si="598"/>
        <v>1</v>
      </c>
      <c r="BH435" s="1">
        <f t="shared" si="582"/>
        <v>1</v>
      </c>
      <c r="BI435" s="1">
        <f t="shared" si="599"/>
        <v>1</v>
      </c>
      <c r="BJ435" s="1">
        <f t="shared" si="602"/>
        <v>1</v>
      </c>
      <c r="BK435" s="1">
        <f t="shared" si="603"/>
        <v>1</v>
      </c>
      <c r="BL435" s="1">
        <f t="shared" si="608"/>
        <v>1</v>
      </c>
      <c r="BM435" s="1">
        <f t="shared" si="606"/>
        <v>1</v>
      </c>
      <c r="BN435" s="1">
        <f t="shared" si="583"/>
        <v>1</v>
      </c>
      <c r="BO435" s="1">
        <f t="shared" si="584"/>
        <v>1</v>
      </c>
    </row>
    <row r="436" spans="1:67" ht="30.95" customHeight="1">
      <c r="A436" s="1">
        <f>11</f>
        <v>11</v>
      </c>
      <c r="B436" s="1">
        <f>固定流程!A40</f>
        <v>35</v>
      </c>
      <c r="C436" s="1">
        <f>14</f>
        <v>14</v>
      </c>
      <c r="D436" s="1">
        <f>2</f>
        <v>2</v>
      </c>
      <c r="E436" s="1">
        <f>固定流程!C40</f>
        <v>3</v>
      </c>
      <c r="F436" s="1">
        <f>固定流程!G40</f>
        <v>2</v>
      </c>
      <c r="G436" s="1" t="str">
        <f>固定流程!H40</f>
        <v>37_WEAK</v>
      </c>
      <c r="H436" s="1">
        <f>固定流程!F40</f>
        <v>1</v>
      </c>
      <c r="I436" s="1">
        <f>INDEX(配置与结果!$B$15:$B$18,F436)</f>
        <v>2306</v>
      </c>
      <c r="J436" s="1">
        <f>INDEX(配置与结果!$D$15:$D$18,F436)</f>
        <v>0.46</v>
      </c>
      <c r="K436" s="1">
        <f>INDEX(配置与结果!$E$15:$E$18,F436)</f>
        <v>1.9279999999999999</v>
      </c>
      <c r="L436" s="1">
        <f t="shared" si="595"/>
        <v>2</v>
      </c>
      <c r="M436" s="1">
        <f t="shared" si="596"/>
        <v>10</v>
      </c>
      <c r="N436" s="1">
        <f t="shared" si="597"/>
        <v>2</v>
      </c>
      <c r="O436" s="1">
        <f t="shared" si="589"/>
        <v>8</v>
      </c>
      <c r="P436" s="1">
        <f>MIN(方案参数!$AI$14,AZ435+0+0)</f>
        <v>5</v>
      </c>
      <c r="Q436" s="1">
        <f t="shared" si="567"/>
        <v>5</v>
      </c>
      <c r="R436" s="1">
        <f t="shared" si="568"/>
        <v>20</v>
      </c>
      <c r="S436" s="1">
        <f t="shared" si="569"/>
        <v>3</v>
      </c>
      <c r="T436" s="1">
        <f t="shared" si="604"/>
        <v>1</v>
      </c>
      <c r="U436" s="1">
        <f t="shared" si="571"/>
        <v>1</v>
      </c>
      <c r="V436" s="1">
        <f t="shared" si="572"/>
        <v>4</v>
      </c>
      <c r="W436" s="1">
        <f t="shared" si="573"/>
        <v>1</v>
      </c>
      <c r="X436" s="1">
        <f t="shared" si="574"/>
        <v>1</v>
      </c>
      <c r="Y436" s="1">
        <f t="shared" si="575"/>
        <v>1</v>
      </c>
      <c r="Z436" s="1">
        <f t="shared" si="576"/>
        <v>1</v>
      </c>
      <c r="AA436" s="1">
        <f t="shared" si="600"/>
        <v>1</v>
      </c>
      <c r="AB436" s="1">
        <f t="shared" si="578"/>
        <v>1</v>
      </c>
      <c r="AC436" s="1">
        <f t="shared" si="605"/>
        <v>1</v>
      </c>
      <c r="AD436" s="1">
        <f>ROUNDDOWN(I436*(1+IF(F436=3,0.05+方案参数!$Y$14+AA436*0.12,IF(F436=4,方案参数!$BZ$14*方案参数!$AS$14,0)))+IF(AND(X436=1,F436&lt;&gt;3),方案参数!$CC$14,0)+AC436*方案参数!$CB$14,0)</f>
        <v>3144</v>
      </c>
      <c r="AE436" s="1">
        <f>IF(OR(F436=1,F436=4),配置与结果!$B$24,配置与结果!$B$25)*MAX(0,1-INDEX(配置与结果!$I$15:$I$18,F436))</f>
        <v>1000</v>
      </c>
      <c r="AF436" s="1">
        <f>方案参数!$CE$14</f>
        <v>9</v>
      </c>
      <c r="AG436" s="1">
        <f>MAX(配置与结果!$B$32,1+INDEX(配置与结果!$F$15:$F$18,F436)+0+Q436*方案参数!$W$14+Y436*(方案参数!$AN$14+MIN(方案参数!$AO$14,P436*0.03))+AB436*方案参数!$BZ$14*0.025-配置与结果!$B$28+方案参数!$AE$14)</f>
        <v>2.58</v>
      </c>
      <c r="AH436" s="1">
        <f>MAX(0,1+V436*方案参数!$U$14+方案参数!$AE$14-配置与结果!$B$29)</f>
        <v>1.8599999999999999</v>
      </c>
      <c r="AI436" s="1">
        <f>IF(OR(INDEX(配置与结果!$K$15:$K$18,F436)=1,G436="RHI_BERRY"),1+配置与结果!$B$33+P436*方案参数!$AH$14,1)</f>
        <v>1</v>
      </c>
      <c r="AJ436" s="1">
        <f>MIN(1,MAX(0,J436+方案参数!$AB$14-配置与结果!$B$27))</f>
        <v>1</v>
      </c>
      <c r="AK436" s="1">
        <f>MAX(1,K436+IF(F436=2,0.15+方案参数!$CH$14,0)+BN436*方案参数!$X$14+R436*方案参数!$AA$14+0-配置与结果!$B$26+Z436*(方案参数!$AP$14+MIN(方案参数!$AQ$14,P436*0.03)))</f>
        <v>2.3380000000000001</v>
      </c>
      <c r="AL436" s="7">
        <f>ROUNDDOWN(MAX(AD436*配置与结果!$B$31,AD436-AE436)*AF436*AG436*AH436*AI436,0)</f>
        <v>92597</v>
      </c>
      <c r="AM436" s="7">
        <f>ROUNDDOWN(MAX(AD436*配置与结果!$B$31,AD436-AE436)*AF436*AG436*AH436*AI436*AK436,0)</f>
        <v>216493</v>
      </c>
      <c r="AN436" s="7">
        <f t="shared" si="558"/>
        <v>216493</v>
      </c>
      <c r="AO436" s="7">
        <f>0</f>
        <v>0</v>
      </c>
      <c r="AP436" s="7">
        <f>MAX(0,1+INDEX(配置与结果!$J$15:$J$18,F436)+IF(T436&gt;0,方案参数!$BY$14,0)-配置与结果!$B$30)</f>
        <v>2</v>
      </c>
      <c r="AQ436" s="7">
        <f t="shared" si="559"/>
        <v>0</v>
      </c>
      <c r="AR436" s="7">
        <f t="shared" si="560"/>
        <v>0</v>
      </c>
      <c r="AS436" s="7">
        <f t="shared" si="561"/>
        <v>0</v>
      </c>
      <c r="AT436" s="7">
        <f>IF(U436&gt;0,ROUNDDOWN(AL436*方案参数!$AF$14,0)*(1-AJ436)+ROUNDDOWN(AM436*方案参数!$AF$14,0)*AJ436,0)</f>
        <v>129895</v>
      </c>
      <c r="AU436" s="7">
        <f t="shared" si="562"/>
        <v>346388</v>
      </c>
      <c r="AV436" s="1">
        <f t="shared" si="563"/>
        <v>2</v>
      </c>
      <c r="AW436" s="1">
        <f t="shared" si="610"/>
        <v>10</v>
      </c>
      <c r="AX436" s="1">
        <f t="shared" si="564"/>
        <v>2</v>
      </c>
      <c r="AY436" s="1">
        <f>MIN(20,MAX(0,O436+0+0-0))</f>
        <v>8</v>
      </c>
      <c r="AZ436" s="1">
        <f t="shared" si="565"/>
        <v>5</v>
      </c>
      <c r="BA436" s="1">
        <f t="shared" si="601"/>
        <v>5</v>
      </c>
      <c r="BB436" s="1">
        <f t="shared" si="609"/>
        <v>20</v>
      </c>
      <c r="BC436" s="1">
        <f t="shared" si="607"/>
        <v>3</v>
      </c>
      <c r="BD436" s="1">
        <f t="shared" si="588"/>
        <v>1</v>
      </c>
      <c r="BE436" s="1">
        <f>MAX(0,U436-IF(AF436&gt;0,1,0))+1</f>
        <v>1</v>
      </c>
      <c r="BF436" s="1">
        <f t="shared" si="611"/>
        <v>4</v>
      </c>
      <c r="BG436" s="1">
        <f t="shared" si="598"/>
        <v>1</v>
      </c>
      <c r="BH436" s="1">
        <f t="shared" si="582"/>
        <v>1</v>
      </c>
      <c r="BI436" s="1">
        <f t="shared" si="599"/>
        <v>1</v>
      </c>
      <c r="BJ436" s="1">
        <f t="shared" si="602"/>
        <v>1</v>
      </c>
      <c r="BK436" s="1">
        <f t="shared" si="603"/>
        <v>1</v>
      </c>
      <c r="BL436" s="1">
        <f t="shared" si="608"/>
        <v>1</v>
      </c>
      <c r="BM436" s="1">
        <f t="shared" si="606"/>
        <v>1</v>
      </c>
      <c r="BN436" s="1">
        <f t="shared" si="583"/>
        <v>1</v>
      </c>
      <c r="BO436" s="1">
        <f t="shared" si="584"/>
        <v>1</v>
      </c>
    </row>
    <row r="437" spans="1:67" ht="30.95" customHeight="1">
      <c r="A437" s="1">
        <f>11</f>
        <v>11</v>
      </c>
      <c r="B437" s="1">
        <f>固定流程!A41</f>
        <v>36</v>
      </c>
      <c r="C437" s="1">
        <f>14</f>
        <v>14</v>
      </c>
      <c r="D437" s="1">
        <f>2</f>
        <v>2</v>
      </c>
      <c r="E437" s="1">
        <f>固定流程!C41</f>
        <v>3</v>
      </c>
      <c r="F437" s="1">
        <f>固定流程!G41</f>
        <v>1</v>
      </c>
      <c r="G437" s="1" t="str">
        <f>固定流程!H41</f>
        <v>LILYA_FINISH</v>
      </c>
      <c r="H437" s="1">
        <f>固定流程!F41</f>
        <v>1</v>
      </c>
      <c r="I437" s="1">
        <f>INDEX(配置与结果!$B$15:$B$18,F437)</f>
        <v>2296</v>
      </c>
      <c r="J437" s="1">
        <f>INDEX(配置与结果!$D$15:$D$18,F437)</f>
        <v>0.7</v>
      </c>
      <c r="K437" s="1">
        <f>INDEX(配置与结果!$E$15:$E$18,F437)</f>
        <v>2.0249999999999999</v>
      </c>
      <c r="L437" s="1">
        <f t="shared" si="595"/>
        <v>2</v>
      </c>
      <c r="M437" s="1">
        <f t="shared" si="596"/>
        <v>10</v>
      </c>
      <c r="N437" s="1">
        <f t="shared" si="597"/>
        <v>2</v>
      </c>
      <c r="O437" s="1">
        <f t="shared" si="589"/>
        <v>8</v>
      </c>
      <c r="P437" s="1">
        <f>MIN(方案参数!$AI$14,AZ436+0+0)</f>
        <v>5</v>
      </c>
      <c r="Q437" s="1">
        <f t="shared" si="567"/>
        <v>5</v>
      </c>
      <c r="R437" s="1">
        <f t="shared" si="568"/>
        <v>20</v>
      </c>
      <c r="S437" s="1">
        <f t="shared" si="569"/>
        <v>3</v>
      </c>
      <c r="T437" s="1">
        <f t="shared" si="604"/>
        <v>1</v>
      </c>
      <c r="U437" s="1">
        <f t="shared" si="571"/>
        <v>1</v>
      </c>
      <c r="V437" s="1">
        <f t="shared" si="572"/>
        <v>4</v>
      </c>
      <c r="W437" s="1">
        <f t="shared" si="573"/>
        <v>1</v>
      </c>
      <c r="X437" s="1">
        <f t="shared" si="574"/>
        <v>1</v>
      </c>
      <c r="Y437" s="1">
        <f t="shared" si="575"/>
        <v>1</v>
      </c>
      <c r="Z437" s="1">
        <f t="shared" si="576"/>
        <v>1</v>
      </c>
      <c r="AA437" s="1">
        <f t="shared" si="600"/>
        <v>1</v>
      </c>
      <c r="AB437" s="1">
        <f t="shared" si="578"/>
        <v>1</v>
      </c>
      <c r="AC437" s="1">
        <f t="shared" si="605"/>
        <v>1</v>
      </c>
      <c r="AD437" s="1">
        <f>ROUNDDOWN(I437*(1+IF(F437=3,0.05+方案参数!$Y$14+AA437*0.12,IF(F437=4,方案参数!$BZ$14*方案参数!$AS$14,0)))+IF(AND(X437=1,F437&lt;&gt;3),方案参数!$CC$14,0)+AC437*方案参数!$CB$14,0)</f>
        <v>3134</v>
      </c>
      <c r="AE437" s="1">
        <f>IF(OR(F437=1,F437=4),配置与结果!$B$24,配置与结果!$B$25)*MAX(0,1-INDEX(配置与结果!$I$15:$I$18,F437))</f>
        <v>1200</v>
      </c>
      <c r="AF437" s="1">
        <f>方案参数!$BN$14+12*方案参数!$BO$14</f>
        <v>48</v>
      </c>
      <c r="AG437" s="1">
        <f>MAX(配置与结果!$B$32,1+INDEX(配置与结果!$F$15:$F$18,F437)+0.08+方案参数!$CD$14+Q437*方案参数!$W$14+Y437*(方案参数!$AN$14+MIN(方案参数!$AO$14,P437*0.03))+AB437*方案参数!$BZ$14*0.025-配置与结果!$B$28+方案参数!$AE$14)</f>
        <v>2.915</v>
      </c>
      <c r="AH437" s="1">
        <f>MAX(0,1+V437*方案参数!$U$14+12*方案参数!$V$14+方案参数!$AE$14-配置与结果!$B$29)</f>
        <v>2.58</v>
      </c>
      <c r="AI437" s="1">
        <f>IF(OR(INDEX(配置与结果!$K$15:$K$18,F437)=1,G437="RHI_BERRY"),1+配置与结果!$B$33+P437*方案参数!$AH$14,1)</f>
        <v>1</v>
      </c>
      <c r="AJ437" s="1">
        <f>MIN(1,MAX(0,J437+方案参数!$AB$14-配置与结果!$B$27))</f>
        <v>1</v>
      </c>
      <c r="AK437" s="1">
        <f>MAX(1,K437+IF(F437=2,0.15+方案参数!$CH$14,0)+BN437*方案参数!$X$14+R437*方案参数!$AA$14+方案参数!$BR$14-配置与结果!$B$26+Z437*(方案参数!$AP$14+MIN(方案参数!$AQ$14,P437*0.03)))</f>
        <v>3.165</v>
      </c>
      <c r="AL437" s="7">
        <f>ROUNDDOWN(MAX(AD437*配置与结果!$B$31,AD437-AE437)*AF437*AG437*AH437*AI437,0)</f>
        <v>698161</v>
      </c>
      <c r="AM437" s="7">
        <f>ROUNDDOWN(MAX(AD437*配置与结果!$B$31,AD437-AE437)*AF437*AG437*AH437*AI437*AK437,0)</f>
        <v>2209681</v>
      </c>
      <c r="AN437" s="7">
        <f t="shared" si="558"/>
        <v>2209681</v>
      </c>
      <c r="AO437" s="7">
        <f>0</f>
        <v>0</v>
      </c>
      <c r="AP437" s="7">
        <f>MAX(0,1+INDEX(配置与结果!$J$15:$J$18,F437)+IF(T437&gt;0,方案参数!$BY$14,0)-配置与结果!$B$30)</f>
        <v>2</v>
      </c>
      <c r="AQ437" s="7">
        <f t="shared" si="559"/>
        <v>0</v>
      </c>
      <c r="AR437" s="7">
        <f t="shared" si="560"/>
        <v>0</v>
      </c>
      <c r="AS437" s="7">
        <f t="shared" si="561"/>
        <v>0</v>
      </c>
      <c r="AT437" s="7">
        <f>IF(U437&gt;0,ROUNDDOWN(AL437*方案参数!$AF$14,0)*(1-AJ437)+ROUNDDOWN(AM437*方案参数!$AF$14,0)*AJ437,0)</f>
        <v>1325808</v>
      </c>
      <c r="AU437" s="7">
        <f t="shared" si="562"/>
        <v>3535489</v>
      </c>
      <c r="AV437" s="1">
        <f t="shared" si="563"/>
        <v>2</v>
      </c>
      <c r="AW437" s="1">
        <f t="shared" si="610"/>
        <v>10</v>
      </c>
      <c r="AX437" s="1">
        <f t="shared" si="564"/>
        <v>2</v>
      </c>
      <c r="AY437" s="1">
        <f>MIN(20,MAX(0,O437+0+1-0))</f>
        <v>9</v>
      </c>
      <c r="AZ437" s="1">
        <f t="shared" si="565"/>
        <v>5</v>
      </c>
      <c r="BA437" s="1">
        <f t="shared" si="601"/>
        <v>5</v>
      </c>
      <c r="BB437" s="1">
        <f t="shared" si="609"/>
        <v>20</v>
      </c>
      <c r="BC437" s="1">
        <f t="shared" si="607"/>
        <v>3</v>
      </c>
      <c r="BD437" s="1">
        <f t="shared" si="588"/>
        <v>1</v>
      </c>
      <c r="BE437" s="1">
        <f>MAX(0,U437-IF(AF437&gt;0,1,0))+0</f>
        <v>0</v>
      </c>
      <c r="BF437" s="1">
        <f t="shared" si="611"/>
        <v>4</v>
      </c>
      <c r="BG437" s="1">
        <f t="shared" si="598"/>
        <v>1</v>
      </c>
      <c r="BH437" s="1">
        <f t="shared" si="582"/>
        <v>1</v>
      </c>
      <c r="BI437" s="1">
        <f t="shared" si="599"/>
        <v>1</v>
      </c>
      <c r="BJ437" s="1">
        <f t="shared" si="602"/>
        <v>1</v>
      </c>
      <c r="BK437" s="1">
        <f t="shared" si="603"/>
        <v>1</v>
      </c>
      <c r="BL437" s="1">
        <f t="shared" si="608"/>
        <v>1</v>
      </c>
      <c r="BM437" s="1">
        <f t="shared" si="606"/>
        <v>1</v>
      </c>
      <c r="BN437" s="1">
        <f t="shared" si="583"/>
        <v>1</v>
      </c>
      <c r="BO437" s="1">
        <f t="shared" si="584"/>
        <v>1</v>
      </c>
    </row>
    <row r="438" spans="1:67" ht="30.95" customHeight="1">
      <c r="A438" s="1">
        <f>12</f>
        <v>12</v>
      </c>
      <c r="B438" s="1">
        <f>固定流程!A6</f>
        <v>1</v>
      </c>
      <c r="C438" s="1">
        <f>15</f>
        <v>15</v>
      </c>
      <c r="D438" s="1">
        <f>1</f>
        <v>1</v>
      </c>
      <c r="E438" s="1">
        <f>固定流程!C6</f>
        <v>1</v>
      </c>
      <c r="F438" s="1">
        <f>固定流程!G6</f>
        <v>3</v>
      </c>
      <c r="G438" s="1" t="str">
        <f>固定流程!H6</f>
        <v>RHI_ULT</v>
      </c>
      <c r="H438" s="1">
        <f>固定流程!F6</f>
        <v>1</v>
      </c>
      <c r="I438" s="1">
        <f>INDEX(配置与结果!$B$15:$B$18,F438)</f>
        <v>2597</v>
      </c>
      <c r="J438" s="1">
        <f>INDEX(配置与结果!$D$15:$D$18,F438)</f>
        <v>0.255</v>
      </c>
      <c r="K438" s="1">
        <f>INDEX(配置与结果!$E$15:$E$18,F438)</f>
        <v>1.55</v>
      </c>
      <c r="L438" s="1">
        <f>0</f>
        <v>0</v>
      </c>
      <c r="M438" s="1">
        <f>0</f>
        <v>0</v>
      </c>
      <c r="N438" s="1">
        <f>0</f>
        <v>0</v>
      </c>
      <c r="O438" s="1">
        <f>0</f>
        <v>0</v>
      </c>
      <c r="P438" s="1">
        <f>MIN(方案参数!$AI$15,0+方案参数!$AJ$15+0)</f>
        <v>1</v>
      </c>
      <c r="Q438" s="1">
        <f>0</f>
        <v>0</v>
      </c>
      <c r="R438" s="1">
        <f>0</f>
        <v>0</v>
      </c>
      <c r="S438" s="1">
        <f>0</f>
        <v>0</v>
      </c>
      <c r="T438" s="1">
        <f>0+0</f>
        <v>0</v>
      </c>
      <c r="U438" s="1">
        <f>0</f>
        <v>0</v>
      </c>
      <c r="V438" s="1">
        <f>0</f>
        <v>0</v>
      </c>
      <c r="W438" s="1">
        <f>0</f>
        <v>0</v>
      </c>
      <c r="X438" s="1">
        <f>0</f>
        <v>0</v>
      </c>
      <c r="Y438" s="1">
        <f>0</f>
        <v>0</v>
      </c>
      <c r="Z438" s="1">
        <f>0</f>
        <v>0</v>
      </c>
      <c r="AA438" s="1">
        <f>MAX(0,0)</f>
        <v>0</v>
      </c>
      <c r="AB438" s="1">
        <f>0</f>
        <v>0</v>
      </c>
      <c r="AC438" s="1">
        <f>MAX(0,0)</f>
        <v>0</v>
      </c>
      <c r="AD438" s="1">
        <f>ROUNDDOWN(I438*(1+IF(F438=3,0.05+方案参数!$Y$15+AA438*0.12,IF(F438=4,方案参数!$BZ$15*方案参数!$AS$15,0)))+IF(AND(X438=1,F438&lt;&gt;3),方案参数!$CC$15,0)+AC438*方案参数!$CB$15,0)</f>
        <v>2986</v>
      </c>
      <c r="AE438" s="1">
        <f>IF(OR(F438=1,F438=4),配置与结果!$B$24,配置与结果!$B$25)*MAX(0,1-INDEX(配置与结果!$I$15:$I$18,F438))</f>
        <v>1000</v>
      </c>
      <c r="AF438" s="1">
        <f>0</f>
        <v>0</v>
      </c>
      <c r="AG438" s="1">
        <f>MAX(配置与结果!$B$32,1+INDEX(配置与结果!$F$15:$F$18,F438)+0+Q438*方案参数!$W$15+Y438*(方案参数!$AN$15+MIN(方案参数!$AO$15,P438*0.03))+AB438*方案参数!$BZ$15*0.025-配置与结果!$B$28)</f>
        <v>0.6349999999999999</v>
      </c>
      <c r="AH438" s="1">
        <f>MAX(0,1+INDEX(配置与结果!$G$15:$G$18,F438)+W438*方案参数!$AG$15)</f>
        <v>1</v>
      </c>
      <c r="AI438" s="1">
        <f>IF(OR(INDEX(配置与结果!$K$15:$K$18,F438)=1,G438="RHI_BERRY"),1+配置与结果!$B$33+P438*方案参数!$AH$15,1)</f>
        <v>1</v>
      </c>
      <c r="AJ438" s="1">
        <f>MIN(1,MAX(0,J438+方案参数!$AB$15-配置与结果!$B$27))</f>
        <v>0.85499999999999998</v>
      </c>
      <c r="AK438" s="1">
        <f>MAX(1,K438+IF(F438=2,0.15+方案参数!$CH$15,0)+BN438*方案参数!$X$15+R438*方案参数!$AA$15+0-配置与结果!$B$26+Z438*(方案参数!$AP$15+MIN(方案参数!$AQ$15,P438*0.03)))</f>
        <v>1.1499999999999999</v>
      </c>
      <c r="AL438" s="7">
        <f>ROUNDDOWN(MAX(AD438*配置与结果!$B$31,AD438-AE438)*AF438*AG438*AH438*AI438,0)</f>
        <v>0</v>
      </c>
      <c r="AM438" s="7">
        <f>ROUNDDOWN(MAX(AD438*配置与结果!$B$31,AD438-AE438)*AF438*AG438*AH438*AI438*AK438,0)</f>
        <v>0</v>
      </c>
      <c r="AN438" s="7">
        <f t="shared" si="558"/>
        <v>0</v>
      </c>
      <c r="AO438" s="7">
        <f>0</f>
        <v>0</v>
      </c>
      <c r="AP438" s="7">
        <f>MAX(0,1+INDEX(配置与结果!$J$15:$J$18,F438)+IF(T438&gt;0,方案参数!$BY$15,0)-配置与结果!$B$30)</f>
        <v>1</v>
      </c>
      <c r="AQ438" s="7">
        <f t="shared" si="559"/>
        <v>0</v>
      </c>
      <c r="AR438" s="7">
        <f t="shared" si="560"/>
        <v>0</v>
      </c>
      <c r="AS438" s="7">
        <f t="shared" si="561"/>
        <v>0</v>
      </c>
      <c r="AT438" s="7">
        <f>0</f>
        <v>0</v>
      </c>
      <c r="AU438" s="7">
        <f t="shared" si="562"/>
        <v>0</v>
      </c>
      <c r="AV438" s="1">
        <f t="shared" si="563"/>
        <v>0</v>
      </c>
      <c r="AW438" s="1">
        <f t="shared" si="610"/>
        <v>0</v>
      </c>
      <c r="AX438" s="1">
        <f t="shared" si="564"/>
        <v>0</v>
      </c>
      <c r="AY438" s="1">
        <f>MIN(20,MAX(0,O438+0+0-0))</f>
        <v>0</v>
      </c>
      <c r="AZ438" s="1">
        <f t="shared" si="565"/>
        <v>1</v>
      </c>
      <c r="BA438" s="1">
        <f>MIN(6,Q438+1)</f>
        <v>1</v>
      </c>
      <c r="BB438" s="1">
        <f>MIN(30,R438+5)</f>
        <v>5</v>
      </c>
      <c r="BC438" s="1">
        <f t="shared" si="607"/>
        <v>0</v>
      </c>
      <c r="BD438" s="1">
        <f t="shared" si="588"/>
        <v>0</v>
      </c>
      <c r="BE438" s="1">
        <f>0</f>
        <v>0</v>
      </c>
      <c r="BF438" s="1">
        <f t="shared" si="611"/>
        <v>0</v>
      </c>
      <c r="BG438" s="1">
        <f t="shared" si="598"/>
        <v>0</v>
      </c>
      <c r="BH438" s="1">
        <f>MAX(X438,1)</f>
        <v>1</v>
      </c>
      <c r="BI438" s="1">
        <f t="shared" si="599"/>
        <v>0</v>
      </c>
      <c r="BJ438" s="1">
        <f t="shared" si="602"/>
        <v>0</v>
      </c>
      <c r="BK438" s="1">
        <f t="shared" si="603"/>
        <v>0</v>
      </c>
      <c r="BL438" s="1">
        <f t="shared" si="608"/>
        <v>0</v>
      </c>
      <c r="BM438" s="1">
        <f t="shared" si="606"/>
        <v>0</v>
      </c>
      <c r="BN438" s="1">
        <f>0</f>
        <v>0</v>
      </c>
      <c r="BO438" s="1">
        <f>MAX(BN438,1)</f>
        <v>1</v>
      </c>
    </row>
    <row r="439" spans="1:67" ht="30.95" customHeight="1">
      <c r="A439" s="1">
        <f>12</f>
        <v>12</v>
      </c>
      <c r="B439" s="1">
        <f>固定流程!A7</f>
        <v>2</v>
      </c>
      <c r="C439" s="1">
        <f>15</f>
        <v>15</v>
      </c>
      <c r="D439" s="1">
        <f>1</f>
        <v>1</v>
      </c>
      <c r="E439" s="1">
        <f>固定流程!C7</f>
        <v>1</v>
      </c>
      <c r="F439" s="1">
        <f>固定流程!G7</f>
        <v>3</v>
      </c>
      <c r="G439" s="1" t="str">
        <f>固定流程!H7</f>
        <v>RHI_BUFF</v>
      </c>
      <c r="H439" s="1">
        <f>固定流程!F7</f>
        <v>1</v>
      </c>
      <c r="I439" s="1">
        <f>INDEX(配置与结果!$B$15:$B$18,F439)</f>
        <v>2597</v>
      </c>
      <c r="J439" s="1">
        <f>INDEX(配置与结果!$D$15:$D$18,F439)</f>
        <v>0.255</v>
      </c>
      <c r="K439" s="1">
        <f>INDEX(配置与结果!$E$15:$E$18,F439)</f>
        <v>1.55</v>
      </c>
      <c r="L439" s="1">
        <f t="shared" ref="L439:O444" si="612">AV438</f>
        <v>0</v>
      </c>
      <c r="M439" s="1">
        <f t="shared" si="612"/>
        <v>0</v>
      </c>
      <c r="N439" s="1">
        <f t="shared" si="612"/>
        <v>0</v>
      </c>
      <c r="O439" s="1">
        <f t="shared" si="612"/>
        <v>0</v>
      </c>
      <c r="P439" s="1">
        <f>MIN(方案参数!$AI$15,AZ438+0+方案参数!$AK$15)</f>
        <v>3</v>
      </c>
      <c r="Q439" s="1">
        <f t="shared" ref="Q439:Q473" si="613">BA438</f>
        <v>1</v>
      </c>
      <c r="R439" s="1">
        <f t="shared" ref="R439:R473" si="614">BB438</f>
        <v>5</v>
      </c>
      <c r="S439" s="1">
        <f t="shared" ref="S439:S473" si="615">BC438</f>
        <v>0</v>
      </c>
      <c r="T439" s="1">
        <f t="shared" ref="T439:T452" si="616">BD438+0</f>
        <v>0</v>
      </c>
      <c r="U439" s="1">
        <f t="shared" ref="U439:U473" si="617">BE438</f>
        <v>0</v>
      </c>
      <c r="V439" s="1">
        <f t="shared" ref="V439:V473" si="618">BF438</f>
        <v>0</v>
      </c>
      <c r="W439" s="1">
        <f t="shared" ref="W439:W473" si="619">BG438</f>
        <v>0</v>
      </c>
      <c r="X439" s="1">
        <f t="shared" ref="X439:X473" si="620">BH438</f>
        <v>1</v>
      </c>
      <c r="Y439" s="1">
        <f t="shared" ref="Y439:Y473" si="621">BI438</f>
        <v>0</v>
      </c>
      <c r="Z439" s="1">
        <f t="shared" ref="Z439:Z473" si="622">BJ438</f>
        <v>0</v>
      </c>
      <c r="AA439" s="1">
        <f t="shared" ref="AA439:AA444" si="623">MAX(BK438,0)</f>
        <v>0</v>
      </c>
      <c r="AB439" s="1">
        <f t="shared" ref="AB439:AB473" si="624">BL438</f>
        <v>0</v>
      </c>
      <c r="AC439" s="1">
        <f t="shared" ref="AC439:AC452" si="625">MAX(BM438,0)</f>
        <v>0</v>
      </c>
      <c r="AD439" s="1">
        <f>ROUNDDOWN(I439*(1+IF(F439=3,0.05+方案参数!$Y$15+AA439*0.12,IF(F439=4,方案参数!$BZ$15*方案参数!$AS$15,0)))+IF(AND(X439=1,F439&lt;&gt;3),方案参数!$CC$15,0)+AC439*方案参数!$CB$15,0)</f>
        <v>2986</v>
      </c>
      <c r="AE439" s="1">
        <f>IF(OR(F439=1,F439=4),配置与结果!$B$24,配置与结果!$B$25)*MAX(0,1-INDEX(配置与结果!$I$15:$I$18,F439))</f>
        <v>1000</v>
      </c>
      <c r="AF439" s="1">
        <f>0</f>
        <v>0</v>
      </c>
      <c r="AG439" s="1">
        <f>MAX(配置与结果!$B$32,1+INDEX(配置与结果!$F$15:$F$18,F439)+0+Q439*方案参数!$W$15+Y439*(方案参数!$AN$15+MIN(方案参数!$AO$15,P439*0.03))+AB439*方案参数!$BZ$15*0.025-配置与结果!$B$28)</f>
        <v>0.65499999999999992</v>
      </c>
      <c r="AH439" s="1">
        <f>MAX(0,1+INDEX(配置与结果!$G$15:$G$18,F439)+W439*方案参数!$AG$15)</f>
        <v>1</v>
      </c>
      <c r="AI439" s="1">
        <f>IF(OR(INDEX(配置与结果!$K$15:$K$18,F439)=1,G439="RHI_BERRY"),1+配置与结果!$B$33+P439*方案参数!$AH$15,1)</f>
        <v>1</v>
      </c>
      <c r="AJ439" s="1">
        <f>MIN(1,MAX(0,J439+方案参数!$AB$15-配置与结果!$B$27))</f>
        <v>0.85499999999999998</v>
      </c>
      <c r="AK439" s="1">
        <f>MAX(1,K439+IF(F439=2,0.15+方案参数!$CH$15,0)+BN439*方案参数!$X$15+R439*方案参数!$AA$15+0-配置与结果!$B$26+Z439*(方案参数!$AP$15+MIN(方案参数!$AQ$15,P439*0.03)))</f>
        <v>1.33</v>
      </c>
      <c r="AL439" s="7">
        <f>ROUNDDOWN(MAX(AD439*配置与结果!$B$31,AD439-AE439)*AF439*AG439*AH439*AI439,0)</f>
        <v>0</v>
      </c>
      <c r="AM439" s="7">
        <f>ROUNDDOWN(MAX(AD439*配置与结果!$B$31,AD439-AE439)*AF439*AG439*AH439*AI439*AK439,0)</f>
        <v>0</v>
      </c>
      <c r="AN439" s="7">
        <f t="shared" si="558"/>
        <v>0</v>
      </c>
      <c r="AO439" s="7">
        <f>0</f>
        <v>0</v>
      </c>
      <c r="AP439" s="7">
        <f>MAX(0,1+INDEX(配置与结果!$J$15:$J$18,F439)+IF(T439&gt;0,方案参数!$BY$15,0)-配置与结果!$B$30)</f>
        <v>1</v>
      </c>
      <c r="AQ439" s="7">
        <f t="shared" si="559"/>
        <v>0</v>
      </c>
      <c r="AR439" s="7">
        <f t="shared" si="560"/>
        <v>0</v>
      </c>
      <c r="AS439" s="7">
        <f t="shared" si="561"/>
        <v>0</v>
      </c>
      <c r="AT439" s="7">
        <f>0</f>
        <v>0</v>
      </c>
      <c r="AU439" s="7">
        <f t="shared" si="562"/>
        <v>0</v>
      </c>
      <c r="AV439" s="1">
        <f t="shared" si="563"/>
        <v>0</v>
      </c>
      <c r="AW439" s="1">
        <f t="shared" si="610"/>
        <v>0</v>
      </c>
      <c r="AX439" s="1">
        <f t="shared" si="564"/>
        <v>0</v>
      </c>
      <c r="AY439" s="1">
        <f>MIN(20,MAX(0,O439+0+0-0))</f>
        <v>0</v>
      </c>
      <c r="AZ439" s="1">
        <f t="shared" si="565"/>
        <v>3</v>
      </c>
      <c r="BA439" s="1">
        <f>MIN(6,Q439+1)</f>
        <v>2</v>
      </c>
      <c r="BB439" s="1">
        <f t="shared" ref="BB439:BB452" si="626">MIN(30,R439+0)</f>
        <v>5</v>
      </c>
      <c r="BC439" s="1">
        <f t="shared" si="607"/>
        <v>0</v>
      </c>
      <c r="BD439" s="1">
        <f t="shared" si="588"/>
        <v>0</v>
      </c>
      <c r="BE439" s="1">
        <f t="shared" ref="BE439:BE460" si="627">BE438</f>
        <v>0</v>
      </c>
      <c r="BF439" s="1">
        <f t="shared" si="611"/>
        <v>0</v>
      </c>
      <c r="BG439" s="1">
        <f>MAX(W439,1)</f>
        <v>1</v>
      </c>
      <c r="BH439" s="1">
        <f t="shared" ref="BH439:BH473" si="628">MAX(X439,0)</f>
        <v>1</v>
      </c>
      <c r="BI439" s="1">
        <f>MAX(Y439,1)</f>
        <v>1</v>
      </c>
      <c r="BJ439" s="1">
        <f t="shared" si="602"/>
        <v>0</v>
      </c>
      <c r="BK439" s="1">
        <f t="shared" si="603"/>
        <v>0</v>
      </c>
      <c r="BL439" s="1">
        <f t="shared" si="608"/>
        <v>0</v>
      </c>
      <c r="BM439" s="1">
        <f t="shared" si="606"/>
        <v>0</v>
      </c>
      <c r="BN439" s="1">
        <f t="shared" ref="BN439:BN473" si="629">BO438</f>
        <v>1</v>
      </c>
      <c r="BO439" s="1">
        <f t="shared" ref="BO439:BO473" si="630">MAX(BN439,0)</f>
        <v>1</v>
      </c>
    </row>
    <row r="440" spans="1:67" ht="30.95" customHeight="1">
      <c r="A440" s="1">
        <f>12</f>
        <v>12</v>
      </c>
      <c r="B440" s="1">
        <f>固定流程!A8</f>
        <v>3</v>
      </c>
      <c r="C440" s="1">
        <f>15</f>
        <v>15</v>
      </c>
      <c r="D440" s="1">
        <f>1</f>
        <v>1</v>
      </c>
      <c r="E440" s="1">
        <f>固定流程!C8</f>
        <v>1</v>
      </c>
      <c r="F440" s="1">
        <f>固定流程!G8</f>
        <v>1</v>
      </c>
      <c r="G440" s="1" t="str">
        <f>固定流程!H8</f>
        <v>LILYA_COBRA</v>
      </c>
      <c r="H440" s="1">
        <f>固定流程!F8</f>
        <v>1</v>
      </c>
      <c r="I440" s="1">
        <f>INDEX(配置与结果!$B$15:$B$18,F440)</f>
        <v>2296</v>
      </c>
      <c r="J440" s="1">
        <f>INDEX(配置与结果!$D$15:$D$18,F440)</f>
        <v>0.7</v>
      </c>
      <c r="K440" s="1">
        <f>INDEX(配置与结果!$E$15:$E$18,F440)</f>
        <v>2.0249999999999999</v>
      </c>
      <c r="L440" s="1">
        <f t="shared" si="612"/>
        <v>0</v>
      </c>
      <c r="M440" s="1">
        <f t="shared" si="612"/>
        <v>0</v>
      </c>
      <c r="N440" s="1">
        <f t="shared" si="612"/>
        <v>0</v>
      </c>
      <c r="O440" s="1">
        <f t="shared" si="612"/>
        <v>0</v>
      </c>
      <c r="P440" s="1">
        <f>MIN(方案参数!$AI$15,AZ439+0+0)</f>
        <v>3</v>
      </c>
      <c r="Q440" s="1">
        <f t="shared" si="613"/>
        <v>2</v>
      </c>
      <c r="R440" s="1">
        <f t="shared" si="614"/>
        <v>5</v>
      </c>
      <c r="S440" s="1">
        <f t="shared" si="615"/>
        <v>0</v>
      </c>
      <c r="T440" s="1">
        <f t="shared" si="616"/>
        <v>0</v>
      </c>
      <c r="U440" s="1">
        <f t="shared" si="617"/>
        <v>0</v>
      </c>
      <c r="V440" s="1">
        <f t="shared" si="618"/>
        <v>0</v>
      </c>
      <c r="W440" s="1">
        <f t="shared" si="619"/>
        <v>1</v>
      </c>
      <c r="X440" s="1">
        <f t="shared" si="620"/>
        <v>1</v>
      </c>
      <c r="Y440" s="1">
        <f t="shared" si="621"/>
        <v>1</v>
      </c>
      <c r="Z440" s="1">
        <f t="shared" si="622"/>
        <v>0</v>
      </c>
      <c r="AA440" s="1">
        <f t="shared" si="623"/>
        <v>0</v>
      </c>
      <c r="AB440" s="1">
        <f t="shared" si="624"/>
        <v>0</v>
      </c>
      <c r="AC440" s="1">
        <f t="shared" si="625"/>
        <v>0</v>
      </c>
      <c r="AD440" s="1">
        <f>ROUNDDOWN(I440*(1+IF(F440=3,0.05+方案参数!$Y$15+AA440*0.12,IF(F440=4,方案参数!$BZ$15*方案参数!$AS$15,0)))+IF(AND(X440=1,F440&lt;&gt;3),方案参数!$CC$15,0)+AC440*方案参数!$CB$15,0)</f>
        <v>2534</v>
      </c>
      <c r="AE440" s="1">
        <f>IF(OR(F440=1,F440=4),配置与结果!$B$24,配置与结果!$B$25)*MAX(0,1-INDEX(配置与结果!$I$15:$I$18,F440))</f>
        <v>1200</v>
      </c>
      <c r="AF440" s="1">
        <f>0</f>
        <v>0</v>
      </c>
      <c r="AG440" s="1">
        <f>MAX(配置与结果!$B$32,1+INDEX(配置与结果!$F$15:$F$18,F440)+0.08+方案参数!$CD$15+Q440*方案参数!$W$15+Y440*(方案参数!$AN$15+MIN(方案参数!$AO$15,P440*0.03))+AB440*方案参数!$BZ$15*0.025-配置与结果!$B$28)</f>
        <v>1.2200000000000002</v>
      </c>
      <c r="AH440" s="1">
        <f>MAX(0,1+INDEX(配置与结果!$G$15:$G$18,F440)+W440*方案参数!$AG$15)</f>
        <v>1.3</v>
      </c>
      <c r="AI440" s="1">
        <f>IF(OR(INDEX(配置与结果!$K$15:$K$18,F440)=1,G440="RHI_BERRY"),1+配置与结果!$B$33+P440*方案参数!$AH$15,1)</f>
        <v>1</v>
      </c>
      <c r="AJ440" s="1">
        <f>MIN(1,MAX(0,J440+方案参数!$AB$15-配置与结果!$B$27))</f>
        <v>1</v>
      </c>
      <c r="AK440" s="1">
        <f>MAX(1,K440+IF(F440=2,0.15+方案参数!$CH$15,0)+BN440*方案参数!$X$15+R440*方案参数!$AA$15+0-配置与结果!$B$26+Z440*(方案参数!$AP$15+MIN(方案参数!$AQ$15,P440*0.03)))</f>
        <v>1.8050000000000002</v>
      </c>
      <c r="AL440" s="7">
        <f>ROUNDDOWN(MAX(AD440*配置与结果!$B$31,AD440-AE440)*AF440*AG440*AH440*AI440,0)</f>
        <v>0</v>
      </c>
      <c r="AM440" s="7">
        <f>ROUNDDOWN(MAX(AD440*配置与结果!$B$31,AD440-AE440)*AF440*AG440*AH440*AI440*AK440,0)</f>
        <v>0</v>
      </c>
      <c r="AN440" s="7">
        <f t="shared" si="558"/>
        <v>0</v>
      </c>
      <c r="AO440" s="7">
        <f>0</f>
        <v>0</v>
      </c>
      <c r="AP440" s="7">
        <f>MAX(0,1+INDEX(配置与结果!$J$15:$J$18,F440)+IF(T440&gt;0,方案参数!$BY$15,0)-配置与结果!$B$30)</f>
        <v>1</v>
      </c>
      <c r="AQ440" s="7">
        <f t="shared" si="559"/>
        <v>0</v>
      </c>
      <c r="AR440" s="7">
        <f t="shared" si="560"/>
        <v>0</v>
      </c>
      <c r="AS440" s="7">
        <f t="shared" si="561"/>
        <v>0</v>
      </c>
      <c r="AT440" s="7">
        <f>0</f>
        <v>0</v>
      </c>
      <c r="AU440" s="7">
        <f t="shared" si="562"/>
        <v>0</v>
      </c>
      <c r="AV440" s="1">
        <f t="shared" si="563"/>
        <v>1</v>
      </c>
      <c r="AW440" s="1">
        <f>MIN(10,M440+方案参数!$BD$15+0)</f>
        <v>3</v>
      </c>
      <c r="AX440" s="1">
        <f t="shared" si="564"/>
        <v>0</v>
      </c>
      <c r="AY440" s="1">
        <f>MIN(20,MAX(0,O440+6+0-0))</f>
        <v>6</v>
      </c>
      <c r="AZ440" s="1">
        <f t="shared" si="565"/>
        <v>3</v>
      </c>
      <c r="BA440" s="1">
        <f>MIN(6,Q440+0)</f>
        <v>2</v>
      </c>
      <c r="BB440" s="1">
        <f t="shared" si="626"/>
        <v>5</v>
      </c>
      <c r="BC440" s="1">
        <f t="shared" si="607"/>
        <v>0</v>
      </c>
      <c r="BD440" s="1">
        <f t="shared" si="588"/>
        <v>0</v>
      </c>
      <c r="BE440" s="1">
        <f t="shared" si="627"/>
        <v>0</v>
      </c>
      <c r="BF440" s="1">
        <f t="shared" si="611"/>
        <v>0</v>
      </c>
      <c r="BG440" s="1">
        <f t="shared" ref="BG440:BG450" si="631">MAX(W440,0)</f>
        <v>1</v>
      </c>
      <c r="BH440" s="1">
        <f t="shared" si="628"/>
        <v>1</v>
      </c>
      <c r="BI440" s="1">
        <f t="shared" ref="BI440:BI450" si="632">MAX(Y440,0)</f>
        <v>1</v>
      </c>
      <c r="BJ440" s="1">
        <f t="shared" si="602"/>
        <v>0</v>
      </c>
      <c r="BK440" s="1">
        <f t="shared" si="603"/>
        <v>0</v>
      </c>
      <c r="BL440" s="1">
        <f t="shared" si="608"/>
        <v>0</v>
      </c>
      <c r="BM440" s="1">
        <f t="shared" si="606"/>
        <v>0</v>
      </c>
      <c r="BN440" s="1">
        <f t="shared" si="629"/>
        <v>1</v>
      </c>
      <c r="BO440" s="1">
        <f t="shared" si="630"/>
        <v>1</v>
      </c>
    </row>
    <row r="441" spans="1:67" ht="30.95" customHeight="1">
      <c r="A441" s="1">
        <f>12</f>
        <v>12</v>
      </c>
      <c r="B441" s="1">
        <f>固定流程!A9</f>
        <v>4</v>
      </c>
      <c r="C441" s="1">
        <f>15</f>
        <v>15</v>
      </c>
      <c r="D441" s="1">
        <f>1</f>
        <v>1</v>
      </c>
      <c r="E441" s="1">
        <f>固定流程!C9</f>
        <v>1</v>
      </c>
      <c r="F441" s="1">
        <f>固定流程!G9</f>
        <v>1</v>
      </c>
      <c r="G441" s="1" t="str">
        <f>固定流程!H9</f>
        <v>LILYA_DIVE</v>
      </c>
      <c r="H441" s="1">
        <f>固定流程!F9</f>
        <v>1</v>
      </c>
      <c r="I441" s="1">
        <f>INDEX(配置与结果!$B$15:$B$18,F441)</f>
        <v>2296</v>
      </c>
      <c r="J441" s="1">
        <f>INDEX(配置与结果!$D$15:$D$18,F441)</f>
        <v>0.7</v>
      </c>
      <c r="K441" s="1">
        <f>INDEX(配置与结果!$E$15:$E$18,F441)</f>
        <v>2.0249999999999999</v>
      </c>
      <c r="L441" s="1">
        <f t="shared" si="612"/>
        <v>1</v>
      </c>
      <c r="M441" s="1">
        <f t="shared" si="612"/>
        <v>3</v>
      </c>
      <c r="N441" s="1">
        <f t="shared" si="612"/>
        <v>0</v>
      </c>
      <c r="O441" s="1">
        <f t="shared" si="612"/>
        <v>6</v>
      </c>
      <c r="P441" s="1">
        <f>MIN(方案参数!$AI$15,AZ440+0+0)</f>
        <v>3</v>
      </c>
      <c r="Q441" s="1">
        <f t="shared" si="613"/>
        <v>2</v>
      </c>
      <c r="R441" s="1">
        <f t="shared" si="614"/>
        <v>5</v>
      </c>
      <c r="S441" s="1">
        <f t="shared" si="615"/>
        <v>0</v>
      </c>
      <c r="T441" s="1">
        <f t="shared" si="616"/>
        <v>0</v>
      </c>
      <c r="U441" s="1">
        <f t="shared" si="617"/>
        <v>0</v>
      </c>
      <c r="V441" s="1">
        <f t="shared" si="618"/>
        <v>0</v>
      </c>
      <c r="W441" s="1">
        <f t="shared" si="619"/>
        <v>1</v>
      </c>
      <c r="X441" s="1">
        <f t="shared" si="620"/>
        <v>1</v>
      </c>
      <c r="Y441" s="1">
        <f t="shared" si="621"/>
        <v>1</v>
      </c>
      <c r="Z441" s="1">
        <f t="shared" si="622"/>
        <v>0</v>
      </c>
      <c r="AA441" s="1">
        <f t="shared" si="623"/>
        <v>0</v>
      </c>
      <c r="AB441" s="1">
        <f t="shared" si="624"/>
        <v>0</v>
      </c>
      <c r="AC441" s="1">
        <f t="shared" si="625"/>
        <v>0</v>
      </c>
      <c r="AD441" s="1">
        <f>ROUNDDOWN(I441*(1+IF(F441=3,0.05+方案参数!$Y$15+AA441*0.12,IF(F441=4,方案参数!$BZ$15*方案参数!$AS$15,0)))+IF(AND(X441=1,F441&lt;&gt;3),方案参数!$CC$15,0)+AC441*方案参数!$CB$15,0)</f>
        <v>2534</v>
      </c>
      <c r="AE441" s="1">
        <f>IF(OR(F441=1,F441=4),配置与结果!$B$24,配置与结果!$B$25)*MAX(0,1-INDEX(配置与结果!$I$15:$I$18,F441))</f>
        <v>1200</v>
      </c>
      <c r="AF441" s="1">
        <f>(IF(L441=1,方案参数!$AW$15,IF(L441=2,方案参数!$AX$15,0))+方案参数!$AV$15)*H441</f>
        <v>6</v>
      </c>
      <c r="AG441" s="1">
        <f>MAX(配置与结果!$B$32,1+INDEX(配置与结果!$F$15:$F$18,F441)+0.08+方案参数!$CD$15+Q441*方案参数!$W$15+Y441*(方案参数!$AN$15+MIN(方案参数!$AO$15,P441*0.03))+AB441*方案参数!$BZ$15*0.025+IF(L441=1,方案参数!$AY$15+(H441-1)*0.1,IF(L441=2,方案参数!$AZ$15+(H441-1)*0.2,0))-配置与结果!$B$28)</f>
        <v>1.3200000000000003</v>
      </c>
      <c r="AH441" s="1">
        <f>MAX(0,1+INDEX(配置与结果!$G$15:$G$18,F441)+W441*方案参数!$AG$15+IF(L441=1,方案参数!$BA$15,IF(L441=2,方案参数!$BB$15,0))+M441*方案参数!$BC$15)</f>
        <v>2.08</v>
      </c>
      <c r="AI441" s="1">
        <f>IF(OR(INDEX(配置与结果!$K$15:$K$18,F441)=1,G441="RHI_BERRY"),1+配置与结果!$B$33+P441*方案参数!$AH$15,1)</f>
        <v>1</v>
      </c>
      <c r="AJ441" s="1">
        <f>MIN(1,MAX(0,J441+方案参数!$AB$15-配置与结果!$B$27))</f>
        <v>1</v>
      </c>
      <c r="AK441" s="1">
        <f>MAX(1,K441+IF(F441=2,0.15+方案参数!$CH$15,0)+BN441*方案参数!$X$15+R441*方案参数!$AA$15+0-配置与结果!$B$26+Z441*(方案参数!$AP$15+MIN(方案参数!$AQ$15,P441*0.03)))</f>
        <v>1.8050000000000002</v>
      </c>
      <c r="AL441" s="7">
        <f>ROUNDDOWN(MAX(AD441*配置与结果!$B$31,AD441-AE441)*AF441*AG441*AH441*AI441,0)</f>
        <v>21975</v>
      </c>
      <c r="AM441" s="7">
        <f>ROUNDDOWN(MAX(AD441*配置与结果!$B$31,AD441-AE441)*AF441*AG441*AH441*AI441*AK441,0)</f>
        <v>39666</v>
      </c>
      <c r="AN441" s="7">
        <f t="shared" si="558"/>
        <v>39666</v>
      </c>
      <c r="AO441" s="7">
        <f>0</f>
        <v>0</v>
      </c>
      <c r="AP441" s="7">
        <f>MAX(0,1+INDEX(配置与结果!$J$15:$J$18,F441)+IF(T441&gt;0,方案参数!$BY$15,0)-配置与结果!$B$30)</f>
        <v>1</v>
      </c>
      <c r="AQ441" s="7">
        <f t="shared" si="559"/>
        <v>0</v>
      </c>
      <c r="AR441" s="7">
        <f t="shared" si="560"/>
        <v>0</v>
      </c>
      <c r="AS441" s="7">
        <f t="shared" si="561"/>
        <v>0</v>
      </c>
      <c r="AT441" s="7">
        <f>0</f>
        <v>0</v>
      </c>
      <c r="AU441" s="7">
        <f t="shared" si="562"/>
        <v>39666</v>
      </c>
      <c r="AV441" s="1">
        <f t="shared" si="563"/>
        <v>1</v>
      </c>
      <c r="AW441" s="1">
        <f>MIN(10,M441+0+IF(L441=1,方案参数!$BE$15,0))</f>
        <v>4</v>
      </c>
      <c r="AX441" s="1">
        <f t="shared" si="564"/>
        <v>0</v>
      </c>
      <c r="AY441" s="1">
        <f t="shared" ref="AY441:AY456" si="633">MIN(20,MAX(0,O441+0+0-0))</f>
        <v>6</v>
      </c>
      <c r="AZ441" s="1">
        <f t="shared" si="565"/>
        <v>3</v>
      </c>
      <c r="BA441" s="1">
        <f>MIN(6,Q441+0)</f>
        <v>2</v>
      </c>
      <c r="BB441" s="1">
        <f t="shared" si="626"/>
        <v>5</v>
      </c>
      <c r="BC441" s="1">
        <f t="shared" si="607"/>
        <v>0</v>
      </c>
      <c r="BD441" s="1">
        <f t="shared" si="588"/>
        <v>0</v>
      </c>
      <c r="BE441" s="1">
        <f t="shared" si="627"/>
        <v>0</v>
      </c>
      <c r="BF441" s="1">
        <f t="shared" si="611"/>
        <v>0</v>
      </c>
      <c r="BG441" s="1">
        <f t="shared" si="631"/>
        <v>1</v>
      </c>
      <c r="BH441" s="1">
        <f t="shared" si="628"/>
        <v>1</v>
      </c>
      <c r="BI441" s="1">
        <f t="shared" si="632"/>
        <v>1</v>
      </c>
      <c r="BJ441" s="1">
        <f t="shared" si="602"/>
        <v>0</v>
      </c>
      <c r="BK441" s="1">
        <f t="shared" si="603"/>
        <v>0</v>
      </c>
      <c r="BL441" s="1">
        <f t="shared" si="608"/>
        <v>0</v>
      </c>
      <c r="BM441" s="1">
        <f t="shared" si="606"/>
        <v>0</v>
      </c>
      <c r="BN441" s="1">
        <f t="shared" si="629"/>
        <v>1</v>
      </c>
      <c r="BO441" s="1">
        <f t="shared" si="630"/>
        <v>1</v>
      </c>
    </row>
    <row r="442" spans="1:67" ht="30.95" customHeight="1">
      <c r="A442" s="1">
        <f>12</f>
        <v>12</v>
      </c>
      <c r="B442" s="1">
        <f>固定流程!A10</f>
        <v>5</v>
      </c>
      <c r="C442" s="1">
        <f>15</f>
        <v>15</v>
      </c>
      <c r="D442" s="1">
        <f>1</f>
        <v>1</v>
      </c>
      <c r="E442" s="1">
        <f>固定流程!C10</f>
        <v>1</v>
      </c>
      <c r="F442" s="1">
        <f>固定流程!G10</f>
        <v>2</v>
      </c>
      <c r="G442" s="1" t="str">
        <f>固定流程!H10</f>
        <v>37_TRIANGLE</v>
      </c>
      <c r="H442" s="1">
        <f>固定流程!F10</f>
        <v>1</v>
      </c>
      <c r="I442" s="1">
        <f>INDEX(配置与结果!$B$15:$B$18,F442)</f>
        <v>2306</v>
      </c>
      <c r="J442" s="1">
        <f>INDEX(配置与结果!$D$15:$D$18,F442)</f>
        <v>0.46</v>
      </c>
      <c r="K442" s="1">
        <f>INDEX(配置与结果!$E$15:$E$18,F442)</f>
        <v>1.9279999999999999</v>
      </c>
      <c r="L442" s="1">
        <f t="shared" si="612"/>
        <v>1</v>
      </c>
      <c r="M442" s="1">
        <f t="shared" si="612"/>
        <v>4</v>
      </c>
      <c r="N442" s="1">
        <f t="shared" si="612"/>
        <v>0</v>
      </c>
      <c r="O442" s="1">
        <f t="shared" si="612"/>
        <v>6</v>
      </c>
      <c r="P442" s="1">
        <f>MIN(方案参数!$AI$15,AZ441+0+0)</f>
        <v>3</v>
      </c>
      <c r="Q442" s="1">
        <f t="shared" si="613"/>
        <v>2</v>
      </c>
      <c r="R442" s="1">
        <f t="shared" si="614"/>
        <v>5</v>
      </c>
      <c r="S442" s="1">
        <f t="shared" si="615"/>
        <v>0</v>
      </c>
      <c r="T442" s="1">
        <f t="shared" si="616"/>
        <v>0</v>
      </c>
      <c r="U442" s="1">
        <f t="shared" si="617"/>
        <v>0</v>
      </c>
      <c r="V442" s="1">
        <f t="shared" si="618"/>
        <v>0</v>
      </c>
      <c r="W442" s="1">
        <f t="shared" si="619"/>
        <v>1</v>
      </c>
      <c r="X442" s="1">
        <f t="shared" si="620"/>
        <v>1</v>
      </c>
      <c r="Y442" s="1">
        <f t="shared" si="621"/>
        <v>1</v>
      </c>
      <c r="Z442" s="1">
        <f t="shared" si="622"/>
        <v>0</v>
      </c>
      <c r="AA442" s="1">
        <f t="shared" si="623"/>
        <v>0</v>
      </c>
      <c r="AB442" s="1">
        <f t="shared" si="624"/>
        <v>0</v>
      </c>
      <c r="AC442" s="1">
        <f t="shared" si="625"/>
        <v>0</v>
      </c>
      <c r="AD442" s="1">
        <f>ROUNDDOWN(I442*(1+IF(F442=3,0.05+方案参数!$Y$15+AA442*0.12,IF(F442=4,方案参数!$BZ$15*方案参数!$AS$15,0)))+IF(AND(X442=1,F442&lt;&gt;3),方案参数!$CC$15,0)+AC442*方案参数!$CB$15,0)</f>
        <v>2544</v>
      </c>
      <c r="AE442" s="1">
        <f>IF(OR(F442=1,F442=4),配置与结果!$B$24,配置与结果!$B$25)*MAX(0,1-INDEX(配置与结果!$I$15:$I$18,F442))</f>
        <v>1000</v>
      </c>
      <c r="AF442" s="1">
        <f>方案参数!$BS$15*IF(H442=1,1,IF(H442=2,1.5,2.5))</f>
        <v>3</v>
      </c>
      <c r="AG442" s="1">
        <f>MAX(配置与结果!$B$32,1+INDEX(配置与结果!$F$15:$F$18,F442)+0+Q442*方案参数!$W$15+Y442*(方案参数!$AN$15+MIN(方案参数!$AO$15,P442*0.03))+AB442*方案参数!$BZ$15*0.025-配置与结果!$B$28)</f>
        <v>0.8849999999999999</v>
      </c>
      <c r="AH442" s="1">
        <f>MAX(0,1+INDEX(配置与结果!$G$15:$G$18,F442)+W442*方案参数!$AG$15)</f>
        <v>1.3</v>
      </c>
      <c r="AI442" s="1">
        <f>IF(OR(INDEX(配置与结果!$K$15:$K$18,F442)=1,G442="RHI_BERRY"),1+配置与结果!$B$33+P442*方案参数!$AH$15,1)</f>
        <v>1</v>
      </c>
      <c r="AJ442" s="1">
        <f>MIN(1,MAX(0,J442+方案参数!$AB$15-配置与结果!$B$27))</f>
        <v>1</v>
      </c>
      <c r="AK442" s="1">
        <f>MAX(1,K442+IF(F442=2,0.15+方案参数!$CH$15,0)+BN442*方案参数!$X$15+R442*方案参数!$AA$15+0-配置与结果!$B$26+Z442*(方案参数!$AP$15+MIN(方案参数!$AQ$15,P442*0.03)))</f>
        <v>1.9780000000000002</v>
      </c>
      <c r="AL442" s="7">
        <f>ROUNDDOWN(MAX(AD442*配置与结果!$B$31,AD442-AE442)*AF442*AG442*AH442*AI442,0)</f>
        <v>5329</v>
      </c>
      <c r="AM442" s="7">
        <f>ROUNDDOWN(MAX(AD442*配置与结果!$B$31,AD442-AE442)*AF442*AG442*AH442*AI442*AK442,0)</f>
        <v>10540</v>
      </c>
      <c r="AN442" s="7">
        <f t="shared" si="558"/>
        <v>10540</v>
      </c>
      <c r="AO442" s="7">
        <f>方案参数!$BU$15*IF(H442=1,1,IF(H442=2,1.5,2.5))</f>
        <v>1</v>
      </c>
      <c r="AP442" s="7">
        <f>MAX(0,1+INDEX(配置与结果!$J$15:$J$18,F442)+IF(T442&gt;0,方案参数!$BY$15,0)-配置与结果!$B$30)</f>
        <v>1</v>
      </c>
      <c r="AQ442" s="7">
        <f t="shared" si="559"/>
        <v>2544</v>
      </c>
      <c r="AR442" s="7">
        <f t="shared" si="560"/>
        <v>5032</v>
      </c>
      <c r="AS442" s="7">
        <f t="shared" si="561"/>
        <v>5032</v>
      </c>
      <c r="AT442" s="7">
        <f>0</f>
        <v>0</v>
      </c>
      <c r="AU442" s="7">
        <f t="shared" si="562"/>
        <v>15572</v>
      </c>
      <c r="AV442" s="1">
        <f t="shared" si="563"/>
        <v>1</v>
      </c>
      <c r="AW442" s="1">
        <f>MIN(10,M442+0+0)</f>
        <v>4</v>
      </c>
      <c r="AX442" s="1">
        <f t="shared" si="564"/>
        <v>0</v>
      </c>
      <c r="AY442" s="1">
        <f t="shared" si="633"/>
        <v>6</v>
      </c>
      <c r="AZ442" s="1">
        <f t="shared" si="565"/>
        <v>3</v>
      </c>
      <c r="BA442" s="1">
        <f>MIN(6,Q442+0)</f>
        <v>2</v>
      </c>
      <c r="BB442" s="1">
        <f t="shared" si="626"/>
        <v>5</v>
      </c>
      <c r="BC442" s="1">
        <f t="shared" si="607"/>
        <v>0</v>
      </c>
      <c r="BD442" s="1">
        <f>MAX(0,T442-IF(AO442&gt;0,1,0))+1</f>
        <v>1</v>
      </c>
      <c r="BE442" s="1">
        <f t="shared" si="627"/>
        <v>0</v>
      </c>
      <c r="BF442" s="1">
        <f t="shared" si="611"/>
        <v>0</v>
      </c>
      <c r="BG442" s="1">
        <f t="shared" si="631"/>
        <v>1</v>
      </c>
      <c r="BH442" s="1">
        <f t="shared" si="628"/>
        <v>1</v>
      </c>
      <c r="BI442" s="1">
        <f t="shared" si="632"/>
        <v>1</v>
      </c>
      <c r="BJ442" s="1">
        <f t="shared" si="602"/>
        <v>0</v>
      </c>
      <c r="BK442" s="1">
        <f t="shared" si="603"/>
        <v>0</v>
      </c>
      <c r="BL442" s="1">
        <f t="shared" si="608"/>
        <v>0</v>
      </c>
      <c r="BM442" s="1">
        <f t="shared" si="606"/>
        <v>0</v>
      </c>
      <c r="BN442" s="1">
        <f t="shared" si="629"/>
        <v>1</v>
      </c>
      <c r="BO442" s="1">
        <f t="shared" si="630"/>
        <v>1</v>
      </c>
    </row>
    <row r="443" spans="1:67" ht="30.95" customHeight="1">
      <c r="A443" s="1">
        <f>12</f>
        <v>12</v>
      </c>
      <c r="B443" s="1">
        <f>固定流程!A11</f>
        <v>6</v>
      </c>
      <c r="C443" s="1">
        <f>15</f>
        <v>15</v>
      </c>
      <c r="D443" s="1">
        <f>1</f>
        <v>1</v>
      </c>
      <c r="E443" s="1">
        <f>固定流程!C11</f>
        <v>1</v>
      </c>
      <c r="F443" s="1">
        <f>固定流程!G11</f>
        <v>2</v>
      </c>
      <c r="G443" s="1" t="str">
        <f>固定流程!H11</f>
        <v>37_FOLLOW</v>
      </c>
      <c r="H443" s="1">
        <f>固定流程!F11</f>
        <v>1</v>
      </c>
      <c r="I443" s="1">
        <f>INDEX(配置与结果!$B$15:$B$18,F443)</f>
        <v>2306</v>
      </c>
      <c r="J443" s="1">
        <f>INDEX(配置与结果!$D$15:$D$18,F443)</f>
        <v>0.46</v>
      </c>
      <c r="K443" s="1">
        <f>INDEX(配置与结果!$E$15:$E$18,F443)</f>
        <v>1.9279999999999999</v>
      </c>
      <c r="L443" s="1">
        <f t="shared" si="612"/>
        <v>1</v>
      </c>
      <c r="M443" s="1">
        <f t="shared" si="612"/>
        <v>4</v>
      </c>
      <c r="N443" s="1">
        <f t="shared" si="612"/>
        <v>0</v>
      </c>
      <c r="O443" s="1">
        <f t="shared" si="612"/>
        <v>6</v>
      </c>
      <c r="P443" s="1">
        <f>MIN(方案参数!$AI$15,AZ442+0+0)</f>
        <v>3</v>
      </c>
      <c r="Q443" s="1">
        <f t="shared" si="613"/>
        <v>2</v>
      </c>
      <c r="R443" s="1">
        <f t="shared" si="614"/>
        <v>5</v>
      </c>
      <c r="S443" s="1">
        <f t="shared" si="615"/>
        <v>0</v>
      </c>
      <c r="T443" s="1">
        <f t="shared" si="616"/>
        <v>1</v>
      </c>
      <c r="U443" s="1">
        <f t="shared" si="617"/>
        <v>0</v>
      </c>
      <c r="V443" s="1">
        <f t="shared" si="618"/>
        <v>0</v>
      </c>
      <c r="W443" s="1">
        <f t="shared" si="619"/>
        <v>1</v>
      </c>
      <c r="X443" s="1">
        <f t="shared" si="620"/>
        <v>1</v>
      </c>
      <c r="Y443" s="1">
        <f t="shared" si="621"/>
        <v>1</v>
      </c>
      <c r="Z443" s="1">
        <f t="shared" si="622"/>
        <v>0</v>
      </c>
      <c r="AA443" s="1">
        <f t="shared" si="623"/>
        <v>0</v>
      </c>
      <c r="AB443" s="1">
        <f t="shared" si="624"/>
        <v>0</v>
      </c>
      <c r="AC443" s="1">
        <f t="shared" si="625"/>
        <v>0</v>
      </c>
      <c r="AD443" s="1">
        <f>ROUNDDOWN(I443*(1+IF(F443=3,0.05+方案参数!$Y$15+AA443*0.12,IF(F443=4,方案参数!$BZ$15*方案参数!$AS$15,0)))+IF(AND(X443=1,F443&lt;&gt;3),方案参数!$CC$15,0)+AC443*方案参数!$CB$15,0)</f>
        <v>2544</v>
      </c>
      <c r="AE443" s="1">
        <f>IF(OR(F443=1,F443=4),配置与结果!$B$24,配置与结果!$B$25)*MAX(0,1-INDEX(配置与结果!$I$15:$I$18,F443))</f>
        <v>1000</v>
      </c>
      <c r="AF443" s="1">
        <f>方案参数!$BV$15</f>
        <v>6</v>
      </c>
      <c r="AG443" s="1">
        <f>MAX(配置与结果!$B$32,1+INDEX(配置与结果!$F$15:$F$18,F443)+0+Q443*方案参数!$W$15+Y443*(方案参数!$AN$15+MIN(方案参数!$AO$15,P443*0.03))+AB443*方案参数!$BZ$15*0.025-配置与结果!$B$28)</f>
        <v>0.8849999999999999</v>
      </c>
      <c r="AH443" s="1">
        <f>MAX(0,1+INDEX(配置与结果!$G$15:$G$18,F443)+W443*方案参数!$AG$15)</f>
        <v>1.3</v>
      </c>
      <c r="AI443" s="1">
        <f>IF(OR(INDEX(配置与结果!$K$15:$K$18,F443)=1,G443="RHI_BERRY"),1+配置与结果!$B$33+P443*方案参数!$AH$15,1)</f>
        <v>1</v>
      </c>
      <c r="AJ443" s="1">
        <f>MIN(1,MAX(0,J443+方案参数!$AB$15-配置与结果!$B$27))</f>
        <v>1</v>
      </c>
      <c r="AK443" s="1">
        <f>MAX(1,K443+IF(F443=2,0.15+方案参数!$CH$15,0)+BN443*方案参数!$X$15+R443*方案参数!$AA$15+0-配置与结果!$B$26+Z443*(方案参数!$AP$15+MIN(方案参数!$AQ$15,P443*0.03)))</f>
        <v>1.9780000000000002</v>
      </c>
      <c r="AL443" s="7">
        <f>ROUNDDOWN(MAX(AD443*配置与结果!$B$31,AD443-AE443)*AF443*AG443*AH443*AI443,0)</f>
        <v>10658</v>
      </c>
      <c r="AM443" s="7">
        <f>ROUNDDOWN(MAX(AD443*配置与结果!$B$31,AD443-AE443)*AF443*AG443*AH443*AI443*AK443,0)</f>
        <v>21081</v>
      </c>
      <c r="AN443" s="7">
        <f t="shared" si="558"/>
        <v>21081</v>
      </c>
      <c r="AO443" s="7">
        <f>方案参数!$BW$15</f>
        <v>2</v>
      </c>
      <c r="AP443" s="7">
        <f>MAX(0,1+INDEX(配置与结果!$J$15:$J$18,F443)+IF(T443&gt;0,方案参数!$BY$15,0)-配置与结果!$B$30)</f>
        <v>3</v>
      </c>
      <c r="AQ443" s="7">
        <f t="shared" si="559"/>
        <v>15264</v>
      </c>
      <c r="AR443" s="7">
        <f t="shared" si="560"/>
        <v>30192</v>
      </c>
      <c r="AS443" s="7">
        <f t="shared" si="561"/>
        <v>30192</v>
      </c>
      <c r="AT443" s="7">
        <f>0</f>
        <v>0</v>
      </c>
      <c r="AU443" s="7">
        <f t="shared" si="562"/>
        <v>51273</v>
      </c>
      <c r="AV443" s="1">
        <f t="shared" si="563"/>
        <v>1</v>
      </c>
      <c r="AW443" s="1">
        <f>MIN(10,M443+0+0)</f>
        <v>4</v>
      </c>
      <c r="AX443" s="1">
        <f t="shared" si="564"/>
        <v>0</v>
      </c>
      <c r="AY443" s="1">
        <f t="shared" si="633"/>
        <v>6</v>
      </c>
      <c r="AZ443" s="1">
        <f t="shared" si="565"/>
        <v>3</v>
      </c>
      <c r="BA443" s="1">
        <f>MIN(6,Q443+0)</f>
        <v>2</v>
      </c>
      <c r="BB443" s="1">
        <f t="shared" si="626"/>
        <v>5</v>
      </c>
      <c r="BC443" s="1">
        <f t="shared" si="607"/>
        <v>0</v>
      </c>
      <c r="BD443" s="1">
        <f t="shared" ref="BD443:BD477" si="634">MAX(0,T443-IF(AO443&gt;0,1,0))+0</f>
        <v>0</v>
      </c>
      <c r="BE443" s="1">
        <f t="shared" si="627"/>
        <v>0</v>
      </c>
      <c r="BF443" s="1">
        <f>MIN(4,V443+1)</f>
        <v>1</v>
      </c>
      <c r="BG443" s="1">
        <f t="shared" si="631"/>
        <v>1</v>
      </c>
      <c r="BH443" s="1">
        <f t="shared" si="628"/>
        <v>1</v>
      </c>
      <c r="BI443" s="1">
        <f t="shared" si="632"/>
        <v>1</v>
      </c>
      <c r="BJ443" s="1">
        <f t="shared" si="602"/>
        <v>0</v>
      </c>
      <c r="BK443" s="1">
        <f t="shared" si="603"/>
        <v>0</v>
      </c>
      <c r="BL443" s="1">
        <f t="shared" si="608"/>
        <v>0</v>
      </c>
      <c r="BM443" s="1">
        <f t="shared" si="606"/>
        <v>0</v>
      </c>
      <c r="BN443" s="1">
        <f t="shared" si="629"/>
        <v>1</v>
      </c>
      <c r="BO443" s="1">
        <f t="shared" si="630"/>
        <v>1</v>
      </c>
    </row>
    <row r="444" spans="1:67" ht="30.95" customHeight="1">
      <c r="A444" s="1">
        <f>12</f>
        <v>12</v>
      </c>
      <c r="B444" s="1">
        <f>固定流程!A12</f>
        <v>7</v>
      </c>
      <c r="C444" s="1">
        <f>15</f>
        <v>15</v>
      </c>
      <c r="D444" s="1">
        <f>1</f>
        <v>1</v>
      </c>
      <c r="E444" s="1">
        <f>固定流程!C12</f>
        <v>1</v>
      </c>
      <c r="F444" s="1">
        <f>固定流程!G12</f>
        <v>4</v>
      </c>
      <c r="G444" s="1" t="str">
        <f>固定流程!H12</f>
        <v>J_HARD</v>
      </c>
      <c r="H444" s="1">
        <f>固定流程!F12</f>
        <v>1</v>
      </c>
      <c r="I444" s="1">
        <f>INDEX(配置与结果!$B$15:$B$18,F444)</f>
        <v>1906</v>
      </c>
      <c r="J444" s="1">
        <f>INDEX(配置与结果!$D$15:$D$18,F444)</f>
        <v>0.36699999999999999</v>
      </c>
      <c r="K444" s="1">
        <f>INDEX(配置与结果!$E$15:$E$18,F444)</f>
        <v>1.7170000000000001</v>
      </c>
      <c r="L444" s="1">
        <f t="shared" si="612"/>
        <v>1</v>
      </c>
      <c r="M444" s="1">
        <f t="shared" si="612"/>
        <v>4</v>
      </c>
      <c r="N444" s="1">
        <f t="shared" si="612"/>
        <v>0</v>
      </c>
      <c r="O444" s="1">
        <f t="shared" si="612"/>
        <v>6</v>
      </c>
      <c r="P444" s="1">
        <f>MIN(方案参数!$AI$15,AZ443+0+0)</f>
        <v>3</v>
      </c>
      <c r="Q444" s="1">
        <f t="shared" si="613"/>
        <v>2</v>
      </c>
      <c r="R444" s="1">
        <f t="shared" si="614"/>
        <v>5</v>
      </c>
      <c r="S444" s="1">
        <f t="shared" si="615"/>
        <v>0</v>
      </c>
      <c r="T444" s="1">
        <f t="shared" si="616"/>
        <v>0</v>
      </c>
      <c r="U444" s="1">
        <f t="shared" si="617"/>
        <v>0</v>
      </c>
      <c r="V444" s="1">
        <f t="shared" si="618"/>
        <v>1</v>
      </c>
      <c r="W444" s="1">
        <f t="shared" si="619"/>
        <v>1</v>
      </c>
      <c r="X444" s="1">
        <f t="shared" si="620"/>
        <v>1</v>
      </c>
      <c r="Y444" s="1">
        <f t="shared" si="621"/>
        <v>1</v>
      </c>
      <c r="Z444" s="1">
        <f t="shared" si="622"/>
        <v>0</v>
      </c>
      <c r="AA444" s="1">
        <f t="shared" si="623"/>
        <v>0</v>
      </c>
      <c r="AB444" s="1">
        <f t="shared" si="624"/>
        <v>0</v>
      </c>
      <c r="AC444" s="1">
        <f t="shared" si="625"/>
        <v>0</v>
      </c>
      <c r="AD444" s="1">
        <f>ROUNDDOWN(I444*(1+IF(F444=3,0.05+方案参数!$Y$15+AA444*0.12,IF(F444=4,方案参数!$BZ$15*方案参数!$AS$15,0)))+IF(AND(X444=1,F444&lt;&gt;3),方案参数!$CC$15,0)+AC444*方案参数!$CB$15,0)</f>
        <v>2811</v>
      </c>
      <c r="AE444" s="1">
        <f>IF(OR(F444=1,F444=4),配置与结果!$B$24,配置与结果!$B$25)*MAX(0,1-INDEX(配置与结果!$I$15:$I$18,F444))</f>
        <v>1200</v>
      </c>
      <c r="AF444" s="1">
        <f>3.6*IF(H444=1,1,IF(H444=2,1.5,2.5))</f>
        <v>3.6</v>
      </c>
      <c r="AG444" s="1">
        <f>MAX(配置与结果!$B$32,1+INDEX(配置与结果!$F$15:$F$18,F444)+0.08+Q444*方案参数!$W$15+Y444*(方案参数!$AN$15+MIN(方案参数!$AO$15,P444*0.03))+AB444*方案参数!$BZ$15*0.025+0.1+IF(方案参数!$BZ$15&gt;=30,方案参数!$BZ$15*0.01,0)-配置与结果!$B$28)</f>
        <v>1.4350000000000001</v>
      </c>
      <c r="AH444" s="1">
        <f>MAX(0,1+INDEX(配置与结果!$G$15:$G$18,F444)+W444*方案参数!$AG$15)</f>
        <v>1.3</v>
      </c>
      <c r="AI444" s="1">
        <f>IF(OR(INDEX(配置与结果!$K$15:$K$18,F444)=1,G444="RHI_BERRY"),1+配置与结果!$B$33+P444*方案参数!$AH$15,1)</f>
        <v>1</v>
      </c>
      <c r="AJ444" s="1">
        <f>MIN(1,MAX(0,J444+方案参数!$AB$15-配置与结果!$B$27))</f>
        <v>0.96699999999999997</v>
      </c>
      <c r="AK444" s="1">
        <f>MAX(1,K444+IF(F444=2,0.15+方案参数!$CH$15,0)+BN444*方案参数!$X$15+R444*方案参数!$AA$15+0-配置与结果!$B$26+Z444*(方案参数!$AP$15+MIN(方案参数!$AQ$15,P444*0.03)))</f>
        <v>1.4969999999999999</v>
      </c>
      <c r="AL444" s="7">
        <f>ROUNDDOWN(MAX(AD444*配置与结果!$B$31,AD444-AE444)*AF444*AG444*AH444*AI444,0)</f>
        <v>10819</v>
      </c>
      <c r="AM444" s="7">
        <f>ROUNDDOWN(MAX(AD444*配置与结果!$B$31,AD444-AE444)*AF444*AG444*AH444*AI444*AK444,0)</f>
        <v>16196</v>
      </c>
      <c r="AN444" s="7">
        <f t="shared" si="558"/>
        <v>16018.558999999999</v>
      </c>
      <c r="AO444" s="7">
        <f>0</f>
        <v>0</v>
      </c>
      <c r="AP444" s="7">
        <f>MAX(0,1+INDEX(配置与结果!$J$15:$J$18,F444)+IF(T444&gt;0,方案参数!$BY$15,0)-配置与结果!$B$30)</f>
        <v>1</v>
      </c>
      <c r="AQ444" s="7">
        <f t="shared" si="559"/>
        <v>0</v>
      </c>
      <c r="AR444" s="7">
        <f t="shared" si="560"/>
        <v>0</v>
      </c>
      <c r="AS444" s="7">
        <f t="shared" si="561"/>
        <v>0</v>
      </c>
      <c r="AT444" s="7">
        <f>0</f>
        <v>0</v>
      </c>
      <c r="AU444" s="7">
        <f t="shared" si="562"/>
        <v>16018.558999999999</v>
      </c>
      <c r="AV444" s="1">
        <f t="shared" si="563"/>
        <v>1</v>
      </c>
      <c r="AW444" s="1">
        <f>MIN(10,M444+0+0)</f>
        <v>4</v>
      </c>
      <c r="AX444" s="1">
        <f t="shared" si="564"/>
        <v>0</v>
      </c>
      <c r="AY444" s="1">
        <f t="shared" si="633"/>
        <v>6</v>
      </c>
      <c r="AZ444" s="1">
        <f t="shared" si="565"/>
        <v>3</v>
      </c>
      <c r="BA444" s="1">
        <f>MIN(6,Q444+0)</f>
        <v>2</v>
      </c>
      <c r="BB444" s="1">
        <f t="shared" si="626"/>
        <v>5</v>
      </c>
      <c r="BC444" s="1">
        <f>MIN(3,S444+1)</f>
        <v>1</v>
      </c>
      <c r="BD444" s="1">
        <f t="shared" si="634"/>
        <v>0</v>
      </c>
      <c r="BE444" s="1">
        <f t="shared" si="627"/>
        <v>0</v>
      </c>
      <c r="BF444" s="1">
        <f>MIN(4,V444+0)</f>
        <v>1</v>
      </c>
      <c r="BG444" s="1">
        <f t="shared" si="631"/>
        <v>1</v>
      </c>
      <c r="BH444" s="1">
        <f t="shared" si="628"/>
        <v>1</v>
      </c>
      <c r="BI444" s="1">
        <f t="shared" si="632"/>
        <v>1</v>
      </c>
      <c r="BJ444" s="1">
        <f t="shared" si="602"/>
        <v>0</v>
      </c>
      <c r="BK444" s="1">
        <f t="shared" si="603"/>
        <v>0</v>
      </c>
      <c r="BL444" s="1">
        <f t="shared" si="608"/>
        <v>0</v>
      </c>
      <c r="BM444" s="1">
        <f t="shared" si="606"/>
        <v>0</v>
      </c>
      <c r="BN444" s="1">
        <f t="shared" si="629"/>
        <v>1</v>
      </c>
      <c r="BO444" s="1">
        <f t="shared" si="630"/>
        <v>1</v>
      </c>
    </row>
    <row r="445" spans="1:67" ht="30.95" customHeight="1">
      <c r="A445" s="1">
        <f>12</f>
        <v>12</v>
      </c>
      <c r="B445" s="1">
        <f>固定流程!A13</f>
        <v>8</v>
      </c>
      <c r="C445" s="1">
        <f>15</f>
        <v>15</v>
      </c>
      <c r="D445" s="1">
        <f>1</f>
        <v>1</v>
      </c>
      <c r="E445" s="1">
        <f>固定流程!C13</f>
        <v>2</v>
      </c>
      <c r="F445" s="1">
        <f>固定流程!G13</f>
        <v>3</v>
      </c>
      <c r="G445" s="1" t="str">
        <f>固定流程!H13</f>
        <v>RHI_ATTACK</v>
      </c>
      <c r="H445" s="1">
        <f>固定流程!F13</f>
        <v>1</v>
      </c>
      <c r="I445" s="1">
        <f>INDEX(配置与结果!$B$15:$B$18,F445)</f>
        <v>2597</v>
      </c>
      <c r="J445" s="1">
        <f>INDEX(配置与结果!$D$15:$D$18,F445)</f>
        <v>0.255</v>
      </c>
      <c r="K445" s="1">
        <f>INDEX(配置与结果!$E$15:$E$18,F445)</f>
        <v>1.55</v>
      </c>
      <c r="L445" s="1">
        <f>IF(AV444=1,IF(M445&gt;=10,2,1),IF(AV444=2,IF(AX444&lt;=1,0,2),0))</f>
        <v>1</v>
      </c>
      <c r="M445" s="1">
        <f>IF(AND(AV444=2,AX444&lt;=1),0,MIN(10,AW444+IF(AV444=1,3,0)))</f>
        <v>7</v>
      </c>
      <c r="N445" s="1">
        <f>IF(AND(AV444=1,M445&gt;=10),2,IF(AV444=2,MAX(0,AX444-1),0))</f>
        <v>0</v>
      </c>
      <c r="O445" s="1">
        <f t="shared" ref="O445:O473" si="635">AY444</f>
        <v>6</v>
      </c>
      <c r="P445" s="1">
        <f>MIN(方案参数!$AI$15,AZ444+方案参数!$AJ$15+方案参数!$AK$15)</f>
        <v>5</v>
      </c>
      <c r="Q445" s="1">
        <f t="shared" si="613"/>
        <v>2</v>
      </c>
      <c r="R445" s="1">
        <f t="shared" si="614"/>
        <v>5</v>
      </c>
      <c r="S445" s="1">
        <f t="shared" si="615"/>
        <v>1</v>
      </c>
      <c r="T445" s="1">
        <f t="shared" si="616"/>
        <v>0</v>
      </c>
      <c r="U445" s="1">
        <f t="shared" si="617"/>
        <v>0</v>
      </c>
      <c r="V445" s="1">
        <f t="shared" si="618"/>
        <v>1</v>
      </c>
      <c r="W445" s="1">
        <f t="shared" si="619"/>
        <v>1</v>
      </c>
      <c r="X445" s="1">
        <f t="shared" si="620"/>
        <v>1</v>
      </c>
      <c r="Y445" s="1">
        <f t="shared" si="621"/>
        <v>1</v>
      </c>
      <c r="Z445" s="1">
        <f t="shared" si="622"/>
        <v>0</v>
      </c>
      <c r="AA445" s="1">
        <f>MAX(BK444,1)</f>
        <v>1</v>
      </c>
      <c r="AB445" s="1">
        <f t="shared" si="624"/>
        <v>0</v>
      </c>
      <c r="AC445" s="1">
        <f t="shared" si="625"/>
        <v>0</v>
      </c>
      <c r="AD445" s="1">
        <f>ROUNDDOWN(I445*(1+IF(F445=3,0.05+方案参数!$Y$15+AA445*0.12,IF(F445=4,方案参数!$BZ$15*方案参数!$AS$15,0)))+IF(AND(X445=1,F445&lt;&gt;3),方案参数!$CC$15,0)+AC445*方案参数!$CB$15,0)</f>
        <v>3298</v>
      </c>
      <c r="AE445" s="1">
        <f>IF(OR(F445=1,F445=4),配置与结果!$B$24,配置与结果!$B$25)*MAX(0,1-INDEX(配置与结果!$I$15:$I$18,F445))</f>
        <v>1000</v>
      </c>
      <c r="AF445" s="1">
        <f>4</f>
        <v>4</v>
      </c>
      <c r="AG445" s="1">
        <f>MAX(配置与结果!$B$32,1+INDEX(配置与结果!$F$15:$F$18,F445)+0+Q445*方案参数!$W$15+Y445*(方案参数!$AN$15+MIN(方案参数!$AO$15,P445*0.03))+AB445*方案参数!$BZ$15*0.025-配置与结果!$B$28)</f>
        <v>0.97499999999999998</v>
      </c>
      <c r="AH445" s="1">
        <f>MAX(0,1+INDEX(配置与结果!$G$15:$G$18,F445)+W445*方案参数!$AG$15)</f>
        <v>1.3</v>
      </c>
      <c r="AI445" s="1">
        <f>IF(OR(INDEX(配置与结果!$K$15:$K$18,F445)=1,G445="RHI_BERRY"),1+配置与结果!$B$33+P445*方案参数!$AH$15,1)</f>
        <v>1</v>
      </c>
      <c r="AJ445" s="1">
        <f>MIN(1,MAX(0,J445+方案参数!$AB$15-配置与结果!$B$27))</f>
        <v>0.85499999999999998</v>
      </c>
      <c r="AK445" s="1">
        <f>MAX(1,K445+IF(F445=2,0.15+方案参数!$CH$15,0)+BN445*方案参数!$X$15+R445*方案参数!$AA$15+0-配置与结果!$B$26+Z445*(方案参数!$AP$15+MIN(方案参数!$AQ$15,P445*0.03)))</f>
        <v>1.33</v>
      </c>
      <c r="AL445" s="7">
        <f>ROUNDDOWN(MAX(AD445*配置与结果!$B$31,AD445-AE445)*AF445*AG445*AH445*AI445,0)</f>
        <v>11650</v>
      </c>
      <c r="AM445" s="7">
        <f>ROUNDDOWN(MAX(AD445*配置与结果!$B$31,AD445-AE445)*AF445*AG445*AH445*AI445*AK445,0)</f>
        <v>15495</v>
      </c>
      <c r="AN445" s="7">
        <f t="shared" si="558"/>
        <v>14937.475</v>
      </c>
      <c r="AO445" s="7">
        <f>0</f>
        <v>0</v>
      </c>
      <c r="AP445" s="7">
        <f>MAX(0,1+INDEX(配置与结果!$J$15:$J$18,F445)+IF(T445&gt;0,方案参数!$BY$15,0)-配置与结果!$B$30)</f>
        <v>1</v>
      </c>
      <c r="AQ445" s="7">
        <f t="shared" si="559"/>
        <v>0</v>
      </c>
      <c r="AR445" s="7">
        <f t="shared" si="560"/>
        <v>0</v>
      </c>
      <c r="AS445" s="7">
        <f t="shared" si="561"/>
        <v>0</v>
      </c>
      <c r="AT445" s="7">
        <f>0</f>
        <v>0</v>
      </c>
      <c r="AU445" s="7">
        <f t="shared" si="562"/>
        <v>14937.475</v>
      </c>
      <c r="AV445" s="1">
        <f t="shared" si="563"/>
        <v>1</v>
      </c>
      <c r="AW445" s="1">
        <f>MIN(10,M445+0+0)</f>
        <v>7</v>
      </c>
      <c r="AX445" s="1">
        <f t="shared" si="564"/>
        <v>0</v>
      </c>
      <c r="AY445" s="1">
        <f t="shared" si="633"/>
        <v>6</v>
      </c>
      <c r="AZ445" s="1">
        <f t="shared" si="565"/>
        <v>5</v>
      </c>
      <c r="BA445" s="1">
        <f>MIN(6,Q445+1)</f>
        <v>3</v>
      </c>
      <c r="BB445" s="1">
        <f t="shared" si="626"/>
        <v>5</v>
      </c>
      <c r="BC445" s="1">
        <f>MIN(3,S445+0)</f>
        <v>1</v>
      </c>
      <c r="BD445" s="1">
        <f t="shared" si="634"/>
        <v>0</v>
      </c>
      <c r="BE445" s="1">
        <f t="shared" si="627"/>
        <v>0</v>
      </c>
      <c r="BF445" s="1">
        <f>MIN(4,V445+0)</f>
        <v>1</v>
      </c>
      <c r="BG445" s="1">
        <f t="shared" si="631"/>
        <v>1</v>
      </c>
      <c r="BH445" s="1">
        <f t="shared" si="628"/>
        <v>1</v>
      </c>
      <c r="BI445" s="1">
        <f t="shared" si="632"/>
        <v>1</v>
      </c>
      <c r="BJ445" s="1">
        <f>MAX(Z445,1)</f>
        <v>1</v>
      </c>
      <c r="BK445" s="1">
        <f>MAX(AA445,1)</f>
        <v>1</v>
      </c>
      <c r="BL445" s="1">
        <f t="shared" si="608"/>
        <v>0</v>
      </c>
      <c r="BM445" s="1">
        <f t="shared" si="606"/>
        <v>0</v>
      </c>
      <c r="BN445" s="1">
        <f t="shared" si="629"/>
        <v>1</v>
      </c>
      <c r="BO445" s="1">
        <f t="shared" si="630"/>
        <v>1</v>
      </c>
    </row>
    <row r="446" spans="1:67" ht="30.95" customHeight="1">
      <c r="A446" s="1">
        <f>12</f>
        <v>12</v>
      </c>
      <c r="B446" s="1">
        <f>固定流程!A14</f>
        <v>9</v>
      </c>
      <c r="C446" s="1">
        <f>15</f>
        <v>15</v>
      </c>
      <c r="D446" s="1">
        <f>1</f>
        <v>1</v>
      </c>
      <c r="E446" s="1">
        <f>固定流程!C14</f>
        <v>2</v>
      </c>
      <c r="F446" s="1">
        <f>固定流程!G14</f>
        <v>1</v>
      </c>
      <c r="G446" s="1" t="str">
        <f>固定流程!H14</f>
        <v>LILYA_DIVE</v>
      </c>
      <c r="H446" s="1">
        <f>固定流程!F14</f>
        <v>3</v>
      </c>
      <c r="I446" s="1">
        <f>INDEX(配置与结果!$B$15:$B$18,F446)</f>
        <v>2296</v>
      </c>
      <c r="J446" s="1">
        <f>INDEX(配置与结果!$D$15:$D$18,F446)</f>
        <v>0.7</v>
      </c>
      <c r="K446" s="1">
        <f>INDEX(配置与结果!$E$15:$E$18,F446)</f>
        <v>2.0249999999999999</v>
      </c>
      <c r="L446" s="1">
        <f t="shared" ref="L446:N450" si="636">AV445</f>
        <v>1</v>
      </c>
      <c r="M446" s="1">
        <f t="shared" si="636"/>
        <v>7</v>
      </c>
      <c r="N446" s="1">
        <f t="shared" si="636"/>
        <v>0</v>
      </c>
      <c r="O446" s="1">
        <f t="shared" si="635"/>
        <v>6</v>
      </c>
      <c r="P446" s="1">
        <f>MIN(方案参数!$AI$15,AZ445+0+0)</f>
        <v>5</v>
      </c>
      <c r="Q446" s="1">
        <f t="shared" si="613"/>
        <v>3</v>
      </c>
      <c r="R446" s="1">
        <f t="shared" si="614"/>
        <v>5</v>
      </c>
      <c r="S446" s="1">
        <f t="shared" si="615"/>
        <v>1</v>
      </c>
      <c r="T446" s="1">
        <f t="shared" si="616"/>
        <v>0</v>
      </c>
      <c r="U446" s="1">
        <f t="shared" si="617"/>
        <v>0</v>
      </c>
      <c r="V446" s="1">
        <f t="shared" si="618"/>
        <v>1</v>
      </c>
      <c r="W446" s="1">
        <f t="shared" si="619"/>
        <v>1</v>
      </c>
      <c r="X446" s="1">
        <f t="shared" si="620"/>
        <v>1</v>
      </c>
      <c r="Y446" s="1">
        <f t="shared" si="621"/>
        <v>1</v>
      </c>
      <c r="Z446" s="1">
        <f t="shared" si="622"/>
        <v>1</v>
      </c>
      <c r="AA446" s="1">
        <f t="shared" ref="AA446:AA451" si="637">MAX(BK445,0)</f>
        <v>1</v>
      </c>
      <c r="AB446" s="1">
        <f t="shared" si="624"/>
        <v>0</v>
      </c>
      <c r="AC446" s="1">
        <f t="shared" si="625"/>
        <v>0</v>
      </c>
      <c r="AD446" s="1">
        <f>ROUNDDOWN(I446*(1+IF(F446=3,0.05+方案参数!$Y$15+AA446*0.12,IF(F446=4,方案参数!$BZ$15*方案参数!$AS$15,0)))+IF(AND(X446=1,F446&lt;&gt;3),方案参数!$CC$15,0)+AC446*方案参数!$CB$15,0)</f>
        <v>2534</v>
      </c>
      <c r="AE446" s="1">
        <f>IF(OR(F446=1,F446=4),配置与结果!$B$24,配置与结果!$B$25)*MAX(0,1-INDEX(配置与结果!$I$15:$I$18,F446))</f>
        <v>1200</v>
      </c>
      <c r="AF446" s="1">
        <f>(IF(L446=1,方案参数!$AW$15,IF(L446=2,方案参数!$AX$15,0))+方案参数!$AV$15)*H446</f>
        <v>18</v>
      </c>
      <c r="AG446" s="1">
        <f>MAX(配置与结果!$B$32,1+INDEX(配置与结果!$F$15:$F$18,F446)+0.08+方案参数!$CD$15+Q446*方案参数!$W$15+Y446*(方案参数!$AN$15+MIN(方案参数!$AO$15,P446*0.03))+AB446*方案参数!$BZ$15*0.025+IF(L446=1,方案参数!$AY$15+(H446-1)*0.1,IF(L446=2,方案参数!$AZ$15+(H446-1)*0.2,0))-配置与结果!$B$28)</f>
        <v>1.6</v>
      </c>
      <c r="AH446" s="1">
        <f>MAX(0,1+INDEX(配置与结果!$G$15:$G$18,F446)+W446*方案参数!$AG$15+IF(L446=1,方案参数!$BA$15,IF(L446=2,方案参数!$BB$15,0))+M446*方案参数!$BC$15)</f>
        <v>2.3199999999999998</v>
      </c>
      <c r="AI446" s="1">
        <f>IF(OR(INDEX(配置与结果!$K$15:$K$18,F446)=1,G446="RHI_BERRY"),1+配置与结果!$B$33+P446*方案参数!$AH$15,1)</f>
        <v>1</v>
      </c>
      <c r="AJ446" s="1">
        <f>MIN(1,MAX(0,J446+方案参数!$AB$15-配置与结果!$B$27))</f>
        <v>1</v>
      </c>
      <c r="AK446" s="1">
        <f>MAX(1,K446+IF(F446=2,0.15+方案参数!$CH$15,0)+BN446*方案参数!$X$15+R446*方案参数!$AA$15+0-配置与结果!$B$26+Z446*(方案参数!$AP$15+MIN(方案参数!$AQ$15,P446*0.03)))</f>
        <v>2.105</v>
      </c>
      <c r="AL446" s="7">
        <f>ROUNDDOWN(MAX(AD446*配置与结果!$B$31,AD446-AE446)*AF446*AG446*AH446*AI446,0)</f>
        <v>89132</v>
      </c>
      <c r="AM446" s="7">
        <f>ROUNDDOWN(MAX(AD446*配置与结果!$B$31,AD446-AE446)*AF446*AG446*AH446*AI446*AK446,0)</f>
        <v>187624</v>
      </c>
      <c r="AN446" s="7">
        <f t="shared" si="558"/>
        <v>187624</v>
      </c>
      <c r="AO446" s="7">
        <f>0</f>
        <v>0</v>
      </c>
      <c r="AP446" s="7">
        <f>MAX(0,1+INDEX(配置与结果!$J$15:$J$18,F446)+IF(T446&gt;0,方案参数!$BY$15,0)-配置与结果!$B$30)</f>
        <v>1</v>
      </c>
      <c r="AQ446" s="7">
        <f t="shared" si="559"/>
        <v>0</v>
      </c>
      <c r="AR446" s="7">
        <f t="shared" si="560"/>
        <v>0</v>
      </c>
      <c r="AS446" s="7">
        <f t="shared" si="561"/>
        <v>0</v>
      </c>
      <c r="AT446" s="7">
        <f>0</f>
        <v>0</v>
      </c>
      <c r="AU446" s="7">
        <f t="shared" si="562"/>
        <v>187624</v>
      </c>
      <c r="AV446" s="1">
        <f t="shared" si="563"/>
        <v>1</v>
      </c>
      <c r="AW446" s="1">
        <f>MIN(10,M446+0+IF(L446=1,方案参数!$BE$15,0))</f>
        <v>8</v>
      </c>
      <c r="AX446" s="1">
        <f t="shared" si="564"/>
        <v>0</v>
      </c>
      <c r="AY446" s="1">
        <f t="shared" si="633"/>
        <v>6</v>
      </c>
      <c r="AZ446" s="1">
        <f t="shared" si="565"/>
        <v>5</v>
      </c>
      <c r="BA446" s="1">
        <f>MIN(6,Q446+0)</f>
        <v>3</v>
      </c>
      <c r="BB446" s="1">
        <f t="shared" si="626"/>
        <v>5</v>
      </c>
      <c r="BC446" s="1">
        <f>MIN(3,S446+0)</f>
        <v>1</v>
      </c>
      <c r="BD446" s="1">
        <f t="shared" si="634"/>
        <v>0</v>
      </c>
      <c r="BE446" s="1">
        <f t="shared" si="627"/>
        <v>0</v>
      </c>
      <c r="BF446" s="1">
        <f>MIN(4,V446+0)</f>
        <v>1</v>
      </c>
      <c r="BG446" s="1">
        <f t="shared" si="631"/>
        <v>1</v>
      </c>
      <c r="BH446" s="1">
        <f t="shared" si="628"/>
        <v>1</v>
      </c>
      <c r="BI446" s="1">
        <f t="shared" si="632"/>
        <v>1</v>
      </c>
      <c r="BJ446" s="1">
        <f t="shared" ref="BJ446:BK451" si="638">MAX(Z446,0)</f>
        <v>1</v>
      </c>
      <c r="BK446" s="1">
        <f t="shared" si="638"/>
        <v>1</v>
      </c>
      <c r="BL446" s="1">
        <f t="shared" si="608"/>
        <v>0</v>
      </c>
      <c r="BM446" s="1">
        <f t="shared" si="606"/>
        <v>0</v>
      </c>
      <c r="BN446" s="1">
        <f t="shared" si="629"/>
        <v>1</v>
      </c>
      <c r="BO446" s="1">
        <f t="shared" si="630"/>
        <v>1</v>
      </c>
    </row>
    <row r="447" spans="1:67" ht="30.95" customHeight="1">
      <c r="A447" s="1">
        <f>12</f>
        <v>12</v>
      </c>
      <c r="B447" s="1">
        <f>固定流程!A15</f>
        <v>10</v>
      </c>
      <c r="C447" s="1">
        <f>15</f>
        <v>15</v>
      </c>
      <c r="D447" s="1">
        <f>1</f>
        <v>1</v>
      </c>
      <c r="E447" s="1">
        <f>固定流程!C15</f>
        <v>2</v>
      </c>
      <c r="F447" s="1">
        <f>固定流程!G15</f>
        <v>4</v>
      </c>
      <c r="G447" s="1" t="str">
        <f>固定流程!H15</f>
        <v>J_HARD</v>
      </c>
      <c r="H447" s="1">
        <f>固定流程!F15</f>
        <v>1</v>
      </c>
      <c r="I447" s="1">
        <f>INDEX(配置与结果!$B$15:$B$18,F447)</f>
        <v>1906</v>
      </c>
      <c r="J447" s="1">
        <f>INDEX(配置与结果!$D$15:$D$18,F447)</f>
        <v>0.36699999999999999</v>
      </c>
      <c r="K447" s="1">
        <f>INDEX(配置与结果!$E$15:$E$18,F447)</f>
        <v>1.7170000000000001</v>
      </c>
      <c r="L447" s="1">
        <f t="shared" si="636"/>
        <v>1</v>
      </c>
      <c r="M447" s="1">
        <f t="shared" si="636"/>
        <v>8</v>
      </c>
      <c r="N447" s="1">
        <f t="shared" si="636"/>
        <v>0</v>
      </c>
      <c r="O447" s="1">
        <f t="shared" si="635"/>
        <v>6</v>
      </c>
      <c r="P447" s="1">
        <f>MIN(方案参数!$AI$15,AZ446+0+0)</f>
        <v>5</v>
      </c>
      <c r="Q447" s="1">
        <f t="shared" si="613"/>
        <v>3</v>
      </c>
      <c r="R447" s="1">
        <f t="shared" si="614"/>
        <v>5</v>
      </c>
      <c r="S447" s="1">
        <f t="shared" si="615"/>
        <v>1</v>
      </c>
      <c r="T447" s="1">
        <f t="shared" si="616"/>
        <v>0</v>
      </c>
      <c r="U447" s="1">
        <f t="shared" si="617"/>
        <v>0</v>
      </c>
      <c r="V447" s="1">
        <f t="shared" si="618"/>
        <v>1</v>
      </c>
      <c r="W447" s="1">
        <f t="shared" si="619"/>
        <v>1</v>
      </c>
      <c r="X447" s="1">
        <f t="shared" si="620"/>
        <v>1</v>
      </c>
      <c r="Y447" s="1">
        <f t="shared" si="621"/>
        <v>1</v>
      </c>
      <c r="Z447" s="1">
        <f t="shared" si="622"/>
        <v>1</v>
      </c>
      <c r="AA447" s="1">
        <f t="shared" si="637"/>
        <v>1</v>
      </c>
      <c r="AB447" s="1">
        <f t="shared" si="624"/>
        <v>0</v>
      </c>
      <c r="AC447" s="1">
        <f t="shared" si="625"/>
        <v>0</v>
      </c>
      <c r="AD447" s="1">
        <f>ROUNDDOWN(I447*(1+IF(F447=3,0.05+方案参数!$Y$15+AA447*0.12,IF(F447=4,方案参数!$BZ$15*方案参数!$AS$15,0)))+IF(AND(X447=1,F447&lt;&gt;3),方案参数!$CC$15,0)+AC447*方案参数!$CB$15,0)</f>
        <v>2811</v>
      </c>
      <c r="AE447" s="1">
        <f>IF(OR(F447=1,F447=4),配置与结果!$B$24,配置与结果!$B$25)*MAX(0,1-INDEX(配置与结果!$I$15:$I$18,F447))</f>
        <v>1200</v>
      </c>
      <c r="AF447" s="1">
        <f>3.6*IF(H447=1,1,IF(H447=2,1.5,2.5))</f>
        <v>3.6</v>
      </c>
      <c r="AG447" s="1">
        <f>MAX(配置与结果!$B$32,1+INDEX(配置与结果!$F$15:$F$18,F447)+0.08+Q447*方案参数!$W$15+Y447*(方案参数!$AN$15+MIN(方案参数!$AO$15,P447*0.03))+AB447*方案参数!$BZ$15*0.025+0.1+IF(方案参数!$BZ$15&gt;=30,方案参数!$BZ$15*0.01,0)-配置与结果!$B$28)</f>
        <v>1.5150000000000001</v>
      </c>
      <c r="AH447" s="1">
        <f>MAX(0,1+INDEX(配置与结果!$G$15:$G$18,F447)+W447*方案参数!$AG$15)</f>
        <v>1.3</v>
      </c>
      <c r="AI447" s="1">
        <f>IF(OR(INDEX(配置与结果!$K$15:$K$18,F447)=1,G447="RHI_BERRY"),1+配置与结果!$B$33+P447*方案参数!$AH$15,1)</f>
        <v>1</v>
      </c>
      <c r="AJ447" s="1">
        <f>MIN(1,MAX(0,J447+方案参数!$AB$15-配置与结果!$B$27))</f>
        <v>0.96699999999999997</v>
      </c>
      <c r="AK447" s="1">
        <f>MAX(1,K447+IF(F447=2,0.15+方案参数!$CH$15,0)+BN447*方案参数!$X$15+R447*方案参数!$AA$15+0-配置与结果!$B$26+Z447*(方案参数!$AP$15+MIN(方案参数!$AQ$15,P447*0.03)))</f>
        <v>1.7969999999999999</v>
      </c>
      <c r="AL447" s="7">
        <f>ROUNDDOWN(MAX(AD447*配置与结果!$B$31,AD447-AE447)*AF447*AG447*AH447*AI447,0)</f>
        <v>11422</v>
      </c>
      <c r="AM447" s="7">
        <f>ROUNDDOWN(MAX(AD447*配置与结果!$B$31,AD447-AE447)*AF447*AG447*AH447*AI447*AK447,0)</f>
        <v>20525</v>
      </c>
      <c r="AN447" s="7">
        <f t="shared" si="558"/>
        <v>20224.600999999999</v>
      </c>
      <c r="AO447" s="7">
        <f>0</f>
        <v>0</v>
      </c>
      <c r="AP447" s="7">
        <f>MAX(0,1+INDEX(配置与结果!$J$15:$J$18,F447)+IF(T447&gt;0,方案参数!$BY$15,0)-配置与结果!$B$30)</f>
        <v>1</v>
      </c>
      <c r="AQ447" s="7">
        <f t="shared" si="559"/>
        <v>0</v>
      </c>
      <c r="AR447" s="7">
        <f t="shared" si="560"/>
        <v>0</v>
      </c>
      <c r="AS447" s="7">
        <f t="shared" si="561"/>
        <v>0</v>
      </c>
      <c r="AT447" s="7">
        <f>0</f>
        <v>0</v>
      </c>
      <c r="AU447" s="7">
        <f t="shared" si="562"/>
        <v>20224.600999999999</v>
      </c>
      <c r="AV447" s="1">
        <f t="shared" si="563"/>
        <v>1</v>
      </c>
      <c r="AW447" s="1">
        <f t="shared" ref="AW447:AW457" si="639">MIN(10,M447+0+0)</f>
        <v>8</v>
      </c>
      <c r="AX447" s="1">
        <f t="shared" si="564"/>
        <v>0</v>
      </c>
      <c r="AY447" s="1">
        <f t="shared" si="633"/>
        <v>6</v>
      </c>
      <c r="AZ447" s="1">
        <f t="shared" si="565"/>
        <v>5</v>
      </c>
      <c r="BA447" s="1">
        <f>MIN(6,Q447+0)</f>
        <v>3</v>
      </c>
      <c r="BB447" s="1">
        <f t="shared" si="626"/>
        <v>5</v>
      </c>
      <c r="BC447" s="1">
        <f>MIN(3,S447+1)</f>
        <v>2</v>
      </c>
      <c r="BD447" s="1">
        <f t="shared" si="634"/>
        <v>0</v>
      </c>
      <c r="BE447" s="1">
        <f t="shared" si="627"/>
        <v>0</v>
      </c>
      <c r="BF447" s="1">
        <f>MIN(4,V447+0)</f>
        <v>1</v>
      </c>
      <c r="BG447" s="1">
        <f t="shared" si="631"/>
        <v>1</v>
      </c>
      <c r="BH447" s="1">
        <f t="shared" si="628"/>
        <v>1</v>
      </c>
      <c r="BI447" s="1">
        <f t="shared" si="632"/>
        <v>1</v>
      </c>
      <c r="BJ447" s="1">
        <f t="shared" si="638"/>
        <v>1</v>
      </c>
      <c r="BK447" s="1">
        <f t="shared" si="638"/>
        <v>1</v>
      </c>
      <c r="BL447" s="1">
        <f t="shared" si="608"/>
        <v>0</v>
      </c>
      <c r="BM447" s="1">
        <f t="shared" si="606"/>
        <v>0</v>
      </c>
      <c r="BN447" s="1">
        <f t="shared" si="629"/>
        <v>1</v>
      </c>
      <c r="BO447" s="1">
        <f t="shared" si="630"/>
        <v>1</v>
      </c>
    </row>
    <row r="448" spans="1:67" ht="30.95" customHeight="1">
      <c r="A448" s="1">
        <f>12</f>
        <v>12</v>
      </c>
      <c r="B448" s="1">
        <f>固定流程!A16</f>
        <v>11</v>
      </c>
      <c r="C448" s="1">
        <f>15</f>
        <v>15</v>
      </c>
      <c r="D448" s="1">
        <f>1</f>
        <v>1</v>
      </c>
      <c r="E448" s="1">
        <f>固定流程!C16</f>
        <v>2</v>
      </c>
      <c r="F448" s="1">
        <f>固定流程!G16</f>
        <v>2</v>
      </c>
      <c r="G448" s="1" t="str">
        <f>固定流程!H16</f>
        <v>37_CURVE</v>
      </c>
      <c r="H448" s="1">
        <f>固定流程!F16</f>
        <v>1</v>
      </c>
      <c r="I448" s="1">
        <f>INDEX(配置与结果!$B$15:$B$18,F448)</f>
        <v>2306</v>
      </c>
      <c r="J448" s="1">
        <f>INDEX(配置与结果!$D$15:$D$18,F448)</f>
        <v>0.46</v>
      </c>
      <c r="K448" s="1">
        <f>INDEX(配置与结果!$E$15:$E$18,F448)</f>
        <v>1.9279999999999999</v>
      </c>
      <c r="L448" s="1">
        <f t="shared" si="636"/>
        <v>1</v>
      </c>
      <c r="M448" s="1">
        <f t="shared" si="636"/>
        <v>8</v>
      </c>
      <c r="N448" s="1">
        <f t="shared" si="636"/>
        <v>0</v>
      </c>
      <c r="O448" s="1">
        <f t="shared" si="635"/>
        <v>6</v>
      </c>
      <c r="P448" s="1">
        <f>MIN(方案参数!$AI$15,AZ447+0+0)</f>
        <v>5</v>
      </c>
      <c r="Q448" s="1">
        <f t="shared" si="613"/>
        <v>3</v>
      </c>
      <c r="R448" s="1">
        <f t="shared" si="614"/>
        <v>5</v>
      </c>
      <c r="S448" s="1">
        <f t="shared" si="615"/>
        <v>2</v>
      </c>
      <c r="T448" s="1">
        <f t="shared" si="616"/>
        <v>0</v>
      </c>
      <c r="U448" s="1">
        <f t="shared" si="617"/>
        <v>0</v>
      </c>
      <c r="V448" s="1">
        <f t="shared" si="618"/>
        <v>1</v>
      </c>
      <c r="W448" s="1">
        <f t="shared" si="619"/>
        <v>1</v>
      </c>
      <c r="X448" s="1">
        <f t="shared" si="620"/>
        <v>1</v>
      </c>
      <c r="Y448" s="1">
        <f t="shared" si="621"/>
        <v>1</v>
      </c>
      <c r="Z448" s="1">
        <f t="shared" si="622"/>
        <v>1</v>
      </c>
      <c r="AA448" s="1">
        <f t="shared" si="637"/>
        <v>1</v>
      </c>
      <c r="AB448" s="1">
        <f t="shared" si="624"/>
        <v>0</v>
      </c>
      <c r="AC448" s="1">
        <f t="shared" si="625"/>
        <v>0</v>
      </c>
      <c r="AD448" s="1">
        <f>ROUNDDOWN(I448*(1+IF(F448=3,0.05+方案参数!$Y$15+AA448*0.12,IF(F448=4,方案参数!$BZ$15*方案参数!$AS$15,0)))+IF(AND(X448=1,F448&lt;&gt;3),方案参数!$CC$15,0)+AC448*方案参数!$CB$15,0)</f>
        <v>2544</v>
      </c>
      <c r="AE448" s="1">
        <f>IF(OR(F448=1,F448=4),配置与结果!$B$24,配置与结果!$B$25)*MAX(0,1-INDEX(配置与结果!$I$15:$I$18,F448))</f>
        <v>1000</v>
      </c>
      <c r="AF448" s="1">
        <f>方案参数!$BT$15*IF(H448=1,1,IF(H448=2,1.5,2.5))</f>
        <v>1.6</v>
      </c>
      <c r="AG448" s="1">
        <f>MAX(配置与结果!$B$32,1+INDEX(配置与结果!$F$15:$F$18,F448)+0+Q448*方案参数!$W$15+Y448*(方案参数!$AN$15+MIN(方案参数!$AO$15,P448*0.03))+AB448*方案参数!$BZ$15*0.025-配置与结果!$B$28)</f>
        <v>0.96499999999999997</v>
      </c>
      <c r="AH448" s="1">
        <f>MAX(0,1+INDEX(配置与结果!$G$15:$G$18,F448)+W448*方案参数!$AG$15)</f>
        <v>1.3</v>
      </c>
      <c r="AI448" s="1">
        <f>IF(OR(INDEX(配置与结果!$K$15:$K$18,F448)=1,G448="RHI_BERRY"),1+配置与结果!$B$33+P448*方案参数!$AH$15,1)</f>
        <v>1</v>
      </c>
      <c r="AJ448" s="1">
        <f>MIN(1,MAX(0,J448+方案参数!$AB$15-配置与结果!$B$27))</f>
        <v>1</v>
      </c>
      <c r="AK448" s="1">
        <f>MAX(1,K448+IF(F448=2,0.15+方案参数!$CH$15,0)+BN448*方案参数!$X$15+R448*方案参数!$AA$15+0-配置与结果!$B$26+Z448*(方案参数!$AP$15+MIN(方案参数!$AQ$15,P448*0.03)))</f>
        <v>2.278</v>
      </c>
      <c r="AL448" s="7">
        <f>ROUNDDOWN(MAX(AD448*配置与结果!$B$31,AD448-AE448)*AF448*AG448*AH448*AI448,0)</f>
        <v>3099</v>
      </c>
      <c r="AM448" s="7">
        <f>ROUNDDOWN(MAX(AD448*配置与结果!$B$31,AD448-AE448)*AF448*AG448*AH448*AI448*AK448,0)</f>
        <v>7059</v>
      </c>
      <c r="AN448" s="7">
        <f t="shared" si="558"/>
        <v>7059</v>
      </c>
      <c r="AO448" s="7">
        <f>方案参数!$BU$15*IF(H448=1,1,IF(H448=2,1.5,2.5))</f>
        <v>1</v>
      </c>
      <c r="AP448" s="7">
        <f>MAX(0,1+INDEX(配置与结果!$J$15:$J$18,F448)+IF(T448&gt;0,方案参数!$BY$15,0)-配置与结果!$B$30)</f>
        <v>1</v>
      </c>
      <c r="AQ448" s="7">
        <f t="shared" si="559"/>
        <v>2544</v>
      </c>
      <c r="AR448" s="7">
        <f t="shared" si="560"/>
        <v>5795</v>
      </c>
      <c r="AS448" s="7">
        <f t="shared" si="561"/>
        <v>5795</v>
      </c>
      <c r="AT448" s="7">
        <f>0</f>
        <v>0</v>
      </c>
      <c r="AU448" s="7">
        <f t="shared" si="562"/>
        <v>12854</v>
      </c>
      <c r="AV448" s="1">
        <f t="shared" si="563"/>
        <v>1</v>
      </c>
      <c r="AW448" s="1">
        <f t="shared" si="639"/>
        <v>8</v>
      </c>
      <c r="AX448" s="1">
        <f t="shared" si="564"/>
        <v>0</v>
      </c>
      <c r="AY448" s="1">
        <f t="shared" si="633"/>
        <v>6</v>
      </c>
      <c r="AZ448" s="1">
        <f t="shared" si="565"/>
        <v>5</v>
      </c>
      <c r="BA448" s="1">
        <f>MIN(6,Q448+0)</f>
        <v>3</v>
      </c>
      <c r="BB448" s="1">
        <f t="shared" si="626"/>
        <v>5</v>
      </c>
      <c r="BC448" s="1">
        <f t="shared" ref="BC448:BC454" si="640">MIN(3,S448+0)</f>
        <v>2</v>
      </c>
      <c r="BD448" s="1">
        <f t="shared" si="634"/>
        <v>0</v>
      </c>
      <c r="BE448" s="1">
        <f t="shared" si="627"/>
        <v>0</v>
      </c>
      <c r="BF448" s="1">
        <f>MIN(4,V448+0)</f>
        <v>1</v>
      </c>
      <c r="BG448" s="1">
        <f t="shared" si="631"/>
        <v>1</v>
      </c>
      <c r="BH448" s="1">
        <f t="shared" si="628"/>
        <v>1</v>
      </c>
      <c r="BI448" s="1">
        <f t="shared" si="632"/>
        <v>1</v>
      </c>
      <c r="BJ448" s="1">
        <f t="shared" si="638"/>
        <v>1</v>
      </c>
      <c r="BK448" s="1">
        <f t="shared" si="638"/>
        <v>1</v>
      </c>
      <c r="BL448" s="1">
        <f t="shared" si="608"/>
        <v>0</v>
      </c>
      <c r="BM448" s="1">
        <f t="shared" si="606"/>
        <v>0</v>
      </c>
      <c r="BN448" s="1">
        <f t="shared" si="629"/>
        <v>1</v>
      </c>
      <c r="BO448" s="1">
        <f t="shared" si="630"/>
        <v>1</v>
      </c>
    </row>
    <row r="449" spans="1:67" ht="30.95" customHeight="1">
      <c r="A449" s="1">
        <f>12</f>
        <v>12</v>
      </c>
      <c r="B449" s="1">
        <f>固定流程!A17</f>
        <v>12</v>
      </c>
      <c r="C449" s="1">
        <f>15</f>
        <v>15</v>
      </c>
      <c r="D449" s="1">
        <f>1</f>
        <v>1</v>
      </c>
      <c r="E449" s="1">
        <f>固定流程!C17</f>
        <v>2</v>
      </c>
      <c r="F449" s="1">
        <f>固定流程!G17</f>
        <v>2</v>
      </c>
      <c r="G449" s="1" t="str">
        <f>固定流程!H17</f>
        <v>37_FOLLOW</v>
      </c>
      <c r="H449" s="1">
        <f>固定流程!F17</f>
        <v>1</v>
      </c>
      <c r="I449" s="1">
        <f>INDEX(配置与结果!$B$15:$B$18,F449)</f>
        <v>2306</v>
      </c>
      <c r="J449" s="1">
        <f>INDEX(配置与结果!$D$15:$D$18,F449)</f>
        <v>0.46</v>
      </c>
      <c r="K449" s="1">
        <f>INDEX(配置与结果!$E$15:$E$18,F449)</f>
        <v>1.9279999999999999</v>
      </c>
      <c r="L449" s="1">
        <f t="shared" si="636"/>
        <v>1</v>
      </c>
      <c r="M449" s="1">
        <f t="shared" si="636"/>
        <v>8</v>
      </c>
      <c r="N449" s="1">
        <f t="shared" si="636"/>
        <v>0</v>
      </c>
      <c r="O449" s="1">
        <f t="shared" si="635"/>
        <v>6</v>
      </c>
      <c r="P449" s="1">
        <f>MIN(方案参数!$AI$15,AZ448+0+0)</f>
        <v>5</v>
      </c>
      <c r="Q449" s="1">
        <f t="shared" si="613"/>
        <v>3</v>
      </c>
      <c r="R449" s="1">
        <f t="shared" si="614"/>
        <v>5</v>
      </c>
      <c r="S449" s="1">
        <f t="shared" si="615"/>
        <v>2</v>
      </c>
      <c r="T449" s="1">
        <f t="shared" si="616"/>
        <v>0</v>
      </c>
      <c r="U449" s="1">
        <f t="shared" si="617"/>
        <v>0</v>
      </c>
      <c r="V449" s="1">
        <f t="shared" si="618"/>
        <v>1</v>
      </c>
      <c r="W449" s="1">
        <f t="shared" si="619"/>
        <v>1</v>
      </c>
      <c r="X449" s="1">
        <f t="shared" si="620"/>
        <v>1</v>
      </c>
      <c r="Y449" s="1">
        <f t="shared" si="621"/>
        <v>1</v>
      </c>
      <c r="Z449" s="1">
        <f t="shared" si="622"/>
        <v>1</v>
      </c>
      <c r="AA449" s="1">
        <f t="shared" si="637"/>
        <v>1</v>
      </c>
      <c r="AB449" s="1">
        <f t="shared" si="624"/>
        <v>0</v>
      </c>
      <c r="AC449" s="1">
        <f t="shared" si="625"/>
        <v>0</v>
      </c>
      <c r="AD449" s="1">
        <f>ROUNDDOWN(I449*(1+IF(F449=3,0.05+方案参数!$Y$15+AA449*0.12,IF(F449=4,方案参数!$BZ$15*方案参数!$AS$15,0)))+IF(AND(X449=1,F449&lt;&gt;3),方案参数!$CC$15,0)+AC449*方案参数!$CB$15,0)</f>
        <v>2544</v>
      </c>
      <c r="AE449" s="1">
        <f>IF(OR(F449=1,F449=4),配置与结果!$B$24,配置与结果!$B$25)*MAX(0,1-INDEX(配置与结果!$I$15:$I$18,F449))</f>
        <v>1000</v>
      </c>
      <c r="AF449" s="1">
        <f>方案参数!$BV$15</f>
        <v>6</v>
      </c>
      <c r="AG449" s="1">
        <f>MAX(配置与结果!$B$32,1+INDEX(配置与结果!$F$15:$F$18,F449)+0+Q449*方案参数!$W$15+Y449*(方案参数!$AN$15+MIN(方案参数!$AO$15,P449*0.03))+AB449*方案参数!$BZ$15*0.025-配置与结果!$B$28)</f>
        <v>0.96499999999999997</v>
      </c>
      <c r="AH449" s="1">
        <f>MAX(0,1+INDEX(配置与结果!$G$15:$G$18,F449)+W449*方案参数!$AG$15)</f>
        <v>1.3</v>
      </c>
      <c r="AI449" s="1">
        <f>IF(OR(INDEX(配置与结果!$K$15:$K$18,F449)=1,G449="RHI_BERRY"),1+配置与结果!$B$33+P449*方案参数!$AH$15,1)</f>
        <v>1</v>
      </c>
      <c r="AJ449" s="1">
        <f>MIN(1,MAX(0,J449+方案参数!$AB$15-配置与结果!$B$27))</f>
        <v>1</v>
      </c>
      <c r="AK449" s="1">
        <f>MAX(1,K449+IF(F449=2,0.15+方案参数!$CH$15,0)+BN449*方案参数!$X$15+R449*方案参数!$AA$15+0-配置与结果!$B$26+Z449*(方案参数!$AP$15+MIN(方案参数!$AQ$15,P449*0.03)))</f>
        <v>2.278</v>
      </c>
      <c r="AL449" s="7">
        <f>ROUNDDOWN(MAX(AD449*配置与结果!$B$31,AD449-AE449)*AF449*AG449*AH449*AI449,0)</f>
        <v>11621</v>
      </c>
      <c r="AM449" s="7">
        <f>ROUNDDOWN(MAX(AD449*配置与结果!$B$31,AD449-AE449)*AF449*AG449*AH449*AI449*AK449,0)</f>
        <v>26474</v>
      </c>
      <c r="AN449" s="7">
        <f t="shared" si="558"/>
        <v>26474</v>
      </c>
      <c r="AO449" s="7">
        <f>方案参数!$BW$15</f>
        <v>2</v>
      </c>
      <c r="AP449" s="7">
        <f>MAX(0,1+INDEX(配置与结果!$J$15:$J$18,F449)+IF(T449&gt;0,方案参数!$BY$15,0)-配置与结果!$B$30)</f>
        <v>1</v>
      </c>
      <c r="AQ449" s="7">
        <f t="shared" si="559"/>
        <v>5088</v>
      </c>
      <c r="AR449" s="7">
        <f t="shared" si="560"/>
        <v>11590</v>
      </c>
      <c r="AS449" s="7">
        <f t="shared" si="561"/>
        <v>11590</v>
      </c>
      <c r="AT449" s="7">
        <f>0</f>
        <v>0</v>
      </c>
      <c r="AU449" s="7">
        <f t="shared" si="562"/>
        <v>38064</v>
      </c>
      <c r="AV449" s="1">
        <f t="shared" si="563"/>
        <v>1</v>
      </c>
      <c r="AW449" s="1">
        <f t="shared" si="639"/>
        <v>8</v>
      </c>
      <c r="AX449" s="1">
        <f t="shared" si="564"/>
        <v>0</v>
      </c>
      <c r="AY449" s="1">
        <f t="shared" si="633"/>
        <v>6</v>
      </c>
      <c r="AZ449" s="1">
        <f t="shared" si="565"/>
        <v>5</v>
      </c>
      <c r="BA449" s="1">
        <f>MIN(6,Q449+0)</f>
        <v>3</v>
      </c>
      <c r="BB449" s="1">
        <f t="shared" si="626"/>
        <v>5</v>
      </c>
      <c r="BC449" s="1">
        <f t="shared" si="640"/>
        <v>2</v>
      </c>
      <c r="BD449" s="1">
        <f t="shared" si="634"/>
        <v>0</v>
      </c>
      <c r="BE449" s="1">
        <f t="shared" si="627"/>
        <v>0</v>
      </c>
      <c r="BF449" s="1">
        <f>MIN(4,V449+1)</f>
        <v>2</v>
      </c>
      <c r="BG449" s="1">
        <f t="shared" si="631"/>
        <v>1</v>
      </c>
      <c r="BH449" s="1">
        <f t="shared" si="628"/>
        <v>1</v>
      </c>
      <c r="BI449" s="1">
        <f t="shared" si="632"/>
        <v>1</v>
      </c>
      <c r="BJ449" s="1">
        <f t="shared" si="638"/>
        <v>1</v>
      </c>
      <c r="BK449" s="1">
        <f t="shared" si="638"/>
        <v>1</v>
      </c>
      <c r="BL449" s="1">
        <f t="shared" si="608"/>
        <v>0</v>
      </c>
      <c r="BM449" s="1">
        <f t="shared" si="606"/>
        <v>0</v>
      </c>
      <c r="BN449" s="1">
        <f t="shared" si="629"/>
        <v>1</v>
      </c>
      <c r="BO449" s="1">
        <f t="shared" si="630"/>
        <v>1</v>
      </c>
    </row>
    <row r="450" spans="1:67" ht="30.95" customHeight="1">
      <c r="A450" s="1">
        <f>12</f>
        <v>12</v>
      </c>
      <c r="B450" s="1">
        <f>固定流程!A18</f>
        <v>13</v>
      </c>
      <c r="C450" s="1">
        <f>15</f>
        <v>15</v>
      </c>
      <c r="D450" s="1">
        <f>1</f>
        <v>1</v>
      </c>
      <c r="E450" s="1">
        <f>固定流程!C18</f>
        <v>2</v>
      </c>
      <c r="F450" s="1">
        <f>固定流程!G18</f>
        <v>3</v>
      </c>
      <c r="G450" s="1" t="str">
        <f>固定流程!H18</f>
        <v>RHI_BERRY</v>
      </c>
      <c r="H450" s="1">
        <f>固定流程!F18</f>
        <v>1</v>
      </c>
      <c r="I450" s="1">
        <f>INDEX(配置与结果!$B$15:$B$18,F450)</f>
        <v>2597</v>
      </c>
      <c r="J450" s="1">
        <f>INDEX(配置与结果!$D$15:$D$18,F450)</f>
        <v>0.255</v>
      </c>
      <c r="K450" s="1">
        <f>INDEX(配置与结果!$E$15:$E$18,F450)</f>
        <v>1.55</v>
      </c>
      <c r="L450" s="1">
        <f t="shared" si="636"/>
        <v>1</v>
      </c>
      <c r="M450" s="1">
        <f t="shared" si="636"/>
        <v>8</v>
      </c>
      <c r="N450" s="1">
        <f t="shared" si="636"/>
        <v>0</v>
      </c>
      <c r="O450" s="1">
        <f t="shared" si="635"/>
        <v>6</v>
      </c>
      <c r="P450" s="1">
        <f>MIN(方案参数!$AI$15,AZ449+0+0)</f>
        <v>5</v>
      </c>
      <c r="Q450" s="1">
        <f t="shared" si="613"/>
        <v>3</v>
      </c>
      <c r="R450" s="1">
        <f t="shared" si="614"/>
        <v>5</v>
      </c>
      <c r="S450" s="1">
        <f t="shared" si="615"/>
        <v>2</v>
      </c>
      <c r="T450" s="1">
        <f t="shared" si="616"/>
        <v>0</v>
      </c>
      <c r="U450" s="1">
        <f t="shared" si="617"/>
        <v>0</v>
      </c>
      <c r="V450" s="1">
        <f t="shared" si="618"/>
        <v>2</v>
      </c>
      <c r="W450" s="1">
        <f t="shared" si="619"/>
        <v>1</v>
      </c>
      <c r="X450" s="1">
        <f t="shared" si="620"/>
        <v>1</v>
      </c>
      <c r="Y450" s="1">
        <f t="shared" si="621"/>
        <v>1</v>
      </c>
      <c r="Z450" s="1">
        <f t="shared" si="622"/>
        <v>1</v>
      </c>
      <c r="AA450" s="1">
        <f t="shared" si="637"/>
        <v>1</v>
      </c>
      <c r="AB450" s="1">
        <f t="shared" si="624"/>
        <v>0</v>
      </c>
      <c r="AC450" s="1">
        <f t="shared" si="625"/>
        <v>0</v>
      </c>
      <c r="AD450" s="1">
        <f>ROUNDDOWN(I450*(1+IF(F450=3,0.05+方案参数!$Y$15+AA450*0.12,IF(F450=4,方案参数!$BZ$15*方案参数!$AS$15,0)))+IF(AND(X450=1,F450&lt;&gt;3),方案参数!$CC$15,0)+AC450*方案参数!$CB$15,0)</f>
        <v>3298</v>
      </c>
      <c r="AE450" s="1">
        <f>IF(OR(F450=1,F450=4),配置与结果!$B$24,配置与结果!$B$25)*MAX(0,1-INDEX(配置与结果!$I$15:$I$18,F450))</f>
        <v>1000</v>
      </c>
      <c r="AF450" s="1">
        <f>方案参数!$CF$15+P450*方案参数!$CG$15</f>
        <v>22.5</v>
      </c>
      <c r="AG450" s="1">
        <f>MAX(配置与结果!$B$32,1+INDEX(配置与结果!$F$15:$F$18,F450)+0+Q450*方案参数!$W$15+Y450*(方案参数!$AN$15+MIN(方案参数!$AO$15,P450*0.03))+AB450*方案参数!$BZ$15*0.025-配置与结果!$B$28)</f>
        <v>0.995</v>
      </c>
      <c r="AH450" s="1">
        <f>MAX(0,1+INDEX(配置与结果!$G$15:$G$18,F450)+W450*方案参数!$AG$15)</f>
        <v>1.3</v>
      </c>
      <c r="AI450" s="1">
        <f>IF(OR(INDEX(配置与结果!$K$15:$K$18,F450)=1,G450="RHI_BERRY"),1+配置与结果!$B$33+P450*方案参数!$AH$15,1)</f>
        <v>1.5</v>
      </c>
      <c r="AJ450" s="1">
        <f>MIN(1,MAX(0,J450+方案参数!$AB$15-配置与结果!$B$27))</f>
        <v>0.85499999999999998</v>
      </c>
      <c r="AK450" s="1">
        <f>MAX(1,K450+IF(F450=2,0.15+方案参数!$CH$15,0)+BN450*方案参数!$X$15+R450*方案参数!$AA$15+0-配置与结果!$B$26+Z450*(方案参数!$AP$15+MIN(方案参数!$AQ$15,P450*0.03)))</f>
        <v>1.6300000000000001</v>
      </c>
      <c r="AL450" s="7">
        <f>ROUNDDOWN(MAX(AD450*配置与结果!$B$31,AD450-AE450)*AF450*AG450*AH450*AI450,0)</f>
        <v>100320</v>
      </c>
      <c r="AM450" s="7">
        <f>ROUNDDOWN(MAX(AD450*配置与结果!$B$31,AD450-AE450)*AF450*AG450*AH450*AI450*AK450,0)</f>
        <v>163522</v>
      </c>
      <c r="AN450" s="7">
        <f t="shared" si="558"/>
        <v>154357.71</v>
      </c>
      <c r="AO450" s="7">
        <f>0</f>
        <v>0</v>
      </c>
      <c r="AP450" s="7">
        <f>MAX(0,1+INDEX(配置与结果!$J$15:$J$18,F450)+IF(T450&gt;0,方案参数!$BY$15,0)-配置与结果!$B$30)</f>
        <v>1</v>
      </c>
      <c r="AQ450" s="7">
        <f t="shared" si="559"/>
        <v>0</v>
      </c>
      <c r="AR450" s="7">
        <f t="shared" si="560"/>
        <v>0</v>
      </c>
      <c r="AS450" s="7">
        <f t="shared" si="561"/>
        <v>0</v>
      </c>
      <c r="AT450" s="7">
        <f>0</f>
        <v>0</v>
      </c>
      <c r="AU450" s="7">
        <f t="shared" si="562"/>
        <v>154357.71</v>
      </c>
      <c r="AV450" s="1">
        <f t="shared" si="563"/>
        <v>1</v>
      </c>
      <c r="AW450" s="1">
        <f t="shared" si="639"/>
        <v>8</v>
      </c>
      <c r="AX450" s="1">
        <f t="shared" si="564"/>
        <v>0</v>
      </c>
      <c r="AY450" s="1">
        <f t="shared" si="633"/>
        <v>6</v>
      </c>
      <c r="AZ450" s="1">
        <f t="shared" si="565"/>
        <v>5</v>
      </c>
      <c r="BA450" s="1">
        <f>MIN(6,Q450+0)</f>
        <v>3</v>
      </c>
      <c r="BB450" s="1">
        <f t="shared" si="626"/>
        <v>5</v>
      </c>
      <c r="BC450" s="1">
        <f t="shared" si="640"/>
        <v>2</v>
      </c>
      <c r="BD450" s="1">
        <f t="shared" si="634"/>
        <v>0</v>
      </c>
      <c r="BE450" s="1">
        <f t="shared" si="627"/>
        <v>0</v>
      </c>
      <c r="BF450" s="1">
        <f>MIN(4,V450+0)</f>
        <v>2</v>
      </c>
      <c r="BG450" s="1">
        <f t="shared" si="631"/>
        <v>1</v>
      </c>
      <c r="BH450" s="1">
        <f t="shared" si="628"/>
        <v>1</v>
      </c>
      <c r="BI450" s="1">
        <f t="shared" si="632"/>
        <v>1</v>
      </c>
      <c r="BJ450" s="1">
        <f t="shared" si="638"/>
        <v>1</v>
      </c>
      <c r="BK450" s="1">
        <f t="shared" si="638"/>
        <v>1</v>
      </c>
      <c r="BL450" s="1">
        <f t="shared" si="608"/>
        <v>0</v>
      </c>
      <c r="BM450" s="1">
        <f t="shared" si="606"/>
        <v>0</v>
      </c>
      <c r="BN450" s="1">
        <f t="shared" si="629"/>
        <v>1</v>
      </c>
      <c r="BO450" s="1">
        <f t="shared" si="630"/>
        <v>1</v>
      </c>
    </row>
    <row r="451" spans="1:67" ht="30.95" customHeight="1">
      <c r="A451" s="1">
        <f>12</f>
        <v>12</v>
      </c>
      <c r="B451" s="1">
        <f>固定流程!A19</f>
        <v>14</v>
      </c>
      <c r="C451" s="1">
        <f>15</f>
        <v>15</v>
      </c>
      <c r="D451" s="1">
        <f>1</f>
        <v>1</v>
      </c>
      <c r="E451" s="1">
        <f>固定流程!C19</f>
        <v>3</v>
      </c>
      <c r="F451" s="1">
        <f>固定流程!G19</f>
        <v>3</v>
      </c>
      <c r="G451" s="1" t="str">
        <f>固定流程!H19</f>
        <v>RHI_BUFF</v>
      </c>
      <c r="H451" s="1">
        <f>固定流程!F19</f>
        <v>1</v>
      </c>
      <c r="I451" s="1">
        <f>INDEX(配置与结果!$B$15:$B$18,F451)</f>
        <v>2597</v>
      </c>
      <c r="J451" s="1">
        <f>INDEX(配置与结果!$D$15:$D$18,F451)</f>
        <v>0.255</v>
      </c>
      <c r="K451" s="1">
        <f>INDEX(配置与结果!$E$15:$E$18,F451)</f>
        <v>1.55</v>
      </c>
      <c r="L451" s="1">
        <f>IF(AV450=1,IF(M451&gt;=10,2,1),IF(AV450=2,IF(AX450&lt;=1,0,2),0))</f>
        <v>2</v>
      </c>
      <c r="M451" s="1">
        <f>IF(AND(AV450=2,AX450&lt;=1),0,MIN(10,AW450+IF(AV450=1,3,0)))</f>
        <v>10</v>
      </c>
      <c r="N451" s="1">
        <f>IF(AND(AV450=1,M451&gt;=10),2,IF(AV450=2,MAX(0,AX450-1),0))</f>
        <v>2</v>
      </c>
      <c r="O451" s="1">
        <f t="shared" si="635"/>
        <v>6</v>
      </c>
      <c r="P451" s="1">
        <f>MIN(方案参数!$AI$15,AZ450+方案参数!$AJ$15+方案参数!$AK$15)</f>
        <v>5</v>
      </c>
      <c r="Q451" s="1">
        <f t="shared" si="613"/>
        <v>3</v>
      </c>
      <c r="R451" s="1">
        <f t="shared" si="614"/>
        <v>5</v>
      </c>
      <c r="S451" s="1">
        <f t="shared" si="615"/>
        <v>2</v>
      </c>
      <c r="T451" s="1">
        <f t="shared" si="616"/>
        <v>0</v>
      </c>
      <c r="U451" s="1">
        <f t="shared" si="617"/>
        <v>0</v>
      </c>
      <c r="V451" s="1">
        <f t="shared" si="618"/>
        <v>2</v>
      </c>
      <c r="W451" s="1">
        <f t="shared" si="619"/>
        <v>1</v>
      </c>
      <c r="X451" s="1">
        <f t="shared" si="620"/>
        <v>1</v>
      </c>
      <c r="Y451" s="1">
        <f t="shared" si="621"/>
        <v>1</v>
      </c>
      <c r="Z451" s="1">
        <f t="shared" si="622"/>
        <v>1</v>
      </c>
      <c r="AA451" s="1">
        <f t="shared" si="637"/>
        <v>1</v>
      </c>
      <c r="AB451" s="1">
        <f t="shared" si="624"/>
        <v>0</v>
      </c>
      <c r="AC451" s="1">
        <f t="shared" si="625"/>
        <v>0</v>
      </c>
      <c r="AD451" s="1">
        <f>ROUNDDOWN(I451*(1+IF(F451=3,0.05+方案参数!$Y$15+AA451*0.12,IF(F451=4,方案参数!$BZ$15*方案参数!$AS$15,0)))+IF(AND(X451=1,F451&lt;&gt;3),方案参数!$CC$15,0)+AC451*方案参数!$CB$15,0)</f>
        <v>3298</v>
      </c>
      <c r="AE451" s="1">
        <f>IF(OR(F451=1,F451=4),配置与结果!$B$24,配置与结果!$B$25)*MAX(0,1-INDEX(配置与结果!$I$15:$I$18,F451))</f>
        <v>1000</v>
      </c>
      <c r="AF451" s="1">
        <f>0</f>
        <v>0</v>
      </c>
      <c r="AG451" s="1">
        <f>MAX(配置与结果!$B$32,1+INDEX(配置与结果!$F$15:$F$18,F451)+0+Q451*方案参数!$W$15+Y451*(方案参数!$AN$15+MIN(方案参数!$AO$15,P451*0.03))+AB451*方案参数!$BZ$15*0.025-配置与结果!$B$28)</f>
        <v>0.995</v>
      </c>
      <c r="AH451" s="1">
        <f>MAX(0,1+INDEX(配置与结果!$G$15:$G$18,F451)+W451*方案参数!$AG$15)</f>
        <v>1.3</v>
      </c>
      <c r="AI451" s="1">
        <f>IF(OR(INDEX(配置与结果!$K$15:$K$18,F451)=1,G451="RHI_BERRY"),1+配置与结果!$B$33+P451*方案参数!$AH$15,1)</f>
        <v>1</v>
      </c>
      <c r="AJ451" s="1">
        <f>MIN(1,MAX(0,J451+方案参数!$AB$15-配置与结果!$B$27))</f>
        <v>0.85499999999999998</v>
      </c>
      <c r="AK451" s="1">
        <f>MAX(1,K451+IF(F451=2,0.15+方案参数!$CH$15,0)+BN451*方案参数!$X$15+R451*方案参数!$AA$15+0-配置与结果!$B$26+Z451*(方案参数!$AP$15+MIN(方案参数!$AQ$15,P451*0.03)))</f>
        <v>1.6300000000000001</v>
      </c>
      <c r="AL451" s="7">
        <f>ROUNDDOWN(MAX(AD451*配置与结果!$B$31,AD451-AE451)*AF451*AG451*AH451*AI451,0)</f>
        <v>0</v>
      </c>
      <c r="AM451" s="7">
        <f>ROUNDDOWN(MAX(AD451*配置与结果!$B$31,AD451-AE451)*AF451*AG451*AH451*AI451*AK451,0)</f>
        <v>0</v>
      </c>
      <c r="AN451" s="7">
        <f t="shared" si="558"/>
        <v>0</v>
      </c>
      <c r="AO451" s="7">
        <f>0</f>
        <v>0</v>
      </c>
      <c r="AP451" s="7">
        <f>MAX(0,1+INDEX(配置与结果!$J$15:$J$18,F451)+IF(T451&gt;0,方案参数!$BY$15,0)-配置与结果!$B$30)</f>
        <v>1</v>
      </c>
      <c r="AQ451" s="7">
        <f t="shared" si="559"/>
        <v>0</v>
      </c>
      <c r="AR451" s="7">
        <f t="shared" si="560"/>
        <v>0</v>
      </c>
      <c r="AS451" s="7">
        <f t="shared" si="561"/>
        <v>0</v>
      </c>
      <c r="AT451" s="7">
        <f>0</f>
        <v>0</v>
      </c>
      <c r="AU451" s="7">
        <f t="shared" si="562"/>
        <v>0</v>
      </c>
      <c r="AV451" s="1">
        <f t="shared" si="563"/>
        <v>2</v>
      </c>
      <c r="AW451" s="1">
        <f t="shared" si="639"/>
        <v>10</v>
      </c>
      <c r="AX451" s="1">
        <f t="shared" si="564"/>
        <v>2</v>
      </c>
      <c r="AY451" s="1">
        <f t="shared" si="633"/>
        <v>6</v>
      </c>
      <c r="AZ451" s="1">
        <f t="shared" si="565"/>
        <v>5</v>
      </c>
      <c r="BA451" s="1">
        <f>MIN(6,Q451+1)</f>
        <v>4</v>
      </c>
      <c r="BB451" s="1">
        <f t="shared" si="626"/>
        <v>5</v>
      </c>
      <c r="BC451" s="1">
        <f t="shared" si="640"/>
        <v>2</v>
      </c>
      <c r="BD451" s="1">
        <f t="shared" si="634"/>
        <v>0</v>
      </c>
      <c r="BE451" s="1">
        <f t="shared" si="627"/>
        <v>0</v>
      </c>
      <c r="BF451" s="1">
        <f>MIN(4,V451+0)</f>
        <v>2</v>
      </c>
      <c r="BG451" s="1">
        <f>MAX(W451,1)</f>
        <v>1</v>
      </c>
      <c r="BH451" s="1">
        <f t="shared" si="628"/>
        <v>1</v>
      </c>
      <c r="BI451" s="1">
        <f>MAX(Y451,1)</f>
        <v>1</v>
      </c>
      <c r="BJ451" s="1">
        <f t="shared" si="638"/>
        <v>1</v>
      </c>
      <c r="BK451" s="1">
        <f t="shared" si="638"/>
        <v>1</v>
      </c>
      <c r="BL451" s="1">
        <f t="shared" si="608"/>
        <v>0</v>
      </c>
      <c r="BM451" s="1">
        <f t="shared" si="606"/>
        <v>0</v>
      </c>
      <c r="BN451" s="1">
        <f t="shared" si="629"/>
        <v>1</v>
      </c>
      <c r="BO451" s="1">
        <f t="shared" si="630"/>
        <v>1</v>
      </c>
    </row>
    <row r="452" spans="1:67" ht="30.95" customHeight="1">
      <c r="A452" s="1">
        <f>12</f>
        <v>12</v>
      </c>
      <c r="B452" s="1">
        <f>固定流程!A20</f>
        <v>15</v>
      </c>
      <c r="C452" s="1">
        <f>15</f>
        <v>15</v>
      </c>
      <c r="D452" s="1">
        <f>1</f>
        <v>1</v>
      </c>
      <c r="E452" s="1">
        <f>固定流程!C20</f>
        <v>3</v>
      </c>
      <c r="F452" s="1">
        <f>固定流程!G20</f>
        <v>3</v>
      </c>
      <c r="G452" s="1" t="str">
        <f>固定流程!H20</f>
        <v>RHI_ATTACK</v>
      </c>
      <c r="H452" s="1">
        <f>固定流程!F20</f>
        <v>1</v>
      </c>
      <c r="I452" s="1">
        <f>INDEX(配置与结果!$B$15:$B$18,F452)</f>
        <v>2597</v>
      </c>
      <c r="J452" s="1">
        <f>INDEX(配置与结果!$D$15:$D$18,F452)</f>
        <v>0.255</v>
      </c>
      <c r="K452" s="1">
        <f>INDEX(配置与结果!$E$15:$E$18,F452)</f>
        <v>1.55</v>
      </c>
      <c r="L452" s="1">
        <f t="shared" ref="L452:L473" si="641">AV451</f>
        <v>2</v>
      </c>
      <c r="M452" s="1">
        <f t="shared" ref="M452:M473" si="642">AW451</f>
        <v>10</v>
      </c>
      <c r="N452" s="1">
        <f t="shared" ref="N452:N473" si="643">AX451</f>
        <v>2</v>
      </c>
      <c r="O452" s="1">
        <f t="shared" si="635"/>
        <v>6</v>
      </c>
      <c r="P452" s="1">
        <f>MIN(方案参数!$AI$15,AZ451+0+方案参数!$AK$15)</f>
        <v>5</v>
      </c>
      <c r="Q452" s="1">
        <f t="shared" si="613"/>
        <v>4</v>
      </c>
      <c r="R452" s="1">
        <f t="shared" si="614"/>
        <v>5</v>
      </c>
      <c r="S452" s="1">
        <f t="shared" si="615"/>
        <v>2</v>
      </c>
      <c r="T452" s="1">
        <f t="shared" si="616"/>
        <v>0</v>
      </c>
      <c r="U452" s="1">
        <f t="shared" si="617"/>
        <v>0</v>
      </c>
      <c r="V452" s="1">
        <f t="shared" si="618"/>
        <v>2</v>
      </c>
      <c r="W452" s="1">
        <f t="shared" si="619"/>
        <v>1</v>
      </c>
      <c r="X452" s="1">
        <f t="shared" si="620"/>
        <v>1</v>
      </c>
      <c r="Y452" s="1">
        <f t="shared" si="621"/>
        <v>1</v>
      </c>
      <c r="Z452" s="1">
        <f t="shared" si="622"/>
        <v>1</v>
      </c>
      <c r="AA452" s="1">
        <f>MAX(BK451,1)</f>
        <v>1</v>
      </c>
      <c r="AB452" s="1">
        <f t="shared" si="624"/>
        <v>0</v>
      </c>
      <c r="AC452" s="1">
        <f t="shared" si="625"/>
        <v>0</v>
      </c>
      <c r="AD452" s="1">
        <f>ROUNDDOWN(I452*(1+IF(F452=3,0.05+方案参数!$Y$15+AA452*0.12,IF(F452=4,方案参数!$BZ$15*方案参数!$AS$15,0)))+IF(AND(X452=1,F452&lt;&gt;3),方案参数!$CC$15,0)+AC452*方案参数!$CB$15,0)</f>
        <v>3298</v>
      </c>
      <c r="AE452" s="1">
        <f>IF(OR(F452=1,F452=4),配置与结果!$B$24,配置与结果!$B$25)*MAX(0,1-INDEX(配置与结果!$I$15:$I$18,F452))</f>
        <v>1000</v>
      </c>
      <c r="AF452" s="1">
        <f>4</f>
        <v>4</v>
      </c>
      <c r="AG452" s="1">
        <f>MAX(配置与结果!$B$32,1+INDEX(配置与结果!$F$15:$F$18,F452)+0+Q452*方案参数!$W$15+Y452*(方案参数!$AN$15+MIN(方案参数!$AO$15,P452*0.03))+AB452*方案参数!$BZ$15*0.025-配置与结果!$B$28)</f>
        <v>1.0150000000000001</v>
      </c>
      <c r="AH452" s="1">
        <f>MAX(0,1+INDEX(配置与结果!$G$15:$G$18,F452)+W452*方案参数!$AG$15)</f>
        <v>1.3</v>
      </c>
      <c r="AI452" s="1">
        <f>IF(OR(INDEX(配置与结果!$K$15:$K$18,F452)=1,G452="RHI_BERRY"),1+配置与结果!$B$33+P452*方案参数!$AH$15,1)</f>
        <v>1</v>
      </c>
      <c r="AJ452" s="1">
        <f>MIN(1,MAX(0,J452+方案参数!$AB$15-配置与结果!$B$27))</f>
        <v>0.85499999999999998</v>
      </c>
      <c r="AK452" s="1">
        <f>MAX(1,K452+IF(F452=2,0.15+方案参数!$CH$15,0)+BN452*方案参数!$X$15+R452*方案参数!$AA$15+0-配置与结果!$B$26+Z452*(方案参数!$AP$15+MIN(方案参数!$AQ$15,P452*0.03)))</f>
        <v>1.6300000000000001</v>
      </c>
      <c r="AL452" s="7">
        <f>ROUNDDOWN(MAX(AD452*配置与结果!$B$31,AD452-AE452)*AF452*AG452*AH452*AI452,0)</f>
        <v>12128</v>
      </c>
      <c r="AM452" s="7">
        <f>ROUNDDOWN(MAX(AD452*配置与结果!$B$31,AD452-AE452)*AF452*AG452*AH452*AI452*AK452,0)</f>
        <v>19770</v>
      </c>
      <c r="AN452" s="7">
        <f t="shared" si="558"/>
        <v>18661.91</v>
      </c>
      <c r="AO452" s="7">
        <f>0</f>
        <v>0</v>
      </c>
      <c r="AP452" s="7">
        <f>MAX(0,1+INDEX(配置与结果!$J$15:$J$18,F452)+IF(T452&gt;0,方案参数!$BY$15,0)-配置与结果!$B$30)</f>
        <v>1</v>
      </c>
      <c r="AQ452" s="7">
        <f t="shared" si="559"/>
        <v>0</v>
      </c>
      <c r="AR452" s="7">
        <f t="shared" si="560"/>
        <v>0</v>
      </c>
      <c r="AS452" s="7">
        <f t="shared" si="561"/>
        <v>0</v>
      </c>
      <c r="AT452" s="7">
        <f>0</f>
        <v>0</v>
      </c>
      <c r="AU452" s="7">
        <f t="shared" si="562"/>
        <v>18661.91</v>
      </c>
      <c r="AV452" s="1">
        <f t="shared" si="563"/>
        <v>2</v>
      </c>
      <c r="AW452" s="1">
        <f t="shared" si="639"/>
        <v>10</v>
      </c>
      <c r="AX452" s="1">
        <f t="shared" si="564"/>
        <v>2</v>
      </c>
      <c r="AY452" s="1">
        <f t="shared" si="633"/>
        <v>6</v>
      </c>
      <c r="AZ452" s="1">
        <f t="shared" si="565"/>
        <v>5</v>
      </c>
      <c r="BA452" s="1">
        <f>MIN(6,Q452+1)</f>
        <v>5</v>
      </c>
      <c r="BB452" s="1">
        <f t="shared" si="626"/>
        <v>5</v>
      </c>
      <c r="BC452" s="1">
        <f t="shared" si="640"/>
        <v>2</v>
      </c>
      <c r="BD452" s="1">
        <f t="shared" si="634"/>
        <v>0</v>
      </c>
      <c r="BE452" s="1">
        <f t="shared" si="627"/>
        <v>0</v>
      </c>
      <c r="BF452" s="1">
        <f>MIN(4,V452+0)</f>
        <v>2</v>
      </c>
      <c r="BG452" s="1">
        <f t="shared" ref="BG452:BG474" si="644">MAX(W452,0)</f>
        <v>1</v>
      </c>
      <c r="BH452" s="1">
        <f t="shared" si="628"/>
        <v>1</v>
      </c>
      <c r="BI452" s="1">
        <f t="shared" ref="BI452:BI474" si="645">MAX(Y452,0)</f>
        <v>1</v>
      </c>
      <c r="BJ452" s="1">
        <f>MAX(Z452,1)</f>
        <v>1</v>
      </c>
      <c r="BK452" s="1">
        <f>MAX(AA452,1)</f>
        <v>1</v>
      </c>
      <c r="BL452" s="1">
        <f t="shared" si="608"/>
        <v>0</v>
      </c>
      <c r="BM452" s="1">
        <f t="shared" si="606"/>
        <v>0</v>
      </c>
      <c r="BN452" s="1">
        <f t="shared" si="629"/>
        <v>1</v>
      </c>
      <c r="BO452" s="1">
        <f t="shared" si="630"/>
        <v>1</v>
      </c>
    </row>
    <row r="453" spans="1:67" ht="30.95" customHeight="1">
      <c r="A453" s="1">
        <f>12</f>
        <v>12</v>
      </c>
      <c r="B453" s="1">
        <f>固定流程!A21</f>
        <v>16</v>
      </c>
      <c r="C453" s="1">
        <f>15</f>
        <v>15</v>
      </c>
      <c r="D453" s="1">
        <f>1</f>
        <v>1</v>
      </c>
      <c r="E453" s="1">
        <f>固定流程!C21</f>
        <v>3</v>
      </c>
      <c r="F453" s="1">
        <f>固定流程!G21</f>
        <v>2</v>
      </c>
      <c r="G453" s="1" t="str">
        <f>固定流程!H21</f>
        <v>37_ULT</v>
      </c>
      <c r="H453" s="1">
        <f>固定流程!F21</f>
        <v>1</v>
      </c>
      <c r="I453" s="1">
        <f>INDEX(配置与结果!$B$15:$B$18,F453)</f>
        <v>2306</v>
      </c>
      <c r="J453" s="1">
        <f>INDEX(配置与结果!$D$15:$D$18,F453)</f>
        <v>0.46</v>
      </c>
      <c r="K453" s="1">
        <f>INDEX(配置与结果!$E$15:$E$18,F453)</f>
        <v>1.9279999999999999</v>
      </c>
      <c r="L453" s="1">
        <f t="shared" si="641"/>
        <v>2</v>
      </c>
      <c r="M453" s="1">
        <f t="shared" si="642"/>
        <v>10</v>
      </c>
      <c r="N453" s="1">
        <f t="shared" si="643"/>
        <v>2</v>
      </c>
      <c r="O453" s="1">
        <f t="shared" si="635"/>
        <v>6</v>
      </c>
      <c r="P453" s="1">
        <f>MIN(方案参数!$AI$15,AZ452+0+0)</f>
        <v>5</v>
      </c>
      <c r="Q453" s="1">
        <f t="shared" si="613"/>
        <v>5</v>
      </c>
      <c r="R453" s="1">
        <f t="shared" si="614"/>
        <v>5</v>
      </c>
      <c r="S453" s="1">
        <f t="shared" si="615"/>
        <v>2</v>
      </c>
      <c r="T453" s="1">
        <f>BD452+方案参数!$BX$15</f>
        <v>3</v>
      </c>
      <c r="U453" s="1">
        <f t="shared" si="617"/>
        <v>0</v>
      </c>
      <c r="V453" s="1">
        <f t="shared" si="618"/>
        <v>2</v>
      </c>
      <c r="W453" s="1">
        <f t="shared" si="619"/>
        <v>1</v>
      </c>
      <c r="X453" s="1">
        <f t="shared" si="620"/>
        <v>1</v>
      </c>
      <c r="Y453" s="1">
        <f t="shared" si="621"/>
        <v>1</v>
      </c>
      <c r="Z453" s="1">
        <f t="shared" si="622"/>
        <v>1</v>
      </c>
      <c r="AA453" s="1">
        <f t="shared" ref="AA453:AA473" si="646">MAX(BK452,0)</f>
        <v>1</v>
      </c>
      <c r="AB453" s="1">
        <f t="shared" si="624"/>
        <v>0</v>
      </c>
      <c r="AC453" s="1">
        <f>MAX(BM452,1)</f>
        <v>1</v>
      </c>
      <c r="AD453" s="1">
        <f>ROUNDDOWN(I453*(1+IF(F453=3,0.05+方案参数!$Y$15+AA453*0.12,IF(F453=4,方案参数!$BZ$15*方案参数!$AS$15,0)))+IF(AND(X453=1,F453&lt;&gt;3),方案参数!$CC$15,0)+AC453*方案参数!$CB$15,0)</f>
        <v>3144</v>
      </c>
      <c r="AE453" s="1">
        <f>IF(OR(F453=1,F453=4),配置与结果!$B$24,配置与结果!$B$25)*MAX(0,1-INDEX(配置与结果!$I$15:$I$18,F453))</f>
        <v>1000</v>
      </c>
      <c r="AF453" s="1">
        <f>0</f>
        <v>0</v>
      </c>
      <c r="AG453" s="1">
        <f>MAX(配置与结果!$B$32,1+INDEX(配置与结果!$F$15:$F$18,F453)+0+Q453*方案参数!$W$15+Y453*(方案参数!$AN$15+MIN(方案参数!$AO$15,P453*0.03))+AB453*方案参数!$BZ$15*0.025-配置与结果!$B$28)</f>
        <v>1.0049999999999999</v>
      </c>
      <c r="AH453" s="1">
        <f>MAX(0,1+INDEX(配置与结果!$G$15:$G$18,F453)+W453*方案参数!$AG$15)</f>
        <v>1.3</v>
      </c>
      <c r="AI453" s="1">
        <f>IF(OR(INDEX(配置与结果!$K$15:$K$18,F453)=1,G453="RHI_BERRY"),1+配置与结果!$B$33+P453*方案参数!$AH$15,1)</f>
        <v>1</v>
      </c>
      <c r="AJ453" s="1">
        <f>MIN(1,MAX(0,J453+方案参数!$AB$15-配置与结果!$B$27))</f>
        <v>1</v>
      </c>
      <c r="AK453" s="1">
        <f>MAX(1,K453+IF(F453=2,0.15+方案参数!$CH$15,0)+BN453*方案参数!$X$15+R453*方案参数!$AA$15+0-配置与结果!$B$26+Z453*(方案参数!$AP$15+MIN(方案参数!$AQ$15,P453*0.03)))</f>
        <v>2.278</v>
      </c>
      <c r="AL453" s="7">
        <f>ROUNDDOWN(MAX(AD453*配置与结果!$B$31,AD453-AE453)*AF453*AG453*AH453*AI453,0)</f>
        <v>0</v>
      </c>
      <c r="AM453" s="7">
        <f>ROUNDDOWN(MAX(AD453*配置与结果!$B$31,AD453-AE453)*AF453*AG453*AH453*AI453*AK453,0)</f>
        <v>0</v>
      </c>
      <c r="AN453" s="7">
        <f t="shared" si="558"/>
        <v>0</v>
      </c>
      <c r="AO453" s="7">
        <f>0</f>
        <v>0</v>
      </c>
      <c r="AP453" s="7">
        <f>MAX(0,1+INDEX(配置与结果!$J$15:$J$18,F453)+IF(T453&gt;0,方案参数!$BY$15,0)-配置与结果!$B$30)</f>
        <v>3</v>
      </c>
      <c r="AQ453" s="7">
        <f t="shared" si="559"/>
        <v>0</v>
      </c>
      <c r="AR453" s="7">
        <f t="shared" si="560"/>
        <v>0</v>
      </c>
      <c r="AS453" s="7">
        <f t="shared" si="561"/>
        <v>0</v>
      </c>
      <c r="AT453" s="7">
        <f>0</f>
        <v>0</v>
      </c>
      <c r="AU453" s="7">
        <f t="shared" si="562"/>
        <v>0</v>
      </c>
      <c r="AV453" s="1">
        <f t="shared" si="563"/>
        <v>2</v>
      </c>
      <c r="AW453" s="1">
        <f t="shared" si="639"/>
        <v>10</v>
      </c>
      <c r="AX453" s="1">
        <f t="shared" si="564"/>
        <v>2</v>
      </c>
      <c r="AY453" s="1">
        <f t="shared" si="633"/>
        <v>6</v>
      </c>
      <c r="AZ453" s="1">
        <f t="shared" si="565"/>
        <v>5</v>
      </c>
      <c r="BA453" s="1">
        <f t="shared" ref="BA453:BA473" si="647">MIN(6,Q453+0)</f>
        <v>5</v>
      </c>
      <c r="BB453" s="1">
        <f>MIN(30,R453+5)</f>
        <v>10</v>
      </c>
      <c r="BC453" s="1">
        <f t="shared" si="640"/>
        <v>2</v>
      </c>
      <c r="BD453" s="1">
        <f t="shared" si="634"/>
        <v>3</v>
      </c>
      <c r="BE453" s="1">
        <f t="shared" si="627"/>
        <v>0</v>
      </c>
      <c r="BF453" s="1">
        <f>MIN(4,V453+0)</f>
        <v>2</v>
      </c>
      <c r="BG453" s="1">
        <f t="shared" si="644"/>
        <v>1</v>
      </c>
      <c r="BH453" s="1">
        <f t="shared" si="628"/>
        <v>1</v>
      </c>
      <c r="BI453" s="1">
        <f t="shared" si="645"/>
        <v>1</v>
      </c>
      <c r="BJ453" s="1">
        <f t="shared" ref="BJ453:BJ480" si="648">MAX(Z453,0)</f>
        <v>1</v>
      </c>
      <c r="BK453" s="1">
        <f t="shared" ref="BK453:BK480" si="649">MAX(AA453,0)</f>
        <v>1</v>
      </c>
      <c r="BL453" s="1">
        <f t="shared" si="608"/>
        <v>0</v>
      </c>
      <c r="BM453" s="1">
        <f>MAX(AC453,1)</f>
        <v>1</v>
      </c>
      <c r="BN453" s="1">
        <f t="shared" si="629"/>
        <v>1</v>
      </c>
      <c r="BO453" s="1">
        <f t="shared" si="630"/>
        <v>1</v>
      </c>
    </row>
    <row r="454" spans="1:67" ht="30.95" customHeight="1">
      <c r="A454" s="1">
        <f>12</f>
        <v>12</v>
      </c>
      <c r="B454" s="1">
        <f>固定流程!A22</f>
        <v>17</v>
      </c>
      <c r="C454" s="1">
        <f>15</f>
        <v>15</v>
      </c>
      <c r="D454" s="1">
        <f>1</f>
        <v>1</v>
      </c>
      <c r="E454" s="1">
        <f>固定流程!C22</f>
        <v>3</v>
      </c>
      <c r="F454" s="1">
        <f>固定流程!G22</f>
        <v>2</v>
      </c>
      <c r="G454" s="1" t="str">
        <f>固定流程!H22</f>
        <v>37_FOLLOW</v>
      </c>
      <c r="H454" s="1">
        <f>固定流程!F22</f>
        <v>1</v>
      </c>
      <c r="I454" s="1">
        <f>INDEX(配置与结果!$B$15:$B$18,F454)</f>
        <v>2306</v>
      </c>
      <c r="J454" s="1">
        <f>INDEX(配置与结果!$D$15:$D$18,F454)</f>
        <v>0.46</v>
      </c>
      <c r="K454" s="1">
        <f>INDEX(配置与结果!$E$15:$E$18,F454)</f>
        <v>1.9279999999999999</v>
      </c>
      <c r="L454" s="1">
        <f t="shared" si="641"/>
        <v>2</v>
      </c>
      <c r="M454" s="1">
        <f t="shared" si="642"/>
        <v>10</v>
      </c>
      <c r="N454" s="1">
        <f t="shared" si="643"/>
        <v>2</v>
      </c>
      <c r="O454" s="1">
        <f t="shared" si="635"/>
        <v>6</v>
      </c>
      <c r="P454" s="1">
        <f>MIN(方案参数!$AI$15,AZ453+0+0)</f>
        <v>5</v>
      </c>
      <c r="Q454" s="1">
        <f t="shared" si="613"/>
        <v>5</v>
      </c>
      <c r="R454" s="1">
        <f t="shared" si="614"/>
        <v>10</v>
      </c>
      <c r="S454" s="1">
        <f t="shared" si="615"/>
        <v>2</v>
      </c>
      <c r="T454" s="1">
        <f t="shared" ref="T454:T473" si="650">BD453+0</f>
        <v>3</v>
      </c>
      <c r="U454" s="1">
        <f t="shared" si="617"/>
        <v>0</v>
      </c>
      <c r="V454" s="1">
        <f t="shared" si="618"/>
        <v>2</v>
      </c>
      <c r="W454" s="1">
        <f t="shared" si="619"/>
        <v>1</v>
      </c>
      <c r="X454" s="1">
        <f t="shared" si="620"/>
        <v>1</v>
      </c>
      <c r="Y454" s="1">
        <f t="shared" si="621"/>
        <v>1</v>
      </c>
      <c r="Z454" s="1">
        <f t="shared" si="622"/>
        <v>1</v>
      </c>
      <c r="AA454" s="1">
        <f t="shared" si="646"/>
        <v>1</v>
      </c>
      <c r="AB454" s="1">
        <f t="shared" si="624"/>
        <v>0</v>
      </c>
      <c r="AC454" s="1">
        <f t="shared" ref="AC454:AC473" si="651">MAX(BM453,0)</f>
        <v>1</v>
      </c>
      <c r="AD454" s="1">
        <f>ROUNDDOWN(I454*(1+IF(F454=3,0.05+方案参数!$Y$15+AA454*0.12,IF(F454=4,方案参数!$BZ$15*方案参数!$AS$15,0)))+IF(AND(X454=1,F454&lt;&gt;3),方案参数!$CC$15,0)+AC454*方案参数!$CB$15,0)</f>
        <v>3144</v>
      </c>
      <c r="AE454" s="1">
        <f>IF(OR(F454=1,F454=4),配置与结果!$B$24,配置与结果!$B$25)*MAX(0,1-INDEX(配置与结果!$I$15:$I$18,F454))</f>
        <v>1000</v>
      </c>
      <c r="AF454" s="1">
        <f>方案参数!$BV$15</f>
        <v>6</v>
      </c>
      <c r="AG454" s="1">
        <f>MAX(配置与结果!$B$32,1+INDEX(配置与结果!$F$15:$F$18,F454)+0+Q454*方案参数!$W$15+Y454*(方案参数!$AN$15+MIN(方案参数!$AO$15,P454*0.03))+AB454*方案参数!$BZ$15*0.025-配置与结果!$B$28)</f>
        <v>1.0049999999999999</v>
      </c>
      <c r="AH454" s="1">
        <f>MAX(0,1+INDEX(配置与结果!$G$15:$G$18,F454)+W454*方案参数!$AG$15)</f>
        <v>1.3</v>
      </c>
      <c r="AI454" s="1">
        <f>IF(OR(INDEX(配置与结果!$K$15:$K$18,F454)=1,G454="RHI_BERRY"),1+配置与结果!$B$33+P454*方案参数!$AH$15,1)</f>
        <v>1</v>
      </c>
      <c r="AJ454" s="1">
        <f>MIN(1,MAX(0,J454+方案参数!$AB$15-配置与结果!$B$27))</f>
        <v>1</v>
      </c>
      <c r="AK454" s="1">
        <f>MAX(1,K454+IF(F454=2,0.15+方案参数!$CH$15,0)+BN454*方案参数!$X$15+R454*方案参数!$AA$15+0-配置与结果!$B$26+Z454*(方案参数!$AP$15+MIN(方案参数!$AQ$15,P454*0.03)))</f>
        <v>2.298</v>
      </c>
      <c r="AL454" s="7">
        <f>ROUNDDOWN(MAX(AD454*配置与结果!$B$31,AD454-AE454)*AF454*AG454*AH454*AI454,0)</f>
        <v>16806</v>
      </c>
      <c r="AM454" s="7">
        <f>ROUNDDOWN(MAX(AD454*配置与结果!$B$31,AD454-AE454)*AF454*AG454*AH454*AI454*AK454,0)</f>
        <v>38622</v>
      </c>
      <c r="AN454" s="7">
        <f t="shared" ref="AN454:AN517" si="652">AL454*(1-AJ454)+AM454*AJ454</f>
        <v>38622</v>
      </c>
      <c r="AO454" s="7">
        <f>方案参数!$BW$15</f>
        <v>2</v>
      </c>
      <c r="AP454" s="7">
        <f>MAX(0,1+INDEX(配置与结果!$J$15:$J$18,F454)+IF(T454&gt;0,方案参数!$BY$15,0)-配置与结果!$B$30)</f>
        <v>3</v>
      </c>
      <c r="AQ454" s="7">
        <f t="shared" ref="AQ454:AQ517" si="653">ROUNDDOWN(ROUNDDOWN(AD454*AO454,0)*AP454,0)</f>
        <v>18864</v>
      </c>
      <c r="AR454" s="7">
        <f t="shared" ref="AR454:AR517" si="654">ROUNDDOWN(ROUNDDOWN(AD454*AO454,0)*AP454*AK454,0)</f>
        <v>43349</v>
      </c>
      <c r="AS454" s="7">
        <f t="shared" ref="AS454:AS517" si="655">AQ454*(1-AJ454)+AR454*AJ454</f>
        <v>43349</v>
      </c>
      <c r="AT454" s="7">
        <f>0</f>
        <v>0</v>
      </c>
      <c r="AU454" s="7">
        <f t="shared" ref="AU454:AU517" si="656">AN454+AS454+AT454</f>
        <v>81971</v>
      </c>
      <c r="AV454" s="1">
        <f t="shared" ref="AV454:AV517" si="657">IF(G454="LILYA_COBRA",IF(L454=0,1,L454),L454)</f>
        <v>2</v>
      </c>
      <c r="AW454" s="1">
        <f t="shared" si="639"/>
        <v>10</v>
      </c>
      <c r="AX454" s="1">
        <f t="shared" ref="AX454:AX517" si="658">N454</f>
        <v>2</v>
      </c>
      <c r="AY454" s="1">
        <f t="shared" si="633"/>
        <v>6</v>
      </c>
      <c r="AZ454" s="1">
        <f t="shared" ref="AZ454:AZ517" si="659">P454</f>
        <v>5</v>
      </c>
      <c r="BA454" s="1">
        <f t="shared" si="647"/>
        <v>5</v>
      </c>
      <c r="BB454" s="1">
        <f>MIN(30,R454+0)</f>
        <v>10</v>
      </c>
      <c r="BC454" s="1">
        <f t="shared" si="640"/>
        <v>2</v>
      </c>
      <c r="BD454" s="1">
        <f t="shared" si="634"/>
        <v>2</v>
      </c>
      <c r="BE454" s="1">
        <f t="shared" si="627"/>
        <v>0</v>
      </c>
      <c r="BF454" s="1">
        <f>MIN(4,V454+1)</f>
        <v>3</v>
      </c>
      <c r="BG454" s="1">
        <f t="shared" si="644"/>
        <v>1</v>
      </c>
      <c r="BH454" s="1">
        <f t="shared" si="628"/>
        <v>1</v>
      </c>
      <c r="BI454" s="1">
        <f t="shared" si="645"/>
        <v>1</v>
      </c>
      <c r="BJ454" s="1">
        <f t="shared" si="648"/>
        <v>1</v>
      </c>
      <c r="BK454" s="1">
        <f t="shared" si="649"/>
        <v>1</v>
      </c>
      <c r="BL454" s="1">
        <f t="shared" si="608"/>
        <v>0</v>
      </c>
      <c r="BM454" s="1">
        <f t="shared" ref="BM454:BM488" si="660">MAX(AC454,0)</f>
        <v>1</v>
      </c>
      <c r="BN454" s="1">
        <f t="shared" si="629"/>
        <v>1</v>
      </c>
      <c r="BO454" s="1">
        <f t="shared" si="630"/>
        <v>1</v>
      </c>
    </row>
    <row r="455" spans="1:67" ht="30.95" customHeight="1">
      <c r="A455" s="1">
        <f>12</f>
        <v>12</v>
      </c>
      <c r="B455" s="1">
        <f>固定流程!A23</f>
        <v>18</v>
      </c>
      <c r="C455" s="1">
        <f>15</f>
        <v>15</v>
      </c>
      <c r="D455" s="1">
        <f>1</f>
        <v>1</v>
      </c>
      <c r="E455" s="1">
        <f>固定流程!C23</f>
        <v>3</v>
      </c>
      <c r="F455" s="1">
        <f>固定流程!G23</f>
        <v>4</v>
      </c>
      <c r="G455" s="1" t="str">
        <f>固定流程!H23</f>
        <v>J_HARD</v>
      </c>
      <c r="H455" s="1">
        <f>固定流程!F23</f>
        <v>1</v>
      </c>
      <c r="I455" s="1">
        <f>INDEX(配置与结果!$B$15:$B$18,F455)</f>
        <v>1906</v>
      </c>
      <c r="J455" s="1">
        <f>INDEX(配置与结果!$D$15:$D$18,F455)</f>
        <v>0.36699999999999999</v>
      </c>
      <c r="K455" s="1">
        <f>INDEX(配置与结果!$E$15:$E$18,F455)</f>
        <v>1.7170000000000001</v>
      </c>
      <c r="L455" s="1">
        <f t="shared" si="641"/>
        <v>2</v>
      </c>
      <c r="M455" s="1">
        <f t="shared" si="642"/>
        <v>10</v>
      </c>
      <c r="N455" s="1">
        <f t="shared" si="643"/>
        <v>2</v>
      </c>
      <c r="O455" s="1">
        <f t="shared" si="635"/>
        <v>6</v>
      </c>
      <c r="P455" s="1">
        <f>MIN(方案参数!$AI$15,AZ454+0+0)</f>
        <v>5</v>
      </c>
      <c r="Q455" s="1">
        <f t="shared" si="613"/>
        <v>5</v>
      </c>
      <c r="R455" s="1">
        <f t="shared" si="614"/>
        <v>10</v>
      </c>
      <c r="S455" s="1">
        <f t="shared" si="615"/>
        <v>2</v>
      </c>
      <c r="T455" s="1">
        <f t="shared" si="650"/>
        <v>2</v>
      </c>
      <c r="U455" s="1">
        <f t="shared" si="617"/>
        <v>0</v>
      </c>
      <c r="V455" s="1">
        <f t="shared" si="618"/>
        <v>3</v>
      </c>
      <c r="W455" s="1">
        <f t="shared" si="619"/>
        <v>1</v>
      </c>
      <c r="X455" s="1">
        <f t="shared" si="620"/>
        <v>1</v>
      </c>
      <c r="Y455" s="1">
        <f t="shared" si="621"/>
        <v>1</v>
      </c>
      <c r="Z455" s="1">
        <f t="shared" si="622"/>
        <v>1</v>
      </c>
      <c r="AA455" s="1">
        <f t="shared" si="646"/>
        <v>1</v>
      </c>
      <c r="AB455" s="1">
        <f t="shared" si="624"/>
        <v>0</v>
      </c>
      <c r="AC455" s="1">
        <f t="shared" si="651"/>
        <v>1</v>
      </c>
      <c r="AD455" s="1">
        <f>ROUNDDOWN(I455*(1+IF(F455=3,0.05+方案参数!$Y$15+AA455*0.12,IF(F455=4,方案参数!$BZ$15*方案参数!$AS$15,0)))+IF(AND(X455=1,F455&lt;&gt;3),方案参数!$CC$15,0)+AC455*方案参数!$CB$15,0)</f>
        <v>3411</v>
      </c>
      <c r="AE455" s="1">
        <f>IF(OR(F455=1,F455=4),配置与结果!$B$24,配置与结果!$B$25)*MAX(0,1-INDEX(配置与结果!$I$15:$I$18,F455))</f>
        <v>1200</v>
      </c>
      <c r="AF455" s="1">
        <f>3.6*IF(H455=1,1,IF(H455=2,1.5,2.5))</f>
        <v>3.6</v>
      </c>
      <c r="AG455" s="1">
        <f>MAX(配置与结果!$B$32,1+INDEX(配置与结果!$F$15:$F$18,F455)+0.08+Q455*方案参数!$W$15+Y455*(方案参数!$AN$15+MIN(方案参数!$AO$15,P455*0.03))+AB455*方案参数!$BZ$15*0.025+0.1+IF(方案参数!$BZ$15&gt;=30,方案参数!$BZ$15*0.01,0)-配置与结果!$B$28)</f>
        <v>1.5550000000000002</v>
      </c>
      <c r="AH455" s="1">
        <f>MAX(0,1+INDEX(配置与结果!$G$15:$G$18,F455)+W455*方案参数!$AG$15)</f>
        <v>1.3</v>
      </c>
      <c r="AI455" s="1">
        <f>IF(OR(INDEX(配置与结果!$K$15:$K$18,F455)=1,G455="RHI_BERRY"),1+配置与结果!$B$33+P455*方案参数!$AH$15,1)</f>
        <v>1</v>
      </c>
      <c r="AJ455" s="1">
        <f>MIN(1,MAX(0,J455+方案参数!$AB$15-配置与结果!$B$27))</f>
        <v>0.96699999999999997</v>
      </c>
      <c r="AK455" s="1">
        <f>MAX(1,K455+IF(F455=2,0.15+方案参数!$CH$15,0)+BN455*方案参数!$X$15+R455*方案参数!$AA$15+0-配置与结果!$B$26+Z455*(方案参数!$AP$15+MIN(方案参数!$AQ$15,P455*0.03)))</f>
        <v>1.8169999999999999</v>
      </c>
      <c r="AL455" s="7">
        <f>ROUNDDOWN(MAX(AD455*配置与结果!$B$31,AD455-AE455)*AF455*AG455*AH455*AI455,0)</f>
        <v>16090</v>
      </c>
      <c r="AM455" s="7">
        <f>ROUNDDOWN(MAX(AD455*配置与结果!$B$31,AD455-AE455)*AF455*AG455*AH455*AI455*AK455,0)</f>
        <v>29236</v>
      </c>
      <c r="AN455" s="7">
        <f t="shared" si="652"/>
        <v>28802.182000000001</v>
      </c>
      <c r="AO455" s="7">
        <f>0</f>
        <v>0</v>
      </c>
      <c r="AP455" s="7">
        <f>MAX(0,1+INDEX(配置与结果!$J$15:$J$18,F455)+IF(T455&gt;0,方案参数!$BY$15,0)-配置与结果!$B$30)</f>
        <v>3</v>
      </c>
      <c r="AQ455" s="7">
        <f t="shared" si="653"/>
        <v>0</v>
      </c>
      <c r="AR455" s="7">
        <f t="shared" si="654"/>
        <v>0</v>
      </c>
      <c r="AS455" s="7">
        <f t="shared" si="655"/>
        <v>0</v>
      </c>
      <c r="AT455" s="7">
        <f>0</f>
        <v>0</v>
      </c>
      <c r="AU455" s="7">
        <f t="shared" si="656"/>
        <v>28802.182000000001</v>
      </c>
      <c r="AV455" s="1">
        <f t="shared" si="657"/>
        <v>2</v>
      </c>
      <c r="AW455" s="1">
        <f t="shared" si="639"/>
        <v>10</v>
      </c>
      <c r="AX455" s="1">
        <f t="shared" si="658"/>
        <v>2</v>
      </c>
      <c r="AY455" s="1">
        <f t="shared" si="633"/>
        <v>6</v>
      </c>
      <c r="AZ455" s="1">
        <f t="shared" si="659"/>
        <v>5</v>
      </c>
      <c r="BA455" s="1">
        <f t="shared" si="647"/>
        <v>5</v>
      </c>
      <c r="BB455" s="1">
        <f>MIN(30,R455+0)</f>
        <v>10</v>
      </c>
      <c r="BC455" s="1">
        <f>MIN(3,S455+1)</f>
        <v>3</v>
      </c>
      <c r="BD455" s="1">
        <f t="shared" si="634"/>
        <v>2</v>
      </c>
      <c r="BE455" s="1">
        <f t="shared" si="627"/>
        <v>0</v>
      </c>
      <c r="BF455" s="1">
        <f>MIN(4,V455+0)</f>
        <v>3</v>
      </c>
      <c r="BG455" s="1">
        <f t="shared" si="644"/>
        <v>1</v>
      </c>
      <c r="BH455" s="1">
        <f t="shared" si="628"/>
        <v>1</v>
      </c>
      <c r="BI455" s="1">
        <f t="shared" si="645"/>
        <v>1</v>
      </c>
      <c r="BJ455" s="1">
        <f t="shared" si="648"/>
        <v>1</v>
      </c>
      <c r="BK455" s="1">
        <f t="shared" si="649"/>
        <v>1</v>
      </c>
      <c r="BL455" s="1">
        <f t="shared" si="608"/>
        <v>0</v>
      </c>
      <c r="BM455" s="1">
        <f t="shared" si="660"/>
        <v>1</v>
      </c>
      <c r="BN455" s="1">
        <f t="shared" si="629"/>
        <v>1</v>
      </c>
      <c r="BO455" s="1">
        <f t="shared" si="630"/>
        <v>1</v>
      </c>
    </row>
    <row r="456" spans="1:67" ht="30.95" customHeight="1">
      <c r="A456" s="1">
        <f>12</f>
        <v>12</v>
      </c>
      <c r="B456" s="1">
        <f>固定流程!A24</f>
        <v>19</v>
      </c>
      <c r="C456" s="1">
        <f>15</f>
        <v>15</v>
      </c>
      <c r="D456" s="1">
        <f>1</f>
        <v>1</v>
      </c>
      <c r="E456" s="1">
        <f>固定流程!C24</f>
        <v>3</v>
      </c>
      <c r="F456" s="1">
        <f>固定流程!G24</f>
        <v>4</v>
      </c>
      <c r="G456" s="1" t="str">
        <f>固定流程!H24</f>
        <v>J_ULT</v>
      </c>
      <c r="H456" s="1">
        <f>固定流程!F24</f>
        <v>1</v>
      </c>
      <c r="I456" s="1">
        <f>INDEX(配置与结果!$B$15:$B$18,F456)</f>
        <v>1906</v>
      </c>
      <c r="J456" s="1">
        <f>INDEX(配置与结果!$D$15:$D$18,F456)</f>
        <v>0.36699999999999999</v>
      </c>
      <c r="K456" s="1">
        <f>INDEX(配置与结果!$E$15:$E$18,F456)</f>
        <v>1.7170000000000001</v>
      </c>
      <c r="L456" s="1">
        <f t="shared" si="641"/>
        <v>2</v>
      </c>
      <c r="M456" s="1">
        <f t="shared" si="642"/>
        <v>10</v>
      </c>
      <c r="N456" s="1">
        <f t="shared" si="643"/>
        <v>2</v>
      </c>
      <c r="O456" s="1">
        <f t="shared" si="635"/>
        <v>6</v>
      </c>
      <c r="P456" s="1">
        <f>MIN(方案参数!$AI$15,AZ455+0+0)</f>
        <v>5</v>
      </c>
      <c r="Q456" s="1">
        <f t="shared" si="613"/>
        <v>5</v>
      </c>
      <c r="R456" s="1">
        <f t="shared" si="614"/>
        <v>10</v>
      </c>
      <c r="S456" s="1">
        <f t="shared" si="615"/>
        <v>3</v>
      </c>
      <c r="T456" s="1">
        <f t="shared" si="650"/>
        <v>2</v>
      </c>
      <c r="U456" s="1">
        <f t="shared" si="617"/>
        <v>0</v>
      </c>
      <c r="V456" s="1">
        <f t="shared" si="618"/>
        <v>3</v>
      </c>
      <c r="W456" s="1">
        <f t="shared" si="619"/>
        <v>1</v>
      </c>
      <c r="X456" s="1">
        <f t="shared" si="620"/>
        <v>1</v>
      </c>
      <c r="Y456" s="1">
        <f t="shared" si="621"/>
        <v>1</v>
      </c>
      <c r="Z456" s="1">
        <f t="shared" si="622"/>
        <v>1</v>
      </c>
      <c r="AA456" s="1">
        <f t="shared" si="646"/>
        <v>1</v>
      </c>
      <c r="AB456" s="1">
        <f t="shared" si="624"/>
        <v>0</v>
      </c>
      <c r="AC456" s="1">
        <f t="shared" si="651"/>
        <v>1</v>
      </c>
      <c r="AD456" s="1">
        <f>ROUNDDOWN(I456*(1+IF(F456=3,0.05+方案参数!$Y$15+AA456*0.12,IF(F456=4,方案参数!$BZ$15*方案参数!$AS$15,0)))+IF(AND(X456=1,F456&lt;&gt;3),方案参数!$CC$15,0)+AC456*方案参数!$CB$15,0)</f>
        <v>3411</v>
      </c>
      <c r="AE456" s="1">
        <f>IF(OR(F456=1,F456=4),配置与结果!$B$24,配置与结果!$B$25)*MAX(0,1-INDEX(配置与结果!$I$15:$I$18,F456))</f>
        <v>1200</v>
      </c>
      <c r="AF456" s="1">
        <f>方案参数!$AT$15+MAX(0,配置与结果!$H$26+方案参数!$BZ$15-30)*方案参数!$AU$15*配置与结果!$H$27</f>
        <v>42</v>
      </c>
      <c r="AG456" s="1">
        <f>MAX(配置与结果!$B$32,1+INDEX(配置与结果!$F$15:$F$18,F456)+0.08+Q456*方案参数!$W$15+Y456*(方案参数!$AN$15+MIN(方案参数!$AO$15,P456*0.03))+AB456*方案参数!$BZ$15*0.025-配置与结果!$B$28)</f>
        <v>1.105</v>
      </c>
      <c r="AH456" s="1">
        <f>MAX(0,1+INDEX(配置与结果!$H$15:$H$18,F456)+W456*方案参数!$AG$15+S456*方案参数!$Z$15)</f>
        <v>1.42</v>
      </c>
      <c r="AI456" s="1">
        <f>IF(OR(INDEX(配置与结果!$K$15:$K$18,F456)=1,G456="RHI_BERRY"),1+配置与结果!$B$33+P456*方案参数!$AH$15,1)</f>
        <v>1</v>
      </c>
      <c r="AJ456" s="1">
        <f>MIN(1,MAX(0,J456+方案参数!$AB$15-配置与结果!$B$27))</f>
        <v>0.96699999999999997</v>
      </c>
      <c r="AK456" s="1">
        <f>MAX(1,K456+IF(F456=2,0.15+方案参数!$CH$15,0)+BN456*方案参数!$X$15+R456*方案参数!$AA$15+0-配置与结果!$B$26+Z456*(方案参数!$AP$15+MIN(方案参数!$AQ$15,P456*0.03)))</f>
        <v>1.8169999999999999</v>
      </c>
      <c r="AL456" s="7">
        <f>ROUNDDOWN(MAX(AD456*配置与结果!$B$31,AD456-AE456)*AF456*AG456*AH456*AI456,0)</f>
        <v>145709</v>
      </c>
      <c r="AM456" s="7">
        <f>ROUNDDOWN(MAX(AD456*配置与结果!$B$31,AD456-AE456)*AF456*AG456*AH456*AI456*AK456,0)</f>
        <v>264754</v>
      </c>
      <c r="AN456" s="7">
        <f t="shared" si="652"/>
        <v>260825.51499999998</v>
      </c>
      <c r="AO456" s="7">
        <f>0</f>
        <v>0</v>
      </c>
      <c r="AP456" s="7">
        <f>MAX(0,1+INDEX(配置与结果!$J$15:$J$18,F456)+IF(T456&gt;0,方案参数!$BY$15,0)-配置与结果!$B$30)</f>
        <v>3</v>
      </c>
      <c r="AQ456" s="7">
        <f t="shared" si="653"/>
        <v>0</v>
      </c>
      <c r="AR456" s="7">
        <f t="shared" si="654"/>
        <v>0</v>
      </c>
      <c r="AS456" s="7">
        <f t="shared" si="655"/>
        <v>0</v>
      </c>
      <c r="AT456" s="7">
        <f>0</f>
        <v>0</v>
      </c>
      <c r="AU456" s="7">
        <f t="shared" si="656"/>
        <v>260825.51499999998</v>
      </c>
      <c r="AV456" s="1">
        <f t="shared" si="657"/>
        <v>2</v>
      </c>
      <c r="AW456" s="1">
        <f t="shared" si="639"/>
        <v>10</v>
      </c>
      <c r="AX456" s="1">
        <f t="shared" si="658"/>
        <v>2</v>
      </c>
      <c r="AY456" s="1">
        <f t="shared" si="633"/>
        <v>6</v>
      </c>
      <c r="AZ456" s="1">
        <f t="shared" si="659"/>
        <v>5</v>
      </c>
      <c r="BA456" s="1">
        <f t="shared" si="647"/>
        <v>5</v>
      </c>
      <c r="BB456" s="1">
        <f>MIN(30,R456+5)</f>
        <v>15</v>
      </c>
      <c r="BC456" s="1">
        <f t="shared" ref="BC456:BC479" si="661">MIN(3,S456+0)</f>
        <v>3</v>
      </c>
      <c r="BD456" s="1">
        <f t="shared" si="634"/>
        <v>2</v>
      </c>
      <c r="BE456" s="1">
        <f t="shared" si="627"/>
        <v>0</v>
      </c>
      <c r="BF456" s="1">
        <f>MIN(4,V456+0)</f>
        <v>3</v>
      </c>
      <c r="BG456" s="1">
        <f t="shared" si="644"/>
        <v>1</v>
      </c>
      <c r="BH456" s="1">
        <f t="shared" si="628"/>
        <v>1</v>
      </c>
      <c r="BI456" s="1">
        <f t="shared" si="645"/>
        <v>1</v>
      </c>
      <c r="BJ456" s="1">
        <f t="shared" si="648"/>
        <v>1</v>
      </c>
      <c r="BK456" s="1">
        <f t="shared" si="649"/>
        <v>1</v>
      </c>
      <c r="BL456" s="1">
        <f>MAX(AB456,1)</f>
        <v>1</v>
      </c>
      <c r="BM456" s="1">
        <f t="shared" si="660"/>
        <v>1</v>
      </c>
      <c r="BN456" s="1">
        <f t="shared" si="629"/>
        <v>1</v>
      </c>
      <c r="BO456" s="1">
        <f t="shared" si="630"/>
        <v>1</v>
      </c>
    </row>
    <row r="457" spans="1:67" ht="30.95" customHeight="1">
      <c r="A457" s="1">
        <f>12</f>
        <v>12</v>
      </c>
      <c r="B457" s="1">
        <f>固定流程!A25</f>
        <v>20</v>
      </c>
      <c r="C457" s="1">
        <f>15</f>
        <v>15</v>
      </c>
      <c r="D457" s="1">
        <f>1</f>
        <v>1</v>
      </c>
      <c r="E457" s="1">
        <f>固定流程!C25</f>
        <v>3</v>
      </c>
      <c r="F457" s="1">
        <f>固定流程!G25</f>
        <v>1</v>
      </c>
      <c r="G457" s="1" t="str">
        <f>固定流程!H25</f>
        <v>LILYA_ULT</v>
      </c>
      <c r="H457" s="1">
        <f>固定流程!F25</f>
        <v>1</v>
      </c>
      <c r="I457" s="1">
        <f>INDEX(配置与结果!$B$15:$B$18,F457)</f>
        <v>2296</v>
      </c>
      <c r="J457" s="1">
        <f>INDEX(配置与结果!$D$15:$D$18,F457)</f>
        <v>0.7</v>
      </c>
      <c r="K457" s="1">
        <f>INDEX(配置与结果!$E$15:$E$18,F457)</f>
        <v>2.0249999999999999</v>
      </c>
      <c r="L457" s="1">
        <f t="shared" si="641"/>
        <v>2</v>
      </c>
      <c r="M457" s="1">
        <f t="shared" si="642"/>
        <v>10</v>
      </c>
      <c r="N457" s="1">
        <f t="shared" si="643"/>
        <v>2</v>
      </c>
      <c r="O457" s="1">
        <f t="shared" si="635"/>
        <v>6</v>
      </c>
      <c r="P457" s="1">
        <f>MIN(方案参数!$AI$15,AZ456+0+0)</f>
        <v>5</v>
      </c>
      <c r="Q457" s="1">
        <f t="shared" si="613"/>
        <v>5</v>
      </c>
      <c r="R457" s="1">
        <f t="shared" si="614"/>
        <v>15</v>
      </c>
      <c r="S457" s="1">
        <f t="shared" si="615"/>
        <v>3</v>
      </c>
      <c r="T457" s="1">
        <f t="shared" si="650"/>
        <v>2</v>
      </c>
      <c r="U457" s="1">
        <f t="shared" si="617"/>
        <v>0</v>
      </c>
      <c r="V457" s="1">
        <f t="shared" si="618"/>
        <v>3</v>
      </c>
      <c r="W457" s="1">
        <f t="shared" si="619"/>
        <v>1</v>
      </c>
      <c r="X457" s="1">
        <f t="shared" si="620"/>
        <v>1</v>
      </c>
      <c r="Y457" s="1">
        <f t="shared" si="621"/>
        <v>1</v>
      </c>
      <c r="Z457" s="1">
        <f t="shared" si="622"/>
        <v>1</v>
      </c>
      <c r="AA457" s="1">
        <f t="shared" si="646"/>
        <v>1</v>
      </c>
      <c r="AB457" s="1">
        <f t="shared" si="624"/>
        <v>1</v>
      </c>
      <c r="AC457" s="1">
        <f t="shared" si="651"/>
        <v>1</v>
      </c>
      <c r="AD457" s="1">
        <f>ROUNDDOWN(I457*(1+IF(F457=3,0.05+方案参数!$Y$15+AA457*0.12,IF(F457=4,方案参数!$BZ$15*方案参数!$AS$15,0)))+IF(AND(X457=1,F457&lt;&gt;3),方案参数!$CC$15,0)+AC457*方案参数!$CB$15,0)</f>
        <v>3134</v>
      </c>
      <c r="AE457" s="1">
        <f>IF(OR(F457=1,F457=4),配置与结果!$B$24,配置与结果!$B$25)*MAX(0,1-INDEX(配置与结果!$I$15:$I$18,F457)+IF(O457&gt;=6,方案参数!$BK$15,0))</f>
        <v>1440</v>
      </c>
      <c r="AF457" s="1">
        <f>方案参数!$BG$15+IF(O457&gt;=6,方案参数!$BH$15,0)</f>
        <v>36</v>
      </c>
      <c r="AG457" s="1">
        <f>MAX(配置与结果!$B$32,1+INDEX(配置与结果!$F$15:$F$18,F457)+0.08+方案参数!$CD$15+Q457*方案参数!$W$15+Y457*(方案参数!$AN$15+MIN(方案参数!$AO$15,P457*0.03))+AB457*方案参数!$BZ$15*0.025-配置与结果!$B$28)</f>
        <v>2.2150000000000003</v>
      </c>
      <c r="AH457" s="1">
        <f>MAX(0,1+INDEX(配置与结果!$H$15:$H$18,F457)+W457*方案参数!$AG$15+O457*方案参数!$BF$15+IF(O457&gt;=6,方案参数!$BI$15,0))</f>
        <v>2.4500000000000002</v>
      </c>
      <c r="AI457" s="1">
        <f>IF(OR(INDEX(配置与结果!$K$15:$K$18,F457)=1,G457="RHI_BERRY"),1+配置与结果!$B$33+P457*方案参数!$AH$15,1)</f>
        <v>1</v>
      </c>
      <c r="AJ457" s="1">
        <f>MIN(1,MAX(0,J457+方案参数!$AB$15-配置与结果!$B$27))</f>
        <v>1</v>
      </c>
      <c r="AK457" s="1">
        <f>MAX(1,K457+IF(F457=2,0.15+方案参数!$CH$15,0)+BN457*方案参数!$X$15+R457*方案参数!$AA$15+IF(O457&gt;=6,方案参数!$BJ$15,0)-配置与结果!$B$26+Z457*(方案参数!$AP$15+MIN(方案参数!$AQ$15,P457*0.03)))</f>
        <v>3.145</v>
      </c>
      <c r="AL457" s="7">
        <f>ROUNDDOWN(MAX(AD457*配置与结果!$B$31,AD457-AE457)*AF457*AG457*AH457*AI457,0)</f>
        <v>330944</v>
      </c>
      <c r="AM457" s="7">
        <f>ROUNDDOWN(MAX(AD457*配置与结果!$B$31,AD457-AE457)*AF457*AG457*AH457*AI457*AK457,0)</f>
        <v>1040821</v>
      </c>
      <c r="AN457" s="7">
        <f t="shared" si="652"/>
        <v>1040821</v>
      </c>
      <c r="AO457" s="7">
        <f>0</f>
        <v>0</v>
      </c>
      <c r="AP457" s="7">
        <f>MAX(0,1+INDEX(配置与结果!$J$15:$J$18,F457)+IF(T457&gt;0,方案参数!$BY$15,0)-配置与结果!$B$30)</f>
        <v>3</v>
      </c>
      <c r="AQ457" s="7">
        <f t="shared" si="653"/>
        <v>0</v>
      </c>
      <c r="AR457" s="7">
        <f t="shared" si="654"/>
        <v>0</v>
      </c>
      <c r="AS457" s="7">
        <f t="shared" si="655"/>
        <v>0</v>
      </c>
      <c r="AT457" s="7">
        <f>0</f>
        <v>0</v>
      </c>
      <c r="AU457" s="7">
        <f t="shared" si="656"/>
        <v>1040821</v>
      </c>
      <c r="AV457" s="1">
        <f t="shared" si="657"/>
        <v>2</v>
      </c>
      <c r="AW457" s="1">
        <f t="shared" si="639"/>
        <v>10</v>
      </c>
      <c r="AX457" s="1">
        <f t="shared" si="658"/>
        <v>2</v>
      </c>
      <c r="AY457" s="1">
        <f>MIN(20,MAX(0,O457+0+0-IF(O457&gt;=6,6,0)))</f>
        <v>0</v>
      </c>
      <c r="AZ457" s="1">
        <f t="shared" si="659"/>
        <v>5</v>
      </c>
      <c r="BA457" s="1">
        <f t="shared" si="647"/>
        <v>5</v>
      </c>
      <c r="BB457" s="1">
        <f>MIN(30,R457+5)</f>
        <v>20</v>
      </c>
      <c r="BC457" s="1">
        <f t="shared" si="661"/>
        <v>3</v>
      </c>
      <c r="BD457" s="1">
        <f t="shared" si="634"/>
        <v>2</v>
      </c>
      <c r="BE457" s="1">
        <f t="shared" si="627"/>
        <v>0</v>
      </c>
      <c r="BF457" s="1">
        <f>MIN(4,V457+0)</f>
        <v>3</v>
      </c>
      <c r="BG457" s="1">
        <f t="shared" si="644"/>
        <v>1</v>
      </c>
      <c r="BH457" s="1">
        <f t="shared" si="628"/>
        <v>1</v>
      </c>
      <c r="BI457" s="1">
        <f t="shared" si="645"/>
        <v>1</v>
      </c>
      <c r="BJ457" s="1">
        <f t="shared" si="648"/>
        <v>1</v>
      </c>
      <c r="BK457" s="1">
        <f t="shared" si="649"/>
        <v>1</v>
      </c>
      <c r="BL457" s="1">
        <f t="shared" ref="BL457:BL491" si="662">MAX(AB457,0)</f>
        <v>1</v>
      </c>
      <c r="BM457" s="1">
        <f t="shared" si="660"/>
        <v>1</v>
      </c>
      <c r="BN457" s="1">
        <f t="shared" si="629"/>
        <v>1</v>
      </c>
      <c r="BO457" s="1">
        <f t="shared" si="630"/>
        <v>1</v>
      </c>
    </row>
    <row r="458" spans="1:67" ht="30.95" customHeight="1">
      <c r="A458" s="1">
        <f>12</f>
        <v>12</v>
      </c>
      <c r="B458" s="1">
        <f>固定流程!A26</f>
        <v>21</v>
      </c>
      <c r="C458" s="1">
        <f>15</f>
        <v>15</v>
      </c>
      <c r="D458" s="1">
        <f>1</f>
        <v>1</v>
      </c>
      <c r="E458" s="1">
        <f>固定流程!C26</f>
        <v>3</v>
      </c>
      <c r="F458" s="1">
        <f>固定流程!G26</f>
        <v>1</v>
      </c>
      <c r="G458" s="1" t="str">
        <f>固定流程!H26</f>
        <v>LILYA_DIVE</v>
      </c>
      <c r="H458" s="1">
        <f>固定流程!F26</f>
        <v>3</v>
      </c>
      <c r="I458" s="1">
        <f>INDEX(配置与结果!$B$15:$B$18,F458)</f>
        <v>2296</v>
      </c>
      <c r="J458" s="1">
        <f>INDEX(配置与结果!$D$15:$D$18,F458)</f>
        <v>0.7</v>
      </c>
      <c r="K458" s="1">
        <f>INDEX(配置与结果!$E$15:$E$18,F458)</f>
        <v>2.0249999999999999</v>
      </c>
      <c r="L458" s="1">
        <f t="shared" si="641"/>
        <v>2</v>
      </c>
      <c r="M458" s="1">
        <f t="shared" si="642"/>
        <v>10</v>
      </c>
      <c r="N458" s="1">
        <f t="shared" si="643"/>
        <v>2</v>
      </c>
      <c r="O458" s="1">
        <f t="shared" si="635"/>
        <v>0</v>
      </c>
      <c r="P458" s="1">
        <f>MIN(方案参数!$AI$15,AZ457+0+0)</f>
        <v>5</v>
      </c>
      <c r="Q458" s="1">
        <f t="shared" si="613"/>
        <v>5</v>
      </c>
      <c r="R458" s="1">
        <f t="shared" si="614"/>
        <v>20</v>
      </c>
      <c r="S458" s="1">
        <f t="shared" si="615"/>
        <v>3</v>
      </c>
      <c r="T458" s="1">
        <f t="shared" si="650"/>
        <v>2</v>
      </c>
      <c r="U458" s="1">
        <f t="shared" si="617"/>
        <v>0</v>
      </c>
      <c r="V458" s="1">
        <f t="shared" si="618"/>
        <v>3</v>
      </c>
      <c r="W458" s="1">
        <f t="shared" si="619"/>
        <v>1</v>
      </c>
      <c r="X458" s="1">
        <f t="shared" si="620"/>
        <v>1</v>
      </c>
      <c r="Y458" s="1">
        <f t="shared" si="621"/>
        <v>1</v>
      </c>
      <c r="Z458" s="1">
        <f t="shared" si="622"/>
        <v>1</v>
      </c>
      <c r="AA458" s="1">
        <f t="shared" si="646"/>
        <v>1</v>
      </c>
      <c r="AB458" s="1">
        <f t="shared" si="624"/>
        <v>1</v>
      </c>
      <c r="AC458" s="1">
        <f t="shared" si="651"/>
        <v>1</v>
      </c>
      <c r="AD458" s="1">
        <f>ROUNDDOWN(I458*(1+IF(F458=3,0.05+方案参数!$Y$15+AA458*0.12,IF(F458=4,方案参数!$BZ$15*方案参数!$AS$15,0)))+IF(AND(X458=1,F458&lt;&gt;3),方案参数!$CC$15,0)+AC458*方案参数!$CB$15,0)</f>
        <v>3134</v>
      </c>
      <c r="AE458" s="1">
        <f>IF(OR(F458=1,F458=4),配置与结果!$B$24,配置与结果!$B$25)*MAX(0,1-INDEX(配置与结果!$I$15:$I$18,F458))</f>
        <v>1200</v>
      </c>
      <c r="AF458" s="1">
        <f>(IF(L458=1,方案参数!$AW$15,IF(L458=2,方案参数!$AX$15,0))+方案参数!$AV$15)*H458</f>
        <v>30</v>
      </c>
      <c r="AG458" s="1">
        <f>MAX(配置与结果!$B$32,1+INDEX(配置与结果!$F$15:$F$18,F458)+0.08+方案参数!$CD$15+Q458*方案参数!$W$15+Y458*(方案参数!$AN$15+MIN(方案参数!$AO$15,P458*0.03))+AB458*方案参数!$BZ$15*0.025+IF(L458=1,方案参数!$AY$15+(H458-1)*0.1,IF(L458=2,方案参数!$AZ$15+(H458-1)*0.2,0))-配置与结果!$B$28)</f>
        <v>2.8150000000000004</v>
      </c>
      <c r="AH458" s="1">
        <f>MAX(0,1+INDEX(配置与结果!$G$15:$G$18,F458)+W458*方案参数!$AG$15+IF(L458=1,方案参数!$BA$15,IF(L458=2,方案参数!$BB$15,0))+M458*方案参数!$BC$15)</f>
        <v>3.1</v>
      </c>
      <c r="AI458" s="1">
        <f>IF(OR(INDEX(配置与结果!$K$15:$K$18,F458)=1,G458="RHI_BERRY"),1+配置与结果!$B$33+P458*方案参数!$AH$15,1)</f>
        <v>1</v>
      </c>
      <c r="AJ458" s="1">
        <f>MIN(1,MAX(0,J458+方案参数!$AB$15-配置与结果!$B$27))</f>
        <v>1</v>
      </c>
      <c r="AK458" s="1">
        <f>MAX(1,K458+IF(F458=2,0.15+方案参数!$CH$15,0)+BN458*方案参数!$X$15+R458*方案参数!$AA$15+0-配置与结果!$B$26+Z458*(方案参数!$AP$15+MIN(方案参数!$AQ$15,P458*0.03)))</f>
        <v>2.165</v>
      </c>
      <c r="AL458" s="7">
        <f>ROUNDDOWN(MAX(AD458*配置与结果!$B$31,AD458-AE458)*AF458*AG458*AH458*AI458,0)</f>
        <v>506311</v>
      </c>
      <c r="AM458" s="7">
        <f>ROUNDDOWN(MAX(AD458*配置与结果!$B$31,AD458-AE458)*AF458*AG458*AH458*AI458*AK458,0)</f>
        <v>1096164</v>
      </c>
      <c r="AN458" s="7">
        <f t="shared" si="652"/>
        <v>1096164</v>
      </c>
      <c r="AO458" s="7">
        <f>0</f>
        <v>0</v>
      </c>
      <c r="AP458" s="7">
        <f>MAX(0,1+INDEX(配置与结果!$J$15:$J$18,F458)+IF(T458&gt;0,方案参数!$BY$15,0)-配置与结果!$B$30)</f>
        <v>3</v>
      </c>
      <c r="AQ458" s="7">
        <f t="shared" si="653"/>
        <v>0</v>
      </c>
      <c r="AR458" s="7">
        <f t="shared" si="654"/>
        <v>0</v>
      </c>
      <c r="AS458" s="7">
        <f t="shared" si="655"/>
        <v>0</v>
      </c>
      <c r="AT458" s="7">
        <f>0</f>
        <v>0</v>
      </c>
      <c r="AU458" s="7">
        <f t="shared" si="656"/>
        <v>1096164</v>
      </c>
      <c r="AV458" s="1">
        <f t="shared" si="657"/>
        <v>2</v>
      </c>
      <c r="AW458" s="1">
        <f>MIN(10,M458+0+IF(L458=1,方案参数!$BE$15,0))</f>
        <v>10</v>
      </c>
      <c r="AX458" s="1">
        <f t="shared" si="658"/>
        <v>2</v>
      </c>
      <c r="AY458" s="1">
        <f>MIN(20,MAX(0,O458+0+0-0))</f>
        <v>0</v>
      </c>
      <c r="AZ458" s="1">
        <f t="shared" si="659"/>
        <v>5</v>
      </c>
      <c r="BA458" s="1">
        <f t="shared" si="647"/>
        <v>5</v>
      </c>
      <c r="BB458" s="1">
        <f t="shared" ref="BB458:BB473" si="663">MIN(30,R458+0)</f>
        <v>20</v>
      </c>
      <c r="BC458" s="1">
        <f t="shared" si="661"/>
        <v>3</v>
      </c>
      <c r="BD458" s="1">
        <f t="shared" si="634"/>
        <v>2</v>
      </c>
      <c r="BE458" s="1">
        <f t="shared" si="627"/>
        <v>0</v>
      </c>
      <c r="BF458" s="1">
        <f>MIN(4,V458+0)</f>
        <v>3</v>
      </c>
      <c r="BG458" s="1">
        <f t="shared" si="644"/>
        <v>1</v>
      </c>
      <c r="BH458" s="1">
        <f t="shared" si="628"/>
        <v>1</v>
      </c>
      <c r="BI458" s="1">
        <f t="shared" si="645"/>
        <v>1</v>
      </c>
      <c r="BJ458" s="1">
        <f t="shared" si="648"/>
        <v>1</v>
      </c>
      <c r="BK458" s="1">
        <f t="shared" si="649"/>
        <v>1</v>
      </c>
      <c r="BL458" s="1">
        <f t="shared" si="662"/>
        <v>1</v>
      </c>
      <c r="BM458" s="1">
        <f t="shared" si="660"/>
        <v>1</v>
      </c>
      <c r="BN458" s="1">
        <f t="shared" si="629"/>
        <v>1</v>
      </c>
      <c r="BO458" s="1">
        <f t="shared" si="630"/>
        <v>1</v>
      </c>
    </row>
    <row r="459" spans="1:67" ht="30.95" customHeight="1">
      <c r="A459" s="1">
        <f>12</f>
        <v>12</v>
      </c>
      <c r="B459" s="1">
        <f>固定流程!A27</f>
        <v>22</v>
      </c>
      <c r="C459" s="1">
        <f>15</f>
        <v>15</v>
      </c>
      <c r="D459" s="1">
        <f>1</f>
        <v>1</v>
      </c>
      <c r="E459" s="1">
        <f>固定流程!C27</f>
        <v>3</v>
      </c>
      <c r="F459" s="1">
        <f>固定流程!G27</f>
        <v>3</v>
      </c>
      <c r="G459" s="1" t="str">
        <f>固定流程!H27</f>
        <v>RHI_BERRY</v>
      </c>
      <c r="H459" s="1">
        <f>固定流程!F27</f>
        <v>1</v>
      </c>
      <c r="I459" s="1">
        <f>INDEX(配置与结果!$B$15:$B$18,F459)</f>
        <v>2597</v>
      </c>
      <c r="J459" s="1">
        <f>INDEX(配置与结果!$D$15:$D$18,F459)</f>
        <v>0.255</v>
      </c>
      <c r="K459" s="1">
        <f>INDEX(配置与结果!$E$15:$E$18,F459)</f>
        <v>1.55</v>
      </c>
      <c r="L459" s="1">
        <f t="shared" si="641"/>
        <v>2</v>
      </c>
      <c r="M459" s="1">
        <f t="shared" si="642"/>
        <v>10</v>
      </c>
      <c r="N459" s="1">
        <f t="shared" si="643"/>
        <v>2</v>
      </c>
      <c r="O459" s="1">
        <f t="shared" si="635"/>
        <v>0</v>
      </c>
      <c r="P459" s="1">
        <f>MIN(方案参数!$AI$15,AZ458+0+0)</f>
        <v>5</v>
      </c>
      <c r="Q459" s="1">
        <f t="shared" si="613"/>
        <v>5</v>
      </c>
      <c r="R459" s="1">
        <f t="shared" si="614"/>
        <v>20</v>
      </c>
      <c r="S459" s="1">
        <f t="shared" si="615"/>
        <v>3</v>
      </c>
      <c r="T459" s="1">
        <f t="shared" si="650"/>
        <v>2</v>
      </c>
      <c r="U459" s="1">
        <f t="shared" si="617"/>
        <v>0</v>
      </c>
      <c r="V459" s="1">
        <f t="shared" si="618"/>
        <v>3</v>
      </c>
      <c r="W459" s="1">
        <f t="shared" si="619"/>
        <v>1</v>
      </c>
      <c r="X459" s="1">
        <f t="shared" si="620"/>
        <v>1</v>
      </c>
      <c r="Y459" s="1">
        <f t="shared" si="621"/>
        <v>1</v>
      </c>
      <c r="Z459" s="1">
        <f t="shared" si="622"/>
        <v>1</v>
      </c>
      <c r="AA459" s="1">
        <f t="shared" si="646"/>
        <v>1</v>
      </c>
      <c r="AB459" s="1">
        <f t="shared" si="624"/>
        <v>1</v>
      </c>
      <c r="AC459" s="1">
        <f t="shared" si="651"/>
        <v>1</v>
      </c>
      <c r="AD459" s="1">
        <f>ROUNDDOWN(I459*(1+IF(F459=3,0.05+方案参数!$Y$15+AA459*0.12,IF(F459=4,方案参数!$BZ$15*方案参数!$AS$15,0)))+IF(AND(X459=1,F459&lt;&gt;3),方案参数!$CC$15,0)+AC459*方案参数!$CB$15,0)</f>
        <v>3898</v>
      </c>
      <c r="AE459" s="1">
        <f>IF(OR(F459=1,F459=4),配置与结果!$B$24,配置与结果!$B$25)*MAX(0,1-INDEX(配置与结果!$I$15:$I$18,F459))</f>
        <v>1000</v>
      </c>
      <c r="AF459" s="1">
        <f>方案参数!$CF$15+P459*方案参数!$CG$15</f>
        <v>22.5</v>
      </c>
      <c r="AG459" s="1">
        <f>MAX(配置与结果!$B$32,1+INDEX(配置与结果!$F$15:$F$18,F459)+0+Q459*方案参数!$W$15+Y459*(方案参数!$AN$15+MIN(方案参数!$AO$15,P459*0.03))+AB459*方案参数!$BZ$15*0.025-配置与结果!$B$28)</f>
        <v>1.9100000000000001</v>
      </c>
      <c r="AH459" s="1">
        <f>MAX(0,1+INDEX(配置与结果!$G$15:$G$18,F459)+W459*方案参数!$AG$15)</f>
        <v>1.3</v>
      </c>
      <c r="AI459" s="1">
        <f>IF(OR(INDEX(配置与结果!$K$15:$K$18,F459)=1,G459="RHI_BERRY"),1+配置与结果!$B$33+P459*方案参数!$AH$15,1)</f>
        <v>1.5</v>
      </c>
      <c r="AJ459" s="1">
        <f>MIN(1,MAX(0,J459+方案参数!$AB$15-配置与结果!$B$27))</f>
        <v>0.85499999999999998</v>
      </c>
      <c r="AK459" s="1">
        <f>MAX(1,K459+IF(F459=2,0.15+方案参数!$CH$15,0)+BN459*方案参数!$X$15+R459*方案参数!$AA$15+0-配置与结果!$B$26+Z459*(方案参数!$AP$15+MIN(方案参数!$AQ$15,P459*0.03)))</f>
        <v>1.6900000000000002</v>
      </c>
      <c r="AL459" s="7">
        <f>ROUNDDOWN(MAX(AD459*配置与结果!$B$31,AD459-AE459)*AF459*AG459*AH459*AI459,0)</f>
        <v>242856</v>
      </c>
      <c r="AM459" s="7">
        <f>ROUNDDOWN(MAX(AD459*配置与结果!$B$31,AD459-AE459)*AF459*AG459*AH459*AI459*AK459,0)</f>
        <v>410426</v>
      </c>
      <c r="AN459" s="7">
        <f t="shared" si="652"/>
        <v>386128.35</v>
      </c>
      <c r="AO459" s="7">
        <f>0</f>
        <v>0</v>
      </c>
      <c r="AP459" s="7">
        <f>MAX(0,1+INDEX(配置与结果!$J$15:$J$18,F459)+IF(T459&gt;0,方案参数!$BY$15,0)-配置与结果!$B$30)</f>
        <v>3</v>
      </c>
      <c r="AQ459" s="7">
        <f t="shared" si="653"/>
        <v>0</v>
      </c>
      <c r="AR459" s="7">
        <f t="shared" si="654"/>
        <v>0</v>
      </c>
      <c r="AS459" s="7">
        <f t="shared" si="655"/>
        <v>0</v>
      </c>
      <c r="AT459" s="7">
        <f>0</f>
        <v>0</v>
      </c>
      <c r="AU459" s="7">
        <f t="shared" si="656"/>
        <v>386128.35</v>
      </c>
      <c r="AV459" s="1">
        <f t="shared" si="657"/>
        <v>2</v>
      </c>
      <c r="AW459" s="1">
        <f t="shared" ref="AW459:AW475" si="664">MIN(10,M459+0+0)</f>
        <v>10</v>
      </c>
      <c r="AX459" s="1">
        <f t="shared" si="658"/>
        <v>2</v>
      </c>
      <c r="AY459" s="1">
        <f>MIN(20,MAX(0,O459+0+0-0))</f>
        <v>0</v>
      </c>
      <c r="AZ459" s="1">
        <f t="shared" si="659"/>
        <v>5</v>
      </c>
      <c r="BA459" s="1">
        <f t="shared" si="647"/>
        <v>5</v>
      </c>
      <c r="BB459" s="1">
        <f t="shared" si="663"/>
        <v>20</v>
      </c>
      <c r="BC459" s="1">
        <f t="shared" si="661"/>
        <v>3</v>
      </c>
      <c r="BD459" s="1">
        <f t="shared" si="634"/>
        <v>2</v>
      </c>
      <c r="BE459" s="1">
        <f t="shared" si="627"/>
        <v>0</v>
      </c>
      <c r="BF459" s="1">
        <f>MIN(4,V459+0)</f>
        <v>3</v>
      </c>
      <c r="BG459" s="1">
        <f t="shared" si="644"/>
        <v>1</v>
      </c>
      <c r="BH459" s="1">
        <f t="shared" si="628"/>
        <v>1</v>
      </c>
      <c r="BI459" s="1">
        <f t="shared" si="645"/>
        <v>1</v>
      </c>
      <c r="BJ459" s="1">
        <f t="shared" si="648"/>
        <v>1</v>
      </c>
      <c r="BK459" s="1">
        <f t="shared" si="649"/>
        <v>1</v>
      </c>
      <c r="BL459" s="1">
        <f t="shared" si="662"/>
        <v>1</v>
      </c>
      <c r="BM459" s="1">
        <f t="shared" si="660"/>
        <v>1</v>
      </c>
      <c r="BN459" s="1">
        <f t="shared" si="629"/>
        <v>1</v>
      </c>
      <c r="BO459" s="1">
        <f t="shared" si="630"/>
        <v>1</v>
      </c>
    </row>
    <row r="460" spans="1:67" ht="30.95" customHeight="1">
      <c r="A460" s="1">
        <f>12</f>
        <v>12</v>
      </c>
      <c r="B460" s="1">
        <f>固定流程!A28</f>
        <v>23</v>
      </c>
      <c r="C460" s="1">
        <f>15</f>
        <v>15</v>
      </c>
      <c r="D460" s="1">
        <f>1</f>
        <v>1</v>
      </c>
      <c r="E460" s="1">
        <f>固定流程!C28</f>
        <v>3</v>
      </c>
      <c r="F460" s="1">
        <f>固定流程!G28</f>
        <v>2</v>
      </c>
      <c r="G460" s="1" t="str">
        <f>固定流程!H28</f>
        <v>37_FOLLOW</v>
      </c>
      <c r="H460" s="1">
        <f>固定流程!F28</f>
        <v>1</v>
      </c>
      <c r="I460" s="1">
        <f>INDEX(配置与结果!$B$15:$B$18,F460)</f>
        <v>2306</v>
      </c>
      <c r="J460" s="1">
        <f>INDEX(配置与结果!$D$15:$D$18,F460)</f>
        <v>0.46</v>
      </c>
      <c r="K460" s="1">
        <f>INDEX(配置与结果!$E$15:$E$18,F460)</f>
        <v>1.9279999999999999</v>
      </c>
      <c r="L460" s="1">
        <f t="shared" si="641"/>
        <v>2</v>
      </c>
      <c r="M460" s="1">
        <f t="shared" si="642"/>
        <v>10</v>
      </c>
      <c r="N460" s="1">
        <f t="shared" si="643"/>
        <v>2</v>
      </c>
      <c r="O460" s="1">
        <f t="shared" si="635"/>
        <v>0</v>
      </c>
      <c r="P460" s="1">
        <f>MIN(方案参数!$AI$15,AZ459+0+0)</f>
        <v>5</v>
      </c>
      <c r="Q460" s="1">
        <f t="shared" si="613"/>
        <v>5</v>
      </c>
      <c r="R460" s="1">
        <f t="shared" si="614"/>
        <v>20</v>
      </c>
      <c r="S460" s="1">
        <f t="shared" si="615"/>
        <v>3</v>
      </c>
      <c r="T460" s="1">
        <f t="shared" si="650"/>
        <v>2</v>
      </c>
      <c r="U460" s="1">
        <f t="shared" si="617"/>
        <v>0</v>
      </c>
      <c r="V460" s="1">
        <f t="shared" si="618"/>
        <v>3</v>
      </c>
      <c r="W460" s="1">
        <f t="shared" si="619"/>
        <v>1</v>
      </c>
      <c r="X460" s="1">
        <f t="shared" si="620"/>
        <v>1</v>
      </c>
      <c r="Y460" s="1">
        <f t="shared" si="621"/>
        <v>1</v>
      </c>
      <c r="Z460" s="1">
        <f t="shared" si="622"/>
        <v>1</v>
      </c>
      <c r="AA460" s="1">
        <f t="shared" si="646"/>
        <v>1</v>
      </c>
      <c r="AB460" s="1">
        <f t="shared" si="624"/>
        <v>1</v>
      </c>
      <c r="AC460" s="1">
        <f t="shared" si="651"/>
        <v>1</v>
      </c>
      <c r="AD460" s="1">
        <f>ROUNDDOWN(I460*(1+IF(F460=3,0.05+方案参数!$Y$15+AA460*0.12,IF(F460=4,方案参数!$BZ$15*方案参数!$AS$15,0)))+IF(AND(X460=1,F460&lt;&gt;3),方案参数!$CC$15,0)+AC460*方案参数!$CB$15,0)</f>
        <v>3144</v>
      </c>
      <c r="AE460" s="1">
        <f>IF(OR(F460=1,F460=4),配置与结果!$B$24,配置与结果!$B$25)*MAX(0,1-INDEX(配置与结果!$I$15:$I$18,F460))</f>
        <v>1000</v>
      </c>
      <c r="AF460" s="1">
        <f>方案参数!$BV$15</f>
        <v>6</v>
      </c>
      <c r="AG460" s="1">
        <f>MAX(配置与结果!$B$32,1+INDEX(配置与结果!$F$15:$F$18,F460)+0+Q460*方案参数!$W$15+Y460*(方案参数!$AN$15+MIN(方案参数!$AO$15,P460*0.03))+AB460*方案参数!$BZ$15*0.025-配置与结果!$B$28)</f>
        <v>1.8800000000000003</v>
      </c>
      <c r="AH460" s="1">
        <f>MAX(0,1+INDEX(配置与结果!$G$15:$G$18,F460)+W460*方案参数!$AG$15)</f>
        <v>1.3</v>
      </c>
      <c r="AI460" s="1">
        <f>IF(OR(INDEX(配置与结果!$K$15:$K$18,F460)=1,G460="RHI_BERRY"),1+配置与结果!$B$33+P460*方案参数!$AH$15,1)</f>
        <v>1</v>
      </c>
      <c r="AJ460" s="1">
        <f>MIN(1,MAX(0,J460+方案参数!$AB$15-配置与结果!$B$27))</f>
        <v>1</v>
      </c>
      <c r="AK460" s="1">
        <f>MAX(1,K460+IF(F460=2,0.15+方案参数!$CH$15,0)+BN460*方案参数!$X$15+R460*方案参数!$AA$15+0-配置与结果!$B$26+Z460*(方案参数!$AP$15+MIN(方案参数!$AQ$15,P460*0.03)))</f>
        <v>2.3380000000000001</v>
      </c>
      <c r="AL460" s="7">
        <f>ROUNDDOWN(MAX(AD460*配置与结果!$B$31,AD460-AE460)*AF460*AG460*AH460*AI460,0)</f>
        <v>31439</v>
      </c>
      <c r="AM460" s="7">
        <f>ROUNDDOWN(MAX(AD460*配置与结果!$B$31,AD460-AE460)*AF460*AG460*AH460*AI460*AK460,0)</f>
        <v>73505</v>
      </c>
      <c r="AN460" s="7">
        <f t="shared" si="652"/>
        <v>73505</v>
      </c>
      <c r="AO460" s="7">
        <f>方案参数!$BW$15</f>
        <v>2</v>
      </c>
      <c r="AP460" s="7">
        <f>MAX(0,1+INDEX(配置与结果!$J$15:$J$18,F460)+IF(T460&gt;0,方案参数!$BY$15,0)-配置与结果!$B$30)</f>
        <v>3</v>
      </c>
      <c r="AQ460" s="7">
        <f t="shared" si="653"/>
        <v>18864</v>
      </c>
      <c r="AR460" s="7">
        <f t="shared" si="654"/>
        <v>44104</v>
      </c>
      <c r="AS460" s="7">
        <f t="shared" si="655"/>
        <v>44104</v>
      </c>
      <c r="AT460" s="7">
        <f>0</f>
        <v>0</v>
      </c>
      <c r="AU460" s="7">
        <f t="shared" si="656"/>
        <v>117609</v>
      </c>
      <c r="AV460" s="1">
        <f t="shared" si="657"/>
        <v>2</v>
      </c>
      <c r="AW460" s="1">
        <f t="shared" si="664"/>
        <v>10</v>
      </c>
      <c r="AX460" s="1">
        <f t="shared" si="658"/>
        <v>2</v>
      </c>
      <c r="AY460" s="1">
        <f>MIN(20,MAX(0,O460+0+0-0))</f>
        <v>0</v>
      </c>
      <c r="AZ460" s="1">
        <f t="shared" si="659"/>
        <v>5</v>
      </c>
      <c r="BA460" s="1">
        <f t="shared" si="647"/>
        <v>5</v>
      </c>
      <c r="BB460" s="1">
        <f t="shared" si="663"/>
        <v>20</v>
      </c>
      <c r="BC460" s="1">
        <f t="shared" si="661"/>
        <v>3</v>
      </c>
      <c r="BD460" s="1">
        <f t="shared" si="634"/>
        <v>1</v>
      </c>
      <c r="BE460" s="1">
        <f t="shared" si="627"/>
        <v>0</v>
      </c>
      <c r="BF460" s="1">
        <f>MIN(4,V460+1)</f>
        <v>4</v>
      </c>
      <c r="BG460" s="1">
        <f t="shared" si="644"/>
        <v>1</v>
      </c>
      <c r="BH460" s="1">
        <f t="shared" si="628"/>
        <v>1</v>
      </c>
      <c r="BI460" s="1">
        <f t="shared" si="645"/>
        <v>1</v>
      </c>
      <c r="BJ460" s="1">
        <f t="shared" si="648"/>
        <v>1</v>
      </c>
      <c r="BK460" s="1">
        <f t="shared" si="649"/>
        <v>1</v>
      </c>
      <c r="BL460" s="1">
        <f t="shared" si="662"/>
        <v>1</v>
      </c>
      <c r="BM460" s="1">
        <f t="shared" si="660"/>
        <v>1</v>
      </c>
      <c r="BN460" s="1">
        <f t="shared" si="629"/>
        <v>1</v>
      </c>
      <c r="BO460" s="1">
        <f t="shared" si="630"/>
        <v>1</v>
      </c>
    </row>
    <row r="461" spans="1:67" ht="30.95" customHeight="1">
      <c r="A461" s="1">
        <f>12</f>
        <v>12</v>
      </c>
      <c r="B461" s="1">
        <f>固定流程!A29</f>
        <v>24</v>
      </c>
      <c r="C461" s="1">
        <f>15</f>
        <v>15</v>
      </c>
      <c r="D461" s="1">
        <f>2</f>
        <v>2</v>
      </c>
      <c r="E461" s="1">
        <f>固定流程!C29</f>
        <v>3</v>
      </c>
      <c r="F461" s="1">
        <f>固定流程!G29</f>
        <v>1</v>
      </c>
      <c r="G461" s="1" t="str">
        <f>固定流程!H29</f>
        <v>LILYA_WEAK</v>
      </c>
      <c r="H461" s="1">
        <f>固定流程!F29</f>
        <v>1</v>
      </c>
      <c r="I461" s="1">
        <f>INDEX(配置与结果!$B$15:$B$18,F461)</f>
        <v>2296</v>
      </c>
      <c r="J461" s="1">
        <f>INDEX(配置与结果!$D$15:$D$18,F461)</f>
        <v>0.7</v>
      </c>
      <c r="K461" s="1">
        <f>INDEX(配置与结果!$E$15:$E$18,F461)</f>
        <v>2.0249999999999999</v>
      </c>
      <c r="L461" s="1">
        <f t="shared" si="641"/>
        <v>2</v>
      </c>
      <c r="M461" s="1">
        <f t="shared" si="642"/>
        <v>10</v>
      </c>
      <c r="N461" s="1">
        <f t="shared" si="643"/>
        <v>2</v>
      </c>
      <c r="O461" s="1">
        <f t="shared" si="635"/>
        <v>0</v>
      </c>
      <c r="P461" s="1">
        <f>MIN(方案参数!$AI$15,AZ460+0+0)</f>
        <v>5</v>
      </c>
      <c r="Q461" s="1">
        <f t="shared" si="613"/>
        <v>5</v>
      </c>
      <c r="R461" s="1">
        <f t="shared" si="614"/>
        <v>20</v>
      </c>
      <c r="S461" s="1">
        <f t="shared" si="615"/>
        <v>3</v>
      </c>
      <c r="T461" s="1">
        <f t="shared" si="650"/>
        <v>1</v>
      </c>
      <c r="U461" s="1">
        <f t="shared" si="617"/>
        <v>0</v>
      </c>
      <c r="V461" s="1">
        <f t="shared" si="618"/>
        <v>4</v>
      </c>
      <c r="W461" s="1">
        <f t="shared" si="619"/>
        <v>1</v>
      </c>
      <c r="X461" s="1">
        <f t="shared" si="620"/>
        <v>1</v>
      </c>
      <c r="Y461" s="1">
        <f t="shared" si="621"/>
        <v>1</v>
      </c>
      <c r="Z461" s="1">
        <f t="shared" si="622"/>
        <v>1</v>
      </c>
      <c r="AA461" s="1">
        <f t="shared" si="646"/>
        <v>1</v>
      </c>
      <c r="AB461" s="1">
        <f t="shared" si="624"/>
        <v>1</v>
      </c>
      <c r="AC461" s="1">
        <f t="shared" si="651"/>
        <v>1</v>
      </c>
      <c r="AD461" s="1">
        <f>ROUNDDOWN(I461*(1+IF(F461=3,0.05+方案参数!$Y$15+AA461*0.12,IF(F461=4,方案参数!$BZ$15*方案参数!$AS$15,0)))+IF(AND(X461=1,F461&lt;&gt;3),方案参数!$CC$15,0)+AC461*方案参数!$CB$15,0)</f>
        <v>3134</v>
      </c>
      <c r="AE461" s="1">
        <f>IF(OR(F461=1,F461=4),配置与结果!$B$24,配置与结果!$B$25)*MAX(0,1-INDEX(配置与结果!$I$15:$I$18,F461))</f>
        <v>1200</v>
      </c>
      <c r="AF461" s="1">
        <f>方案参数!$BL$15</f>
        <v>9</v>
      </c>
      <c r="AG461" s="1">
        <f>MAX(配置与结果!$B$32,1+INDEX(配置与结果!$F$15:$F$18,F461)+0.08+方案参数!$CD$15+Q461*方案参数!$W$15+Y461*(方案参数!$AN$15+MIN(方案参数!$AO$15,P461*0.03))+AB461*方案参数!$BZ$15*0.025-配置与结果!$B$28+方案参数!$AE$15)</f>
        <v>2.915</v>
      </c>
      <c r="AH461" s="1">
        <f>MAX(0,1+V461*方案参数!$U$15+0*方案参数!$V$15+方案参数!$AE$15-配置与结果!$B$29)</f>
        <v>1.8599999999999999</v>
      </c>
      <c r="AI461" s="1">
        <f>IF(OR(INDEX(配置与结果!$K$15:$K$18,F461)=1,G461="RHI_BERRY"),1+配置与结果!$B$33+P461*方案参数!$AH$15,1)</f>
        <v>1</v>
      </c>
      <c r="AJ461" s="1">
        <f>MIN(1,MAX(0,J461+方案参数!$AB$15-配置与结果!$B$27))</f>
        <v>1</v>
      </c>
      <c r="AK461" s="1">
        <f>MAX(1,K461+IF(F461=2,0.15+方案参数!$CH$15,0)+BN461*方案参数!$X$15+R461*方案参数!$AA$15+方案参数!$BP$15-配置与结果!$B$26+Z461*(方案参数!$AP$15+MIN(方案参数!$AQ$15,P461*0.03)))</f>
        <v>2.7650000000000001</v>
      </c>
      <c r="AL461" s="7">
        <f>ROUNDDOWN(MAX(AD461*配置与结果!$B$31,AD461-AE461)*AF461*AG461*AH461*AI461,0)</f>
        <v>94373</v>
      </c>
      <c r="AM461" s="7">
        <f>ROUNDDOWN(MAX(AD461*配置与结果!$B$31,AD461-AE461)*AF461*AG461*AH461*AI461*AK461,0)</f>
        <v>260942</v>
      </c>
      <c r="AN461" s="7">
        <f t="shared" si="652"/>
        <v>260942</v>
      </c>
      <c r="AO461" s="7">
        <f>0</f>
        <v>0</v>
      </c>
      <c r="AP461" s="7">
        <f>MAX(0,1+INDEX(配置与结果!$J$15:$J$18,F461)+IF(T461&gt;0,方案参数!$BY$15,0)-配置与结果!$B$30)</f>
        <v>3</v>
      </c>
      <c r="AQ461" s="7">
        <f t="shared" si="653"/>
        <v>0</v>
      </c>
      <c r="AR461" s="7">
        <f t="shared" si="654"/>
        <v>0</v>
      </c>
      <c r="AS461" s="7">
        <f t="shared" si="655"/>
        <v>0</v>
      </c>
      <c r="AT461" s="7">
        <f>IF(U461&gt;0,ROUNDDOWN(AL461*方案参数!$AF$15,0)*(1-AJ461)+ROUNDDOWN(AM461*方案参数!$AF$15,0)*AJ461,0)</f>
        <v>0</v>
      </c>
      <c r="AU461" s="7">
        <f t="shared" si="656"/>
        <v>260942</v>
      </c>
      <c r="AV461" s="1">
        <f t="shared" si="657"/>
        <v>2</v>
      </c>
      <c r="AW461" s="1">
        <f t="shared" si="664"/>
        <v>10</v>
      </c>
      <c r="AX461" s="1">
        <f t="shared" si="658"/>
        <v>2</v>
      </c>
      <c r="AY461" s="1">
        <f>MIN(20,MAX(0,O461+0+1-0))</f>
        <v>1</v>
      </c>
      <c r="AZ461" s="1">
        <f t="shared" si="659"/>
        <v>5</v>
      </c>
      <c r="BA461" s="1">
        <f t="shared" si="647"/>
        <v>5</v>
      </c>
      <c r="BB461" s="1">
        <f t="shared" si="663"/>
        <v>20</v>
      </c>
      <c r="BC461" s="1">
        <f t="shared" si="661"/>
        <v>3</v>
      </c>
      <c r="BD461" s="1">
        <f t="shared" si="634"/>
        <v>1</v>
      </c>
      <c r="BE461" s="1">
        <f>MAX(0,U461-IF(AF461&gt;0,1,0))+0</f>
        <v>0</v>
      </c>
      <c r="BF461" s="1">
        <f t="shared" ref="BF461:BF478" si="665">MIN(4,V461+0)</f>
        <v>4</v>
      </c>
      <c r="BG461" s="1">
        <f t="shared" si="644"/>
        <v>1</v>
      </c>
      <c r="BH461" s="1">
        <f t="shared" si="628"/>
        <v>1</v>
      </c>
      <c r="BI461" s="1">
        <f t="shared" si="645"/>
        <v>1</v>
      </c>
      <c r="BJ461" s="1">
        <f t="shared" si="648"/>
        <v>1</v>
      </c>
      <c r="BK461" s="1">
        <f t="shared" si="649"/>
        <v>1</v>
      </c>
      <c r="BL461" s="1">
        <f t="shared" si="662"/>
        <v>1</v>
      </c>
      <c r="BM461" s="1">
        <f t="shared" si="660"/>
        <v>1</v>
      </c>
      <c r="BN461" s="1">
        <f t="shared" si="629"/>
        <v>1</v>
      </c>
      <c r="BO461" s="1">
        <f t="shared" si="630"/>
        <v>1</v>
      </c>
    </row>
    <row r="462" spans="1:67" ht="30.95" customHeight="1">
      <c r="A462" s="1">
        <f>12</f>
        <v>12</v>
      </c>
      <c r="B462" s="1">
        <f>固定流程!A30</f>
        <v>25</v>
      </c>
      <c r="C462" s="1">
        <f>15</f>
        <v>15</v>
      </c>
      <c r="D462" s="1">
        <f>2</f>
        <v>2</v>
      </c>
      <c r="E462" s="1">
        <f>固定流程!C30</f>
        <v>3</v>
      </c>
      <c r="F462" s="1">
        <f>固定流程!G30</f>
        <v>1</v>
      </c>
      <c r="G462" s="1" t="str">
        <f>固定流程!H30</f>
        <v>LILYA_WEAK</v>
      </c>
      <c r="H462" s="1">
        <f>固定流程!F30</f>
        <v>1</v>
      </c>
      <c r="I462" s="1">
        <f>INDEX(配置与结果!$B$15:$B$18,F462)</f>
        <v>2296</v>
      </c>
      <c r="J462" s="1">
        <f>INDEX(配置与结果!$D$15:$D$18,F462)</f>
        <v>0.7</v>
      </c>
      <c r="K462" s="1">
        <f>INDEX(配置与结果!$E$15:$E$18,F462)</f>
        <v>2.0249999999999999</v>
      </c>
      <c r="L462" s="1">
        <f t="shared" si="641"/>
        <v>2</v>
      </c>
      <c r="M462" s="1">
        <f t="shared" si="642"/>
        <v>10</v>
      </c>
      <c r="N462" s="1">
        <f t="shared" si="643"/>
        <v>2</v>
      </c>
      <c r="O462" s="1">
        <f t="shared" si="635"/>
        <v>1</v>
      </c>
      <c r="P462" s="1">
        <f>MIN(方案参数!$AI$15,AZ461+0+0)</f>
        <v>5</v>
      </c>
      <c r="Q462" s="1">
        <f t="shared" si="613"/>
        <v>5</v>
      </c>
      <c r="R462" s="1">
        <f t="shared" si="614"/>
        <v>20</v>
      </c>
      <c r="S462" s="1">
        <f t="shared" si="615"/>
        <v>3</v>
      </c>
      <c r="T462" s="1">
        <f t="shared" si="650"/>
        <v>1</v>
      </c>
      <c r="U462" s="1">
        <f t="shared" si="617"/>
        <v>0</v>
      </c>
      <c r="V462" s="1">
        <f t="shared" si="618"/>
        <v>4</v>
      </c>
      <c r="W462" s="1">
        <f t="shared" si="619"/>
        <v>1</v>
      </c>
      <c r="X462" s="1">
        <f t="shared" si="620"/>
        <v>1</v>
      </c>
      <c r="Y462" s="1">
        <f t="shared" si="621"/>
        <v>1</v>
      </c>
      <c r="Z462" s="1">
        <f t="shared" si="622"/>
        <v>1</v>
      </c>
      <c r="AA462" s="1">
        <f t="shared" si="646"/>
        <v>1</v>
      </c>
      <c r="AB462" s="1">
        <f t="shared" si="624"/>
        <v>1</v>
      </c>
      <c r="AC462" s="1">
        <f t="shared" si="651"/>
        <v>1</v>
      </c>
      <c r="AD462" s="1">
        <f>ROUNDDOWN(I462*(1+IF(F462=3,0.05+方案参数!$Y$15+AA462*0.12,IF(F462=4,方案参数!$BZ$15*方案参数!$AS$15,0)))+IF(AND(X462=1,F462&lt;&gt;3),方案参数!$CC$15,0)+AC462*方案参数!$CB$15,0)</f>
        <v>3134</v>
      </c>
      <c r="AE462" s="1">
        <f>IF(OR(F462=1,F462=4),配置与结果!$B$24,配置与结果!$B$25)*MAX(0,1-INDEX(配置与结果!$I$15:$I$18,F462))</f>
        <v>1200</v>
      </c>
      <c r="AF462" s="1">
        <f>方案参数!$BL$15</f>
        <v>9</v>
      </c>
      <c r="AG462" s="1">
        <f>MAX(配置与结果!$B$32,1+INDEX(配置与结果!$F$15:$F$18,F462)+0.08+方案参数!$CD$15+Q462*方案参数!$W$15+Y462*(方案参数!$AN$15+MIN(方案参数!$AO$15,P462*0.03))+AB462*方案参数!$BZ$15*0.025-配置与结果!$B$28+方案参数!$AE$15)</f>
        <v>2.915</v>
      </c>
      <c r="AH462" s="1">
        <f>MAX(0,1+V462*方案参数!$U$15+1*方案参数!$V$15+方案参数!$AE$15-配置与结果!$B$29)</f>
        <v>1.92</v>
      </c>
      <c r="AI462" s="1">
        <f>IF(OR(INDEX(配置与结果!$K$15:$K$18,F462)=1,G462="RHI_BERRY"),1+配置与结果!$B$33+P462*方案参数!$AH$15,1)</f>
        <v>1</v>
      </c>
      <c r="AJ462" s="1">
        <f>MIN(1,MAX(0,J462+方案参数!$AB$15-配置与结果!$B$27))</f>
        <v>1</v>
      </c>
      <c r="AK462" s="1">
        <f>MAX(1,K462+IF(F462=2,0.15+方案参数!$CH$15,0)+BN462*方案参数!$X$15+R462*方案参数!$AA$15+方案参数!$BP$15-配置与结果!$B$26+Z462*(方案参数!$AP$15+MIN(方案参数!$AQ$15,P462*0.03)))</f>
        <v>2.7650000000000001</v>
      </c>
      <c r="AL462" s="7">
        <f>ROUNDDOWN(MAX(AD462*配置与结果!$B$31,AD462-AE462)*AF462*AG462*AH462*AI462,0)</f>
        <v>97417</v>
      </c>
      <c r="AM462" s="7">
        <f>ROUNDDOWN(MAX(AD462*配置与结果!$B$31,AD462-AE462)*AF462*AG462*AH462*AI462*AK462,0)</f>
        <v>269360</v>
      </c>
      <c r="AN462" s="7">
        <f t="shared" si="652"/>
        <v>269360</v>
      </c>
      <c r="AO462" s="7">
        <f>0</f>
        <v>0</v>
      </c>
      <c r="AP462" s="7">
        <f>MAX(0,1+INDEX(配置与结果!$J$15:$J$18,F462)+IF(T462&gt;0,方案参数!$BY$15,0)-配置与结果!$B$30)</f>
        <v>3</v>
      </c>
      <c r="AQ462" s="7">
        <f t="shared" si="653"/>
        <v>0</v>
      </c>
      <c r="AR462" s="7">
        <f t="shared" si="654"/>
        <v>0</v>
      </c>
      <c r="AS462" s="7">
        <f t="shared" si="655"/>
        <v>0</v>
      </c>
      <c r="AT462" s="7">
        <f>IF(U462&gt;0,ROUNDDOWN(AL462*方案参数!$AF$15,0)*(1-AJ462)+ROUNDDOWN(AM462*方案参数!$AF$15,0)*AJ462,0)</f>
        <v>0</v>
      </c>
      <c r="AU462" s="7">
        <f t="shared" si="656"/>
        <v>269360</v>
      </c>
      <c r="AV462" s="1">
        <f t="shared" si="657"/>
        <v>2</v>
      </c>
      <c r="AW462" s="1">
        <f t="shared" si="664"/>
        <v>10</v>
      </c>
      <c r="AX462" s="1">
        <f t="shared" si="658"/>
        <v>2</v>
      </c>
      <c r="AY462" s="1">
        <f>MIN(20,MAX(0,O462+0+1-0))</f>
        <v>2</v>
      </c>
      <c r="AZ462" s="1">
        <f t="shared" si="659"/>
        <v>5</v>
      </c>
      <c r="BA462" s="1">
        <f t="shared" si="647"/>
        <v>5</v>
      </c>
      <c r="BB462" s="1">
        <f t="shared" si="663"/>
        <v>20</v>
      </c>
      <c r="BC462" s="1">
        <f t="shared" si="661"/>
        <v>3</v>
      </c>
      <c r="BD462" s="1">
        <f t="shared" si="634"/>
        <v>1</v>
      </c>
      <c r="BE462" s="1">
        <f>MAX(0,U462-IF(AF462&gt;0,1,0))+0</f>
        <v>0</v>
      </c>
      <c r="BF462" s="1">
        <f t="shared" si="665"/>
        <v>4</v>
      </c>
      <c r="BG462" s="1">
        <f t="shared" si="644"/>
        <v>1</v>
      </c>
      <c r="BH462" s="1">
        <f t="shared" si="628"/>
        <v>1</v>
      </c>
      <c r="BI462" s="1">
        <f t="shared" si="645"/>
        <v>1</v>
      </c>
      <c r="BJ462" s="1">
        <f t="shared" si="648"/>
        <v>1</v>
      </c>
      <c r="BK462" s="1">
        <f t="shared" si="649"/>
        <v>1</v>
      </c>
      <c r="BL462" s="1">
        <f t="shared" si="662"/>
        <v>1</v>
      </c>
      <c r="BM462" s="1">
        <f t="shared" si="660"/>
        <v>1</v>
      </c>
      <c r="BN462" s="1">
        <f t="shared" si="629"/>
        <v>1</v>
      </c>
      <c r="BO462" s="1">
        <f t="shared" si="630"/>
        <v>1</v>
      </c>
    </row>
    <row r="463" spans="1:67" ht="30.95" customHeight="1">
      <c r="A463" s="1">
        <f>12</f>
        <v>12</v>
      </c>
      <c r="B463" s="1">
        <f>固定流程!A31</f>
        <v>26</v>
      </c>
      <c r="C463" s="1">
        <f>15</f>
        <v>15</v>
      </c>
      <c r="D463" s="1">
        <f>2</f>
        <v>2</v>
      </c>
      <c r="E463" s="1">
        <f>固定流程!C31</f>
        <v>3</v>
      </c>
      <c r="F463" s="1">
        <f>固定流程!G31</f>
        <v>2</v>
      </c>
      <c r="G463" s="1" t="str">
        <f>固定流程!H31</f>
        <v>37_WEAK</v>
      </c>
      <c r="H463" s="1">
        <f>固定流程!F31</f>
        <v>1</v>
      </c>
      <c r="I463" s="1">
        <f>INDEX(配置与结果!$B$15:$B$18,F463)</f>
        <v>2306</v>
      </c>
      <c r="J463" s="1">
        <f>INDEX(配置与结果!$D$15:$D$18,F463)</f>
        <v>0.46</v>
      </c>
      <c r="K463" s="1">
        <f>INDEX(配置与结果!$E$15:$E$18,F463)</f>
        <v>1.9279999999999999</v>
      </c>
      <c r="L463" s="1">
        <f t="shared" si="641"/>
        <v>2</v>
      </c>
      <c r="M463" s="1">
        <f t="shared" si="642"/>
        <v>10</v>
      </c>
      <c r="N463" s="1">
        <f t="shared" si="643"/>
        <v>2</v>
      </c>
      <c r="O463" s="1">
        <f t="shared" si="635"/>
        <v>2</v>
      </c>
      <c r="P463" s="1">
        <f>MIN(方案参数!$AI$15,AZ462+0+0)</f>
        <v>5</v>
      </c>
      <c r="Q463" s="1">
        <f t="shared" si="613"/>
        <v>5</v>
      </c>
      <c r="R463" s="1">
        <f t="shared" si="614"/>
        <v>20</v>
      </c>
      <c r="S463" s="1">
        <f t="shared" si="615"/>
        <v>3</v>
      </c>
      <c r="T463" s="1">
        <f t="shared" si="650"/>
        <v>1</v>
      </c>
      <c r="U463" s="1">
        <f t="shared" si="617"/>
        <v>0</v>
      </c>
      <c r="V463" s="1">
        <f t="shared" si="618"/>
        <v>4</v>
      </c>
      <c r="W463" s="1">
        <f t="shared" si="619"/>
        <v>1</v>
      </c>
      <c r="X463" s="1">
        <f t="shared" si="620"/>
        <v>1</v>
      </c>
      <c r="Y463" s="1">
        <f t="shared" si="621"/>
        <v>1</v>
      </c>
      <c r="Z463" s="1">
        <f t="shared" si="622"/>
        <v>1</v>
      </c>
      <c r="AA463" s="1">
        <f t="shared" si="646"/>
        <v>1</v>
      </c>
      <c r="AB463" s="1">
        <f t="shared" si="624"/>
        <v>1</v>
      </c>
      <c r="AC463" s="1">
        <f t="shared" si="651"/>
        <v>1</v>
      </c>
      <c r="AD463" s="1">
        <f>ROUNDDOWN(I463*(1+IF(F463=3,0.05+方案参数!$Y$15+AA463*0.12,IF(F463=4,方案参数!$BZ$15*方案参数!$AS$15,0)))+IF(AND(X463=1,F463&lt;&gt;3),方案参数!$CC$15,0)+AC463*方案参数!$CB$15,0)</f>
        <v>3144</v>
      </c>
      <c r="AE463" s="1">
        <f>IF(OR(F463=1,F463=4),配置与结果!$B$24,配置与结果!$B$25)*MAX(0,1-INDEX(配置与结果!$I$15:$I$18,F463))</f>
        <v>1000</v>
      </c>
      <c r="AF463" s="1">
        <f>方案参数!$CE$15</f>
        <v>9</v>
      </c>
      <c r="AG463" s="1">
        <f>MAX(配置与结果!$B$32,1+INDEX(配置与结果!$F$15:$F$18,F463)+0+Q463*方案参数!$W$15+Y463*(方案参数!$AN$15+MIN(方案参数!$AO$15,P463*0.03))+AB463*方案参数!$BZ$15*0.025-配置与结果!$B$28+方案参数!$AE$15)</f>
        <v>2.58</v>
      </c>
      <c r="AH463" s="1">
        <f>MAX(0,1+V463*方案参数!$U$15+方案参数!$AE$15-配置与结果!$B$29)</f>
        <v>1.8599999999999999</v>
      </c>
      <c r="AI463" s="1">
        <f>IF(OR(INDEX(配置与结果!$K$15:$K$18,F463)=1,G463="RHI_BERRY"),1+配置与结果!$B$33+P463*方案参数!$AH$15,1)</f>
        <v>1</v>
      </c>
      <c r="AJ463" s="1">
        <f>MIN(1,MAX(0,J463+方案参数!$AB$15-配置与结果!$B$27))</f>
        <v>1</v>
      </c>
      <c r="AK463" s="1">
        <f>MAX(1,K463+IF(F463=2,0.15+方案参数!$CH$15,0)+BN463*方案参数!$X$15+R463*方案参数!$AA$15+0-配置与结果!$B$26+Z463*(方案参数!$AP$15+MIN(方案参数!$AQ$15,P463*0.03)))</f>
        <v>2.3380000000000001</v>
      </c>
      <c r="AL463" s="7">
        <f>ROUNDDOWN(MAX(AD463*配置与结果!$B$31,AD463-AE463)*AF463*AG463*AH463*AI463,0)</f>
        <v>92597</v>
      </c>
      <c r="AM463" s="7">
        <f>ROUNDDOWN(MAX(AD463*配置与结果!$B$31,AD463-AE463)*AF463*AG463*AH463*AI463*AK463,0)</f>
        <v>216493</v>
      </c>
      <c r="AN463" s="7">
        <f t="shared" si="652"/>
        <v>216493</v>
      </c>
      <c r="AO463" s="7">
        <f>0</f>
        <v>0</v>
      </c>
      <c r="AP463" s="7">
        <f>MAX(0,1+INDEX(配置与结果!$J$15:$J$18,F463)+IF(T463&gt;0,方案参数!$BY$15,0)-配置与结果!$B$30)</f>
        <v>3</v>
      </c>
      <c r="AQ463" s="7">
        <f t="shared" si="653"/>
        <v>0</v>
      </c>
      <c r="AR463" s="7">
        <f t="shared" si="654"/>
        <v>0</v>
      </c>
      <c r="AS463" s="7">
        <f t="shared" si="655"/>
        <v>0</v>
      </c>
      <c r="AT463" s="7">
        <f>IF(U463&gt;0,ROUNDDOWN(AL463*方案参数!$AF$15,0)*(1-AJ463)+ROUNDDOWN(AM463*方案参数!$AF$15,0)*AJ463,0)</f>
        <v>0</v>
      </c>
      <c r="AU463" s="7">
        <f t="shared" si="656"/>
        <v>216493</v>
      </c>
      <c r="AV463" s="1">
        <f t="shared" si="657"/>
        <v>2</v>
      </c>
      <c r="AW463" s="1">
        <f t="shared" si="664"/>
        <v>10</v>
      </c>
      <c r="AX463" s="1">
        <f t="shared" si="658"/>
        <v>2</v>
      </c>
      <c r="AY463" s="1">
        <f>MIN(20,MAX(0,O463+0+0-0))</f>
        <v>2</v>
      </c>
      <c r="AZ463" s="1">
        <f t="shared" si="659"/>
        <v>5</v>
      </c>
      <c r="BA463" s="1">
        <f t="shared" si="647"/>
        <v>5</v>
      </c>
      <c r="BB463" s="1">
        <f t="shared" si="663"/>
        <v>20</v>
      </c>
      <c r="BC463" s="1">
        <f t="shared" si="661"/>
        <v>3</v>
      </c>
      <c r="BD463" s="1">
        <f t="shared" si="634"/>
        <v>1</v>
      </c>
      <c r="BE463" s="1">
        <f>MAX(0,U463-IF(AF463&gt;0,1,0))+1</f>
        <v>1</v>
      </c>
      <c r="BF463" s="1">
        <f t="shared" si="665"/>
        <v>4</v>
      </c>
      <c r="BG463" s="1">
        <f t="shared" si="644"/>
        <v>1</v>
      </c>
      <c r="BH463" s="1">
        <f t="shared" si="628"/>
        <v>1</v>
      </c>
      <c r="BI463" s="1">
        <f t="shared" si="645"/>
        <v>1</v>
      </c>
      <c r="BJ463" s="1">
        <f t="shared" si="648"/>
        <v>1</v>
      </c>
      <c r="BK463" s="1">
        <f t="shared" si="649"/>
        <v>1</v>
      </c>
      <c r="BL463" s="1">
        <f t="shared" si="662"/>
        <v>1</v>
      </c>
      <c r="BM463" s="1">
        <f t="shared" si="660"/>
        <v>1</v>
      </c>
      <c r="BN463" s="1">
        <f t="shared" si="629"/>
        <v>1</v>
      </c>
      <c r="BO463" s="1">
        <f t="shared" si="630"/>
        <v>1</v>
      </c>
    </row>
    <row r="464" spans="1:67" ht="30.95" customHeight="1">
      <c r="A464" s="1">
        <f>12</f>
        <v>12</v>
      </c>
      <c r="B464" s="1">
        <f>固定流程!A32</f>
        <v>27</v>
      </c>
      <c r="C464" s="1">
        <f>15</f>
        <v>15</v>
      </c>
      <c r="D464" s="1">
        <f>2</f>
        <v>2</v>
      </c>
      <c r="E464" s="1">
        <f>固定流程!C32</f>
        <v>3</v>
      </c>
      <c r="F464" s="1">
        <f>固定流程!G32</f>
        <v>1</v>
      </c>
      <c r="G464" s="1" t="str">
        <f>固定流程!H32</f>
        <v>LILYA_THIRD</v>
      </c>
      <c r="H464" s="1">
        <f>固定流程!F32</f>
        <v>1</v>
      </c>
      <c r="I464" s="1">
        <f>INDEX(配置与结果!$B$15:$B$18,F464)</f>
        <v>2296</v>
      </c>
      <c r="J464" s="1">
        <f>INDEX(配置与结果!$D$15:$D$18,F464)</f>
        <v>0.7</v>
      </c>
      <c r="K464" s="1">
        <f>INDEX(配置与结果!$E$15:$E$18,F464)</f>
        <v>2.0249999999999999</v>
      </c>
      <c r="L464" s="1">
        <f t="shared" si="641"/>
        <v>2</v>
      </c>
      <c r="M464" s="1">
        <f t="shared" si="642"/>
        <v>10</v>
      </c>
      <c r="N464" s="1">
        <f t="shared" si="643"/>
        <v>2</v>
      </c>
      <c r="O464" s="1">
        <f t="shared" si="635"/>
        <v>2</v>
      </c>
      <c r="P464" s="1">
        <f>MIN(方案参数!$AI$15,AZ463+0+0)</f>
        <v>5</v>
      </c>
      <c r="Q464" s="1">
        <f t="shared" si="613"/>
        <v>5</v>
      </c>
      <c r="R464" s="1">
        <f t="shared" si="614"/>
        <v>20</v>
      </c>
      <c r="S464" s="1">
        <f t="shared" si="615"/>
        <v>3</v>
      </c>
      <c r="T464" s="1">
        <f t="shared" si="650"/>
        <v>1</v>
      </c>
      <c r="U464" s="1">
        <f t="shared" si="617"/>
        <v>1</v>
      </c>
      <c r="V464" s="1">
        <f t="shared" si="618"/>
        <v>4</v>
      </c>
      <c r="W464" s="1">
        <f t="shared" si="619"/>
        <v>1</v>
      </c>
      <c r="X464" s="1">
        <f t="shared" si="620"/>
        <v>1</v>
      </c>
      <c r="Y464" s="1">
        <f t="shared" si="621"/>
        <v>1</v>
      </c>
      <c r="Z464" s="1">
        <f t="shared" si="622"/>
        <v>1</v>
      </c>
      <c r="AA464" s="1">
        <f t="shared" si="646"/>
        <v>1</v>
      </c>
      <c r="AB464" s="1">
        <f t="shared" si="624"/>
        <v>1</v>
      </c>
      <c r="AC464" s="1">
        <f t="shared" si="651"/>
        <v>1</v>
      </c>
      <c r="AD464" s="1">
        <f>ROUNDDOWN(I464*(1+IF(F464=3,0.05+方案参数!$Y$15+AA464*0.12,IF(F464=4,方案参数!$BZ$15*方案参数!$AS$15,0)))+IF(AND(X464=1,F464&lt;&gt;3),方案参数!$CC$15,0)+AC464*方案参数!$CB$15,0)</f>
        <v>3134</v>
      </c>
      <c r="AE464" s="1">
        <f>IF(OR(F464=1,F464=4),配置与结果!$B$24,配置与结果!$B$25)*MAX(0,1-INDEX(配置与结果!$I$15:$I$18,F464))</f>
        <v>1200</v>
      </c>
      <c r="AF464" s="1">
        <f>方案参数!$BM$15</f>
        <v>20</v>
      </c>
      <c r="AG464" s="1">
        <f>MAX(配置与结果!$B$32,1+INDEX(配置与结果!$F$15:$F$18,F464)+0.08+方案参数!$CD$15+Q464*方案参数!$W$15+Y464*(方案参数!$AN$15+MIN(方案参数!$AO$15,P464*0.03))+AB464*方案参数!$BZ$15*0.025-配置与结果!$B$28+方案参数!$AE$15)</f>
        <v>2.915</v>
      </c>
      <c r="AH464" s="1">
        <f>MAX(0,1+V464*方案参数!$U$15+3*方案参数!$V$15+方案参数!$AE$15-配置与结果!$B$29)</f>
        <v>2.04</v>
      </c>
      <c r="AI464" s="1">
        <f>IF(OR(INDEX(配置与结果!$K$15:$K$18,F464)=1,G464="RHI_BERRY"),1+配置与结果!$B$33+P464*方案参数!$AH$15,1)</f>
        <v>1</v>
      </c>
      <c r="AJ464" s="1">
        <f>MIN(1,MAX(0,J464+方案参数!$AB$15-配置与结果!$B$27))</f>
        <v>1</v>
      </c>
      <c r="AK464" s="1">
        <f>MAX(1,K464+IF(F464=2,0.15+方案参数!$CH$15,0)+BN464*方案参数!$X$15+R464*方案参数!$AA$15+方案参数!$BQ$15-配置与结果!$B$26+Z464*(方案参数!$AP$15+MIN(方案参数!$AQ$15,P464*0.03)))</f>
        <v>2.9650000000000003</v>
      </c>
      <c r="AL464" s="7">
        <f>ROUNDDOWN(MAX(AD464*配置与结果!$B$31,AD464-AE464)*AF464*AG464*AH464*AI464,0)</f>
        <v>230014</v>
      </c>
      <c r="AM464" s="7">
        <f>ROUNDDOWN(MAX(AD464*配置与结果!$B$31,AD464-AE464)*AF464*AG464*AH464*AI464*AK464,0)</f>
        <v>681992</v>
      </c>
      <c r="AN464" s="7">
        <f t="shared" si="652"/>
        <v>681992</v>
      </c>
      <c r="AO464" s="7">
        <f>0</f>
        <v>0</v>
      </c>
      <c r="AP464" s="7">
        <f>MAX(0,1+INDEX(配置与结果!$J$15:$J$18,F464)+IF(T464&gt;0,方案参数!$BY$15,0)-配置与结果!$B$30)</f>
        <v>3</v>
      </c>
      <c r="AQ464" s="7">
        <f t="shared" si="653"/>
        <v>0</v>
      </c>
      <c r="AR464" s="7">
        <f t="shared" si="654"/>
        <v>0</v>
      </c>
      <c r="AS464" s="7">
        <f t="shared" si="655"/>
        <v>0</v>
      </c>
      <c r="AT464" s="7">
        <f>IF(U464&gt;0,ROUNDDOWN(AL464*方案参数!$AF$15,0)*(1-AJ464)+ROUNDDOWN(AM464*方案参数!$AF$15,0)*AJ464,0)</f>
        <v>409195</v>
      </c>
      <c r="AU464" s="7">
        <f t="shared" si="656"/>
        <v>1091187</v>
      </c>
      <c r="AV464" s="1">
        <f t="shared" si="657"/>
        <v>2</v>
      </c>
      <c r="AW464" s="1">
        <f t="shared" si="664"/>
        <v>10</v>
      </c>
      <c r="AX464" s="1">
        <f t="shared" si="658"/>
        <v>2</v>
      </c>
      <c r="AY464" s="1">
        <f>MIN(20,MAX(0,O464+0+1-0))</f>
        <v>3</v>
      </c>
      <c r="AZ464" s="1">
        <f t="shared" si="659"/>
        <v>5</v>
      </c>
      <c r="BA464" s="1">
        <f t="shared" si="647"/>
        <v>5</v>
      </c>
      <c r="BB464" s="1">
        <f t="shared" si="663"/>
        <v>20</v>
      </c>
      <c r="BC464" s="1">
        <f t="shared" si="661"/>
        <v>3</v>
      </c>
      <c r="BD464" s="1">
        <f t="shared" si="634"/>
        <v>1</v>
      </c>
      <c r="BE464" s="1">
        <f>MAX(0,U464-IF(AF464&gt;0,1,0))+0</f>
        <v>0</v>
      </c>
      <c r="BF464" s="1">
        <f t="shared" si="665"/>
        <v>4</v>
      </c>
      <c r="BG464" s="1">
        <f t="shared" si="644"/>
        <v>1</v>
      </c>
      <c r="BH464" s="1">
        <f t="shared" si="628"/>
        <v>1</v>
      </c>
      <c r="BI464" s="1">
        <f t="shared" si="645"/>
        <v>1</v>
      </c>
      <c r="BJ464" s="1">
        <f t="shared" si="648"/>
        <v>1</v>
      </c>
      <c r="BK464" s="1">
        <f t="shared" si="649"/>
        <v>1</v>
      </c>
      <c r="BL464" s="1">
        <f t="shared" si="662"/>
        <v>1</v>
      </c>
      <c r="BM464" s="1">
        <f t="shared" si="660"/>
        <v>1</v>
      </c>
      <c r="BN464" s="1">
        <f t="shared" si="629"/>
        <v>1</v>
      </c>
      <c r="BO464" s="1">
        <f t="shared" si="630"/>
        <v>1</v>
      </c>
    </row>
    <row r="465" spans="1:67" ht="30.95" customHeight="1">
      <c r="A465" s="1">
        <f>12</f>
        <v>12</v>
      </c>
      <c r="B465" s="1">
        <f>固定流程!A33</f>
        <v>28</v>
      </c>
      <c r="C465" s="1">
        <f>15</f>
        <v>15</v>
      </c>
      <c r="D465" s="1">
        <f>2</f>
        <v>2</v>
      </c>
      <c r="E465" s="1">
        <f>固定流程!C33</f>
        <v>3</v>
      </c>
      <c r="F465" s="1">
        <f>固定流程!G33</f>
        <v>1</v>
      </c>
      <c r="G465" s="1" t="str">
        <f>固定流程!H33</f>
        <v>LILYA_WEAK</v>
      </c>
      <c r="H465" s="1">
        <f>固定流程!F33</f>
        <v>1</v>
      </c>
      <c r="I465" s="1">
        <f>INDEX(配置与结果!$B$15:$B$18,F465)</f>
        <v>2296</v>
      </c>
      <c r="J465" s="1">
        <f>INDEX(配置与结果!$D$15:$D$18,F465)</f>
        <v>0.7</v>
      </c>
      <c r="K465" s="1">
        <f>INDEX(配置与结果!$E$15:$E$18,F465)</f>
        <v>2.0249999999999999</v>
      </c>
      <c r="L465" s="1">
        <f t="shared" si="641"/>
        <v>2</v>
      </c>
      <c r="M465" s="1">
        <f t="shared" si="642"/>
        <v>10</v>
      </c>
      <c r="N465" s="1">
        <f t="shared" si="643"/>
        <v>2</v>
      </c>
      <c r="O465" s="1">
        <f t="shared" si="635"/>
        <v>3</v>
      </c>
      <c r="P465" s="1">
        <f>MIN(方案参数!$AI$15,AZ464+0+0)</f>
        <v>5</v>
      </c>
      <c r="Q465" s="1">
        <f t="shared" si="613"/>
        <v>5</v>
      </c>
      <c r="R465" s="1">
        <f t="shared" si="614"/>
        <v>20</v>
      </c>
      <c r="S465" s="1">
        <f t="shared" si="615"/>
        <v>3</v>
      </c>
      <c r="T465" s="1">
        <f t="shared" si="650"/>
        <v>1</v>
      </c>
      <c r="U465" s="1">
        <f t="shared" si="617"/>
        <v>0</v>
      </c>
      <c r="V465" s="1">
        <f t="shared" si="618"/>
        <v>4</v>
      </c>
      <c r="W465" s="1">
        <f t="shared" si="619"/>
        <v>1</v>
      </c>
      <c r="X465" s="1">
        <f t="shared" si="620"/>
        <v>1</v>
      </c>
      <c r="Y465" s="1">
        <f t="shared" si="621"/>
        <v>1</v>
      </c>
      <c r="Z465" s="1">
        <f t="shared" si="622"/>
        <v>1</v>
      </c>
      <c r="AA465" s="1">
        <f t="shared" si="646"/>
        <v>1</v>
      </c>
      <c r="AB465" s="1">
        <f t="shared" si="624"/>
        <v>1</v>
      </c>
      <c r="AC465" s="1">
        <f t="shared" si="651"/>
        <v>1</v>
      </c>
      <c r="AD465" s="1">
        <f>ROUNDDOWN(I465*(1+IF(F465=3,0.05+方案参数!$Y$15+AA465*0.12,IF(F465=4,方案参数!$BZ$15*方案参数!$AS$15,0)))+IF(AND(X465=1,F465&lt;&gt;3),方案参数!$CC$15,0)+AC465*方案参数!$CB$15,0)</f>
        <v>3134</v>
      </c>
      <c r="AE465" s="1">
        <f>IF(OR(F465=1,F465=4),配置与结果!$B$24,配置与结果!$B$25)*MAX(0,1-INDEX(配置与结果!$I$15:$I$18,F465))</f>
        <v>1200</v>
      </c>
      <c r="AF465" s="1">
        <f>方案参数!$BL$15</f>
        <v>9</v>
      </c>
      <c r="AG465" s="1">
        <f>MAX(配置与结果!$B$32,1+INDEX(配置与结果!$F$15:$F$18,F465)+0.08+方案参数!$CD$15+Q465*方案参数!$W$15+Y465*(方案参数!$AN$15+MIN(方案参数!$AO$15,P465*0.03))+AB465*方案参数!$BZ$15*0.025-配置与结果!$B$28+方案参数!$AE$15)</f>
        <v>2.915</v>
      </c>
      <c r="AH465" s="1">
        <f>MAX(0,1+V465*方案参数!$U$15+4*方案参数!$V$15+方案参数!$AE$15-配置与结果!$B$29)</f>
        <v>2.0999999999999996</v>
      </c>
      <c r="AI465" s="1">
        <f>IF(OR(INDEX(配置与结果!$K$15:$K$18,F465)=1,G465="RHI_BERRY"),1+配置与结果!$B$33+P465*方案参数!$AH$15,1)</f>
        <v>1</v>
      </c>
      <c r="AJ465" s="1">
        <f>MIN(1,MAX(0,J465+方案参数!$AB$15-配置与结果!$B$27))</f>
        <v>1</v>
      </c>
      <c r="AK465" s="1">
        <f>MAX(1,K465+IF(F465=2,0.15+方案参数!$CH$15,0)+BN465*方案参数!$X$15+R465*方案参数!$AA$15+方案参数!$BP$15-配置与结果!$B$26+Z465*(方案参数!$AP$15+MIN(方案参数!$AQ$15,P465*0.03)))</f>
        <v>2.7650000000000001</v>
      </c>
      <c r="AL465" s="7">
        <f>ROUNDDOWN(MAX(AD465*配置与结果!$B$31,AD465-AE465)*AF465*AG465*AH465*AI465,0)</f>
        <v>106550</v>
      </c>
      <c r="AM465" s="7">
        <f>ROUNDDOWN(MAX(AD465*配置与结果!$B$31,AD465-AE465)*AF465*AG465*AH465*AI465*AK465,0)</f>
        <v>294613</v>
      </c>
      <c r="AN465" s="7">
        <f t="shared" si="652"/>
        <v>294613</v>
      </c>
      <c r="AO465" s="7">
        <f>0</f>
        <v>0</v>
      </c>
      <c r="AP465" s="7">
        <f>MAX(0,1+INDEX(配置与结果!$J$15:$J$18,F465)+IF(T465&gt;0,方案参数!$BY$15,0)-配置与结果!$B$30)</f>
        <v>3</v>
      </c>
      <c r="AQ465" s="7">
        <f t="shared" si="653"/>
        <v>0</v>
      </c>
      <c r="AR465" s="7">
        <f t="shared" si="654"/>
        <v>0</v>
      </c>
      <c r="AS465" s="7">
        <f t="shared" si="655"/>
        <v>0</v>
      </c>
      <c r="AT465" s="7">
        <f>IF(U465&gt;0,ROUNDDOWN(AL465*方案参数!$AF$15,0)*(1-AJ465)+ROUNDDOWN(AM465*方案参数!$AF$15,0)*AJ465,0)</f>
        <v>0</v>
      </c>
      <c r="AU465" s="7">
        <f t="shared" si="656"/>
        <v>294613</v>
      </c>
      <c r="AV465" s="1">
        <f t="shared" si="657"/>
        <v>2</v>
      </c>
      <c r="AW465" s="1">
        <f t="shared" si="664"/>
        <v>10</v>
      </c>
      <c r="AX465" s="1">
        <f t="shared" si="658"/>
        <v>2</v>
      </c>
      <c r="AY465" s="1">
        <f>MIN(20,MAX(0,O465+0+1-0))</f>
        <v>4</v>
      </c>
      <c r="AZ465" s="1">
        <f t="shared" si="659"/>
        <v>5</v>
      </c>
      <c r="BA465" s="1">
        <f t="shared" si="647"/>
        <v>5</v>
      </c>
      <c r="BB465" s="1">
        <f t="shared" si="663"/>
        <v>20</v>
      </c>
      <c r="BC465" s="1">
        <f t="shared" si="661"/>
        <v>3</v>
      </c>
      <c r="BD465" s="1">
        <f t="shared" si="634"/>
        <v>1</v>
      </c>
      <c r="BE465" s="1">
        <f>MAX(0,U465-IF(AF465&gt;0,1,0))+0</f>
        <v>0</v>
      </c>
      <c r="BF465" s="1">
        <f t="shared" si="665"/>
        <v>4</v>
      </c>
      <c r="BG465" s="1">
        <f t="shared" si="644"/>
        <v>1</v>
      </c>
      <c r="BH465" s="1">
        <f t="shared" si="628"/>
        <v>1</v>
      </c>
      <c r="BI465" s="1">
        <f t="shared" si="645"/>
        <v>1</v>
      </c>
      <c r="BJ465" s="1">
        <f t="shared" si="648"/>
        <v>1</v>
      </c>
      <c r="BK465" s="1">
        <f t="shared" si="649"/>
        <v>1</v>
      </c>
      <c r="BL465" s="1">
        <f t="shared" si="662"/>
        <v>1</v>
      </c>
      <c r="BM465" s="1">
        <f t="shared" si="660"/>
        <v>1</v>
      </c>
      <c r="BN465" s="1">
        <f t="shared" si="629"/>
        <v>1</v>
      </c>
      <c r="BO465" s="1">
        <f t="shared" si="630"/>
        <v>1</v>
      </c>
    </row>
    <row r="466" spans="1:67" ht="30.95" customHeight="1">
      <c r="A466" s="1">
        <f>12</f>
        <v>12</v>
      </c>
      <c r="B466" s="1">
        <f>固定流程!A34</f>
        <v>29</v>
      </c>
      <c r="C466" s="1">
        <f>15</f>
        <v>15</v>
      </c>
      <c r="D466" s="1">
        <f>2</f>
        <v>2</v>
      </c>
      <c r="E466" s="1">
        <f>固定流程!C34</f>
        <v>3</v>
      </c>
      <c r="F466" s="1">
        <f>固定流程!G34</f>
        <v>1</v>
      </c>
      <c r="G466" s="1" t="str">
        <f>固定流程!H34</f>
        <v>LILYA_WEAK</v>
      </c>
      <c r="H466" s="1">
        <f>固定流程!F34</f>
        <v>1</v>
      </c>
      <c r="I466" s="1">
        <f>INDEX(配置与结果!$B$15:$B$18,F466)</f>
        <v>2296</v>
      </c>
      <c r="J466" s="1">
        <f>INDEX(配置与结果!$D$15:$D$18,F466)</f>
        <v>0.7</v>
      </c>
      <c r="K466" s="1">
        <f>INDEX(配置与结果!$E$15:$E$18,F466)</f>
        <v>2.0249999999999999</v>
      </c>
      <c r="L466" s="1">
        <f t="shared" si="641"/>
        <v>2</v>
      </c>
      <c r="M466" s="1">
        <f t="shared" si="642"/>
        <v>10</v>
      </c>
      <c r="N466" s="1">
        <f t="shared" si="643"/>
        <v>2</v>
      </c>
      <c r="O466" s="1">
        <f t="shared" si="635"/>
        <v>4</v>
      </c>
      <c r="P466" s="1">
        <f>MIN(方案参数!$AI$15,AZ465+0+0)</f>
        <v>5</v>
      </c>
      <c r="Q466" s="1">
        <f t="shared" si="613"/>
        <v>5</v>
      </c>
      <c r="R466" s="1">
        <f t="shared" si="614"/>
        <v>20</v>
      </c>
      <c r="S466" s="1">
        <f t="shared" si="615"/>
        <v>3</v>
      </c>
      <c r="T466" s="1">
        <f t="shared" si="650"/>
        <v>1</v>
      </c>
      <c r="U466" s="1">
        <f t="shared" si="617"/>
        <v>0</v>
      </c>
      <c r="V466" s="1">
        <f t="shared" si="618"/>
        <v>4</v>
      </c>
      <c r="W466" s="1">
        <f t="shared" si="619"/>
        <v>1</v>
      </c>
      <c r="X466" s="1">
        <f t="shared" si="620"/>
        <v>1</v>
      </c>
      <c r="Y466" s="1">
        <f t="shared" si="621"/>
        <v>1</v>
      </c>
      <c r="Z466" s="1">
        <f t="shared" si="622"/>
        <v>1</v>
      </c>
      <c r="AA466" s="1">
        <f t="shared" si="646"/>
        <v>1</v>
      </c>
      <c r="AB466" s="1">
        <f t="shared" si="624"/>
        <v>1</v>
      </c>
      <c r="AC466" s="1">
        <f t="shared" si="651"/>
        <v>1</v>
      </c>
      <c r="AD466" s="1">
        <f>ROUNDDOWN(I466*(1+IF(F466=3,0.05+方案参数!$Y$15+AA466*0.12,IF(F466=4,方案参数!$BZ$15*方案参数!$AS$15,0)))+IF(AND(X466=1,F466&lt;&gt;3),方案参数!$CC$15,0)+AC466*方案参数!$CB$15,0)</f>
        <v>3134</v>
      </c>
      <c r="AE466" s="1">
        <f>IF(OR(F466=1,F466=4),配置与结果!$B$24,配置与结果!$B$25)*MAX(0,1-INDEX(配置与结果!$I$15:$I$18,F466))</f>
        <v>1200</v>
      </c>
      <c r="AF466" s="1">
        <f>方案参数!$BL$15</f>
        <v>9</v>
      </c>
      <c r="AG466" s="1">
        <f>MAX(配置与结果!$B$32,1+INDEX(配置与结果!$F$15:$F$18,F466)+0.08+方案参数!$CD$15+Q466*方案参数!$W$15+Y466*(方案参数!$AN$15+MIN(方案参数!$AO$15,P466*0.03))+AB466*方案参数!$BZ$15*0.025-配置与结果!$B$28+方案参数!$AE$15)</f>
        <v>2.915</v>
      </c>
      <c r="AH466" s="1">
        <f>MAX(0,1+V466*方案参数!$U$15+5*方案参数!$V$15+方案参数!$AE$15-配置与结果!$B$29)</f>
        <v>2.16</v>
      </c>
      <c r="AI466" s="1">
        <f>IF(OR(INDEX(配置与结果!$K$15:$K$18,F466)=1,G466="RHI_BERRY"),1+配置与结果!$B$33+P466*方案参数!$AH$15,1)</f>
        <v>1</v>
      </c>
      <c r="AJ466" s="1">
        <f>MIN(1,MAX(0,J466+方案参数!$AB$15-配置与结果!$B$27))</f>
        <v>1</v>
      </c>
      <c r="AK466" s="1">
        <f>MAX(1,K466+IF(F466=2,0.15+方案参数!$CH$15,0)+BN466*方案参数!$X$15+R466*方案参数!$AA$15+方案参数!$BP$15-配置与结果!$B$26+Z466*(方案参数!$AP$15+MIN(方案参数!$AQ$15,P466*0.03)))</f>
        <v>2.7650000000000001</v>
      </c>
      <c r="AL466" s="7">
        <f>ROUNDDOWN(MAX(AD466*配置与结果!$B$31,AD466-AE466)*AF466*AG466*AH466*AI466,0)</f>
        <v>109595</v>
      </c>
      <c r="AM466" s="7">
        <f>ROUNDDOWN(MAX(AD466*配置与结果!$B$31,AD466-AE466)*AF466*AG466*AH466*AI466*AK466,0)</f>
        <v>303030</v>
      </c>
      <c r="AN466" s="7">
        <f t="shared" si="652"/>
        <v>303030</v>
      </c>
      <c r="AO466" s="7">
        <f>0</f>
        <v>0</v>
      </c>
      <c r="AP466" s="7">
        <f>MAX(0,1+INDEX(配置与结果!$J$15:$J$18,F466)+IF(T466&gt;0,方案参数!$BY$15,0)-配置与结果!$B$30)</f>
        <v>3</v>
      </c>
      <c r="AQ466" s="7">
        <f t="shared" si="653"/>
        <v>0</v>
      </c>
      <c r="AR466" s="7">
        <f t="shared" si="654"/>
        <v>0</v>
      </c>
      <c r="AS466" s="7">
        <f t="shared" si="655"/>
        <v>0</v>
      </c>
      <c r="AT466" s="7">
        <f>IF(U466&gt;0,ROUNDDOWN(AL466*方案参数!$AF$15,0)*(1-AJ466)+ROUNDDOWN(AM466*方案参数!$AF$15,0)*AJ466,0)</f>
        <v>0</v>
      </c>
      <c r="AU466" s="7">
        <f t="shared" si="656"/>
        <v>303030</v>
      </c>
      <c r="AV466" s="1">
        <f t="shared" si="657"/>
        <v>2</v>
      </c>
      <c r="AW466" s="1">
        <f t="shared" si="664"/>
        <v>10</v>
      </c>
      <c r="AX466" s="1">
        <f t="shared" si="658"/>
        <v>2</v>
      </c>
      <c r="AY466" s="1">
        <f>MIN(20,MAX(0,O466+0+1-0))</f>
        <v>5</v>
      </c>
      <c r="AZ466" s="1">
        <f t="shared" si="659"/>
        <v>5</v>
      </c>
      <c r="BA466" s="1">
        <f t="shared" si="647"/>
        <v>5</v>
      </c>
      <c r="BB466" s="1">
        <f t="shared" si="663"/>
        <v>20</v>
      </c>
      <c r="BC466" s="1">
        <f t="shared" si="661"/>
        <v>3</v>
      </c>
      <c r="BD466" s="1">
        <f t="shared" si="634"/>
        <v>1</v>
      </c>
      <c r="BE466" s="1">
        <f>MAX(0,U466-IF(AF466&gt;0,1,0))+0</f>
        <v>0</v>
      </c>
      <c r="BF466" s="1">
        <f t="shared" si="665"/>
        <v>4</v>
      </c>
      <c r="BG466" s="1">
        <f t="shared" si="644"/>
        <v>1</v>
      </c>
      <c r="BH466" s="1">
        <f t="shared" si="628"/>
        <v>1</v>
      </c>
      <c r="BI466" s="1">
        <f t="shared" si="645"/>
        <v>1</v>
      </c>
      <c r="BJ466" s="1">
        <f t="shared" si="648"/>
        <v>1</v>
      </c>
      <c r="BK466" s="1">
        <f t="shared" si="649"/>
        <v>1</v>
      </c>
      <c r="BL466" s="1">
        <f t="shared" si="662"/>
        <v>1</v>
      </c>
      <c r="BM466" s="1">
        <f t="shared" si="660"/>
        <v>1</v>
      </c>
      <c r="BN466" s="1">
        <f t="shared" si="629"/>
        <v>1</v>
      </c>
      <c r="BO466" s="1">
        <f t="shared" si="630"/>
        <v>1</v>
      </c>
    </row>
    <row r="467" spans="1:67" ht="30.95" customHeight="1">
      <c r="A467" s="1">
        <f>12</f>
        <v>12</v>
      </c>
      <c r="B467" s="1">
        <f>固定流程!A35</f>
        <v>30</v>
      </c>
      <c r="C467" s="1">
        <f>15</f>
        <v>15</v>
      </c>
      <c r="D467" s="1">
        <f>2</f>
        <v>2</v>
      </c>
      <c r="E467" s="1">
        <f>固定流程!C35</f>
        <v>3</v>
      </c>
      <c r="F467" s="1">
        <f>固定流程!G35</f>
        <v>2</v>
      </c>
      <c r="G467" s="1" t="str">
        <f>固定流程!H35</f>
        <v>37_WEAK</v>
      </c>
      <c r="H467" s="1">
        <f>固定流程!F35</f>
        <v>1</v>
      </c>
      <c r="I467" s="1">
        <f>INDEX(配置与结果!$B$15:$B$18,F467)</f>
        <v>2306</v>
      </c>
      <c r="J467" s="1">
        <f>INDEX(配置与结果!$D$15:$D$18,F467)</f>
        <v>0.46</v>
      </c>
      <c r="K467" s="1">
        <f>INDEX(配置与结果!$E$15:$E$18,F467)</f>
        <v>1.9279999999999999</v>
      </c>
      <c r="L467" s="1">
        <f t="shared" si="641"/>
        <v>2</v>
      </c>
      <c r="M467" s="1">
        <f t="shared" si="642"/>
        <v>10</v>
      </c>
      <c r="N467" s="1">
        <f t="shared" si="643"/>
        <v>2</v>
      </c>
      <c r="O467" s="1">
        <f t="shared" si="635"/>
        <v>5</v>
      </c>
      <c r="P467" s="1">
        <f>MIN(方案参数!$AI$15,AZ466+0+0)</f>
        <v>5</v>
      </c>
      <c r="Q467" s="1">
        <f t="shared" si="613"/>
        <v>5</v>
      </c>
      <c r="R467" s="1">
        <f t="shared" si="614"/>
        <v>20</v>
      </c>
      <c r="S467" s="1">
        <f t="shared" si="615"/>
        <v>3</v>
      </c>
      <c r="T467" s="1">
        <f t="shared" si="650"/>
        <v>1</v>
      </c>
      <c r="U467" s="1">
        <f t="shared" si="617"/>
        <v>0</v>
      </c>
      <c r="V467" s="1">
        <f t="shared" si="618"/>
        <v>4</v>
      </c>
      <c r="W467" s="1">
        <f t="shared" si="619"/>
        <v>1</v>
      </c>
      <c r="X467" s="1">
        <f t="shared" si="620"/>
        <v>1</v>
      </c>
      <c r="Y467" s="1">
        <f t="shared" si="621"/>
        <v>1</v>
      </c>
      <c r="Z467" s="1">
        <f t="shared" si="622"/>
        <v>1</v>
      </c>
      <c r="AA467" s="1">
        <f t="shared" si="646"/>
        <v>1</v>
      </c>
      <c r="AB467" s="1">
        <f t="shared" si="624"/>
        <v>1</v>
      </c>
      <c r="AC467" s="1">
        <f t="shared" si="651"/>
        <v>1</v>
      </c>
      <c r="AD467" s="1">
        <f>ROUNDDOWN(I467*(1+IF(F467=3,0.05+方案参数!$Y$15+AA467*0.12,IF(F467=4,方案参数!$BZ$15*方案参数!$AS$15,0)))+IF(AND(X467=1,F467&lt;&gt;3),方案参数!$CC$15,0)+AC467*方案参数!$CB$15,0)</f>
        <v>3144</v>
      </c>
      <c r="AE467" s="1">
        <f>IF(OR(F467=1,F467=4),配置与结果!$B$24,配置与结果!$B$25)*MAX(0,1-INDEX(配置与结果!$I$15:$I$18,F467))</f>
        <v>1000</v>
      </c>
      <c r="AF467" s="1">
        <f>方案参数!$CE$15</f>
        <v>9</v>
      </c>
      <c r="AG467" s="1">
        <f>MAX(配置与结果!$B$32,1+INDEX(配置与结果!$F$15:$F$18,F467)+0+Q467*方案参数!$W$15+Y467*(方案参数!$AN$15+MIN(方案参数!$AO$15,P467*0.03))+AB467*方案参数!$BZ$15*0.025-配置与结果!$B$28+方案参数!$AE$15)</f>
        <v>2.58</v>
      </c>
      <c r="AH467" s="1">
        <f>MAX(0,1+V467*方案参数!$U$15+方案参数!$AE$15-配置与结果!$B$29)</f>
        <v>1.8599999999999999</v>
      </c>
      <c r="AI467" s="1">
        <f>IF(OR(INDEX(配置与结果!$K$15:$K$18,F467)=1,G467="RHI_BERRY"),1+配置与结果!$B$33+P467*方案参数!$AH$15,1)</f>
        <v>1</v>
      </c>
      <c r="AJ467" s="1">
        <f>MIN(1,MAX(0,J467+方案参数!$AB$15-配置与结果!$B$27))</f>
        <v>1</v>
      </c>
      <c r="AK467" s="1">
        <f>MAX(1,K467+IF(F467=2,0.15+方案参数!$CH$15,0)+BN467*方案参数!$X$15+R467*方案参数!$AA$15+0-配置与结果!$B$26+Z467*(方案参数!$AP$15+MIN(方案参数!$AQ$15,P467*0.03)))</f>
        <v>2.3380000000000001</v>
      </c>
      <c r="AL467" s="7">
        <f>ROUNDDOWN(MAX(AD467*配置与结果!$B$31,AD467-AE467)*AF467*AG467*AH467*AI467,0)</f>
        <v>92597</v>
      </c>
      <c r="AM467" s="7">
        <f>ROUNDDOWN(MAX(AD467*配置与结果!$B$31,AD467-AE467)*AF467*AG467*AH467*AI467*AK467,0)</f>
        <v>216493</v>
      </c>
      <c r="AN467" s="7">
        <f t="shared" si="652"/>
        <v>216493</v>
      </c>
      <c r="AO467" s="7">
        <f>0</f>
        <v>0</v>
      </c>
      <c r="AP467" s="7">
        <f>MAX(0,1+INDEX(配置与结果!$J$15:$J$18,F467)+IF(T467&gt;0,方案参数!$BY$15,0)-配置与结果!$B$30)</f>
        <v>3</v>
      </c>
      <c r="AQ467" s="7">
        <f t="shared" si="653"/>
        <v>0</v>
      </c>
      <c r="AR467" s="7">
        <f t="shared" si="654"/>
        <v>0</v>
      </c>
      <c r="AS467" s="7">
        <f t="shared" si="655"/>
        <v>0</v>
      </c>
      <c r="AT467" s="7">
        <f>IF(U467&gt;0,ROUNDDOWN(AL467*方案参数!$AF$15,0)*(1-AJ467)+ROUNDDOWN(AM467*方案参数!$AF$15,0)*AJ467,0)</f>
        <v>0</v>
      </c>
      <c r="AU467" s="7">
        <f t="shared" si="656"/>
        <v>216493</v>
      </c>
      <c r="AV467" s="1">
        <f t="shared" si="657"/>
        <v>2</v>
      </c>
      <c r="AW467" s="1">
        <f t="shared" si="664"/>
        <v>10</v>
      </c>
      <c r="AX467" s="1">
        <f t="shared" si="658"/>
        <v>2</v>
      </c>
      <c r="AY467" s="1">
        <f>MIN(20,MAX(0,O467+0+0-0))</f>
        <v>5</v>
      </c>
      <c r="AZ467" s="1">
        <f t="shared" si="659"/>
        <v>5</v>
      </c>
      <c r="BA467" s="1">
        <f t="shared" si="647"/>
        <v>5</v>
      </c>
      <c r="BB467" s="1">
        <f t="shared" si="663"/>
        <v>20</v>
      </c>
      <c r="BC467" s="1">
        <f t="shared" si="661"/>
        <v>3</v>
      </c>
      <c r="BD467" s="1">
        <f t="shared" si="634"/>
        <v>1</v>
      </c>
      <c r="BE467" s="1">
        <f>MAX(0,U467-IF(AF467&gt;0,1,0))+1</f>
        <v>1</v>
      </c>
      <c r="BF467" s="1">
        <f t="shared" si="665"/>
        <v>4</v>
      </c>
      <c r="BG467" s="1">
        <f t="shared" si="644"/>
        <v>1</v>
      </c>
      <c r="BH467" s="1">
        <f t="shared" si="628"/>
        <v>1</v>
      </c>
      <c r="BI467" s="1">
        <f t="shared" si="645"/>
        <v>1</v>
      </c>
      <c r="BJ467" s="1">
        <f t="shared" si="648"/>
        <v>1</v>
      </c>
      <c r="BK467" s="1">
        <f t="shared" si="649"/>
        <v>1</v>
      </c>
      <c r="BL467" s="1">
        <f t="shared" si="662"/>
        <v>1</v>
      </c>
      <c r="BM467" s="1">
        <f t="shared" si="660"/>
        <v>1</v>
      </c>
      <c r="BN467" s="1">
        <f t="shared" si="629"/>
        <v>1</v>
      </c>
      <c r="BO467" s="1">
        <f t="shared" si="630"/>
        <v>1</v>
      </c>
    </row>
    <row r="468" spans="1:67" ht="30.95" customHeight="1">
      <c r="A468" s="1">
        <f>12</f>
        <v>12</v>
      </c>
      <c r="B468" s="1">
        <f>固定流程!A36</f>
        <v>31</v>
      </c>
      <c r="C468" s="1">
        <f>15</f>
        <v>15</v>
      </c>
      <c r="D468" s="1">
        <f>2</f>
        <v>2</v>
      </c>
      <c r="E468" s="1">
        <f>固定流程!C36</f>
        <v>3</v>
      </c>
      <c r="F468" s="1">
        <f>固定流程!G36</f>
        <v>1</v>
      </c>
      <c r="G468" s="1" t="str">
        <f>固定流程!H36</f>
        <v>LILYA_THIRD</v>
      </c>
      <c r="H468" s="1">
        <f>固定流程!F36</f>
        <v>1</v>
      </c>
      <c r="I468" s="1">
        <f>INDEX(配置与结果!$B$15:$B$18,F468)</f>
        <v>2296</v>
      </c>
      <c r="J468" s="1">
        <f>INDEX(配置与结果!$D$15:$D$18,F468)</f>
        <v>0.7</v>
      </c>
      <c r="K468" s="1">
        <f>INDEX(配置与结果!$E$15:$E$18,F468)</f>
        <v>2.0249999999999999</v>
      </c>
      <c r="L468" s="1">
        <f t="shared" si="641"/>
        <v>2</v>
      </c>
      <c r="M468" s="1">
        <f t="shared" si="642"/>
        <v>10</v>
      </c>
      <c r="N468" s="1">
        <f t="shared" si="643"/>
        <v>2</v>
      </c>
      <c r="O468" s="1">
        <f t="shared" si="635"/>
        <v>5</v>
      </c>
      <c r="P468" s="1">
        <f>MIN(方案参数!$AI$15,AZ467+0+0)</f>
        <v>5</v>
      </c>
      <c r="Q468" s="1">
        <f t="shared" si="613"/>
        <v>5</v>
      </c>
      <c r="R468" s="1">
        <f t="shared" si="614"/>
        <v>20</v>
      </c>
      <c r="S468" s="1">
        <f t="shared" si="615"/>
        <v>3</v>
      </c>
      <c r="T468" s="1">
        <f t="shared" si="650"/>
        <v>1</v>
      </c>
      <c r="U468" s="1">
        <f t="shared" si="617"/>
        <v>1</v>
      </c>
      <c r="V468" s="1">
        <f t="shared" si="618"/>
        <v>4</v>
      </c>
      <c r="W468" s="1">
        <f t="shared" si="619"/>
        <v>1</v>
      </c>
      <c r="X468" s="1">
        <f t="shared" si="620"/>
        <v>1</v>
      </c>
      <c r="Y468" s="1">
        <f t="shared" si="621"/>
        <v>1</v>
      </c>
      <c r="Z468" s="1">
        <f t="shared" si="622"/>
        <v>1</v>
      </c>
      <c r="AA468" s="1">
        <f t="shared" si="646"/>
        <v>1</v>
      </c>
      <c r="AB468" s="1">
        <f t="shared" si="624"/>
        <v>1</v>
      </c>
      <c r="AC468" s="1">
        <f t="shared" si="651"/>
        <v>1</v>
      </c>
      <c r="AD468" s="1">
        <f>ROUNDDOWN(I468*(1+IF(F468=3,0.05+方案参数!$Y$15+AA468*0.12,IF(F468=4,方案参数!$BZ$15*方案参数!$AS$15,0)))+IF(AND(X468=1,F468&lt;&gt;3),方案参数!$CC$15,0)+AC468*方案参数!$CB$15,0)</f>
        <v>3134</v>
      </c>
      <c r="AE468" s="1">
        <f>IF(OR(F468=1,F468=4),配置与结果!$B$24,配置与结果!$B$25)*MAX(0,1-INDEX(配置与结果!$I$15:$I$18,F468))</f>
        <v>1200</v>
      </c>
      <c r="AF468" s="1">
        <f>方案参数!$BM$15</f>
        <v>20</v>
      </c>
      <c r="AG468" s="1">
        <f>MAX(配置与结果!$B$32,1+INDEX(配置与结果!$F$15:$F$18,F468)+0.08+方案参数!$CD$15+Q468*方案参数!$W$15+Y468*(方案参数!$AN$15+MIN(方案参数!$AO$15,P468*0.03))+AB468*方案参数!$BZ$15*0.025-配置与结果!$B$28+方案参数!$AE$15)</f>
        <v>2.915</v>
      </c>
      <c r="AH468" s="1">
        <f>MAX(0,1+V468*方案参数!$U$15+7*方案参数!$V$15+方案参数!$AE$15-配置与结果!$B$29)</f>
        <v>2.2799999999999998</v>
      </c>
      <c r="AI468" s="1">
        <f>IF(OR(INDEX(配置与结果!$K$15:$K$18,F468)=1,G468="RHI_BERRY"),1+配置与结果!$B$33+P468*方案参数!$AH$15,1)</f>
        <v>1</v>
      </c>
      <c r="AJ468" s="1">
        <f>MIN(1,MAX(0,J468+方案参数!$AB$15-配置与结果!$B$27))</f>
        <v>1</v>
      </c>
      <c r="AK468" s="1">
        <f>MAX(1,K468+IF(F468=2,0.15+方案参数!$CH$15,0)+BN468*方案参数!$X$15+R468*方案参数!$AA$15+方案参数!$BQ$15-配置与结果!$B$26+Z468*(方案参数!$AP$15+MIN(方案参数!$AQ$15,P468*0.03)))</f>
        <v>2.9650000000000003</v>
      </c>
      <c r="AL468" s="7">
        <f>ROUNDDOWN(MAX(AD468*配置与结果!$B$31,AD468-AE468)*AF468*AG468*AH468*AI468,0)</f>
        <v>257075</v>
      </c>
      <c r="AM468" s="7">
        <f>ROUNDDOWN(MAX(AD468*配置与结果!$B$31,AD468-AE468)*AF468*AG468*AH468*AI468*AK468,0)</f>
        <v>762227</v>
      </c>
      <c r="AN468" s="7">
        <f t="shared" si="652"/>
        <v>762227</v>
      </c>
      <c r="AO468" s="7">
        <f>0</f>
        <v>0</v>
      </c>
      <c r="AP468" s="7">
        <f>MAX(0,1+INDEX(配置与结果!$J$15:$J$18,F468)+IF(T468&gt;0,方案参数!$BY$15,0)-配置与结果!$B$30)</f>
        <v>3</v>
      </c>
      <c r="AQ468" s="7">
        <f t="shared" si="653"/>
        <v>0</v>
      </c>
      <c r="AR468" s="7">
        <f t="shared" si="654"/>
        <v>0</v>
      </c>
      <c r="AS468" s="7">
        <f t="shared" si="655"/>
        <v>0</v>
      </c>
      <c r="AT468" s="7">
        <f>IF(U468&gt;0,ROUNDDOWN(AL468*方案参数!$AF$15,0)*(1-AJ468)+ROUNDDOWN(AM468*方案参数!$AF$15,0)*AJ468,0)</f>
        <v>457336</v>
      </c>
      <c r="AU468" s="7">
        <f t="shared" si="656"/>
        <v>1219563</v>
      </c>
      <c r="AV468" s="1">
        <f t="shared" si="657"/>
        <v>2</v>
      </c>
      <c r="AW468" s="1">
        <f t="shared" si="664"/>
        <v>10</v>
      </c>
      <c r="AX468" s="1">
        <f t="shared" si="658"/>
        <v>2</v>
      </c>
      <c r="AY468" s="1">
        <f>MIN(20,MAX(0,O468+0+1-0))</f>
        <v>6</v>
      </c>
      <c r="AZ468" s="1">
        <f t="shared" si="659"/>
        <v>5</v>
      </c>
      <c r="BA468" s="1">
        <f t="shared" si="647"/>
        <v>5</v>
      </c>
      <c r="BB468" s="1">
        <f t="shared" si="663"/>
        <v>20</v>
      </c>
      <c r="BC468" s="1">
        <f t="shared" si="661"/>
        <v>3</v>
      </c>
      <c r="BD468" s="1">
        <f t="shared" si="634"/>
        <v>1</v>
      </c>
      <c r="BE468" s="1">
        <f>MAX(0,U468-IF(AF468&gt;0,1,0))+0</f>
        <v>0</v>
      </c>
      <c r="BF468" s="1">
        <f t="shared" si="665"/>
        <v>4</v>
      </c>
      <c r="BG468" s="1">
        <f t="shared" si="644"/>
        <v>1</v>
      </c>
      <c r="BH468" s="1">
        <f t="shared" si="628"/>
        <v>1</v>
      </c>
      <c r="BI468" s="1">
        <f t="shared" si="645"/>
        <v>1</v>
      </c>
      <c r="BJ468" s="1">
        <f t="shared" si="648"/>
        <v>1</v>
      </c>
      <c r="BK468" s="1">
        <f t="shared" si="649"/>
        <v>1</v>
      </c>
      <c r="BL468" s="1">
        <f t="shared" si="662"/>
        <v>1</v>
      </c>
      <c r="BM468" s="1">
        <f t="shared" si="660"/>
        <v>1</v>
      </c>
      <c r="BN468" s="1">
        <f t="shared" si="629"/>
        <v>1</v>
      </c>
      <c r="BO468" s="1">
        <f t="shared" si="630"/>
        <v>1</v>
      </c>
    </row>
    <row r="469" spans="1:67" ht="30.95" customHeight="1">
      <c r="A469" s="1">
        <f>12</f>
        <v>12</v>
      </c>
      <c r="B469" s="1">
        <f>固定流程!A37</f>
        <v>32</v>
      </c>
      <c r="C469" s="1">
        <f>15</f>
        <v>15</v>
      </c>
      <c r="D469" s="1">
        <f>2</f>
        <v>2</v>
      </c>
      <c r="E469" s="1">
        <f>固定流程!C37</f>
        <v>3</v>
      </c>
      <c r="F469" s="1">
        <f>固定流程!G37</f>
        <v>1</v>
      </c>
      <c r="G469" s="1" t="str">
        <f>固定流程!H37</f>
        <v>LILYA_WEAK</v>
      </c>
      <c r="H469" s="1">
        <f>固定流程!F37</f>
        <v>1</v>
      </c>
      <c r="I469" s="1">
        <f>INDEX(配置与结果!$B$15:$B$18,F469)</f>
        <v>2296</v>
      </c>
      <c r="J469" s="1">
        <f>INDEX(配置与结果!$D$15:$D$18,F469)</f>
        <v>0.7</v>
      </c>
      <c r="K469" s="1">
        <f>INDEX(配置与结果!$E$15:$E$18,F469)</f>
        <v>2.0249999999999999</v>
      </c>
      <c r="L469" s="1">
        <f t="shared" si="641"/>
        <v>2</v>
      </c>
      <c r="M469" s="1">
        <f t="shared" si="642"/>
        <v>10</v>
      </c>
      <c r="N469" s="1">
        <f t="shared" si="643"/>
        <v>2</v>
      </c>
      <c r="O469" s="1">
        <f t="shared" si="635"/>
        <v>6</v>
      </c>
      <c r="P469" s="1">
        <f>MIN(方案参数!$AI$15,AZ468+0+0)</f>
        <v>5</v>
      </c>
      <c r="Q469" s="1">
        <f t="shared" si="613"/>
        <v>5</v>
      </c>
      <c r="R469" s="1">
        <f t="shared" si="614"/>
        <v>20</v>
      </c>
      <c r="S469" s="1">
        <f t="shared" si="615"/>
        <v>3</v>
      </c>
      <c r="T469" s="1">
        <f t="shared" si="650"/>
        <v>1</v>
      </c>
      <c r="U469" s="1">
        <f t="shared" si="617"/>
        <v>0</v>
      </c>
      <c r="V469" s="1">
        <f t="shared" si="618"/>
        <v>4</v>
      </c>
      <c r="W469" s="1">
        <f t="shared" si="619"/>
        <v>1</v>
      </c>
      <c r="X469" s="1">
        <f t="shared" si="620"/>
        <v>1</v>
      </c>
      <c r="Y469" s="1">
        <f t="shared" si="621"/>
        <v>1</v>
      </c>
      <c r="Z469" s="1">
        <f t="shared" si="622"/>
        <v>1</v>
      </c>
      <c r="AA469" s="1">
        <f t="shared" si="646"/>
        <v>1</v>
      </c>
      <c r="AB469" s="1">
        <f t="shared" si="624"/>
        <v>1</v>
      </c>
      <c r="AC469" s="1">
        <f t="shared" si="651"/>
        <v>1</v>
      </c>
      <c r="AD469" s="1">
        <f>ROUNDDOWN(I469*(1+IF(F469=3,0.05+方案参数!$Y$15+AA469*0.12,IF(F469=4,方案参数!$BZ$15*方案参数!$AS$15,0)))+IF(AND(X469=1,F469&lt;&gt;3),方案参数!$CC$15,0)+AC469*方案参数!$CB$15,0)</f>
        <v>3134</v>
      </c>
      <c r="AE469" s="1">
        <f>IF(OR(F469=1,F469=4),配置与结果!$B$24,配置与结果!$B$25)*MAX(0,1-INDEX(配置与结果!$I$15:$I$18,F469))</f>
        <v>1200</v>
      </c>
      <c r="AF469" s="1">
        <f>方案参数!$BL$15</f>
        <v>9</v>
      </c>
      <c r="AG469" s="1">
        <f>MAX(配置与结果!$B$32,1+INDEX(配置与结果!$F$15:$F$18,F469)+0.08+方案参数!$CD$15+Q469*方案参数!$W$15+Y469*(方案参数!$AN$15+MIN(方案参数!$AO$15,P469*0.03))+AB469*方案参数!$BZ$15*0.025-配置与结果!$B$28+方案参数!$AE$15)</f>
        <v>2.915</v>
      </c>
      <c r="AH469" s="1">
        <f>MAX(0,1+V469*方案参数!$U$15+8*方案参数!$V$15+方案参数!$AE$15-配置与结果!$B$29)</f>
        <v>2.34</v>
      </c>
      <c r="AI469" s="1">
        <f>IF(OR(INDEX(配置与结果!$K$15:$K$18,F469)=1,G469="RHI_BERRY"),1+配置与结果!$B$33+P469*方案参数!$AH$15,1)</f>
        <v>1</v>
      </c>
      <c r="AJ469" s="1">
        <f>MIN(1,MAX(0,J469+方案参数!$AB$15-配置与结果!$B$27))</f>
        <v>1</v>
      </c>
      <c r="AK469" s="1">
        <f>MAX(1,K469+IF(F469=2,0.15+方案参数!$CH$15,0)+BN469*方案参数!$X$15+R469*方案参数!$AA$15+方案参数!$BP$15-配置与结果!$B$26+Z469*(方案参数!$AP$15+MIN(方案参数!$AQ$15,P469*0.03)))</f>
        <v>2.7650000000000001</v>
      </c>
      <c r="AL469" s="7">
        <f>ROUNDDOWN(MAX(AD469*配置与结果!$B$31,AD469-AE469)*AF469*AG469*AH469*AI469,0)</f>
        <v>118728</v>
      </c>
      <c r="AM469" s="7">
        <f>ROUNDDOWN(MAX(AD469*配置与结果!$B$31,AD469-AE469)*AF469*AG469*AH469*AI469*AK469,0)</f>
        <v>328283</v>
      </c>
      <c r="AN469" s="7">
        <f t="shared" si="652"/>
        <v>328283</v>
      </c>
      <c r="AO469" s="7">
        <f>0</f>
        <v>0</v>
      </c>
      <c r="AP469" s="7">
        <f>MAX(0,1+INDEX(配置与结果!$J$15:$J$18,F469)+IF(T469&gt;0,方案参数!$BY$15,0)-配置与结果!$B$30)</f>
        <v>3</v>
      </c>
      <c r="AQ469" s="7">
        <f t="shared" si="653"/>
        <v>0</v>
      </c>
      <c r="AR469" s="7">
        <f t="shared" si="654"/>
        <v>0</v>
      </c>
      <c r="AS469" s="7">
        <f t="shared" si="655"/>
        <v>0</v>
      </c>
      <c r="AT469" s="7">
        <f>IF(U469&gt;0,ROUNDDOWN(AL469*方案参数!$AF$15,0)*(1-AJ469)+ROUNDDOWN(AM469*方案参数!$AF$15,0)*AJ469,0)</f>
        <v>0</v>
      </c>
      <c r="AU469" s="7">
        <f t="shared" si="656"/>
        <v>328283</v>
      </c>
      <c r="AV469" s="1">
        <f t="shared" si="657"/>
        <v>2</v>
      </c>
      <c r="AW469" s="1">
        <f t="shared" si="664"/>
        <v>10</v>
      </c>
      <c r="AX469" s="1">
        <f t="shared" si="658"/>
        <v>2</v>
      </c>
      <c r="AY469" s="1">
        <f>MIN(20,MAX(0,O469+0+1-0))</f>
        <v>7</v>
      </c>
      <c r="AZ469" s="1">
        <f t="shared" si="659"/>
        <v>5</v>
      </c>
      <c r="BA469" s="1">
        <f t="shared" si="647"/>
        <v>5</v>
      </c>
      <c r="BB469" s="1">
        <f t="shared" si="663"/>
        <v>20</v>
      </c>
      <c r="BC469" s="1">
        <f t="shared" si="661"/>
        <v>3</v>
      </c>
      <c r="BD469" s="1">
        <f t="shared" si="634"/>
        <v>1</v>
      </c>
      <c r="BE469" s="1">
        <f>MAX(0,U469-IF(AF469&gt;0,1,0))+0</f>
        <v>0</v>
      </c>
      <c r="BF469" s="1">
        <f t="shared" si="665"/>
        <v>4</v>
      </c>
      <c r="BG469" s="1">
        <f t="shared" si="644"/>
        <v>1</v>
      </c>
      <c r="BH469" s="1">
        <f t="shared" si="628"/>
        <v>1</v>
      </c>
      <c r="BI469" s="1">
        <f t="shared" si="645"/>
        <v>1</v>
      </c>
      <c r="BJ469" s="1">
        <f t="shared" si="648"/>
        <v>1</v>
      </c>
      <c r="BK469" s="1">
        <f t="shared" si="649"/>
        <v>1</v>
      </c>
      <c r="BL469" s="1">
        <f t="shared" si="662"/>
        <v>1</v>
      </c>
      <c r="BM469" s="1">
        <f t="shared" si="660"/>
        <v>1</v>
      </c>
      <c r="BN469" s="1">
        <f t="shared" si="629"/>
        <v>1</v>
      </c>
      <c r="BO469" s="1">
        <f t="shared" si="630"/>
        <v>1</v>
      </c>
    </row>
    <row r="470" spans="1:67" ht="30.95" customHeight="1">
      <c r="A470" s="1">
        <f>12</f>
        <v>12</v>
      </c>
      <c r="B470" s="1">
        <f>固定流程!A38</f>
        <v>33</v>
      </c>
      <c r="C470" s="1">
        <f>15</f>
        <v>15</v>
      </c>
      <c r="D470" s="1">
        <f>2</f>
        <v>2</v>
      </c>
      <c r="E470" s="1">
        <f>固定流程!C38</f>
        <v>3</v>
      </c>
      <c r="F470" s="1">
        <f>固定流程!G38</f>
        <v>1</v>
      </c>
      <c r="G470" s="1" t="str">
        <f>固定流程!H38</f>
        <v>LILYA_WEAK</v>
      </c>
      <c r="H470" s="1">
        <f>固定流程!F38</f>
        <v>1</v>
      </c>
      <c r="I470" s="1">
        <f>INDEX(配置与结果!$B$15:$B$18,F470)</f>
        <v>2296</v>
      </c>
      <c r="J470" s="1">
        <f>INDEX(配置与结果!$D$15:$D$18,F470)</f>
        <v>0.7</v>
      </c>
      <c r="K470" s="1">
        <f>INDEX(配置与结果!$E$15:$E$18,F470)</f>
        <v>2.0249999999999999</v>
      </c>
      <c r="L470" s="1">
        <f t="shared" si="641"/>
        <v>2</v>
      </c>
      <c r="M470" s="1">
        <f t="shared" si="642"/>
        <v>10</v>
      </c>
      <c r="N470" s="1">
        <f t="shared" si="643"/>
        <v>2</v>
      </c>
      <c r="O470" s="1">
        <f t="shared" si="635"/>
        <v>7</v>
      </c>
      <c r="P470" s="1">
        <f>MIN(方案参数!$AI$15,AZ469+0+0)</f>
        <v>5</v>
      </c>
      <c r="Q470" s="1">
        <f t="shared" si="613"/>
        <v>5</v>
      </c>
      <c r="R470" s="1">
        <f t="shared" si="614"/>
        <v>20</v>
      </c>
      <c r="S470" s="1">
        <f t="shared" si="615"/>
        <v>3</v>
      </c>
      <c r="T470" s="1">
        <f t="shared" si="650"/>
        <v>1</v>
      </c>
      <c r="U470" s="1">
        <f t="shared" si="617"/>
        <v>0</v>
      </c>
      <c r="V470" s="1">
        <f t="shared" si="618"/>
        <v>4</v>
      </c>
      <c r="W470" s="1">
        <f t="shared" si="619"/>
        <v>1</v>
      </c>
      <c r="X470" s="1">
        <f t="shared" si="620"/>
        <v>1</v>
      </c>
      <c r="Y470" s="1">
        <f t="shared" si="621"/>
        <v>1</v>
      </c>
      <c r="Z470" s="1">
        <f t="shared" si="622"/>
        <v>1</v>
      </c>
      <c r="AA470" s="1">
        <f t="shared" si="646"/>
        <v>1</v>
      </c>
      <c r="AB470" s="1">
        <f t="shared" si="624"/>
        <v>1</v>
      </c>
      <c r="AC470" s="1">
        <f t="shared" si="651"/>
        <v>1</v>
      </c>
      <c r="AD470" s="1">
        <f>ROUNDDOWN(I470*(1+IF(F470=3,0.05+方案参数!$Y$15+AA470*0.12,IF(F470=4,方案参数!$BZ$15*方案参数!$AS$15,0)))+IF(AND(X470=1,F470&lt;&gt;3),方案参数!$CC$15,0)+AC470*方案参数!$CB$15,0)</f>
        <v>3134</v>
      </c>
      <c r="AE470" s="1">
        <f>IF(OR(F470=1,F470=4),配置与结果!$B$24,配置与结果!$B$25)*MAX(0,1-INDEX(配置与结果!$I$15:$I$18,F470))</f>
        <v>1200</v>
      </c>
      <c r="AF470" s="1">
        <f>方案参数!$BL$15</f>
        <v>9</v>
      </c>
      <c r="AG470" s="1">
        <f>MAX(配置与结果!$B$32,1+INDEX(配置与结果!$F$15:$F$18,F470)+0.08+方案参数!$CD$15+Q470*方案参数!$W$15+Y470*(方案参数!$AN$15+MIN(方案参数!$AO$15,P470*0.03))+AB470*方案参数!$BZ$15*0.025-配置与结果!$B$28+方案参数!$AE$15)</f>
        <v>2.915</v>
      </c>
      <c r="AH470" s="1">
        <f>MAX(0,1+V470*方案参数!$U$15+9*方案参数!$V$15+方案参数!$AE$15-配置与结果!$B$29)</f>
        <v>2.4</v>
      </c>
      <c r="AI470" s="1">
        <f>IF(OR(INDEX(配置与结果!$K$15:$K$18,F470)=1,G470="RHI_BERRY"),1+配置与结果!$B$33+P470*方案参数!$AH$15,1)</f>
        <v>1</v>
      </c>
      <c r="AJ470" s="1">
        <f>MIN(1,MAX(0,J470+方案参数!$AB$15-配置与结果!$B$27))</f>
        <v>1</v>
      </c>
      <c r="AK470" s="1">
        <f>MAX(1,K470+IF(F470=2,0.15+方案参数!$CH$15,0)+BN470*方案参数!$X$15+R470*方案参数!$AA$15+方案参数!$BP$15-配置与结果!$B$26+Z470*(方案参数!$AP$15+MIN(方案参数!$AQ$15,P470*0.03)))</f>
        <v>2.7650000000000001</v>
      </c>
      <c r="AL470" s="7">
        <f>ROUNDDOWN(MAX(AD470*配置与结果!$B$31,AD470-AE470)*AF470*AG470*AH470*AI470,0)</f>
        <v>121772</v>
      </c>
      <c r="AM470" s="7">
        <f>ROUNDDOWN(MAX(AD470*配置与结果!$B$31,AD470-AE470)*AF470*AG470*AH470*AI470*AK470,0)</f>
        <v>336700</v>
      </c>
      <c r="AN470" s="7">
        <f t="shared" si="652"/>
        <v>336700</v>
      </c>
      <c r="AO470" s="7">
        <f>0</f>
        <v>0</v>
      </c>
      <c r="AP470" s="7">
        <f>MAX(0,1+INDEX(配置与结果!$J$15:$J$18,F470)+IF(T470&gt;0,方案参数!$BY$15,0)-配置与结果!$B$30)</f>
        <v>3</v>
      </c>
      <c r="AQ470" s="7">
        <f t="shared" si="653"/>
        <v>0</v>
      </c>
      <c r="AR470" s="7">
        <f t="shared" si="654"/>
        <v>0</v>
      </c>
      <c r="AS470" s="7">
        <f t="shared" si="655"/>
        <v>0</v>
      </c>
      <c r="AT470" s="7">
        <f>IF(U470&gt;0,ROUNDDOWN(AL470*方案参数!$AF$15,0)*(1-AJ470)+ROUNDDOWN(AM470*方案参数!$AF$15,0)*AJ470,0)</f>
        <v>0</v>
      </c>
      <c r="AU470" s="7">
        <f t="shared" si="656"/>
        <v>336700</v>
      </c>
      <c r="AV470" s="1">
        <f t="shared" si="657"/>
        <v>2</v>
      </c>
      <c r="AW470" s="1">
        <f t="shared" si="664"/>
        <v>10</v>
      </c>
      <c r="AX470" s="1">
        <f t="shared" si="658"/>
        <v>2</v>
      </c>
      <c r="AY470" s="1">
        <f>MIN(20,MAX(0,O470+0+1-0))</f>
        <v>8</v>
      </c>
      <c r="AZ470" s="1">
        <f t="shared" si="659"/>
        <v>5</v>
      </c>
      <c r="BA470" s="1">
        <f t="shared" si="647"/>
        <v>5</v>
      </c>
      <c r="BB470" s="1">
        <f t="shared" si="663"/>
        <v>20</v>
      </c>
      <c r="BC470" s="1">
        <f t="shared" si="661"/>
        <v>3</v>
      </c>
      <c r="BD470" s="1">
        <f t="shared" si="634"/>
        <v>1</v>
      </c>
      <c r="BE470" s="1">
        <f>MAX(0,U470-IF(AF470&gt;0,1,0))+0</f>
        <v>0</v>
      </c>
      <c r="BF470" s="1">
        <f t="shared" si="665"/>
        <v>4</v>
      </c>
      <c r="BG470" s="1">
        <f t="shared" si="644"/>
        <v>1</v>
      </c>
      <c r="BH470" s="1">
        <f t="shared" si="628"/>
        <v>1</v>
      </c>
      <c r="BI470" s="1">
        <f t="shared" si="645"/>
        <v>1</v>
      </c>
      <c r="BJ470" s="1">
        <f t="shared" si="648"/>
        <v>1</v>
      </c>
      <c r="BK470" s="1">
        <f t="shared" si="649"/>
        <v>1</v>
      </c>
      <c r="BL470" s="1">
        <f t="shared" si="662"/>
        <v>1</v>
      </c>
      <c r="BM470" s="1">
        <f t="shared" si="660"/>
        <v>1</v>
      </c>
      <c r="BN470" s="1">
        <f t="shared" si="629"/>
        <v>1</v>
      </c>
      <c r="BO470" s="1">
        <f t="shared" si="630"/>
        <v>1</v>
      </c>
    </row>
    <row r="471" spans="1:67" ht="30.95" customHeight="1">
      <c r="A471" s="1">
        <f>12</f>
        <v>12</v>
      </c>
      <c r="B471" s="1">
        <f>固定流程!A39</f>
        <v>34</v>
      </c>
      <c r="C471" s="1">
        <f>15</f>
        <v>15</v>
      </c>
      <c r="D471" s="1">
        <f>2</f>
        <v>2</v>
      </c>
      <c r="E471" s="1">
        <f>固定流程!C39</f>
        <v>3</v>
      </c>
      <c r="F471" s="1">
        <f>固定流程!G39</f>
        <v>2</v>
      </c>
      <c r="G471" s="1" t="str">
        <f>固定流程!H39</f>
        <v>37_WEAK</v>
      </c>
      <c r="H471" s="1">
        <f>固定流程!F39</f>
        <v>1</v>
      </c>
      <c r="I471" s="1">
        <f>INDEX(配置与结果!$B$15:$B$18,F471)</f>
        <v>2306</v>
      </c>
      <c r="J471" s="1">
        <f>INDEX(配置与结果!$D$15:$D$18,F471)</f>
        <v>0.46</v>
      </c>
      <c r="K471" s="1">
        <f>INDEX(配置与结果!$E$15:$E$18,F471)</f>
        <v>1.9279999999999999</v>
      </c>
      <c r="L471" s="1">
        <f t="shared" si="641"/>
        <v>2</v>
      </c>
      <c r="M471" s="1">
        <f t="shared" si="642"/>
        <v>10</v>
      </c>
      <c r="N471" s="1">
        <f t="shared" si="643"/>
        <v>2</v>
      </c>
      <c r="O471" s="1">
        <f t="shared" si="635"/>
        <v>8</v>
      </c>
      <c r="P471" s="1">
        <f>MIN(方案参数!$AI$15,AZ470+0+0)</f>
        <v>5</v>
      </c>
      <c r="Q471" s="1">
        <f t="shared" si="613"/>
        <v>5</v>
      </c>
      <c r="R471" s="1">
        <f t="shared" si="614"/>
        <v>20</v>
      </c>
      <c r="S471" s="1">
        <f t="shared" si="615"/>
        <v>3</v>
      </c>
      <c r="T471" s="1">
        <f t="shared" si="650"/>
        <v>1</v>
      </c>
      <c r="U471" s="1">
        <f t="shared" si="617"/>
        <v>0</v>
      </c>
      <c r="V471" s="1">
        <f t="shared" si="618"/>
        <v>4</v>
      </c>
      <c r="W471" s="1">
        <f t="shared" si="619"/>
        <v>1</v>
      </c>
      <c r="X471" s="1">
        <f t="shared" si="620"/>
        <v>1</v>
      </c>
      <c r="Y471" s="1">
        <f t="shared" si="621"/>
        <v>1</v>
      </c>
      <c r="Z471" s="1">
        <f t="shared" si="622"/>
        <v>1</v>
      </c>
      <c r="AA471" s="1">
        <f t="shared" si="646"/>
        <v>1</v>
      </c>
      <c r="AB471" s="1">
        <f t="shared" si="624"/>
        <v>1</v>
      </c>
      <c r="AC471" s="1">
        <f t="shared" si="651"/>
        <v>1</v>
      </c>
      <c r="AD471" s="1">
        <f>ROUNDDOWN(I471*(1+IF(F471=3,0.05+方案参数!$Y$15+AA471*0.12,IF(F471=4,方案参数!$BZ$15*方案参数!$AS$15,0)))+IF(AND(X471=1,F471&lt;&gt;3),方案参数!$CC$15,0)+AC471*方案参数!$CB$15,0)</f>
        <v>3144</v>
      </c>
      <c r="AE471" s="1">
        <f>IF(OR(F471=1,F471=4),配置与结果!$B$24,配置与结果!$B$25)*MAX(0,1-INDEX(配置与结果!$I$15:$I$18,F471))</f>
        <v>1000</v>
      </c>
      <c r="AF471" s="1">
        <f>方案参数!$CE$15</f>
        <v>9</v>
      </c>
      <c r="AG471" s="1">
        <f>MAX(配置与结果!$B$32,1+INDEX(配置与结果!$F$15:$F$18,F471)+0+Q471*方案参数!$W$15+Y471*(方案参数!$AN$15+MIN(方案参数!$AO$15,P471*0.03))+AB471*方案参数!$BZ$15*0.025-配置与结果!$B$28+方案参数!$AE$15)</f>
        <v>2.58</v>
      </c>
      <c r="AH471" s="1">
        <f>MAX(0,1+V471*方案参数!$U$15+方案参数!$AE$15-配置与结果!$B$29)</f>
        <v>1.8599999999999999</v>
      </c>
      <c r="AI471" s="1">
        <f>IF(OR(INDEX(配置与结果!$K$15:$K$18,F471)=1,G471="RHI_BERRY"),1+配置与结果!$B$33+P471*方案参数!$AH$15,1)</f>
        <v>1</v>
      </c>
      <c r="AJ471" s="1">
        <f>MIN(1,MAX(0,J471+方案参数!$AB$15-配置与结果!$B$27))</f>
        <v>1</v>
      </c>
      <c r="AK471" s="1">
        <f>MAX(1,K471+IF(F471=2,0.15+方案参数!$CH$15,0)+BN471*方案参数!$X$15+R471*方案参数!$AA$15+0-配置与结果!$B$26+Z471*(方案参数!$AP$15+MIN(方案参数!$AQ$15,P471*0.03)))</f>
        <v>2.3380000000000001</v>
      </c>
      <c r="AL471" s="7">
        <f>ROUNDDOWN(MAX(AD471*配置与结果!$B$31,AD471-AE471)*AF471*AG471*AH471*AI471,0)</f>
        <v>92597</v>
      </c>
      <c r="AM471" s="7">
        <f>ROUNDDOWN(MAX(AD471*配置与结果!$B$31,AD471-AE471)*AF471*AG471*AH471*AI471*AK471,0)</f>
        <v>216493</v>
      </c>
      <c r="AN471" s="7">
        <f t="shared" si="652"/>
        <v>216493</v>
      </c>
      <c r="AO471" s="7">
        <f>0</f>
        <v>0</v>
      </c>
      <c r="AP471" s="7">
        <f>MAX(0,1+INDEX(配置与结果!$J$15:$J$18,F471)+IF(T471&gt;0,方案参数!$BY$15,0)-配置与结果!$B$30)</f>
        <v>3</v>
      </c>
      <c r="AQ471" s="7">
        <f t="shared" si="653"/>
        <v>0</v>
      </c>
      <c r="AR471" s="7">
        <f t="shared" si="654"/>
        <v>0</v>
      </c>
      <c r="AS471" s="7">
        <f t="shared" si="655"/>
        <v>0</v>
      </c>
      <c r="AT471" s="7">
        <f>IF(U471&gt;0,ROUNDDOWN(AL471*方案参数!$AF$15,0)*(1-AJ471)+ROUNDDOWN(AM471*方案参数!$AF$15,0)*AJ471,0)</f>
        <v>0</v>
      </c>
      <c r="AU471" s="7">
        <f t="shared" si="656"/>
        <v>216493</v>
      </c>
      <c r="AV471" s="1">
        <f t="shared" si="657"/>
        <v>2</v>
      </c>
      <c r="AW471" s="1">
        <f t="shared" si="664"/>
        <v>10</v>
      </c>
      <c r="AX471" s="1">
        <f t="shared" si="658"/>
        <v>2</v>
      </c>
      <c r="AY471" s="1">
        <f>MIN(20,MAX(0,O471+0+0-0))</f>
        <v>8</v>
      </c>
      <c r="AZ471" s="1">
        <f t="shared" si="659"/>
        <v>5</v>
      </c>
      <c r="BA471" s="1">
        <f t="shared" si="647"/>
        <v>5</v>
      </c>
      <c r="BB471" s="1">
        <f t="shared" si="663"/>
        <v>20</v>
      </c>
      <c r="BC471" s="1">
        <f t="shared" si="661"/>
        <v>3</v>
      </c>
      <c r="BD471" s="1">
        <f t="shared" si="634"/>
        <v>1</v>
      </c>
      <c r="BE471" s="1">
        <f>MAX(0,U471-IF(AF471&gt;0,1,0))+1</f>
        <v>1</v>
      </c>
      <c r="BF471" s="1">
        <f t="shared" si="665"/>
        <v>4</v>
      </c>
      <c r="BG471" s="1">
        <f t="shared" si="644"/>
        <v>1</v>
      </c>
      <c r="BH471" s="1">
        <f t="shared" si="628"/>
        <v>1</v>
      </c>
      <c r="BI471" s="1">
        <f t="shared" si="645"/>
        <v>1</v>
      </c>
      <c r="BJ471" s="1">
        <f t="shared" si="648"/>
        <v>1</v>
      </c>
      <c r="BK471" s="1">
        <f t="shared" si="649"/>
        <v>1</v>
      </c>
      <c r="BL471" s="1">
        <f t="shared" si="662"/>
        <v>1</v>
      </c>
      <c r="BM471" s="1">
        <f t="shared" si="660"/>
        <v>1</v>
      </c>
      <c r="BN471" s="1">
        <f t="shared" si="629"/>
        <v>1</v>
      </c>
      <c r="BO471" s="1">
        <f t="shared" si="630"/>
        <v>1</v>
      </c>
    </row>
    <row r="472" spans="1:67" ht="30.95" customHeight="1">
      <c r="A472" s="1">
        <f>12</f>
        <v>12</v>
      </c>
      <c r="B472" s="1">
        <f>固定流程!A40</f>
        <v>35</v>
      </c>
      <c r="C472" s="1">
        <f>15</f>
        <v>15</v>
      </c>
      <c r="D472" s="1">
        <f>2</f>
        <v>2</v>
      </c>
      <c r="E472" s="1">
        <f>固定流程!C40</f>
        <v>3</v>
      </c>
      <c r="F472" s="1">
        <f>固定流程!G40</f>
        <v>2</v>
      </c>
      <c r="G472" s="1" t="str">
        <f>固定流程!H40</f>
        <v>37_WEAK</v>
      </c>
      <c r="H472" s="1">
        <f>固定流程!F40</f>
        <v>1</v>
      </c>
      <c r="I472" s="1">
        <f>INDEX(配置与结果!$B$15:$B$18,F472)</f>
        <v>2306</v>
      </c>
      <c r="J472" s="1">
        <f>INDEX(配置与结果!$D$15:$D$18,F472)</f>
        <v>0.46</v>
      </c>
      <c r="K472" s="1">
        <f>INDEX(配置与结果!$E$15:$E$18,F472)</f>
        <v>1.9279999999999999</v>
      </c>
      <c r="L472" s="1">
        <f t="shared" si="641"/>
        <v>2</v>
      </c>
      <c r="M472" s="1">
        <f t="shared" si="642"/>
        <v>10</v>
      </c>
      <c r="N472" s="1">
        <f t="shared" si="643"/>
        <v>2</v>
      </c>
      <c r="O472" s="1">
        <f t="shared" si="635"/>
        <v>8</v>
      </c>
      <c r="P472" s="1">
        <f>MIN(方案参数!$AI$15,AZ471+0+0)</f>
        <v>5</v>
      </c>
      <c r="Q472" s="1">
        <f t="shared" si="613"/>
        <v>5</v>
      </c>
      <c r="R472" s="1">
        <f t="shared" si="614"/>
        <v>20</v>
      </c>
      <c r="S472" s="1">
        <f t="shared" si="615"/>
        <v>3</v>
      </c>
      <c r="T472" s="1">
        <f t="shared" si="650"/>
        <v>1</v>
      </c>
      <c r="U472" s="1">
        <f t="shared" si="617"/>
        <v>1</v>
      </c>
      <c r="V472" s="1">
        <f t="shared" si="618"/>
        <v>4</v>
      </c>
      <c r="W472" s="1">
        <f t="shared" si="619"/>
        <v>1</v>
      </c>
      <c r="X472" s="1">
        <f t="shared" si="620"/>
        <v>1</v>
      </c>
      <c r="Y472" s="1">
        <f t="shared" si="621"/>
        <v>1</v>
      </c>
      <c r="Z472" s="1">
        <f t="shared" si="622"/>
        <v>1</v>
      </c>
      <c r="AA472" s="1">
        <f t="shared" si="646"/>
        <v>1</v>
      </c>
      <c r="AB472" s="1">
        <f t="shared" si="624"/>
        <v>1</v>
      </c>
      <c r="AC472" s="1">
        <f t="shared" si="651"/>
        <v>1</v>
      </c>
      <c r="AD472" s="1">
        <f>ROUNDDOWN(I472*(1+IF(F472=3,0.05+方案参数!$Y$15+AA472*0.12,IF(F472=4,方案参数!$BZ$15*方案参数!$AS$15,0)))+IF(AND(X472=1,F472&lt;&gt;3),方案参数!$CC$15,0)+AC472*方案参数!$CB$15,0)</f>
        <v>3144</v>
      </c>
      <c r="AE472" s="1">
        <f>IF(OR(F472=1,F472=4),配置与结果!$B$24,配置与结果!$B$25)*MAX(0,1-INDEX(配置与结果!$I$15:$I$18,F472))</f>
        <v>1000</v>
      </c>
      <c r="AF472" s="1">
        <f>方案参数!$CE$15</f>
        <v>9</v>
      </c>
      <c r="AG472" s="1">
        <f>MAX(配置与结果!$B$32,1+INDEX(配置与结果!$F$15:$F$18,F472)+0+Q472*方案参数!$W$15+Y472*(方案参数!$AN$15+MIN(方案参数!$AO$15,P472*0.03))+AB472*方案参数!$BZ$15*0.025-配置与结果!$B$28+方案参数!$AE$15)</f>
        <v>2.58</v>
      </c>
      <c r="AH472" s="1">
        <f>MAX(0,1+V472*方案参数!$U$15+方案参数!$AE$15-配置与结果!$B$29)</f>
        <v>1.8599999999999999</v>
      </c>
      <c r="AI472" s="1">
        <f>IF(OR(INDEX(配置与结果!$K$15:$K$18,F472)=1,G472="RHI_BERRY"),1+配置与结果!$B$33+P472*方案参数!$AH$15,1)</f>
        <v>1</v>
      </c>
      <c r="AJ472" s="1">
        <f>MIN(1,MAX(0,J472+方案参数!$AB$15-配置与结果!$B$27))</f>
        <v>1</v>
      </c>
      <c r="AK472" s="1">
        <f>MAX(1,K472+IF(F472=2,0.15+方案参数!$CH$15,0)+BN472*方案参数!$X$15+R472*方案参数!$AA$15+0-配置与结果!$B$26+Z472*(方案参数!$AP$15+MIN(方案参数!$AQ$15,P472*0.03)))</f>
        <v>2.3380000000000001</v>
      </c>
      <c r="AL472" s="7">
        <f>ROUNDDOWN(MAX(AD472*配置与结果!$B$31,AD472-AE472)*AF472*AG472*AH472*AI472,0)</f>
        <v>92597</v>
      </c>
      <c r="AM472" s="7">
        <f>ROUNDDOWN(MAX(AD472*配置与结果!$B$31,AD472-AE472)*AF472*AG472*AH472*AI472*AK472,0)</f>
        <v>216493</v>
      </c>
      <c r="AN472" s="7">
        <f t="shared" si="652"/>
        <v>216493</v>
      </c>
      <c r="AO472" s="7">
        <f>0</f>
        <v>0</v>
      </c>
      <c r="AP472" s="7">
        <f>MAX(0,1+INDEX(配置与结果!$J$15:$J$18,F472)+IF(T472&gt;0,方案参数!$BY$15,0)-配置与结果!$B$30)</f>
        <v>3</v>
      </c>
      <c r="AQ472" s="7">
        <f t="shared" si="653"/>
        <v>0</v>
      </c>
      <c r="AR472" s="7">
        <f t="shared" si="654"/>
        <v>0</v>
      </c>
      <c r="AS472" s="7">
        <f t="shared" si="655"/>
        <v>0</v>
      </c>
      <c r="AT472" s="7">
        <f>IF(U472&gt;0,ROUNDDOWN(AL472*方案参数!$AF$15,0)*(1-AJ472)+ROUNDDOWN(AM472*方案参数!$AF$15,0)*AJ472,0)</f>
        <v>129895</v>
      </c>
      <c r="AU472" s="7">
        <f t="shared" si="656"/>
        <v>346388</v>
      </c>
      <c r="AV472" s="1">
        <f t="shared" si="657"/>
        <v>2</v>
      </c>
      <c r="AW472" s="1">
        <f t="shared" si="664"/>
        <v>10</v>
      </c>
      <c r="AX472" s="1">
        <f t="shared" si="658"/>
        <v>2</v>
      </c>
      <c r="AY472" s="1">
        <f>MIN(20,MAX(0,O472+0+0-0))</f>
        <v>8</v>
      </c>
      <c r="AZ472" s="1">
        <f t="shared" si="659"/>
        <v>5</v>
      </c>
      <c r="BA472" s="1">
        <f t="shared" si="647"/>
        <v>5</v>
      </c>
      <c r="BB472" s="1">
        <f t="shared" si="663"/>
        <v>20</v>
      </c>
      <c r="BC472" s="1">
        <f t="shared" si="661"/>
        <v>3</v>
      </c>
      <c r="BD472" s="1">
        <f t="shared" si="634"/>
        <v>1</v>
      </c>
      <c r="BE472" s="1">
        <f>MAX(0,U472-IF(AF472&gt;0,1,0))+1</f>
        <v>1</v>
      </c>
      <c r="BF472" s="1">
        <f t="shared" si="665"/>
        <v>4</v>
      </c>
      <c r="BG472" s="1">
        <f t="shared" si="644"/>
        <v>1</v>
      </c>
      <c r="BH472" s="1">
        <f t="shared" si="628"/>
        <v>1</v>
      </c>
      <c r="BI472" s="1">
        <f t="shared" si="645"/>
        <v>1</v>
      </c>
      <c r="BJ472" s="1">
        <f t="shared" si="648"/>
        <v>1</v>
      </c>
      <c r="BK472" s="1">
        <f t="shared" si="649"/>
        <v>1</v>
      </c>
      <c r="BL472" s="1">
        <f t="shared" si="662"/>
        <v>1</v>
      </c>
      <c r="BM472" s="1">
        <f t="shared" si="660"/>
        <v>1</v>
      </c>
      <c r="BN472" s="1">
        <f t="shared" si="629"/>
        <v>1</v>
      </c>
      <c r="BO472" s="1">
        <f t="shared" si="630"/>
        <v>1</v>
      </c>
    </row>
    <row r="473" spans="1:67" ht="30.95" customHeight="1">
      <c r="A473" s="1">
        <f>12</f>
        <v>12</v>
      </c>
      <c r="B473" s="1">
        <f>固定流程!A41</f>
        <v>36</v>
      </c>
      <c r="C473" s="1">
        <f>15</f>
        <v>15</v>
      </c>
      <c r="D473" s="1">
        <f>2</f>
        <v>2</v>
      </c>
      <c r="E473" s="1">
        <f>固定流程!C41</f>
        <v>3</v>
      </c>
      <c r="F473" s="1">
        <f>固定流程!G41</f>
        <v>1</v>
      </c>
      <c r="G473" s="1" t="str">
        <f>固定流程!H41</f>
        <v>LILYA_FINISH</v>
      </c>
      <c r="H473" s="1">
        <f>固定流程!F41</f>
        <v>1</v>
      </c>
      <c r="I473" s="1">
        <f>INDEX(配置与结果!$B$15:$B$18,F473)</f>
        <v>2296</v>
      </c>
      <c r="J473" s="1">
        <f>INDEX(配置与结果!$D$15:$D$18,F473)</f>
        <v>0.7</v>
      </c>
      <c r="K473" s="1">
        <f>INDEX(配置与结果!$E$15:$E$18,F473)</f>
        <v>2.0249999999999999</v>
      </c>
      <c r="L473" s="1">
        <f t="shared" si="641"/>
        <v>2</v>
      </c>
      <c r="M473" s="1">
        <f t="shared" si="642"/>
        <v>10</v>
      </c>
      <c r="N473" s="1">
        <f t="shared" si="643"/>
        <v>2</v>
      </c>
      <c r="O473" s="1">
        <f t="shared" si="635"/>
        <v>8</v>
      </c>
      <c r="P473" s="1">
        <f>MIN(方案参数!$AI$15,AZ472+0+0)</f>
        <v>5</v>
      </c>
      <c r="Q473" s="1">
        <f t="shared" si="613"/>
        <v>5</v>
      </c>
      <c r="R473" s="1">
        <f t="shared" si="614"/>
        <v>20</v>
      </c>
      <c r="S473" s="1">
        <f t="shared" si="615"/>
        <v>3</v>
      </c>
      <c r="T473" s="1">
        <f t="shared" si="650"/>
        <v>1</v>
      </c>
      <c r="U473" s="1">
        <f t="shared" si="617"/>
        <v>1</v>
      </c>
      <c r="V473" s="1">
        <f t="shared" si="618"/>
        <v>4</v>
      </c>
      <c r="W473" s="1">
        <f t="shared" si="619"/>
        <v>1</v>
      </c>
      <c r="X473" s="1">
        <f t="shared" si="620"/>
        <v>1</v>
      </c>
      <c r="Y473" s="1">
        <f t="shared" si="621"/>
        <v>1</v>
      </c>
      <c r="Z473" s="1">
        <f t="shared" si="622"/>
        <v>1</v>
      </c>
      <c r="AA473" s="1">
        <f t="shared" si="646"/>
        <v>1</v>
      </c>
      <c r="AB473" s="1">
        <f t="shared" si="624"/>
        <v>1</v>
      </c>
      <c r="AC473" s="1">
        <f t="shared" si="651"/>
        <v>1</v>
      </c>
      <c r="AD473" s="1">
        <f>ROUNDDOWN(I473*(1+IF(F473=3,0.05+方案参数!$Y$15+AA473*0.12,IF(F473=4,方案参数!$BZ$15*方案参数!$AS$15,0)))+IF(AND(X473=1,F473&lt;&gt;3),方案参数!$CC$15,0)+AC473*方案参数!$CB$15,0)</f>
        <v>3134</v>
      </c>
      <c r="AE473" s="1">
        <f>IF(OR(F473=1,F473=4),配置与结果!$B$24,配置与结果!$B$25)*MAX(0,1-INDEX(配置与结果!$I$15:$I$18,F473))</f>
        <v>1200</v>
      </c>
      <c r="AF473" s="1">
        <f>方案参数!$BN$15+12*方案参数!$BO$15</f>
        <v>48</v>
      </c>
      <c r="AG473" s="1">
        <f>MAX(配置与结果!$B$32,1+INDEX(配置与结果!$F$15:$F$18,F473)+0.08+方案参数!$CD$15+Q473*方案参数!$W$15+Y473*(方案参数!$AN$15+MIN(方案参数!$AO$15,P473*0.03))+AB473*方案参数!$BZ$15*0.025-配置与结果!$B$28+方案参数!$AE$15)</f>
        <v>2.915</v>
      </c>
      <c r="AH473" s="1">
        <f>MAX(0,1+V473*方案参数!$U$15+12*方案参数!$V$15+方案参数!$AE$15-配置与结果!$B$29)</f>
        <v>2.58</v>
      </c>
      <c r="AI473" s="1">
        <f>IF(OR(INDEX(配置与结果!$K$15:$K$18,F473)=1,G473="RHI_BERRY"),1+配置与结果!$B$33+P473*方案参数!$AH$15,1)</f>
        <v>1</v>
      </c>
      <c r="AJ473" s="1">
        <f>MIN(1,MAX(0,J473+方案参数!$AB$15-配置与结果!$B$27))</f>
        <v>1</v>
      </c>
      <c r="AK473" s="1">
        <f>MAX(1,K473+IF(F473=2,0.15+方案参数!$CH$15,0)+BN473*方案参数!$X$15+R473*方案参数!$AA$15+方案参数!$BR$15-配置与结果!$B$26+Z473*(方案参数!$AP$15+MIN(方案参数!$AQ$15,P473*0.03)))</f>
        <v>3.165</v>
      </c>
      <c r="AL473" s="7">
        <f>ROUNDDOWN(MAX(AD473*配置与结果!$B$31,AD473-AE473)*AF473*AG473*AH473*AI473,0)</f>
        <v>698161</v>
      </c>
      <c r="AM473" s="7">
        <f>ROUNDDOWN(MAX(AD473*配置与结果!$B$31,AD473-AE473)*AF473*AG473*AH473*AI473*AK473,0)</f>
        <v>2209681</v>
      </c>
      <c r="AN473" s="7">
        <f t="shared" si="652"/>
        <v>2209681</v>
      </c>
      <c r="AO473" s="7">
        <f>0</f>
        <v>0</v>
      </c>
      <c r="AP473" s="7">
        <f>MAX(0,1+INDEX(配置与结果!$J$15:$J$18,F473)+IF(T473&gt;0,方案参数!$BY$15,0)-配置与结果!$B$30)</f>
        <v>3</v>
      </c>
      <c r="AQ473" s="7">
        <f t="shared" si="653"/>
        <v>0</v>
      </c>
      <c r="AR473" s="7">
        <f t="shared" si="654"/>
        <v>0</v>
      </c>
      <c r="AS473" s="7">
        <f t="shared" si="655"/>
        <v>0</v>
      </c>
      <c r="AT473" s="7">
        <f>IF(U473&gt;0,ROUNDDOWN(AL473*方案参数!$AF$15,0)*(1-AJ473)+ROUNDDOWN(AM473*方案参数!$AF$15,0)*AJ473,0)</f>
        <v>1325808</v>
      </c>
      <c r="AU473" s="7">
        <f t="shared" si="656"/>
        <v>3535489</v>
      </c>
      <c r="AV473" s="1">
        <f t="shared" si="657"/>
        <v>2</v>
      </c>
      <c r="AW473" s="1">
        <f t="shared" si="664"/>
        <v>10</v>
      </c>
      <c r="AX473" s="1">
        <f t="shared" si="658"/>
        <v>2</v>
      </c>
      <c r="AY473" s="1">
        <f>MIN(20,MAX(0,O473+0+1-0))</f>
        <v>9</v>
      </c>
      <c r="AZ473" s="1">
        <f t="shared" si="659"/>
        <v>5</v>
      </c>
      <c r="BA473" s="1">
        <f t="shared" si="647"/>
        <v>5</v>
      </c>
      <c r="BB473" s="1">
        <f t="shared" si="663"/>
        <v>20</v>
      </c>
      <c r="BC473" s="1">
        <f t="shared" si="661"/>
        <v>3</v>
      </c>
      <c r="BD473" s="1">
        <f t="shared" si="634"/>
        <v>1</v>
      </c>
      <c r="BE473" s="1">
        <f>MAX(0,U473-IF(AF473&gt;0,1,0))+0</f>
        <v>0</v>
      </c>
      <c r="BF473" s="1">
        <f t="shared" si="665"/>
        <v>4</v>
      </c>
      <c r="BG473" s="1">
        <f t="shared" si="644"/>
        <v>1</v>
      </c>
      <c r="BH473" s="1">
        <f t="shared" si="628"/>
        <v>1</v>
      </c>
      <c r="BI473" s="1">
        <f t="shared" si="645"/>
        <v>1</v>
      </c>
      <c r="BJ473" s="1">
        <f t="shared" si="648"/>
        <v>1</v>
      </c>
      <c r="BK473" s="1">
        <f t="shared" si="649"/>
        <v>1</v>
      </c>
      <c r="BL473" s="1">
        <f t="shared" si="662"/>
        <v>1</v>
      </c>
      <c r="BM473" s="1">
        <f t="shared" si="660"/>
        <v>1</v>
      </c>
      <c r="BN473" s="1">
        <f t="shared" si="629"/>
        <v>1</v>
      </c>
      <c r="BO473" s="1">
        <f t="shared" si="630"/>
        <v>1</v>
      </c>
    </row>
    <row r="474" spans="1:67" ht="30.95" customHeight="1">
      <c r="A474" s="1">
        <f>13</f>
        <v>13</v>
      </c>
      <c r="B474" s="1">
        <f>固定流程!A6</f>
        <v>1</v>
      </c>
      <c r="C474" s="1">
        <f>16</f>
        <v>16</v>
      </c>
      <c r="D474" s="1">
        <f>1</f>
        <v>1</v>
      </c>
      <c r="E474" s="1">
        <f>固定流程!C6</f>
        <v>1</v>
      </c>
      <c r="F474" s="1">
        <f>固定流程!G6</f>
        <v>3</v>
      </c>
      <c r="G474" s="1" t="str">
        <f>固定流程!H6</f>
        <v>RHI_ULT</v>
      </c>
      <c r="H474" s="1">
        <f>固定流程!F6</f>
        <v>1</v>
      </c>
      <c r="I474" s="1">
        <f>INDEX(配置与结果!$B$15:$B$18,F474)</f>
        <v>2597</v>
      </c>
      <c r="J474" s="1">
        <f>INDEX(配置与结果!$D$15:$D$18,F474)</f>
        <v>0.255</v>
      </c>
      <c r="K474" s="1">
        <f>INDEX(配置与结果!$E$15:$E$18,F474)</f>
        <v>1.55</v>
      </c>
      <c r="L474" s="1">
        <f>0</f>
        <v>0</v>
      </c>
      <c r="M474" s="1">
        <f>0</f>
        <v>0</v>
      </c>
      <c r="N474" s="1">
        <f>0</f>
        <v>0</v>
      </c>
      <c r="O474" s="1">
        <f>0</f>
        <v>0</v>
      </c>
      <c r="P474" s="1">
        <f>MIN(方案参数!$AI$16,0+方案参数!$AJ$16+0)</f>
        <v>1</v>
      </c>
      <c r="Q474" s="1">
        <f>0</f>
        <v>0</v>
      </c>
      <c r="R474" s="1">
        <f>0</f>
        <v>0</v>
      </c>
      <c r="S474" s="1">
        <f>0</f>
        <v>0</v>
      </c>
      <c r="T474" s="1">
        <f>0+0</f>
        <v>0</v>
      </c>
      <c r="U474" s="1">
        <f>0</f>
        <v>0</v>
      </c>
      <c r="V474" s="1">
        <f>0</f>
        <v>0</v>
      </c>
      <c r="W474" s="1">
        <f>0</f>
        <v>0</v>
      </c>
      <c r="X474" s="1">
        <f>0</f>
        <v>0</v>
      </c>
      <c r="Y474" s="1">
        <f>0</f>
        <v>0</v>
      </c>
      <c r="Z474" s="1">
        <f>0</f>
        <v>0</v>
      </c>
      <c r="AA474" s="1">
        <f>MAX(0,0)</f>
        <v>0</v>
      </c>
      <c r="AB474" s="1">
        <f>0</f>
        <v>0</v>
      </c>
      <c r="AC474" s="1">
        <f>MAX(0,0)</f>
        <v>0</v>
      </c>
      <c r="AD474" s="1">
        <f>ROUNDDOWN(I474*(1+IF(F474=3,0.05+方案参数!$Y$16+AA474*0.12,IF(F474=4,方案参数!$BZ$16*方案参数!$AS$16,0)))+IF(AND(X474=1,F474&lt;&gt;3),方案参数!$CC$16,0)+AC474*方案参数!$CB$16,0)</f>
        <v>2986</v>
      </c>
      <c r="AE474" s="1">
        <f>IF(OR(F474=1,F474=4),配置与结果!$B$24,配置与结果!$B$25)*MAX(0,1-INDEX(配置与结果!$I$15:$I$18,F474))</f>
        <v>1000</v>
      </c>
      <c r="AF474" s="1">
        <f>0</f>
        <v>0</v>
      </c>
      <c r="AG474" s="1">
        <f>MAX(配置与结果!$B$32,1+INDEX(配置与结果!$F$15:$F$18,F474)+0+Q474*方案参数!$W$16+Y474*(方案参数!$AN$16+MIN(方案参数!$AO$16,P474*0.03))+AB474*方案参数!$BZ$16*0.025-配置与结果!$B$28)</f>
        <v>0.6349999999999999</v>
      </c>
      <c r="AH474" s="1">
        <f>MAX(0,1+INDEX(配置与结果!$G$15:$G$18,F474)+W474*方案参数!$AG$16)</f>
        <v>1</v>
      </c>
      <c r="AI474" s="1">
        <f>IF(OR(INDEX(配置与结果!$K$15:$K$18,F474)=1,G474="RHI_BERRY"),1+配置与结果!$B$33+P474*方案参数!$AH$16,1)</f>
        <v>1</v>
      </c>
      <c r="AJ474" s="1">
        <f>MIN(1,MAX(0,J474+方案参数!$AB$16-配置与结果!$B$27))</f>
        <v>0.85499999999999998</v>
      </c>
      <c r="AK474" s="1">
        <f>MAX(1,K474+IF(F474=2,0.15+方案参数!$CH$16,0)+BN474*方案参数!$X$16+R474*方案参数!$AA$16+0-配置与结果!$B$26+Z474*(方案参数!$AP$16+MIN(方案参数!$AQ$16,P474*0.03)))</f>
        <v>1.1499999999999999</v>
      </c>
      <c r="AL474" s="7">
        <f>ROUNDDOWN(MAX(AD474*配置与结果!$B$31,AD474-AE474)*AF474*AG474*AH474*AI474,0)</f>
        <v>0</v>
      </c>
      <c r="AM474" s="7">
        <f>ROUNDDOWN(MAX(AD474*配置与结果!$B$31,AD474-AE474)*AF474*AG474*AH474*AI474*AK474,0)</f>
        <v>0</v>
      </c>
      <c r="AN474" s="7">
        <f t="shared" si="652"/>
        <v>0</v>
      </c>
      <c r="AO474" s="7">
        <f>0</f>
        <v>0</v>
      </c>
      <c r="AP474" s="7">
        <f>MAX(0,1+INDEX(配置与结果!$J$15:$J$18,F474)+IF(T474&gt;0,方案参数!$BY$16,0)-配置与结果!$B$30)</f>
        <v>1</v>
      </c>
      <c r="AQ474" s="7">
        <f t="shared" si="653"/>
        <v>0</v>
      </c>
      <c r="AR474" s="7">
        <f t="shared" si="654"/>
        <v>0</v>
      </c>
      <c r="AS474" s="7">
        <f t="shared" si="655"/>
        <v>0</v>
      </c>
      <c r="AT474" s="7">
        <f>0</f>
        <v>0</v>
      </c>
      <c r="AU474" s="7">
        <f t="shared" si="656"/>
        <v>0</v>
      </c>
      <c r="AV474" s="1">
        <f t="shared" si="657"/>
        <v>0</v>
      </c>
      <c r="AW474" s="1">
        <f t="shared" si="664"/>
        <v>0</v>
      </c>
      <c r="AX474" s="1">
        <f t="shared" si="658"/>
        <v>0</v>
      </c>
      <c r="AY474" s="1">
        <f>MIN(20,MAX(0,O474+0+0-0))</f>
        <v>0</v>
      </c>
      <c r="AZ474" s="1">
        <f t="shared" si="659"/>
        <v>1</v>
      </c>
      <c r="BA474" s="1">
        <f>MIN(6,Q474+1)</f>
        <v>1</v>
      </c>
      <c r="BB474" s="1">
        <f>MIN(30,R474+5)</f>
        <v>5</v>
      </c>
      <c r="BC474" s="1">
        <f t="shared" si="661"/>
        <v>0</v>
      </c>
      <c r="BD474" s="1">
        <f t="shared" si="634"/>
        <v>0</v>
      </c>
      <c r="BE474" s="1">
        <f>0</f>
        <v>0</v>
      </c>
      <c r="BF474" s="1">
        <f t="shared" si="665"/>
        <v>0</v>
      </c>
      <c r="BG474" s="1">
        <f t="shared" si="644"/>
        <v>0</v>
      </c>
      <c r="BH474" s="1">
        <f>MAX(X474,1)</f>
        <v>1</v>
      </c>
      <c r="BI474" s="1">
        <f t="shared" si="645"/>
        <v>0</v>
      </c>
      <c r="BJ474" s="1">
        <f t="shared" si="648"/>
        <v>0</v>
      </c>
      <c r="BK474" s="1">
        <f t="shared" si="649"/>
        <v>0</v>
      </c>
      <c r="BL474" s="1">
        <f t="shared" si="662"/>
        <v>0</v>
      </c>
      <c r="BM474" s="1">
        <f t="shared" si="660"/>
        <v>0</v>
      </c>
      <c r="BN474" s="1">
        <f>0</f>
        <v>0</v>
      </c>
      <c r="BO474" s="1">
        <f>MAX(BN474,1)</f>
        <v>1</v>
      </c>
    </row>
    <row r="475" spans="1:67" ht="30.95" customHeight="1">
      <c r="A475" s="1">
        <f>13</f>
        <v>13</v>
      </c>
      <c r="B475" s="1">
        <f>固定流程!A7</f>
        <v>2</v>
      </c>
      <c r="C475" s="1">
        <f>16</f>
        <v>16</v>
      </c>
      <c r="D475" s="1">
        <f>1</f>
        <v>1</v>
      </c>
      <c r="E475" s="1">
        <f>固定流程!C7</f>
        <v>1</v>
      </c>
      <c r="F475" s="1">
        <f>固定流程!G7</f>
        <v>3</v>
      </c>
      <c r="G475" s="1" t="str">
        <f>固定流程!H7</f>
        <v>RHI_BUFF</v>
      </c>
      <c r="H475" s="1">
        <f>固定流程!F7</f>
        <v>1</v>
      </c>
      <c r="I475" s="1">
        <f>INDEX(配置与结果!$B$15:$B$18,F475)</f>
        <v>2597</v>
      </c>
      <c r="J475" s="1">
        <f>INDEX(配置与结果!$D$15:$D$18,F475)</f>
        <v>0.255</v>
      </c>
      <c r="K475" s="1">
        <f>INDEX(配置与结果!$E$15:$E$18,F475)</f>
        <v>1.55</v>
      </c>
      <c r="L475" s="1">
        <f t="shared" ref="L475:O480" si="666">AV474</f>
        <v>0</v>
      </c>
      <c r="M475" s="1">
        <f t="shared" si="666"/>
        <v>0</v>
      </c>
      <c r="N475" s="1">
        <f t="shared" si="666"/>
        <v>0</v>
      </c>
      <c r="O475" s="1">
        <f t="shared" si="666"/>
        <v>0</v>
      </c>
      <c r="P475" s="1">
        <f>MIN(方案参数!$AI$16,AZ474+0+方案参数!$AK$16)</f>
        <v>3</v>
      </c>
      <c r="Q475" s="1">
        <f t="shared" ref="Q475:Q509" si="667">BA474</f>
        <v>1</v>
      </c>
      <c r="R475" s="1">
        <f t="shared" ref="R475:R509" si="668">BB474</f>
        <v>5</v>
      </c>
      <c r="S475" s="1">
        <f t="shared" ref="S475:S509" si="669">BC474</f>
        <v>0</v>
      </c>
      <c r="T475" s="1">
        <f t="shared" ref="T475:T488" si="670">BD474+0</f>
        <v>0</v>
      </c>
      <c r="U475" s="1">
        <f t="shared" ref="U475:U509" si="671">BE474</f>
        <v>0</v>
      </c>
      <c r="V475" s="1">
        <f t="shared" ref="V475:V509" si="672">BF474</f>
        <v>0</v>
      </c>
      <c r="W475" s="1">
        <f t="shared" ref="W475:W509" si="673">BG474</f>
        <v>0</v>
      </c>
      <c r="X475" s="1">
        <f t="shared" ref="X475:X509" si="674">BH474</f>
        <v>1</v>
      </c>
      <c r="Y475" s="1">
        <f t="shared" ref="Y475:Y509" si="675">BI474</f>
        <v>0</v>
      </c>
      <c r="Z475" s="1">
        <f t="shared" ref="Z475:Z509" si="676">BJ474</f>
        <v>0</v>
      </c>
      <c r="AA475" s="1">
        <f t="shared" ref="AA475:AA480" si="677">MAX(BK474,0)</f>
        <v>0</v>
      </c>
      <c r="AB475" s="1">
        <f t="shared" ref="AB475:AB509" si="678">BL474</f>
        <v>0</v>
      </c>
      <c r="AC475" s="1">
        <f t="shared" ref="AC475:AC488" si="679">MAX(BM474,0)</f>
        <v>0</v>
      </c>
      <c r="AD475" s="1">
        <f>ROUNDDOWN(I475*(1+IF(F475=3,0.05+方案参数!$Y$16+AA475*0.12,IF(F475=4,方案参数!$BZ$16*方案参数!$AS$16,0)))+IF(AND(X475=1,F475&lt;&gt;3),方案参数!$CC$16,0)+AC475*方案参数!$CB$16,0)</f>
        <v>2986</v>
      </c>
      <c r="AE475" s="1">
        <f>IF(OR(F475=1,F475=4),配置与结果!$B$24,配置与结果!$B$25)*MAX(0,1-INDEX(配置与结果!$I$15:$I$18,F475))</f>
        <v>1000</v>
      </c>
      <c r="AF475" s="1">
        <f>0</f>
        <v>0</v>
      </c>
      <c r="AG475" s="1">
        <f>MAX(配置与结果!$B$32,1+INDEX(配置与结果!$F$15:$F$18,F475)+0+Q475*方案参数!$W$16+Y475*(方案参数!$AN$16+MIN(方案参数!$AO$16,P475*0.03))+AB475*方案参数!$BZ$16*0.025-配置与结果!$B$28)</f>
        <v>0.65499999999999992</v>
      </c>
      <c r="AH475" s="1">
        <f>MAX(0,1+INDEX(配置与结果!$G$15:$G$18,F475)+W475*方案参数!$AG$16)</f>
        <v>1</v>
      </c>
      <c r="AI475" s="1">
        <f>IF(OR(INDEX(配置与结果!$K$15:$K$18,F475)=1,G475="RHI_BERRY"),1+配置与结果!$B$33+P475*方案参数!$AH$16,1)</f>
        <v>1</v>
      </c>
      <c r="AJ475" s="1">
        <f>MIN(1,MAX(0,J475+方案参数!$AB$16-配置与结果!$B$27))</f>
        <v>0.85499999999999998</v>
      </c>
      <c r="AK475" s="1">
        <f>MAX(1,K475+IF(F475=2,0.15+方案参数!$CH$16,0)+BN475*方案参数!$X$16+R475*方案参数!$AA$16+0-配置与结果!$B$26+Z475*(方案参数!$AP$16+MIN(方案参数!$AQ$16,P475*0.03)))</f>
        <v>1.33</v>
      </c>
      <c r="AL475" s="7">
        <f>ROUNDDOWN(MAX(AD475*配置与结果!$B$31,AD475-AE475)*AF475*AG475*AH475*AI475,0)</f>
        <v>0</v>
      </c>
      <c r="AM475" s="7">
        <f>ROUNDDOWN(MAX(AD475*配置与结果!$B$31,AD475-AE475)*AF475*AG475*AH475*AI475*AK475,0)</f>
        <v>0</v>
      </c>
      <c r="AN475" s="7">
        <f t="shared" si="652"/>
        <v>0</v>
      </c>
      <c r="AO475" s="7">
        <f>0</f>
        <v>0</v>
      </c>
      <c r="AP475" s="7">
        <f>MAX(0,1+INDEX(配置与结果!$J$15:$J$18,F475)+IF(T475&gt;0,方案参数!$BY$16,0)-配置与结果!$B$30)</f>
        <v>1</v>
      </c>
      <c r="AQ475" s="7">
        <f t="shared" si="653"/>
        <v>0</v>
      </c>
      <c r="AR475" s="7">
        <f t="shared" si="654"/>
        <v>0</v>
      </c>
      <c r="AS475" s="7">
        <f t="shared" si="655"/>
        <v>0</v>
      </c>
      <c r="AT475" s="7">
        <f>0</f>
        <v>0</v>
      </c>
      <c r="AU475" s="7">
        <f t="shared" si="656"/>
        <v>0</v>
      </c>
      <c r="AV475" s="1">
        <f t="shared" si="657"/>
        <v>0</v>
      </c>
      <c r="AW475" s="1">
        <f t="shared" si="664"/>
        <v>0</v>
      </c>
      <c r="AX475" s="1">
        <f t="shared" si="658"/>
        <v>0</v>
      </c>
      <c r="AY475" s="1">
        <f>MIN(20,MAX(0,O475+0+0-0))</f>
        <v>0</v>
      </c>
      <c r="AZ475" s="1">
        <f t="shared" si="659"/>
        <v>3</v>
      </c>
      <c r="BA475" s="1">
        <f>MIN(6,Q475+1)</f>
        <v>2</v>
      </c>
      <c r="BB475" s="1">
        <f t="shared" ref="BB475:BB488" si="680">MIN(30,R475+0)</f>
        <v>5</v>
      </c>
      <c r="BC475" s="1">
        <f t="shared" si="661"/>
        <v>0</v>
      </c>
      <c r="BD475" s="1">
        <f t="shared" si="634"/>
        <v>0</v>
      </c>
      <c r="BE475" s="1">
        <f t="shared" ref="BE475:BE496" si="681">BE474</f>
        <v>0</v>
      </c>
      <c r="BF475" s="1">
        <f t="shared" si="665"/>
        <v>0</v>
      </c>
      <c r="BG475" s="1">
        <f>MAX(W475,1)</f>
        <v>1</v>
      </c>
      <c r="BH475" s="1">
        <f t="shared" ref="BH475:BH509" si="682">MAX(X475,0)</f>
        <v>1</v>
      </c>
      <c r="BI475" s="1">
        <f>MAX(Y475,1)</f>
        <v>1</v>
      </c>
      <c r="BJ475" s="1">
        <f t="shared" si="648"/>
        <v>0</v>
      </c>
      <c r="BK475" s="1">
        <f t="shared" si="649"/>
        <v>0</v>
      </c>
      <c r="BL475" s="1">
        <f t="shared" si="662"/>
        <v>0</v>
      </c>
      <c r="BM475" s="1">
        <f t="shared" si="660"/>
        <v>0</v>
      </c>
      <c r="BN475" s="1">
        <f t="shared" ref="BN475:BN509" si="683">BO474</f>
        <v>1</v>
      </c>
      <c r="BO475" s="1">
        <f t="shared" ref="BO475:BO509" si="684">MAX(BN475,0)</f>
        <v>1</v>
      </c>
    </row>
    <row r="476" spans="1:67" ht="30.95" customHeight="1">
      <c r="A476" s="1">
        <f>13</f>
        <v>13</v>
      </c>
      <c r="B476" s="1">
        <f>固定流程!A8</f>
        <v>3</v>
      </c>
      <c r="C476" s="1">
        <f>16</f>
        <v>16</v>
      </c>
      <c r="D476" s="1">
        <f>1</f>
        <v>1</v>
      </c>
      <c r="E476" s="1">
        <f>固定流程!C8</f>
        <v>1</v>
      </c>
      <c r="F476" s="1">
        <f>固定流程!G8</f>
        <v>1</v>
      </c>
      <c r="G476" s="1" t="str">
        <f>固定流程!H8</f>
        <v>LILYA_COBRA</v>
      </c>
      <c r="H476" s="1">
        <f>固定流程!F8</f>
        <v>1</v>
      </c>
      <c r="I476" s="1">
        <f>INDEX(配置与结果!$B$15:$B$18,F476)</f>
        <v>2296</v>
      </c>
      <c r="J476" s="1">
        <f>INDEX(配置与结果!$D$15:$D$18,F476)</f>
        <v>0.7</v>
      </c>
      <c r="K476" s="1">
        <f>INDEX(配置与结果!$E$15:$E$18,F476)</f>
        <v>2.0249999999999999</v>
      </c>
      <c r="L476" s="1">
        <f t="shared" si="666"/>
        <v>0</v>
      </c>
      <c r="M476" s="1">
        <f t="shared" si="666"/>
        <v>0</v>
      </c>
      <c r="N476" s="1">
        <f t="shared" si="666"/>
        <v>0</v>
      </c>
      <c r="O476" s="1">
        <f t="shared" si="666"/>
        <v>0</v>
      </c>
      <c r="P476" s="1">
        <f>MIN(方案参数!$AI$16,AZ475+0+0)</f>
        <v>3</v>
      </c>
      <c r="Q476" s="1">
        <f t="shared" si="667"/>
        <v>2</v>
      </c>
      <c r="R476" s="1">
        <f t="shared" si="668"/>
        <v>5</v>
      </c>
      <c r="S476" s="1">
        <f t="shared" si="669"/>
        <v>0</v>
      </c>
      <c r="T476" s="1">
        <f t="shared" si="670"/>
        <v>0</v>
      </c>
      <c r="U476" s="1">
        <f t="shared" si="671"/>
        <v>0</v>
      </c>
      <c r="V476" s="1">
        <f t="shared" si="672"/>
        <v>0</v>
      </c>
      <c r="W476" s="1">
        <f t="shared" si="673"/>
        <v>1</v>
      </c>
      <c r="X476" s="1">
        <f t="shared" si="674"/>
        <v>1</v>
      </c>
      <c r="Y476" s="1">
        <f t="shared" si="675"/>
        <v>1</v>
      </c>
      <c r="Z476" s="1">
        <f t="shared" si="676"/>
        <v>0</v>
      </c>
      <c r="AA476" s="1">
        <f t="shared" si="677"/>
        <v>0</v>
      </c>
      <c r="AB476" s="1">
        <f t="shared" si="678"/>
        <v>0</v>
      </c>
      <c r="AC476" s="1">
        <f t="shared" si="679"/>
        <v>0</v>
      </c>
      <c r="AD476" s="1">
        <f>ROUNDDOWN(I476*(1+IF(F476=3,0.05+方案参数!$Y$16+AA476*0.12,IF(F476=4,方案参数!$BZ$16*方案参数!$AS$16,0)))+IF(AND(X476=1,F476&lt;&gt;3),方案参数!$CC$16,0)+AC476*方案参数!$CB$16,0)</f>
        <v>2534</v>
      </c>
      <c r="AE476" s="1">
        <f>IF(OR(F476=1,F476=4),配置与结果!$B$24,配置与结果!$B$25)*MAX(0,1-INDEX(配置与结果!$I$15:$I$18,F476))</f>
        <v>1200</v>
      </c>
      <c r="AF476" s="1">
        <f>0</f>
        <v>0</v>
      </c>
      <c r="AG476" s="1">
        <f>MAX(配置与结果!$B$32,1+INDEX(配置与结果!$F$15:$F$18,F476)+0.08+方案参数!$CD$16+Q476*方案参数!$W$16+Y476*(方案参数!$AN$16+MIN(方案参数!$AO$16,P476*0.03))+AB476*方案参数!$BZ$16*0.025-配置与结果!$B$28)</f>
        <v>1.2200000000000002</v>
      </c>
      <c r="AH476" s="1">
        <f>MAX(0,1+INDEX(配置与结果!$G$15:$G$18,F476)+W476*方案参数!$AG$16)</f>
        <v>1.3</v>
      </c>
      <c r="AI476" s="1">
        <f>IF(OR(INDEX(配置与结果!$K$15:$K$18,F476)=1,G476="RHI_BERRY"),1+配置与结果!$B$33+P476*方案参数!$AH$16,1)</f>
        <v>1</v>
      </c>
      <c r="AJ476" s="1">
        <f>MIN(1,MAX(0,J476+方案参数!$AB$16-配置与结果!$B$27))</f>
        <v>1</v>
      </c>
      <c r="AK476" s="1">
        <f>MAX(1,K476+IF(F476=2,0.15+方案参数!$CH$16,0)+BN476*方案参数!$X$16+R476*方案参数!$AA$16+0-配置与结果!$B$26+Z476*(方案参数!$AP$16+MIN(方案参数!$AQ$16,P476*0.03)))</f>
        <v>1.8050000000000002</v>
      </c>
      <c r="AL476" s="7">
        <f>ROUNDDOWN(MAX(AD476*配置与结果!$B$31,AD476-AE476)*AF476*AG476*AH476*AI476,0)</f>
        <v>0</v>
      </c>
      <c r="AM476" s="7">
        <f>ROUNDDOWN(MAX(AD476*配置与结果!$B$31,AD476-AE476)*AF476*AG476*AH476*AI476*AK476,0)</f>
        <v>0</v>
      </c>
      <c r="AN476" s="7">
        <f t="shared" si="652"/>
        <v>0</v>
      </c>
      <c r="AO476" s="7">
        <f>0</f>
        <v>0</v>
      </c>
      <c r="AP476" s="7">
        <f>MAX(0,1+INDEX(配置与结果!$J$15:$J$18,F476)+IF(T476&gt;0,方案参数!$BY$16,0)-配置与结果!$B$30)</f>
        <v>1</v>
      </c>
      <c r="AQ476" s="7">
        <f t="shared" si="653"/>
        <v>0</v>
      </c>
      <c r="AR476" s="7">
        <f t="shared" si="654"/>
        <v>0</v>
      </c>
      <c r="AS476" s="7">
        <f t="shared" si="655"/>
        <v>0</v>
      </c>
      <c r="AT476" s="7">
        <f>0</f>
        <v>0</v>
      </c>
      <c r="AU476" s="7">
        <f t="shared" si="656"/>
        <v>0</v>
      </c>
      <c r="AV476" s="1">
        <f t="shared" si="657"/>
        <v>1</v>
      </c>
      <c r="AW476" s="1">
        <f>MIN(10,M476+方案参数!$BD$16+0)</f>
        <v>3</v>
      </c>
      <c r="AX476" s="1">
        <f t="shared" si="658"/>
        <v>0</v>
      </c>
      <c r="AY476" s="1">
        <f>MIN(20,MAX(0,O476+6+0-0))</f>
        <v>6</v>
      </c>
      <c r="AZ476" s="1">
        <f t="shared" si="659"/>
        <v>3</v>
      </c>
      <c r="BA476" s="1">
        <f>MIN(6,Q476+0)</f>
        <v>2</v>
      </c>
      <c r="BB476" s="1">
        <f t="shared" si="680"/>
        <v>5</v>
      </c>
      <c r="BC476" s="1">
        <f t="shared" si="661"/>
        <v>0</v>
      </c>
      <c r="BD476" s="1">
        <f t="shared" si="634"/>
        <v>0</v>
      </c>
      <c r="BE476" s="1">
        <f t="shared" si="681"/>
        <v>0</v>
      </c>
      <c r="BF476" s="1">
        <f t="shared" si="665"/>
        <v>0</v>
      </c>
      <c r="BG476" s="1">
        <f t="shared" ref="BG476:BG486" si="685">MAX(W476,0)</f>
        <v>1</v>
      </c>
      <c r="BH476" s="1">
        <f t="shared" si="682"/>
        <v>1</v>
      </c>
      <c r="BI476" s="1">
        <f t="shared" ref="BI476:BI486" si="686">MAX(Y476,0)</f>
        <v>1</v>
      </c>
      <c r="BJ476" s="1">
        <f t="shared" si="648"/>
        <v>0</v>
      </c>
      <c r="BK476" s="1">
        <f t="shared" si="649"/>
        <v>0</v>
      </c>
      <c r="BL476" s="1">
        <f t="shared" si="662"/>
        <v>0</v>
      </c>
      <c r="BM476" s="1">
        <f t="shared" si="660"/>
        <v>0</v>
      </c>
      <c r="BN476" s="1">
        <f t="shared" si="683"/>
        <v>1</v>
      </c>
      <c r="BO476" s="1">
        <f t="shared" si="684"/>
        <v>1</v>
      </c>
    </row>
    <row r="477" spans="1:67" ht="30.95" customHeight="1">
      <c r="A477" s="1">
        <f>13</f>
        <v>13</v>
      </c>
      <c r="B477" s="1">
        <f>固定流程!A9</f>
        <v>4</v>
      </c>
      <c r="C477" s="1">
        <f>16</f>
        <v>16</v>
      </c>
      <c r="D477" s="1">
        <f>1</f>
        <v>1</v>
      </c>
      <c r="E477" s="1">
        <f>固定流程!C9</f>
        <v>1</v>
      </c>
      <c r="F477" s="1">
        <f>固定流程!G9</f>
        <v>1</v>
      </c>
      <c r="G477" s="1" t="str">
        <f>固定流程!H9</f>
        <v>LILYA_DIVE</v>
      </c>
      <c r="H477" s="1">
        <f>固定流程!F9</f>
        <v>1</v>
      </c>
      <c r="I477" s="1">
        <f>INDEX(配置与结果!$B$15:$B$18,F477)</f>
        <v>2296</v>
      </c>
      <c r="J477" s="1">
        <f>INDEX(配置与结果!$D$15:$D$18,F477)</f>
        <v>0.7</v>
      </c>
      <c r="K477" s="1">
        <f>INDEX(配置与结果!$E$15:$E$18,F477)</f>
        <v>2.0249999999999999</v>
      </c>
      <c r="L477" s="1">
        <f t="shared" si="666"/>
        <v>1</v>
      </c>
      <c r="M477" s="1">
        <f t="shared" si="666"/>
        <v>3</v>
      </c>
      <c r="N477" s="1">
        <f t="shared" si="666"/>
        <v>0</v>
      </c>
      <c r="O477" s="1">
        <f t="shared" si="666"/>
        <v>6</v>
      </c>
      <c r="P477" s="1">
        <f>MIN(方案参数!$AI$16,AZ476+0+0)</f>
        <v>3</v>
      </c>
      <c r="Q477" s="1">
        <f t="shared" si="667"/>
        <v>2</v>
      </c>
      <c r="R477" s="1">
        <f t="shared" si="668"/>
        <v>5</v>
      </c>
      <c r="S477" s="1">
        <f t="shared" si="669"/>
        <v>0</v>
      </c>
      <c r="T477" s="1">
        <f t="shared" si="670"/>
        <v>0</v>
      </c>
      <c r="U477" s="1">
        <f t="shared" si="671"/>
        <v>0</v>
      </c>
      <c r="V477" s="1">
        <f t="shared" si="672"/>
        <v>0</v>
      </c>
      <c r="W477" s="1">
        <f t="shared" si="673"/>
        <v>1</v>
      </c>
      <c r="X477" s="1">
        <f t="shared" si="674"/>
        <v>1</v>
      </c>
      <c r="Y477" s="1">
        <f t="shared" si="675"/>
        <v>1</v>
      </c>
      <c r="Z477" s="1">
        <f t="shared" si="676"/>
        <v>0</v>
      </c>
      <c r="AA477" s="1">
        <f t="shared" si="677"/>
        <v>0</v>
      </c>
      <c r="AB477" s="1">
        <f t="shared" si="678"/>
        <v>0</v>
      </c>
      <c r="AC477" s="1">
        <f t="shared" si="679"/>
        <v>0</v>
      </c>
      <c r="AD477" s="1">
        <f>ROUNDDOWN(I477*(1+IF(F477=3,0.05+方案参数!$Y$16+AA477*0.12,IF(F477=4,方案参数!$BZ$16*方案参数!$AS$16,0)))+IF(AND(X477=1,F477&lt;&gt;3),方案参数!$CC$16,0)+AC477*方案参数!$CB$16,0)</f>
        <v>2534</v>
      </c>
      <c r="AE477" s="1">
        <f>IF(OR(F477=1,F477=4),配置与结果!$B$24,配置与结果!$B$25)*MAX(0,1-INDEX(配置与结果!$I$15:$I$18,F477))</f>
        <v>1200</v>
      </c>
      <c r="AF477" s="1">
        <f>(IF(L477=1,方案参数!$AW$16,IF(L477=2,方案参数!$AX$16,0))+方案参数!$AV$16)*H477</f>
        <v>6</v>
      </c>
      <c r="AG477" s="1">
        <f>MAX(配置与结果!$B$32,1+INDEX(配置与结果!$F$15:$F$18,F477)+0.08+方案参数!$CD$16+Q477*方案参数!$W$16+Y477*(方案参数!$AN$16+MIN(方案参数!$AO$16,P477*0.03))+AB477*方案参数!$BZ$16*0.025+IF(L477=1,方案参数!$AY$16+(H477-1)*0.1,IF(L477=2,方案参数!$AZ$16+(H477-1)*0.2,0))-配置与结果!$B$28)</f>
        <v>1.3200000000000003</v>
      </c>
      <c r="AH477" s="1">
        <f>MAX(0,1+INDEX(配置与结果!$G$15:$G$18,F477)+W477*方案参数!$AG$16+IF(L477=1,方案参数!$BA$16,IF(L477=2,方案参数!$BB$16,0))+M477*方案参数!$BC$16)</f>
        <v>2.08</v>
      </c>
      <c r="AI477" s="1">
        <f>IF(OR(INDEX(配置与结果!$K$15:$K$18,F477)=1,G477="RHI_BERRY"),1+配置与结果!$B$33+P477*方案参数!$AH$16,1)</f>
        <v>1</v>
      </c>
      <c r="AJ477" s="1">
        <f>MIN(1,MAX(0,J477+方案参数!$AB$16-配置与结果!$B$27))</f>
        <v>1</v>
      </c>
      <c r="AK477" s="1">
        <f>MAX(1,K477+IF(F477=2,0.15+方案参数!$CH$16,0)+BN477*方案参数!$X$16+R477*方案参数!$AA$16+0-配置与结果!$B$26+Z477*(方案参数!$AP$16+MIN(方案参数!$AQ$16,P477*0.03)))</f>
        <v>1.8050000000000002</v>
      </c>
      <c r="AL477" s="7">
        <f>ROUNDDOWN(MAX(AD477*配置与结果!$B$31,AD477-AE477)*AF477*AG477*AH477*AI477,0)</f>
        <v>21975</v>
      </c>
      <c r="AM477" s="7">
        <f>ROUNDDOWN(MAX(AD477*配置与结果!$B$31,AD477-AE477)*AF477*AG477*AH477*AI477*AK477,0)</f>
        <v>39666</v>
      </c>
      <c r="AN477" s="7">
        <f t="shared" si="652"/>
        <v>39666</v>
      </c>
      <c r="AO477" s="7">
        <f>0</f>
        <v>0</v>
      </c>
      <c r="AP477" s="7">
        <f>MAX(0,1+INDEX(配置与结果!$J$15:$J$18,F477)+IF(T477&gt;0,方案参数!$BY$16,0)-配置与结果!$B$30)</f>
        <v>1</v>
      </c>
      <c r="AQ477" s="7">
        <f t="shared" si="653"/>
        <v>0</v>
      </c>
      <c r="AR477" s="7">
        <f t="shared" si="654"/>
        <v>0</v>
      </c>
      <c r="AS477" s="7">
        <f t="shared" si="655"/>
        <v>0</v>
      </c>
      <c r="AT477" s="7">
        <f>0</f>
        <v>0</v>
      </c>
      <c r="AU477" s="7">
        <f t="shared" si="656"/>
        <v>39666</v>
      </c>
      <c r="AV477" s="1">
        <f t="shared" si="657"/>
        <v>1</v>
      </c>
      <c r="AW477" s="1">
        <f>MIN(10,M477+0+IF(L477=1,方案参数!$BE$16,0))</f>
        <v>4</v>
      </c>
      <c r="AX477" s="1">
        <f t="shared" si="658"/>
        <v>0</v>
      </c>
      <c r="AY477" s="1">
        <f t="shared" ref="AY477:AY492" si="687">MIN(20,MAX(0,O477+0+0-0))</f>
        <v>6</v>
      </c>
      <c r="AZ477" s="1">
        <f t="shared" si="659"/>
        <v>3</v>
      </c>
      <c r="BA477" s="1">
        <f>MIN(6,Q477+0)</f>
        <v>2</v>
      </c>
      <c r="BB477" s="1">
        <f t="shared" si="680"/>
        <v>5</v>
      </c>
      <c r="BC477" s="1">
        <f t="shared" si="661"/>
        <v>0</v>
      </c>
      <c r="BD477" s="1">
        <f t="shared" si="634"/>
        <v>0</v>
      </c>
      <c r="BE477" s="1">
        <f t="shared" si="681"/>
        <v>0</v>
      </c>
      <c r="BF477" s="1">
        <f t="shared" si="665"/>
        <v>0</v>
      </c>
      <c r="BG477" s="1">
        <f t="shared" si="685"/>
        <v>1</v>
      </c>
      <c r="BH477" s="1">
        <f t="shared" si="682"/>
        <v>1</v>
      </c>
      <c r="BI477" s="1">
        <f t="shared" si="686"/>
        <v>1</v>
      </c>
      <c r="BJ477" s="1">
        <f t="shared" si="648"/>
        <v>0</v>
      </c>
      <c r="BK477" s="1">
        <f t="shared" si="649"/>
        <v>0</v>
      </c>
      <c r="BL477" s="1">
        <f t="shared" si="662"/>
        <v>0</v>
      </c>
      <c r="BM477" s="1">
        <f t="shared" si="660"/>
        <v>0</v>
      </c>
      <c r="BN477" s="1">
        <f t="shared" si="683"/>
        <v>1</v>
      </c>
      <c r="BO477" s="1">
        <f t="shared" si="684"/>
        <v>1</v>
      </c>
    </row>
    <row r="478" spans="1:67" ht="30.95" customHeight="1">
      <c r="A478" s="1">
        <f>13</f>
        <v>13</v>
      </c>
      <c r="B478" s="1">
        <f>固定流程!A10</f>
        <v>5</v>
      </c>
      <c r="C478" s="1">
        <f>16</f>
        <v>16</v>
      </c>
      <c r="D478" s="1">
        <f>1</f>
        <v>1</v>
      </c>
      <c r="E478" s="1">
        <f>固定流程!C10</f>
        <v>1</v>
      </c>
      <c r="F478" s="1">
        <f>固定流程!G10</f>
        <v>2</v>
      </c>
      <c r="G478" s="1" t="str">
        <f>固定流程!H10</f>
        <v>37_TRIANGLE</v>
      </c>
      <c r="H478" s="1">
        <f>固定流程!F10</f>
        <v>1</v>
      </c>
      <c r="I478" s="1">
        <f>INDEX(配置与结果!$B$15:$B$18,F478)</f>
        <v>2306</v>
      </c>
      <c r="J478" s="1">
        <f>INDEX(配置与结果!$D$15:$D$18,F478)</f>
        <v>0.46</v>
      </c>
      <c r="K478" s="1">
        <f>INDEX(配置与结果!$E$15:$E$18,F478)</f>
        <v>1.9279999999999999</v>
      </c>
      <c r="L478" s="1">
        <f t="shared" si="666"/>
        <v>1</v>
      </c>
      <c r="M478" s="1">
        <f t="shared" si="666"/>
        <v>4</v>
      </c>
      <c r="N478" s="1">
        <f t="shared" si="666"/>
        <v>0</v>
      </c>
      <c r="O478" s="1">
        <f t="shared" si="666"/>
        <v>6</v>
      </c>
      <c r="P478" s="1">
        <f>MIN(方案参数!$AI$16,AZ477+0+0)</f>
        <v>3</v>
      </c>
      <c r="Q478" s="1">
        <f t="shared" si="667"/>
        <v>2</v>
      </c>
      <c r="R478" s="1">
        <f t="shared" si="668"/>
        <v>5</v>
      </c>
      <c r="S478" s="1">
        <f t="shared" si="669"/>
        <v>0</v>
      </c>
      <c r="T478" s="1">
        <f t="shared" si="670"/>
        <v>0</v>
      </c>
      <c r="U478" s="1">
        <f t="shared" si="671"/>
        <v>0</v>
      </c>
      <c r="V478" s="1">
        <f t="shared" si="672"/>
        <v>0</v>
      </c>
      <c r="W478" s="1">
        <f t="shared" si="673"/>
        <v>1</v>
      </c>
      <c r="X478" s="1">
        <f t="shared" si="674"/>
        <v>1</v>
      </c>
      <c r="Y478" s="1">
        <f t="shared" si="675"/>
        <v>1</v>
      </c>
      <c r="Z478" s="1">
        <f t="shared" si="676"/>
        <v>0</v>
      </c>
      <c r="AA478" s="1">
        <f t="shared" si="677"/>
        <v>0</v>
      </c>
      <c r="AB478" s="1">
        <f t="shared" si="678"/>
        <v>0</v>
      </c>
      <c r="AC478" s="1">
        <f t="shared" si="679"/>
        <v>0</v>
      </c>
      <c r="AD478" s="1">
        <f>ROUNDDOWN(I478*(1+IF(F478=3,0.05+方案参数!$Y$16+AA478*0.12,IF(F478=4,方案参数!$BZ$16*方案参数!$AS$16,0)))+IF(AND(X478=1,F478&lt;&gt;3),方案参数!$CC$16,0)+AC478*方案参数!$CB$16,0)</f>
        <v>2544</v>
      </c>
      <c r="AE478" s="1">
        <f>IF(OR(F478=1,F478=4),配置与结果!$B$24,配置与结果!$B$25)*MAX(0,1-INDEX(配置与结果!$I$15:$I$18,F478))</f>
        <v>1000</v>
      </c>
      <c r="AF478" s="1">
        <f>方案参数!$BS$16*IF(H478=1,1,IF(H478=2,1.5,2.5))</f>
        <v>3</v>
      </c>
      <c r="AG478" s="1">
        <f>MAX(配置与结果!$B$32,1+INDEX(配置与结果!$F$15:$F$18,F478)+0+Q478*方案参数!$W$16+Y478*(方案参数!$AN$16+MIN(方案参数!$AO$16,P478*0.03))+AB478*方案参数!$BZ$16*0.025-配置与结果!$B$28)</f>
        <v>0.8849999999999999</v>
      </c>
      <c r="AH478" s="1">
        <f>MAX(0,1+INDEX(配置与结果!$G$15:$G$18,F478)+W478*方案参数!$AG$16)</f>
        <v>1.3</v>
      </c>
      <c r="AI478" s="1">
        <f>IF(OR(INDEX(配置与结果!$K$15:$K$18,F478)=1,G478="RHI_BERRY"),1+配置与结果!$B$33+P478*方案参数!$AH$16,1)</f>
        <v>1</v>
      </c>
      <c r="AJ478" s="1">
        <f>MIN(1,MAX(0,J478+方案参数!$AB$16-配置与结果!$B$27))</f>
        <v>1</v>
      </c>
      <c r="AK478" s="1">
        <f>MAX(1,K478+IF(F478=2,0.15+方案参数!$CH$16,0)+BN478*方案参数!$X$16+R478*方案参数!$AA$16+0-配置与结果!$B$26+Z478*(方案参数!$AP$16+MIN(方案参数!$AQ$16,P478*0.03)))</f>
        <v>1.9780000000000002</v>
      </c>
      <c r="AL478" s="7">
        <f>ROUNDDOWN(MAX(AD478*配置与结果!$B$31,AD478-AE478)*AF478*AG478*AH478*AI478,0)</f>
        <v>5329</v>
      </c>
      <c r="AM478" s="7">
        <f>ROUNDDOWN(MAX(AD478*配置与结果!$B$31,AD478-AE478)*AF478*AG478*AH478*AI478*AK478,0)</f>
        <v>10540</v>
      </c>
      <c r="AN478" s="7">
        <f t="shared" si="652"/>
        <v>10540</v>
      </c>
      <c r="AO478" s="7">
        <f>方案参数!$BU$16*IF(H478=1,1,IF(H478=2,1.5,2.5))</f>
        <v>1</v>
      </c>
      <c r="AP478" s="7">
        <f>MAX(0,1+INDEX(配置与结果!$J$15:$J$18,F478)+IF(T478&gt;0,方案参数!$BY$16,0)-配置与结果!$B$30)</f>
        <v>1</v>
      </c>
      <c r="AQ478" s="7">
        <f t="shared" si="653"/>
        <v>2544</v>
      </c>
      <c r="AR478" s="7">
        <f t="shared" si="654"/>
        <v>5032</v>
      </c>
      <c r="AS478" s="7">
        <f t="shared" si="655"/>
        <v>5032</v>
      </c>
      <c r="AT478" s="7">
        <f>0</f>
        <v>0</v>
      </c>
      <c r="AU478" s="7">
        <f t="shared" si="656"/>
        <v>15572</v>
      </c>
      <c r="AV478" s="1">
        <f t="shared" si="657"/>
        <v>1</v>
      </c>
      <c r="AW478" s="1">
        <f>MIN(10,M478+0+0)</f>
        <v>4</v>
      </c>
      <c r="AX478" s="1">
        <f t="shared" si="658"/>
        <v>0</v>
      </c>
      <c r="AY478" s="1">
        <f t="shared" si="687"/>
        <v>6</v>
      </c>
      <c r="AZ478" s="1">
        <f t="shared" si="659"/>
        <v>3</v>
      </c>
      <c r="BA478" s="1">
        <f>MIN(6,Q478+0)</f>
        <v>2</v>
      </c>
      <c r="BB478" s="1">
        <f t="shared" si="680"/>
        <v>5</v>
      </c>
      <c r="BC478" s="1">
        <f t="shared" si="661"/>
        <v>0</v>
      </c>
      <c r="BD478" s="1">
        <f>MAX(0,T478-IF(AO478&gt;0,1,0))+1</f>
        <v>1</v>
      </c>
      <c r="BE478" s="1">
        <f t="shared" si="681"/>
        <v>0</v>
      </c>
      <c r="BF478" s="1">
        <f t="shared" si="665"/>
        <v>0</v>
      </c>
      <c r="BG478" s="1">
        <f t="shared" si="685"/>
        <v>1</v>
      </c>
      <c r="BH478" s="1">
        <f t="shared" si="682"/>
        <v>1</v>
      </c>
      <c r="BI478" s="1">
        <f t="shared" si="686"/>
        <v>1</v>
      </c>
      <c r="BJ478" s="1">
        <f t="shared" si="648"/>
        <v>0</v>
      </c>
      <c r="BK478" s="1">
        <f t="shared" si="649"/>
        <v>0</v>
      </c>
      <c r="BL478" s="1">
        <f t="shared" si="662"/>
        <v>0</v>
      </c>
      <c r="BM478" s="1">
        <f t="shared" si="660"/>
        <v>0</v>
      </c>
      <c r="BN478" s="1">
        <f t="shared" si="683"/>
        <v>1</v>
      </c>
      <c r="BO478" s="1">
        <f t="shared" si="684"/>
        <v>1</v>
      </c>
    </row>
    <row r="479" spans="1:67" ht="30.95" customHeight="1">
      <c r="A479" s="1">
        <f>13</f>
        <v>13</v>
      </c>
      <c r="B479" s="1">
        <f>固定流程!A11</f>
        <v>6</v>
      </c>
      <c r="C479" s="1">
        <f>16</f>
        <v>16</v>
      </c>
      <c r="D479" s="1">
        <f>1</f>
        <v>1</v>
      </c>
      <c r="E479" s="1">
        <f>固定流程!C11</f>
        <v>1</v>
      </c>
      <c r="F479" s="1">
        <f>固定流程!G11</f>
        <v>2</v>
      </c>
      <c r="G479" s="1" t="str">
        <f>固定流程!H11</f>
        <v>37_FOLLOW</v>
      </c>
      <c r="H479" s="1">
        <f>固定流程!F11</f>
        <v>1</v>
      </c>
      <c r="I479" s="1">
        <f>INDEX(配置与结果!$B$15:$B$18,F479)</f>
        <v>2306</v>
      </c>
      <c r="J479" s="1">
        <f>INDEX(配置与结果!$D$15:$D$18,F479)</f>
        <v>0.46</v>
      </c>
      <c r="K479" s="1">
        <f>INDEX(配置与结果!$E$15:$E$18,F479)</f>
        <v>1.9279999999999999</v>
      </c>
      <c r="L479" s="1">
        <f t="shared" si="666"/>
        <v>1</v>
      </c>
      <c r="M479" s="1">
        <f t="shared" si="666"/>
        <v>4</v>
      </c>
      <c r="N479" s="1">
        <f t="shared" si="666"/>
        <v>0</v>
      </c>
      <c r="O479" s="1">
        <f t="shared" si="666"/>
        <v>6</v>
      </c>
      <c r="P479" s="1">
        <f>MIN(方案参数!$AI$16,AZ478+0+0)</f>
        <v>3</v>
      </c>
      <c r="Q479" s="1">
        <f t="shared" si="667"/>
        <v>2</v>
      </c>
      <c r="R479" s="1">
        <f t="shared" si="668"/>
        <v>5</v>
      </c>
      <c r="S479" s="1">
        <f t="shared" si="669"/>
        <v>0</v>
      </c>
      <c r="T479" s="1">
        <f t="shared" si="670"/>
        <v>1</v>
      </c>
      <c r="U479" s="1">
        <f t="shared" si="671"/>
        <v>0</v>
      </c>
      <c r="V479" s="1">
        <f t="shared" si="672"/>
        <v>0</v>
      </c>
      <c r="W479" s="1">
        <f t="shared" si="673"/>
        <v>1</v>
      </c>
      <c r="X479" s="1">
        <f t="shared" si="674"/>
        <v>1</v>
      </c>
      <c r="Y479" s="1">
        <f t="shared" si="675"/>
        <v>1</v>
      </c>
      <c r="Z479" s="1">
        <f t="shared" si="676"/>
        <v>0</v>
      </c>
      <c r="AA479" s="1">
        <f t="shared" si="677"/>
        <v>0</v>
      </c>
      <c r="AB479" s="1">
        <f t="shared" si="678"/>
        <v>0</v>
      </c>
      <c r="AC479" s="1">
        <f t="shared" si="679"/>
        <v>0</v>
      </c>
      <c r="AD479" s="1">
        <f>ROUNDDOWN(I479*(1+IF(F479=3,0.05+方案参数!$Y$16+AA479*0.12,IF(F479=4,方案参数!$BZ$16*方案参数!$AS$16,0)))+IF(AND(X479=1,F479&lt;&gt;3),方案参数!$CC$16,0)+AC479*方案参数!$CB$16,0)</f>
        <v>2544</v>
      </c>
      <c r="AE479" s="1">
        <f>IF(OR(F479=1,F479=4),配置与结果!$B$24,配置与结果!$B$25)*MAX(0,1-INDEX(配置与结果!$I$15:$I$18,F479))</f>
        <v>1000</v>
      </c>
      <c r="AF479" s="1">
        <f>方案参数!$BV$16</f>
        <v>6</v>
      </c>
      <c r="AG479" s="1">
        <f>MAX(配置与结果!$B$32,1+INDEX(配置与结果!$F$15:$F$18,F479)+0+Q479*方案参数!$W$16+Y479*(方案参数!$AN$16+MIN(方案参数!$AO$16,P479*0.03))+AB479*方案参数!$BZ$16*0.025-配置与结果!$B$28)</f>
        <v>0.8849999999999999</v>
      </c>
      <c r="AH479" s="1">
        <f>MAX(0,1+INDEX(配置与结果!$G$15:$G$18,F479)+W479*方案参数!$AG$16)</f>
        <v>1.3</v>
      </c>
      <c r="AI479" s="1">
        <f>IF(OR(INDEX(配置与结果!$K$15:$K$18,F479)=1,G479="RHI_BERRY"),1+配置与结果!$B$33+P479*方案参数!$AH$16,1)</f>
        <v>1</v>
      </c>
      <c r="AJ479" s="1">
        <f>MIN(1,MAX(0,J479+方案参数!$AB$16-配置与结果!$B$27))</f>
        <v>1</v>
      </c>
      <c r="AK479" s="1">
        <f>MAX(1,K479+IF(F479=2,0.15+方案参数!$CH$16,0)+BN479*方案参数!$X$16+R479*方案参数!$AA$16+0-配置与结果!$B$26+Z479*(方案参数!$AP$16+MIN(方案参数!$AQ$16,P479*0.03)))</f>
        <v>1.9780000000000002</v>
      </c>
      <c r="AL479" s="7">
        <f>ROUNDDOWN(MAX(AD479*配置与结果!$B$31,AD479-AE479)*AF479*AG479*AH479*AI479,0)</f>
        <v>10658</v>
      </c>
      <c r="AM479" s="7">
        <f>ROUNDDOWN(MAX(AD479*配置与结果!$B$31,AD479-AE479)*AF479*AG479*AH479*AI479*AK479,0)</f>
        <v>21081</v>
      </c>
      <c r="AN479" s="7">
        <f t="shared" si="652"/>
        <v>21081</v>
      </c>
      <c r="AO479" s="7">
        <f>方案参数!$BW$16</f>
        <v>2</v>
      </c>
      <c r="AP479" s="7">
        <f>MAX(0,1+INDEX(配置与结果!$J$15:$J$18,F479)+IF(T479&gt;0,方案参数!$BY$16,0)-配置与结果!$B$30)</f>
        <v>3</v>
      </c>
      <c r="AQ479" s="7">
        <f t="shared" si="653"/>
        <v>15264</v>
      </c>
      <c r="AR479" s="7">
        <f t="shared" si="654"/>
        <v>30192</v>
      </c>
      <c r="AS479" s="7">
        <f t="shared" si="655"/>
        <v>30192</v>
      </c>
      <c r="AT479" s="7">
        <f>0</f>
        <v>0</v>
      </c>
      <c r="AU479" s="7">
        <f t="shared" si="656"/>
        <v>51273</v>
      </c>
      <c r="AV479" s="1">
        <f t="shared" si="657"/>
        <v>1</v>
      </c>
      <c r="AW479" s="1">
        <f>MIN(10,M479+0+0)</f>
        <v>4</v>
      </c>
      <c r="AX479" s="1">
        <f t="shared" si="658"/>
        <v>0</v>
      </c>
      <c r="AY479" s="1">
        <f t="shared" si="687"/>
        <v>6</v>
      </c>
      <c r="AZ479" s="1">
        <f t="shared" si="659"/>
        <v>3</v>
      </c>
      <c r="BA479" s="1">
        <f>MIN(6,Q479+0)</f>
        <v>2</v>
      </c>
      <c r="BB479" s="1">
        <f t="shared" si="680"/>
        <v>5</v>
      </c>
      <c r="BC479" s="1">
        <f t="shared" si="661"/>
        <v>0</v>
      </c>
      <c r="BD479" s="1">
        <f t="shared" ref="BD479:BD513" si="688">MAX(0,T479-IF(AO479&gt;0,1,0))+0</f>
        <v>0</v>
      </c>
      <c r="BE479" s="1">
        <f t="shared" si="681"/>
        <v>0</v>
      </c>
      <c r="BF479" s="1">
        <f>MIN(4,V479+1)</f>
        <v>1</v>
      </c>
      <c r="BG479" s="1">
        <f t="shared" si="685"/>
        <v>1</v>
      </c>
      <c r="BH479" s="1">
        <f t="shared" si="682"/>
        <v>1</v>
      </c>
      <c r="BI479" s="1">
        <f t="shared" si="686"/>
        <v>1</v>
      </c>
      <c r="BJ479" s="1">
        <f t="shared" si="648"/>
        <v>0</v>
      </c>
      <c r="BK479" s="1">
        <f t="shared" si="649"/>
        <v>0</v>
      </c>
      <c r="BL479" s="1">
        <f t="shared" si="662"/>
        <v>0</v>
      </c>
      <c r="BM479" s="1">
        <f t="shared" si="660"/>
        <v>0</v>
      </c>
      <c r="BN479" s="1">
        <f t="shared" si="683"/>
        <v>1</v>
      </c>
      <c r="BO479" s="1">
        <f t="shared" si="684"/>
        <v>1</v>
      </c>
    </row>
    <row r="480" spans="1:67" ht="30.95" customHeight="1">
      <c r="A480" s="1">
        <f>13</f>
        <v>13</v>
      </c>
      <c r="B480" s="1">
        <f>固定流程!A12</f>
        <v>7</v>
      </c>
      <c r="C480" s="1">
        <f>16</f>
        <v>16</v>
      </c>
      <c r="D480" s="1">
        <f>1</f>
        <v>1</v>
      </c>
      <c r="E480" s="1">
        <f>固定流程!C12</f>
        <v>1</v>
      </c>
      <c r="F480" s="1">
        <f>固定流程!G12</f>
        <v>4</v>
      </c>
      <c r="G480" s="1" t="str">
        <f>固定流程!H12</f>
        <v>J_HARD</v>
      </c>
      <c r="H480" s="1">
        <f>固定流程!F12</f>
        <v>1</v>
      </c>
      <c r="I480" s="1">
        <f>INDEX(配置与结果!$B$15:$B$18,F480)</f>
        <v>1906</v>
      </c>
      <c r="J480" s="1">
        <f>INDEX(配置与结果!$D$15:$D$18,F480)</f>
        <v>0.36699999999999999</v>
      </c>
      <c r="K480" s="1">
        <f>INDEX(配置与结果!$E$15:$E$18,F480)</f>
        <v>1.7170000000000001</v>
      </c>
      <c r="L480" s="1">
        <f t="shared" si="666"/>
        <v>1</v>
      </c>
      <c r="M480" s="1">
        <f t="shared" si="666"/>
        <v>4</v>
      </c>
      <c r="N480" s="1">
        <f t="shared" si="666"/>
        <v>0</v>
      </c>
      <c r="O480" s="1">
        <f t="shared" si="666"/>
        <v>6</v>
      </c>
      <c r="P480" s="1">
        <f>MIN(方案参数!$AI$16,AZ479+0+0)</f>
        <v>3</v>
      </c>
      <c r="Q480" s="1">
        <f t="shared" si="667"/>
        <v>2</v>
      </c>
      <c r="R480" s="1">
        <f t="shared" si="668"/>
        <v>5</v>
      </c>
      <c r="S480" s="1">
        <f t="shared" si="669"/>
        <v>0</v>
      </c>
      <c r="T480" s="1">
        <f t="shared" si="670"/>
        <v>0</v>
      </c>
      <c r="U480" s="1">
        <f t="shared" si="671"/>
        <v>0</v>
      </c>
      <c r="V480" s="1">
        <f t="shared" si="672"/>
        <v>1</v>
      </c>
      <c r="W480" s="1">
        <f t="shared" si="673"/>
        <v>1</v>
      </c>
      <c r="X480" s="1">
        <f t="shared" si="674"/>
        <v>1</v>
      </c>
      <c r="Y480" s="1">
        <f t="shared" si="675"/>
        <v>1</v>
      </c>
      <c r="Z480" s="1">
        <f t="shared" si="676"/>
        <v>0</v>
      </c>
      <c r="AA480" s="1">
        <f t="shared" si="677"/>
        <v>0</v>
      </c>
      <c r="AB480" s="1">
        <f t="shared" si="678"/>
        <v>0</v>
      </c>
      <c r="AC480" s="1">
        <f t="shared" si="679"/>
        <v>0</v>
      </c>
      <c r="AD480" s="1">
        <f>ROUNDDOWN(I480*(1+IF(F480=3,0.05+方案参数!$Y$16+AA480*0.12,IF(F480=4,方案参数!$BZ$16*方案参数!$AS$16,0)))+IF(AND(X480=1,F480&lt;&gt;3),方案参数!$CC$16,0)+AC480*方案参数!$CB$16,0)</f>
        <v>2811</v>
      </c>
      <c r="AE480" s="1">
        <f>IF(OR(F480=1,F480=4),配置与结果!$B$24,配置与结果!$B$25)*MAX(0,1-INDEX(配置与结果!$I$15:$I$18,F480))</f>
        <v>1200</v>
      </c>
      <c r="AF480" s="1">
        <f>3.6*IF(H480=1,1,IF(H480=2,1.5,2.5))</f>
        <v>3.6</v>
      </c>
      <c r="AG480" s="1">
        <f>MAX(配置与结果!$B$32,1+INDEX(配置与结果!$F$15:$F$18,F480)+0.08+Q480*方案参数!$W$16+Y480*(方案参数!$AN$16+MIN(方案参数!$AO$16,P480*0.03))+AB480*方案参数!$BZ$16*0.025+0.1+IF(方案参数!$BZ$16&gt;=30,方案参数!$BZ$16*0.01,0)-配置与结果!$B$28)</f>
        <v>1.4350000000000001</v>
      </c>
      <c r="AH480" s="1">
        <f>MAX(0,1+INDEX(配置与结果!$G$15:$G$18,F480)+W480*方案参数!$AG$16)</f>
        <v>1.3</v>
      </c>
      <c r="AI480" s="1">
        <f>IF(OR(INDEX(配置与结果!$K$15:$K$18,F480)=1,G480="RHI_BERRY"),1+配置与结果!$B$33+P480*方案参数!$AH$16,1)</f>
        <v>1</v>
      </c>
      <c r="AJ480" s="1">
        <f>MIN(1,MAX(0,J480+方案参数!$AB$16-配置与结果!$B$27))</f>
        <v>0.96699999999999997</v>
      </c>
      <c r="AK480" s="1">
        <f>MAX(1,K480+IF(F480=2,0.15+方案参数!$CH$16,0)+BN480*方案参数!$X$16+R480*方案参数!$AA$16+0-配置与结果!$B$26+Z480*(方案参数!$AP$16+MIN(方案参数!$AQ$16,P480*0.03)))</f>
        <v>1.4969999999999999</v>
      </c>
      <c r="AL480" s="7">
        <f>ROUNDDOWN(MAX(AD480*配置与结果!$B$31,AD480-AE480)*AF480*AG480*AH480*AI480,0)</f>
        <v>10819</v>
      </c>
      <c r="AM480" s="7">
        <f>ROUNDDOWN(MAX(AD480*配置与结果!$B$31,AD480-AE480)*AF480*AG480*AH480*AI480*AK480,0)</f>
        <v>16196</v>
      </c>
      <c r="AN480" s="7">
        <f t="shared" si="652"/>
        <v>16018.558999999999</v>
      </c>
      <c r="AO480" s="7">
        <f>0</f>
        <v>0</v>
      </c>
      <c r="AP480" s="7">
        <f>MAX(0,1+INDEX(配置与结果!$J$15:$J$18,F480)+IF(T480&gt;0,方案参数!$BY$16,0)-配置与结果!$B$30)</f>
        <v>1</v>
      </c>
      <c r="AQ480" s="7">
        <f t="shared" si="653"/>
        <v>0</v>
      </c>
      <c r="AR480" s="7">
        <f t="shared" si="654"/>
        <v>0</v>
      </c>
      <c r="AS480" s="7">
        <f t="shared" si="655"/>
        <v>0</v>
      </c>
      <c r="AT480" s="7">
        <f>0</f>
        <v>0</v>
      </c>
      <c r="AU480" s="7">
        <f t="shared" si="656"/>
        <v>16018.558999999999</v>
      </c>
      <c r="AV480" s="1">
        <f t="shared" si="657"/>
        <v>1</v>
      </c>
      <c r="AW480" s="1">
        <f>MIN(10,M480+0+0)</f>
        <v>4</v>
      </c>
      <c r="AX480" s="1">
        <f t="shared" si="658"/>
        <v>0</v>
      </c>
      <c r="AY480" s="1">
        <f t="shared" si="687"/>
        <v>6</v>
      </c>
      <c r="AZ480" s="1">
        <f t="shared" si="659"/>
        <v>3</v>
      </c>
      <c r="BA480" s="1">
        <f>MIN(6,Q480+0)</f>
        <v>2</v>
      </c>
      <c r="BB480" s="1">
        <f t="shared" si="680"/>
        <v>5</v>
      </c>
      <c r="BC480" s="1">
        <f>MIN(3,S480+1)</f>
        <v>1</v>
      </c>
      <c r="BD480" s="1">
        <f t="shared" si="688"/>
        <v>0</v>
      </c>
      <c r="BE480" s="1">
        <f t="shared" si="681"/>
        <v>0</v>
      </c>
      <c r="BF480" s="1">
        <f>MIN(4,V480+0)</f>
        <v>1</v>
      </c>
      <c r="BG480" s="1">
        <f t="shared" si="685"/>
        <v>1</v>
      </c>
      <c r="BH480" s="1">
        <f t="shared" si="682"/>
        <v>1</v>
      </c>
      <c r="BI480" s="1">
        <f t="shared" si="686"/>
        <v>1</v>
      </c>
      <c r="BJ480" s="1">
        <f t="shared" si="648"/>
        <v>0</v>
      </c>
      <c r="BK480" s="1">
        <f t="shared" si="649"/>
        <v>0</v>
      </c>
      <c r="BL480" s="1">
        <f t="shared" si="662"/>
        <v>0</v>
      </c>
      <c r="BM480" s="1">
        <f t="shared" si="660"/>
        <v>0</v>
      </c>
      <c r="BN480" s="1">
        <f t="shared" si="683"/>
        <v>1</v>
      </c>
      <c r="BO480" s="1">
        <f t="shared" si="684"/>
        <v>1</v>
      </c>
    </row>
    <row r="481" spans="1:67" ht="30.95" customHeight="1">
      <c r="A481" s="1">
        <f>13</f>
        <v>13</v>
      </c>
      <c r="B481" s="1">
        <f>固定流程!A13</f>
        <v>8</v>
      </c>
      <c r="C481" s="1">
        <f>16</f>
        <v>16</v>
      </c>
      <c r="D481" s="1">
        <f>1</f>
        <v>1</v>
      </c>
      <c r="E481" s="1">
        <f>固定流程!C13</f>
        <v>2</v>
      </c>
      <c r="F481" s="1">
        <f>固定流程!G13</f>
        <v>3</v>
      </c>
      <c r="G481" s="1" t="str">
        <f>固定流程!H13</f>
        <v>RHI_ATTACK</v>
      </c>
      <c r="H481" s="1">
        <f>固定流程!F13</f>
        <v>1</v>
      </c>
      <c r="I481" s="1">
        <f>INDEX(配置与结果!$B$15:$B$18,F481)</f>
        <v>2597</v>
      </c>
      <c r="J481" s="1">
        <f>INDEX(配置与结果!$D$15:$D$18,F481)</f>
        <v>0.255</v>
      </c>
      <c r="K481" s="1">
        <f>INDEX(配置与结果!$E$15:$E$18,F481)</f>
        <v>1.55</v>
      </c>
      <c r="L481" s="1">
        <f>IF(AV480=1,IF(M481&gt;=10,2,1),IF(AV480=2,IF(AX480&lt;=1,0,2),0))</f>
        <v>1</v>
      </c>
      <c r="M481" s="1">
        <f>IF(AND(AV480=2,AX480&lt;=1),0,MIN(10,AW480+IF(AV480=1,3,0)))</f>
        <v>7</v>
      </c>
      <c r="N481" s="1">
        <f>IF(AND(AV480=1,M481&gt;=10),2,IF(AV480=2,MAX(0,AX480-1),0))</f>
        <v>0</v>
      </c>
      <c r="O481" s="1">
        <f t="shared" ref="O481:O509" si="689">AY480</f>
        <v>6</v>
      </c>
      <c r="P481" s="1">
        <f>MIN(方案参数!$AI$16,AZ480+方案参数!$AJ$16+方案参数!$AK$16)</f>
        <v>5</v>
      </c>
      <c r="Q481" s="1">
        <f t="shared" si="667"/>
        <v>2</v>
      </c>
      <c r="R481" s="1">
        <f t="shared" si="668"/>
        <v>5</v>
      </c>
      <c r="S481" s="1">
        <f t="shared" si="669"/>
        <v>1</v>
      </c>
      <c r="T481" s="1">
        <f t="shared" si="670"/>
        <v>0</v>
      </c>
      <c r="U481" s="1">
        <f t="shared" si="671"/>
        <v>0</v>
      </c>
      <c r="V481" s="1">
        <f t="shared" si="672"/>
        <v>1</v>
      </c>
      <c r="W481" s="1">
        <f t="shared" si="673"/>
        <v>1</v>
      </c>
      <c r="X481" s="1">
        <f t="shared" si="674"/>
        <v>1</v>
      </c>
      <c r="Y481" s="1">
        <f t="shared" si="675"/>
        <v>1</v>
      </c>
      <c r="Z481" s="1">
        <f t="shared" si="676"/>
        <v>0</v>
      </c>
      <c r="AA481" s="1">
        <f>MAX(BK480,1)</f>
        <v>1</v>
      </c>
      <c r="AB481" s="1">
        <f t="shared" si="678"/>
        <v>0</v>
      </c>
      <c r="AC481" s="1">
        <f t="shared" si="679"/>
        <v>0</v>
      </c>
      <c r="AD481" s="1">
        <f>ROUNDDOWN(I481*(1+IF(F481=3,0.05+方案参数!$Y$16+AA481*0.12,IF(F481=4,方案参数!$BZ$16*方案参数!$AS$16,0)))+IF(AND(X481=1,F481&lt;&gt;3),方案参数!$CC$16,0)+AC481*方案参数!$CB$16,0)</f>
        <v>3298</v>
      </c>
      <c r="AE481" s="1">
        <f>IF(OR(F481=1,F481=4),配置与结果!$B$24,配置与结果!$B$25)*MAX(0,1-INDEX(配置与结果!$I$15:$I$18,F481))</f>
        <v>1000</v>
      </c>
      <c r="AF481" s="1">
        <f>4</f>
        <v>4</v>
      </c>
      <c r="AG481" s="1">
        <f>MAX(配置与结果!$B$32,1+INDEX(配置与结果!$F$15:$F$18,F481)+0+Q481*方案参数!$W$16+Y481*(方案参数!$AN$16+MIN(方案参数!$AO$16,P481*0.03))+AB481*方案参数!$BZ$16*0.025-配置与结果!$B$28)</f>
        <v>0.97499999999999998</v>
      </c>
      <c r="AH481" s="1">
        <f>MAX(0,1+INDEX(配置与结果!$G$15:$G$18,F481)+W481*方案参数!$AG$16)</f>
        <v>1.3</v>
      </c>
      <c r="AI481" s="1">
        <f>IF(OR(INDEX(配置与结果!$K$15:$K$18,F481)=1,G481="RHI_BERRY"),1+配置与结果!$B$33+P481*方案参数!$AH$16,1)</f>
        <v>1</v>
      </c>
      <c r="AJ481" s="1">
        <f>MIN(1,MAX(0,J481+方案参数!$AB$16-配置与结果!$B$27))</f>
        <v>0.85499999999999998</v>
      </c>
      <c r="AK481" s="1">
        <f>MAX(1,K481+IF(F481=2,0.15+方案参数!$CH$16,0)+BN481*方案参数!$X$16+R481*方案参数!$AA$16+0-配置与结果!$B$26+Z481*(方案参数!$AP$16+MIN(方案参数!$AQ$16,P481*0.03)))</f>
        <v>1.33</v>
      </c>
      <c r="AL481" s="7">
        <f>ROUNDDOWN(MAX(AD481*配置与结果!$B$31,AD481-AE481)*AF481*AG481*AH481*AI481,0)</f>
        <v>11650</v>
      </c>
      <c r="AM481" s="7">
        <f>ROUNDDOWN(MAX(AD481*配置与结果!$B$31,AD481-AE481)*AF481*AG481*AH481*AI481*AK481,0)</f>
        <v>15495</v>
      </c>
      <c r="AN481" s="7">
        <f t="shared" si="652"/>
        <v>14937.475</v>
      </c>
      <c r="AO481" s="7">
        <f>0</f>
        <v>0</v>
      </c>
      <c r="AP481" s="7">
        <f>MAX(0,1+INDEX(配置与结果!$J$15:$J$18,F481)+IF(T481&gt;0,方案参数!$BY$16,0)-配置与结果!$B$30)</f>
        <v>1</v>
      </c>
      <c r="AQ481" s="7">
        <f t="shared" si="653"/>
        <v>0</v>
      </c>
      <c r="AR481" s="7">
        <f t="shared" si="654"/>
        <v>0</v>
      </c>
      <c r="AS481" s="7">
        <f t="shared" si="655"/>
        <v>0</v>
      </c>
      <c r="AT481" s="7">
        <f>0</f>
        <v>0</v>
      </c>
      <c r="AU481" s="7">
        <f t="shared" si="656"/>
        <v>14937.475</v>
      </c>
      <c r="AV481" s="1">
        <f t="shared" si="657"/>
        <v>1</v>
      </c>
      <c r="AW481" s="1">
        <f>MIN(10,M481+0+0)</f>
        <v>7</v>
      </c>
      <c r="AX481" s="1">
        <f t="shared" si="658"/>
        <v>0</v>
      </c>
      <c r="AY481" s="1">
        <f t="shared" si="687"/>
        <v>6</v>
      </c>
      <c r="AZ481" s="1">
        <f t="shared" si="659"/>
        <v>5</v>
      </c>
      <c r="BA481" s="1">
        <f>MIN(6,Q481+1)</f>
        <v>3</v>
      </c>
      <c r="BB481" s="1">
        <f t="shared" si="680"/>
        <v>5</v>
      </c>
      <c r="BC481" s="1">
        <f>MIN(3,S481+0)</f>
        <v>1</v>
      </c>
      <c r="BD481" s="1">
        <f t="shared" si="688"/>
        <v>0</v>
      </c>
      <c r="BE481" s="1">
        <f t="shared" si="681"/>
        <v>0</v>
      </c>
      <c r="BF481" s="1">
        <f>MIN(4,V481+0)</f>
        <v>1</v>
      </c>
      <c r="BG481" s="1">
        <f t="shared" si="685"/>
        <v>1</v>
      </c>
      <c r="BH481" s="1">
        <f t="shared" si="682"/>
        <v>1</v>
      </c>
      <c r="BI481" s="1">
        <f t="shared" si="686"/>
        <v>1</v>
      </c>
      <c r="BJ481" s="1">
        <f>MAX(Z481,1)</f>
        <v>1</v>
      </c>
      <c r="BK481" s="1">
        <f>MAX(AA481,1)</f>
        <v>1</v>
      </c>
      <c r="BL481" s="1">
        <f t="shared" si="662"/>
        <v>0</v>
      </c>
      <c r="BM481" s="1">
        <f t="shared" si="660"/>
        <v>0</v>
      </c>
      <c r="BN481" s="1">
        <f t="shared" si="683"/>
        <v>1</v>
      </c>
      <c r="BO481" s="1">
        <f t="shared" si="684"/>
        <v>1</v>
      </c>
    </row>
    <row r="482" spans="1:67" ht="30.95" customHeight="1">
      <c r="A482" s="1">
        <f>13</f>
        <v>13</v>
      </c>
      <c r="B482" s="1">
        <f>固定流程!A14</f>
        <v>9</v>
      </c>
      <c r="C482" s="1">
        <f>16</f>
        <v>16</v>
      </c>
      <c r="D482" s="1">
        <f>1</f>
        <v>1</v>
      </c>
      <c r="E482" s="1">
        <f>固定流程!C14</f>
        <v>2</v>
      </c>
      <c r="F482" s="1">
        <f>固定流程!G14</f>
        <v>1</v>
      </c>
      <c r="G482" s="1" t="str">
        <f>固定流程!H14</f>
        <v>LILYA_DIVE</v>
      </c>
      <c r="H482" s="1">
        <f>固定流程!F14</f>
        <v>3</v>
      </c>
      <c r="I482" s="1">
        <f>INDEX(配置与结果!$B$15:$B$18,F482)</f>
        <v>2296</v>
      </c>
      <c r="J482" s="1">
        <f>INDEX(配置与结果!$D$15:$D$18,F482)</f>
        <v>0.7</v>
      </c>
      <c r="K482" s="1">
        <f>INDEX(配置与结果!$E$15:$E$18,F482)</f>
        <v>2.0249999999999999</v>
      </c>
      <c r="L482" s="1">
        <f t="shared" ref="L482:N486" si="690">AV481</f>
        <v>1</v>
      </c>
      <c r="M482" s="1">
        <f t="shared" si="690"/>
        <v>7</v>
      </c>
      <c r="N482" s="1">
        <f t="shared" si="690"/>
        <v>0</v>
      </c>
      <c r="O482" s="1">
        <f t="shared" si="689"/>
        <v>6</v>
      </c>
      <c r="P482" s="1">
        <f>MIN(方案参数!$AI$16,AZ481+0+0)</f>
        <v>5</v>
      </c>
      <c r="Q482" s="1">
        <f t="shared" si="667"/>
        <v>3</v>
      </c>
      <c r="R482" s="1">
        <f t="shared" si="668"/>
        <v>5</v>
      </c>
      <c r="S482" s="1">
        <f t="shared" si="669"/>
        <v>1</v>
      </c>
      <c r="T482" s="1">
        <f t="shared" si="670"/>
        <v>0</v>
      </c>
      <c r="U482" s="1">
        <f t="shared" si="671"/>
        <v>0</v>
      </c>
      <c r="V482" s="1">
        <f t="shared" si="672"/>
        <v>1</v>
      </c>
      <c r="W482" s="1">
        <f t="shared" si="673"/>
        <v>1</v>
      </c>
      <c r="X482" s="1">
        <f t="shared" si="674"/>
        <v>1</v>
      </c>
      <c r="Y482" s="1">
        <f t="shared" si="675"/>
        <v>1</v>
      </c>
      <c r="Z482" s="1">
        <f t="shared" si="676"/>
        <v>1</v>
      </c>
      <c r="AA482" s="1">
        <f t="shared" ref="AA482:AA487" si="691">MAX(BK481,0)</f>
        <v>1</v>
      </c>
      <c r="AB482" s="1">
        <f t="shared" si="678"/>
        <v>0</v>
      </c>
      <c r="AC482" s="1">
        <f t="shared" si="679"/>
        <v>0</v>
      </c>
      <c r="AD482" s="1">
        <f>ROUNDDOWN(I482*(1+IF(F482=3,0.05+方案参数!$Y$16+AA482*0.12,IF(F482=4,方案参数!$BZ$16*方案参数!$AS$16,0)))+IF(AND(X482=1,F482&lt;&gt;3),方案参数!$CC$16,0)+AC482*方案参数!$CB$16,0)</f>
        <v>2534</v>
      </c>
      <c r="AE482" s="1">
        <f>IF(OR(F482=1,F482=4),配置与结果!$B$24,配置与结果!$B$25)*MAX(0,1-INDEX(配置与结果!$I$15:$I$18,F482))</f>
        <v>1200</v>
      </c>
      <c r="AF482" s="1">
        <f>(IF(L482=1,方案参数!$AW$16,IF(L482=2,方案参数!$AX$16,0))+方案参数!$AV$16)*H482</f>
        <v>18</v>
      </c>
      <c r="AG482" s="1">
        <f>MAX(配置与结果!$B$32,1+INDEX(配置与结果!$F$15:$F$18,F482)+0.08+方案参数!$CD$16+Q482*方案参数!$W$16+Y482*(方案参数!$AN$16+MIN(方案参数!$AO$16,P482*0.03))+AB482*方案参数!$BZ$16*0.025+IF(L482=1,方案参数!$AY$16+(H482-1)*0.1,IF(L482=2,方案参数!$AZ$16+(H482-1)*0.2,0))-配置与结果!$B$28)</f>
        <v>1.6</v>
      </c>
      <c r="AH482" s="1">
        <f>MAX(0,1+INDEX(配置与结果!$G$15:$G$18,F482)+W482*方案参数!$AG$16+IF(L482=1,方案参数!$BA$16,IF(L482=2,方案参数!$BB$16,0))+M482*方案参数!$BC$16)</f>
        <v>2.3199999999999998</v>
      </c>
      <c r="AI482" s="1">
        <f>IF(OR(INDEX(配置与结果!$K$15:$K$18,F482)=1,G482="RHI_BERRY"),1+配置与结果!$B$33+P482*方案参数!$AH$16,1)</f>
        <v>1</v>
      </c>
      <c r="AJ482" s="1">
        <f>MIN(1,MAX(0,J482+方案参数!$AB$16-配置与结果!$B$27))</f>
        <v>1</v>
      </c>
      <c r="AK482" s="1">
        <f>MAX(1,K482+IF(F482=2,0.15+方案参数!$CH$16,0)+BN482*方案参数!$X$16+R482*方案参数!$AA$16+0-配置与结果!$B$26+Z482*(方案参数!$AP$16+MIN(方案参数!$AQ$16,P482*0.03)))</f>
        <v>2.105</v>
      </c>
      <c r="AL482" s="7">
        <f>ROUNDDOWN(MAX(AD482*配置与结果!$B$31,AD482-AE482)*AF482*AG482*AH482*AI482,0)</f>
        <v>89132</v>
      </c>
      <c r="AM482" s="7">
        <f>ROUNDDOWN(MAX(AD482*配置与结果!$B$31,AD482-AE482)*AF482*AG482*AH482*AI482*AK482,0)</f>
        <v>187624</v>
      </c>
      <c r="AN482" s="7">
        <f t="shared" si="652"/>
        <v>187624</v>
      </c>
      <c r="AO482" s="7">
        <f>0</f>
        <v>0</v>
      </c>
      <c r="AP482" s="7">
        <f>MAX(0,1+INDEX(配置与结果!$J$15:$J$18,F482)+IF(T482&gt;0,方案参数!$BY$16,0)-配置与结果!$B$30)</f>
        <v>1</v>
      </c>
      <c r="AQ482" s="7">
        <f t="shared" si="653"/>
        <v>0</v>
      </c>
      <c r="AR482" s="7">
        <f t="shared" si="654"/>
        <v>0</v>
      </c>
      <c r="AS482" s="7">
        <f t="shared" si="655"/>
        <v>0</v>
      </c>
      <c r="AT482" s="7">
        <f>0</f>
        <v>0</v>
      </c>
      <c r="AU482" s="7">
        <f t="shared" si="656"/>
        <v>187624</v>
      </c>
      <c r="AV482" s="1">
        <f t="shared" si="657"/>
        <v>1</v>
      </c>
      <c r="AW482" s="1">
        <f>MIN(10,M482+0+IF(L482=1,方案参数!$BE$16,0))</f>
        <v>8</v>
      </c>
      <c r="AX482" s="1">
        <f t="shared" si="658"/>
        <v>0</v>
      </c>
      <c r="AY482" s="1">
        <f t="shared" si="687"/>
        <v>6</v>
      </c>
      <c r="AZ482" s="1">
        <f t="shared" si="659"/>
        <v>5</v>
      </c>
      <c r="BA482" s="1">
        <f>MIN(6,Q482+0)</f>
        <v>3</v>
      </c>
      <c r="BB482" s="1">
        <f t="shared" si="680"/>
        <v>5</v>
      </c>
      <c r="BC482" s="1">
        <f>MIN(3,S482+0)</f>
        <v>1</v>
      </c>
      <c r="BD482" s="1">
        <f t="shared" si="688"/>
        <v>0</v>
      </c>
      <c r="BE482" s="1">
        <f t="shared" si="681"/>
        <v>0</v>
      </c>
      <c r="BF482" s="1">
        <f>MIN(4,V482+0)</f>
        <v>1</v>
      </c>
      <c r="BG482" s="1">
        <f t="shared" si="685"/>
        <v>1</v>
      </c>
      <c r="BH482" s="1">
        <f t="shared" si="682"/>
        <v>1</v>
      </c>
      <c r="BI482" s="1">
        <f t="shared" si="686"/>
        <v>1</v>
      </c>
      <c r="BJ482" s="1">
        <f t="shared" ref="BJ482:BK487" si="692">MAX(Z482,0)</f>
        <v>1</v>
      </c>
      <c r="BK482" s="1">
        <f t="shared" si="692"/>
        <v>1</v>
      </c>
      <c r="BL482" s="1">
        <f t="shared" si="662"/>
        <v>0</v>
      </c>
      <c r="BM482" s="1">
        <f t="shared" si="660"/>
        <v>0</v>
      </c>
      <c r="BN482" s="1">
        <f t="shared" si="683"/>
        <v>1</v>
      </c>
      <c r="BO482" s="1">
        <f t="shared" si="684"/>
        <v>1</v>
      </c>
    </row>
    <row r="483" spans="1:67" ht="30.95" customHeight="1">
      <c r="A483" s="1">
        <f>13</f>
        <v>13</v>
      </c>
      <c r="B483" s="1">
        <f>固定流程!A15</f>
        <v>10</v>
      </c>
      <c r="C483" s="1">
        <f>16</f>
        <v>16</v>
      </c>
      <c r="D483" s="1">
        <f>1</f>
        <v>1</v>
      </c>
      <c r="E483" s="1">
        <f>固定流程!C15</f>
        <v>2</v>
      </c>
      <c r="F483" s="1">
        <f>固定流程!G15</f>
        <v>4</v>
      </c>
      <c r="G483" s="1" t="str">
        <f>固定流程!H15</f>
        <v>J_HARD</v>
      </c>
      <c r="H483" s="1">
        <f>固定流程!F15</f>
        <v>1</v>
      </c>
      <c r="I483" s="1">
        <f>INDEX(配置与结果!$B$15:$B$18,F483)</f>
        <v>1906</v>
      </c>
      <c r="J483" s="1">
        <f>INDEX(配置与结果!$D$15:$D$18,F483)</f>
        <v>0.36699999999999999</v>
      </c>
      <c r="K483" s="1">
        <f>INDEX(配置与结果!$E$15:$E$18,F483)</f>
        <v>1.7170000000000001</v>
      </c>
      <c r="L483" s="1">
        <f t="shared" si="690"/>
        <v>1</v>
      </c>
      <c r="M483" s="1">
        <f t="shared" si="690"/>
        <v>8</v>
      </c>
      <c r="N483" s="1">
        <f t="shared" si="690"/>
        <v>0</v>
      </c>
      <c r="O483" s="1">
        <f t="shared" si="689"/>
        <v>6</v>
      </c>
      <c r="P483" s="1">
        <f>MIN(方案参数!$AI$16,AZ482+0+0)</f>
        <v>5</v>
      </c>
      <c r="Q483" s="1">
        <f t="shared" si="667"/>
        <v>3</v>
      </c>
      <c r="R483" s="1">
        <f t="shared" si="668"/>
        <v>5</v>
      </c>
      <c r="S483" s="1">
        <f t="shared" si="669"/>
        <v>1</v>
      </c>
      <c r="T483" s="1">
        <f t="shared" si="670"/>
        <v>0</v>
      </c>
      <c r="U483" s="1">
        <f t="shared" si="671"/>
        <v>0</v>
      </c>
      <c r="V483" s="1">
        <f t="shared" si="672"/>
        <v>1</v>
      </c>
      <c r="W483" s="1">
        <f t="shared" si="673"/>
        <v>1</v>
      </c>
      <c r="X483" s="1">
        <f t="shared" si="674"/>
        <v>1</v>
      </c>
      <c r="Y483" s="1">
        <f t="shared" si="675"/>
        <v>1</v>
      </c>
      <c r="Z483" s="1">
        <f t="shared" si="676"/>
        <v>1</v>
      </c>
      <c r="AA483" s="1">
        <f t="shared" si="691"/>
        <v>1</v>
      </c>
      <c r="AB483" s="1">
        <f t="shared" si="678"/>
        <v>0</v>
      </c>
      <c r="AC483" s="1">
        <f t="shared" si="679"/>
        <v>0</v>
      </c>
      <c r="AD483" s="1">
        <f>ROUNDDOWN(I483*(1+IF(F483=3,0.05+方案参数!$Y$16+AA483*0.12,IF(F483=4,方案参数!$BZ$16*方案参数!$AS$16,0)))+IF(AND(X483=1,F483&lt;&gt;3),方案参数!$CC$16,0)+AC483*方案参数!$CB$16,0)</f>
        <v>2811</v>
      </c>
      <c r="AE483" s="1">
        <f>IF(OR(F483=1,F483=4),配置与结果!$B$24,配置与结果!$B$25)*MAX(0,1-INDEX(配置与结果!$I$15:$I$18,F483))</f>
        <v>1200</v>
      </c>
      <c r="AF483" s="1">
        <f>3.6*IF(H483=1,1,IF(H483=2,1.5,2.5))</f>
        <v>3.6</v>
      </c>
      <c r="AG483" s="1">
        <f>MAX(配置与结果!$B$32,1+INDEX(配置与结果!$F$15:$F$18,F483)+0.08+Q483*方案参数!$W$16+Y483*(方案参数!$AN$16+MIN(方案参数!$AO$16,P483*0.03))+AB483*方案参数!$BZ$16*0.025+0.1+IF(方案参数!$BZ$16&gt;=30,方案参数!$BZ$16*0.01,0)-配置与结果!$B$28)</f>
        <v>1.5150000000000001</v>
      </c>
      <c r="AH483" s="1">
        <f>MAX(0,1+INDEX(配置与结果!$G$15:$G$18,F483)+W483*方案参数!$AG$16)</f>
        <v>1.3</v>
      </c>
      <c r="AI483" s="1">
        <f>IF(OR(INDEX(配置与结果!$K$15:$K$18,F483)=1,G483="RHI_BERRY"),1+配置与结果!$B$33+P483*方案参数!$AH$16,1)</f>
        <v>1</v>
      </c>
      <c r="AJ483" s="1">
        <f>MIN(1,MAX(0,J483+方案参数!$AB$16-配置与结果!$B$27))</f>
        <v>0.96699999999999997</v>
      </c>
      <c r="AK483" s="1">
        <f>MAX(1,K483+IF(F483=2,0.15+方案参数!$CH$16,0)+BN483*方案参数!$X$16+R483*方案参数!$AA$16+0-配置与结果!$B$26+Z483*(方案参数!$AP$16+MIN(方案参数!$AQ$16,P483*0.03)))</f>
        <v>1.7969999999999999</v>
      </c>
      <c r="AL483" s="7">
        <f>ROUNDDOWN(MAX(AD483*配置与结果!$B$31,AD483-AE483)*AF483*AG483*AH483*AI483,0)</f>
        <v>11422</v>
      </c>
      <c r="AM483" s="7">
        <f>ROUNDDOWN(MAX(AD483*配置与结果!$B$31,AD483-AE483)*AF483*AG483*AH483*AI483*AK483,0)</f>
        <v>20525</v>
      </c>
      <c r="AN483" s="7">
        <f t="shared" si="652"/>
        <v>20224.600999999999</v>
      </c>
      <c r="AO483" s="7">
        <f>0</f>
        <v>0</v>
      </c>
      <c r="AP483" s="7">
        <f>MAX(0,1+INDEX(配置与结果!$J$15:$J$18,F483)+IF(T483&gt;0,方案参数!$BY$16,0)-配置与结果!$B$30)</f>
        <v>1</v>
      </c>
      <c r="AQ483" s="7">
        <f t="shared" si="653"/>
        <v>0</v>
      </c>
      <c r="AR483" s="7">
        <f t="shared" si="654"/>
        <v>0</v>
      </c>
      <c r="AS483" s="7">
        <f t="shared" si="655"/>
        <v>0</v>
      </c>
      <c r="AT483" s="7">
        <f>0</f>
        <v>0</v>
      </c>
      <c r="AU483" s="7">
        <f t="shared" si="656"/>
        <v>20224.600999999999</v>
      </c>
      <c r="AV483" s="1">
        <f t="shared" si="657"/>
        <v>1</v>
      </c>
      <c r="AW483" s="1">
        <f t="shared" ref="AW483:AW493" si="693">MIN(10,M483+0+0)</f>
        <v>8</v>
      </c>
      <c r="AX483" s="1">
        <f t="shared" si="658"/>
        <v>0</v>
      </c>
      <c r="AY483" s="1">
        <f t="shared" si="687"/>
        <v>6</v>
      </c>
      <c r="AZ483" s="1">
        <f t="shared" si="659"/>
        <v>5</v>
      </c>
      <c r="BA483" s="1">
        <f>MIN(6,Q483+0)</f>
        <v>3</v>
      </c>
      <c r="BB483" s="1">
        <f t="shared" si="680"/>
        <v>5</v>
      </c>
      <c r="BC483" s="1">
        <f>MIN(3,S483+1)</f>
        <v>2</v>
      </c>
      <c r="BD483" s="1">
        <f t="shared" si="688"/>
        <v>0</v>
      </c>
      <c r="BE483" s="1">
        <f t="shared" si="681"/>
        <v>0</v>
      </c>
      <c r="BF483" s="1">
        <f>MIN(4,V483+0)</f>
        <v>1</v>
      </c>
      <c r="BG483" s="1">
        <f t="shared" si="685"/>
        <v>1</v>
      </c>
      <c r="BH483" s="1">
        <f t="shared" si="682"/>
        <v>1</v>
      </c>
      <c r="BI483" s="1">
        <f t="shared" si="686"/>
        <v>1</v>
      </c>
      <c r="BJ483" s="1">
        <f t="shared" si="692"/>
        <v>1</v>
      </c>
      <c r="BK483" s="1">
        <f t="shared" si="692"/>
        <v>1</v>
      </c>
      <c r="BL483" s="1">
        <f t="shared" si="662"/>
        <v>0</v>
      </c>
      <c r="BM483" s="1">
        <f t="shared" si="660"/>
        <v>0</v>
      </c>
      <c r="BN483" s="1">
        <f t="shared" si="683"/>
        <v>1</v>
      </c>
      <c r="BO483" s="1">
        <f t="shared" si="684"/>
        <v>1</v>
      </c>
    </row>
    <row r="484" spans="1:67" ht="30.95" customHeight="1">
      <c r="A484" s="1">
        <f>13</f>
        <v>13</v>
      </c>
      <c r="B484" s="1">
        <f>固定流程!A16</f>
        <v>11</v>
      </c>
      <c r="C484" s="1">
        <f>16</f>
        <v>16</v>
      </c>
      <c r="D484" s="1">
        <f>1</f>
        <v>1</v>
      </c>
      <c r="E484" s="1">
        <f>固定流程!C16</f>
        <v>2</v>
      </c>
      <c r="F484" s="1">
        <f>固定流程!G16</f>
        <v>2</v>
      </c>
      <c r="G484" s="1" t="str">
        <f>固定流程!H16</f>
        <v>37_CURVE</v>
      </c>
      <c r="H484" s="1">
        <f>固定流程!F16</f>
        <v>1</v>
      </c>
      <c r="I484" s="1">
        <f>INDEX(配置与结果!$B$15:$B$18,F484)</f>
        <v>2306</v>
      </c>
      <c r="J484" s="1">
        <f>INDEX(配置与结果!$D$15:$D$18,F484)</f>
        <v>0.46</v>
      </c>
      <c r="K484" s="1">
        <f>INDEX(配置与结果!$E$15:$E$18,F484)</f>
        <v>1.9279999999999999</v>
      </c>
      <c r="L484" s="1">
        <f t="shared" si="690"/>
        <v>1</v>
      </c>
      <c r="M484" s="1">
        <f t="shared" si="690"/>
        <v>8</v>
      </c>
      <c r="N484" s="1">
        <f t="shared" si="690"/>
        <v>0</v>
      </c>
      <c r="O484" s="1">
        <f t="shared" si="689"/>
        <v>6</v>
      </c>
      <c r="P484" s="1">
        <f>MIN(方案参数!$AI$16,AZ483+0+0)</f>
        <v>5</v>
      </c>
      <c r="Q484" s="1">
        <f t="shared" si="667"/>
        <v>3</v>
      </c>
      <c r="R484" s="1">
        <f t="shared" si="668"/>
        <v>5</v>
      </c>
      <c r="S484" s="1">
        <f t="shared" si="669"/>
        <v>2</v>
      </c>
      <c r="T484" s="1">
        <f t="shared" si="670"/>
        <v>0</v>
      </c>
      <c r="U484" s="1">
        <f t="shared" si="671"/>
        <v>0</v>
      </c>
      <c r="V484" s="1">
        <f t="shared" si="672"/>
        <v>1</v>
      </c>
      <c r="W484" s="1">
        <f t="shared" si="673"/>
        <v>1</v>
      </c>
      <c r="X484" s="1">
        <f t="shared" si="674"/>
        <v>1</v>
      </c>
      <c r="Y484" s="1">
        <f t="shared" si="675"/>
        <v>1</v>
      </c>
      <c r="Z484" s="1">
        <f t="shared" si="676"/>
        <v>1</v>
      </c>
      <c r="AA484" s="1">
        <f t="shared" si="691"/>
        <v>1</v>
      </c>
      <c r="AB484" s="1">
        <f t="shared" si="678"/>
        <v>0</v>
      </c>
      <c r="AC484" s="1">
        <f t="shared" si="679"/>
        <v>0</v>
      </c>
      <c r="AD484" s="1">
        <f>ROUNDDOWN(I484*(1+IF(F484=3,0.05+方案参数!$Y$16+AA484*0.12,IF(F484=4,方案参数!$BZ$16*方案参数!$AS$16,0)))+IF(AND(X484=1,F484&lt;&gt;3),方案参数!$CC$16,0)+AC484*方案参数!$CB$16,0)</f>
        <v>2544</v>
      </c>
      <c r="AE484" s="1">
        <f>IF(OR(F484=1,F484=4),配置与结果!$B$24,配置与结果!$B$25)*MAX(0,1-INDEX(配置与结果!$I$15:$I$18,F484))</f>
        <v>1000</v>
      </c>
      <c r="AF484" s="1">
        <f>方案参数!$BT$16*IF(H484=1,1,IF(H484=2,1.5,2.5))</f>
        <v>1.6</v>
      </c>
      <c r="AG484" s="1">
        <f>MAX(配置与结果!$B$32,1+INDEX(配置与结果!$F$15:$F$18,F484)+0+Q484*方案参数!$W$16+Y484*(方案参数!$AN$16+MIN(方案参数!$AO$16,P484*0.03))+AB484*方案参数!$BZ$16*0.025-配置与结果!$B$28)</f>
        <v>0.96499999999999997</v>
      </c>
      <c r="AH484" s="1">
        <f>MAX(0,1+INDEX(配置与结果!$G$15:$G$18,F484)+W484*方案参数!$AG$16)</f>
        <v>1.3</v>
      </c>
      <c r="AI484" s="1">
        <f>IF(OR(INDEX(配置与结果!$K$15:$K$18,F484)=1,G484="RHI_BERRY"),1+配置与结果!$B$33+P484*方案参数!$AH$16,1)</f>
        <v>1</v>
      </c>
      <c r="AJ484" s="1">
        <f>MIN(1,MAX(0,J484+方案参数!$AB$16-配置与结果!$B$27))</f>
        <v>1</v>
      </c>
      <c r="AK484" s="1">
        <f>MAX(1,K484+IF(F484=2,0.15+方案参数!$CH$16,0)+BN484*方案参数!$X$16+R484*方案参数!$AA$16+0-配置与结果!$B$26+Z484*(方案参数!$AP$16+MIN(方案参数!$AQ$16,P484*0.03)))</f>
        <v>2.278</v>
      </c>
      <c r="AL484" s="7">
        <f>ROUNDDOWN(MAX(AD484*配置与结果!$B$31,AD484-AE484)*AF484*AG484*AH484*AI484,0)</f>
        <v>3099</v>
      </c>
      <c r="AM484" s="7">
        <f>ROUNDDOWN(MAX(AD484*配置与结果!$B$31,AD484-AE484)*AF484*AG484*AH484*AI484*AK484,0)</f>
        <v>7059</v>
      </c>
      <c r="AN484" s="7">
        <f t="shared" si="652"/>
        <v>7059</v>
      </c>
      <c r="AO484" s="7">
        <f>方案参数!$BU$16*IF(H484=1,1,IF(H484=2,1.5,2.5))</f>
        <v>1</v>
      </c>
      <c r="AP484" s="7">
        <f>MAX(0,1+INDEX(配置与结果!$J$15:$J$18,F484)+IF(T484&gt;0,方案参数!$BY$16,0)-配置与结果!$B$30)</f>
        <v>1</v>
      </c>
      <c r="AQ484" s="7">
        <f t="shared" si="653"/>
        <v>2544</v>
      </c>
      <c r="AR484" s="7">
        <f t="shared" si="654"/>
        <v>5795</v>
      </c>
      <c r="AS484" s="7">
        <f t="shared" si="655"/>
        <v>5795</v>
      </c>
      <c r="AT484" s="7">
        <f>0</f>
        <v>0</v>
      </c>
      <c r="AU484" s="7">
        <f t="shared" si="656"/>
        <v>12854</v>
      </c>
      <c r="AV484" s="1">
        <f t="shared" si="657"/>
        <v>1</v>
      </c>
      <c r="AW484" s="1">
        <f t="shared" si="693"/>
        <v>8</v>
      </c>
      <c r="AX484" s="1">
        <f t="shared" si="658"/>
        <v>0</v>
      </c>
      <c r="AY484" s="1">
        <f t="shared" si="687"/>
        <v>6</v>
      </c>
      <c r="AZ484" s="1">
        <f t="shared" si="659"/>
        <v>5</v>
      </c>
      <c r="BA484" s="1">
        <f>MIN(6,Q484+0)</f>
        <v>3</v>
      </c>
      <c r="BB484" s="1">
        <f t="shared" si="680"/>
        <v>5</v>
      </c>
      <c r="BC484" s="1">
        <f t="shared" ref="BC484:BC490" si="694">MIN(3,S484+0)</f>
        <v>2</v>
      </c>
      <c r="BD484" s="1">
        <f t="shared" si="688"/>
        <v>0</v>
      </c>
      <c r="BE484" s="1">
        <f t="shared" si="681"/>
        <v>0</v>
      </c>
      <c r="BF484" s="1">
        <f>MIN(4,V484+0)</f>
        <v>1</v>
      </c>
      <c r="BG484" s="1">
        <f t="shared" si="685"/>
        <v>1</v>
      </c>
      <c r="BH484" s="1">
        <f t="shared" si="682"/>
        <v>1</v>
      </c>
      <c r="BI484" s="1">
        <f t="shared" si="686"/>
        <v>1</v>
      </c>
      <c r="BJ484" s="1">
        <f t="shared" si="692"/>
        <v>1</v>
      </c>
      <c r="BK484" s="1">
        <f t="shared" si="692"/>
        <v>1</v>
      </c>
      <c r="BL484" s="1">
        <f t="shared" si="662"/>
        <v>0</v>
      </c>
      <c r="BM484" s="1">
        <f t="shared" si="660"/>
        <v>0</v>
      </c>
      <c r="BN484" s="1">
        <f t="shared" si="683"/>
        <v>1</v>
      </c>
      <c r="BO484" s="1">
        <f t="shared" si="684"/>
        <v>1</v>
      </c>
    </row>
    <row r="485" spans="1:67" ht="30.95" customHeight="1">
      <c r="A485" s="1">
        <f>13</f>
        <v>13</v>
      </c>
      <c r="B485" s="1">
        <f>固定流程!A17</f>
        <v>12</v>
      </c>
      <c r="C485" s="1">
        <f>16</f>
        <v>16</v>
      </c>
      <c r="D485" s="1">
        <f>1</f>
        <v>1</v>
      </c>
      <c r="E485" s="1">
        <f>固定流程!C17</f>
        <v>2</v>
      </c>
      <c r="F485" s="1">
        <f>固定流程!G17</f>
        <v>2</v>
      </c>
      <c r="G485" s="1" t="str">
        <f>固定流程!H17</f>
        <v>37_FOLLOW</v>
      </c>
      <c r="H485" s="1">
        <f>固定流程!F17</f>
        <v>1</v>
      </c>
      <c r="I485" s="1">
        <f>INDEX(配置与结果!$B$15:$B$18,F485)</f>
        <v>2306</v>
      </c>
      <c r="J485" s="1">
        <f>INDEX(配置与结果!$D$15:$D$18,F485)</f>
        <v>0.46</v>
      </c>
      <c r="K485" s="1">
        <f>INDEX(配置与结果!$E$15:$E$18,F485)</f>
        <v>1.9279999999999999</v>
      </c>
      <c r="L485" s="1">
        <f t="shared" si="690"/>
        <v>1</v>
      </c>
      <c r="M485" s="1">
        <f t="shared" si="690"/>
        <v>8</v>
      </c>
      <c r="N485" s="1">
        <f t="shared" si="690"/>
        <v>0</v>
      </c>
      <c r="O485" s="1">
        <f t="shared" si="689"/>
        <v>6</v>
      </c>
      <c r="P485" s="1">
        <f>MIN(方案参数!$AI$16,AZ484+0+0)</f>
        <v>5</v>
      </c>
      <c r="Q485" s="1">
        <f t="shared" si="667"/>
        <v>3</v>
      </c>
      <c r="R485" s="1">
        <f t="shared" si="668"/>
        <v>5</v>
      </c>
      <c r="S485" s="1">
        <f t="shared" si="669"/>
        <v>2</v>
      </c>
      <c r="T485" s="1">
        <f t="shared" si="670"/>
        <v>0</v>
      </c>
      <c r="U485" s="1">
        <f t="shared" si="671"/>
        <v>0</v>
      </c>
      <c r="V485" s="1">
        <f t="shared" si="672"/>
        <v>1</v>
      </c>
      <c r="W485" s="1">
        <f t="shared" si="673"/>
        <v>1</v>
      </c>
      <c r="X485" s="1">
        <f t="shared" si="674"/>
        <v>1</v>
      </c>
      <c r="Y485" s="1">
        <f t="shared" si="675"/>
        <v>1</v>
      </c>
      <c r="Z485" s="1">
        <f t="shared" si="676"/>
        <v>1</v>
      </c>
      <c r="AA485" s="1">
        <f t="shared" si="691"/>
        <v>1</v>
      </c>
      <c r="AB485" s="1">
        <f t="shared" si="678"/>
        <v>0</v>
      </c>
      <c r="AC485" s="1">
        <f t="shared" si="679"/>
        <v>0</v>
      </c>
      <c r="AD485" s="1">
        <f>ROUNDDOWN(I485*(1+IF(F485=3,0.05+方案参数!$Y$16+AA485*0.12,IF(F485=4,方案参数!$BZ$16*方案参数!$AS$16,0)))+IF(AND(X485=1,F485&lt;&gt;3),方案参数!$CC$16,0)+AC485*方案参数!$CB$16,0)</f>
        <v>2544</v>
      </c>
      <c r="AE485" s="1">
        <f>IF(OR(F485=1,F485=4),配置与结果!$B$24,配置与结果!$B$25)*MAX(0,1-INDEX(配置与结果!$I$15:$I$18,F485))</f>
        <v>1000</v>
      </c>
      <c r="AF485" s="1">
        <f>方案参数!$BV$16</f>
        <v>6</v>
      </c>
      <c r="AG485" s="1">
        <f>MAX(配置与结果!$B$32,1+INDEX(配置与结果!$F$15:$F$18,F485)+0+Q485*方案参数!$W$16+Y485*(方案参数!$AN$16+MIN(方案参数!$AO$16,P485*0.03))+AB485*方案参数!$BZ$16*0.025-配置与结果!$B$28)</f>
        <v>0.96499999999999997</v>
      </c>
      <c r="AH485" s="1">
        <f>MAX(0,1+INDEX(配置与结果!$G$15:$G$18,F485)+W485*方案参数!$AG$16)</f>
        <v>1.3</v>
      </c>
      <c r="AI485" s="1">
        <f>IF(OR(INDEX(配置与结果!$K$15:$K$18,F485)=1,G485="RHI_BERRY"),1+配置与结果!$B$33+P485*方案参数!$AH$16,1)</f>
        <v>1</v>
      </c>
      <c r="AJ485" s="1">
        <f>MIN(1,MAX(0,J485+方案参数!$AB$16-配置与结果!$B$27))</f>
        <v>1</v>
      </c>
      <c r="AK485" s="1">
        <f>MAX(1,K485+IF(F485=2,0.15+方案参数!$CH$16,0)+BN485*方案参数!$X$16+R485*方案参数!$AA$16+0-配置与结果!$B$26+Z485*(方案参数!$AP$16+MIN(方案参数!$AQ$16,P485*0.03)))</f>
        <v>2.278</v>
      </c>
      <c r="AL485" s="7">
        <f>ROUNDDOWN(MAX(AD485*配置与结果!$B$31,AD485-AE485)*AF485*AG485*AH485*AI485,0)</f>
        <v>11621</v>
      </c>
      <c r="AM485" s="7">
        <f>ROUNDDOWN(MAX(AD485*配置与结果!$B$31,AD485-AE485)*AF485*AG485*AH485*AI485*AK485,0)</f>
        <v>26474</v>
      </c>
      <c r="AN485" s="7">
        <f t="shared" si="652"/>
        <v>26474</v>
      </c>
      <c r="AO485" s="7">
        <f>方案参数!$BW$16</f>
        <v>2</v>
      </c>
      <c r="AP485" s="7">
        <f>MAX(0,1+INDEX(配置与结果!$J$15:$J$18,F485)+IF(T485&gt;0,方案参数!$BY$16,0)-配置与结果!$B$30)</f>
        <v>1</v>
      </c>
      <c r="AQ485" s="7">
        <f t="shared" si="653"/>
        <v>5088</v>
      </c>
      <c r="AR485" s="7">
        <f t="shared" si="654"/>
        <v>11590</v>
      </c>
      <c r="AS485" s="7">
        <f t="shared" si="655"/>
        <v>11590</v>
      </c>
      <c r="AT485" s="7">
        <f>0</f>
        <v>0</v>
      </c>
      <c r="AU485" s="7">
        <f t="shared" si="656"/>
        <v>38064</v>
      </c>
      <c r="AV485" s="1">
        <f t="shared" si="657"/>
        <v>1</v>
      </c>
      <c r="AW485" s="1">
        <f t="shared" si="693"/>
        <v>8</v>
      </c>
      <c r="AX485" s="1">
        <f t="shared" si="658"/>
        <v>0</v>
      </c>
      <c r="AY485" s="1">
        <f t="shared" si="687"/>
        <v>6</v>
      </c>
      <c r="AZ485" s="1">
        <f t="shared" si="659"/>
        <v>5</v>
      </c>
      <c r="BA485" s="1">
        <f>MIN(6,Q485+0)</f>
        <v>3</v>
      </c>
      <c r="BB485" s="1">
        <f t="shared" si="680"/>
        <v>5</v>
      </c>
      <c r="BC485" s="1">
        <f t="shared" si="694"/>
        <v>2</v>
      </c>
      <c r="BD485" s="1">
        <f t="shared" si="688"/>
        <v>0</v>
      </c>
      <c r="BE485" s="1">
        <f t="shared" si="681"/>
        <v>0</v>
      </c>
      <c r="BF485" s="1">
        <f>MIN(4,V485+1)</f>
        <v>2</v>
      </c>
      <c r="BG485" s="1">
        <f t="shared" si="685"/>
        <v>1</v>
      </c>
      <c r="BH485" s="1">
        <f t="shared" si="682"/>
        <v>1</v>
      </c>
      <c r="BI485" s="1">
        <f t="shared" si="686"/>
        <v>1</v>
      </c>
      <c r="BJ485" s="1">
        <f t="shared" si="692"/>
        <v>1</v>
      </c>
      <c r="BK485" s="1">
        <f t="shared" si="692"/>
        <v>1</v>
      </c>
      <c r="BL485" s="1">
        <f t="shared" si="662"/>
        <v>0</v>
      </c>
      <c r="BM485" s="1">
        <f t="shared" si="660"/>
        <v>0</v>
      </c>
      <c r="BN485" s="1">
        <f t="shared" si="683"/>
        <v>1</v>
      </c>
      <c r="BO485" s="1">
        <f t="shared" si="684"/>
        <v>1</v>
      </c>
    </row>
    <row r="486" spans="1:67" ht="30.95" customHeight="1">
      <c r="A486" s="1">
        <f>13</f>
        <v>13</v>
      </c>
      <c r="B486" s="1">
        <f>固定流程!A18</f>
        <v>13</v>
      </c>
      <c r="C486" s="1">
        <f>16</f>
        <v>16</v>
      </c>
      <c r="D486" s="1">
        <f>1</f>
        <v>1</v>
      </c>
      <c r="E486" s="1">
        <f>固定流程!C18</f>
        <v>2</v>
      </c>
      <c r="F486" s="1">
        <f>固定流程!G18</f>
        <v>3</v>
      </c>
      <c r="G486" s="1" t="str">
        <f>固定流程!H18</f>
        <v>RHI_BERRY</v>
      </c>
      <c r="H486" s="1">
        <f>固定流程!F18</f>
        <v>1</v>
      </c>
      <c r="I486" s="1">
        <f>INDEX(配置与结果!$B$15:$B$18,F486)</f>
        <v>2597</v>
      </c>
      <c r="J486" s="1">
        <f>INDEX(配置与结果!$D$15:$D$18,F486)</f>
        <v>0.255</v>
      </c>
      <c r="K486" s="1">
        <f>INDEX(配置与结果!$E$15:$E$18,F486)</f>
        <v>1.55</v>
      </c>
      <c r="L486" s="1">
        <f t="shared" si="690"/>
        <v>1</v>
      </c>
      <c r="M486" s="1">
        <f t="shared" si="690"/>
        <v>8</v>
      </c>
      <c r="N486" s="1">
        <f t="shared" si="690"/>
        <v>0</v>
      </c>
      <c r="O486" s="1">
        <f t="shared" si="689"/>
        <v>6</v>
      </c>
      <c r="P486" s="1">
        <f>MIN(方案参数!$AI$16,AZ485+0+0)</f>
        <v>5</v>
      </c>
      <c r="Q486" s="1">
        <f t="shared" si="667"/>
        <v>3</v>
      </c>
      <c r="R486" s="1">
        <f t="shared" si="668"/>
        <v>5</v>
      </c>
      <c r="S486" s="1">
        <f t="shared" si="669"/>
        <v>2</v>
      </c>
      <c r="T486" s="1">
        <f t="shared" si="670"/>
        <v>0</v>
      </c>
      <c r="U486" s="1">
        <f t="shared" si="671"/>
        <v>0</v>
      </c>
      <c r="V486" s="1">
        <f t="shared" si="672"/>
        <v>2</v>
      </c>
      <c r="W486" s="1">
        <f t="shared" si="673"/>
        <v>1</v>
      </c>
      <c r="X486" s="1">
        <f t="shared" si="674"/>
        <v>1</v>
      </c>
      <c r="Y486" s="1">
        <f t="shared" si="675"/>
        <v>1</v>
      </c>
      <c r="Z486" s="1">
        <f t="shared" si="676"/>
        <v>1</v>
      </c>
      <c r="AA486" s="1">
        <f t="shared" si="691"/>
        <v>1</v>
      </c>
      <c r="AB486" s="1">
        <f t="shared" si="678"/>
        <v>0</v>
      </c>
      <c r="AC486" s="1">
        <f t="shared" si="679"/>
        <v>0</v>
      </c>
      <c r="AD486" s="1">
        <f>ROUNDDOWN(I486*(1+IF(F486=3,0.05+方案参数!$Y$16+AA486*0.12,IF(F486=4,方案参数!$BZ$16*方案参数!$AS$16,0)))+IF(AND(X486=1,F486&lt;&gt;3),方案参数!$CC$16,0)+AC486*方案参数!$CB$16,0)</f>
        <v>3298</v>
      </c>
      <c r="AE486" s="1">
        <f>IF(OR(F486=1,F486=4),配置与结果!$B$24,配置与结果!$B$25)*MAX(0,1-INDEX(配置与结果!$I$15:$I$18,F486))</f>
        <v>1000</v>
      </c>
      <c r="AF486" s="1">
        <f>方案参数!$CF$16+P486*方案参数!$CG$16</f>
        <v>22.5</v>
      </c>
      <c r="AG486" s="1">
        <f>MAX(配置与结果!$B$32,1+INDEX(配置与结果!$F$15:$F$18,F486)+0+Q486*方案参数!$W$16+Y486*(方案参数!$AN$16+MIN(方案参数!$AO$16,P486*0.03))+AB486*方案参数!$BZ$16*0.025-配置与结果!$B$28)</f>
        <v>0.995</v>
      </c>
      <c r="AH486" s="1">
        <f>MAX(0,1+INDEX(配置与结果!$G$15:$G$18,F486)+W486*方案参数!$AG$16)</f>
        <v>1.3</v>
      </c>
      <c r="AI486" s="1">
        <f>IF(OR(INDEX(配置与结果!$K$15:$K$18,F486)=1,G486="RHI_BERRY"),1+配置与结果!$B$33+P486*方案参数!$AH$16,1)</f>
        <v>1.5</v>
      </c>
      <c r="AJ486" s="1">
        <f>MIN(1,MAX(0,J486+方案参数!$AB$16-配置与结果!$B$27))</f>
        <v>0.85499999999999998</v>
      </c>
      <c r="AK486" s="1">
        <f>MAX(1,K486+IF(F486=2,0.15+方案参数!$CH$16,0)+BN486*方案参数!$X$16+R486*方案参数!$AA$16+0-配置与结果!$B$26+Z486*(方案参数!$AP$16+MIN(方案参数!$AQ$16,P486*0.03)))</f>
        <v>1.6300000000000001</v>
      </c>
      <c r="AL486" s="7">
        <f>ROUNDDOWN(MAX(AD486*配置与结果!$B$31,AD486-AE486)*AF486*AG486*AH486*AI486,0)</f>
        <v>100320</v>
      </c>
      <c r="AM486" s="7">
        <f>ROUNDDOWN(MAX(AD486*配置与结果!$B$31,AD486-AE486)*AF486*AG486*AH486*AI486*AK486,0)</f>
        <v>163522</v>
      </c>
      <c r="AN486" s="7">
        <f t="shared" si="652"/>
        <v>154357.71</v>
      </c>
      <c r="AO486" s="7">
        <f>0</f>
        <v>0</v>
      </c>
      <c r="AP486" s="7">
        <f>MAX(0,1+INDEX(配置与结果!$J$15:$J$18,F486)+IF(T486&gt;0,方案参数!$BY$16,0)-配置与结果!$B$30)</f>
        <v>1</v>
      </c>
      <c r="AQ486" s="7">
        <f t="shared" si="653"/>
        <v>0</v>
      </c>
      <c r="AR486" s="7">
        <f t="shared" si="654"/>
        <v>0</v>
      </c>
      <c r="AS486" s="7">
        <f t="shared" si="655"/>
        <v>0</v>
      </c>
      <c r="AT486" s="7">
        <f>0</f>
        <v>0</v>
      </c>
      <c r="AU486" s="7">
        <f t="shared" si="656"/>
        <v>154357.71</v>
      </c>
      <c r="AV486" s="1">
        <f t="shared" si="657"/>
        <v>1</v>
      </c>
      <c r="AW486" s="1">
        <f t="shared" si="693"/>
        <v>8</v>
      </c>
      <c r="AX486" s="1">
        <f t="shared" si="658"/>
        <v>0</v>
      </c>
      <c r="AY486" s="1">
        <f t="shared" si="687"/>
        <v>6</v>
      </c>
      <c r="AZ486" s="1">
        <f t="shared" si="659"/>
        <v>5</v>
      </c>
      <c r="BA486" s="1">
        <f>MIN(6,Q486+0)</f>
        <v>3</v>
      </c>
      <c r="BB486" s="1">
        <f t="shared" si="680"/>
        <v>5</v>
      </c>
      <c r="BC486" s="1">
        <f t="shared" si="694"/>
        <v>2</v>
      </c>
      <c r="BD486" s="1">
        <f t="shared" si="688"/>
        <v>0</v>
      </c>
      <c r="BE486" s="1">
        <f t="shared" si="681"/>
        <v>0</v>
      </c>
      <c r="BF486" s="1">
        <f>MIN(4,V486+0)</f>
        <v>2</v>
      </c>
      <c r="BG486" s="1">
        <f t="shared" si="685"/>
        <v>1</v>
      </c>
      <c r="BH486" s="1">
        <f t="shared" si="682"/>
        <v>1</v>
      </c>
      <c r="BI486" s="1">
        <f t="shared" si="686"/>
        <v>1</v>
      </c>
      <c r="BJ486" s="1">
        <f t="shared" si="692"/>
        <v>1</v>
      </c>
      <c r="BK486" s="1">
        <f t="shared" si="692"/>
        <v>1</v>
      </c>
      <c r="BL486" s="1">
        <f t="shared" si="662"/>
        <v>0</v>
      </c>
      <c r="BM486" s="1">
        <f t="shared" si="660"/>
        <v>0</v>
      </c>
      <c r="BN486" s="1">
        <f t="shared" si="683"/>
        <v>1</v>
      </c>
      <c r="BO486" s="1">
        <f t="shared" si="684"/>
        <v>1</v>
      </c>
    </row>
    <row r="487" spans="1:67" ht="30.95" customHeight="1">
      <c r="A487" s="1">
        <f>13</f>
        <v>13</v>
      </c>
      <c r="B487" s="1">
        <f>固定流程!A19</f>
        <v>14</v>
      </c>
      <c r="C487" s="1">
        <f>16</f>
        <v>16</v>
      </c>
      <c r="D487" s="1">
        <f>1</f>
        <v>1</v>
      </c>
      <c r="E487" s="1">
        <f>固定流程!C19</f>
        <v>3</v>
      </c>
      <c r="F487" s="1">
        <f>固定流程!G19</f>
        <v>3</v>
      </c>
      <c r="G487" s="1" t="str">
        <f>固定流程!H19</f>
        <v>RHI_BUFF</v>
      </c>
      <c r="H487" s="1">
        <f>固定流程!F19</f>
        <v>1</v>
      </c>
      <c r="I487" s="1">
        <f>INDEX(配置与结果!$B$15:$B$18,F487)</f>
        <v>2597</v>
      </c>
      <c r="J487" s="1">
        <f>INDEX(配置与结果!$D$15:$D$18,F487)</f>
        <v>0.255</v>
      </c>
      <c r="K487" s="1">
        <f>INDEX(配置与结果!$E$15:$E$18,F487)</f>
        <v>1.55</v>
      </c>
      <c r="L487" s="1">
        <f>IF(AV486=1,IF(M487&gt;=10,2,1),IF(AV486=2,IF(AX486&lt;=1,0,2),0))</f>
        <v>2</v>
      </c>
      <c r="M487" s="1">
        <f>IF(AND(AV486=2,AX486&lt;=1),0,MIN(10,AW486+IF(AV486=1,3,0)))</f>
        <v>10</v>
      </c>
      <c r="N487" s="1">
        <f>IF(AND(AV486=1,M487&gt;=10),2,IF(AV486=2,MAX(0,AX486-1),0))</f>
        <v>2</v>
      </c>
      <c r="O487" s="1">
        <f t="shared" si="689"/>
        <v>6</v>
      </c>
      <c r="P487" s="1">
        <f>MIN(方案参数!$AI$16,AZ486+方案参数!$AJ$16+方案参数!$AK$16)</f>
        <v>5</v>
      </c>
      <c r="Q487" s="1">
        <f t="shared" si="667"/>
        <v>3</v>
      </c>
      <c r="R487" s="1">
        <f t="shared" si="668"/>
        <v>5</v>
      </c>
      <c r="S487" s="1">
        <f t="shared" si="669"/>
        <v>2</v>
      </c>
      <c r="T487" s="1">
        <f t="shared" si="670"/>
        <v>0</v>
      </c>
      <c r="U487" s="1">
        <f t="shared" si="671"/>
        <v>0</v>
      </c>
      <c r="V487" s="1">
        <f t="shared" si="672"/>
        <v>2</v>
      </c>
      <c r="W487" s="1">
        <f t="shared" si="673"/>
        <v>1</v>
      </c>
      <c r="X487" s="1">
        <f t="shared" si="674"/>
        <v>1</v>
      </c>
      <c r="Y487" s="1">
        <f t="shared" si="675"/>
        <v>1</v>
      </c>
      <c r="Z487" s="1">
        <f t="shared" si="676"/>
        <v>1</v>
      </c>
      <c r="AA487" s="1">
        <f t="shared" si="691"/>
        <v>1</v>
      </c>
      <c r="AB487" s="1">
        <f t="shared" si="678"/>
        <v>0</v>
      </c>
      <c r="AC487" s="1">
        <f t="shared" si="679"/>
        <v>0</v>
      </c>
      <c r="AD487" s="1">
        <f>ROUNDDOWN(I487*(1+IF(F487=3,0.05+方案参数!$Y$16+AA487*0.12,IF(F487=4,方案参数!$BZ$16*方案参数!$AS$16,0)))+IF(AND(X487=1,F487&lt;&gt;3),方案参数!$CC$16,0)+AC487*方案参数!$CB$16,0)</f>
        <v>3298</v>
      </c>
      <c r="AE487" s="1">
        <f>IF(OR(F487=1,F487=4),配置与结果!$B$24,配置与结果!$B$25)*MAX(0,1-INDEX(配置与结果!$I$15:$I$18,F487))</f>
        <v>1000</v>
      </c>
      <c r="AF487" s="1">
        <f>0</f>
        <v>0</v>
      </c>
      <c r="AG487" s="1">
        <f>MAX(配置与结果!$B$32,1+INDEX(配置与结果!$F$15:$F$18,F487)+0+Q487*方案参数!$W$16+Y487*(方案参数!$AN$16+MIN(方案参数!$AO$16,P487*0.03))+AB487*方案参数!$BZ$16*0.025-配置与结果!$B$28)</f>
        <v>0.995</v>
      </c>
      <c r="AH487" s="1">
        <f>MAX(0,1+INDEX(配置与结果!$G$15:$G$18,F487)+W487*方案参数!$AG$16)</f>
        <v>1.3</v>
      </c>
      <c r="AI487" s="1">
        <f>IF(OR(INDEX(配置与结果!$K$15:$K$18,F487)=1,G487="RHI_BERRY"),1+配置与结果!$B$33+P487*方案参数!$AH$16,1)</f>
        <v>1</v>
      </c>
      <c r="AJ487" s="1">
        <f>MIN(1,MAX(0,J487+方案参数!$AB$16-配置与结果!$B$27))</f>
        <v>0.85499999999999998</v>
      </c>
      <c r="AK487" s="1">
        <f>MAX(1,K487+IF(F487=2,0.15+方案参数!$CH$16,0)+BN487*方案参数!$X$16+R487*方案参数!$AA$16+0-配置与结果!$B$26+Z487*(方案参数!$AP$16+MIN(方案参数!$AQ$16,P487*0.03)))</f>
        <v>1.6300000000000001</v>
      </c>
      <c r="AL487" s="7">
        <f>ROUNDDOWN(MAX(AD487*配置与结果!$B$31,AD487-AE487)*AF487*AG487*AH487*AI487,0)</f>
        <v>0</v>
      </c>
      <c r="AM487" s="7">
        <f>ROUNDDOWN(MAX(AD487*配置与结果!$B$31,AD487-AE487)*AF487*AG487*AH487*AI487*AK487,0)</f>
        <v>0</v>
      </c>
      <c r="AN487" s="7">
        <f t="shared" si="652"/>
        <v>0</v>
      </c>
      <c r="AO487" s="7">
        <f>0</f>
        <v>0</v>
      </c>
      <c r="AP487" s="7">
        <f>MAX(0,1+INDEX(配置与结果!$J$15:$J$18,F487)+IF(T487&gt;0,方案参数!$BY$16,0)-配置与结果!$B$30)</f>
        <v>1</v>
      </c>
      <c r="AQ487" s="7">
        <f t="shared" si="653"/>
        <v>0</v>
      </c>
      <c r="AR487" s="7">
        <f t="shared" si="654"/>
        <v>0</v>
      </c>
      <c r="AS487" s="7">
        <f t="shared" si="655"/>
        <v>0</v>
      </c>
      <c r="AT487" s="7">
        <f>0</f>
        <v>0</v>
      </c>
      <c r="AU487" s="7">
        <f t="shared" si="656"/>
        <v>0</v>
      </c>
      <c r="AV487" s="1">
        <f t="shared" si="657"/>
        <v>2</v>
      </c>
      <c r="AW487" s="1">
        <f t="shared" si="693"/>
        <v>10</v>
      </c>
      <c r="AX487" s="1">
        <f t="shared" si="658"/>
        <v>2</v>
      </c>
      <c r="AY487" s="1">
        <f t="shared" si="687"/>
        <v>6</v>
      </c>
      <c r="AZ487" s="1">
        <f t="shared" si="659"/>
        <v>5</v>
      </c>
      <c r="BA487" s="1">
        <f>MIN(6,Q487+1)</f>
        <v>4</v>
      </c>
      <c r="BB487" s="1">
        <f t="shared" si="680"/>
        <v>5</v>
      </c>
      <c r="BC487" s="1">
        <f t="shared" si="694"/>
        <v>2</v>
      </c>
      <c r="BD487" s="1">
        <f t="shared" si="688"/>
        <v>0</v>
      </c>
      <c r="BE487" s="1">
        <f t="shared" si="681"/>
        <v>0</v>
      </c>
      <c r="BF487" s="1">
        <f>MIN(4,V487+0)</f>
        <v>2</v>
      </c>
      <c r="BG487" s="1">
        <f>MAX(W487,1)</f>
        <v>1</v>
      </c>
      <c r="BH487" s="1">
        <f t="shared" si="682"/>
        <v>1</v>
      </c>
      <c r="BI487" s="1">
        <f>MAX(Y487,1)</f>
        <v>1</v>
      </c>
      <c r="BJ487" s="1">
        <f t="shared" si="692"/>
        <v>1</v>
      </c>
      <c r="BK487" s="1">
        <f t="shared" si="692"/>
        <v>1</v>
      </c>
      <c r="BL487" s="1">
        <f t="shared" si="662"/>
        <v>0</v>
      </c>
      <c r="BM487" s="1">
        <f t="shared" si="660"/>
        <v>0</v>
      </c>
      <c r="BN487" s="1">
        <f t="shared" si="683"/>
        <v>1</v>
      </c>
      <c r="BO487" s="1">
        <f t="shared" si="684"/>
        <v>1</v>
      </c>
    </row>
    <row r="488" spans="1:67" ht="30.95" customHeight="1">
      <c r="A488" s="1">
        <f>13</f>
        <v>13</v>
      </c>
      <c r="B488" s="1">
        <f>固定流程!A20</f>
        <v>15</v>
      </c>
      <c r="C488" s="1">
        <f>16</f>
        <v>16</v>
      </c>
      <c r="D488" s="1">
        <f>1</f>
        <v>1</v>
      </c>
      <c r="E488" s="1">
        <f>固定流程!C20</f>
        <v>3</v>
      </c>
      <c r="F488" s="1">
        <f>固定流程!G20</f>
        <v>3</v>
      </c>
      <c r="G488" s="1" t="str">
        <f>固定流程!H20</f>
        <v>RHI_ATTACK</v>
      </c>
      <c r="H488" s="1">
        <f>固定流程!F20</f>
        <v>1</v>
      </c>
      <c r="I488" s="1">
        <f>INDEX(配置与结果!$B$15:$B$18,F488)</f>
        <v>2597</v>
      </c>
      <c r="J488" s="1">
        <f>INDEX(配置与结果!$D$15:$D$18,F488)</f>
        <v>0.255</v>
      </c>
      <c r="K488" s="1">
        <f>INDEX(配置与结果!$E$15:$E$18,F488)</f>
        <v>1.55</v>
      </c>
      <c r="L488" s="1">
        <f t="shared" ref="L488:L509" si="695">AV487</f>
        <v>2</v>
      </c>
      <c r="M488" s="1">
        <f t="shared" ref="M488:M509" si="696">AW487</f>
        <v>10</v>
      </c>
      <c r="N488" s="1">
        <f t="shared" ref="N488:N509" si="697">AX487</f>
        <v>2</v>
      </c>
      <c r="O488" s="1">
        <f t="shared" si="689"/>
        <v>6</v>
      </c>
      <c r="P488" s="1">
        <f>MIN(方案参数!$AI$16,AZ487+0+方案参数!$AK$16)</f>
        <v>5</v>
      </c>
      <c r="Q488" s="1">
        <f t="shared" si="667"/>
        <v>4</v>
      </c>
      <c r="R488" s="1">
        <f t="shared" si="668"/>
        <v>5</v>
      </c>
      <c r="S488" s="1">
        <f t="shared" si="669"/>
        <v>2</v>
      </c>
      <c r="T488" s="1">
        <f t="shared" si="670"/>
        <v>0</v>
      </c>
      <c r="U488" s="1">
        <f t="shared" si="671"/>
        <v>0</v>
      </c>
      <c r="V488" s="1">
        <f t="shared" si="672"/>
        <v>2</v>
      </c>
      <c r="W488" s="1">
        <f t="shared" si="673"/>
        <v>1</v>
      </c>
      <c r="X488" s="1">
        <f t="shared" si="674"/>
        <v>1</v>
      </c>
      <c r="Y488" s="1">
        <f t="shared" si="675"/>
        <v>1</v>
      </c>
      <c r="Z488" s="1">
        <f t="shared" si="676"/>
        <v>1</v>
      </c>
      <c r="AA488" s="1">
        <f>MAX(BK487,1)</f>
        <v>1</v>
      </c>
      <c r="AB488" s="1">
        <f t="shared" si="678"/>
        <v>0</v>
      </c>
      <c r="AC488" s="1">
        <f t="shared" si="679"/>
        <v>0</v>
      </c>
      <c r="AD488" s="1">
        <f>ROUNDDOWN(I488*(1+IF(F488=3,0.05+方案参数!$Y$16+AA488*0.12,IF(F488=4,方案参数!$BZ$16*方案参数!$AS$16,0)))+IF(AND(X488=1,F488&lt;&gt;3),方案参数!$CC$16,0)+AC488*方案参数!$CB$16,0)</f>
        <v>3298</v>
      </c>
      <c r="AE488" s="1">
        <f>IF(OR(F488=1,F488=4),配置与结果!$B$24,配置与结果!$B$25)*MAX(0,1-INDEX(配置与结果!$I$15:$I$18,F488))</f>
        <v>1000</v>
      </c>
      <c r="AF488" s="1">
        <f>4</f>
        <v>4</v>
      </c>
      <c r="AG488" s="1">
        <f>MAX(配置与结果!$B$32,1+INDEX(配置与结果!$F$15:$F$18,F488)+0+Q488*方案参数!$W$16+Y488*(方案参数!$AN$16+MIN(方案参数!$AO$16,P488*0.03))+AB488*方案参数!$BZ$16*0.025-配置与结果!$B$28)</f>
        <v>1.0150000000000001</v>
      </c>
      <c r="AH488" s="1">
        <f>MAX(0,1+INDEX(配置与结果!$G$15:$G$18,F488)+W488*方案参数!$AG$16)</f>
        <v>1.3</v>
      </c>
      <c r="AI488" s="1">
        <f>IF(OR(INDEX(配置与结果!$K$15:$K$18,F488)=1,G488="RHI_BERRY"),1+配置与结果!$B$33+P488*方案参数!$AH$16,1)</f>
        <v>1</v>
      </c>
      <c r="AJ488" s="1">
        <f>MIN(1,MAX(0,J488+方案参数!$AB$16-配置与结果!$B$27))</f>
        <v>0.85499999999999998</v>
      </c>
      <c r="AK488" s="1">
        <f>MAX(1,K488+IF(F488=2,0.15+方案参数!$CH$16,0)+BN488*方案参数!$X$16+R488*方案参数!$AA$16+0-配置与结果!$B$26+Z488*(方案参数!$AP$16+MIN(方案参数!$AQ$16,P488*0.03)))</f>
        <v>1.6300000000000001</v>
      </c>
      <c r="AL488" s="7">
        <f>ROUNDDOWN(MAX(AD488*配置与结果!$B$31,AD488-AE488)*AF488*AG488*AH488*AI488,0)</f>
        <v>12128</v>
      </c>
      <c r="AM488" s="7">
        <f>ROUNDDOWN(MAX(AD488*配置与结果!$B$31,AD488-AE488)*AF488*AG488*AH488*AI488*AK488,0)</f>
        <v>19770</v>
      </c>
      <c r="AN488" s="7">
        <f t="shared" si="652"/>
        <v>18661.91</v>
      </c>
      <c r="AO488" s="7">
        <f>0</f>
        <v>0</v>
      </c>
      <c r="AP488" s="7">
        <f>MAX(0,1+INDEX(配置与结果!$J$15:$J$18,F488)+IF(T488&gt;0,方案参数!$BY$16,0)-配置与结果!$B$30)</f>
        <v>1</v>
      </c>
      <c r="AQ488" s="7">
        <f t="shared" si="653"/>
        <v>0</v>
      </c>
      <c r="AR488" s="7">
        <f t="shared" si="654"/>
        <v>0</v>
      </c>
      <c r="AS488" s="7">
        <f t="shared" si="655"/>
        <v>0</v>
      </c>
      <c r="AT488" s="7">
        <f>0</f>
        <v>0</v>
      </c>
      <c r="AU488" s="7">
        <f t="shared" si="656"/>
        <v>18661.91</v>
      </c>
      <c r="AV488" s="1">
        <f t="shared" si="657"/>
        <v>2</v>
      </c>
      <c r="AW488" s="1">
        <f t="shared" si="693"/>
        <v>10</v>
      </c>
      <c r="AX488" s="1">
        <f t="shared" si="658"/>
        <v>2</v>
      </c>
      <c r="AY488" s="1">
        <f t="shared" si="687"/>
        <v>6</v>
      </c>
      <c r="AZ488" s="1">
        <f t="shared" si="659"/>
        <v>5</v>
      </c>
      <c r="BA488" s="1">
        <f>MIN(6,Q488+1)</f>
        <v>5</v>
      </c>
      <c r="BB488" s="1">
        <f t="shared" si="680"/>
        <v>5</v>
      </c>
      <c r="BC488" s="1">
        <f t="shared" si="694"/>
        <v>2</v>
      </c>
      <c r="BD488" s="1">
        <f t="shared" si="688"/>
        <v>0</v>
      </c>
      <c r="BE488" s="1">
        <f t="shared" si="681"/>
        <v>0</v>
      </c>
      <c r="BF488" s="1">
        <f>MIN(4,V488+0)</f>
        <v>2</v>
      </c>
      <c r="BG488" s="1">
        <f t="shared" ref="BG488:BG510" si="698">MAX(W488,0)</f>
        <v>1</v>
      </c>
      <c r="BH488" s="1">
        <f t="shared" si="682"/>
        <v>1</v>
      </c>
      <c r="BI488" s="1">
        <f t="shared" ref="BI488:BI510" si="699">MAX(Y488,0)</f>
        <v>1</v>
      </c>
      <c r="BJ488" s="1">
        <f>MAX(Z488,1)</f>
        <v>1</v>
      </c>
      <c r="BK488" s="1">
        <f>MAX(AA488,1)</f>
        <v>1</v>
      </c>
      <c r="BL488" s="1">
        <f t="shared" si="662"/>
        <v>0</v>
      </c>
      <c r="BM488" s="1">
        <f t="shared" si="660"/>
        <v>0</v>
      </c>
      <c r="BN488" s="1">
        <f t="shared" si="683"/>
        <v>1</v>
      </c>
      <c r="BO488" s="1">
        <f t="shared" si="684"/>
        <v>1</v>
      </c>
    </row>
    <row r="489" spans="1:67" ht="30.95" customHeight="1">
      <c r="A489" s="1">
        <f>13</f>
        <v>13</v>
      </c>
      <c r="B489" s="1">
        <f>固定流程!A21</f>
        <v>16</v>
      </c>
      <c r="C489" s="1">
        <f>16</f>
        <v>16</v>
      </c>
      <c r="D489" s="1">
        <f>1</f>
        <v>1</v>
      </c>
      <c r="E489" s="1">
        <f>固定流程!C21</f>
        <v>3</v>
      </c>
      <c r="F489" s="1">
        <f>固定流程!G21</f>
        <v>2</v>
      </c>
      <c r="G489" s="1" t="str">
        <f>固定流程!H21</f>
        <v>37_ULT</v>
      </c>
      <c r="H489" s="1">
        <f>固定流程!F21</f>
        <v>1</v>
      </c>
      <c r="I489" s="1">
        <f>INDEX(配置与结果!$B$15:$B$18,F489)</f>
        <v>2306</v>
      </c>
      <c r="J489" s="1">
        <f>INDEX(配置与结果!$D$15:$D$18,F489)</f>
        <v>0.46</v>
      </c>
      <c r="K489" s="1">
        <f>INDEX(配置与结果!$E$15:$E$18,F489)</f>
        <v>1.9279999999999999</v>
      </c>
      <c r="L489" s="1">
        <f t="shared" si="695"/>
        <v>2</v>
      </c>
      <c r="M489" s="1">
        <f t="shared" si="696"/>
        <v>10</v>
      </c>
      <c r="N489" s="1">
        <f t="shared" si="697"/>
        <v>2</v>
      </c>
      <c r="O489" s="1">
        <f t="shared" si="689"/>
        <v>6</v>
      </c>
      <c r="P489" s="1">
        <f>MIN(方案参数!$AI$16,AZ488+0+0)</f>
        <v>5</v>
      </c>
      <c r="Q489" s="1">
        <f t="shared" si="667"/>
        <v>5</v>
      </c>
      <c r="R489" s="1">
        <f t="shared" si="668"/>
        <v>5</v>
      </c>
      <c r="S489" s="1">
        <f t="shared" si="669"/>
        <v>2</v>
      </c>
      <c r="T489" s="1">
        <f>BD488+方案参数!$BX$16</f>
        <v>3</v>
      </c>
      <c r="U489" s="1">
        <f t="shared" si="671"/>
        <v>0</v>
      </c>
      <c r="V489" s="1">
        <f t="shared" si="672"/>
        <v>2</v>
      </c>
      <c r="W489" s="1">
        <f t="shared" si="673"/>
        <v>1</v>
      </c>
      <c r="X489" s="1">
        <f t="shared" si="674"/>
        <v>1</v>
      </c>
      <c r="Y489" s="1">
        <f t="shared" si="675"/>
        <v>1</v>
      </c>
      <c r="Z489" s="1">
        <f t="shared" si="676"/>
        <v>1</v>
      </c>
      <c r="AA489" s="1">
        <f t="shared" ref="AA489:AA509" si="700">MAX(BK488,0)</f>
        <v>1</v>
      </c>
      <c r="AB489" s="1">
        <f t="shared" si="678"/>
        <v>0</v>
      </c>
      <c r="AC489" s="1">
        <f>MAX(BM488,1)</f>
        <v>1</v>
      </c>
      <c r="AD489" s="1">
        <f>ROUNDDOWN(I489*(1+IF(F489=3,0.05+方案参数!$Y$16+AA489*0.12,IF(F489=4,方案参数!$BZ$16*方案参数!$AS$16,0)))+IF(AND(X489=1,F489&lt;&gt;3),方案参数!$CC$16,0)+AC489*方案参数!$CB$16,0)</f>
        <v>3144</v>
      </c>
      <c r="AE489" s="1">
        <f>IF(OR(F489=1,F489=4),配置与结果!$B$24,配置与结果!$B$25)*MAX(0,1-INDEX(配置与结果!$I$15:$I$18,F489))</f>
        <v>1000</v>
      </c>
      <c r="AF489" s="1">
        <f>0</f>
        <v>0</v>
      </c>
      <c r="AG489" s="1">
        <f>MAX(配置与结果!$B$32,1+INDEX(配置与结果!$F$15:$F$18,F489)+0+Q489*方案参数!$W$16+Y489*(方案参数!$AN$16+MIN(方案参数!$AO$16,P489*0.03))+AB489*方案参数!$BZ$16*0.025-配置与结果!$B$28)</f>
        <v>1.0049999999999999</v>
      </c>
      <c r="AH489" s="1">
        <f>MAX(0,1+INDEX(配置与结果!$G$15:$G$18,F489)+W489*方案参数!$AG$16)</f>
        <v>1.3</v>
      </c>
      <c r="AI489" s="1">
        <f>IF(OR(INDEX(配置与结果!$K$15:$K$18,F489)=1,G489="RHI_BERRY"),1+配置与结果!$B$33+P489*方案参数!$AH$16,1)</f>
        <v>1</v>
      </c>
      <c r="AJ489" s="1">
        <f>MIN(1,MAX(0,J489+方案参数!$AB$16-配置与结果!$B$27))</f>
        <v>1</v>
      </c>
      <c r="AK489" s="1">
        <f>MAX(1,K489+IF(F489=2,0.15+方案参数!$CH$16,0)+BN489*方案参数!$X$16+R489*方案参数!$AA$16+0-配置与结果!$B$26+Z489*(方案参数!$AP$16+MIN(方案参数!$AQ$16,P489*0.03)))</f>
        <v>2.278</v>
      </c>
      <c r="AL489" s="7">
        <f>ROUNDDOWN(MAX(AD489*配置与结果!$B$31,AD489-AE489)*AF489*AG489*AH489*AI489,0)</f>
        <v>0</v>
      </c>
      <c r="AM489" s="7">
        <f>ROUNDDOWN(MAX(AD489*配置与结果!$B$31,AD489-AE489)*AF489*AG489*AH489*AI489*AK489,0)</f>
        <v>0</v>
      </c>
      <c r="AN489" s="7">
        <f t="shared" si="652"/>
        <v>0</v>
      </c>
      <c r="AO489" s="7">
        <f>0</f>
        <v>0</v>
      </c>
      <c r="AP489" s="7">
        <f>MAX(0,1+INDEX(配置与结果!$J$15:$J$18,F489)+IF(T489&gt;0,方案参数!$BY$16,0)-配置与结果!$B$30)</f>
        <v>3</v>
      </c>
      <c r="AQ489" s="7">
        <f t="shared" si="653"/>
        <v>0</v>
      </c>
      <c r="AR489" s="7">
        <f t="shared" si="654"/>
        <v>0</v>
      </c>
      <c r="AS489" s="7">
        <f t="shared" si="655"/>
        <v>0</v>
      </c>
      <c r="AT489" s="7">
        <f>0</f>
        <v>0</v>
      </c>
      <c r="AU489" s="7">
        <f t="shared" si="656"/>
        <v>0</v>
      </c>
      <c r="AV489" s="1">
        <f t="shared" si="657"/>
        <v>2</v>
      </c>
      <c r="AW489" s="1">
        <f t="shared" si="693"/>
        <v>10</v>
      </c>
      <c r="AX489" s="1">
        <f t="shared" si="658"/>
        <v>2</v>
      </c>
      <c r="AY489" s="1">
        <f t="shared" si="687"/>
        <v>6</v>
      </c>
      <c r="AZ489" s="1">
        <f t="shared" si="659"/>
        <v>5</v>
      </c>
      <c r="BA489" s="1">
        <f t="shared" ref="BA489:BA509" si="701">MIN(6,Q489+0)</f>
        <v>5</v>
      </c>
      <c r="BB489" s="1">
        <f>MIN(30,R489+5)</f>
        <v>10</v>
      </c>
      <c r="BC489" s="1">
        <f t="shared" si="694"/>
        <v>2</v>
      </c>
      <c r="BD489" s="1">
        <f t="shared" si="688"/>
        <v>3</v>
      </c>
      <c r="BE489" s="1">
        <f t="shared" si="681"/>
        <v>0</v>
      </c>
      <c r="BF489" s="1">
        <f>MIN(4,V489+0)</f>
        <v>2</v>
      </c>
      <c r="BG489" s="1">
        <f t="shared" si="698"/>
        <v>1</v>
      </c>
      <c r="BH489" s="1">
        <f t="shared" si="682"/>
        <v>1</v>
      </c>
      <c r="BI489" s="1">
        <f t="shared" si="699"/>
        <v>1</v>
      </c>
      <c r="BJ489" s="1">
        <f t="shared" ref="BJ489:BJ516" si="702">MAX(Z489,0)</f>
        <v>1</v>
      </c>
      <c r="BK489" s="1">
        <f t="shared" ref="BK489:BK516" si="703">MAX(AA489,0)</f>
        <v>1</v>
      </c>
      <c r="BL489" s="1">
        <f t="shared" si="662"/>
        <v>0</v>
      </c>
      <c r="BM489" s="1">
        <f>MAX(AC489,1)</f>
        <v>1</v>
      </c>
      <c r="BN489" s="1">
        <f t="shared" si="683"/>
        <v>1</v>
      </c>
      <c r="BO489" s="1">
        <f t="shared" si="684"/>
        <v>1</v>
      </c>
    </row>
    <row r="490" spans="1:67" ht="30.95" customHeight="1">
      <c r="A490" s="1">
        <f>13</f>
        <v>13</v>
      </c>
      <c r="B490" s="1">
        <f>固定流程!A22</f>
        <v>17</v>
      </c>
      <c r="C490" s="1">
        <f>16</f>
        <v>16</v>
      </c>
      <c r="D490" s="1">
        <f>1</f>
        <v>1</v>
      </c>
      <c r="E490" s="1">
        <f>固定流程!C22</f>
        <v>3</v>
      </c>
      <c r="F490" s="1">
        <f>固定流程!G22</f>
        <v>2</v>
      </c>
      <c r="G490" s="1" t="str">
        <f>固定流程!H22</f>
        <v>37_FOLLOW</v>
      </c>
      <c r="H490" s="1">
        <f>固定流程!F22</f>
        <v>1</v>
      </c>
      <c r="I490" s="1">
        <f>INDEX(配置与结果!$B$15:$B$18,F490)</f>
        <v>2306</v>
      </c>
      <c r="J490" s="1">
        <f>INDEX(配置与结果!$D$15:$D$18,F490)</f>
        <v>0.46</v>
      </c>
      <c r="K490" s="1">
        <f>INDEX(配置与结果!$E$15:$E$18,F490)</f>
        <v>1.9279999999999999</v>
      </c>
      <c r="L490" s="1">
        <f t="shared" si="695"/>
        <v>2</v>
      </c>
      <c r="M490" s="1">
        <f t="shared" si="696"/>
        <v>10</v>
      </c>
      <c r="N490" s="1">
        <f t="shared" si="697"/>
        <v>2</v>
      </c>
      <c r="O490" s="1">
        <f t="shared" si="689"/>
        <v>6</v>
      </c>
      <c r="P490" s="1">
        <f>MIN(方案参数!$AI$16,AZ489+0+0)</f>
        <v>5</v>
      </c>
      <c r="Q490" s="1">
        <f t="shared" si="667"/>
        <v>5</v>
      </c>
      <c r="R490" s="1">
        <f t="shared" si="668"/>
        <v>10</v>
      </c>
      <c r="S490" s="1">
        <f t="shared" si="669"/>
        <v>2</v>
      </c>
      <c r="T490" s="1">
        <f t="shared" ref="T490:T509" si="704">BD489+0</f>
        <v>3</v>
      </c>
      <c r="U490" s="1">
        <f t="shared" si="671"/>
        <v>0</v>
      </c>
      <c r="V490" s="1">
        <f t="shared" si="672"/>
        <v>2</v>
      </c>
      <c r="W490" s="1">
        <f t="shared" si="673"/>
        <v>1</v>
      </c>
      <c r="X490" s="1">
        <f t="shared" si="674"/>
        <v>1</v>
      </c>
      <c r="Y490" s="1">
        <f t="shared" si="675"/>
        <v>1</v>
      </c>
      <c r="Z490" s="1">
        <f t="shared" si="676"/>
        <v>1</v>
      </c>
      <c r="AA490" s="1">
        <f t="shared" si="700"/>
        <v>1</v>
      </c>
      <c r="AB490" s="1">
        <f t="shared" si="678"/>
        <v>0</v>
      </c>
      <c r="AC490" s="1">
        <f t="shared" ref="AC490:AC509" si="705">MAX(BM489,0)</f>
        <v>1</v>
      </c>
      <c r="AD490" s="1">
        <f>ROUNDDOWN(I490*(1+IF(F490=3,0.05+方案参数!$Y$16+AA490*0.12,IF(F490=4,方案参数!$BZ$16*方案参数!$AS$16,0)))+IF(AND(X490=1,F490&lt;&gt;3),方案参数!$CC$16,0)+AC490*方案参数!$CB$16,0)</f>
        <v>3144</v>
      </c>
      <c r="AE490" s="1">
        <f>IF(OR(F490=1,F490=4),配置与结果!$B$24,配置与结果!$B$25)*MAX(0,1-INDEX(配置与结果!$I$15:$I$18,F490))</f>
        <v>1000</v>
      </c>
      <c r="AF490" s="1">
        <f>方案参数!$BV$16</f>
        <v>6</v>
      </c>
      <c r="AG490" s="1">
        <f>MAX(配置与结果!$B$32,1+INDEX(配置与结果!$F$15:$F$18,F490)+0+Q490*方案参数!$W$16+Y490*(方案参数!$AN$16+MIN(方案参数!$AO$16,P490*0.03))+AB490*方案参数!$BZ$16*0.025-配置与结果!$B$28)</f>
        <v>1.0049999999999999</v>
      </c>
      <c r="AH490" s="1">
        <f>MAX(0,1+INDEX(配置与结果!$G$15:$G$18,F490)+W490*方案参数!$AG$16)</f>
        <v>1.3</v>
      </c>
      <c r="AI490" s="1">
        <f>IF(OR(INDEX(配置与结果!$K$15:$K$18,F490)=1,G490="RHI_BERRY"),1+配置与结果!$B$33+P490*方案参数!$AH$16,1)</f>
        <v>1</v>
      </c>
      <c r="AJ490" s="1">
        <f>MIN(1,MAX(0,J490+方案参数!$AB$16-配置与结果!$B$27))</f>
        <v>1</v>
      </c>
      <c r="AK490" s="1">
        <f>MAX(1,K490+IF(F490=2,0.15+方案参数!$CH$16,0)+BN490*方案参数!$X$16+R490*方案参数!$AA$16+0-配置与结果!$B$26+Z490*(方案参数!$AP$16+MIN(方案参数!$AQ$16,P490*0.03)))</f>
        <v>2.298</v>
      </c>
      <c r="AL490" s="7">
        <f>ROUNDDOWN(MAX(AD490*配置与结果!$B$31,AD490-AE490)*AF490*AG490*AH490*AI490,0)</f>
        <v>16806</v>
      </c>
      <c r="AM490" s="7">
        <f>ROUNDDOWN(MAX(AD490*配置与结果!$B$31,AD490-AE490)*AF490*AG490*AH490*AI490*AK490,0)</f>
        <v>38622</v>
      </c>
      <c r="AN490" s="7">
        <f t="shared" si="652"/>
        <v>38622</v>
      </c>
      <c r="AO490" s="7">
        <f>方案参数!$BW$16</f>
        <v>2</v>
      </c>
      <c r="AP490" s="7">
        <f>MAX(0,1+INDEX(配置与结果!$J$15:$J$18,F490)+IF(T490&gt;0,方案参数!$BY$16,0)-配置与结果!$B$30)</f>
        <v>3</v>
      </c>
      <c r="AQ490" s="7">
        <f t="shared" si="653"/>
        <v>18864</v>
      </c>
      <c r="AR490" s="7">
        <f t="shared" si="654"/>
        <v>43349</v>
      </c>
      <c r="AS490" s="7">
        <f t="shared" si="655"/>
        <v>43349</v>
      </c>
      <c r="AT490" s="7">
        <f>0</f>
        <v>0</v>
      </c>
      <c r="AU490" s="7">
        <f t="shared" si="656"/>
        <v>81971</v>
      </c>
      <c r="AV490" s="1">
        <f t="shared" si="657"/>
        <v>2</v>
      </c>
      <c r="AW490" s="1">
        <f t="shared" si="693"/>
        <v>10</v>
      </c>
      <c r="AX490" s="1">
        <f t="shared" si="658"/>
        <v>2</v>
      </c>
      <c r="AY490" s="1">
        <f t="shared" si="687"/>
        <v>6</v>
      </c>
      <c r="AZ490" s="1">
        <f t="shared" si="659"/>
        <v>5</v>
      </c>
      <c r="BA490" s="1">
        <f t="shared" si="701"/>
        <v>5</v>
      </c>
      <c r="BB490" s="1">
        <f>MIN(30,R490+0)</f>
        <v>10</v>
      </c>
      <c r="BC490" s="1">
        <f t="shared" si="694"/>
        <v>2</v>
      </c>
      <c r="BD490" s="1">
        <f t="shared" si="688"/>
        <v>2</v>
      </c>
      <c r="BE490" s="1">
        <f t="shared" si="681"/>
        <v>0</v>
      </c>
      <c r="BF490" s="1">
        <f>MIN(4,V490+1)</f>
        <v>3</v>
      </c>
      <c r="BG490" s="1">
        <f t="shared" si="698"/>
        <v>1</v>
      </c>
      <c r="BH490" s="1">
        <f t="shared" si="682"/>
        <v>1</v>
      </c>
      <c r="BI490" s="1">
        <f t="shared" si="699"/>
        <v>1</v>
      </c>
      <c r="BJ490" s="1">
        <f t="shared" si="702"/>
        <v>1</v>
      </c>
      <c r="BK490" s="1">
        <f t="shared" si="703"/>
        <v>1</v>
      </c>
      <c r="BL490" s="1">
        <f t="shared" si="662"/>
        <v>0</v>
      </c>
      <c r="BM490" s="1">
        <f t="shared" ref="BM490:BM524" si="706">MAX(AC490,0)</f>
        <v>1</v>
      </c>
      <c r="BN490" s="1">
        <f t="shared" si="683"/>
        <v>1</v>
      </c>
      <c r="BO490" s="1">
        <f t="shared" si="684"/>
        <v>1</v>
      </c>
    </row>
    <row r="491" spans="1:67" ht="30.95" customHeight="1">
      <c r="A491" s="1">
        <f>13</f>
        <v>13</v>
      </c>
      <c r="B491" s="1">
        <f>固定流程!A23</f>
        <v>18</v>
      </c>
      <c r="C491" s="1">
        <f>16</f>
        <v>16</v>
      </c>
      <c r="D491" s="1">
        <f>1</f>
        <v>1</v>
      </c>
      <c r="E491" s="1">
        <f>固定流程!C23</f>
        <v>3</v>
      </c>
      <c r="F491" s="1">
        <f>固定流程!G23</f>
        <v>4</v>
      </c>
      <c r="G491" s="1" t="str">
        <f>固定流程!H23</f>
        <v>J_HARD</v>
      </c>
      <c r="H491" s="1">
        <f>固定流程!F23</f>
        <v>1</v>
      </c>
      <c r="I491" s="1">
        <f>INDEX(配置与结果!$B$15:$B$18,F491)</f>
        <v>1906</v>
      </c>
      <c r="J491" s="1">
        <f>INDEX(配置与结果!$D$15:$D$18,F491)</f>
        <v>0.36699999999999999</v>
      </c>
      <c r="K491" s="1">
        <f>INDEX(配置与结果!$E$15:$E$18,F491)</f>
        <v>1.7170000000000001</v>
      </c>
      <c r="L491" s="1">
        <f t="shared" si="695"/>
        <v>2</v>
      </c>
      <c r="M491" s="1">
        <f t="shared" si="696"/>
        <v>10</v>
      </c>
      <c r="N491" s="1">
        <f t="shared" si="697"/>
        <v>2</v>
      </c>
      <c r="O491" s="1">
        <f t="shared" si="689"/>
        <v>6</v>
      </c>
      <c r="P491" s="1">
        <f>MIN(方案参数!$AI$16,AZ490+0+0)</f>
        <v>5</v>
      </c>
      <c r="Q491" s="1">
        <f t="shared" si="667"/>
        <v>5</v>
      </c>
      <c r="R491" s="1">
        <f t="shared" si="668"/>
        <v>10</v>
      </c>
      <c r="S491" s="1">
        <f t="shared" si="669"/>
        <v>2</v>
      </c>
      <c r="T491" s="1">
        <f t="shared" si="704"/>
        <v>2</v>
      </c>
      <c r="U491" s="1">
        <f t="shared" si="671"/>
        <v>0</v>
      </c>
      <c r="V491" s="1">
        <f t="shared" si="672"/>
        <v>3</v>
      </c>
      <c r="W491" s="1">
        <f t="shared" si="673"/>
        <v>1</v>
      </c>
      <c r="X491" s="1">
        <f t="shared" si="674"/>
        <v>1</v>
      </c>
      <c r="Y491" s="1">
        <f t="shared" si="675"/>
        <v>1</v>
      </c>
      <c r="Z491" s="1">
        <f t="shared" si="676"/>
        <v>1</v>
      </c>
      <c r="AA491" s="1">
        <f t="shared" si="700"/>
        <v>1</v>
      </c>
      <c r="AB491" s="1">
        <f t="shared" si="678"/>
        <v>0</v>
      </c>
      <c r="AC491" s="1">
        <f t="shared" si="705"/>
        <v>1</v>
      </c>
      <c r="AD491" s="1">
        <f>ROUNDDOWN(I491*(1+IF(F491=3,0.05+方案参数!$Y$16+AA491*0.12,IF(F491=4,方案参数!$BZ$16*方案参数!$AS$16,0)))+IF(AND(X491=1,F491&lt;&gt;3),方案参数!$CC$16,0)+AC491*方案参数!$CB$16,0)</f>
        <v>3411</v>
      </c>
      <c r="AE491" s="1">
        <f>IF(OR(F491=1,F491=4),配置与结果!$B$24,配置与结果!$B$25)*MAX(0,1-INDEX(配置与结果!$I$15:$I$18,F491))</f>
        <v>1200</v>
      </c>
      <c r="AF491" s="1">
        <f>3.6*IF(H491=1,1,IF(H491=2,1.5,2.5))</f>
        <v>3.6</v>
      </c>
      <c r="AG491" s="1">
        <f>MAX(配置与结果!$B$32,1+INDEX(配置与结果!$F$15:$F$18,F491)+0.08+Q491*方案参数!$W$16+Y491*(方案参数!$AN$16+MIN(方案参数!$AO$16,P491*0.03))+AB491*方案参数!$BZ$16*0.025+0.1+IF(方案参数!$BZ$16&gt;=30,方案参数!$BZ$16*0.01,0)-配置与结果!$B$28)</f>
        <v>1.5550000000000002</v>
      </c>
      <c r="AH491" s="1">
        <f>MAX(0,1+INDEX(配置与结果!$G$15:$G$18,F491)+W491*方案参数!$AG$16)</f>
        <v>1.3</v>
      </c>
      <c r="AI491" s="1">
        <f>IF(OR(INDEX(配置与结果!$K$15:$K$18,F491)=1,G491="RHI_BERRY"),1+配置与结果!$B$33+P491*方案参数!$AH$16,1)</f>
        <v>1</v>
      </c>
      <c r="AJ491" s="1">
        <f>MIN(1,MAX(0,J491+方案参数!$AB$16-配置与结果!$B$27))</f>
        <v>0.96699999999999997</v>
      </c>
      <c r="AK491" s="1">
        <f>MAX(1,K491+IF(F491=2,0.15+方案参数!$CH$16,0)+BN491*方案参数!$X$16+R491*方案参数!$AA$16+0-配置与结果!$B$26+Z491*(方案参数!$AP$16+MIN(方案参数!$AQ$16,P491*0.03)))</f>
        <v>1.8169999999999999</v>
      </c>
      <c r="AL491" s="7">
        <f>ROUNDDOWN(MAX(AD491*配置与结果!$B$31,AD491-AE491)*AF491*AG491*AH491*AI491,0)</f>
        <v>16090</v>
      </c>
      <c r="AM491" s="7">
        <f>ROUNDDOWN(MAX(AD491*配置与结果!$B$31,AD491-AE491)*AF491*AG491*AH491*AI491*AK491,0)</f>
        <v>29236</v>
      </c>
      <c r="AN491" s="7">
        <f t="shared" si="652"/>
        <v>28802.182000000001</v>
      </c>
      <c r="AO491" s="7">
        <f>0</f>
        <v>0</v>
      </c>
      <c r="AP491" s="7">
        <f>MAX(0,1+INDEX(配置与结果!$J$15:$J$18,F491)+IF(T491&gt;0,方案参数!$BY$16,0)-配置与结果!$B$30)</f>
        <v>3</v>
      </c>
      <c r="AQ491" s="7">
        <f t="shared" si="653"/>
        <v>0</v>
      </c>
      <c r="AR491" s="7">
        <f t="shared" si="654"/>
        <v>0</v>
      </c>
      <c r="AS491" s="7">
        <f t="shared" si="655"/>
        <v>0</v>
      </c>
      <c r="AT491" s="7">
        <f>0</f>
        <v>0</v>
      </c>
      <c r="AU491" s="7">
        <f t="shared" si="656"/>
        <v>28802.182000000001</v>
      </c>
      <c r="AV491" s="1">
        <f t="shared" si="657"/>
        <v>2</v>
      </c>
      <c r="AW491" s="1">
        <f t="shared" si="693"/>
        <v>10</v>
      </c>
      <c r="AX491" s="1">
        <f t="shared" si="658"/>
        <v>2</v>
      </c>
      <c r="AY491" s="1">
        <f t="shared" si="687"/>
        <v>6</v>
      </c>
      <c r="AZ491" s="1">
        <f t="shared" si="659"/>
        <v>5</v>
      </c>
      <c r="BA491" s="1">
        <f t="shared" si="701"/>
        <v>5</v>
      </c>
      <c r="BB491" s="1">
        <f>MIN(30,R491+0)</f>
        <v>10</v>
      </c>
      <c r="BC491" s="1">
        <f>MIN(3,S491+1)</f>
        <v>3</v>
      </c>
      <c r="BD491" s="1">
        <f t="shared" si="688"/>
        <v>2</v>
      </c>
      <c r="BE491" s="1">
        <f t="shared" si="681"/>
        <v>0</v>
      </c>
      <c r="BF491" s="1">
        <f>MIN(4,V491+0)</f>
        <v>3</v>
      </c>
      <c r="BG491" s="1">
        <f t="shared" si="698"/>
        <v>1</v>
      </c>
      <c r="BH491" s="1">
        <f t="shared" si="682"/>
        <v>1</v>
      </c>
      <c r="BI491" s="1">
        <f t="shared" si="699"/>
        <v>1</v>
      </c>
      <c r="BJ491" s="1">
        <f t="shared" si="702"/>
        <v>1</v>
      </c>
      <c r="BK491" s="1">
        <f t="shared" si="703"/>
        <v>1</v>
      </c>
      <c r="BL491" s="1">
        <f t="shared" si="662"/>
        <v>0</v>
      </c>
      <c r="BM491" s="1">
        <f t="shared" si="706"/>
        <v>1</v>
      </c>
      <c r="BN491" s="1">
        <f t="shared" si="683"/>
        <v>1</v>
      </c>
      <c r="BO491" s="1">
        <f t="shared" si="684"/>
        <v>1</v>
      </c>
    </row>
    <row r="492" spans="1:67" ht="30.95" customHeight="1">
      <c r="A492" s="1">
        <f>13</f>
        <v>13</v>
      </c>
      <c r="B492" s="1">
        <f>固定流程!A24</f>
        <v>19</v>
      </c>
      <c r="C492" s="1">
        <f>16</f>
        <v>16</v>
      </c>
      <c r="D492" s="1">
        <f>1</f>
        <v>1</v>
      </c>
      <c r="E492" s="1">
        <f>固定流程!C24</f>
        <v>3</v>
      </c>
      <c r="F492" s="1">
        <f>固定流程!G24</f>
        <v>4</v>
      </c>
      <c r="G492" s="1" t="str">
        <f>固定流程!H24</f>
        <v>J_ULT</v>
      </c>
      <c r="H492" s="1">
        <f>固定流程!F24</f>
        <v>1</v>
      </c>
      <c r="I492" s="1">
        <f>INDEX(配置与结果!$B$15:$B$18,F492)</f>
        <v>1906</v>
      </c>
      <c r="J492" s="1">
        <f>INDEX(配置与结果!$D$15:$D$18,F492)</f>
        <v>0.36699999999999999</v>
      </c>
      <c r="K492" s="1">
        <f>INDEX(配置与结果!$E$15:$E$18,F492)</f>
        <v>1.7170000000000001</v>
      </c>
      <c r="L492" s="1">
        <f t="shared" si="695"/>
        <v>2</v>
      </c>
      <c r="M492" s="1">
        <f t="shared" si="696"/>
        <v>10</v>
      </c>
      <c r="N492" s="1">
        <f t="shared" si="697"/>
        <v>2</v>
      </c>
      <c r="O492" s="1">
        <f t="shared" si="689"/>
        <v>6</v>
      </c>
      <c r="P492" s="1">
        <f>MIN(方案参数!$AI$16,AZ491+0+0)</f>
        <v>5</v>
      </c>
      <c r="Q492" s="1">
        <f t="shared" si="667"/>
        <v>5</v>
      </c>
      <c r="R492" s="1">
        <f t="shared" si="668"/>
        <v>10</v>
      </c>
      <c r="S492" s="1">
        <f t="shared" si="669"/>
        <v>3</v>
      </c>
      <c r="T492" s="1">
        <f t="shared" si="704"/>
        <v>2</v>
      </c>
      <c r="U492" s="1">
        <f t="shared" si="671"/>
        <v>0</v>
      </c>
      <c r="V492" s="1">
        <f t="shared" si="672"/>
        <v>3</v>
      </c>
      <c r="W492" s="1">
        <f t="shared" si="673"/>
        <v>1</v>
      </c>
      <c r="X492" s="1">
        <f t="shared" si="674"/>
        <v>1</v>
      </c>
      <c r="Y492" s="1">
        <f t="shared" si="675"/>
        <v>1</v>
      </c>
      <c r="Z492" s="1">
        <f t="shared" si="676"/>
        <v>1</v>
      </c>
      <c r="AA492" s="1">
        <f t="shared" si="700"/>
        <v>1</v>
      </c>
      <c r="AB492" s="1">
        <f t="shared" si="678"/>
        <v>0</v>
      </c>
      <c r="AC492" s="1">
        <f t="shared" si="705"/>
        <v>1</v>
      </c>
      <c r="AD492" s="1">
        <f>ROUNDDOWN(I492*(1+IF(F492=3,0.05+方案参数!$Y$16+AA492*0.12,IF(F492=4,方案参数!$BZ$16*方案参数!$AS$16,0)))+IF(AND(X492=1,F492&lt;&gt;3),方案参数!$CC$16,0)+AC492*方案参数!$CB$16,0)</f>
        <v>3411</v>
      </c>
      <c r="AE492" s="1">
        <f>IF(OR(F492=1,F492=4),配置与结果!$B$24,配置与结果!$B$25)*MAX(0,1-INDEX(配置与结果!$I$15:$I$18,F492))</f>
        <v>1200</v>
      </c>
      <c r="AF492" s="1">
        <f>方案参数!$AT$16+MAX(0,配置与结果!$H$26+方案参数!$BZ$16-30)*方案参数!$AU$16*配置与结果!$H$27</f>
        <v>42</v>
      </c>
      <c r="AG492" s="1">
        <f>MAX(配置与结果!$B$32,1+INDEX(配置与结果!$F$15:$F$18,F492)+0.08+Q492*方案参数!$W$16+Y492*(方案参数!$AN$16+MIN(方案参数!$AO$16,P492*0.03))+AB492*方案参数!$BZ$16*0.025-配置与结果!$B$28)</f>
        <v>1.105</v>
      </c>
      <c r="AH492" s="1">
        <f>MAX(0,1+INDEX(配置与结果!$H$15:$H$18,F492)+W492*方案参数!$AG$16+S492*方案参数!$Z$16)</f>
        <v>1.42</v>
      </c>
      <c r="AI492" s="1">
        <f>IF(OR(INDEX(配置与结果!$K$15:$K$18,F492)=1,G492="RHI_BERRY"),1+配置与结果!$B$33+P492*方案参数!$AH$16,1)</f>
        <v>1</v>
      </c>
      <c r="AJ492" s="1">
        <f>MIN(1,MAX(0,J492+方案参数!$AB$16-配置与结果!$B$27))</f>
        <v>0.96699999999999997</v>
      </c>
      <c r="AK492" s="1">
        <f>MAX(1,K492+IF(F492=2,0.15+方案参数!$CH$16,0)+BN492*方案参数!$X$16+R492*方案参数!$AA$16+0-配置与结果!$B$26+Z492*(方案参数!$AP$16+MIN(方案参数!$AQ$16,P492*0.03)))</f>
        <v>1.8169999999999999</v>
      </c>
      <c r="AL492" s="7">
        <f>ROUNDDOWN(MAX(AD492*配置与结果!$B$31,AD492-AE492)*AF492*AG492*AH492*AI492,0)</f>
        <v>145709</v>
      </c>
      <c r="AM492" s="7">
        <f>ROUNDDOWN(MAX(AD492*配置与结果!$B$31,AD492-AE492)*AF492*AG492*AH492*AI492*AK492,0)</f>
        <v>264754</v>
      </c>
      <c r="AN492" s="7">
        <f t="shared" si="652"/>
        <v>260825.51499999998</v>
      </c>
      <c r="AO492" s="7">
        <f>0</f>
        <v>0</v>
      </c>
      <c r="AP492" s="7">
        <f>MAX(0,1+INDEX(配置与结果!$J$15:$J$18,F492)+IF(T492&gt;0,方案参数!$BY$16,0)-配置与结果!$B$30)</f>
        <v>3</v>
      </c>
      <c r="AQ492" s="7">
        <f t="shared" si="653"/>
        <v>0</v>
      </c>
      <c r="AR492" s="7">
        <f t="shared" si="654"/>
        <v>0</v>
      </c>
      <c r="AS492" s="7">
        <f t="shared" si="655"/>
        <v>0</v>
      </c>
      <c r="AT492" s="7">
        <f>0</f>
        <v>0</v>
      </c>
      <c r="AU492" s="7">
        <f t="shared" si="656"/>
        <v>260825.51499999998</v>
      </c>
      <c r="AV492" s="1">
        <f t="shared" si="657"/>
        <v>2</v>
      </c>
      <c r="AW492" s="1">
        <f t="shared" si="693"/>
        <v>10</v>
      </c>
      <c r="AX492" s="1">
        <f t="shared" si="658"/>
        <v>2</v>
      </c>
      <c r="AY492" s="1">
        <f t="shared" si="687"/>
        <v>6</v>
      </c>
      <c r="AZ492" s="1">
        <f t="shared" si="659"/>
        <v>5</v>
      </c>
      <c r="BA492" s="1">
        <f t="shared" si="701"/>
        <v>5</v>
      </c>
      <c r="BB492" s="1">
        <f>MIN(30,R492+5)</f>
        <v>15</v>
      </c>
      <c r="BC492" s="1">
        <f t="shared" ref="BC492:BC515" si="707">MIN(3,S492+0)</f>
        <v>3</v>
      </c>
      <c r="BD492" s="1">
        <f t="shared" si="688"/>
        <v>2</v>
      </c>
      <c r="BE492" s="1">
        <f t="shared" si="681"/>
        <v>0</v>
      </c>
      <c r="BF492" s="1">
        <f>MIN(4,V492+0)</f>
        <v>3</v>
      </c>
      <c r="BG492" s="1">
        <f t="shared" si="698"/>
        <v>1</v>
      </c>
      <c r="BH492" s="1">
        <f t="shared" si="682"/>
        <v>1</v>
      </c>
      <c r="BI492" s="1">
        <f t="shared" si="699"/>
        <v>1</v>
      </c>
      <c r="BJ492" s="1">
        <f t="shared" si="702"/>
        <v>1</v>
      </c>
      <c r="BK492" s="1">
        <f t="shared" si="703"/>
        <v>1</v>
      </c>
      <c r="BL492" s="1">
        <f>MAX(AB492,1)</f>
        <v>1</v>
      </c>
      <c r="BM492" s="1">
        <f t="shared" si="706"/>
        <v>1</v>
      </c>
      <c r="BN492" s="1">
        <f t="shared" si="683"/>
        <v>1</v>
      </c>
      <c r="BO492" s="1">
        <f t="shared" si="684"/>
        <v>1</v>
      </c>
    </row>
    <row r="493" spans="1:67" ht="30.95" customHeight="1">
      <c r="A493" s="1">
        <f>13</f>
        <v>13</v>
      </c>
      <c r="B493" s="1">
        <f>固定流程!A25</f>
        <v>20</v>
      </c>
      <c r="C493" s="1">
        <f>16</f>
        <v>16</v>
      </c>
      <c r="D493" s="1">
        <f>1</f>
        <v>1</v>
      </c>
      <c r="E493" s="1">
        <f>固定流程!C25</f>
        <v>3</v>
      </c>
      <c r="F493" s="1">
        <f>固定流程!G25</f>
        <v>1</v>
      </c>
      <c r="G493" s="1" t="str">
        <f>固定流程!H25</f>
        <v>LILYA_ULT</v>
      </c>
      <c r="H493" s="1">
        <f>固定流程!F25</f>
        <v>1</v>
      </c>
      <c r="I493" s="1">
        <f>INDEX(配置与结果!$B$15:$B$18,F493)</f>
        <v>2296</v>
      </c>
      <c r="J493" s="1">
        <f>INDEX(配置与结果!$D$15:$D$18,F493)</f>
        <v>0.7</v>
      </c>
      <c r="K493" s="1">
        <f>INDEX(配置与结果!$E$15:$E$18,F493)</f>
        <v>2.0249999999999999</v>
      </c>
      <c r="L493" s="1">
        <f t="shared" si="695"/>
        <v>2</v>
      </c>
      <c r="M493" s="1">
        <f t="shared" si="696"/>
        <v>10</v>
      </c>
      <c r="N493" s="1">
        <f t="shared" si="697"/>
        <v>2</v>
      </c>
      <c r="O493" s="1">
        <f t="shared" si="689"/>
        <v>6</v>
      </c>
      <c r="P493" s="1">
        <f>MIN(方案参数!$AI$16,AZ492+0+0)</f>
        <v>5</v>
      </c>
      <c r="Q493" s="1">
        <f t="shared" si="667"/>
        <v>5</v>
      </c>
      <c r="R493" s="1">
        <f t="shared" si="668"/>
        <v>15</v>
      </c>
      <c r="S493" s="1">
        <f t="shared" si="669"/>
        <v>3</v>
      </c>
      <c r="T493" s="1">
        <f t="shared" si="704"/>
        <v>2</v>
      </c>
      <c r="U493" s="1">
        <f t="shared" si="671"/>
        <v>0</v>
      </c>
      <c r="V493" s="1">
        <f t="shared" si="672"/>
        <v>3</v>
      </c>
      <c r="W493" s="1">
        <f t="shared" si="673"/>
        <v>1</v>
      </c>
      <c r="X493" s="1">
        <f t="shared" si="674"/>
        <v>1</v>
      </c>
      <c r="Y493" s="1">
        <f t="shared" si="675"/>
        <v>1</v>
      </c>
      <c r="Z493" s="1">
        <f t="shared" si="676"/>
        <v>1</v>
      </c>
      <c r="AA493" s="1">
        <f t="shared" si="700"/>
        <v>1</v>
      </c>
      <c r="AB493" s="1">
        <f t="shared" si="678"/>
        <v>1</v>
      </c>
      <c r="AC493" s="1">
        <f t="shared" si="705"/>
        <v>1</v>
      </c>
      <c r="AD493" s="1">
        <f>ROUNDDOWN(I493*(1+IF(F493=3,0.05+方案参数!$Y$16+AA493*0.12,IF(F493=4,方案参数!$BZ$16*方案参数!$AS$16,0)))+IF(AND(X493=1,F493&lt;&gt;3),方案参数!$CC$16,0)+AC493*方案参数!$CB$16,0)</f>
        <v>3134</v>
      </c>
      <c r="AE493" s="1">
        <f>IF(OR(F493=1,F493=4),配置与结果!$B$24,配置与结果!$B$25)*MAX(0,1-INDEX(配置与结果!$I$15:$I$18,F493)+IF(O493&gt;=6,方案参数!$BK$16,0))</f>
        <v>1440</v>
      </c>
      <c r="AF493" s="1">
        <f>方案参数!$BG$16+IF(O493&gt;=6,方案参数!$BH$16,0)</f>
        <v>36</v>
      </c>
      <c r="AG493" s="1">
        <f>MAX(配置与结果!$B$32,1+INDEX(配置与结果!$F$15:$F$18,F493)+0.08+方案参数!$CD$16+Q493*方案参数!$W$16+Y493*(方案参数!$AN$16+MIN(方案参数!$AO$16,P493*0.03))+AB493*方案参数!$BZ$16*0.025-配置与结果!$B$28)</f>
        <v>2.2150000000000003</v>
      </c>
      <c r="AH493" s="1">
        <f>MAX(0,1+INDEX(配置与结果!$H$15:$H$18,F493)+W493*方案参数!$AG$16+O493*方案参数!$BF$16+IF(O493&gt;=6,方案参数!$BI$16,0))</f>
        <v>2.4500000000000002</v>
      </c>
      <c r="AI493" s="1">
        <f>IF(OR(INDEX(配置与结果!$K$15:$K$18,F493)=1,G493="RHI_BERRY"),1+配置与结果!$B$33+P493*方案参数!$AH$16,1)</f>
        <v>1</v>
      </c>
      <c r="AJ493" s="1">
        <f>MIN(1,MAX(0,J493+方案参数!$AB$16-配置与结果!$B$27))</f>
        <v>1</v>
      </c>
      <c r="AK493" s="1">
        <f>MAX(1,K493+IF(F493=2,0.15+方案参数!$CH$16,0)+BN493*方案参数!$X$16+R493*方案参数!$AA$16+IF(O493&gt;=6,方案参数!$BJ$16,0)-配置与结果!$B$26+Z493*(方案参数!$AP$16+MIN(方案参数!$AQ$16,P493*0.03)))</f>
        <v>3.145</v>
      </c>
      <c r="AL493" s="7">
        <f>ROUNDDOWN(MAX(AD493*配置与结果!$B$31,AD493-AE493)*AF493*AG493*AH493*AI493,0)</f>
        <v>330944</v>
      </c>
      <c r="AM493" s="7">
        <f>ROUNDDOWN(MAX(AD493*配置与结果!$B$31,AD493-AE493)*AF493*AG493*AH493*AI493*AK493,0)</f>
        <v>1040821</v>
      </c>
      <c r="AN493" s="7">
        <f t="shared" si="652"/>
        <v>1040821</v>
      </c>
      <c r="AO493" s="7">
        <f>0</f>
        <v>0</v>
      </c>
      <c r="AP493" s="7">
        <f>MAX(0,1+INDEX(配置与结果!$J$15:$J$18,F493)+IF(T493&gt;0,方案参数!$BY$16,0)-配置与结果!$B$30)</f>
        <v>3</v>
      </c>
      <c r="AQ493" s="7">
        <f t="shared" si="653"/>
        <v>0</v>
      </c>
      <c r="AR493" s="7">
        <f t="shared" si="654"/>
        <v>0</v>
      </c>
      <c r="AS493" s="7">
        <f t="shared" si="655"/>
        <v>0</v>
      </c>
      <c r="AT493" s="7">
        <f>0</f>
        <v>0</v>
      </c>
      <c r="AU493" s="7">
        <f t="shared" si="656"/>
        <v>1040821</v>
      </c>
      <c r="AV493" s="1">
        <f t="shared" si="657"/>
        <v>2</v>
      </c>
      <c r="AW493" s="1">
        <f t="shared" si="693"/>
        <v>10</v>
      </c>
      <c r="AX493" s="1">
        <f t="shared" si="658"/>
        <v>2</v>
      </c>
      <c r="AY493" s="1">
        <f>MIN(20,MAX(0,O493+0+0-IF(O493&gt;=6,6,0)))</f>
        <v>0</v>
      </c>
      <c r="AZ493" s="1">
        <f t="shared" si="659"/>
        <v>5</v>
      </c>
      <c r="BA493" s="1">
        <f t="shared" si="701"/>
        <v>5</v>
      </c>
      <c r="BB493" s="1">
        <f>MIN(30,R493+5)</f>
        <v>20</v>
      </c>
      <c r="BC493" s="1">
        <f t="shared" si="707"/>
        <v>3</v>
      </c>
      <c r="BD493" s="1">
        <f t="shared" si="688"/>
        <v>2</v>
      </c>
      <c r="BE493" s="1">
        <f t="shared" si="681"/>
        <v>0</v>
      </c>
      <c r="BF493" s="1">
        <f>MIN(4,V493+0)</f>
        <v>3</v>
      </c>
      <c r="BG493" s="1">
        <f t="shared" si="698"/>
        <v>1</v>
      </c>
      <c r="BH493" s="1">
        <f t="shared" si="682"/>
        <v>1</v>
      </c>
      <c r="BI493" s="1">
        <f t="shared" si="699"/>
        <v>1</v>
      </c>
      <c r="BJ493" s="1">
        <f t="shared" si="702"/>
        <v>1</v>
      </c>
      <c r="BK493" s="1">
        <f t="shared" si="703"/>
        <v>1</v>
      </c>
      <c r="BL493" s="1">
        <f t="shared" ref="BL493:BL527" si="708">MAX(AB493,0)</f>
        <v>1</v>
      </c>
      <c r="BM493" s="1">
        <f t="shared" si="706"/>
        <v>1</v>
      </c>
      <c r="BN493" s="1">
        <f t="shared" si="683"/>
        <v>1</v>
      </c>
      <c r="BO493" s="1">
        <f t="shared" si="684"/>
        <v>1</v>
      </c>
    </row>
    <row r="494" spans="1:67" ht="30.95" customHeight="1">
      <c r="A494" s="1">
        <f>13</f>
        <v>13</v>
      </c>
      <c r="B494" s="1">
        <f>固定流程!A26</f>
        <v>21</v>
      </c>
      <c r="C494" s="1">
        <f>16</f>
        <v>16</v>
      </c>
      <c r="D494" s="1">
        <f>1</f>
        <v>1</v>
      </c>
      <c r="E494" s="1">
        <f>固定流程!C26</f>
        <v>3</v>
      </c>
      <c r="F494" s="1">
        <f>固定流程!G26</f>
        <v>1</v>
      </c>
      <c r="G494" s="1" t="str">
        <f>固定流程!H26</f>
        <v>LILYA_DIVE</v>
      </c>
      <c r="H494" s="1">
        <f>固定流程!F26</f>
        <v>3</v>
      </c>
      <c r="I494" s="1">
        <f>INDEX(配置与结果!$B$15:$B$18,F494)</f>
        <v>2296</v>
      </c>
      <c r="J494" s="1">
        <f>INDEX(配置与结果!$D$15:$D$18,F494)</f>
        <v>0.7</v>
      </c>
      <c r="K494" s="1">
        <f>INDEX(配置与结果!$E$15:$E$18,F494)</f>
        <v>2.0249999999999999</v>
      </c>
      <c r="L494" s="1">
        <f t="shared" si="695"/>
        <v>2</v>
      </c>
      <c r="M494" s="1">
        <f t="shared" si="696"/>
        <v>10</v>
      </c>
      <c r="N494" s="1">
        <f t="shared" si="697"/>
        <v>2</v>
      </c>
      <c r="O494" s="1">
        <f t="shared" si="689"/>
        <v>0</v>
      </c>
      <c r="P494" s="1">
        <f>MIN(方案参数!$AI$16,AZ493+0+0)</f>
        <v>5</v>
      </c>
      <c r="Q494" s="1">
        <f t="shared" si="667"/>
        <v>5</v>
      </c>
      <c r="R494" s="1">
        <f t="shared" si="668"/>
        <v>20</v>
      </c>
      <c r="S494" s="1">
        <f t="shared" si="669"/>
        <v>3</v>
      </c>
      <c r="T494" s="1">
        <f t="shared" si="704"/>
        <v>2</v>
      </c>
      <c r="U494" s="1">
        <f t="shared" si="671"/>
        <v>0</v>
      </c>
      <c r="V494" s="1">
        <f t="shared" si="672"/>
        <v>3</v>
      </c>
      <c r="W494" s="1">
        <f t="shared" si="673"/>
        <v>1</v>
      </c>
      <c r="X494" s="1">
        <f t="shared" si="674"/>
        <v>1</v>
      </c>
      <c r="Y494" s="1">
        <f t="shared" si="675"/>
        <v>1</v>
      </c>
      <c r="Z494" s="1">
        <f t="shared" si="676"/>
        <v>1</v>
      </c>
      <c r="AA494" s="1">
        <f t="shared" si="700"/>
        <v>1</v>
      </c>
      <c r="AB494" s="1">
        <f t="shared" si="678"/>
        <v>1</v>
      </c>
      <c r="AC494" s="1">
        <f t="shared" si="705"/>
        <v>1</v>
      </c>
      <c r="AD494" s="1">
        <f>ROUNDDOWN(I494*(1+IF(F494=3,0.05+方案参数!$Y$16+AA494*0.12,IF(F494=4,方案参数!$BZ$16*方案参数!$AS$16,0)))+IF(AND(X494=1,F494&lt;&gt;3),方案参数!$CC$16,0)+AC494*方案参数!$CB$16,0)</f>
        <v>3134</v>
      </c>
      <c r="AE494" s="1">
        <f>IF(OR(F494=1,F494=4),配置与结果!$B$24,配置与结果!$B$25)*MAX(0,1-INDEX(配置与结果!$I$15:$I$18,F494))</f>
        <v>1200</v>
      </c>
      <c r="AF494" s="1">
        <f>(IF(L494=1,方案参数!$AW$16,IF(L494=2,方案参数!$AX$16,0))+方案参数!$AV$16)*H494</f>
        <v>30</v>
      </c>
      <c r="AG494" s="1">
        <f>MAX(配置与结果!$B$32,1+INDEX(配置与结果!$F$15:$F$18,F494)+0.08+方案参数!$CD$16+Q494*方案参数!$W$16+Y494*(方案参数!$AN$16+MIN(方案参数!$AO$16,P494*0.03))+AB494*方案参数!$BZ$16*0.025+IF(L494=1,方案参数!$AY$16+(H494-1)*0.1,IF(L494=2,方案参数!$AZ$16+(H494-1)*0.2,0))-配置与结果!$B$28)</f>
        <v>2.8150000000000004</v>
      </c>
      <c r="AH494" s="1">
        <f>MAX(0,1+INDEX(配置与结果!$G$15:$G$18,F494)+W494*方案参数!$AG$16+IF(L494=1,方案参数!$BA$16,IF(L494=2,方案参数!$BB$16,0))+M494*方案参数!$BC$16)</f>
        <v>3.1</v>
      </c>
      <c r="AI494" s="1">
        <f>IF(OR(INDEX(配置与结果!$K$15:$K$18,F494)=1,G494="RHI_BERRY"),1+配置与结果!$B$33+P494*方案参数!$AH$16,1)</f>
        <v>1</v>
      </c>
      <c r="AJ494" s="1">
        <f>MIN(1,MAX(0,J494+方案参数!$AB$16-配置与结果!$B$27))</f>
        <v>1</v>
      </c>
      <c r="AK494" s="1">
        <f>MAX(1,K494+IF(F494=2,0.15+方案参数!$CH$16,0)+BN494*方案参数!$X$16+R494*方案参数!$AA$16+0-配置与结果!$B$26+Z494*(方案参数!$AP$16+MIN(方案参数!$AQ$16,P494*0.03)))</f>
        <v>2.165</v>
      </c>
      <c r="AL494" s="7">
        <f>ROUNDDOWN(MAX(AD494*配置与结果!$B$31,AD494-AE494)*AF494*AG494*AH494*AI494,0)</f>
        <v>506311</v>
      </c>
      <c r="AM494" s="7">
        <f>ROUNDDOWN(MAX(AD494*配置与结果!$B$31,AD494-AE494)*AF494*AG494*AH494*AI494*AK494,0)</f>
        <v>1096164</v>
      </c>
      <c r="AN494" s="7">
        <f t="shared" si="652"/>
        <v>1096164</v>
      </c>
      <c r="AO494" s="7">
        <f>0</f>
        <v>0</v>
      </c>
      <c r="AP494" s="7">
        <f>MAX(0,1+INDEX(配置与结果!$J$15:$J$18,F494)+IF(T494&gt;0,方案参数!$BY$16,0)-配置与结果!$B$30)</f>
        <v>3</v>
      </c>
      <c r="AQ494" s="7">
        <f t="shared" si="653"/>
        <v>0</v>
      </c>
      <c r="AR494" s="7">
        <f t="shared" si="654"/>
        <v>0</v>
      </c>
      <c r="AS494" s="7">
        <f t="shared" si="655"/>
        <v>0</v>
      </c>
      <c r="AT494" s="7">
        <f>0</f>
        <v>0</v>
      </c>
      <c r="AU494" s="7">
        <f t="shared" si="656"/>
        <v>1096164</v>
      </c>
      <c r="AV494" s="1">
        <f t="shared" si="657"/>
        <v>2</v>
      </c>
      <c r="AW494" s="1">
        <f>MIN(10,M494+0+IF(L494=1,方案参数!$BE$16,0))</f>
        <v>10</v>
      </c>
      <c r="AX494" s="1">
        <f t="shared" si="658"/>
        <v>2</v>
      </c>
      <c r="AY494" s="1">
        <f>MIN(20,MAX(0,O494+0+0-0))</f>
        <v>0</v>
      </c>
      <c r="AZ494" s="1">
        <f t="shared" si="659"/>
        <v>5</v>
      </c>
      <c r="BA494" s="1">
        <f t="shared" si="701"/>
        <v>5</v>
      </c>
      <c r="BB494" s="1">
        <f t="shared" ref="BB494:BB509" si="709">MIN(30,R494+0)</f>
        <v>20</v>
      </c>
      <c r="BC494" s="1">
        <f t="shared" si="707"/>
        <v>3</v>
      </c>
      <c r="BD494" s="1">
        <f t="shared" si="688"/>
        <v>2</v>
      </c>
      <c r="BE494" s="1">
        <f t="shared" si="681"/>
        <v>0</v>
      </c>
      <c r="BF494" s="1">
        <f>MIN(4,V494+0)</f>
        <v>3</v>
      </c>
      <c r="BG494" s="1">
        <f t="shared" si="698"/>
        <v>1</v>
      </c>
      <c r="BH494" s="1">
        <f t="shared" si="682"/>
        <v>1</v>
      </c>
      <c r="BI494" s="1">
        <f t="shared" si="699"/>
        <v>1</v>
      </c>
      <c r="BJ494" s="1">
        <f t="shared" si="702"/>
        <v>1</v>
      </c>
      <c r="BK494" s="1">
        <f t="shared" si="703"/>
        <v>1</v>
      </c>
      <c r="BL494" s="1">
        <f t="shared" si="708"/>
        <v>1</v>
      </c>
      <c r="BM494" s="1">
        <f t="shared" si="706"/>
        <v>1</v>
      </c>
      <c r="BN494" s="1">
        <f t="shared" si="683"/>
        <v>1</v>
      </c>
      <c r="BO494" s="1">
        <f t="shared" si="684"/>
        <v>1</v>
      </c>
    </row>
    <row r="495" spans="1:67" ht="30.95" customHeight="1">
      <c r="A495" s="1">
        <f>13</f>
        <v>13</v>
      </c>
      <c r="B495" s="1">
        <f>固定流程!A27</f>
        <v>22</v>
      </c>
      <c r="C495" s="1">
        <f>16</f>
        <v>16</v>
      </c>
      <c r="D495" s="1">
        <f>1</f>
        <v>1</v>
      </c>
      <c r="E495" s="1">
        <f>固定流程!C27</f>
        <v>3</v>
      </c>
      <c r="F495" s="1">
        <f>固定流程!G27</f>
        <v>3</v>
      </c>
      <c r="G495" s="1" t="str">
        <f>固定流程!H27</f>
        <v>RHI_BERRY</v>
      </c>
      <c r="H495" s="1">
        <f>固定流程!F27</f>
        <v>1</v>
      </c>
      <c r="I495" s="1">
        <f>INDEX(配置与结果!$B$15:$B$18,F495)</f>
        <v>2597</v>
      </c>
      <c r="J495" s="1">
        <f>INDEX(配置与结果!$D$15:$D$18,F495)</f>
        <v>0.255</v>
      </c>
      <c r="K495" s="1">
        <f>INDEX(配置与结果!$E$15:$E$18,F495)</f>
        <v>1.55</v>
      </c>
      <c r="L495" s="1">
        <f t="shared" si="695"/>
        <v>2</v>
      </c>
      <c r="M495" s="1">
        <f t="shared" si="696"/>
        <v>10</v>
      </c>
      <c r="N495" s="1">
        <f t="shared" si="697"/>
        <v>2</v>
      </c>
      <c r="O495" s="1">
        <f t="shared" si="689"/>
        <v>0</v>
      </c>
      <c r="P495" s="1">
        <f>MIN(方案参数!$AI$16,AZ494+0+0)</f>
        <v>5</v>
      </c>
      <c r="Q495" s="1">
        <f t="shared" si="667"/>
        <v>5</v>
      </c>
      <c r="R495" s="1">
        <f t="shared" si="668"/>
        <v>20</v>
      </c>
      <c r="S495" s="1">
        <f t="shared" si="669"/>
        <v>3</v>
      </c>
      <c r="T495" s="1">
        <f t="shared" si="704"/>
        <v>2</v>
      </c>
      <c r="U495" s="1">
        <f t="shared" si="671"/>
        <v>0</v>
      </c>
      <c r="V495" s="1">
        <f t="shared" si="672"/>
        <v>3</v>
      </c>
      <c r="W495" s="1">
        <f t="shared" si="673"/>
        <v>1</v>
      </c>
      <c r="X495" s="1">
        <f t="shared" si="674"/>
        <v>1</v>
      </c>
      <c r="Y495" s="1">
        <f t="shared" si="675"/>
        <v>1</v>
      </c>
      <c r="Z495" s="1">
        <f t="shared" si="676"/>
        <v>1</v>
      </c>
      <c r="AA495" s="1">
        <f t="shared" si="700"/>
        <v>1</v>
      </c>
      <c r="AB495" s="1">
        <f t="shared" si="678"/>
        <v>1</v>
      </c>
      <c r="AC495" s="1">
        <f t="shared" si="705"/>
        <v>1</v>
      </c>
      <c r="AD495" s="1">
        <f>ROUNDDOWN(I495*(1+IF(F495=3,0.05+方案参数!$Y$16+AA495*0.12,IF(F495=4,方案参数!$BZ$16*方案参数!$AS$16,0)))+IF(AND(X495=1,F495&lt;&gt;3),方案参数!$CC$16,0)+AC495*方案参数!$CB$16,0)</f>
        <v>3898</v>
      </c>
      <c r="AE495" s="1">
        <f>IF(OR(F495=1,F495=4),配置与结果!$B$24,配置与结果!$B$25)*MAX(0,1-INDEX(配置与结果!$I$15:$I$18,F495))</f>
        <v>1000</v>
      </c>
      <c r="AF495" s="1">
        <f>方案参数!$CF$16+P495*方案参数!$CG$16</f>
        <v>22.5</v>
      </c>
      <c r="AG495" s="1">
        <f>MAX(配置与结果!$B$32,1+INDEX(配置与结果!$F$15:$F$18,F495)+0+Q495*方案参数!$W$16+Y495*(方案参数!$AN$16+MIN(方案参数!$AO$16,P495*0.03))+AB495*方案参数!$BZ$16*0.025-配置与结果!$B$28)</f>
        <v>1.9100000000000001</v>
      </c>
      <c r="AH495" s="1">
        <f>MAX(0,1+INDEX(配置与结果!$G$15:$G$18,F495)+W495*方案参数!$AG$16)</f>
        <v>1.3</v>
      </c>
      <c r="AI495" s="1">
        <f>IF(OR(INDEX(配置与结果!$K$15:$K$18,F495)=1,G495="RHI_BERRY"),1+配置与结果!$B$33+P495*方案参数!$AH$16,1)</f>
        <v>1.5</v>
      </c>
      <c r="AJ495" s="1">
        <f>MIN(1,MAX(0,J495+方案参数!$AB$16-配置与结果!$B$27))</f>
        <v>0.85499999999999998</v>
      </c>
      <c r="AK495" s="1">
        <f>MAX(1,K495+IF(F495=2,0.15+方案参数!$CH$16,0)+BN495*方案参数!$X$16+R495*方案参数!$AA$16+0-配置与结果!$B$26+Z495*(方案参数!$AP$16+MIN(方案参数!$AQ$16,P495*0.03)))</f>
        <v>1.6900000000000002</v>
      </c>
      <c r="AL495" s="7">
        <f>ROUNDDOWN(MAX(AD495*配置与结果!$B$31,AD495-AE495)*AF495*AG495*AH495*AI495,0)</f>
        <v>242856</v>
      </c>
      <c r="AM495" s="7">
        <f>ROUNDDOWN(MAX(AD495*配置与结果!$B$31,AD495-AE495)*AF495*AG495*AH495*AI495*AK495,0)</f>
        <v>410426</v>
      </c>
      <c r="AN495" s="7">
        <f t="shared" si="652"/>
        <v>386128.35</v>
      </c>
      <c r="AO495" s="7">
        <f>0</f>
        <v>0</v>
      </c>
      <c r="AP495" s="7">
        <f>MAX(0,1+INDEX(配置与结果!$J$15:$J$18,F495)+IF(T495&gt;0,方案参数!$BY$16,0)-配置与结果!$B$30)</f>
        <v>3</v>
      </c>
      <c r="AQ495" s="7">
        <f t="shared" si="653"/>
        <v>0</v>
      </c>
      <c r="AR495" s="7">
        <f t="shared" si="654"/>
        <v>0</v>
      </c>
      <c r="AS495" s="7">
        <f t="shared" si="655"/>
        <v>0</v>
      </c>
      <c r="AT495" s="7">
        <f>0</f>
        <v>0</v>
      </c>
      <c r="AU495" s="7">
        <f t="shared" si="656"/>
        <v>386128.35</v>
      </c>
      <c r="AV495" s="1">
        <f t="shared" si="657"/>
        <v>2</v>
      </c>
      <c r="AW495" s="1">
        <f t="shared" ref="AW495:AW511" si="710">MIN(10,M495+0+0)</f>
        <v>10</v>
      </c>
      <c r="AX495" s="1">
        <f t="shared" si="658"/>
        <v>2</v>
      </c>
      <c r="AY495" s="1">
        <f>MIN(20,MAX(0,O495+0+0-0))</f>
        <v>0</v>
      </c>
      <c r="AZ495" s="1">
        <f t="shared" si="659"/>
        <v>5</v>
      </c>
      <c r="BA495" s="1">
        <f t="shared" si="701"/>
        <v>5</v>
      </c>
      <c r="BB495" s="1">
        <f t="shared" si="709"/>
        <v>20</v>
      </c>
      <c r="BC495" s="1">
        <f t="shared" si="707"/>
        <v>3</v>
      </c>
      <c r="BD495" s="1">
        <f t="shared" si="688"/>
        <v>2</v>
      </c>
      <c r="BE495" s="1">
        <f t="shared" si="681"/>
        <v>0</v>
      </c>
      <c r="BF495" s="1">
        <f>MIN(4,V495+0)</f>
        <v>3</v>
      </c>
      <c r="BG495" s="1">
        <f t="shared" si="698"/>
        <v>1</v>
      </c>
      <c r="BH495" s="1">
        <f t="shared" si="682"/>
        <v>1</v>
      </c>
      <c r="BI495" s="1">
        <f t="shared" si="699"/>
        <v>1</v>
      </c>
      <c r="BJ495" s="1">
        <f t="shared" si="702"/>
        <v>1</v>
      </c>
      <c r="BK495" s="1">
        <f t="shared" si="703"/>
        <v>1</v>
      </c>
      <c r="BL495" s="1">
        <f t="shared" si="708"/>
        <v>1</v>
      </c>
      <c r="BM495" s="1">
        <f t="shared" si="706"/>
        <v>1</v>
      </c>
      <c r="BN495" s="1">
        <f t="shared" si="683"/>
        <v>1</v>
      </c>
      <c r="BO495" s="1">
        <f t="shared" si="684"/>
        <v>1</v>
      </c>
    </row>
    <row r="496" spans="1:67" ht="30.95" customHeight="1">
      <c r="A496" s="1">
        <f>13</f>
        <v>13</v>
      </c>
      <c r="B496" s="1">
        <f>固定流程!A28</f>
        <v>23</v>
      </c>
      <c r="C496" s="1">
        <f>16</f>
        <v>16</v>
      </c>
      <c r="D496" s="1">
        <f>1</f>
        <v>1</v>
      </c>
      <c r="E496" s="1">
        <f>固定流程!C28</f>
        <v>3</v>
      </c>
      <c r="F496" s="1">
        <f>固定流程!G28</f>
        <v>2</v>
      </c>
      <c r="G496" s="1" t="str">
        <f>固定流程!H28</f>
        <v>37_FOLLOW</v>
      </c>
      <c r="H496" s="1">
        <f>固定流程!F28</f>
        <v>1</v>
      </c>
      <c r="I496" s="1">
        <f>INDEX(配置与结果!$B$15:$B$18,F496)</f>
        <v>2306</v>
      </c>
      <c r="J496" s="1">
        <f>INDEX(配置与结果!$D$15:$D$18,F496)</f>
        <v>0.46</v>
      </c>
      <c r="K496" s="1">
        <f>INDEX(配置与结果!$E$15:$E$18,F496)</f>
        <v>1.9279999999999999</v>
      </c>
      <c r="L496" s="1">
        <f t="shared" si="695"/>
        <v>2</v>
      </c>
      <c r="M496" s="1">
        <f t="shared" si="696"/>
        <v>10</v>
      </c>
      <c r="N496" s="1">
        <f t="shared" si="697"/>
        <v>2</v>
      </c>
      <c r="O496" s="1">
        <f t="shared" si="689"/>
        <v>0</v>
      </c>
      <c r="P496" s="1">
        <f>MIN(方案参数!$AI$16,AZ495+0+0)</f>
        <v>5</v>
      </c>
      <c r="Q496" s="1">
        <f t="shared" si="667"/>
        <v>5</v>
      </c>
      <c r="R496" s="1">
        <f t="shared" si="668"/>
        <v>20</v>
      </c>
      <c r="S496" s="1">
        <f t="shared" si="669"/>
        <v>3</v>
      </c>
      <c r="T496" s="1">
        <f t="shared" si="704"/>
        <v>2</v>
      </c>
      <c r="U496" s="1">
        <f t="shared" si="671"/>
        <v>0</v>
      </c>
      <c r="V496" s="1">
        <f t="shared" si="672"/>
        <v>3</v>
      </c>
      <c r="W496" s="1">
        <f t="shared" si="673"/>
        <v>1</v>
      </c>
      <c r="X496" s="1">
        <f t="shared" si="674"/>
        <v>1</v>
      </c>
      <c r="Y496" s="1">
        <f t="shared" si="675"/>
        <v>1</v>
      </c>
      <c r="Z496" s="1">
        <f t="shared" si="676"/>
        <v>1</v>
      </c>
      <c r="AA496" s="1">
        <f t="shared" si="700"/>
        <v>1</v>
      </c>
      <c r="AB496" s="1">
        <f t="shared" si="678"/>
        <v>1</v>
      </c>
      <c r="AC496" s="1">
        <f t="shared" si="705"/>
        <v>1</v>
      </c>
      <c r="AD496" s="1">
        <f>ROUNDDOWN(I496*(1+IF(F496=3,0.05+方案参数!$Y$16+AA496*0.12,IF(F496=4,方案参数!$BZ$16*方案参数!$AS$16,0)))+IF(AND(X496=1,F496&lt;&gt;3),方案参数!$CC$16,0)+AC496*方案参数!$CB$16,0)</f>
        <v>3144</v>
      </c>
      <c r="AE496" s="1">
        <f>IF(OR(F496=1,F496=4),配置与结果!$B$24,配置与结果!$B$25)*MAX(0,1-INDEX(配置与结果!$I$15:$I$18,F496))</f>
        <v>1000</v>
      </c>
      <c r="AF496" s="1">
        <f>方案参数!$BV$16</f>
        <v>6</v>
      </c>
      <c r="AG496" s="1">
        <f>MAX(配置与结果!$B$32,1+INDEX(配置与结果!$F$15:$F$18,F496)+0+Q496*方案参数!$W$16+Y496*(方案参数!$AN$16+MIN(方案参数!$AO$16,P496*0.03))+AB496*方案参数!$BZ$16*0.025-配置与结果!$B$28)</f>
        <v>1.8800000000000003</v>
      </c>
      <c r="AH496" s="1">
        <f>MAX(0,1+INDEX(配置与结果!$G$15:$G$18,F496)+W496*方案参数!$AG$16)</f>
        <v>1.3</v>
      </c>
      <c r="AI496" s="1">
        <f>IF(OR(INDEX(配置与结果!$K$15:$K$18,F496)=1,G496="RHI_BERRY"),1+配置与结果!$B$33+P496*方案参数!$AH$16,1)</f>
        <v>1</v>
      </c>
      <c r="AJ496" s="1">
        <f>MIN(1,MAX(0,J496+方案参数!$AB$16-配置与结果!$B$27))</f>
        <v>1</v>
      </c>
      <c r="AK496" s="1">
        <f>MAX(1,K496+IF(F496=2,0.15+方案参数!$CH$16,0)+BN496*方案参数!$X$16+R496*方案参数!$AA$16+0-配置与结果!$B$26+Z496*(方案参数!$AP$16+MIN(方案参数!$AQ$16,P496*0.03)))</f>
        <v>2.3380000000000001</v>
      </c>
      <c r="AL496" s="7">
        <f>ROUNDDOWN(MAX(AD496*配置与结果!$B$31,AD496-AE496)*AF496*AG496*AH496*AI496,0)</f>
        <v>31439</v>
      </c>
      <c r="AM496" s="7">
        <f>ROUNDDOWN(MAX(AD496*配置与结果!$B$31,AD496-AE496)*AF496*AG496*AH496*AI496*AK496,0)</f>
        <v>73505</v>
      </c>
      <c r="AN496" s="7">
        <f t="shared" si="652"/>
        <v>73505</v>
      </c>
      <c r="AO496" s="7">
        <f>方案参数!$BW$16</f>
        <v>2</v>
      </c>
      <c r="AP496" s="7">
        <f>MAX(0,1+INDEX(配置与结果!$J$15:$J$18,F496)+IF(T496&gt;0,方案参数!$BY$16,0)-配置与结果!$B$30)</f>
        <v>3</v>
      </c>
      <c r="AQ496" s="7">
        <f t="shared" si="653"/>
        <v>18864</v>
      </c>
      <c r="AR496" s="7">
        <f t="shared" si="654"/>
        <v>44104</v>
      </c>
      <c r="AS496" s="7">
        <f t="shared" si="655"/>
        <v>44104</v>
      </c>
      <c r="AT496" s="7">
        <f>0</f>
        <v>0</v>
      </c>
      <c r="AU496" s="7">
        <f t="shared" si="656"/>
        <v>117609</v>
      </c>
      <c r="AV496" s="1">
        <f t="shared" si="657"/>
        <v>2</v>
      </c>
      <c r="AW496" s="1">
        <f t="shared" si="710"/>
        <v>10</v>
      </c>
      <c r="AX496" s="1">
        <f t="shared" si="658"/>
        <v>2</v>
      </c>
      <c r="AY496" s="1">
        <f>MIN(20,MAX(0,O496+0+0-0))</f>
        <v>0</v>
      </c>
      <c r="AZ496" s="1">
        <f t="shared" si="659"/>
        <v>5</v>
      </c>
      <c r="BA496" s="1">
        <f t="shared" si="701"/>
        <v>5</v>
      </c>
      <c r="BB496" s="1">
        <f t="shared" si="709"/>
        <v>20</v>
      </c>
      <c r="BC496" s="1">
        <f t="shared" si="707"/>
        <v>3</v>
      </c>
      <c r="BD496" s="1">
        <f t="shared" si="688"/>
        <v>1</v>
      </c>
      <c r="BE496" s="1">
        <f t="shared" si="681"/>
        <v>0</v>
      </c>
      <c r="BF496" s="1">
        <f>MIN(4,V496+1)</f>
        <v>4</v>
      </c>
      <c r="BG496" s="1">
        <f t="shared" si="698"/>
        <v>1</v>
      </c>
      <c r="BH496" s="1">
        <f t="shared" si="682"/>
        <v>1</v>
      </c>
      <c r="BI496" s="1">
        <f t="shared" si="699"/>
        <v>1</v>
      </c>
      <c r="BJ496" s="1">
        <f t="shared" si="702"/>
        <v>1</v>
      </c>
      <c r="BK496" s="1">
        <f t="shared" si="703"/>
        <v>1</v>
      </c>
      <c r="BL496" s="1">
        <f t="shared" si="708"/>
        <v>1</v>
      </c>
      <c r="BM496" s="1">
        <f t="shared" si="706"/>
        <v>1</v>
      </c>
      <c r="BN496" s="1">
        <f t="shared" si="683"/>
        <v>1</v>
      </c>
      <c r="BO496" s="1">
        <f t="shared" si="684"/>
        <v>1</v>
      </c>
    </row>
    <row r="497" spans="1:67" ht="30.95" customHeight="1">
      <c r="A497" s="1">
        <f>13</f>
        <v>13</v>
      </c>
      <c r="B497" s="1">
        <f>固定流程!A29</f>
        <v>24</v>
      </c>
      <c r="C497" s="1">
        <f>16</f>
        <v>16</v>
      </c>
      <c r="D497" s="1">
        <f>2</f>
        <v>2</v>
      </c>
      <c r="E497" s="1">
        <f>固定流程!C29</f>
        <v>3</v>
      </c>
      <c r="F497" s="1">
        <f>固定流程!G29</f>
        <v>1</v>
      </c>
      <c r="G497" s="1" t="str">
        <f>固定流程!H29</f>
        <v>LILYA_WEAK</v>
      </c>
      <c r="H497" s="1">
        <f>固定流程!F29</f>
        <v>1</v>
      </c>
      <c r="I497" s="1">
        <f>INDEX(配置与结果!$B$15:$B$18,F497)</f>
        <v>2296</v>
      </c>
      <c r="J497" s="1">
        <f>INDEX(配置与结果!$D$15:$D$18,F497)</f>
        <v>0.7</v>
      </c>
      <c r="K497" s="1">
        <f>INDEX(配置与结果!$E$15:$E$18,F497)</f>
        <v>2.0249999999999999</v>
      </c>
      <c r="L497" s="1">
        <f t="shared" si="695"/>
        <v>2</v>
      </c>
      <c r="M497" s="1">
        <f t="shared" si="696"/>
        <v>10</v>
      </c>
      <c r="N497" s="1">
        <f t="shared" si="697"/>
        <v>2</v>
      </c>
      <c r="O497" s="1">
        <f t="shared" si="689"/>
        <v>0</v>
      </c>
      <c r="P497" s="1">
        <f>MIN(方案参数!$AI$16,AZ496+0+0)</f>
        <v>5</v>
      </c>
      <c r="Q497" s="1">
        <f t="shared" si="667"/>
        <v>5</v>
      </c>
      <c r="R497" s="1">
        <f t="shared" si="668"/>
        <v>20</v>
      </c>
      <c r="S497" s="1">
        <f t="shared" si="669"/>
        <v>3</v>
      </c>
      <c r="T497" s="1">
        <f t="shared" si="704"/>
        <v>1</v>
      </c>
      <c r="U497" s="1">
        <f t="shared" si="671"/>
        <v>0</v>
      </c>
      <c r="V497" s="1">
        <f t="shared" si="672"/>
        <v>4</v>
      </c>
      <c r="W497" s="1">
        <f t="shared" si="673"/>
        <v>1</v>
      </c>
      <c r="X497" s="1">
        <f t="shared" si="674"/>
        <v>1</v>
      </c>
      <c r="Y497" s="1">
        <f t="shared" si="675"/>
        <v>1</v>
      </c>
      <c r="Z497" s="1">
        <f t="shared" si="676"/>
        <v>1</v>
      </c>
      <c r="AA497" s="1">
        <f t="shared" si="700"/>
        <v>1</v>
      </c>
      <c r="AB497" s="1">
        <f t="shared" si="678"/>
        <v>1</v>
      </c>
      <c r="AC497" s="1">
        <f t="shared" si="705"/>
        <v>1</v>
      </c>
      <c r="AD497" s="1">
        <f>ROUNDDOWN(I497*(1+IF(F497=3,0.05+方案参数!$Y$16+AA497*0.12,IF(F497=4,方案参数!$BZ$16*方案参数!$AS$16,0)))+IF(AND(X497=1,F497&lt;&gt;3),方案参数!$CC$16,0)+AC497*方案参数!$CB$16,0)</f>
        <v>3134</v>
      </c>
      <c r="AE497" s="1">
        <f>IF(OR(F497=1,F497=4),配置与结果!$B$24,配置与结果!$B$25)*MAX(0,1-INDEX(配置与结果!$I$15:$I$18,F497))</f>
        <v>1200</v>
      </c>
      <c r="AF497" s="1">
        <f>方案参数!$BL$16</f>
        <v>9</v>
      </c>
      <c r="AG497" s="1">
        <f>MAX(配置与结果!$B$32,1+INDEX(配置与结果!$F$15:$F$18,F497)+0.08+方案参数!$CD$16+Q497*方案参数!$W$16+Y497*(方案参数!$AN$16+MIN(方案参数!$AO$16,P497*0.03))+AB497*方案参数!$BZ$16*0.025-配置与结果!$B$28+方案参数!$AE$16)</f>
        <v>3.2150000000000003</v>
      </c>
      <c r="AH497" s="1">
        <f>MAX(0,1+V497*方案参数!$U$16+0*方案参数!$V$16+方案参数!$AE$16-配置与结果!$B$29)</f>
        <v>2.16</v>
      </c>
      <c r="AI497" s="1">
        <f>IF(OR(INDEX(配置与结果!$K$15:$K$18,F497)=1,G497="RHI_BERRY"),1+配置与结果!$B$33+P497*方案参数!$AH$16,1)</f>
        <v>1</v>
      </c>
      <c r="AJ497" s="1">
        <f>MIN(1,MAX(0,J497+方案参数!$AB$16-配置与结果!$B$27))</f>
        <v>1</v>
      </c>
      <c r="AK497" s="1">
        <f>MAX(1,K497+IF(F497=2,0.15+方案参数!$CH$16,0)+BN497*方案参数!$X$16+R497*方案参数!$AA$16+方案参数!$BP$16-配置与结果!$B$26+Z497*(方案参数!$AP$16+MIN(方案参数!$AQ$16,P497*0.03)))</f>
        <v>2.7650000000000001</v>
      </c>
      <c r="AL497" s="7">
        <f>ROUNDDOWN(MAX(AD497*配置与结果!$B$31,AD497-AE497)*AF497*AG497*AH497*AI497,0)</f>
        <v>120874</v>
      </c>
      <c r="AM497" s="7">
        <f>ROUNDDOWN(MAX(AD497*配置与结果!$B$31,AD497-AE497)*AF497*AG497*AH497*AI497*AK497,0)</f>
        <v>334217</v>
      </c>
      <c r="AN497" s="7">
        <f t="shared" si="652"/>
        <v>334217</v>
      </c>
      <c r="AO497" s="7">
        <f>0</f>
        <v>0</v>
      </c>
      <c r="AP497" s="7">
        <f>MAX(0,1+INDEX(配置与结果!$J$15:$J$18,F497)+IF(T497&gt;0,方案参数!$BY$16,0)-配置与结果!$B$30)</f>
        <v>3</v>
      </c>
      <c r="AQ497" s="7">
        <f t="shared" si="653"/>
        <v>0</v>
      </c>
      <c r="AR497" s="7">
        <f t="shared" si="654"/>
        <v>0</v>
      </c>
      <c r="AS497" s="7">
        <f t="shared" si="655"/>
        <v>0</v>
      </c>
      <c r="AT497" s="7">
        <f>IF(U497&gt;0,ROUNDDOWN(AL497*方案参数!$AF$16,0)*(1-AJ497)+ROUNDDOWN(AM497*方案参数!$AF$16,0)*AJ497,0)</f>
        <v>0</v>
      </c>
      <c r="AU497" s="7">
        <f t="shared" si="656"/>
        <v>334217</v>
      </c>
      <c r="AV497" s="1">
        <f t="shared" si="657"/>
        <v>2</v>
      </c>
      <c r="AW497" s="1">
        <f t="shared" si="710"/>
        <v>10</v>
      </c>
      <c r="AX497" s="1">
        <f t="shared" si="658"/>
        <v>2</v>
      </c>
      <c r="AY497" s="1">
        <f>MIN(20,MAX(0,O497+0+1-0))</f>
        <v>1</v>
      </c>
      <c r="AZ497" s="1">
        <f t="shared" si="659"/>
        <v>5</v>
      </c>
      <c r="BA497" s="1">
        <f t="shared" si="701"/>
        <v>5</v>
      </c>
      <c r="BB497" s="1">
        <f t="shared" si="709"/>
        <v>20</v>
      </c>
      <c r="BC497" s="1">
        <f t="shared" si="707"/>
        <v>3</v>
      </c>
      <c r="BD497" s="1">
        <f t="shared" si="688"/>
        <v>1</v>
      </c>
      <c r="BE497" s="1">
        <f>MAX(0,U497-IF(AF497&gt;0,1,0))+0</f>
        <v>0</v>
      </c>
      <c r="BF497" s="1">
        <f t="shared" ref="BF497:BF514" si="711">MIN(4,V497+0)</f>
        <v>4</v>
      </c>
      <c r="BG497" s="1">
        <f t="shared" si="698"/>
        <v>1</v>
      </c>
      <c r="BH497" s="1">
        <f t="shared" si="682"/>
        <v>1</v>
      </c>
      <c r="BI497" s="1">
        <f t="shared" si="699"/>
        <v>1</v>
      </c>
      <c r="BJ497" s="1">
        <f t="shared" si="702"/>
        <v>1</v>
      </c>
      <c r="BK497" s="1">
        <f t="shared" si="703"/>
        <v>1</v>
      </c>
      <c r="BL497" s="1">
        <f t="shared" si="708"/>
        <v>1</v>
      </c>
      <c r="BM497" s="1">
        <f t="shared" si="706"/>
        <v>1</v>
      </c>
      <c r="BN497" s="1">
        <f t="shared" si="683"/>
        <v>1</v>
      </c>
      <c r="BO497" s="1">
        <f t="shared" si="684"/>
        <v>1</v>
      </c>
    </row>
    <row r="498" spans="1:67" ht="30.95" customHeight="1">
      <c r="A498" s="1">
        <f>13</f>
        <v>13</v>
      </c>
      <c r="B498" s="1">
        <f>固定流程!A30</f>
        <v>25</v>
      </c>
      <c r="C498" s="1">
        <f>16</f>
        <v>16</v>
      </c>
      <c r="D498" s="1">
        <f>2</f>
        <v>2</v>
      </c>
      <c r="E498" s="1">
        <f>固定流程!C30</f>
        <v>3</v>
      </c>
      <c r="F498" s="1">
        <f>固定流程!G30</f>
        <v>1</v>
      </c>
      <c r="G498" s="1" t="str">
        <f>固定流程!H30</f>
        <v>LILYA_WEAK</v>
      </c>
      <c r="H498" s="1">
        <f>固定流程!F30</f>
        <v>1</v>
      </c>
      <c r="I498" s="1">
        <f>INDEX(配置与结果!$B$15:$B$18,F498)</f>
        <v>2296</v>
      </c>
      <c r="J498" s="1">
        <f>INDEX(配置与结果!$D$15:$D$18,F498)</f>
        <v>0.7</v>
      </c>
      <c r="K498" s="1">
        <f>INDEX(配置与结果!$E$15:$E$18,F498)</f>
        <v>2.0249999999999999</v>
      </c>
      <c r="L498" s="1">
        <f t="shared" si="695"/>
        <v>2</v>
      </c>
      <c r="M498" s="1">
        <f t="shared" si="696"/>
        <v>10</v>
      </c>
      <c r="N498" s="1">
        <f t="shared" si="697"/>
        <v>2</v>
      </c>
      <c r="O498" s="1">
        <f t="shared" si="689"/>
        <v>1</v>
      </c>
      <c r="P498" s="1">
        <f>MIN(方案参数!$AI$16,AZ497+0+0)</f>
        <v>5</v>
      </c>
      <c r="Q498" s="1">
        <f t="shared" si="667"/>
        <v>5</v>
      </c>
      <c r="R498" s="1">
        <f t="shared" si="668"/>
        <v>20</v>
      </c>
      <c r="S498" s="1">
        <f t="shared" si="669"/>
        <v>3</v>
      </c>
      <c r="T498" s="1">
        <f t="shared" si="704"/>
        <v>1</v>
      </c>
      <c r="U498" s="1">
        <f t="shared" si="671"/>
        <v>0</v>
      </c>
      <c r="V498" s="1">
        <f t="shared" si="672"/>
        <v>4</v>
      </c>
      <c r="W498" s="1">
        <f t="shared" si="673"/>
        <v>1</v>
      </c>
      <c r="X498" s="1">
        <f t="shared" si="674"/>
        <v>1</v>
      </c>
      <c r="Y498" s="1">
        <f t="shared" si="675"/>
        <v>1</v>
      </c>
      <c r="Z498" s="1">
        <f t="shared" si="676"/>
        <v>1</v>
      </c>
      <c r="AA498" s="1">
        <f t="shared" si="700"/>
        <v>1</v>
      </c>
      <c r="AB498" s="1">
        <f t="shared" si="678"/>
        <v>1</v>
      </c>
      <c r="AC498" s="1">
        <f t="shared" si="705"/>
        <v>1</v>
      </c>
      <c r="AD498" s="1">
        <f>ROUNDDOWN(I498*(1+IF(F498=3,0.05+方案参数!$Y$16+AA498*0.12,IF(F498=4,方案参数!$BZ$16*方案参数!$AS$16,0)))+IF(AND(X498=1,F498&lt;&gt;3),方案参数!$CC$16,0)+AC498*方案参数!$CB$16,0)</f>
        <v>3134</v>
      </c>
      <c r="AE498" s="1">
        <f>IF(OR(F498=1,F498=4),配置与结果!$B$24,配置与结果!$B$25)*MAX(0,1-INDEX(配置与结果!$I$15:$I$18,F498))</f>
        <v>1200</v>
      </c>
      <c r="AF498" s="1">
        <f>方案参数!$BL$16</f>
        <v>9</v>
      </c>
      <c r="AG498" s="1">
        <f>MAX(配置与结果!$B$32,1+INDEX(配置与结果!$F$15:$F$18,F498)+0.08+方案参数!$CD$16+Q498*方案参数!$W$16+Y498*(方案参数!$AN$16+MIN(方案参数!$AO$16,P498*0.03))+AB498*方案参数!$BZ$16*0.025-配置与结果!$B$28+方案参数!$AE$16)</f>
        <v>3.2150000000000003</v>
      </c>
      <c r="AH498" s="1">
        <f>MAX(0,1+V498*方案参数!$U$16+1*方案参数!$V$16+方案参数!$AE$16-配置与结果!$B$29)</f>
        <v>2.2199999999999998</v>
      </c>
      <c r="AI498" s="1">
        <f>IF(OR(INDEX(配置与结果!$K$15:$K$18,F498)=1,G498="RHI_BERRY"),1+配置与结果!$B$33+P498*方案参数!$AH$16,1)</f>
        <v>1</v>
      </c>
      <c r="AJ498" s="1">
        <f>MIN(1,MAX(0,J498+方案参数!$AB$16-配置与结果!$B$27))</f>
        <v>1</v>
      </c>
      <c r="AK498" s="1">
        <f>MAX(1,K498+IF(F498=2,0.15+方案参数!$CH$16,0)+BN498*方案参数!$X$16+R498*方案参数!$AA$16+方案参数!$BP$16-配置与结果!$B$26+Z498*(方案参数!$AP$16+MIN(方案参数!$AQ$16,P498*0.03)))</f>
        <v>2.7650000000000001</v>
      </c>
      <c r="AL498" s="7">
        <f>ROUNDDOWN(MAX(AD498*配置与结果!$B$31,AD498-AE498)*AF498*AG498*AH498*AI498,0)</f>
        <v>124231</v>
      </c>
      <c r="AM498" s="7">
        <f>ROUNDDOWN(MAX(AD498*配置与结果!$B$31,AD498-AE498)*AF498*AG498*AH498*AI498*AK498,0)</f>
        <v>343501</v>
      </c>
      <c r="AN498" s="7">
        <f t="shared" si="652"/>
        <v>343501</v>
      </c>
      <c r="AO498" s="7">
        <f>0</f>
        <v>0</v>
      </c>
      <c r="AP498" s="7">
        <f>MAX(0,1+INDEX(配置与结果!$J$15:$J$18,F498)+IF(T498&gt;0,方案参数!$BY$16,0)-配置与结果!$B$30)</f>
        <v>3</v>
      </c>
      <c r="AQ498" s="7">
        <f t="shared" si="653"/>
        <v>0</v>
      </c>
      <c r="AR498" s="7">
        <f t="shared" si="654"/>
        <v>0</v>
      </c>
      <c r="AS498" s="7">
        <f t="shared" si="655"/>
        <v>0</v>
      </c>
      <c r="AT498" s="7">
        <f>IF(U498&gt;0,ROUNDDOWN(AL498*方案参数!$AF$16,0)*(1-AJ498)+ROUNDDOWN(AM498*方案参数!$AF$16,0)*AJ498,0)</f>
        <v>0</v>
      </c>
      <c r="AU498" s="7">
        <f t="shared" si="656"/>
        <v>343501</v>
      </c>
      <c r="AV498" s="1">
        <f t="shared" si="657"/>
        <v>2</v>
      </c>
      <c r="AW498" s="1">
        <f t="shared" si="710"/>
        <v>10</v>
      </c>
      <c r="AX498" s="1">
        <f t="shared" si="658"/>
        <v>2</v>
      </c>
      <c r="AY498" s="1">
        <f>MIN(20,MAX(0,O498+0+1-0))</f>
        <v>2</v>
      </c>
      <c r="AZ498" s="1">
        <f t="shared" si="659"/>
        <v>5</v>
      </c>
      <c r="BA498" s="1">
        <f t="shared" si="701"/>
        <v>5</v>
      </c>
      <c r="BB498" s="1">
        <f t="shared" si="709"/>
        <v>20</v>
      </c>
      <c r="BC498" s="1">
        <f t="shared" si="707"/>
        <v>3</v>
      </c>
      <c r="BD498" s="1">
        <f t="shared" si="688"/>
        <v>1</v>
      </c>
      <c r="BE498" s="1">
        <f>MAX(0,U498-IF(AF498&gt;0,1,0))+0</f>
        <v>0</v>
      </c>
      <c r="BF498" s="1">
        <f t="shared" si="711"/>
        <v>4</v>
      </c>
      <c r="BG498" s="1">
        <f t="shared" si="698"/>
        <v>1</v>
      </c>
      <c r="BH498" s="1">
        <f t="shared" si="682"/>
        <v>1</v>
      </c>
      <c r="BI498" s="1">
        <f t="shared" si="699"/>
        <v>1</v>
      </c>
      <c r="BJ498" s="1">
        <f t="shared" si="702"/>
        <v>1</v>
      </c>
      <c r="BK498" s="1">
        <f t="shared" si="703"/>
        <v>1</v>
      </c>
      <c r="BL498" s="1">
        <f t="shared" si="708"/>
        <v>1</v>
      </c>
      <c r="BM498" s="1">
        <f t="shared" si="706"/>
        <v>1</v>
      </c>
      <c r="BN498" s="1">
        <f t="shared" si="683"/>
        <v>1</v>
      </c>
      <c r="BO498" s="1">
        <f t="shared" si="684"/>
        <v>1</v>
      </c>
    </row>
    <row r="499" spans="1:67" ht="30.95" customHeight="1">
      <c r="A499" s="1">
        <f>13</f>
        <v>13</v>
      </c>
      <c r="B499" s="1">
        <f>固定流程!A31</f>
        <v>26</v>
      </c>
      <c r="C499" s="1">
        <f>16</f>
        <v>16</v>
      </c>
      <c r="D499" s="1">
        <f>2</f>
        <v>2</v>
      </c>
      <c r="E499" s="1">
        <f>固定流程!C31</f>
        <v>3</v>
      </c>
      <c r="F499" s="1">
        <f>固定流程!G31</f>
        <v>2</v>
      </c>
      <c r="G499" s="1" t="str">
        <f>固定流程!H31</f>
        <v>37_WEAK</v>
      </c>
      <c r="H499" s="1">
        <f>固定流程!F31</f>
        <v>1</v>
      </c>
      <c r="I499" s="1">
        <f>INDEX(配置与结果!$B$15:$B$18,F499)</f>
        <v>2306</v>
      </c>
      <c r="J499" s="1">
        <f>INDEX(配置与结果!$D$15:$D$18,F499)</f>
        <v>0.46</v>
      </c>
      <c r="K499" s="1">
        <f>INDEX(配置与结果!$E$15:$E$18,F499)</f>
        <v>1.9279999999999999</v>
      </c>
      <c r="L499" s="1">
        <f t="shared" si="695"/>
        <v>2</v>
      </c>
      <c r="M499" s="1">
        <f t="shared" si="696"/>
        <v>10</v>
      </c>
      <c r="N499" s="1">
        <f t="shared" si="697"/>
        <v>2</v>
      </c>
      <c r="O499" s="1">
        <f t="shared" si="689"/>
        <v>2</v>
      </c>
      <c r="P499" s="1">
        <f>MIN(方案参数!$AI$16,AZ498+0+0)</f>
        <v>5</v>
      </c>
      <c r="Q499" s="1">
        <f t="shared" si="667"/>
        <v>5</v>
      </c>
      <c r="R499" s="1">
        <f t="shared" si="668"/>
        <v>20</v>
      </c>
      <c r="S499" s="1">
        <f t="shared" si="669"/>
        <v>3</v>
      </c>
      <c r="T499" s="1">
        <f t="shared" si="704"/>
        <v>1</v>
      </c>
      <c r="U499" s="1">
        <f t="shared" si="671"/>
        <v>0</v>
      </c>
      <c r="V499" s="1">
        <f t="shared" si="672"/>
        <v>4</v>
      </c>
      <c r="W499" s="1">
        <f t="shared" si="673"/>
        <v>1</v>
      </c>
      <c r="X499" s="1">
        <f t="shared" si="674"/>
        <v>1</v>
      </c>
      <c r="Y499" s="1">
        <f t="shared" si="675"/>
        <v>1</v>
      </c>
      <c r="Z499" s="1">
        <f t="shared" si="676"/>
        <v>1</v>
      </c>
      <c r="AA499" s="1">
        <f t="shared" si="700"/>
        <v>1</v>
      </c>
      <c r="AB499" s="1">
        <f t="shared" si="678"/>
        <v>1</v>
      </c>
      <c r="AC499" s="1">
        <f t="shared" si="705"/>
        <v>1</v>
      </c>
      <c r="AD499" s="1">
        <f>ROUNDDOWN(I499*(1+IF(F499=3,0.05+方案参数!$Y$16+AA499*0.12,IF(F499=4,方案参数!$BZ$16*方案参数!$AS$16,0)))+IF(AND(X499=1,F499&lt;&gt;3),方案参数!$CC$16,0)+AC499*方案参数!$CB$16,0)</f>
        <v>3144</v>
      </c>
      <c r="AE499" s="1">
        <f>IF(OR(F499=1,F499=4),配置与结果!$B$24,配置与结果!$B$25)*MAX(0,1-INDEX(配置与结果!$I$15:$I$18,F499))</f>
        <v>1000</v>
      </c>
      <c r="AF499" s="1">
        <f>方案参数!$CE$16</f>
        <v>10</v>
      </c>
      <c r="AG499" s="1">
        <f>MAX(配置与结果!$B$32,1+INDEX(配置与结果!$F$15:$F$18,F499)+0+Q499*方案参数!$W$16+Y499*(方案参数!$AN$16+MIN(方案参数!$AO$16,P499*0.03))+AB499*方案参数!$BZ$16*0.025-配置与结果!$B$28+方案参数!$AE$16)</f>
        <v>2.8800000000000003</v>
      </c>
      <c r="AH499" s="1">
        <f>MAX(0,1+V499*方案参数!$U$16+方案参数!$AE$16-配置与结果!$B$29)</f>
        <v>2.16</v>
      </c>
      <c r="AI499" s="1">
        <f>IF(OR(INDEX(配置与结果!$K$15:$K$18,F499)=1,G499="RHI_BERRY"),1+配置与结果!$B$33+P499*方案参数!$AH$16,1)</f>
        <v>1</v>
      </c>
      <c r="AJ499" s="1">
        <f>MIN(1,MAX(0,J499+方案参数!$AB$16-配置与结果!$B$27))</f>
        <v>1</v>
      </c>
      <c r="AK499" s="1">
        <f>MAX(1,K499+IF(F499=2,0.15+方案参数!$CH$16,0)+BN499*方案参数!$X$16+R499*方案参数!$AA$16+0-配置与结果!$B$26+Z499*(方案参数!$AP$16+MIN(方案参数!$AQ$16,P499*0.03)))</f>
        <v>2.3380000000000001</v>
      </c>
      <c r="AL499" s="7">
        <f>ROUNDDOWN(MAX(AD499*配置与结果!$B$31,AD499-AE499)*AF499*AG499*AH499*AI499,0)</f>
        <v>133373</v>
      </c>
      <c r="AM499" s="7">
        <f>ROUNDDOWN(MAX(AD499*配置与结果!$B$31,AD499-AE499)*AF499*AG499*AH499*AI499*AK499,0)</f>
        <v>311828</v>
      </c>
      <c r="AN499" s="7">
        <f t="shared" si="652"/>
        <v>311828</v>
      </c>
      <c r="AO499" s="7">
        <f>0</f>
        <v>0</v>
      </c>
      <c r="AP499" s="7">
        <f>MAX(0,1+INDEX(配置与结果!$J$15:$J$18,F499)+IF(T499&gt;0,方案参数!$BY$16,0)-配置与结果!$B$30)</f>
        <v>3</v>
      </c>
      <c r="AQ499" s="7">
        <f t="shared" si="653"/>
        <v>0</v>
      </c>
      <c r="AR499" s="7">
        <f t="shared" si="654"/>
        <v>0</v>
      </c>
      <c r="AS499" s="7">
        <f t="shared" si="655"/>
        <v>0</v>
      </c>
      <c r="AT499" s="7">
        <f>IF(U499&gt;0,ROUNDDOWN(AL499*方案参数!$AF$16,0)*(1-AJ499)+ROUNDDOWN(AM499*方案参数!$AF$16,0)*AJ499,0)</f>
        <v>0</v>
      </c>
      <c r="AU499" s="7">
        <f t="shared" si="656"/>
        <v>311828</v>
      </c>
      <c r="AV499" s="1">
        <f t="shared" si="657"/>
        <v>2</v>
      </c>
      <c r="AW499" s="1">
        <f t="shared" si="710"/>
        <v>10</v>
      </c>
      <c r="AX499" s="1">
        <f t="shared" si="658"/>
        <v>2</v>
      </c>
      <c r="AY499" s="1">
        <f>MIN(20,MAX(0,O499+0+0-0))</f>
        <v>2</v>
      </c>
      <c r="AZ499" s="1">
        <f t="shared" si="659"/>
        <v>5</v>
      </c>
      <c r="BA499" s="1">
        <f t="shared" si="701"/>
        <v>5</v>
      </c>
      <c r="BB499" s="1">
        <f t="shared" si="709"/>
        <v>20</v>
      </c>
      <c r="BC499" s="1">
        <f t="shared" si="707"/>
        <v>3</v>
      </c>
      <c r="BD499" s="1">
        <f t="shared" si="688"/>
        <v>1</v>
      </c>
      <c r="BE499" s="1">
        <f>MAX(0,U499-IF(AF499&gt;0,1,0))+1</f>
        <v>1</v>
      </c>
      <c r="BF499" s="1">
        <f t="shared" si="711"/>
        <v>4</v>
      </c>
      <c r="BG499" s="1">
        <f t="shared" si="698"/>
        <v>1</v>
      </c>
      <c r="BH499" s="1">
        <f t="shared" si="682"/>
        <v>1</v>
      </c>
      <c r="BI499" s="1">
        <f t="shared" si="699"/>
        <v>1</v>
      </c>
      <c r="BJ499" s="1">
        <f t="shared" si="702"/>
        <v>1</v>
      </c>
      <c r="BK499" s="1">
        <f t="shared" si="703"/>
        <v>1</v>
      </c>
      <c r="BL499" s="1">
        <f t="shared" si="708"/>
        <v>1</v>
      </c>
      <c r="BM499" s="1">
        <f t="shared" si="706"/>
        <v>1</v>
      </c>
      <c r="BN499" s="1">
        <f t="shared" si="683"/>
        <v>1</v>
      </c>
      <c r="BO499" s="1">
        <f t="shared" si="684"/>
        <v>1</v>
      </c>
    </row>
    <row r="500" spans="1:67" ht="30.95" customHeight="1">
      <c r="A500" s="1">
        <f>13</f>
        <v>13</v>
      </c>
      <c r="B500" s="1">
        <f>固定流程!A32</f>
        <v>27</v>
      </c>
      <c r="C500" s="1">
        <f>16</f>
        <v>16</v>
      </c>
      <c r="D500" s="1">
        <f>2</f>
        <v>2</v>
      </c>
      <c r="E500" s="1">
        <f>固定流程!C32</f>
        <v>3</v>
      </c>
      <c r="F500" s="1">
        <f>固定流程!G32</f>
        <v>1</v>
      </c>
      <c r="G500" s="1" t="str">
        <f>固定流程!H32</f>
        <v>LILYA_THIRD</v>
      </c>
      <c r="H500" s="1">
        <f>固定流程!F32</f>
        <v>1</v>
      </c>
      <c r="I500" s="1">
        <f>INDEX(配置与结果!$B$15:$B$18,F500)</f>
        <v>2296</v>
      </c>
      <c r="J500" s="1">
        <f>INDEX(配置与结果!$D$15:$D$18,F500)</f>
        <v>0.7</v>
      </c>
      <c r="K500" s="1">
        <f>INDEX(配置与结果!$E$15:$E$18,F500)</f>
        <v>2.0249999999999999</v>
      </c>
      <c r="L500" s="1">
        <f t="shared" si="695"/>
        <v>2</v>
      </c>
      <c r="M500" s="1">
        <f t="shared" si="696"/>
        <v>10</v>
      </c>
      <c r="N500" s="1">
        <f t="shared" si="697"/>
        <v>2</v>
      </c>
      <c r="O500" s="1">
        <f t="shared" si="689"/>
        <v>2</v>
      </c>
      <c r="P500" s="1">
        <f>MIN(方案参数!$AI$16,AZ499+0+0)</f>
        <v>5</v>
      </c>
      <c r="Q500" s="1">
        <f t="shared" si="667"/>
        <v>5</v>
      </c>
      <c r="R500" s="1">
        <f t="shared" si="668"/>
        <v>20</v>
      </c>
      <c r="S500" s="1">
        <f t="shared" si="669"/>
        <v>3</v>
      </c>
      <c r="T500" s="1">
        <f t="shared" si="704"/>
        <v>1</v>
      </c>
      <c r="U500" s="1">
        <f t="shared" si="671"/>
        <v>1</v>
      </c>
      <c r="V500" s="1">
        <f t="shared" si="672"/>
        <v>4</v>
      </c>
      <c r="W500" s="1">
        <f t="shared" si="673"/>
        <v>1</v>
      </c>
      <c r="X500" s="1">
        <f t="shared" si="674"/>
        <v>1</v>
      </c>
      <c r="Y500" s="1">
        <f t="shared" si="675"/>
        <v>1</v>
      </c>
      <c r="Z500" s="1">
        <f t="shared" si="676"/>
        <v>1</v>
      </c>
      <c r="AA500" s="1">
        <f t="shared" si="700"/>
        <v>1</v>
      </c>
      <c r="AB500" s="1">
        <f t="shared" si="678"/>
        <v>1</v>
      </c>
      <c r="AC500" s="1">
        <f t="shared" si="705"/>
        <v>1</v>
      </c>
      <c r="AD500" s="1">
        <f>ROUNDDOWN(I500*(1+IF(F500=3,0.05+方案参数!$Y$16+AA500*0.12,IF(F500=4,方案参数!$BZ$16*方案参数!$AS$16,0)))+IF(AND(X500=1,F500&lt;&gt;3),方案参数!$CC$16,0)+AC500*方案参数!$CB$16,0)</f>
        <v>3134</v>
      </c>
      <c r="AE500" s="1">
        <f>IF(OR(F500=1,F500=4),配置与结果!$B$24,配置与结果!$B$25)*MAX(0,1-INDEX(配置与结果!$I$15:$I$18,F500))</f>
        <v>1200</v>
      </c>
      <c r="AF500" s="1">
        <f>方案参数!$BM$16</f>
        <v>20</v>
      </c>
      <c r="AG500" s="1">
        <f>MAX(配置与结果!$B$32,1+INDEX(配置与结果!$F$15:$F$18,F500)+0.08+方案参数!$CD$16+Q500*方案参数!$W$16+Y500*(方案参数!$AN$16+MIN(方案参数!$AO$16,P500*0.03))+AB500*方案参数!$BZ$16*0.025-配置与结果!$B$28+方案参数!$AE$16)</f>
        <v>3.2150000000000003</v>
      </c>
      <c r="AH500" s="1">
        <f>MAX(0,1+V500*方案参数!$U$16+3*方案参数!$V$16+方案参数!$AE$16-配置与结果!$B$29)</f>
        <v>2.34</v>
      </c>
      <c r="AI500" s="1">
        <f>IF(OR(INDEX(配置与结果!$K$15:$K$18,F500)=1,G500="RHI_BERRY"),1+配置与结果!$B$33+P500*方案参数!$AH$16,1)</f>
        <v>1</v>
      </c>
      <c r="AJ500" s="1">
        <f>MIN(1,MAX(0,J500+方案参数!$AB$16-配置与结果!$B$27))</f>
        <v>1</v>
      </c>
      <c r="AK500" s="1">
        <f>MAX(1,K500+IF(F500=2,0.15+方案参数!$CH$16,0)+BN500*方案参数!$X$16+R500*方案参数!$AA$16+方案参数!$BQ$16-配置与结果!$B$26+Z500*(方案参数!$AP$16+MIN(方案参数!$AQ$16,P500*0.03)))</f>
        <v>2.9650000000000003</v>
      </c>
      <c r="AL500" s="7">
        <f>ROUNDDOWN(MAX(AD500*配置与结果!$B$31,AD500-AE500)*AF500*AG500*AH500*AI500,0)</f>
        <v>290993</v>
      </c>
      <c r="AM500" s="7">
        <f>ROUNDDOWN(MAX(AD500*配置与结果!$B$31,AD500-AE500)*AF500*AG500*AH500*AI500*AK500,0)</f>
        <v>862795</v>
      </c>
      <c r="AN500" s="7">
        <f t="shared" si="652"/>
        <v>862795</v>
      </c>
      <c r="AO500" s="7">
        <f>0</f>
        <v>0</v>
      </c>
      <c r="AP500" s="7">
        <f>MAX(0,1+INDEX(配置与结果!$J$15:$J$18,F500)+IF(T500&gt;0,方案参数!$BY$16,0)-配置与结果!$B$30)</f>
        <v>3</v>
      </c>
      <c r="AQ500" s="7">
        <f t="shared" si="653"/>
        <v>0</v>
      </c>
      <c r="AR500" s="7">
        <f t="shared" si="654"/>
        <v>0</v>
      </c>
      <c r="AS500" s="7">
        <f t="shared" si="655"/>
        <v>0</v>
      </c>
      <c r="AT500" s="7">
        <f>IF(U500&gt;0,ROUNDDOWN(AL500*方案参数!$AF$16,0)*(1-AJ500)+ROUNDDOWN(AM500*方案参数!$AF$16,0)*AJ500,0)</f>
        <v>690236</v>
      </c>
      <c r="AU500" s="7">
        <f t="shared" si="656"/>
        <v>1553031</v>
      </c>
      <c r="AV500" s="1">
        <f t="shared" si="657"/>
        <v>2</v>
      </c>
      <c r="AW500" s="1">
        <f t="shared" si="710"/>
        <v>10</v>
      </c>
      <c r="AX500" s="1">
        <f t="shared" si="658"/>
        <v>2</v>
      </c>
      <c r="AY500" s="1">
        <f>MIN(20,MAX(0,O500+0+1-0))</f>
        <v>3</v>
      </c>
      <c r="AZ500" s="1">
        <f t="shared" si="659"/>
        <v>5</v>
      </c>
      <c r="BA500" s="1">
        <f t="shared" si="701"/>
        <v>5</v>
      </c>
      <c r="BB500" s="1">
        <f t="shared" si="709"/>
        <v>20</v>
      </c>
      <c r="BC500" s="1">
        <f t="shared" si="707"/>
        <v>3</v>
      </c>
      <c r="BD500" s="1">
        <f t="shared" si="688"/>
        <v>1</v>
      </c>
      <c r="BE500" s="1">
        <f>MAX(0,U500-IF(AF500&gt;0,1,0))+0</f>
        <v>0</v>
      </c>
      <c r="BF500" s="1">
        <f t="shared" si="711"/>
        <v>4</v>
      </c>
      <c r="BG500" s="1">
        <f t="shared" si="698"/>
        <v>1</v>
      </c>
      <c r="BH500" s="1">
        <f t="shared" si="682"/>
        <v>1</v>
      </c>
      <c r="BI500" s="1">
        <f t="shared" si="699"/>
        <v>1</v>
      </c>
      <c r="BJ500" s="1">
        <f t="shared" si="702"/>
        <v>1</v>
      </c>
      <c r="BK500" s="1">
        <f t="shared" si="703"/>
        <v>1</v>
      </c>
      <c r="BL500" s="1">
        <f t="shared" si="708"/>
        <v>1</v>
      </c>
      <c r="BM500" s="1">
        <f t="shared" si="706"/>
        <v>1</v>
      </c>
      <c r="BN500" s="1">
        <f t="shared" si="683"/>
        <v>1</v>
      </c>
      <c r="BO500" s="1">
        <f t="shared" si="684"/>
        <v>1</v>
      </c>
    </row>
    <row r="501" spans="1:67" ht="30.95" customHeight="1">
      <c r="A501" s="1">
        <f>13</f>
        <v>13</v>
      </c>
      <c r="B501" s="1">
        <f>固定流程!A33</f>
        <v>28</v>
      </c>
      <c r="C501" s="1">
        <f>16</f>
        <v>16</v>
      </c>
      <c r="D501" s="1">
        <f>2</f>
        <v>2</v>
      </c>
      <c r="E501" s="1">
        <f>固定流程!C33</f>
        <v>3</v>
      </c>
      <c r="F501" s="1">
        <f>固定流程!G33</f>
        <v>1</v>
      </c>
      <c r="G501" s="1" t="str">
        <f>固定流程!H33</f>
        <v>LILYA_WEAK</v>
      </c>
      <c r="H501" s="1">
        <f>固定流程!F33</f>
        <v>1</v>
      </c>
      <c r="I501" s="1">
        <f>INDEX(配置与结果!$B$15:$B$18,F501)</f>
        <v>2296</v>
      </c>
      <c r="J501" s="1">
        <f>INDEX(配置与结果!$D$15:$D$18,F501)</f>
        <v>0.7</v>
      </c>
      <c r="K501" s="1">
        <f>INDEX(配置与结果!$E$15:$E$18,F501)</f>
        <v>2.0249999999999999</v>
      </c>
      <c r="L501" s="1">
        <f t="shared" si="695"/>
        <v>2</v>
      </c>
      <c r="M501" s="1">
        <f t="shared" si="696"/>
        <v>10</v>
      </c>
      <c r="N501" s="1">
        <f t="shared" si="697"/>
        <v>2</v>
      </c>
      <c r="O501" s="1">
        <f t="shared" si="689"/>
        <v>3</v>
      </c>
      <c r="P501" s="1">
        <f>MIN(方案参数!$AI$16,AZ500+0+0)</f>
        <v>5</v>
      </c>
      <c r="Q501" s="1">
        <f t="shared" si="667"/>
        <v>5</v>
      </c>
      <c r="R501" s="1">
        <f t="shared" si="668"/>
        <v>20</v>
      </c>
      <c r="S501" s="1">
        <f t="shared" si="669"/>
        <v>3</v>
      </c>
      <c r="T501" s="1">
        <f t="shared" si="704"/>
        <v>1</v>
      </c>
      <c r="U501" s="1">
        <f t="shared" si="671"/>
        <v>0</v>
      </c>
      <c r="V501" s="1">
        <f t="shared" si="672"/>
        <v>4</v>
      </c>
      <c r="W501" s="1">
        <f t="shared" si="673"/>
        <v>1</v>
      </c>
      <c r="X501" s="1">
        <f t="shared" si="674"/>
        <v>1</v>
      </c>
      <c r="Y501" s="1">
        <f t="shared" si="675"/>
        <v>1</v>
      </c>
      <c r="Z501" s="1">
        <f t="shared" si="676"/>
        <v>1</v>
      </c>
      <c r="AA501" s="1">
        <f t="shared" si="700"/>
        <v>1</v>
      </c>
      <c r="AB501" s="1">
        <f t="shared" si="678"/>
        <v>1</v>
      </c>
      <c r="AC501" s="1">
        <f t="shared" si="705"/>
        <v>1</v>
      </c>
      <c r="AD501" s="1">
        <f>ROUNDDOWN(I501*(1+IF(F501=3,0.05+方案参数!$Y$16+AA501*0.12,IF(F501=4,方案参数!$BZ$16*方案参数!$AS$16,0)))+IF(AND(X501=1,F501&lt;&gt;3),方案参数!$CC$16,0)+AC501*方案参数!$CB$16,0)</f>
        <v>3134</v>
      </c>
      <c r="AE501" s="1">
        <f>IF(OR(F501=1,F501=4),配置与结果!$B$24,配置与结果!$B$25)*MAX(0,1-INDEX(配置与结果!$I$15:$I$18,F501))</f>
        <v>1200</v>
      </c>
      <c r="AF501" s="1">
        <f>方案参数!$BL$16</f>
        <v>9</v>
      </c>
      <c r="AG501" s="1">
        <f>MAX(配置与结果!$B$32,1+INDEX(配置与结果!$F$15:$F$18,F501)+0.08+方案参数!$CD$16+Q501*方案参数!$W$16+Y501*(方案参数!$AN$16+MIN(方案参数!$AO$16,P501*0.03))+AB501*方案参数!$BZ$16*0.025-配置与结果!$B$28+方案参数!$AE$16)</f>
        <v>3.2150000000000003</v>
      </c>
      <c r="AH501" s="1">
        <f>MAX(0,1+V501*方案参数!$U$16+4*方案参数!$V$16+方案参数!$AE$16-配置与结果!$B$29)</f>
        <v>2.4</v>
      </c>
      <c r="AI501" s="1">
        <f>IF(OR(INDEX(配置与结果!$K$15:$K$18,F501)=1,G501="RHI_BERRY"),1+配置与结果!$B$33+P501*方案参数!$AH$16,1)</f>
        <v>1</v>
      </c>
      <c r="AJ501" s="1">
        <f>MIN(1,MAX(0,J501+方案参数!$AB$16-配置与结果!$B$27))</f>
        <v>1</v>
      </c>
      <c r="AK501" s="1">
        <f>MAX(1,K501+IF(F501=2,0.15+方案参数!$CH$16,0)+BN501*方案参数!$X$16+R501*方案参数!$AA$16+方案参数!$BP$16-配置与结果!$B$26+Z501*(方案参数!$AP$16+MIN(方案参数!$AQ$16,P501*0.03)))</f>
        <v>2.7650000000000001</v>
      </c>
      <c r="AL501" s="7">
        <f>ROUNDDOWN(MAX(AD501*配置与结果!$B$31,AD501-AE501)*AF501*AG501*AH501*AI501,0)</f>
        <v>134304</v>
      </c>
      <c r="AM501" s="7">
        <f>ROUNDDOWN(MAX(AD501*配置与结果!$B$31,AD501-AE501)*AF501*AG501*AH501*AI501*AK501,0)</f>
        <v>371352</v>
      </c>
      <c r="AN501" s="7">
        <f t="shared" si="652"/>
        <v>371352</v>
      </c>
      <c r="AO501" s="7">
        <f>0</f>
        <v>0</v>
      </c>
      <c r="AP501" s="7">
        <f>MAX(0,1+INDEX(配置与结果!$J$15:$J$18,F501)+IF(T501&gt;0,方案参数!$BY$16,0)-配置与结果!$B$30)</f>
        <v>3</v>
      </c>
      <c r="AQ501" s="7">
        <f t="shared" si="653"/>
        <v>0</v>
      </c>
      <c r="AR501" s="7">
        <f t="shared" si="654"/>
        <v>0</v>
      </c>
      <c r="AS501" s="7">
        <f t="shared" si="655"/>
        <v>0</v>
      </c>
      <c r="AT501" s="7">
        <f>IF(U501&gt;0,ROUNDDOWN(AL501*方案参数!$AF$16,0)*(1-AJ501)+ROUNDDOWN(AM501*方案参数!$AF$16,0)*AJ501,0)</f>
        <v>0</v>
      </c>
      <c r="AU501" s="7">
        <f t="shared" si="656"/>
        <v>371352</v>
      </c>
      <c r="AV501" s="1">
        <f t="shared" si="657"/>
        <v>2</v>
      </c>
      <c r="AW501" s="1">
        <f t="shared" si="710"/>
        <v>10</v>
      </c>
      <c r="AX501" s="1">
        <f t="shared" si="658"/>
        <v>2</v>
      </c>
      <c r="AY501" s="1">
        <f>MIN(20,MAX(0,O501+0+1-0))</f>
        <v>4</v>
      </c>
      <c r="AZ501" s="1">
        <f t="shared" si="659"/>
        <v>5</v>
      </c>
      <c r="BA501" s="1">
        <f t="shared" si="701"/>
        <v>5</v>
      </c>
      <c r="BB501" s="1">
        <f t="shared" si="709"/>
        <v>20</v>
      </c>
      <c r="BC501" s="1">
        <f t="shared" si="707"/>
        <v>3</v>
      </c>
      <c r="BD501" s="1">
        <f t="shared" si="688"/>
        <v>1</v>
      </c>
      <c r="BE501" s="1">
        <f>MAX(0,U501-IF(AF501&gt;0,1,0))+0</f>
        <v>0</v>
      </c>
      <c r="BF501" s="1">
        <f t="shared" si="711"/>
        <v>4</v>
      </c>
      <c r="BG501" s="1">
        <f t="shared" si="698"/>
        <v>1</v>
      </c>
      <c r="BH501" s="1">
        <f t="shared" si="682"/>
        <v>1</v>
      </c>
      <c r="BI501" s="1">
        <f t="shared" si="699"/>
        <v>1</v>
      </c>
      <c r="BJ501" s="1">
        <f t="shared" si="702"/>
        <v>1</v>
      </c>
      <c r="BK501" s="1">
        <f t="shared" si="703"/>
        <v>1</v>
      </c>
      <c r="BL501" s="1">
        <f t="shared" si="708"/>
        <v>1</v>
      </c>
      <c r="BM501" s="1">
        <f t="shared" si="706"/>
        <v>1</v>
      </c>
      <c r="BN501" s="1">
        <f t="shared" si="683"/>
        <v>1</v>
      </c>
      <c r="BO501" s="1">
        <f t="shared" si="684"/>
        <v>1</v>
      </c>
    </row>
    <row r="502" spans="1:67" ht="30.95" customHeight="1">
      <c r="A502" s="1">
        <f>13</f>
        <v>13</v>
      </c>
      <c r="B502" s="1">
        <f>固定流程!A34</f>
        <v>29</v>
      </c>
      <c r="C502" s="1">
        <f>16</f>
        <v>16</v>
      </c>
      <c r="D502" s="1">
        <f>2</f>
        <v>2</v>
      </c>
      <c r="E502" s="1">
        <f>固定流程!C34</f>
        <v>3</v>
      </c>
      <c r="F502" s="1">
        <f>固定流程!G34</f>
        <v>1</v>
      </c>
      <c r="G502" s="1" t="str">
        <f>固定流程!H34</f>
        <v>LILYA_WEAK</v>
      </c>
      <c r="H502" s="1">
        <f>固定流程!F34</f>
        <v>1</v>
      </c>
      <c r="I502" s="1">
        <f>INDEX(配置与结果!$B$15:$B$18,F502)</f>
        <v>2296</v>
      </c>
      <c r="J502" s="1">
        <f>INDEX(配置与结果!$D$15:$D$18,F502)</f>
        <v>0.7</v>
      </c>
      <c r="K502" s="1">
        <f>INDEX(配置与结果!$E$15:$E$18,F502)</f>
        <v>2.0249999999999999</v>
      </c>
      <c r="L502" s="1">
        <f t="shared" si="695"/>
        <v>2</v>
      </c>
      <c r="M502" s="1">
        <f t="shared" si="696"/>
        <v>10</v>
      </c>
      <c r="N502" s="1">
        <f t="shared" si="697"/>
        <v>2</v>
      </c>
      <c r="O502" s="1">
        <f t="shared" si="689"/>
        <v>4</v>
      </c>
      <c r="P502" s="1">
        <f>MIN(方案参数!$AI$16,AZ501+0+0)</f>
        <v>5</v>
      </c>
      <c r="Q502" s="1">
        <f t="shared" si="667"/>
        <v>5</v>
      </c>
      <c r="R502" s="1">
        <f t="shared" si="668"/>
        <v>20</v>
      </c>
      <c r="S502" s="1">
        <f t="shared" si="669"/>
        <v>3</v>
      </c>
      <c r="T502" s="1">
        <f t="shared" si="704"/>
        <v>1</v>
      </c>
      <c r="U502" s="1">
        <f t="shared" si="671"/>
        <v>0</v>
      </c>
      <c r="V502" s="1">
        <f t="shared" si="672"/>
        <v>4</v>
      </c>
      <c r="W502" s="1">
        <f t="shared" si="673"/>
        <v>1</v>
      </c>
      <c r="X502" s="1">
        <f t="shared" si="674"/>
        <v>1</v>
      </c>
      <c r="Y502" s="1">
        <f t="shared" si="675"/>
        <v>1</v>
      </c>
      <c r="Z502" s="1">
        <f t="shared" si="676"/>
        <v>1</v>
      </c>
      <c r="AA502" s="1">
        <f t="shared" si="700"/>
        <v>1</v>
      </c>
      <c r="AB502" s="1">
        <f t="shared" si="678"/>
        <v>1</v>
      </c>
      <c r="AC502" s="1">
        <f t="shared" si="705"/>
        <v>1</v>
      </c>
      <c r="AD502" s="1">
        <f>ROUNDDOWN(I502*(1+IF(F502=3,0.05+方案参数!$Y$16+AA502*0.12,IF(F502=4,方案参数!$BZ$16*方案参数!$AS$16,0)))+IF(AND(X502=1,F502&lt;&gt;3),方案参数!$CC$16,0)+AC502*方案参数!$CB$16,0)</f>
        <v>3134</v>
      </c>
      <c r="AE502" s="1">
        <f>IF(OR(F502=1,F502=4),配置与结果!$B$24,配置与结果!$B$25)*MAX(0,1-INDEX(配置与结果!$I$15:$I$18,F502))</f>
        <v>1200</v>
      </c>
      <c r="AF502" s="1">
        <f>方案参数!$BL$16</f>
        <v>9</v>
      </c>
      <c r="AG502" s="1">
        <f>MAX(配置与结果!$B$32,1+INDEX(配置与结果!$F$15:$F$18,F502)+0.08+方案参数!$CD$16+Q502*方案参数!$W$16+Y502*(方案参数!$AN$16+MIN(方案参数!$AO$16,P502*0.03))+AB502*方案参数!$BZ$16*0.025-配置与结果!$B$28+方案参数!$AE$16)</f>
        <v>3.2150000000000003</v>
      </c>
      <c r="AH502" s="1">
        <f>MAX(0,1+V502*方案参数!$U$16+5*方案参数!$V$16+方案参数!$AE$16-配置与结果!$B$29)</f>
        <v>2.46</v>
      </c>
      <c r="AI502" s="1">
        <f>IF(OR(INDEX(配置与结果!$K$15:$K$18,F502)=1,G502="RHI_BERRY"),1+配置与结果!$B$33+P502*方案参数!$AH$16,1)</f>
        <v>1</v>
      </c>
      <c r="AJ502" s="1">
        <f>MIN(1,MAX(0,J502+方案参数!$AB$16-配置与结果!$B$27))</f>
        <v>1</v>
      </c>
      <c r="AK502" s="1">
        <f>MAX(1,K502+IF(F502=2,0.15+方案参数!$CH$16,0)+BN502*方案参数!$X$16+R502*方案参数!$AA$16+方案参数!$BP$16-配置与结果!$B$26+Z502*(方案参数!$AP$16+MIN(方案参数!$AQ$16,P502*0.03)))</f>
        <v>2.7650000000000001</v>
      </c>
      <c r="AL502" s="7">
        <f>ROUNDDOWN(MAX(AD502*配置与结果!$B$31,AD502-AE502)*AF502*AG502*AH502*AI502,0)</f>
        <v>137662</v>
      </c>
      <c r="AM502" s="7">
        <f>ROUNDDOWN(MAX(AD502*配置与结果!$B$31,AD502-AE502)*AF502*AG502*AH502*AI502*AK502,0)</f>
        <v>380636</v>
      </c>
      <c r="AN502" s="7">
        <f t="shared" si="652"/>
        <v>380636</v>
      </c>
      <c r="AO502" s="7">
        <f>0</f>
        <v>0</v>
      </c>
      <c r="AP502" s="7">
        <f>MAX(0,1+INDEX(配置与结果!$J$15:$J$18,F502)+IF(T502&gt;0,方案参数!$BY$16,0)-配置与结果!$B$30)</f>
        <v>3</v>
      </c>
      <c r="AQ502" s="7">
        <f t="shared" si="653"/>
        <v>0</v>
      </c>
      <c r="AR502" s="7">
        <f t="shared" si="654"/>
        <v>0</v>
      </c>
      <c r="AS502" s="7">
        <f t="shared" si="655"/>
        <v>0</v>
      </c>
      <c r="AT502" s="7">
        <f>IF(U502&gt;0,ROUNDDOWN(AL502*方案参数!$AF$16,0)*(1-AJ502)+ROUNDDOWN(AM502*方案参数!$AF$16,0)*AJ502,0)</f>
        <v>0</v>
      </c>
      <c r="AU502" s="7">
        <f t="shared" si="656"/>
        <v>380636</v>
      </c>
      <c r="AV502" s="1">
        <f t="shared" si="657"/>
        <v>2</v>
      </c>
      <c r="AW502" s="1">
        <f t="shared" si="710"/>
        <v>10</v>
      </c>
      <c r="AX502" s="1">
        <f t="shared" si="658"/>
        <v>2</v>
      </c>
      <c r="AY502" s="1">
        <f>MIN(20,MAX(0,O502+0+1-0))</f>
        <v>5</v>
      </c>
      <c r="AZ502" s="1">
        <f t="shared" si="659"/>
        <v>5</v>
      </c>
      <c r="BA502" s="1">
        <f t="shared" si="701"/>
        <v>5</v>
      </c>
      <c r="BB502" s="1">
        <f t="shared" si="709"/>
        <v>20</v>
      </c>
      <c r="BC502" s="1">
        <f t="shared" si="707"/>
        <v>3</v>
      </c>
      <c r="BD502" s="1">
        <f t="shared" si="688"/>
        <v>1</v>
      </c>
      <c r="BE502" s="1">
        <f>MAX(0,U502-IF(AF502&gt;0,1,0))+0</f>
        <v>0</v>
      </c>
      <c r="BF502" s="1">
        <f t="shared" si="711"/>
        <v>4</v>
      </c>
      <c r="BG502" s="1">
        <f t="shared" si="698"/>
        <v>1</v>
      </c>
      <c r="BH502" s="1">
        <f t="shared" si="682"/>
        <v>1</v>
      </c>
      <c r="BI502" s="1">
        <f t="shared" si="699"/>
        <v>1</v>
      </c>
      <c r="BJ502" s="1">
        <f t="shared" si="702"/>
        <v>1</v>
      </c>
      <c r="BK502" s="1">
        <f t="shared" si="703"/>
        <v>1</v>
      </c>
      <c r="BL502" s="1">
        <f t="shared" si="708"/>
        <v>1</v>
      </c>
      <c r="BM502" s="1">
        <f t="shared" si="706"/>
        <v>1</v>
      </c>
      <c r="BN502" s="1">
        <f t="shared" si="683"/>
        <v>1</v>
      </c>
      <c r="BO502" s="1">
        <f t="shared" si="684"/>
        <v>1</v>
      </c>
    </row>
    <row r="503" spans="1:67" ht="30.95" customHeight="1">
      <c r="A503" s="1">
        <f>13</f>
        <v>13</v>
      </c>
      <c r="B503" s="1">
        <f>固定流程!A35</f>
        <v>30</v>
      </c>
      <c r="C503" s="1">
        <f>16</f>
        <v>16</v>
      </c>
      <c r="D503" s="1">
        <f>2</f>
        <v>2</v>
      </c>
      <c r="E503" s="1">
        <f>固定流程!C35</f>
        <v>3</v>
      </c>
      <c r="F503" s="1">
        <f>固定流程!G35</f>
        <v>2</v>
      </c>
      <c r="G503" s="1" t="str">
        <f>固定流程!H35</f>
        <v>37_WEAK</v>
      </c>
      <c r="H503" s="1">
        <f>固定流程!F35</f>
        <v>1</v>
      </c>
      <c r="I503" s="1">
        <f>INDEX(配置与结果!$B$15:$B$18,F503)</f>
        <v>2306</v>
      </c>
      <c r="J503" s="1">
        <f>INDEX(配置与结果!$D$15:$D$18,F503)</f>
        <v>0.46</v>
      </c>
      <c r="K503" s="1">
        <f>INDEX(配置与结果!$E$15:$E$18,F503)</f>
        <v>1.9279999999999999</v>
      </c>
      <c r="L503" s="1">
        <f t="shared" si="695"/>
        <v>2</v>
      </c>
      <c r="M503" s="1">
        <f t="shared" si="696"/>
        <v>10</v>
      </c>
      <c r="N503" s="1">
        <f t="shared" si="697"/>
        <v>2</v>
      </c>
      <c r="O503" s="1">
        <f t="shared" si="689"/>
        <v>5</v>
      </c>
      <c r="P503" s="1">
        <f>MIN(方案参数!$AI$16,AZ502+0+0)</f>
        <v>5</v>
      </c>
      <c r="Q503" s="1">
        <f t="shared" si="667"/>
        <v>5</v>
      </c>
      <c r="R503" s="1">
        <f t="shared" si="668"/>
        <v>20</v>
      </c>
      <c r="S503" s="1">
        <f t="shared" si="669"/>
        <v>3</v>
      </c>
      <c r="T503" s="1">
        <f t="shared" si="704"/>
        <v>1</v>
      </c>
      <c r="U503" s="1">
        <f t="shared" si="671"/>
        <v>0</v>
      </c>
      <c r="V503" s="1">
        <f t="shared" si="672"/>
        <v>4</v>
      </c>
      <c r="W503" s="1">
        <f t="shared" si="673"/>
        <v>1</v>
      </c>
      <c r="X503" s="1">
        <f t="shared" si="674"/>
        <v>1</v>
      </c>
      <c r="Y503" s="1">
        <f t="shared" si="675"/>
        <v>1</v>
      </c>
      <c r="Z503" s="1">
        <f t="shared" si="676"/>
        <v>1</v>
      </c>
      <c r="AA503" s="1">
        <f t="shared" si="700"/>
        <v>1</v>
      </c>
      <c r="AB503" s="1">
        <f t="shared" si="678"/>
        <v>1</v>
      </c>
      <c r="AC503" s="1">
        <f t="shared" si="705"/>
        <v>1</v>
      </c>
      <c r="AD503" s="1">
        <f>ROUNDDOWN(I503*(1+IF(F503=3,0.05+方案参数!$Y$16+AA503*0.12,IF(F503=4,方案参数!$BZ$16*方案参数!$AS$16,0)))+IF(AND(X503=1,F503&lt;&gt;3),方案参数!$CC$16,0)+AC503*方案参数!$CB$16,0)</f>
        <v>3144</v>
      </c>
      <c r="AE503" s="1">
        <f>IF(OR(F503=1,F503=4),配置与结果!$B$24,配置与结果!$B$25)*MAX(0,1-INDEX(配置与结果!$I$15:$I$18,F503))</f>
        <v>1000</v>
      </c>
      <c r="AF503" s="1">
        <f>方案参数!$CE$16</f>
        <v>10</v>
      </c>
      <c r="AG503" s="1">
        <f>MAX(配置与结果!$B$32,1+INDEX(配置与结果!$F$15:$F$18,F503)+0+Q503*方案参数!$W$16+Y503*(方案参数!$AN$16+MIN(方案参数!$AO$16,P503*0.03))+AB503*方案参数!$BZ$16*0.025-配置与结果!$B$28+方案参数!$AE$16)</f>
        <v>2.8800000000000003</v>
      </c>
      <c r="AH503" s="1">
        <f>MAX(0,1+V503*方案参数!$U$16+方案参数!$AE$16-配置与结果!$B$29)</f>
        <v>2.16</v>
      </c>
      <c r="AI503" s="1">
        <f>IF(OR(INDEX(配置与结果!$K$15:$K$18,F503)=1,G503="RHI_BERRY"),1+配置与结果!$B$33+P503*方案参数!$AH$16,1)</f>
        <v>1</v>
      </c>
      <c r="AJ503" s="1">
        <f>MIN(1,MAX(0,J503+方案参数!$AB$16-配置与结果!$B$27))</f>
        <v>1</v>
      </c>
      <c r="AK503" s="1">
        <f>MAX(1,K503+IF(F503=2,0.15+方案参数!$CH$16,0)+BN503*方案参数!$X$16+R503*方案参数!$AA$16+0-配置与结果!$B$26+Z503*(方案参数!$AP$16+MIN(方案参数!$AQ$16,P503*0.03)))</f>
        <v>2.3380000000000001</v>
      </c>
      <c r="AL503" s="7">
        <f>ROUNDDOWN(MAX(AD503*配置与结果!$B$31,AD503-AE503)*AF503*AG503*AH503*AI503,0)</f>
        <v>133373</v>
      </c>
      <c r="AM503" s="7">
        <f>ROUNDDOWN(MAX(AD503*配置与结果!$B$31,AD503-AE503)*AF503*AG503*AH503*AI503*AK503,0)</f>
        <v>311828</v>
      </c>
      <c r="AN503" s="7">
        <f t="shared" si="652"/>
        <v>311828</v>
      </c>
      <c r="AO503" s="7">
        <f>0</f>
        <v>0</v>
      </c>
      <c r="AP503" s="7">
        <f>MAX(0,1+INDEX(配置与结果!$J$15:$J$18,F503)+IF(T503&gt;0,方案参数!$BY$16,0)-配置与结果!$B$30)</f>
        <v>3</v>
      </c>
      <c r="AQ503" s="7">
        <f t="shared" si="653"/>
        <v>0</v>
      </c>
      <c r="AR503" s="7">
        <f t="shared" si="654"/>
        <v>0</v>
      </c>
      <c r="AS503" s="7">
        <f t="shared" si="655"/>
        <v>0</v>
      </c>
      <c r="AT503" s="7">
        <f>IF(U503&gt;0,ROUNDDOWN(AL503*方案参数!$AF$16,0)*(1-AJ503)+ROUNDDOWN(AM503*方案参数!$AF$16,0)*AJ503,0)</f>
        <v>0</v>
      </c>
      <c r="AU503" s="7">
        <f t="shared" si="656"/>
        <v>311828</v>
      </c>
      <c r="AV503" s="1">
        <f t="shared" si="657"/>
        <v>2</v>
      </c>
      <c r="AW503" s="1">
        <f t="shared" si="710"/>
        <v>10</v>
      </c>
      <c r="AX503" s="1">
        <f t="shared" si="658"/>
        <v>2</v>
      </c>
      <c r="AY503" s="1">
        <f>MIN(20,MAX(0,O503+0+0-0))</f>
        <v>5</v>
      </c>
      <c r="AZ503" s="1">
        <f t="shared" si="659"/>
        <v>5</v>
      </c>
      <c r="BA503" s="1">
        <f t="shared" si="701"/>
        <v>5</v>
      </c>
      <c r="BB503" s="1">
        <f t="shared" si="709"/>
        <v>20</v>
      </c>
      <c r="BC503" s="1">
        <f t="shared" si="707"/>
        <v>3</v>
      </c>
      <c r="BD503" s="1">
        <f t="shared" si="688"/>
        <v>1</v>
      </c>
      <c r="BE503" s="1">
        <f>MAX(0,U503-IF(AF503&gt;0,1,0))+1</f>
        <v>1</v>
      </c>
      <c r="BF503" s="1">
        <f t="shared" si="711"/>
        <v>4</v>
      </c>
      <c r="BG503" s="1">
        <f t="shared" si="698"/>
        <v>1</v>
      </c>
      <c r="BH503" s="1">
        <f t="shared" si="682"/>
        <v>1</v>
      </c>
      <c r="BI503" s="1">
        <f t="shared" si="699"/>
        <v>1</v>
      </c>
      <c r="BJ503" s="1">
        <f t="shared" si="702"/>
        <v>1</v>
      </c>
      <c r="BK503" s="1">
        <f t="shared" si="703"/>
        <v>1</v>
      </c>
      <c r="BL503" s="1">
        <f t="shared" si="708"/>
        <v>1</v>
      </c>
      <c r="BM503" s="1">
        <f t="shared" si="706"/>
        <v>1</v>
      </c>
      <c r="BN503" s="1">
        <f t="shared" si="683"/>
        <v>1</v>
      </c>
      <c r="BO503" s="1">
        <f t="shared" si="684"/>
        <v>1</v>
      </c>
    </row>
    <row r="504" spans="1:67" ht="30.95" customHeight="1">
      <c r="A504" s="1">
        <f>13</f>
        <v>13</v>
      </c>
      <c r="B504" s="1">
        <f>固定流程!A36</f>
        <v>31</v>
      </c>
      <c r="C504" s="1">
        <f>16</f>
        <v>16</v>
      </c>
      <c r="D504" s="1">
        <f>2</f>
        <v>2</v>
      </c>
      <c r="E504" s="1">
        <f>固定流程!C36</f>
        <v>3</v>
      </c>
      <c r="F504" s="1">
        <f>固定流程!G36</f>
        <v>1</v>
      </c>
      <c r="G504" s="1" t="str">
        <f>固定流程!H36</f>
        <v>LILYA_THIRD</v>
      </c>
      <c r="H504" s="1">
        <f>固定流程!F36</f>
        <v>1</v>
      </c>
      <c r="I504" s="1">
        <f>INDEX(配置与结果!$B$15:$B$18,F504)</f>
        <v>2296</v>
      </c>
      <c r="J504" s="1">
        <f>INDEX(配置与结果!$D$15:$D$18,F504)</f>
        <v>0.7</v>
      </c>
      <c r="K504" s="1">
        <f>INDEX(配置与结果!$E$15:$E$18,F504)</f>
        <v>2.0249999999999999</v>
      </c>
      <c r="L504" s="1">
        <f t="shared" si="695"/>
        <v>2</v>
      </c>
      <c r="M504" s="1">
        <f t="shared" si="696"/>
        <v>10</v>
      </c>
      <c r="N504" s="1">
        <f t="shared" si="697"/>
        <v>2</v>
      </c>
      <c r="O504" s="1">
        <f t="shared" si="689"/>
        <v>5</v>
      </c>
      <c r="P504" s="1">
        <f>MIN(方案参数!$AI$16,AZ503+0+0)</f>
        <v>5</v>
      </c>
      <c r="Q504" s="1">
        <f t="shared" si="667"/>
        <v>5</v>
      </c>
      <c r="R504" s="1">
        <f t="shared" si="668"/>
        <v>20</v>
      </c>
      <c r="S504" s="1">
        <f t="shared" si="669"/>
        <v>3</v>
      </c>
      <c r="T504" s="1">
        <f t="shared" si="704"/>
        <v>1</v>
      </c>
      <c r="U504" s="1">
        <f t="shared" si="671"/>
        <v>1</v>
      </c>
      <c r="V504" s="1">
        <f t="shared" si="672"/>
        <v>4</v>
      </c>
      <c r="W504" s="1">
        <f t="shared" si="673"/>
        <v>1</v>
      </c>
      <c r="X504" s="1">
        <f t="shared" si="674"/>
        <v>1</v>
      </c>
      <c r="Y504" s="1">
        <f t="shared" si="675"/>
        <v>1</v>
      </c>
      <c r="Z504" s="1">
        <f t="shared" si="676"/>
        <v>1</v>
      </c>
      <c r="AA504" s="1">
        <f t="shared" si="700"/>
        <v>1</v>
      </c>
      <c r="AB504" s="1">
        <f t="shared" si="678"/>
        <v>1</v>
      </c>
      <c r="AC504" s="1">
        <f t="shared" si="705"/>
        <v>1</v>
      </c>
      <c r="AD504" s="1">
        <f>ROUNDDOWN(I504*(1+IF(F504=3,0.05+方案参数!$Y$16+AA504*0.12,IF(F504=4,方案参数!$BZ$16*方案参数!$AS$16,0)))+IF(AND(X504=1,F504&lt;&gt;3),方案参数!$CC$16,0)+AC504*方案参数!$CB$16,0)</f>
        <v>3134</v>
      </c>
      <c r="AE504" s="1">
        <f>IF(OR(F504=1,F504=4),配置与结果!$B$24,配置与结果!$B$25)*MAX(0,1-INDEX(配置与结果!$I$15:$I$18,F504))</f>
        <v>1200</v>
      </c>
      <c r="AF504" s="1">
        <f>方案参数!$BM$16</f>
        <v>20</v>
      </c>
      <c r="AG504" s="1">
        <f>MAX(配置与结果!$B$32,1+INDEX(配置与结果!$F$15:$F$18,F504)+0.08+方案参数!$CD$16+Q504*方案参数!$W$16+Y504*(方案参数!$AN$16+MIN(方案参数!$AO$16,P504*0.03))+AB504*方案参数!$BZ$16*0.025-配置与结果!$B$28+方案参数!$AE$16)</f>
        <v>3.2150000000000003</v>
      </c>
      <c r="AH504" s="1">
        <f>MAX(0,1+V504*方案参数!$U$16+7*方案参数!$V$16+方案参数!$AE$16-配置与结果!$B$29)</f>
        <v>2.58</v>
      </c>
      <c r="AI504" s="1">
        <f>IF(OR(INDEX(配置与结果!$K$15:$K$18,F504)=1,G504="RHI_BERRY"),1+配置与结果!$B$33+P504*方案参数!$AH$16,1)</f>
        <v>1</v>
      </c>
      <c r="AJ504" s="1">
        <f>MIN(1,MAX(0,J504+方案参数!$AB$16-配置与结果!$B$27))</f>
        <v>1</v>
      </c>
      <c r="AK504" s="1">
        <f>MAX(1,K504+IF(F504=2,0.15+方案参数!$CH$16,0)+BN504*方案参数!$X$16+R504*方案参数!$AA$16+方案参数!$BQ$16-配置与结果!$B$26+Z504*(方案参数!$AP$16+MIN(方案参数!$AQ$16,P504*0.03)))</f>
        <v>2.9650000000000003</v>
      </c>
      <c r="AL504" s="7">
        <f>ROUNDDOWN(MAX(AD504*配置与结果!$B$31,AD504-AE504)*AF504*AG504*AH504*AI504,0)</f>
        <v>320838</v>
      </c>
      <c r="AM504" s="7">
        <f>ROUNDDOWN(MAX(AD504*配置与结果!$B$31,AD504-AE504)*AF504*AG504*AH504*AI504*AK504,0)</f>
        <v>951287</v>
      </c>
      <c r="AN504" s="7">
        <f t="shared" si="652"/>
        <v>951287</v>
      </c>
      <c r="AO504" s="7">
        <f>0</f>
        <v>0</v>
      </c>
      <c r="AP504" s="7">
        <f>MAX(0,1+INDEX(配置与结果!$J$15:$J$18,F504)+IF(T504&gt;0,方案参数!$BY$16,0)-配置与结果!$B$30)</f>
        <v>3</v>
      </c>
      <c r="AQ504" s="7">
        <f t="shared" si="653"/>
        <v>0</v>
      </c>
      <c r="AR504" s="7">
        <f t="shared" si="654"/>
        <v>0</v>
      </c>
      <c r="AS504" s="7">
        <f t="shared" si="655"/>
        <v>0</v>
      </c>
      <c r="AT504" s="7">
        <f>IF(U504&gt;0,ROUNDDOWN(AL504*方案参数!$AF$16,0)*(1-AJ504)+ROUNDDOWN(AM504*方案参数!$AF$16,0)*AJ504,0)</f>
        <v>761029</v>
      </c>
      <c r="AU504" s="7">
        <f t="shared" si="656"/>
        <v>1712316</v>
      </c>
      <c r="AV504" s="1">
        <f t="shared" si="657"/>
        <v>2</v>
      </c>
      <c r="AW504" s="1">
        <f t="shared" si="710"/>
        <v>10</v>
      </c>
      <c r="AX504" s="1">
        <f t="shared" si="658"/>
        <v>2</v>
      </c>
      <c r="AY504" s="1">
        <f>MIN(20,MAX(0,O504+0+1-0))</f>
        <v>6</v>
      </c>
      <c r="AZ504" s="1">
        <f t="shared" si="659"/>
        <v>5</v>
      </c>
      <c r="BA504" s="1">
        <f t="shared" si="701"/>
        <v>5</v>
      </c>
      <c r="BB504" s="1">
        <f t="shared" si="709"/>
        <v>20</v>
      </c>
      <c r="BC504" s="1">
        <f t="shared" si="707"/>
        <v>3</v>
      </c>
      <c r="BD504" s="1">
        <f t="shared" si="688"/>
        <v>1</v>
      </c>
      <c r="BE504" s="1">
        <f>MAX(0,U504-IF(AF504&gt;0,1,0))+0</f>
        <v>0</v>
      </c>
      <c r="BF504" s="1">
        <f t="shared" si="711"/>
        <v>4</v>
      </c>
      <c r="BG504" s="1">
        <f t="shared" si="698"/>
        <v>1</v>
      </c>
      <c r="BH504" s="1">
        <f t="shared" si="682"/>
        <v>1</v>
      </c>
      <c r="BI504" s="1">
        <f t="shared" si="699"/>
        <v>1</v>
      </c>
      <c r="BJ504" s="1">
        <f t="shared" si="702"/>
        <v>1</v>
      </c>
      <c r="BK504" s="1">
        <f t="shared" si="703"/>
        <v>1</v>
      </c>
      <c r="BL504" s="1">
        <f t="shared" si="708"/>
        <v>1</v>
      </c>
      <c r="BM504" s="1">
        <f t="shared" si="706"/>
        <v>1</v>
      </c>
      <c r="BN504" s="1">
        <f t="shared" si="683"/>
        <v>1</v>
      </c>
      <c r="BO504" s="1">
        <f t="shared" si="684"/>
        <v>1</v>
      </c>
    </row>
    <row r="505" spans="1:67" ht="30.95" customHeight="1">
      <c r="A505" s="1">
        <f>13</f>
        <v>13</v>
      </c>
      <c r="B505" s="1">
        <f>固定流程!A37</f>
        <v>32</v>
      </c>
      <c r="C505" s="1">
        <f>16</f>
        <v>16</v>
      </c>
      <c r="D505" s="1">
        <f>2</f>
        <v>2</v>
      </c>
      <c r="E505" s="1">
        <f>固定流程!C37</f>
        <v>3</v>
      </c>
      <c r="F505" s="1">
        <f>固定流程!G37</f>
        <v>1</v>
      </c>
      <c r="G505" s="1" t="str">
        <f>固定流程!H37</f>
        <v>LILYA_WEAK</v>
      </c>
      <c r="H505" s="1">
        <f>固定流程!F37</f>
        <v>1</v>
      </c>
      <c r="I505" s="1">
        <f>INDEX(配置与结果!$B$15:$B$18,F505)</f>
        <v>2296</v>
      </c>
      <c r="J505" s="1">
        <f>INDEX(配置与结果!$D$15:$D$18,F505)</f>
        <v>0.7</v>
      </c>
      <c r="K505" s="1">
        <f>INDEX(配置与结果!$E$15:$E$18,F505)</f>
        <v>2.0249999999999999</v>
      </c>
      <c r="L505" s="1">
        <f t="shared" si="695"/>
        <v>2</v>
      </c>
      <c r="M505" s="1">
        <f t="shared" si="696"/>
        <v>10</v>
      </c>
      <c r="N505" s="1">
        <f t="shared" si="697"/>
        <v>2</v>
      </c>
      <c r="O505" s="1">
        <f t="shared" si="689"/>
        <v>6</v>
      </c>
      <c r="P505" s="1">
        <f>MIN(方案参数!$AI$16,AZ504+0+0)</f>
        <v>5</v>
      </c>
      <c r="Q505" s="1">
        <f t="shared" si="667"/>
        <v>5</v>
      </c>
      <c r="R505" s="1">
        <f t="shared" si="668"/>
        <v>20</v>
      </c>
      <c r="S505" s="1">
        <f t="shared" si="669"/>
        <v>3</v>
      </c>
      <c r="T505" s="1">
        <f t="shared" si="704"/>
        <v>1</v>
      </c>
      <c r="U505" s="1">
        <f t="shared" si="671"/>
        <v>0</v>
      </c>
      <c r="V505" s="1">
        <f t="shared" si="672"/>
        <v>4</v>
      </c>
      <c r="W505" s="1">
        <f t="shared" si="673"/>
        <v>1</v>
      </c>
      <c r="X505" s="1">
        <f t="shared" si="674"/>
        <v>1</v>
      </c>
      <c r="Y505" s="1">
        <f t="shared" si="675"/>
        <v>1</v>
      </c>
      <c r="Z505" s="1">
        <f t="shared" si="676"/>
        <v>1</v>
      </c>
      <c r="AA505" s="1">
        <f t="shared" si="700"/>
        <v>1</v>
      </c>
      <c r="AB505" s="1">
        <f t="shared" si="678"/>
        <v>1</v>
      </c>
      <c r="AC505" s="1">
        <f t="shared" si="705"/>
        <v>1</v>
      </c>
      <c r="AD505" s="1">
        <f>ROUNDDOWN(I505*(1+IF(F505=3,0.05+方案参数!$Y$16+AA505*0.12,IF(F505=4,方案参数!$BZ$16*方案参数!$AS$16,0)))+IF(AND(X505=1,F505&lt;&gt;3),方案参数!$CC$16,0)+AC505*方案参数!$CB$16,0)</f>
        <v>3134</v>
      </c>
      <c r="AE505" s="1">
        <f>IF(OR(F505=1,F505=4),配置与结果!$B$24,配置与结果!$B$25)*MAX(0,1-INDEX(配置与结果!$I$15:$I$18,F505))</f>
        <v>1200</v>
      </c>
      <c r="AF505" s="1">
        <f>方案参数!$BL$16</f>
        <v>9</v>
      </c>
      <c r="AG505" s="1">
        <f>MAX(配置与结果!$B$32,1+INDEX(配置与结果!$F$15:$F$18,F505)+0.08+方案参数!$CD$16+Q505*方案参数!$W$16+Y505*(方案参数!$AN$16+MIN(方案参数!$AO$16,P505*0.03))+AB505*方案参数!$BZ$16*0.025-配置与结果!$B$28+方案参数!$AE$16)</f>
        <v>3.2150000000000003</v>
      </c>
      <c r="AH505" s="1">
        <f>MAX(0,1+V505*方案参数!$U$16+8*方案参数!$V$16+方案参数!$AE$16-配置与结果!$B$29)</f>
        <v>2.6399999999999997</v>
      </c>
      <c r="AI505" s="1">
        <f>IF(OR(INDEX(配置与结果!$K$15:$K$18,F505)=1,G505="RHI_BERRY"),1+配置与结果!$B$33+P505*方案参数!$AH$16,1)</f>
        <v>1</v>
      </c>
      <c r="AJ505" s="1">
        <f>MIN(1,MAX(0,J505+方案参数!$AB$16-配置与结果!$B$27))</f>
        <v>1</v>
      </c>
      <c r="AK505" s="1">
        <f>MAX(1,K505+IF(F505=2,0.15+方案参数!$CH$16,0)+BN505*方案参数!$X$16+R505*方案参数!$AA$16+方案参数!$BP$16-配置与结果!$B$26+Z505*(方案参数!$AP$16+MIN(方案参数!$AQ$16,P505*0.03)))</f>
        <v>2.7650000000000001</v>
      </c>
      <c r="AL505" s="7">
        <f>ROUNDDOWN(MAX(AD505*配置与结果!$B$31,AD505-AE505)*AF505*AG505*AH505*AI505,0)</f>
        <v>147735</v>
      </c>
      <c r="AM505" s="7">
        <f>ROUNDDOWN(MAX(AD505*配置与结果!$B$31,AD505-AE505)*AF505*AG505*AH505*AI505*AK505,0)</f>
        <v>408487</v>
      </c>
      <c r="AN505" s="7">
        <f t="shared" si="652"/>
        <v>408487</v>
      </c>
      <c r="AO505" s="7">
        <f>0</f>
        <v>0</v>
      </c>
      <c r="AP505" s="7">
        <f>MAX(0,1+INDEX(配置与结果!$J$15:$J$18,F505)+IF(T505&gt;0,方案参数!$BY$16,0)-配置与结果!$B$30)</f>
        <v>3</v>
      </c>
      <c r="AQ505" s="7">
        <f t="shared" si="653"/>
        <v>0</v>
      </c>
      <c r="AR505" s="7">
        <f t="shared" si="654"/>
        <v>0</v>
      </c>
      <c r="AS505" s="7">
        <f t="shared" si="655"/>
        <v>0</v>
      </c>
      <c r="AT505" s="7">
        <f>IF(U505&gt;0,ROUNDDOWN(AL505*方案参数!$AF$16,0)*(1-AJ505)+ROUNDDOWN(AM505*方案参数!$AF$16,0)*AJ505,0)</f>
        <v>0</v>
      </c>
      <c r="AU505" s="7">
        <f t="shared" si="656"/>
        <v>408487</v>
      </c>
      <c r="AV505" s="1">
        <f t="shared" si="657"/>
        <v>2</v>
      </c>
      <c r="AW505" s="1">
        <f t="shared" si="710"/>
        <v>10</v>
      </c>
      <c r="AX505" s="1">
        <f t="shared" si="658"/>
        <v>2</v>
      </c>
      <c r="AY505" s="1">
        <f>MIN(20,MAX(0,O505+0+1-0))</f>
        <v>7</v>
      </c>
      <c r="AZ505" s="1">
        <f t="shared" si="659"/>
        <v>5</v>
      </c>
      <c r="BA505" s="1">
        <f t="shared" si="701"/>
        <v>5</v>
      </c>
      <c r="BB505" s="1">
        <f t="shared" si="709"/>
        <v>20</v>
      </c>
      <c r="BC505" s="1">
        <f t="shared" si="707"/>
        <v>3</v>
      </c>
      <c r="BD505" s="1">
        <f t="shared" si="688"/>
        <v>1</v>
      </c>
      <c r="BE505" s="1">
        <f>MAX(0,U505-IF(AF505&gt;0,1,0))+0</f>
        <v>0</v>
      </c>
      <c r="BF505" s="1">
        <f t="shared" si="711"/>
        <v>4</v>
      </c>
      <c r="BG505" s="1">
        <f t="shared" si="698"/>
        <v>1</v>
      </c>
      <c r="BH505" s="1">
        <f t="shared" si="682"/>
        <v>1</v>
      </c>
      <c r="BI505" s="1">
        <f t="shared" si="699"/>
        <v>1</v>
      </c>
      <c r="BJ505" s="1">
        <f t="shared" si="702"/>
        <v>1</v>
      </c>
      <c r="BK505" s="1">
        <f t="shared" si="703"/>
        <v>1</v>
      </c>
      <c r="BL505" s="1">
        <f t="shared" si="708"/>
        <v>1</v>
      </c>
      <c r="BM505" s="1">
        <f t="shared" si="706"/>
        <v>1</v>
      </c>
      <c r="BN505" s="1">
        <f t="shared" si="683"/>
        <v>1</v>
      </c>
      <c r="BO505" s="1">
        <f t="shared" si="684"/>
        <v>1</v>
      </c>
    </row>
    <row r="506" spans="1:67" ht="30.95" customHeight="1">
      <c r="A506" s="1">
        <f>13</f>
        <v>13</v>
      </c>
      <c r="B506" s="1">
        <f>固定流程!A38</f>
        <v>33</v>
      </c>
      <c r="C506" s="1">
        <f>16</f>
        <v>16</v>
      </c>
      <c r="D506" s="1">
        <f>2</f>
        <v>2</v>
      </c>
      <c r="E506" s="1">
        <f>固定流程!C38</f>
        <v>3</v>
      </c>
      <c r="F506" s="1">
        <f>固定流程!G38</f>
        <v>1</v>
      </c>
      <c r="G506" s="1" t="str">
        <f>固定流程!H38</f>
        <v>LILYA_WEAK</v>
      </c>
      <c r="H506" s="1">
        <f>固定流程!F38</f>
        <v>1</v>
      </c>
      <c r="I506" s="1">
        <f>INDEX(配置与结果!$B$15:$B$18,F506)</f>
        <v>2296</v>
      </c>
      <c r="J506" s="1">
        <f>INDEX(配置与结果!$D$15:$D$18,F506)</f>
        <v>0.7</v>
      </c>
      <c r="K506" s="1">
        <f>INDEX(配置与结果!$E$15:$E$18,F506)</f>
        <v>2.0249999999999999</v>
      </c>
      <c r="L506" s="1">
        <f t="shared" si="695"/>
        <v>2</v>
      </c>
      <c r="M506" s="1">
        <f t="shared" si="696"/>
        <v>10</v>
      </c>
      <c r="N506" s="1">
        <f t="shared" si="697"/>
        <v>2</v>
      </c>
      <c r="O506" s="1">
        <f t="shared" si="689"/>
        <v>7</v>
      </c>
      <c r="P506" s="1">
        <f>MIN(方案参数!$AI$16,AZ505+0+0)</f>
        <v>5</v>
      </c>
      <c r="Q506" s="1">
        <f t="shared" si="667"/>
        <v>5</v>
      </c>
      <c r="R506" s="1">
        <f t="shared" si="668"/>
        <v>20</v>
      </c>
      <c r="S506" s="1">
        <f t="shared" si="669"/>
        <v>3</v>
      </c>
      <c r="T506" s="1">
        <f t="shared" si="704"/>
        <v>1</v>
      </c>
      <c r="U506" s="1">
        <f t="shared" si="671"/>
        <v>0</v>
      </c>
      <c r="V506" s="1">
        <f t="shared" si="672"/>
        <v>4</v>
      </c>
      <c r="W506" s="1">
        <f t="shared" si="673"/>
        <v>1</v>
      </c>
      <c r="X506" s="1">
        <f t="shared" si="674"/>
        <v>1</v>
      </c>
      <c r="Y506" s="1">
        <f t="shared" si="675"/>
        <v>1</v>
      </c>
      <c r="Z506" s="1">
        <f t="shared" si="676"/>
        <v>1</v>
      </c>
      <c r="AA506" s="1">
        <f t="shared" si="700"/>
        <v>1</v>
      </c>
      <c r="AB506" s="1">
        <f t="shared" si="678"/>
        <v>1</v>
      </c>
      <c r="AC506" s="1">
        <f t="shared" si="705"/>
        <v>1</v>
      </c>
      <c r="AD506" s="1">
        <f>ROUNDDOWN(I506*(1+IF(F506=3,0.05+方案参数!$Y$16+AA506*0.12,IF(F506=4,方案参数!$BZ$16*方案参数!$AS$16,0)))+IF(AND(X506=1,F506&lt;&gt;3),方案参数!$CC$16,0)+AC506*方案参数!$CB$16,0)</f>
        <v>3134</v>
      </c>
      <c r="AE506" s="1">
        <f>IF(OR(F506=1,F506=4),配置与结果!$B$24,配置与结果!$B$25)*MAX(0,1-INDEX(配置与结果!$I$15:$I$18,F506))</f>
        <v>1200</v>
      </c>
      <c r="AF506" s="1">
        <f>方案参数!$BL$16</f>
        <v>9</v>
      </c>
      <c r="AG506" s="1">
        <f>MAX(配置与结果!$B$32,1+INDEX(配置与结果!$F$15:$F$18,F506)+0.08+方案参数!$CD$16+Q506*方案参数!$W$16+Y506*(方案参数!$AN$16+MIN(方案参数!$AO$16,P506*0.03))+AB506*方案参数!$BZ$16*0.025-配置与结果!$B$28+方案参数!$AE$16)</f>
        <v>3.2150000000000003</v>
      </c>
      <c r="AH506" s="1">
        <f>MAX(0,1+V506*方案参数!$U$16+9*方案参数!$V$16+方案参数!$AE$16-配置与结果!$B$29)</f>
        <v>2.7</v>
      </c>
      <c r="AI506" s="1">
        <f>IF(OR(INDEX(配置与结果!$K$15:$K$18,F506)=1,G506="RHI_BERRY"),1+配置与结果!$B$33+P506*方案参数!$AH$16,1)</f>
        <v>1</v>
      </c>
      <c r="AJ506" s="1">
        <f>MIN(1,MAX(0,J506+方案参数!$AB$16-配置与结果!$B$27))</f>
        <v>1</v>
      </c>
      <c r="AK506" s="1">
        <f>MAX(1,K506+IF(F506=2,0.15+方案参数!$CH$16,0)+BN506*方案参数!$X$16+R506*方案参数!$AA$16+方案参数!$BP$16-配置与结果!$B$26+Z506*(方案参数!$AP$16+MIN(方案参数!$AQ$16,P506*0.03)))</f>
        <v>2.7650000000000001</v>
      </c>
      <c r="AL506" s="7">
        <f>ROUNDDOWN(MAX(AD506*配置与结果!$B$31,AD506-AE506)*AF506*AG506*AH506*AI506,0)</f>
        <v>151092</v>
      </c>
      <c r="AM506" s="7">
        <f>ROUNDDOWN(MAX(AD506*配置与结果!$B$31,AD506-AE506)*AF506*AG506*AH506*AI506*AK506,0)</f>
        <v>417771</v>
      </c>
      <c r="AN506" s="7">
        <f t="shared" si="652"/>
        <v>417771</v>
      </c>
      <c r="AO506" s="7">
        <f>0</f>
        <v>0</v>
      </c>
      <c r="AP506" s="7">
        <f>MAX(0,1+INDEX(配置与结果!$J$15:$J$18,F506)+IF(T506&gt;0,方案参数!$BY$16,0)-配置与结果!$B$30)</f>
        <v>3</v>
      </c>
      <c r="AQ506" s="7">
        <f t="shared" si="653"/>
        <v>0</v>
      </c>
      <c r="AR506" s="7">
        <f t="shared" si="654"/>
        <v>0</v>
      </c>
      <c r="AS506" s="7">
        <f t="shared" si="655"/>
        <v>0</v>
      </c>
      <c r="AT506" s="7">
        <f>IF(U506&gt;0,ROUNDDOWN(AL506*方案参数!$AF$16,0)*(1-AJ506)+ROUNDDOWN(AM506*方案参数!$AF$16,0)*AJ506,0)</f>
        <v>0</v>
      </c>
      <c r="AU506" s="7">
        <f t="shared" si="656"/>
        <v>417771</v>
      </c>
      <c r="AV506" s="1">
        <f t="shared" si="657"/>
        <v>2</v>
      </c>
      <c r="AW506" s="1">
        <f t="shared" si="710"/>
        <v>10</v>
      </c>
      <c r="AX506" s="1">
        <f t="shared" si="658"/>
        <v>2</v>
      </c>
      <c r="AY506" s="1">
        <f>MIN(20,MAX(0,O506+0+1-0))</f>
        <v>8</v>
      </c>
      <c r="AZ506" s="1">
        <f t="shared" si="659"/>
        <v>5</v>
      </c>
      <c r="BA506" s="1">
        <f t="shared" si="701"/>
        <v>5</v>
      </c>
      <c r="BB506" s="1">
        <f t="shared" si="709"/>
        <v>20</v>
      </c>
      <c r="BC506" s="1">
        <f t="shared" si="707"/>
        <v>3</v>
      </c>
      <c r="BD506" s="1">
        <f t="shared" si="688"/>
        <v>1</v>
      </c>
      <c r="BE506" s="1">
        <f>MAX(0,U506-IF(AF506&gt;0,1,0))+0</f>
        <v>0</v>
      </c>
      <c r="BF506" s="1">
        <f t="shared" si="711"/>
        <v>4</v>
      </c>
      <c r="BG506" s="1">
        <f t="shared" si="698"/>
        <v>1</v>
      </c>
      <c r="BH506" s="1">
        <f t="shared" si="682"/>
        <v>1</v>
      </c>
      <c r="BI506" s="1">
        <f t="shared" si="699"/>
        <v>1</v>
      </c>
      <c r="BJ506" s="1">
        <f t="shared" si="702"/>
        <v>1</v>
      </c>
      <c r="BK506" s="1">
        <f t="shared" si="703"/>
        <v>1</v>
      </c>
      <c r="BL506" s="1">
        <f t="shared" si="708"/>
        <v>1</v>
      </c>
      <c r="BM506" s="1">
        <f t="shared" si="706"/>
        <v>1</v>
      </c>
      <c r="BN506" s="1">
        <f t="shared" si="683"/>
        <v>1</v>
      </c>
      <c r="BO506" s="1">
        <f t="shared" si="684"/>
        <v>1</v>
      </c>
    </row>
    <row r="507" spans="1:67" ht="30.95" customHeight="1">
      <c r="A507" s="1">
        <f>13</f>
        <v>13</v>
      </c>
      <c r="B507" s="1">
        <f>固定流程!A39</f>
        <v>34</v>
      </c>
      <c r="C507" s="1">
        <f>16</f>
        <v>16</v>
      </c>
      <c r="D507" s="1">
        <f>2</f>
        <v>2</v>
      </c>
      <c r="E507" s="1">
        <f>固定流程!C39</f>
        <v>3</v>
      </c>
      <c r="F507" s="1">
        <f>固定流程!G39</f>
        <v>2</v>
      </c>
      <c r="G507" s="1" t="str">
        <f>固定流程!H39</f>
        <v>37_WEAK</v>
      </c>
      <c r="H507" s="1">
        <f>固定流程!F39</f>
        <v>1</v>
      </c>
      <c r="I507" s="1">
        <f>INDEX(配置与结果!$B$15:$B$18,F507)</f>
        <v>2306</v>
      </c>
      <c r="J507" s="1">
        <f>INDEX(配置与结果!$D$15:$D$18,F507)</f>
        <v>0.46</v>
      </c>
      <c r="K507" s="1">
        <f>INDEX(配置与结果!$E$15:$E$18,F507)</f>
        <v>1.9279999999999999</v>
      </c>
      <c r="L507" s="1">
        <f t="shared" si="695"/>
        <v>2</v>
      </c>
      <c r="M507" s="1">
        <f t="shared" si="696"/>
        <v>10</v>
      </c>
      <c r="N507" s="1">
        <f t="shared" si="697"/>
        <v>2</v>
      </c>
      <c r="O507" s="1">
        <f t="shared" si="689"/>
        <v>8</v>
      </c>
      <c r="P507" s="1">
        <f>MIN(方案参数!$AI$16,AZ506+0+0)</f>
        <v>5</v>
      </c>
      <c r="Q507" s="1">
        <f t="shared" si="667"/>
        <v>5</v>
      </c>
      <c r="R507" s="1">
        <f t="shared" si="668"/>
        <v>20</v>
      </c>
      <c r="S507" s="1">
        <f t="shared" si="669"/>
        <v>3</v>
      </c>
      <c r="T507" s="1">
        <f t="shared" si="704"/>
        <v>1</v>
      </c>
      <c r="U507" s="1">
        <f t="shared" si="671"/>
        <v>0</v>
      </c>
      <c r="V507" s="1">
        <f t="shared" si="672"/>
        <v>4</v>
      </c>
      <c r="W507" s="1">
        <f t="shared" si="673"/>
        <v>1</v>
      </c>
      <c r="X507" s="1">
        <f t="shared" si="674"/>
        <v>1</v>
      </c>
      <c r="Y507" s="1">
        <f t="shared" si="675"/>
        <v>1</v>
      </c>
      <c r="Z507" s="1">
        <f t="shared" si="676"/>
        <v>1</v>
      </c>
      <c r="AA507" s="1">
        <f t="shared" si="700"/>
        <v>1</v>
      </c>
      <c r="AB507" s="1">
        <f t="shared" si="678"/>
        <v>1</v>
      </c>
      <c r="AC507" s="1">
        <f t="shared" si="705"/>
        <v>1</v>
      </c>
      <c r="AD507" s="1">
        <f>ROUNDDOWN(I507*(1+IF(F507=3,0.05+方案参数!$Y$16+AA507*0.12,IF(F507=4,方案参数!$BZ$16*方案参数!$AS$16,0)))+IF(AND(X507=1,F507&lt;&gt;3),方案参数!$CC$16,0)+AC507*方案参数!$CB$16,0)</f>
        <v>3144</v>
      </c>
      <c r="AE507" s="1">
        <f>IF(OR(F507=1,F507=4),配置与结果!$B$24,配置与结果!$B$25)*MAX(0,1-INDEX(配置与结果!$I$15:$I$18,F507))</f>
        <v>1000</v>
      </c>
      <c r="AF507" s="1">
        <f>方案参数!$CE$16</f>
        <v>10</v>
      </c>
      <c r="AG507" s="1">
        <f>MAX(配置与结果!$B$32,1+INDEX(配置与结果!$F$15:$F$18,F507)+0+Q507*方案参数!$W$16+Y507*(方案参数!$AN$16+MIN(方案参数!$AO$16,P507*0.03))+AB507*方案参数!$BZ$16*0.025-配置与结果!$B$28+方案参数!$AE$16)</f>
        <v>2.8800000000000003</v>
      </c>
      <c r="AH507" s="1">
        <f>MAX(0,1+V507*方案参数!$U$16+方案参数!$AE$16-配置与结果!$B$29)</f>
        <v>2.16</v>
      </c>
      <c r="AI507" s="1">
        <f>IF(OR(INDEX(配置与结果!$K$15:$K$18,F507)=1,G507="RHI_BERRY"),1+配置与结果!$B$33+P507*方案参数!$AH$16,1)</f>
        <v>1</v>
      </c>
      <c r="AJ507" s="1">
        <f>MIN(1,MAX(0,J507+方案参数!$AB$16-配置与结果!$B$27))</f>
        <v>1</v>
      </c>
      <c r="AK507" s="1">
        <f>MAX(1,K507+IF(F507=2,0.15+方案参数!$CH$16,0)+BN507*方案参数!$X$16+R507*方案参数!$AA$16+0-配置与结果!$B$26+Z507*(方案参数!$AP$16+MIN(方案参数!$AQ$16,P507*0.03)))</f>
        <v>2.3380000000000001</v>
      </c>
      <c r="AL507" s="7">
        <f>ROUNDDOWN(MAX(AD507*配置与结果!$B$31,AD507-AE507)*AF507*AG507*AH507*AI507,0)</f>
        <v>133373</v>
      </c>
      <c r="AM507" s="7">
        <f>ROUNDDOWN(MAX(AD507*配置与结果!$B$31,AD507-AE507)*AF507*AG507*AH507*AI507*AK507,0)</f>
        <v>311828</v>
      </c>
      <c r="AN507" s="7">
        <f t="shared" si="652"/>
        <v>311828</v>
      </c>
      <c r="AO507" s="7">
        <f>0</f>
        <v>0</v>
      </c>
      <c r="AP507" s="7">
        <f>MAX(0,1+INDEX(配置与结果!$J$15:$J$18,F507)+IF(T507&gt;0,方案参数!$BY$16,0)-配置与结果!$B$30)</f>
        <v>3</v>
      </c>
      <c r="AQ507" s="7">
        <f t="shared" si="653"/>
        <v>0</v>
      </c>
      <c r="AR507" s="7">
        <f t="shared" si="654"/>
        <v>0</v>
      </c>
      <c r="AS507" s="7">
        <f t="shared" si="655"/>
        <v>0</v>
      </c>
      <c r="AT507" s="7">
        <f>IF(U507&gt;0,ROUNDDOWN(AL507*方案参数!$AF$16,0)*(1-AJ507)+ROUNDDOWN(AM507*方案参数!$AF$16,0)*AJ507,0)</f>
        <v>0</v>
      </c>
      <c r="AU507" s="7">
        <f t="shared" si="656"/>
        <v>311828</v>
      </c>
      <c r="AV507" s="1">
        <f t="shared" si="657"/>
        <v>2</v>
      </c>
      <c r="AW507" s="1">
        <f t="shared" si="710"/>
        <v>10</v>
      </c>
      <c r="AX507" s="1">
        <f t="shared" si="658"/>
        <v>2</v>
      </c>
      <c r="AY507" s="1">
        <f>MIN(20,MAX(0,O507+0+0-0))</f>
        <v>8</v>
      </c>
      <c r="AZ507" s="1">
        <f t="shared" si="659"/>
        <v>5</v>
      </c>
      <c r="BA507" s="1">
        <f t="shared" si="701"/>
        <v>5</v>
      </c>
      <c r="BB507" s="1">
        <f t="shared" si="709"/>
        <v>20</v>
      </c>
      <c r="BC507" s="1">
        <f t="shared" si="707"/>
        <v>3</v>
      </c>
      <c r="BD507" s="1">
        <f t="shared" si="688"/>
        <v>1</v>
      </c>
      <c r="BE507" s="1">
        <f>MAX(0,U507-IF(AF507&gt;0,1,0))+1</f>
        <v>1</v>
      </c>
      <c r="BF507" s="1">
        <f t="shared" si="711"/>
        <v>4</v>
      </c>
      <c r="BG507" s="1">
        <f t="shared" si="698"/>
        <v>1</v>
      </c>
      <c r="BH507" s="1">
        <f t="shared" si="682"/>
        <v>1</v>
      </c>
      <c r="BI507" s="1">
        <f t="shared" si="699"/>
        <v>1</v>
      </c>
      <c r="BJ507" s="1">
        <f t="shared" si="702"/>
        <v>1</v>
      </c>
      <c r="BK507" s="1">
        <f t="shared" si="703"/>
        <v>1</v>
      </c>
      <c r="BL507" s="1">
        <f t="shared" si="708"/>
        <v>1</v>
      </c>
      <c r="BM507" s="1">
        <f t="shared" si="706"/>
        <v>1</v>
      </c>
      <c r="BN507" s="1">
        <f t="shared" si="683"/>
        <v>1</v>
      </c>
      <c r="BO507" s="1">
        <f t="shared" si="684"/>
        <v>1</v>
      </c>
    </row>
    <row r="508" spans="1:67" ht="30.95" customHeight="1">
      <c r="A508" s="1">
        <f>13</f>
        <v>13</v>
      </c>
      <c r="B508" s="1">
        <f>固定流程!A40</f>
        <v>35</v>
      </c>
      <c r="C508" s="1">
        <f>16</f>
        <v>16</v>
      </c>
      <c r="D508" s="1">
        <f>2</f>
        <v>2</v>
      </c>
      <c r="E508" s="1">
        <f>固定流程!C40</f>
        <v>3</v>
      </c>
      <c r="F508" s="1">
        <f>固定流程!G40</f>
        <v>2</v>
      </c>
      <c r="G508" s="1" t="str">
        <f>固定流程!H40</f>
        <v>37_WEAK</v>
      </c>
      <c r="H508" s="1">
        <f>固定流程!F40</f>
        <v>1</v>
      </c>
      <c r="I508" s="1">
        <f>INDEX(配置与结果!$B$15:$B$18,F508)</f>
        <v>2306</v>
      </c>
      <c r="J508" s="1">
        <f>INDEX(配置与结果!$D$15:$D$18,F508)</f>
        <v>0.46</v>
      </c>
      <c r="K508" s="1">
        <f>INDEX(配置与结果!$E$15:$E$18,F508)</f>
        <v>1.9279999999999999</v>
      </c>
      <c r="L508" s="1">
        <f t="shared" si="695"/>
        <v>2</v>
      </c>
      <c r="M508" s="1">
        <f t="shared" si="696"/>
        <v>10</v>
      </c>
      <c r="N508" s="1">
        <f t="shared" si="697"/>
        <v>2</v>
      </c>
      <c r="O508" s="1">
        <f t="shared" si="689"/>
        <v>8</v>
      </c>
      <c r="P508" s="1">
        <f>MIN(方案参数!$AI$16,AZ507+0+0)</f>
        <v>5</v>
      </c>
      <c r="Q508" s="1">
        <f t="shared" si="667"/>
        <v>5</v>
      </c>
      <c r="R508" s="1">
        <f t="shared" si="668"/>
        <v>20</v>
      </c>
      <c r="S508" s="1">
        <f t="shared" si="669"/>
        <v>3</v>
      </c>
      <c r="T508" s="1">
        <f t="shared" si="704"/>
        <v>1</v>
      </c>
      <c r="U508" s="1">
        <f t="shared" si="671"/>
        <v>1</v>
      </c>
      <c r="V508" s="1">
        <f t="shared" si="672"/>
        <v>4</v>
      </c>
      <c r="W508" s="1">
        <f t="shared" si="673"/>
        <v>1</v>
      </c>
      <c r="X508" s="1">
        <f t="shared" si="674"/>
        <v>1</v>
      </c>
      <c r="Y508" s="1">
        <f t="shared" si="675"/>
        <v>1</v>
      </c>
      <c r="Z508" s="1">
        <f t="shared" si="676"/>
        <v>1</v>
      </c>
      <c r="AA508" s="1">
        <f t="shared" si="700"/>
        <v>1</v>
      </c>
      <c r="AB508" s="1">
        <f t="shared" si="678"/>
        <v>1</v>
      </c>
      <c r="AC508" s="1">
        <f t="shared" si="705"/>
        <v>1</v>
      </c>
      <c r="AD508" s="1">
        <f>ROUNDDOWN(I508*(1+IF(F508=3,0.05+方案参数!$Y$16+AA508*0.12,IF(F508=4,方案参数!$BZ$16*方案参数!$AS$16,0)))+IF(AND(X508=1,F508&lt;&gt;3),方案参数!$CC$16,0)+AC508*方案参数!$CB$16,0)</f>
        <v>3144</v>
      </c>
      <c r="AE508" s="1">
        <f>IF(OR(F508=1,F508=4),配置与结果!$B$24,配置与结果!$B$25)*MAX(0,1-INDEX(配置与结果!$I$15:$I$18,F508))</f>
        <v>1000</v>
      </c>
      <c r="AF508" s="1">
        <f>方案参数!$CE$16</f>
        <v>10</v>
      </c>
      <c r="AG508" s="1">
        <f>MAX(配置与结果!$B$32,1+INDEX(配置与结果!$F$15:$F$18,F508)+0+Q508*方案参数!$W$16+Y508*(方案参数!$AN$16+MIN(方案参数!$AO$16,P508*0.03))+AB508*方案参数!$BZ$16*0.025-配置与结果!$B$28+方案参数!$AE$16)</f>
        <v>2.8800000000000003</v>
      </c>
      <c r="AH508" s="1">
        <f>MAX(0,1+V508*方案参数!$U$16+方案参数!$AE$16-配置与结果!$B$29)</f>
        <v>2.16</v>
      </c>
      <c r="AI508" s="1">
        <f>IF(OR(INDEX(配置与结果!$K$15:$K$18,F508)=1,G508="RHI_BERRY"),1+配置与结果!$B$33+P508*方案参数!$AH$16,1)</f>
        <v>1</v>
      </c>
      <c r="AJ508" s="1">
        <f>MIN(1,MAX(0,J508+方案参数!$AB$16-配置与结果!$B$27))</f>
        <v>1</v>
      </c>
      <c r="AK508" s="1">
        <f>MAX(1,K508+IF(F508=2,0.15+方案参数!$CH$16,0)+BN508*方案参数!$X$16+R508*方案参数!$AA$16+0-配置与结果!$B$26+Z508*(方案参数!$AP$16+MIN(方案参数!$AQ$16,P508*0.03)))</f>
        <v>2.3380000000000001</v>
      </c>
      <c r="AL508" s="7">
        <f>ROUNDDOWN(MAX(AD508*配置与结果!$B$31,AD508-AE508)*AF508*AG508*AH508*AI508,0)</f>
        <v>133373</v>
      </c>
      <c r="AM508" s="7">
        <f>ROUNDDOWN(MAX(AD508*配置与结果!$B$31,AD508-AE508)*AF508*AG508*AH508*AI508*AK508,0)</f>
        <v>311828</v>
      </c>
      <c r="AN508" s="7">
        <f t="shared" si="652"/>
        <v>311828</v>
      </c>
      <c r="AO508" s="7">
        <f>0</f>
        <v>0</v>
      </c>
      <c r="AP508" s="7">
        <f>MAX(0,1+INDEX(配置与结果!$J$15:$J$18,F508)+IF(T508&gt;0,方案参数!$BY$16,0)-配置与结果!$B$30)</f>
        <v>3</v>
      </c>
      <c r="AQ508" s="7">
        <f t="shared" si="653"/>
        <v>0</v>
      </c>
      <c r="AR508" s="7">
        <f t="shared" si="654"/>
        <v>0</v>
      </c>
      <c r="AS508" s="7">
        <f t="shared" si="655"/>
        <v>0</v>
      </c>
      <c r="AT508" s="7">
        <f>IF(U508&gt;0,ROUNDDOWN(AL508*方案参数!$AF$16,0)*(1-AJ508)+ROUNDDOWN(AM508*方案参数!$AF$16,0)*AJ508,0)</f>
        <v>249462</v>
      </c>
      <c r="AU508" s="7">
        <f t="shared" si="656"/>
        <v>561290</v>
      </c>
      <c r="AV508" s="1">
        <f t="shared" si="657"/>
        <v>2</v>
      </c>
      <c r="AW508" s="1">
        <f t="shared" si="710"/>
        <v>10</v>
      </c>
      <c r="AX508" s="1">
        <f t="shared" si="658"/>
        <v>2</v>
      </c>
      <c r="AY508" s="1">
        <f>MIN(20,MAX(0,O508+0+0-0))</f>
        <v>8</v>
      </c>
      <c r="AZ508" s="1">
        <f t="shared" si="659"/>
        <v>5</v>
      </c>
      <c r="BA508" s="1">
        <f t="shared" si="701"/>
        <v>5</v>
      </c>
      <c r="BB508" s="1">
        <f t="shared" si="709"/>
        <v>20</v>
      </c>
      <c r="BC508" s="1">
        <f t="shared" si="707"/>
        <v>3</v>
      </c>
      <c r="BD508" s="1">
        <f t="shared" si="688"/>
        <v>1</v>
      </c>
      <c r="BE508" s="1">
        <f>MAX(0,U508-IF(AF508&gt;0,1,0))+1</f>
        <v>1</v>
      </c>
      <c r="BF508" s="1">
        <f t="shared" si="711"/>
        <v>4</v>
      </c>
      <c r="BG508" s="1">
        <f t="shared" si="698"/>
        <v>1</v>
      </c>
      <c r="BH508" s="1">
        <f t="shared" si="682"/>
        <v>1</v>
      </c>
      <c r="BI508" s="1">
        <f t="shared" si="699"/>
        <v>1</v>
      </c>
      <c r="BJ508" s="1">
        <f t="shared" si="702"/>
        <v>1</v>
      </c>
      <c r="BK508" s="1">
        <f t="shared" si="703"/>
        <v>1</v>
      </c>
      <c r="BL508" s="1">
        <f t="shared" si="708"/>
        <v>1</v>
      </c>
      <c r="BM508" s="1">
        <f t="shared" si="706"/>
        <v>1</v>
      </c>
      <c r="BN508" s="1">
        <f t="shared" si="683"/>
        <v>1</v>
      </c>
      <c r="BO508" s="1">
        <f t="shared" si="684"/>
        <v>1</v>
      </c>
    </row>
    <row r="509" spans="1:67" ht="30.95" customHeight="1">
      <c r="A509" s="1">
        <f>13</f>
        <v>13</v>
      </c>
      <c r="B509" s="1">
        <f>固定流程!A41</f>
        <v>36</v>
      </c>
      <c r="C509" s="1">
        <f>16</f>
        <v>16</v>
      </c>
      <c r="D509" s="1">
        <f>2</f>
        <v>2</v>
      </c>
      <c r="E509" s="1">
        <f>固定流程!C41</f>
        <v>3</v>
      </c>
      <c r="F509" s="1">
        <f>固定流程!G41</f>
        <v>1</v>
      </c>
      <c r="G509" s="1" t="str">
        <f>固定流程!H41</f>
        <v>LILYA_FINISH</v>
      </c>
      <c r="H509" s="1">
        <f>固定流程!F41</f>
        <v>1</v>
      </c>
      <c r="I509" s="1">
        <f>INDEX(配置与结果!$B$15:$B$18,F509)</f>
        <v>2296</v>
      </c>
      <c r="J509" s="1">
        <f>INDEX(配置与结果!$D$15:$D$18,F509)</f>
        <v>0.7</v>
      </c>
      <c r="K509" s="1">
        <f>INDEX(配置与结果!$E$15:$E$18,F509)</f>
        <v>2.0249999999999999</v>
      </c>
      <c r="L509" s="1">
        <f t="shared" si="695"/>
        <v>2</v>
      </c>
      <c r="M509" s="1">
        <f t="shared" si="696"/>
        <v>10</v>
      </c>
      <c r="N509" s="1">
        <f t="shared" si="697"/>
        <v>2</v>
      </c>
      <c r="O509" s="1">
        <f t="shared" si="689"/>
        <v>8</v>
      </c>
      <c r="P509" s="1">
        <f>MIN(方案参数!$AI$16,AZ508+0+0)</f>
        <v>5</v>
      </c>
      <c r="Q509" s="1">
        <f t="shared" si="667"/>
        <v>5</v>
      </c>
      <c r="R509" s="1">
        <f t="shared" si="668"/>
        <v>20</v>
      </c>
      <c r="S509" s="1">
        <f t="shared" si="669"/>
        <v>3</v>
      </c>
      <c r="T509" s="1">
        <f t="shared" si="704"/>
        <v>1</v>
      </c>
      <c r="U509" s="1">
        <f t="shared" si="671"/>
        <v>1</v>
      </c>
      <c r="V509" s="1">
        <f t="shared" si="672"/>
        <v>4</v>
      </c>
      <c r="W509" s="1">
        <f t="shared" si="673"/>
        <v>1</v>
      </c>
      <c r="X509" s="1">
        <f t="shared" si="674"/>
        <v>1</v>
      </c>
      <c r="Y509" s="1">
        <f t="shared" si="675"/>
        <v>1</v>
      </c>
      <c r="Z509" s="1">
        <f t="shared" si="676"/>
        <v>1</v>
      </c>
      <c r="AA509" s="1">
        <f t="shared" si="700"/>
        <v>1</v>
      </c>
      <c r="AB509" s="1">
        <f t="shared" si="678"/>
        <v>1</v>
      </c>
      <c r="AC509" s="1">
        <f t="shared" si="705"/>
        <v>1</v>
      </c>
      <c r="AD509" s="1">
        <f>ROUNDDOWN(I509*(1+IF(F509=3,0.05+方案参数!$Y$16+AA509*0.12,IF(F509=4,方案参数!$BZ$16*方案参数!$AS$16,0)))+IF(AND(X509=1,F509&lt;&gt;3),方案参数!$CC$16,0)+AC509*方案参数!$CB$16,0)</f>
        <v>3134</v>
      </c>
      <c r="AE509" s="1">
        <f>IF(OR(F509=1,F509=4),配置与结果!$B$24,配置与结果!$B$25)*MAX(0,1-INDEX(配置与结果!$I$15:$I$18,F509))</f>
        <v>1200</v>
      </c>
      <c r="AF509" s="1">
        <f>方案参数!$BN$16+12*方案参数!$BO$16</f>
        <v>48</v>
      </c>
      <c r="AG509" s="1">
        <f>MAX(配置与结果!$B$32,1+INDEX(配置与结果!$F$15:$F$18,F509)+0.08+方案参数!$CD$16+Q509*方案参数!$W$16+Y509*(方案参数!$AN$16+MIN(方案参数!$AO$16,P509*0.03))+AB509*方案参数!$BZ$16*0.025-配置与结果!$B$28+方案参数!$AE$16)</f>
        <v>3.2150000000000003</v>
      </c>
      <c r="AH509" s="1">
        <f>MAX(0,1+V509*方案参数!$U$16+12*方案参数!$V$16+方案参数!$AE$16-配置与结果!$B$29)</f>
        <v>2.88</v>
      </c>
      <c r="AI509" s="1">
        <f>IF(OR(INDEX(配置与结果!$K$15:$K$18,F509)=1,G509="RHI_BERRY"),1+配置与结果!$B$33+P509*方案参数!$AH$16,1)</f>
        <v>1</v>
      </c>
      <c r="AJ509" s="1">
        <f>MIN(1,MAX(0,J509+方案参数!$AB$16-配置与结果!$B$27))</f>
        <v>1</v>
      </c>
      <c r="AK509" s="1">
        <f>MAX(1,K509+IF(F509=2,0.15+方案参数!$CH$16,0)+BN509*方案参数!$X$16+R509*方案参数!$AA$16+方案参数!$BR$16-配置与结果!$B$26+Z509*(方案参数!$AP$16+MIN(方案参数!$AQ$16,P509*0.03)))</f>
        <v>3.165</v>
      </c>
      <c r="AL509" s="7">
        <f>ROUNDDOWN(MAX(AD509*配置与结果!$B$31,AD509-AE509)*AF509*AG509*AH509*AI509,0)</f>
        <v>859550</v>
      </c>
      <c r="AM509" s="7">
        <f>ROUNDDOWN(MAX(AD509*配置与结果!$B$31,AD509-AE509)*AF509*AG509*AH509*AI509*AK509,0)</f>
        <v>2720475</v>
      </c>
      <c r="AN509" s="7">
        <f t="shared" si="652"/>
        <v>2720475</v>
      </c>
      <c r="AO509" s="7">
        <f>0</f>
        <v>0</v>
      </c>
      <c r="AP509" s="7">
        <f>MAX(0,1+INDEX(配置与结果!$J$15:$J$18,F509)+IF(T509&gt;0,方案参数!$BY$16,0)-配置与结果!$B$30)</f>
        <v>3</v>
      </c>
      <c r="AQ509" s="7">
        <f t="shared" si="653"/>
        <v>0</v>
      </c>
      <c r="AR509" s="7">
        <f t="shared" si="654"/>
        <v>0</v>
      </c>
      <c r="AS509" s="7">
        <f t="shared" si="655"/>
        <v>0</v>
      </c>
      <c r="AT509" s="7">
        <f>IF(U509&gt;0,ROUNDDOWN(AL509*方案参数!$AF$16,0)*(1-AJ509)+ROUNDDOWN(AM509*方案参数!$AF$16,0)*AJ509,0)</f>
        <v>2176380</v>
      </c>
      <c r="AU509" s="7">
        <f t="shared" si="656"/>
        <v>4896855</v>
      </c>
      <c r="AV509" s="1">
        <f t="shared" si="657"/>
        <v>2</v>
      </c>
      <c r="AW509" s="1">
        <f t="shared" si="710"/>
        <v>10</v>
      </c>
      <c r="AX509" s="1">
        <f t="shared" si="658"/>
        <v>2</v>
      </c>
      <c r="AY509" s="1">
        <f>MIN(20,MAX(0,O509+0+1-0))</f>
        <v>9</v>
      </c>
      <c r="AZ509" s="1">
        <f t="shared" si="659"/>
        <v>5</v>
      </c>
      <c r="BA509" s="1">
        <f t="shared" si="701"/>
        <v>5</v>
      </c>
      <c r="BB509" s="1">
        <f t="shared" si="709"/>
        <v>20</v>
      </c>
      <c r="BC509" s="1">
        <f t="shared" si="707"/>
        <v>3</v>
      </c>
      <c r="BD509" s="1">
        <f t="shared" si="688"/>
        <v>1</v>
      </c>
      <c r="BE509" s="1">
        <f>MAX(0,U509-IF(AF509&gt;0,1,0))+0</f>
        <v>0</v>
      </c>
      <c r="BF509" s="1">
        <f t="shared" si="711"/>
        <v>4</v>
      </c>
      <c r="BG509" s="1">
        <f t="shared" si="698"/>
        <v>1</v>
      </c>
      <c r="BH509" s="1">
        <f t="shared" si="682"/>
        <v>1</v>
      </c>
      <c r="BI509" s="1">
        <f t="shared" si="699"/>
        <v>1</v>
      </c>
      <c r="BJ509" s="1">
        <f t="shared" si="702"/>
        <v>1</v>
      </c>
      <c r="BK509" s="1">
        <f t="shared" si="703"/>
        <v>1</v>
      </c>
      <c r="BL509" s="1">
        <f t="shared" si="708"/>
        <v>1</v>
      </c>
      <c r="BM509" s="1">
        <f t="shared" si="706"/>
        <v>1</v>
      </c>
      <c r="BN509" s="1">
        <f t="shared" si="683"/>
        <v>1</v>
      </c>
      <c r="BO509" s="1">
        <f t="shared" si="684"/>
        <v>1</v>
      </c>
    </row>
    <row r="510" spans="1:67" ht="30.95" customHeight="1">
      <c r="A510" s="1">
        <f>14</f>
        <v>14</v>
      </c>
      <c r="B510" s="1">
        <f>固定流程!A6</f>
        <v>1</v>
      </c>
      <c r="C510" s="1">
        <f>17</f>
        <v>17</v>
      </c>
      <c r="D510" s="1">
        <f>1</f>
        <v>1</v>
      </c>
      <c r="E510" s="1">
        <f>固定流程!C6</f>
        <v>1</v>
      </c>
      <c r="F510" s="1">
        <f>固定流程!G6</f>
        <v>3</v>
      </c>
      <c r="G510" s="1" t="str">
        <f>固定流程!H6</f>
        <v>RHI_ULT</v>
      </c>
      <c r="H510" s="1">
        <f>固定流程!F6</f>
        <v>1</v>
      </c>
      <c r="I510" s="1">
        <f>INDEX(配置与结果!$B$15:$B$18,F510)</f>
        <v>2597</v>
      </c>
      <c r="J510" s="1">
        <f>INDEX(配置与结果!$D$15:$D$18,F510)</f>
        <v>0.255</v>
      </c>
      <c r="K510" s="1">
        <f>INDEX(配置与结果!$E$15:$E$18,F510)</f>
        <v>1.55</v>
      </c>
      <c r="L510" s="1">
        <f>0</f>
        <v>0</v>
      </c>
      <c r="M510" s="1">
        <f>0</f>
        <v>0</v>
      </c>
      <c r="N510" s="1">
        <f>0</f>
        <v>0</v>
      </c>
      <c r="O510" s="1">
        <f>0</f>
        <v>0</v>
      </c>
      <c r="P510" s="1">
        <f>MIN(方案参数!$AI$17,0+方案参数!$AJ$17+0)</f>
        <v>1</v>
      </c>
      <c r="Q510" s="1">
        <f>0</f>
        <v>0</v>
      </c>
      <c r="R510" s="1">
        <f>0</f>
        <v>0</v>
      </c>
      <c r="S510" s="1">
        <f>0</f>
        <v>0</v>
      </c>
      <c r="T510" s="1">
        <f>0+0</f>
        <v>0</v>
      </c>
      <c r="U510" s="1">
        <f>0</f>
        <v>0</v>
      </c>
      <c r="V510" s="1">
        <f>0</f>
        <v>0</v>
      </c>
      <c r="W510" s="1">
        <f>0</f>
        <v>0</v>
      </c>
      <c r="X510" s="1">
        <f>0</f>
        <v>0</v>
      </c>
      <c r="Y510" s="1">
        <f>0</f>
        <v>0</v>
      </c>
      <c r="Z510" s="1">
        <f>0</f>
        <v>0</v>
      </c>
      <c r="AA510" s="1">
        <f>MAX(0,0)</f>
        <v>0</v>
      </c>
      <c r="AB510" s="1">
        <f>0</f>
        <v>0</v>
      </c>
      <c r="AC510" s="1">
        <f>MAX(0,0)</f>
        <v>0</v>
      </c>
      <c r="AD510" s="1">
        <f>ROUNDDOWN(I510*(1+IF(F510=3,0.05+方案参数!$Y$17+AA510*0.12,IF(F510=4,方案参数!$BZ$17*方案参数!$AS$17,0)))+IF(AND(X510=1,F510&lt;&gt;3),方案参数!$CC$17,0)+AC510*方案参数!$CB$17,0)</f>
        <v>2986</v>
      </c>
      <c r="AE510" s="1">
        <f>IF(OR(F510=1,F510=4),配置与结果!$B$24,配置与结果!$B$25)*MAX(0,1-INDEX(配置与结果!$I$15:$I$18,F510))</f>
        <v>1000</v>
      </c>
      <c r="AF510" s="1">
        <f>0</f>
        <v>0</v>
      </c>
      <c r="AG510" s="1">
        <f>MAX(配置与结果!$B$32,1+INDEX(配置与结果!$F$15:$F$18,F510)+0+Q510*方案参数!$W$17+Y510*(方案参数!$AN$17+MIN(方案参数!$AO$17,P510*0.03))+AB510*方案参数!$BZ$17*0.025-配置与结果!$B$28)</f>
        <v>0.6349999999999999</v>
      </c>
      <c r="AH510" s="1">
        <f>MAX(0,1+INDEX(配置与结果!$G$15:$G$18,F510)+W510*方案参数!$AG$17)</f>
        <v>1</v>
      </c>
      <c r="AI510" s="1">
        <f>IF(OR(INDEX(配置与结果!$K$15:$K$18,F510)=1,G510="RHI_BERRY"),1+配置与结果!$B$33+P510*方案参数!$AH$17,1)</f>
        <v>1</v>
      </c>
      <c r="AJ510" s="1">
        <f>MIN(1,MAX(0,J510+方案参数!$AB$17-配置与结果!$B$27))</f>
        <v>0.55499999999999994</v>
      </c>
      <c r="AK510" s="1">
        <f>MAX(1,K510+IF(F510=2,0.15+方案参数!$CH$17,0)+BN510*方案参数!$X$17+R510*方案参数!$AA$17+0-配置与结果!$B$26+Z510*(方案参数!$AP$17+MIN(方案参数!$AQ$17,P510*0.03)))</f>
        <v>1.1499999999999999</v>
      </c>
      <c r="AL510" s="7">
        <f>ROUNDDOWN(MAX(AD510*配置与结果!$B$31,AD510-AE510)*AF510*AG510*AH510*AI510,0)</f>
        <v>0</v>
      </c>
      <c r="AM510" s="7">
        <f>ROUNDDOWN(MAX(AD510*配置与结果!$B$31,AD510-AE510)*AF510*AG510*AH510*AI510*AK510,0)</f>
        <v>0</v>
      </c>
      <c r="AN510" s="7">
        <f t="shared" si="652"/>
        <v>0</v>
      </c>
      <c r="AO510" s="7">
        <f>0</f>
        <v>0</v>
      </c>
      <c r="AP510" s="7">
        <f>MAX(0,1+INDEX(配置与结果!$J$15:$J$18,F510)+IF(T510&gt;0,方案参数!$BY$17,0)-配置与结果!$B$30)</f>
        <v>1</v>
      </c>
      <c r="AQ510" s="7">
        <f t="shared" si="653"/>
        <v>0</v>
      </c>
      <c r="AR510" s="7">
        <f t="shared" si="654"/>
        <v>0</v>
      </c>
      <c r="AS510" s="7">
        <f t="shared" si="655"/>
        <v>0</v>
      </c>
      <c r="AT510" s="7">
        <f>0</f>
        <v>0</v>
      </c>
      <c r="AU510" s="7">
        <f t="shared" si="656"/>
        <v>0</v>
      </c>
      <c r="AV510" s="1">
        <f t="shared" si="657"/>
        <v>0</v>
      </c>
      <c r="AW510" s="1">
        <f t="shared" si="710"/>
        <v>0</v>
      </c>
      <c r="AX510" s="1">
        <f t="shared" si="658"/>
        <v>0</v>
      </c>
      <c r="AY510" s="1">
        <f>MIN(20,MAX(0,O510+0+0-0))</f>
        <v>0</v>
      </c>
      <c r="AZ510" s="1">
        <f t="shared" si="659"/>
        <v>1</v>
      </c>
      <c r="BA510" s="1">
        <f>MIN(6,Q510+1)</f>
        <v>1</v>
      </c>
      <c r="BB510" s="1">
        <f>MIN(30,R510+5)</f>
        <v>5</v>
      </c>
      <c r="BC510" s="1">
        <f t="shared" si="707"/>
        <v>0</v>
      </c>
      <c r="BD510" s="1">
        <f t="shared" si="688"/>
        <v>0</v>
      </c>
      <c r="BE510" s="1">
        <f>0</f>
        <v>0</v>
      </c>
      <c r="BF510" s="1">
        <f t="shared" si="711"/>
        <v>0</v>
      </c>
      <c r="BG510" s="1">
        <f t="shared" si="698"/>
        <v>0</v>
      </c>
      <c r="BH510" s="1">
        <f>MAX(X510,1)</f>
        <v>1</v>
      </c>
      <c r="BI510" s="1">
        <f t="shared" si="699"/>
        <v>0</v>
      </c>
      <c r="BJ510" s="1">
        <f t="shared" si="702"/>
        <v>0</v>
      </c>
      <c r="BK510" s="1">
        <f t="shared" si="703"/>
        <v>0</v>
      </c>
      <c r="BL510" s="1">
        <f t="shared" si="708"/>
        <v>0</v>
      </c>
      <c r="BM510" s="1">
        <f t="shared" si="706"/>
        <v>0</v>
      </c>
      <c r="BN510" s="1">
        <f>0</f>
        <v>0</v>
      </c>
      <c r="BO510" s="1">
        <f>MAX(BN510,1)</f>
        <v>1</v>
      </c>
    </row>
    <row r="511" spans="1:67" ht="30.95" customHeight="1">
      <c r="A511" s="1">
        <f>14</f>
        <v>14</v>
      </c>
      <c r="B511" s="1">
        <f>固定流程!A7</f>
        <v>2</v>
      </c>
      <c r="C511" s="1">
        <f>17</f>
        <v>17</v>
      </c>
      <c r="D511" s="1">
        <f>1</f>
        <v>1</v>
      </c>
      <c r="E511" s="1">
        <f>固定流程!C7</f>
        <v>1</v>
      </c>
      <c r="F511" s="1">
        <f>固定流程!G7</f>
        <v>3</v>
      </c>
      <c r="G511" s="1" t="str">
        <f>固定流程!H7</f>
        <v>RHI_BUFF</v>
      </c>
      <c r="H511" s="1">
        <f>固定流程!F7</f>
        <v>1</v>
      </c>
      <c r="I511" s="1">
        <f>INDEX(配置与结果!$B$15:$B$18,F511)</f>
        <v>2597</v>
      </c>
      <c r="J511" s="1">
        <f>INDEX(配置与结果!$D$15:$D$18,F511)</f>
        <v>0.255</v>
      </c>
      <c r="K511" s="1">
        <f>INDEX(配置与结果!$E$15:$E$18,F511)</f>
        <v>1.55</v>
      </c>
      <c r="L511" s="1">
        <f t="shared" ref="L511:O516" si="712">AV510</f>
        <v>0</v>
      </c>
      <c r="M511" s="1">
        <f t="shared" si="712"/>
        <v>0</v>
      </c>
      <c r="N511" s="1">
        <f t="shared" si="712"/>
        <v>0</v>
      </c>
      <c r="O511" s="1">
        <f t="shared" si="712"/>
        <v>0</v>
      </c>
      <c r="P511" s="1">
        <f>MIN(方案参数!$AI$17,AZ510+0+方案参数!$AK$17)</f>
        <v>3</v>
      </c>
      <c r="Q511" s="1">
        <f t="shared" ref="Q511:Q545" si="713">BA510</f>
        <v>1</v>
      </c>
      <c r="R511" s="1">
        <f t="shared" ref="R511:R545" si="714">BB510</f>
        <v>5</v>
      </c>
      <c r="S511" s="1">
        <f t="shared" ref="S511:S545" si="715">BC510</f>
        <v>0</v>
      </c>
      <c r="T511" s="1">
        <f t="shared" ref="T511:T524" si="716">BD510+0</f>
        <v>0</v>
      </c>
      <c r="U511" s="1">
        <f t="shared" ref="U511:U545" si="717">BE510</f>
        <v>0</v>
      </c>
      <c r="V511" s="1">
        <f t="shared" ref="V511:V545" si="718">BF510</f>
        <v>0</v>
      </c>
      <c r="W511" s="1">
        <f t="shared" ref="W511:W545" si="719">BG510</f>
        <v>0</v>
      </c>
      <c r="X511" s="1">
        <f t="shared" ref="X511:X545" si="720">BH510</f>
        <v>1</v>
      </c>
      <c r="Y511" s="1">
        <f t="shared" ref="Y511:Y545" si="721">BI510</f>
        <v>0</v>
      </c>
      <c r="Z511" s="1">
        <f t="shared" ref="Z511:Z545" si="722">BJ510</f>
        <v>0</v>
      </c>
      <c r="AA511" s="1">
        <f t="shared" ref="AA511:AA516" si="723">MAX(BK510,0)</f>
        <v>0</v>
      </c>
      <c r="AB511" s="1">
        <f t="shared" ref="AB511:AB545" si="724">BL510</f>
        <v>0</v>
      </c>
      <c r="AC511" s="1">
        <f t="shared" ref="AC511:AC524" si="725">MAX(BM510,0)</f>
        <v>0</v>
      </c>
      <c r="AD511" s="1">
        <f>ROUNDDOWN(I511*(1+IF(F511=3,0.05+方案参数!$Y$17+AA511*0.12,IF(F511=4,方案参数!$BZ$17*方案参数!$AS$17,0)))+IF(AND(X511=1,F511&lt;&gt;3),方案参数!$CC$17,0)+AC511*方案参数!$CB$17,0)</f>
        <v>2986</v>
      </c>
      <c r="AE511" s="1">
        <f>IF(OR(F511=1,F511=4),配置与结果!$B$24,配置与结果!$B$25)*MAX(0,1-INDEX(配置与结果!$I$15:$I$18,F511))</f>
        <v>1000</v>
      </c>
      <c r="AF511" s="1">
        <f>0</f>
        <v>0</v>
      </c>
      <c r="AG511" s="1">
        <f>MAX(配置与结果!$B$32,1+INDEX(配置与结果!$F$15:$F$18,F511)+0+Q511*方案参数!$W$17+Y511*(方案参数!$AN$17+MIN(方案参数!$AO$17,P511*0.03))+AB511*方案参数!$BZ$17*0.025-配置与结果!$B$28)</f>
        <v>0.65499999999999992</v>
      </c>
      <c r="AH511" s="1">
        <f>MAX(0,1+INDEX(配置与结果!$G$15:$G$18,F511)+W511*方案参数!$AG$17)</f>
        <v>1</v>
      </c>
      <c r="AI511" s="1">
        <f>IF(OR(INDEX(配置与结果!$K$15:$K$18,F511)=1,G511="RHI_BERRY"),1+配置与结果!$B$33+P511*方案参数!$AH$17,1)</f>
        <v>1</v>
      </c>
      <c r="AJ511" s="1">
        <f>MIN(1,MAX(0,J511+方案参数!$AB$17-配置与结果!$B$27))</f>
        <v>0.55499999999999994</v>
      </c>
      <c r="AK511" s="1">
        <f>MAX(1,K511+IF(F511=2,0.15+方案参数!$CH$17,0)+BN511*方案参数!$X$17+R511*方案参数!$AA$17+0-配置与结果!$B$26+Z511*(方案参数!$AP$17+MIN(方案参数!$AQ$17,P511*0.03)))</f>
        <v>1.33</v>
      </c>
      <c r="AL511" s="7">
        <f>ROUNDDOWN(MAX(AD511*配置与结果!$B$31,AD511-AE511)*AF511*AG511*AH511*AI511,0)</f>
        <v>0</v>
      </c>
      <c r="AM511" s="7">
        <f>ROUNDDOWN(MAX(AD511*配置与结果!$B$31,AD511-AE511)*AF511*AG511*AH511*AI511*AK511,0)</f>
        <v>0</v>
      </c>
      <c r="AN511" s="7">
        <f t="shared" si="652"/>
        <v>0</v>
      </c>
      <c r="AO511" s="7">
        <f>0</f>
        <v>0</v>
      </c>
      <c r="AP511" s="7">
        <f>MAX(0,1+INDEX(配置与结果!$J$15:$J$18,F511)+IF(T511&gt;0,方案参数!$BY$17,0)-配置与结果!$B$30)</f>
        <v>1</v>
      </c>
      <c r="AQ511" s="7">
        <f t="shared" si="653"/>
        <v>0</v>
      </c>
      <c r="AR511" s="7">
        <f t="shared" si="654"/>
        <v>0</v>
      </c>
      <c r="AS511" s="7">
        <f t="shared" si="655"/>
        <v>0</v>
      </c>
      <c r="AT511" s="7">
        <f>0</f>
        <v>0</v>
      </c>
      <c r="AU511" s="7">
        <f t="shared" si="656"/>
        <v>0</v>
      </c>
      <c r="AV511" s="1">
        <f t="shared" si="657"/>
        <v>0</v>
      </c>
      <c r="AW511" s="1">
        <f t="shared" si="710"/>
        <v>0</v>
      </c>
      <c r="AX511" s="1">
        <f t="shared" si="658"/>
        <v>0</v>
      </c>
      <c r="AY511" s="1">
        <f>MIN(20,MAX(0,O511+0+0-0))</f>
        <v>0</v>
      </c>
      <c r="AZ511" s="1">
        <f t="shared" si="659"/>
        <v>3</v>
      </c>
      <c r="BA511" s="1">
        <f>MIN(6,Q511+1)</f>
        <v>2</v>
      </c>
      <c r="BB511" s="1">
        <f t="shared" ref="BB511:BB524" si="726">MIN(30,R511+0)</f>
        <v>5</v>
      </c>
      <c r="BC511" s="1">
        <f t="shared" si="707"/>
        <v>0</v>
      </c>
      <c r="BD511" s="1">
        <f t="shared" si="688"/>
        <v>0</v>
      </c>
      <c r="BE511" s="1">
        <f t="shared" ref="BE511:BE532" si="727">BE510</f>
        <v>0</v>
      </c>
      <c r="BF511" s="1">
        <f t="shared" si="711"/>
        <v>0</v>
      </c>
      <c r="BG511" s="1">
        <f>MAX(W511,1)</f>
        <v>1</v>
      </c>
      <c r="BH511" s="1">
        <f t="shared" ref="BH511:BH545" si="728">MAX(X511,0)</f>
        <v>1</v>
      </c>
      <c r="BI511" s="1">
        <f>MAX(Y511,1)</f>
        <v>1</v>
      </c>
      <c r="BJ511" s="1">
        <f t="shared" si="702"/>
        <v>0</v>
      </c>
      <c r="BK511" s="1">
        <f t="shared" si="703"/>
        <v>0</v>
      </c>
      <c r="BL511" s="1">
        <f t="shared" si="708"/>
        <v>0</v>
      </c>
      <c r="BM511" s="1">
        <f t="shared" si="706"/>
        <v>0</v>
      </c>
      <c r="BN511" s="1">
        <f t="shared" ref="BN511:BN545" si="729">BO510</f>
        <v>1</v>
      </c>
      <c r="BO511" s="1">
        <f t="shared" ref="BO511:BO545" si="730">MAX(BN511,0)</f>
        <v>1</v>
      </c>
    </row>
    <row r="512" spans="1:67" ht="30.95" customHeight="1">
      <c r="A512" s="1">
        <f>14</f>
        <v>14</v>
      </c>
      <c r="B512" s="1">
        <f>固定流程!A8</f>
        <v>3</v>
      </c>
      <c r="C512" s="1">
        <f>17</f>
        <v>17</v>
      </c>
      <c r="D512" s="1">
        <f>1</f>
        <v>1</v>
      </c>
      <c r="E512" s="1">
        <f>固定流程!C8</f>
        <v>1</v>
      </c>
      <c r="F512" s="1">
        <f>固定流程!G8</f>
        <v>1</v>
      </c>
      <c r="G512" s="1" t="str">
        <f>固定流程!H8</f>
        <v>LILYA_COBRA</v>
      </c>
      <c r="H512" s="1">
        <f>固定流程!F8</f>
        <v>1</v>
      </c>
      <c r="I512" s="1">
        <f>INDEX(配置与结果!$B$15:$B$18,F512)</f>
        <v>2296</v>
      </c>
      <c r="J512" s="1">
        <f>INDEX(配置与结果!$D$15:$D$18,F512)</f>
        <v>0.7</v>
      </c>
      <c r="K512" s="1">
        <f>INDEX(配置与结果!$E$15:$E$18,F512)</f>
        <v>2.0249999999999999</v>
      </c>
      <c r="L512" s="1">
        <f t="shared" si="712"/>
        <v>0</v>
      </c>
      <c r="M512" s="1">
        <f t="shared" si="712"/>
        <v>0</v>
      </c>
      <c r="N512" s="1">
        <f t="shared" si="712"/>
        <v>0</v>
      </c>
      <c r="O512" s="1">
        <f t="shared" si="712"/>
        <v>0</v>
      </c>
      <c r="P512" s="1">
        <f>MIN(方案参数!$AI$17,AZ511+0+0)</f>
        <v>3</v>
      </c>
      <c r="Q512" s="1">
        <f t="shared" si="713"/>
        <v>2</v>
      </c>
      <c r="R512" s="1">
        <f t="shared" si="714"/>
        <v>5</v>
      </c>
      <c r="S512" s="1">
        <f t="shared" si="715"/>
        <v>0</v>
      </c>
      <c r="T512" s="1">
        <f t="shared" si="716"/>
        <v>0</v>
      </c>
      <c r="U512" s="1">
        <f t="shared" si="717"/>
        <v>0</v>
      </c>
      <c r="V512" s="1">
        <f t="shared" si="718"/>
        <v>0</v>
      </c>
      <c r="W512" s="1">
        <f t="shared" si="719"/>
        <v>1</v>
      </c>
      <c r="X512" s="1">
        <f t="shared" si="720"/>
        <v>1</v>
      </c>
      <c r="Y512" s="1">
        <f t="shared" si="721"/>
        <v>1</v>
      </c>
      <c r="Z512" s="1">
        <f t="shared" si="722"/>
        <v>0</v>
      </c>
      <c r="AA512" s="1">
        <f t="shared" si="723"/>
        <v>0</v>
      </c>
      <c r="AB512" s="1">
        <f t="shared" si="724"/>
        <v>0</v>
      </c>
      <c r="AC512" s="1">
        <f t="shared" si="725"/>
        <v>0</v>
      </c>
      <c r="AD512" s="1">
        <f>ROUNDDOWN(I512*(1+IF(F512=3,0.05+方案参数!$Y$17+AA512*0.12,IF(F512=4,方案参数!$BZ$17*方案参数!$AS$17,0)))+IF(AND(X512=1,F512&lt;&gt;3),方案参数!$CC$17,0)+AC512*方案参数!$CB$17,0)</f>
        <v>2534</v>
      </c>
      <c r="AE512" s="1">
        <f>IF(OR(F512=1,F512=4),配置与结果!$B$24,配置与结果!$B$25)*MAX(0,1-INDEX(配置与结果!$I$15:$I$18,F512))</f>
        <v>1200</v>
      </c>
      <c r="AF512" s="1">
        <f>0</f>
        <v>0</v>
      </c>
      <c r="AG512" s="1">
        <f>MAX(配置与结果!$B$32,1+INDEX(配置与结果!$F$15:$F$18,F512)+0.08+方案参数!$CD$17+Q512*方案参数!$W$17+Y512*(方案参数!$AN$17+MIN(方案参数!$AO$17,P512*0.03))+AB512*方案参数!$BZ$17*0.025-配置与结果!$B$28)</f>
        <v>1.2200000000000002</v>
      </c>
      <c r="AH512" s="1">
        <f>MAX(0,1+INDEX(配置与结果!$G$15:$G$18,F512)+W512*方案参数!$AG$17)</f>
        <v>1.3</v>
      </c>
      <c r="AI512" s="1">
        <f>IF(OR(INDEX(配置与结果!$K$15:$K$18,F512)=1,G512="RHI_BERRY"),1+配置与结果!$B$33+P512*方案参数!$AH$17,1)</f>
        <v>1</v>
      </c>
      <c r="AJ512" s="1">
        <f>MIN(1,MAX(0,J512+方案参数!$AB$17-配置与结果!$B$27))</f>
        <v>1</v>
      </c>
      <c r="AK512" s="1">
        <f>MAX(1,K512+IF(F512=2,0.15+方案参数!$CH$17,0)+BN512*方案参数!$X$17+R512*方案参数!$AA$17+0-配置与结果!$B$26+Z512*(方案参数!$AP$17+MIN(方案参数!$AQ$17,P512*0.03)))</f>
        <v>1.8050000000000002</v>
      </c>
      <c r="AL512" s="7">
        <f>ROUNDDOWN(MAX(AD512*配置与结果!$B$31,AD512-AE512)*AF512*AG512*AH512*AI512,0)</f>
        <v>0</v>
      </c>
      <c r="AM512" s="7">
        <f>ROUNDDOWN(MAX(AD512*配置与结果!$B$31,AD512-AE512)*AF512*AG512*AH512*AI512*AK512,0)</f>
        <v>0</v>
      </c>
      <c r="AN512" s="7">
        <f t="shared" si="652"/>
        <v>0</v>
      </c>
      <c r="AO512" s="7">
        <f>0</f>
        <v>0</v>
      </c>
      <c r="AP512" s="7">
        <f>MAX(0,1+INDEX(配置与结果!$J$15:$J$18,F512)+IF(T512&gt;0,方案参数!$BY$17,0)-配置与结果!$B$30)</f>
        <v>1</v>
      </c>
      <c r="AQ512" s="7">
        <f t="shared" si="653"/>
        <v>0</v>
      </c>
      <c r="AR512" s="7">
        <f t="shared" si="654"/>
        <v>0</v>
      </c>
      <c r="AS512" s="7">
        <f t="shared" si="655"/>
        <v>0</v>
      </c>
      <c r="AT512" s="7">
        <f>0</f>
        <v>0</v>
      </c>
      <c r="AU512" s="7">
        <f t="shared" si="656"/>
        <v>0</v>
      </c>
      <c r="AV512" s="1">
        <f t="shared" si="657"/>
        <v>1</v>
      </c>
      <c r="AW512" s="1">
        <f>MIN(10,M512+方案参数!$BD$17+0)</f>
        <v>3</v>
      </c>
      <c r="AX512" s="1">
        <f t="shared" si="658"/>
        <v>0</v>
      </c>
      <c r="AY512" s="1">
        <f>MIN(20,MAX(0,O512+6+0-0))</f>
        <v>6</v>
      </c>
      <c r="AZ512" s="1">
        <f t="shared" si="659"/>
        <v>3</v>
      </c>
      <c r="BA512" s="1">
        <f>MIN(6,Q512+0)</f>
        <v>2</v>
      </c>
      <c r="BB512" s="1">
        <f t="shared" si="726"/>
        <v>5</v>
      </c>
      <c r="BC512" s="1">
        <f t="shared" si="707"/>
        <v>0</v>
      </c>
      <c r="BD512" s="1">
        <f t="shared" si="688"/>
        <v>0</v>
      </c>
      <c r="BE512" s="1">
        <f t="shared" si="727"/>
        <v>0</v>
      </c>
      <c r="BF512" s="1">
        <f t="shared" si="711"/>
        <v>0</v>
      </c>
      <c r="BG512" s="1">
        <f t="shared" ref="BG512:BG522" si="731">MAX(W512,0)</f>
        <v>1</v>
      </c>
      <c r="BH512" s="1">
        <f t="shared" si="728"/>
        <v>1</v>
      </c>
      <c r="BI512" s="1">
        <f t="shared" ref="BI512:BI522" si="732">MAX(Y512,0)</f>
        <v>1</v>
      </c>
      <c r="BJ512" s="1">
        <f t="shared" si="702"/>
        <v>0</v>
      </c>
      <c r="BK512" s="1">
        <f t="shared" si="703"/>
        <v>0</v>
      </c>
      <c r="BL512" s="1">
        <f t="shared" si="708"/>
        <v>0</v>
      </c>
      <c r="BM512" s="1">
        <f t="shared" si="706"/>
        <v>0</v>
      </c>
      <c r="BN512" s="1">
        <f t="shared" si="729"/>
        <v>1</v>
      </c>
      <c r="BO512" s="1">
        <f t="shared" si="730"/>
        <v>1</v>
      </c>
    </row>
    <row r="513" spans="1:67" ht="30.95" customHeight="1">
      <c r="A513" s="1">
        <f>14</f>
        <v>14</v>
      </c>
      <c r="B513" s="1">
        <f>固定流程!A9</f>
        <v>4</v>
      </c>
      <c r="C513" s="1">
        <f>17</f>
        <v>17</v>
      </c>
      <c r="D513" s="1">
        <f>1</f>
        <v>1</v>
      </c>
      <c r="E513" s="1">
        <f>固定流程!C9</f>
        <v>1</v>
      </c>
      <c r="F513" s="1">
        <f>固定流程!G9</f>
        <v>1</v>
      </c>
      <c r="G513" s="1" t="str">
        <f>固定流程!H9</f>
        <v>LILYA_DIVE</v>
      </c>
      <c r="H513" s="1">
        <f>固定流程!F9</f>
        <v>1</v>
      </c>
      <c r="I513" s="1">
        <f>INDEX(配置与结果!$B$15:$B$18,F513)</f>
        <v>2296</v>
      </c>
      <c r="J513" s="1">
        <f>INDEX(配置与结果!$D$15:$D$18,F513)</f>
        <v>0.7</v>
      </c>
      <c r="K513" s="1">
        <f>INDEX(配置与结果!$E$15:$E$18,F513)</f>
        <v>2.0249999999999999</v>
      </c>
      <c r="L513" s="1">
        <f t="shared" si="712"/>
        <v>1</v>
      </c>
      <c r="M513" s="1">
        <f t="shared" si="712"/>
        <v>3</v>
      </c>
      <c r="N513" s="1">
        <f t="shared" si="712"/>
        <v>0</v>
      </c>
      <c r="O513" s="1">
        <f t="shared" si="712"/>
        <v>6</v>
      </c>
      <c r="P513" s="1">
        <f>MIN(方案参数!$AI$17,AZ512+0+0)</f>
        <v>3</v>
      </c>
      <c r="Q513" s="1">
        <f t="shared" si="713"/>
        <v>2</v>
      </c>
      <c r="R513" s="1">
        <f t="shared" si="714"/>
        <v>5</v>
      </c>
      <c r="S513" s="1">
        <f t="shared" si="715"/>
        <v>0</v>
      </c>
      <c r="T513" s="1">
        <f t="shared" si="716"/>
        <v>0</v>
      </c>
      <c r="U513" s="1">
        <f t="shared" si="717"/>
        <v>0</v>
      </c>
      <c r="V513" s="1">
        <f t="shared" si="718"/>
        <v>0</v>
      </c>
      <c r="W513" s="1">
        <f t="shared" si="719"/>
        <v>1</v>
      </c>
      <c r="X513" s="1">
        <f t="shared" si="720"/>
        <v>1</v>
      </c>
      <c r="Y513" s="1">
        <f t="shared" si="721"/>
        <v>1</v>
      </c>
      <c r="Z513" s="1">
        <f t="shared" si="722"/>
        <v>0</v>
      </c>
      <c r="AA513" s="1">
        <f t="shared" si="723"/>
        <v>0</v>
      </c>
      <c r="AB513" s="1">
        <f t="shared" si="724"/>
        <v>0</v>
      </c>
      <c r="AC513" s="1">
        <f t="shared" si="725"/>
        <v>0</v>
      </c>
      <c r="AD513" s="1">
        <f>ROUNDDOWN(I513*(1+IF(F513=3,0.05+方案参数!$Y$17+AA513*0.12,IF(F513=4,方案参数!$BZ$17*方案参数!$AS$17,0)))+IF(AND(X513=1,F513&lt;&gt;3),方案参数!$CC$17,0)+AC513*方案参数!$CB$17,0)</f>
        <v>2534</v>
      </c>
      <c r="AE513" s="1">
        <f>IF(OR(F513=1,F513=4),配置与结果!$B$24,配置与结果!$B$25)*MAX(0,1-INDEX(配置与结果!$I$15:$I$18,F513))</f>
        <v>1200</v>
      </c>
      <c r="AF513" s="1">
        <f>(IF(L513=1,方案参数!$AW$17,IF(L513=2,方案参数!$AX$17,0))+方案参数!$AV$17)*H513</f>
        <v>6</v>
      </c>
      <c r="AG513" s="1">
        <f>MAX(配置与结果!$B$32,1+INDEX(配置与结果!$F$15:$F$18,F513)+0.08+方案参数!$CD$17+Q513*方案参数!$W$17+Y513*(方案参数!$AN$17+MIN(方案参数!$AO$17,P513*0.03))+AB513*方案参数!$BZ$17*0.025+IF(L513=1,方案参数!$AY$17+(H513-1)*0.1,IF(L513=2,方案参数!$AZ$17+(H513-1)*0.2,0))-配置与结果!$B$28)</f>
        <v>1.3200000000000003</v>
      </c>
      <c r="AH513" s="1">
        <f>MAX(0,1+INDEX(配置与结果!$G$15:$G$18,F513)+W513*方案参数!$AG$17+IF(L513=1,方案参数!$BA$17,IF(L513=2,方案参数!$BB$17,0))+M513*方案参数!$BC$17)</f>
        <v>2.08</v>
      </c>
      <c r="AI513" s="1">
        <f>IF(OR(INDEX(配置与结果!$K$15:$K$18,F513)=1,G513="RHI_BERRY"),1+配置与结果!$B$33+P513*方案参数!$AH$17,1)</f>
        <v>1</v>
      </c>
      <c r="AJ513" s="1">
        <f>MIN(1,MAX(0,J513+方案参数!$AB$17-配置与结果!$B$27))</f>
        <v>1</v>
      </c>
      <c r="AK513" s="1">
        <f>MAX(1,K513+IF(F513=2,0.15+方案参数!$CH$17,0)+BN513*方案参数!$X$17+R513*方案参数!$AA$17+0-配置与结果!$B$26+Z513*(方案参数!$AP$17+MIN(方案参数!$AQ$17,P513*0.03)))</f>
        <v>1.8050000000000002</v>
      </c>
      <c r="AL513" s="7">
        <f>ROUNDDOWN(MAX(AD513*配置与结果!$B$31,AD513-AE513)*AF513*AG513*AH513*AI513,0)</f>
        <v>21975</v>
      </c>
      <c r="AM513" s="7">
        <f>ROUNDDOWN(MAX(AD513*配置与结果!$B$31,AD513-AE513)*AF513*AG513*AH513*AI513*AK513,0)</f>
        <v>39666</v>
      </c>
      <c r="AN513" s="7">
        <f t="shared" si="652"/>
        <v>39666</v>
      </c>
      <c r="AO513" s="7">
        <f>0</f>
        <v>0</v>
      </c>
      <c r="AP513" s="7">
        <f>MAX(0,1+INDEX(配置与结果!$J$15:$J$18,F513)+IF(T513&gt;0,方案参数!$BY$17,0)-配置与结果!$B$30)</f>
        <v>1</v>
      </c>
      <c r="AQ513" s="7">
        <f t="shared" si="653"/>
        <v>0</v>
      </c>
      <c r="AR513" s="7">
        <f t="shared" si="654"/>
        <v>0</v>
      </c>
      <c r="AS513" s="7">
        <f t="shared" si="655"/>
        <v>0</v>
      </c>
      <c r="AT513" s="7">
        <f>0</f>
        <v>0</v>
      </c>
      <c r="AU513" s="7">
        <f t="shared" si="656"/>
        <v>39666</v>
      </c>
      <c r="AV513" s="1">
        <f t="shared" si="657"/>
        <v>1</v>
      </c>
      <c r="AW513" s="1">
        <f>MIN(10,M513+0+IF(L513=1,方案参数!$BE$17,0))</f>
        <v>4</v>
      </c>
      <c r="AX513" s="1">
        <f t="shared" si="658"/>
        <v>0</v>
      </c>
      <c r="AY513" s="1">
        <f t="shared" ref="AY513:AY528" si="733">MIN(20,MAX(0,O513+0+0-0))</f>
        <v>6</v>
      </c>
      <c r="AZ513" s="1">
        <f t="shared" si="659"/>
        <v>3</v>
      </c>
      <c r="BA513" s="1">
        <f>MIN(6,Q513+0)</f>
        <v>2</v>
      </c>
      <c r="BB513" s="1">
        <f t="shared" si="726"/>
        <v>5</v>
      </c>
      <c r="BC513" s="1">
        <f t="shared" si="707"/>
        <v>0</v>
      </c>
      <c r="BD513" s="1">
        <f t="shared" si="688"/>
        <v>0</v>
      </c>
      <c r="BE513" s="1">
        <f t="shared" si="727"/>
        <v>0</v>
      </c>
      <c r="BF513" s="1">
        <f t="shared" si="711"/>
        <v>0</v>
      </c>
      <c r="BG513" s="1">
        <f t="shared" si="731"/>
        <v>1</v>
      </c>
      <c r="BH513" s="1">
        <f t="shared" si="728"/>
        <v>1</v>
      </c>
      <c r="BI513" s="1">
        <f t="shared" si="732"/>
        <v>1</v>
      </c>
      <c r="BJ513" s="1">
        <f t="shared" si="702"/>
        <v>0</v>
      </c>
      <c r="BK513" s="1">
        <f t="shared" si="703"/>
        <v>0</v>
      </c>
      <c r="BL513" s="1">
        <f t="shared" si="708"/>
        <v>0</v>
      </c>
      <c r="BM513" s="1">
        <f t="shared" si="706"/>
        <v>0</v>
      </c>
      <c r="BN513" s="1">
        <f t="shared" si="729"/>
        <v>1</v>
      </c>
      <c r="BO513" s="1">
        <f t="shared" si="730"/>
        <v>1</v>
      </c>
    </row>
    <row r="514" spans="1:67" ht="30.95" customHeight="1">
      <c r="A514" s="1">
        <f>14</f>
        <v>14</v>
      </c>
      <c r="B514" s="1">
        <f>固定流程!A10</f>
        <v>5</v>
      </c>
      <c r="C514" s="1">
        <f>17</f>
        <v>17</v>
      </c>
      <c r="D514" s="1">
        <f>1</f>
        <v>1</v>
      </c>
      <c r="E514" s="1">
        <f>固定流程!C10</f>
        <v>1</v>
      </c>
      <c r="F514" s="1">
        <f>固定流程!G10</f>
        <v>2</v>
      </c>
      <c r="G514" s="1" t="str">
        <f>固定流程!H10</f>
        <v>37_TRIANGLE</v>
      </c>
      <c r="H514" s="1">
        <f>固定流程!F10</f>
        <v>1</v>
      </c>
      <c r="I514" s="1">
        <f>INDEX(配置与结果!$B$15:$B$18,F514)</f>
        <v>2306</v>
      </c>
      <c r="J514" s="1">
        <f>INDEX(配置与结果!$D$15:$D$18,F514)</f>
        <v>0.46</v>
      </c>
      <c r="K514" s="1">
        <f>INDEX(配置与结果!$E$15:$E$18,F514)</f>
        <v>1.9279999999999999</v>
      </c>
      <c r="L514" s="1">
        <f t="shared" si="712"/>
        <v>1</v>
      </c>
      <c r="M514" s="1">
        <f t="shared" si="712"/>
        <v>4</v>
      </c>
      <c r="N514" s="1">
        <f t="shared" si="712"/>
        <v>0</v>
      </c>
      <c r="O514" s="1">
        <f t="shared" si="712"/>
        <v>6</v>
      </c>
      <c r="P514" s="1">
        <f>MIN(方案参数!$AI$17,AZ513+0+0)</f>
        <v>3</v>
      </c>
      <c r="Q514" s="1">
        <f t="shared" si="713"/>
        <v>2</v>
      </c>
      <c r="R514" s="1">
        <f t="shared" si="714"/>
        <v>5</v>
      </c>
      <c r="S514" s="1">
        <f t="shared" si="715"/>
        <v>0</v>
      </c>
      <c r="T514" s="1">
        <f t="shared" si="716"/>
        <v>0</v>
      </c>
      <c r="U514" s="1">
        <f t="shared" si="717"/>
        <v>0</v>
      </c>
      <c r="V514" s="1">
        <f t="shared" si="718"/>
        <v>0</v>
      </c>
      <c r="W514" s="1">
        <f t="shared" si="719"/>
        <v>1</v>
      </c>
      <c r="X514" s="1">
        <f t="shared" si="720"/>
        <v>1</v>
      </c>
      <c r="Y514" s="1">
        <f t="shared" si="721"/>
        <v>1</v>
      </c>
      <c r="Z514" s="1">
        <f t="shared" si="722"/>
        <v>0</v>
      </c>
      <c r="AA514" s="1">
        <f t="shared" si="723"/>
        <v>0</v>
      </c>
      <c r="AB514" s="1">
        <f t="shared" si="724"/>
        <v>0</v>
      </c>
      <c r="AC514" s="1">
        <f t="shared" si="725"/>
        <v>0</v>
      </c>
      <c r="AD514" s="1">
        <f>ROUNDDOWN(I514*(1+IF(F514=3,0.05+方案参数!$Y$17+AA514*0.12,IF(F514=4,方案参数!$BZ$17*方案参数!$AS$17,0)))+IF(AND(X514=1,F514&lt;&gt;3),方案参数!$CC$17,0)+AC514*方案参数!$CB$17,0)</f>
        <v>2544</v>
      </c>
      <c r="AE514" s="1">
        <f>IF(OR(F514=1,F514=4),配置与结果!$B$24,配置与结果!$B$25)*MAX(0,1-INDEX(配置与结果!$I$15:$I$18,F514))</f>
        <v>1000</v>
      </c>
      <c r="AF514" s="1">
        <f>方案参数!$BS$17*IF(H514=1,1,IF(H514=2,1.5,2.5))</f>
        <v>2.8</v>
      </c>
      <c r="AG514" s="1">
        <f>MAX(配置与结果!$B$32,1+INDEX(配置与结果!$F$15:$F$18,F514)+0+Q514*方案参数!$W$17+Y514*(方案参数!$AN$17+MIN(方案参数!$AO$17,P514*0.03))+AB514*方案参数!$BZ$17*0.025-配置与结果!$B$28)</f>
        <v>0.8849999999999999</v>
      </c>
      <c r="AH514" s="1">
        <f>MAX(0,1+INDEX(配置与结果!$G$15:$G$18,F514)+W514*方案参数!$AG$17)</f>
        <v>1.3</v>
      </c>
      <c r="AI514" s="1">
        <f>IF(OR(INDEX(配置与结果!$K$15:$K$18,F514)=1,G514="RHI_BERRY"),1+配置与结果!$B$33+P514*方案参数!$AH$17,1)</f>
        <v>1</v>
      </c>
      <c r="AJ514" s="1">
        <f>MIN(1,MAX(0,J514+方案参数!$AB$17-配置与结果!$B$27))</f>
        <v>0.76</v>
      </c>
      <c r="AK514" s="1">
        <f>MAX(1,K514+IF(F514=2,0.15+方案参数!$CH$17,0)+BN514*方案参数!$X$17+R514*方案参数!$AA$17+0-配置与结果!$B$26+Z514*(方案参数!$AP$17+MIN(方案参数!$AQ$17,P514*0.03)))</f>
        <v>1.9780000000000002</v>
      </c>
      <c r="AL514" s="7">
        <f>ROUNDDOWN(MAX(AD514*配置与结果!$B$31,AD514-AE514)*AF514*AG514*AH514*AI514,0)</f>
        <v>4973</v>
      </c>
      <c r="AM514" s="7">
        <f>ROUNDDOWN(MAX(AD514*配置与结果!$B$31,AD514-AE514)*AF514*AG514*AH514*AI514*AK514,0)</f>
        <v>9838</v>
      </c>
      <c r="AN514" s="7">
        <f t="shared" si="652"/>
        <v>8670.4</v>
      </c>
      <c r="AO514" s="7">
        <f>方案参数!$BU$17*IF(H514=1,1,IF(H514=2,1.5,2.5))</f>
        <v>0.8</v>
      </c>
      <c r="AP514" s="7">
        <f>MAX(0,1+INDEX(配置与结果!$J$15:$J$18,F514)+IF(T514&gt;0,方案参数!$BY$17,0)-配置与结果!$B$30)</f>
        <v>1</v>
      </c>
      <c r="AQ514" s="7">
        <f t="shared" si="653"/>
        <v>2035</v>
      </c>
      <c r="AR514" s="7">
        <f t="shared" si="654"/>
        <v>4025</v>
      </c>
      <c r="AS514" s="7">
        <f t="shared" si="655"/>
        <v>3547.4</v>
      </c>
      <c r="AT514" s="7">
        <f>0</f>
        <v>0</v>
      </c>
      <c r="AU514" s="7">
        <f t="shared" si="656"/>
        <v>12217.8</v>
      </c>
      <c r="AV514" s="1">
        <f t="shared" si="657"/>
        <v>1</v>
      </c>
      <c r="AW514" s="1">
        <f>MIN(10,M514+0+0)</f>
        <v>4</v>
      </c>
      <c r="AX514" s="1">
        <f t="shared" si="658"/>
        <v>0</v>
      </c>
      <c r="AY514" s="1">
        <f t="shared" si="733"/>
        <v>6</v>
      </c>
      <c r="AZ514" s="1">
        <f t="shared" si="659"/>
        <v>3</v>
      </c>
      <c r="BA514" s="1">
        <f>MIN(6,Q514+0)</f>
        <v>2</v>
      </c>
      <c r="BB514" s="1">
        <f t="shared" si="726"/>
        <v>5</v>
      </c>
      <c r="BC514" s="1">
        <f t="shared" si="707"/>
        <v>0</v>
      </c>
      <c r="BD514" s="1">
        <f>MAX(0,T514-IF(AO514&gt;0,1,0))+1</f>
        <v>1</v>
      </c>
      <c r="BE514" s="1">
        <f t="shared" si="727"/>
        <v>0</v>
      </c>
      <c r="BF514" s="1">
        <f t="shared" si="711"/>
        <v>0</v>
      </c>
      <c r="BG514" s="1">
        <f t="shared" si="731"/>
        <v>1</v>
      </c>
      <c r="BH514" s="1">
        <f t="shared" si="728"/>
        <v>1</v>
      </c>
      <c r="BI514" s="1">
        <f t="shared" si="732"/>
        <v>1</v>
      </c>
      <c r="BJ514" s="1">
        <f t="shared" si="702"/>
        <v>0</v>
      </c>
      <c r="BK514" s="1">
        <f t="shared" si="703"/>
        <v>0</v>
      </c>
      <c r="BL514" s="1">
        <f t="shared" si="708"/>
        <v>0</v>
      </c>
      <c r="BM514" s="1">
        <f t="shared" si="706"/>
        <v>0</v>
      </c>
      <c r="BN514" s="1">
        <f t="shared" si="729"/>
        <v>1</v>
      </c>
      <c r="BO514" s="1">
        <f t="shared" si="730"/>
        <v>1</v>
      </c>
    </row>
    <row r="515" spans="1:67" ht="30.95" customHeight="1">
      <c r="A515" s="1">
        <f>14</f>
        <v>14</v>
      </c>
      <c r="B515" s="1">
        <f>固定流程!A11</f>
        <v>6</v>
      </c>
      <c r="C515" s="1">
        <f>17</f>
        <v>17</v>
      </c>
      <c r="D515" s="1">
        <f>1</f>
        <v>1</v>
      </c>
      <c r="E515" s="1">
        <f>固定流程!C11</f>
        <v>1</v>
      </c>
      <c r="F515" s="1">
        <f>固定流程!G11</f>
        <v>2</v>
      </c>
      <c r="G515" s="1" t="str">
        <f>固定流程!H11</f>
        <v>37_FOLLOW</v>
      </c>
      <c r="H515" s="1">
        <f>固定流程!F11</f>
        <v>1</v>
      </c>
      <c r="I515" s="1">
        <f>INDEX(配置与结果!$B$15:$B$18,F515)</f>
        <v>2306</v>
      </c>
      <c r="J515" s="1">
        <f>INDEX(配置与结果!$D$15:$D$18,F515)</f>
        <v>0.46</v>
      </c>
      <c r="K515" s="1">
        <f>INDEX(配置与结果!$E$15:$E$18,F515)</f>
        <v>1.9279999999999999</v>
      </c>
      <c r="L515" s="1">
        <f t="shared" si="712"/>
        <v>1</v>
      </c>
      <c r="M515" s="1">
        <f t="shared" si="712"/>
        <v>4</v>
      </c>
      <c r="N515" s="1">
        <f t="shared" si="712"/>
        <v>0</v>
      </c>
      <c r="O515" s="1">
        <f t="shared" si="712"/>
        <v>6</v>
      </c>
      <c r="P515" s="1">
        <f>MIN(方案参数!$AI$17,AZ514+0+0)</f>
        <v>3</v>
      </c>
      <c r="Q515" s="1">
        <f t="shared" si="713"/>
        <v>2</v>
      </c>
      <c r="R515" s="1">
        <f t="shared" si="714"/>
        <v>5</v>
      </c>
      <c r="S515" s="1">
        <f t="shared" si="715"/>
        <v>0</v>
      </c>
      <c r="T515" s="1">
        <f t="shared" si="716"/>
        <v>1</v>
      </c>
      <c r="U515" s="1">
        <f t="shared" si="717"/>
        <v>0</v>
      </c>
      <c r="V515" s="1">
        <f t="shared" si="718"/>
        <v>0</v>
      </c>
      <c r="W515" s="1">
        <f t="shared" si="719"/>
        <v>1</v>
      </c>
      <c r="X515" s="1">
        <f t="shared" si="720"/>
        <v>1</v>
      </c>
      <c r="Y515" s="1">
        <f t="shared" si="721"/>
        <v>1</v>
      </c>
      <c r="Z515" s="1">
        <f t="shared" si="722"/>
        <v>0</v>
      </c>
      <c r="AA515" s="1">
        <f t="shared" si="723"/>
        <v>0</v>
      </c>
      <c r="AB515" s="1">
        <f t="shared" si="724"/>
        <v>0</v>
      </c>
      <c r="AC515" s="1">
        <f t="shared" si="725"/>
        <v>0</v>
      </c>
      <c r="AD515" s="1">
        <f>ROUNDDOWN(I515*(1+IF(F515=3,0.05+方案参数!$Y$17+AA515*0.12,IF(F515=4,方案参数!$BZ$17*方案参数!$AS$17,0)))+IF(AND(X515=1,F515&lt;&gt;3),方案参数!$CC$17,0)+AC515*方案参数!$CB$17,0)</f>
        <v>2544</v>
      </c>
      <c r="AE515" s="1">
        <f>IF(OR(F515=1,F515=4),配置与结果!$B$24,配置与结果!$B$25)*MAX(0,1-INDEX(配置与结果!$I$15:$I$18,F515))</f>
        <v>1000</v>
      </c>
      <c r="AF515" s="1">
        <f>方案参数!$BV$17</f>
        <v>3</v>
      </c>
      <c r="AG515" s="1">
        <f>MAX(配置与结果!$B$32,1+INDEX(配置与结果!$F$15:$F$18,F515)+0+Q515*方案参数!$W$17+Y515*(方案参数!$AN$17+MIN(方案参数!$AO$17,P515*0.03))+AB515*方案参数!$BZ$17*0.025-配置与结果!$B$28)</f>
        <v>0.8849999999999999</v>
      </c>
      <c r="AH515" s="1">
        <f>MAX(0,1+INDEX(配置与结果!$G$15:$G$18,F515)+W515*方案参数!$AG$17)</f>
        <v>1.3</v>
      </c>
      <c r="AI515" s="1">
        <f>IF(OR(INDEX(配置与结果!$K$15:$K$18,F515)=1,G515="RHI_BERRY"),1+配置与结果!$B$33+P515*方案参数!$AH$17,1)</f>
        <v>1</v>
      </c>
      <c r="AJ515" s="1">
        <f>MIN(1,MAX(0,J515+方案参数!$AB$17-配置与结果!$B$27))</f>
        <v>0.76</v>
      </c>
      <c r="AK515" s="1">
        <f>MAX(1,K515+IF(F515=2,0.15+方案参数!$CH$17,0)+BN515*方案参数!$X$17+R515*方案参数!$AA$17+0-配置与结果!$B$26+Z515*(方案参数!$AP$17+MIN(方案参数!$AQ$17,P515*0.03)))</f>
        <v>1.9780000000000002</v>
      </c>
      <c r="AL515" s="7">
        <f>ROUNDDOWN(MAX(AD515*配置与结果!$B$31,AD515-AE515)*AF515*AG515*AH515*AI515,0)</f>
        <v>5329</v>
      </c>
      <c r="AM515" s="7">
        <f>ROUNDDOWN(MAX(AD515*配置与结果!$B$31,AD515-AE515)*AF515*AG515*AH515*AI515*AK515,0)</f>
        <v>10540</v>
      </c>
      <c r="AN515" s="7">
        <f t="shared" si="652"/>
        <v>9289.36</v>
      </c>
      <c r="AO515" s="7">
        <f>方案参数!$BW$17</f>
        <v>1</v>
      </c>
      <c r="AP515" s="7">
        <f>MAX(0,1+INDEX(配置与结果!$J$15:$J$18,F515)+IF(T515&gt;0,方案参数!$BY$17,0)-配置与结果!$B$30)</f>
        <v>2</v>
      </c>
      <c r="AQ515" s="7">
        <f t="shared" si="653"/>
        <v>5088</v>
      </c>
      <c r="AR515" s="7">
        <f t="shared" si="654"/>
        <v>10064</v>
      </c>
      <c r="AS515" s="7">
        <f t="shared" si="655"/>
        <v>8869.76</v>
      </c>
      <c r="AT515" s="7">
        <f>0</f>
        <v>0</v>
      </c>
      <c r="AU515" s="7">
        <f t="shared" si="656"/>
        <v>18159.120000000003</v>
      </c>
      <c r="AV515" s="1">
        <f t="shared" si="657"/>
        <v>1</v>
      </c>
      <c r="AW515" s="1">
        <f>MIN(10,M515+0+0)</f>
        <v>4</v>
      </c>
      <c r="AX515" s="1">
        <f t="shared" si="658"/>
        <v>0</v>
      </c>
      <c r="AY515" s="1">
        <f t="shared" si="733"/>
        <v>6</v>
      </c>
      <c r="AZ515" s="1">
        <f t="shared" si="659"/>
        <v>3</v>
      </c>
      <c r="BA515" s="1">
        <f>MIN(6,Q515+0)</f>
        <v>2</v>
      </c>
      <c r="BB515" s="1">
        <f t="shared" si="726"/>
        <v>5</v>
      </c>
      <c r="BC515" s="1">
        <f t="shared" si="707"/>
        <v>0</v>
      </c>
      <c r="BD515" s="1">
        <f t="shared" ref="BD515:BD549" si="734">MAX(0,T515-IF(AO515&gt;0,1,0))+0</f>
        <v>0</v>
      </c>
      <c r="BE515" s="1">
        <f t="shared" si="727"/>
        <v>0</v>
      </c>
      <c r="BF515" s="1">
        <f>MIN(4,V515+1)</f>
        <v>1</v>
      </c>
      <c r="BG515" s="1">
        <f t="shared" si="731"/>
        <v>1</v>
      </c>
      <c r="BH515" s="1">
        <f t="shared" si="728"/>
        <v>1</v>
      </c>
      <c r="BI515" s="1">
        <f t="shared" si="732"/>
        <v>1</v>
      </c>
      <c r="BJ515" s="1">
        <f t="shared" si="702"/>
        <v>0</v>
      </c>
      <c r="BK515" s="1">
        <f t="shared" si="703"/>
        <v>0</v>
      </c>
      <c r="BL515" s="1">
        <f t="shared" si="708"/>
        <v>0</v>
      </c>
      <c r="BM515" s="1">
        <f t="shared" si="706"/>
        <v>0</v>
      </c>
      <c r="BN515" s="1">
        <f t="shared" si="729"/>
        <v>1</v>
      </c>
      <c r="BO515" s="1">
        <f t="shared" si="730"/>
        <v>1</v>
      </c>
    </row>
    <row r="516" spans="1:67" ht="30.95" customHeight="1">
      <c r="A516" s="1">
        <f>14</f>
        <v>14</v>
      </c>
      <c r="B516" s="1">
        <f>固定流程!A12</f>
        <v>7</v>
      </c>
      <c r="C516" s="1">
        <f>17</f>
        <v>17</v>
      </c>
      <c r="D516" s="1">
        <f>1</f>
        <v>1</v>
      </c>
      <c r="E516" s="1">
        <f>固定流程!C12</f>
        <v>1</v>
      </c>
      <c r="F516" s="1">
        <f>固定流程!G12</f>
        <v>4</v>
      </c>
      <c r="G516" s="1" t="str">
        <f>固定流程!H12</f>
        <v>J_HARD</v>
      </c>
      <c r="H516" s="1">
        <f>固定流程!F12</f>
        <v>1</v>
      </c>
      <c r="I516" s="1">
        <f>INDEX(配置与结果!$B$15:$B$18,F516)</f>
        <v>1906</v>
      </c>
      <c r="J516" s="1">
        <f>INDEX(配置与结果!$D$15:$D$18,F516)</f>
        <v>0.36699999999999999</v>
      </c>
      <c r="K516" s="1">
        <f>INDEX(配置与结果!$E$15:$E$18,F516)</f>
        <v>1.7170000000000001</v>
      </c>
      <c r="L516" s="1">
        <f t="shared" si="712"/>
        <v>1</v>
      </c>
      <c r="M516" s="1">
        <f t="shared" si="712"/>
        <v>4</v>
      </c>
      <c r="N516" s="1">
        <f t="shared" si="712"/>
        <v>0</v>
      </c>
      <c r="O516" s="1">
        <f t="shared" si="712"/>
        <v>6</v>
      </c>
      <c r="P516" s="1">
        <f>MIN(方案参数!$AI$17,AZ515+0+0)</f>
        <v>3</v>
      </c>
      <c r="Q516" s="1">
        <f t="shared" si="713"/>
        <v>2</v>
      </c>
      <c r="R516" s="1">
        <f t="shared" si="714"/>
        <v>5</v>
      </c>
      <c r="S516" s="1">
        <f t="shared" si="715"/>
        <v>0</v>
      </c>
      <c r="T516" s="1">
        <f t="shared" si="716"/>
        <v>0</v>
      </c>
      <c r="U516" s="1">
        <f t="shared" si="717"/>
        <v>0</v>
      </c>
      <c r="V516" s="1">
        <f t="shared" si="718"/>
        <v>1</v>
      </c>
      <c r="W516" s="1">
        <f t="shared" si="719"/>
        <v>1</v>
      </c>
      <c r="X516" s="1">
        <f t="shared" si="720"/>
        <v>1</v>
      </c>
      <c r="Y516" s="1">
        <f t="shared" si="721"/>
        <v>1</v>
      </c>
      <c r="Z516" s="1">
        <f t="shared" si="722"/>
        <v>0</v>
      </c>
      <c r="AA516" s="1">
        <f t="shared" si="723"/>
        <v>0</v>
      </c>
      <c r="AB516" s="1">
        <f t="shared" si="724"/>
        <v>0</v>
      </c>
      <c r="AC516" s="1">
        <f t="shared" si="725"/>
        <v>0</v>
      </c>
      <c r="AD516" s="1">
        <f>ROUNDDOWN(I516*(1+IF(F516=3,0.05+方案参数!$Y$17+AA516*0.12,IF(F516=4,方案参数!$BZ$17*方案参数!$AS$17,0)))+IF(AND(X516=1,F516&lt;&gt;3),方案参数!$CC$17,0)+AC516*方案参数!$CB$17,0)</f>
        <v>2811</v>
      </c>
      <c r="AE516" s="1">
        <f>IF(OR(F516=1,F516=4),配置与结果!$B$24,配置与结果!$B$25)*MAX(0,1-INDEX(配置与结果!$I$15:$I$18,F516))</f>
        <v>1200</v>
      </c>
      <c r="AF516" s="1">
        <f>3.6*IF(H516=1,1,IF(H516=2,1.5,2.5))</f>
        <v>3.6</v>
      </c>
      <c r="AG516" s="1">
        <f>MAX(配置与结果!$B$32,1+INDEX(配置与结果!$F$15:$F$18,F516)+0.08+Q516*方案参数!$W$17+Y516*(方案参数!$AN$17+MIN(方案参数!$AO$17,P516*0.03))+AB516*方案参数!$BZ$17*0.025+0.1+IF(方案参数!$BZ$17&gt;=30,方案参数!$BZ$17*0.01,0)-配置与结果!$B$28)</f>
        <v>1.4350000000000001</v>
      </c>
      <c r="AH516" s="1">
        <f>MAX(0,1+INDEX(配置与结果!$G$15:$G$18,F516)+W516*方案参数!$AG$17)</f>
        <v>1.3</v>
      </c>
      <c r="AI516" s="1">
        <f>IF(OR(INDEX(配置与结果!$K$15:$K$18,F516)=1,G516="RHI_BERRY"),1+配置与结果!$B$33+P516*方案参数!$AH$17,1)</f>
        <v>1</v>
      </c>
      <c r="AJ516" s="1">
        <f>MIN(1,MAX(0,J516+方案参数!$AB$17-配置与结果!$B$27))</f>
        <v>0.66700000000000004</v>
      </c>
      <c r="AK516" s="1">
        <f>MAX(1,K516+IF(F516=2,0.15+方案参数!$CH$17,0)+BN516*方案参数!$X$17+R516*方案参数!$AA$17+0-配置与结果!$B$26+Z516*(方案参数!$AP$17+MIN(方案参数!$AQ$17,P516*0.03)))</f>
        <v>1.4969999999999999</v>
      </c>
      <c r="AL516" s="7">
        <f>ROUNDDOWN(MAX(AD516*配置与结果!$B$31,AD516-AE516)*AF516*AG516*AH516*AI516,0)</f>
        <v>10819</v>
      </c>
      <c r="AM516" s="7">
        <f>ROUNDDOWN(MAX(AD516*配置与结果!$B$31,AD516-AE516)*AF516*AG516*AH516*AI516*AK516,0)</f>
        <v>16196</v>
      </c>
      <c r="AN516" s="7">
        <f t="shared" si="652"/>
        <v>14405.458999999999</v>
      </c>
      <c r="AO516" s="7">
        <f>0</f>
        <v>0</v>
      </c>
      <c r="AP516" s="7">
        <f>MAX(0,1+INDEX(配置与结果!$J$15:$J$18,F516)+IF(T516&gt;0,方案参数!$BY$17,0)-配置与结果!$B$30)</f>
        <v>1</v>
      </c>
      <c r="AQ516" s="7">
        <f t="shared" si="653"/>
        <v>0</v>
      </c>
      <c r="AR516" s="7">
        <f t="shared" si="654"/>
        <v>0</v>
      </c>
      <c r="AS516" s="7">
        <f t="shared" si="655"/>
        <v>0</v>
      </c>
      <c r="AT516" s="7">
        <f>0</f>
        <v>0</v>
      </c>
      <c r="AU516" s="7">
        <f t="shared" si="656"/>
        <v>14405.458999999999</v>
      </c>
      <c r="AV516" s="1">
        <f t="shared" si="657"/>
        <v>1</v>
      </c>
      <c r="AW516" s="1">
        <f>MIN(10,M516+0+0)</f>
        <v>4</v>
      </c>
      <c r="AX516" s="1">
        <f t="shared" si="658"/>
        <v>0</v>
      </c>
      <c r="AY516" s="1">
        <f t="shared" si="733"/>
        <v>6</v>
      </c>
      <c r="AZ516" s="1">
        <f t="shared" si="659"/>
        <v>3</v>
      </c>
      <c r="BA516" s="1">
        <f>MIN(6,Q516+0)</f>
        <v>2</v>
      </c>
      <c r="BB516" s="1">
        <f t="shared" si="726"/>
        <v>5</v>
      </c>
      <c r="BC516" s="1">
        <f>MIN(3,S516+1)</f>
        <v>1</v>
      </c>
      <c r="BD516" s="1">
        <f t="shared" si="734"/>
        <v>0</v>
      </c>
      <c r="BE516" s="1">
        <f t="shared" si="727"/>
        <v>0</v>
      </c>
      <c r="BF516" s="1">
        <f>MIN(4,V516+0)</f>
        <v>1</v>
      </c>
      <c r="BG516" s="1">
        <f t="shared" si="731"/>
        <v>1</v>
      </c>
      <c r="BH516" s="1">
        <f t="shared" si="728"/>
        <v>1</v>
      </c>
      <c r="BI516" s="1">
        <f t="shared" si="732"/>
        <v>1</v>
      </c>
      <c r="BJ516" s="1">
        <f t="shared" si="702"/>
        <v>0</v>
      </c>
      <c r="BK516" s="1">
        <f t="shared" si="703"/>
        <v>0</v>
      </c>
      <c r="BL516" s="1">
        <f t="shared" si="708"/>
        <v>0</v>
      </c>
      <c r="BM516" s="1">
        <f t="shared" si="706"/>
        <v>0</v>
      </c>
      <c r="BN516" s="1">
        <f t="shared" si="729"/>
        <v>1</v>
      </c>
      <c r="BO516" s="1">
        <f t="shared" si="730"/>
        <v>1</v>
      </c>
    </row>
    <row r="517" spans="1:67" ht="30.95" customHeight="1">
      <c r="A517" s="1">
        <f>14</f>
        <v>14</v>
      </c>
      <c r="B517" s="1">
        <f>固定流程!A13</f>
        <v>8</v>
      </c>
      <c r="C517" s="1">
        <f>17</f>
        <v>17</v>
      </c>
      <c r="D517" s="1">
        <f>1</f>
        <v>1</v>
      </c>
      <c r="E517" s="1">
        <f>固定流程!C13</f>
        <v>2</v>
      </c>
      <c r="F517" s="1">
        <f>固定流程!G13</f>
        <v>3</v>
      </c>
      <c r="G517" s="1" t="str">
        <f>固定流程!H13</f>
        <v>RHI_ATTACK</v>
      </c>
      <c r="H517" s="1">
        <f>固定流程!F13</f>
        <v>1</v>
      </c>
      <c r="I517" s="1">
        <f>INDEX(配置与结果!$B$15:$B$18,F517)</f>
        <v>2597</v>
      </c>
      <c r="J517" s="1">
        <f>INDEX(配置与结果!$D$15:$D$18,F517)</f>
        <v>0.255</v>
      </c>
      <c r="K517" s="1">
        <f>INDEX(配置与结果!$E$15:$E$18,F517)</f>
        <v>1.55</v>
      </c>
      <c r="L517" s="1">
        <f>IF(AV516=1,IF(M517&gt;=10,2,1),IF(AV516=2,IF(AX516&lt;=1,0,2),0))</f>
        <v>1</v>
      </c>
      <c r="M517" s="1">
        <f>IF(AND(AV516=2,AX516&lt;=1),0,MIN(10,AW516+IF(AV516=1,3,0)))</f>
        <v>7</v>
      </c>
      <c r="N517" s="1">
        <f>IF(AND(AV516=1,M517&gt;=10),2,IF(AV516=2,MAX(0,AX516-1),0))</f>
        <v>0</v>
      </c>
      <c r="O517" s="1">
        <f t="shared" ref="O517:O545" si="735">AY516</f>
        <v>6</v>
      </c>
      <c r="P517" s="1">
        <f>MIN(方案参数!$AI$17,AZ516+方案参数!$AJ$17+方案参数!$AK$17)</f>
        <v>5</v>
      </c>
      <c r="Q517" s="1">
        <f t="shared" si="713"/>
        <v>2</v>
      </c>
      <c r="R517" s="1">
        <f t="shared" si="714"/>
        <v>5</v>
      </c>
      <c r="S517" s="1">
        <f t="shared" si="715"/>
        <v>1</v>
      </c>
      <c r="T517" s="1">
        <f t="shared" si="716"/>
        <v>0</v>
      </c>
      <c r="U517" s="1">
        <f t="shared" si="717"/>
        <v>0</v>
      </c>
      <c r="V517" s="1">
        <f t="shared" si="718"/>
        <v>1</v>
      </c>
      <c r="W517" s="1">
        <f t="shared" si="719"/>
        <v>1</v>
      </c>
      <c r="X517" s="1">
        <f t="shared" si="720"/>
        <v>1</v>
      </c>
      <c r="Y517" s="1">
        <f t="shared" si="721"/>
        <v>1</v>
      </c>
      <c r="Z517" s="1">
        <f t="shared" si="722"/>
        <v>0</v>
      </c>
      <c r="AA517" s="1">
        <f>MAX(BK516,1)</f>
        <v>1</v>
      </c>
      <c r="AB517" s="1">
        <f t="shared" si="724"/>
        <v>0</v>
      </c>
      <c r="AC517" s="1">
        <f t="shared" si="725"/>
        <v>0</v>
      </c>
      <c r="AD517" s="1">
        <f>ROUNDDOWN(I517*(1+IF(F517=3,0.05+方案参数!$Y$17+AA517*0.12,IF(F517=4,方案参数!$BZ$17*方案参数!$AS$17,0)))+IF(AND(X517=1,F517&lt;&gt;3),方案参数!$CC$17,0)+AC517*方案参数!$CB$17,0)</f>
        <v>3298</v>
      </c>
      <c r="AE517" s="1">
        <f>IF(OR(F517=1,F517=4),配置与结果!$B$24,配置与结果!$B$25)*MAX(0,1-INDEX(配置与结果!$I$15:$I$18,F517))</f>
        <v>1000</v>
      </c>
      <c r="AF517" s="1">
        <f>4</f>
        <v>4</v>
      </c>
      <c r="AG517" s="1">
        <f>MAX(配置与结果!$B$32,1+INDEX(配置与结果!$F$15:$F$18,F517)+0+Q517*方案参数!$W$17+Y517*(方案参数!$AN$17+MIN(方案参数!$AO$17,P517*0.03))+AB517*方案参数!$BZ$17*0.025-配置与结果!$B$28)</f>
        <v>0.97499999999999998</v>
      </c>
      <c r="AH517" s="1">
        <f>MAX(0,1+INDEX(配置与结果!$G$15:$G$18,F517)+W517*方案参数!$AG$17)</f>
        <v>1.3</v>
      </c>
      <c r="AI517" s="1">
        <f>IF(OR(INDEX(配置与结果!$K$15:$K$18,F517)=1,G517="RHI_BERRY"),1+配置与结果!$B$33+P517*方案参数!$AH$17,1)</f>
        <v>1</v>
      </c>
      <c r="AJ517" s="1">
        <f>MIN(1,MAX(0,J517+方案参数!$AB$17-配置与结果!$B$27))</f>
        <v>0.55499999999999994</v>
      </c>
      <c r="AK517" s="1">
        <f>MAX(1,K517+IF(F517=2,0.15+方案参数!$CH$17,0)+BN517*方案参数!$X$17+R517*方案参数!$AA$17+0-配置与结果!$B$26+Z517*(方案参数!$AP$17+MIN(方案参数!$AQ$17,P517*0.03)))</f>
        <v>1.33</v>
      </c>
      <c r="AL517" s="7">
        <f>ROUNDDOWN(MAX(AD517*配置与结果!$B$31,AD517-AE517)*AF517*AG517*AH517*AI517,0)</f>
        <v>11650</v>
      </c>
      <c r="AM517" s="7">
        <f>ROUNDDOWN(MAX(AD517*配置与结果!$B$31,AD517-AE517)*AF517*AG517*AH517*AI517*AK517,0)</f>
        <v>15495</v>
      </c>
      <c r="AN517" s="7">
        <f t="shared" si="652"/>
        <v>13783.974999999999</v>
      </c>
      <c r="AO517" s="7">
        <f>0</f>
        <v>0</v>
      </c>
      <c r="AP517" s="7">
        <f>MAX(0,1+INDEX(配置与结果!$J$15:$J$18,F517)+IF(T517&gt;0,方案参数!$BY$17,0)-配置与结果!$B$30)</f>
        <v>1</v>
      </c>
      <c r="AQ517" s="7">
        <f t="shared" si="653"/>
        <v>0</v>
      </c>
      <c r="AR517" s="7">
        <f t="shared" si="654"/>
        <v>0</v>
      </c>
      <c r="AS517" s="7">
        <f t="shared" si="655"/>
        <v>0</v>
      </c>
      <c r="AT517" s="7">
        <f>0</f>
        <v>0</v>
      </c>
      <c r="AU517" s="7">
        <f t="shared" si="656"/>
        <v>13783.974999999999</v>
      </c>
      <c r="AV517" s="1">
        <f t="shared" si="657"/>
        <v>1</v>
      </c>
      <c r="AW517" s="1">
        <f>MIN(10,M517+0+0)</f>
        <v>7</v>
      </c>
      <c r="AX517" s="1">
        <f t="shared" si="658"/>
        <v>0</v>
      </c>
      <c r="AY517" s="1">
        <f t="shared" si="733"/>
        <v>6</v>
      </c>
      <c r="AZ517" s="1">
        <f t="shared" si="659"/>
        <v>5</v>
      </c>
      <c r="BA517" s="1">
        <f>MIN(6,Q517+1)</f>
        <v>3</v>
      </c>
      <c r="BB517" s="1">
        <f t="shared" si="726"/>
        <v>5</v>
      </c>
      <c r="BC517" s="1">
        <f>MIN(3,S517+0)</f>
        <v>1</v>
      </c>
      <c r="BD517" s="1">
        <f t="shared" si="734"/>
        <v>0</v>
      </c>
      <c r="BE517" s="1">
        <f t="shared" si="727"/>
        <v>0</v>
      </c>
      <c r="BF517" s="1">
        <f>MIN(4,V517+0)</f>
        <v>1</v>
      </c>
      <c r="BG517" s="1">
        <f t="shared" si="731"/>
        <v>1</v>
      </c>
      <c r="BH517" s="1">
        <f t="shared" si="728"/>
        <v>1</v>
      </c>
      <c r="BI517" s="1">
        <f t="shared" si="732"/>
        <v>1</v>
      </c>
      <c r="BJ517" s="1">
        <f>MAX(Z517,1)</f>
        <v>1</v>
      </c>
      <c r="BK517" s="1">
        <f>MAX(AA517,1)</f>
        <v>1</v>
      </c>
      <c r="BL517" s="1">
        <f t="shared" si="708"/>
        <v>0</v>
      </c>
      <c r="BM517" s="1">
        <f t="shared" si="706"/>
        <v>0</v>
      </c>
      <c r="BN517" s="1">
        <f t="shared" si="729"/>
        <v>1</v>
      </c>
      <c r="BO517" s="1">
        <f t="shared" si="730"/>
        <v>1</v>
      </c>
    </row>
    <row r="518" spans="1:67" ht="30.95" customHeight="1">
      <c r="A518" s="1">
        <f>14</f>
        <v>14</v>
      </c>
      <c r="B518" s="1">
        <f>固定流程!A14</f>
        <v>9</v>
      </c>
      <c r="C518" s="1">
        <f>17</f>
        <v>17</v>
      </c>
      <c r="D518" s="1">
        <f>1</f>
        <v>1</v>
      </c>
      <c r="E518" s="1">
        <f>固定流程!C14</f>
        <v>2</v>
      </c>
      <c r="F518" s="1">
        <f>固定流程!G14</f>
        <v>1</v>
      </c>
      <c r="G518" s="1" t="str">
        <f>固定流程!H14</f>
        <v>LILYA_DIVE</v>
      </c>
      <c r="H518" s="1">
        <f>固定流程!F14</f>
        <v>3</v>
      </c>
      <c r="I518" s="1">
        <f>INDEX(配置与结果!$B$15:$B$18,F518)</f>
        <v>2296</v>
      </c>
      <c r="J518" s="1">
        <f>INDEX(配置与结果!$D$15:$D$18,F518)</f>
        <v>0.7</v>
      </c>
      <c r="K518" s="1">
        <f>INDEX(配置与结果!$E$15:$E$18,F518)</f>
        <v>2.0249999999999999</v>
      </c>
      <c r="L518" s="1">
        <f t="shared" ref="L518:N522" si="736">AV517</f>
        <v>1</v>
      </c>
      <c r="M518" s="1">
        <f t="shared" si="736"/>
        <v>7</v>
      </c>
      <c r="N518" s="1">
        <f t="shared" si="736"/>
        <v>0</v>
      </c>
      <c r="O518" s="1">
        <f t="shared" si="735"/>
        <v>6</v>
      </c>
      <c r="P518" s="1">
        <f>MIN(方案参数!$AI$17,AZ517+0+0)</f>
        <v>5</v>
      </c>
      <c r="Q518" s="1">
        <f t="shared" si="713"/>
        <v>3</v>
      </c>
      <c r="R518" s="1">
        <f t="shared" si="714"/>
        <v>5</v>
      </c>
      <c r="S518" s="1">
        <f t="shared" si="715"/>
        <v>1</v>
      </c>
      <c r="T518" s="1">
        <f t="shared" si="716"/>
        <v>0</v>
      </c>
      <c r="U518" s="1">
        <f t="shared" si="717"/>
        <v>0</v>
      </c>
      <c r="V518" s="1">
        <f t="shared" si="718"/>
        <v>1</v>
      </c>
      <c r="W518" s="1">
        <f t="shared" si="719"/>
        <v>1</v>
      </c>
      <c r="X518" s="1">
        <f t="shared" si="720"/>
        <v>1</v>
      </c>
      <c r="Y518" s="1">
        <f t="shared" si="721"/>
        <v>1</v>
      </c>
      <c r="Z518" s="1">
        <f t="shared" si="722"/>
        <v>1</v>
      </c>
      <c r="AA518" s="1">
        <f t="shared" ref="AA518:AA523" si="737">MAX(BK517,0)</f>
        <v>1</v>
      </c>
      <c r="AB518" s="1">
        <f t="shared" si="724"/>
        <v>0</v>
      </c>
      <c r="AC518" s="1">
        <f t="shared" si="725"/>
        <v>0</v>
      </c>
      <c r="AD518" s="1">
        <f>ROUNDDOWN(I518*(1+IF(F518=3,0.05+方案参数!$Y$17+AA518*0.12,IF(F518=4,方案参数!$BZ$17*方案参数!$AS$17,0)))+IF(AND(X518=1,F518&lt;&gt;3),方案参数!$CC$17,0)+AC518*方案参数!$CB$17,0)</f>
        <v>2534</v>
      </c>
      <c r="AE518" s="1">
        <f>IF(OR(F518=1,F518=4),配置与结果!$B$24,配置与结果!$B$25)*MAX(0,1-INDEX(配置与结果!$I$15:$I$18,F518))</f>
        <v>1200</v>
      </c>
      <c r="AF518" s="1">
        <f>(IF(L518=1,方案参数!$AW$17,IF(L518=2,方案参数!$AX$17,0))+方案参数!$AV$17)*H518</f>
        <v>18</v>
      </c>
      <c r="AG518" s="1">
        <f>MAX(配置与结果!$B$32,1+INDEX(配置与结果!$F$15:$F$18,F518)+0.08+方案参数!$CD$17+Q518*方案参数!$W$17+Y518*(方案参数!$AN$17+MIN(方案参数!$AO$17,P518*0.03))+AB518*方案参数!$BZ$17*0.025+IF(L518=1,方案参数!$AY$17+(H518-1)*0.1,IF(L518=2,方案参数!$AZ$17+(H518-1)*0.2,0))-配置与结果!$B$28)</f>
        <v>1.6</v>
      </c>
      <c r="AH518" s="1">
        <f>MAX(0,1+INDEX(配置与结果!$G$15:$G$18,F518)+W518*方案参数!$AG$17+IF(L518=1,方案参数!$BA$17,IF(L518=2,方案参数!$BB$17,0))+M518*方案参数!$BC$17)</f>
        <v>2.3199999999999998</v>
      </c>
      <c r="AI518" s="1">
        <f>IF(OR(INDEX(配置与结果!$K$15:$K$18,F518)=1,G518="RHI_BERRY"),1+配置与结果!$B$33+P518*方案参数!$AH$17,1)</f>
        <v>1</v>
      </c>
      <c r="AJ518" s="1">
        <f>MIN(1,MAX(0,J518+方案参数!$AB$17-配置与结果!$B$27))</f>
        <v>1</v>
      </c>
      <c r="AK518" s="1">
        <f>MAX(1,K518+IF(F518=2,0.15+方案参数!$CH$17,0)+BN518*方案参数!$X$17+R518*方案参数!$AA$17+0-配置与结果!$B$26+Z518*(方案参数!$AP$17+MIN(方案参数!$AQ$17,P518*0.03)))</f>
        <v>2.105</v>
      </c>
      <c r="AL518" s="7">
        <f>ROUNDDOWN(MAX(AD518*配置与结果!$B$31,AD518-AE518)*AF518*AG518*AH518*AI518,0)</f>
        <v>89132</v>
      </c>
      <c r="AM518" s="7">
        <f>ROUNDDOWN(MAX(AD518*配置与结果!$B$31,AD518-AE518)*AF518*AG518*AH518*AI518*AK518,0)</f>
        <v>187624</v>
      </c>
      <c r="AN518" s="7">
        <f t="shared" ref="AN518:AN581" si="738">AL518*(1-AJ518)+AM518*AJ518</f>
        <v>187624</v>
      </c>
      <c r="AO518" s="7">
        <f>0</f>
        <v>0</v>
      </c>
      <c r="AP518" s="7">
        <f>MAX(0,1+INDEX(配置与结果!$J$15:$J$18,F518)+IF(T518&gt;0,方案参数!$BY$17,0)-配置与结果!$B$30)</f>
        <v>1</v>
      </c>
      <c r="AQ518" s="7">
        <f t="shared" ref="AQ518:AQ581" si="739">ROUNDDOWN(ROUNDDOWN(AD518*AO518,0)*AP518,0)</f>
        <v>0</v>
      </c>
      <c r="AR518" s="7">
        <f t="shared" ref="AR518:AR581" si="740">ROUNDDOWN(ROUNDDOWN(AD518*AO518,0)*AP518*AK518,0)</f>
        <v>0</v>
      </c>
      <c r="AS518" s="7">
        <f t="shared" ref="AS518:AS581" si="741">AQ518*(1-AJ518)+AR518*AJ518</f>
        <v>0</v>
      </c>
      <c r="AT518" s="7">
        <f>0</f>
        <v>0</v>
      </c>
      <c r="AU518" s="7">
        <f t="shared" ref="AU518:AU581" si="742">AN518+AS518+AT518</f>
        <v>187624</v>
      </c>
      <c r="AV518" s="1">
        <f t="shared" ref="AV518:AV581" si="743">IF(G518="LILYA_COBRA",IF(L518=0,1,L518),L518)</f>
        <v>1</v>
      </c>
      <c r="AW518" s="1">
        <f>MIN(10,M518+0+IF(L518=1,方案参数!$BE$17,0))</f>
        <v>8</v>
      </c>
      <c r="AX518" s="1">
        <f t="shared" ref="AX518:AX581" si="744">N518</f>
        <v>0</v>
      </c>
      <c r="AY518" s="1">
        <f t="shared" si="733"/>
        <v>6</v>
      </c>
      <c r="AZ518" s="1">
        <f t="shared" ref="AZ518:AZ581" si="745">P518</f>
        <v>5</v>
      </c>
      <c r="BA518" s="1">
        <f>MIN(6,Q518+0)</f>
        <v>3</v>
      </c>
      <c r="BB518" s="1">
        <f t="shared" si="726"/>
        <v>5</v>
      </c>
      <c r="BC518" s="1">
        <f>MIN(3,S518+0)</f>
        <v>1</v>
      </c>
      <c r="BD518" s="1">
        <f t="shared" si="734"/>
        <v>0</v>
      </c>
      <c r="BE518" s="1">
        <f t="shared" si="727"/>
        <v>0</v>
      </c>
      <c r="BF518" s="1">
        <f>MIN(4,V518+0)</f>
        <v>1</v>
      </c>
      <c r="BG518" s="1">
        <f t="shared" si="731"/>
        <v>1</v>
      </c>
      <c r="BH518" s="1">
        <f t="shared" si="728"/>
        <v>1</v>
      </c>
      <c r="BI518" s="1">
        <f t="shared" si="732"/>
        <v>1</v>
      </c>
      <c r="BJ518" s="1">
        <f t="shared" ref="BJ518:BK523" si="746">MAX(Z518,0)</f>
        <v>1</v>
      </c>
      <c r="BK518" s="1">
        <f t="shared" si="746"/>
        <v>1</v>
      </c>
      <c r="BL518" s="1">
        <f t="shared" si="708"/>
        <v>0</v>
      </c>
      <c r="BM518" s="1">
        <f t="shared" si="706"/>
        <v>0</v>
      </c>
      <c r="BN518" s="1">
        <f t="shared" si="729"/>
        <v>1</v>
      </c>
      <c r="BO518" s="1">
        <f t="shared" si="730"/>
        <v>1</v>
      </c>
    </row>
    <row r="519" spans="1:67" ht="30.95" customHeight="1">
      <c r="A519" s="1">
        <f>14</f>
        <v>14</v>
      </c>
      <c r="B519" s="1">
        <f>固定流程!A15</f>
        <v>10</v>
      </c>
      <c r="C519" s="1">
        <f>17</f>
        <v>17</v>
      </c>
      <c r="D519" s="1">
        <f>1</f>
        <v>1</v>
      </c>
      <c r="E519" s="1">
        <f>固定流程!C15</f>
        <v>2</v>
      </c>
      <c r="F519" s="1">
        <f>固定流程!G15</f>
        <v>4</v>
      </c>
      <c r="G519" s="1" t="str">
        <f>固定流程!H15</f>
        <v>J_HARD</v>
      </c>
      <c r="H519" s="1">
        <f>固定流程!F15</f>
        <v>1</v>
      </c>
      <c r="I519" s="1">
        <f>INDEX(配置与结果!$B$15:$B$18,F519)</f>
        <v>1906</v>
      </c>
      <c r="J519" s="1">
        <f>INDEX(配置与结果!$D$15:$D$18,F519)</f>
        <v>0.36699999999999999</v>
      </c>
      <c r="K519" s="1">
        <f>INDEX(配置与结果!$E$15:$E$18,F519)</f>
        <v>1.7170000000000001</v>
      </c>
      <c r="L519" s="1">
        <f t="shared" si="736"/>
        <v>1</v>
      </c>
      <c r="M519" s="1">
        <f t="shared" si="736"/>
        <v>8</v>
      </c>
      <c r="N519" s="1">
        <f t="shared" si="736"/>
        <v>0</v>
      </c>
      <c r="O519" s="1">
        <f t="shared" si="735"/>
        <v>6</v>
      </c>
      <c r="P519" s="1">
        <f>MIN(方案参数!$AI$17,AZ518+0+0)</f>
        <v>5</v>
      </c>
      <c r="Q519" s="1">
        <f t="shared" si="713"/>
        <v>3</v>
      </c>
      <c r="R519" s="1">
        <f t="shared" si="714"/>
        <v>5</v>
      </c>
      <c r="S519" s="1">
        <f t="shared" si="715"/>
        <v>1</v>
      </c>
      <c r="T519" s="1">
        <f t="shared" si="716"/>
        <v>0</v>
      </c>
      <c r="U519" s="1">
        <f t="shared" si="717"/>
        <v>0</v>
      </c>
      <c r="V519" s="1">
        <f t="shared" si="718"/>
        <v>1</v>
      </c>
      <c r="W519" s="1">
        <f t="shared" si="719"/>
        <v>1</v>
      </c>
      <c r="X519" s="1">
        <f t="shared" si="720"/>
        <v>1</v>
      </c>
      <c r="Y519" s="1">
        <f t="shared" si="721"/>
        <v>1</v>
      </c>
      <c r="Z519" s="1">
        <f t="shared" si="722"/>
        <v>1</v>
      </c>
      <c r="AA519" s="1">
        <f t="shared" si="737"/>
        <v>1</v>
      </c>
      <c r="AB519" s="1">
        <f t="shared" si="724"/>
        <v>0</v>
      </c>
      <c r="AC519" s="1">
        <f t="shared" si="725"/>
        <v>0</v>
      </c>
      <c r="AD519" s="1">
        <f>ROUNDDOWN(I519*(1+IF(F519=3,0.05+方案参数!$Y$17+AA519*0.12,IF(F519=4,方案参数!$BZ$17*方案参数!$AS$17,0)))+IF(AND(X519=1,F519&lt;&gt;3),方案参数!$CC$17,0)+AC519*方案参数!$CB$17,0)</f>
        <v>2811</v>
      </c>
      <c r="AE519" s="1">
        <f>IF(OR(F519=1,F519=4),配置与结果!$B$24,配置与结果!$B$25)*MAX(0,1-INDEX(配置与结果!$I$15:$I$18,F519))</f>
        <v>1200</v>
      </c>
      <c r="AF519" s="1">
        <f>3.6*IF(H519=1,1,IF(H519=2,1.5,2.5))</f>
        <v>3.6</v>
      </c>
      <c r="AG519" s="1">
        <f>MAX(配置与结果!$B$32,1+INDEX(配置与结果!$F$15:$F$18,F519)+0.08+Q519*方案参数!$W$17+Y519*(方案参数!$AN$17+MIN(方案参数!$AO$17,P519*0.03))+AB519*方案参数!$BZ$17*0.025+0.1+IF(方案参数!$BZ$17&gt;=30,方案参数!$BZ$17*0.01,0)-配置与结果!$B$28)</f>
        <v>1.5150000000000001</v>
      </c>
      <c r="AH519" s="1">
        <f>MAX(0,1+INDEX(配置与结果!$G$15:$G$18,F519)+W519*方案参数!$AG$17)</f>
        <v>1.3</v>
      </c>
      <c r="AI519" s="1">
        <f>IF(OR(INDEX(配置与结果!$K$15:$K$18,F519)=1,G519="RHI_BERRY"),1+配置与结果!$B$33+P519*方案参数!$AH$17,1)</f>
        <v>1</v>
      </c>
      <c r="AJ519" s="1">
        <f>MIN(1,MAX(0,J519+方案参数!$AB$17-配置与结果!$B$27))</f>
        <v>0.66700000000000004</v>
      </c>
      <c r="AK519" s="1">
        <f>MAX(1,K519+IF(F519=2,0.15+方案参数!$CH$17,0)+BN519*方案参数!$X$17+R519*方案参数!$AA$17+0-配置与结果!$B$26+Z519*(方案参数!$AP$17+MIN(方案参数!$AQ$17,P519*0.03)))</f>
        <v>1.7969999999999999</v>
      </c>
      <c r="AL519" s="7">
        <f>ROUNDDOWN(MAX(AD519*配置与结果!$B$31,AD519-AE519)*AF519*AG519*AH519*AI519,0)</f>
        <v>11422</v>
      </c>
      <c r="AM519" s="7">
        <f>ROUNDDOWN(MAX(AD519*配置与结果!$B$31,AD519-AE519)*AF519*AG519*AH519*AI519*AK519,0)</f>
        <v>20525</v>
      </c>
      <c r="AN519" s="7">
        <f t="shared" si="738"/>
        <v>17493.701000000001</v>
      </c>
      <c r="AO519" s="7">
        <f>0</f>
        <v>0</v>
      </c>
      <c r="AP519" s="7">
        <f>MAX(0,1+INDEX(配置与结果!$J$15:$J$18,F519)+IF(T519&gt;0,方案参数!$BY$17,0)-配置与结果!$B$30)</f>
        <v>1</v>
      </c>
      <c r="AQ519" s="7">
        <f t="shared" si="739"/>
        <v>0</v>
      </c>
      <c r="AR519" s="7">
        <f t="shared" si="740"/>
        <v>0</v>
      </c>
      <c r="AS519" s="7">
        <f t="shared" si="741"/>
        <v>0</v>
      </c>
      <c r="AT519" s="7">
        <f>0</f>
        <v>0</v>
      </c>
      <c r="AU519" s="7">
        <f t="shared" si="742"/>
        <v>17493.701000000001</v>
      </c>
      <c r="AV519" s="1">
        <f t="shared" si="743"/>
        <v>1</v>
      </c>
      <c r="AW519" s="1">
        <f t="shared" ref="AW519:AW529" si="747">MIN(10,M519+0+0)</f>
        <v>8</v>
      </c>
      <c r="AX519" s="1">
        <f t="shared" si="744"/>
        <v>0</v>
      </c>
      <c r="AY519" s="1">
        <f t="shared" si="733"/>
        <v>6</v>
      </c>
      <c r="AZ519" s="1">
        <f t="shared" si="745"/>
        <v>5</v>
      </c>
      <c r="BA519" s="1">
        <f>MIN(6,Q519+0)</f>
        <v>3</v>
      </c>
      <c r="BB519" s="1">
        <f t="shared" si="726"/>
        <v>5</v>
      </c>
      <c r="BC519" s="1">
        <f>MIN(3,S519+1)</f>
        <v>2</v>
      </c>
      <c r="BD519" s="1">
        <f t="shared" si="734"/>
        <v>0</v>
      </c>
      <c r="BE519" s="1">
        <f t="shared" si="727"/>
        <v>0</v>
      </c>
      <c r="BF519" s="1">
        <f>MIN(4,V519+0)</f>
        <v>1</v>
      </c>
      <c r="BG519" s="1">
        <f t="shared" si="731"/>
        <v>1</v>
      </c>
      <c r="BH519" s="1">
        <f t="shared" si="728"/>
        <v>1</v>
      </c>
      <c r="BI519" s="1">
        <f t="shared" si="732"/>
        <v>1</v>
      </c>
      <c r="BJ519" s="1">
        <f t="shared" si="746"/>
        <v>1</v>
      </c>
      <c r="BK519" s="1">
        <f t="shared" si="746"/>
        <v>1</v>
      </c>
      <c r="BL519" s="1">
        <f t="shared" si="708"/>
        <v>0</v>
      </c>
      <c r="BM519" s="1">
        <f t="shared" si="706"/>
        <v>0</v>
      </c>
      <c r="BN519" s="1">
        <f t="shared" si="729"/>
        <v>1</v>
      </c>
      <c r="BO519" s="1">
        <f t="shared" si="730"/>
        <v>1</v>
      </c>
    </row>
    <row r="520" spans="1:67" ht="30.95" customHeight="1">
      <c r="A520" s="1">
        <f>14</f>
        <v>14</v>
      </c>
      <c r="B520" s="1">
        <f>固定流程!A16</f>
        <v>11</v>
      </c>
      <c r="C520" s="1">
        <f>17</f>
        <v>17</v>
      </c>
      <c r="D520" s="1">
        <f>1</f>
        <v>1</v>
      </c>
      <c r="E520" s="1">
        <f>固定流程!C16</f>
        <v>2</v>
      </c>
      <c r="F520" s="1">
        <f>固定流程!G16</f>
        <v>2</v>
      </c>
      <c r="G520" s="1" t="str">
        <f>固定流程!H16</f>
        <v>37_CURVE</v>
      </c>
      <c r="H520" s="1">
        <f>固定流程!F16</f>
        <v>1</v>
      </c>
      <c r="I520" s="1">
        <f>INDEX(配置与结果!$B$15:$B$18,F520)</f>
        <v>2306</v>
      </c>
      <c r="J520" s="1">
        <f>INDEX(配置与结果!$D$15:$D$18,F520)</f>
        <v>0.46</v>
      </c>
      <c r="K520" s="1">
        <f>INDEX(配置与结果!$E$15:$E$18,F520)</f>
        <v>1.9279999999999999</v>
      </c>
      <c r="L520" s="1">
        <f t="shared" si="736"/>
        <v>1</v>
      </c>
      <c r="M520" s="1">
        <f t="shared" si="736"/>
        <v>8</v>
      </c>
      <c r="N520" s="1">
        <f t="shared" si="736"/>
        <v>0</v>
      </c>
      <c r="O520" s="1">
        <f t="shared" si="735"/>
        <v>6</v>
      </c>
      <c r="P520" s="1">
        <f>MIN(方案参数!$AI$17,AZ519+0+0)</f>
        <v>5</v>
      </c>
      <c r="Q520" s="1">
        <f t="shared" si="713"/>
        <v>3</v>
      </c>
      <c r="R520" s="1">
        <f t="shared" si="714"/>
        <v>5</v>
      </c>
      <c r="S520" s="1">
        <f t="shared" si="715"/>
        <v>2</v>
      </c>
      <c r="T520" s="1">
        <f t="shared" si="716"/>
        <v>0</v>
      </c>
      <c r="U520" s="1">
        <f t="shared" si="717"/>
        <v>0</v>
      </c>
      <c r="V520" s="1">
        <f t="shared" si="718"/>
        <v>1</v>
      </c>
      <c r="W520" s="1">
        <f t="shared" si="719"/>
        <v>1</v>
      </c>
      <c r="X520" s="1">
        <f t="shared" si="720"/>
        <v>1</v>
      </c>
      <c r="Y520" s="1">
        <f t="shared" si="721"/>
        <v>1</v>
      </c>
      <c r="Z520" s="1">
        <f t="shared" si="722"/>
        <v>1</v>
      </c>
      <c r="AA520" s="1">
        <f t="shared" si="737"/>
        <v>1</v>
      </c>
      <c r="AB520" s="1">
        <f t="shared" si="724"/>
        <v>0</v>
      </c>
      <c r="AC520" s="1">
        <f t="shared" si="725"/>
        <v>0</v>
      </c>
      <c r="AD520" s="1">
        <f>ROUNDDOWN(I520*(1+IF(F520=3,0.05+方案参数!$Y$17+AA520*0.12,IF(F520=4,方案参数!$BZ$17*方案参数!$AS$17,0)))+IF(AND(X520=1,F520&lt;&gt;3),方案参数!$CC$17,0)+AC520*方案参数!$CB$17,0)</f>
        <v>2544</v>
      </c>
      <c r="AE520" s="1">
        <f>IF(OR(F520=1,F520=4),配置与结果!$B$24,配置与结果!$B$25)*MAX(0,1-INDEX(配置与结果!$I$15:$I$18,F520))</f>
        <v>1000</v>
      </c>
      <c r="AF520" s="1">
        <f>方案参数!$BT$17*IF(H520=1,1,IF(H520=2,1.5,2.5))</f>
        <v>1.4</v>
      </c>
      <c r="AG520" s="1">
        <f>MAX(配置与结果!$B$32,1+INDEX(配置与结果!$F$15:$F$18,F520)+0+Q520*方案参数!$W$17+Y520*(方案参数!$AN$17+MIN(方案参数!$AO$17,P520*0.03))+AB520*方案参数!$BZ$17*0.025-配置与结果!$B$28)</f>
        <v>0.96499999999999997</v>
      </c>
      <c r="AH520" s="1">
        <f>MAX(0,1+INDEX(配置与结果!$G$15:$G$18,F520)+W520*方案参数!$AG$17)</f>
        <v>1.3</v>
      </c>
      <c r="AI520" s="1">
        <f>IF(OR(INDEX(配置与结果!$K$15:$K$18,F520)=1,G520="RHI_BERRY"),1+配置与结果!$B$33+P520*方案参数!$AH$17,1)</f>
        <v>1</v>
      </c>
      <c r="AJ520" s="1">
        <f>MIN(1,MAX(0,J520+方案参数!$AB$17-配置与结果!$B$27))</f>
        <v>0.76</v>
      </c>
      <c r="AK520" s="1">
        <f>MAX(1,K520+IF(F520=2,0.15+方案参数!$CH$17,0)+BN520*方案参数!$X$17+R520*方案参数!$AA$17+0-配置与结果!$B$26+Z520*(方案参数!$AP$17+MIN(方案参数!$AQ$17,P520*0.03)))</f>
        <v>2.278</v>
      </c>
      <c r="AL520" s="7">
        <f>ROUNDDOWN(MAX(AD520*配置与结果!$B$31,AD520-AE520)*AF520*AG520*AH520*AI520,0)</f>
        <v>2711</v>
      </c>
      <c r="AM520" s="7">
        <f>ROUNDDOWN(MAX(AD520*配置与结果!$B$31,AD520-AE520)*AF520*AG520*AH520*AI520*AK520,0)</f>
        <v>6177</v>
      </c>
      <c r="AN520" s="7">
        <f t="shared" si="738"/>
        <v>5345.1600000000008</v>
      </c>
      <c r="AO520" s="7">
        <f>方案参数!$BU$17*IF(H520=1,1,IF(H520=2,1.5,2.5))</f>
        <v>0.8</v>
      </c>
      <c r="AP520" s="7">
        <f>MAX(0,1+INDEX(配置与结果!$J$15:$J$18,F520)+IF(T520&gt;0,方案参数!$BY$17,0)-配置与结果!$B$30)</f>
        <v>1</v>
      </c>
      <c r="AQ520" s="7">
        <f t="shared" si="739"/>
        <v>2035</v>
      </c>
      <c r="AR520" s="7">
        <f t="shared" si="740"/>
        <v>4635</v>
      </c>
      <c r="AS520" s="7">
        <f t="shared" si="741"/>
        <v>4011</v>
      </c>
      <c r="AT520" s="7">
        <f>0</f>
        <v>0</v>
      </c>
      <c r="AU520" s="7">
        <f t="shared" si="742"/>
        <v>9356.16</v>
      </c>
      <c r="AV520" s="1">
        <f t="shared" si="743"/>
        <v>1</v>
      </c>
      <c r="AW520" s="1">
        <f t="shared" si="747"/>
        <v>8</v>
      </c>
      <c r="AX520" s="1">
        <f t="shared" si="744"/>
        <v>0</v>
      </c>
      <c r="AY520" s="1">
        <f t="shared" si="733"/>
        <v>6</v>
      </c>
      <c r="AZ520" s="1">
        <f t="shared" si="745"/>
        <v>5</v>
      </c>
      <c r="BA520" s="1">
        <f>MIN(6,Q520+0)</f>
        <v>3</v>
      </c>
      <c r="BB520" s="1">
        <f t="shared" si="726"/>
        <v>5</v>
      </c>
      <c r="BC520" s="1">
        <f t="shared" ref="BC520:BC526" si="748">MIN(3,S520+0)</f>
        <v>2</v>
      </c>
      <c r="BD520" s="1">
        <f t="shared" si="734"/>
        <v>0</v>
      </c>
      <c r="BE520" s="1">
        <f t="shared" si="727"/>
        <v>0</v>
      </c>
      <c r="BF520" s="1">
        <f>MIN(4,V520+0)</f>
        <v>1</v>
      </c>
      <c r="BG520" s="1">
        <f t="shared" si="731"/>
        <v>1</v>
      </c>
      <c r="BH520" s="1">
        <f t="shared" si="728"/>
        <v>1</v>
      </c>
      <c r="BI520" s="1">
        <f t="shared" si="732"/>
        <v>1</v>
      </c>
      <c r="BJ520" s="1">
        <f t="shared" si="746"/>
        <v>1</v>
      </c>
      <c r="BK520" s="1">
        <f t="shared" si="746"/>
        <v>1</v>
      </c>
      <c r="BL520" s="1">
        <f t="shared" si="708"/>
        <v>0</v>
      </c>
      <c r="BM520" s="1">
        <f t="shared" si="706"/>
        <v>0</v>
      </c>
      <c r="BN520" s="1">
        <f t="shared" si="729"/>
        <v>1</v>
      </c>
      <c r="BO520" s="1">
        <f t="shared" si="730"/>
        <v>1</v>
      </c>
    </row>
    <row r="521" spans="1:67" ht="30.95" customHeight="1">
      <c r="A521" s="1">
        <f>14</f>
        <v>14</v>
      </c>
      <c r="B521" s="1">
        <f>固定流程!A17</f>
        <v>12</v>
      </c>
      <c r="C521" s="1">
        <f>17</f>
        <v>17</v>
      </c>
      <c r="D521" s="1">
        <f>1</f>
        <v>1</v>
      </c>
      <c r="E521" s="1">
        <f>固定流程!C17</f>
        <v>2</v>
      </c>
      <c r="F521" s="1">
        <f>固定流程!G17</f>
        <v>2</v>
      </c>
      <c r="G521" s="1" t="str">
        <f>固定流程!H17</f>
        <v>37_FOLLOW</v>
      </c>
      <c r="H521" s="1">
        <f>固定流程!F17</f>
        <v>1</v>
      </c>
      <c r="I521" s="1">
        <f>INDEX(配置与结果!$B$15:$B$18,F521)</f>
        <v>2306</v>
      </c>
      <c r="J521" s="1">
        <f>INDEX(配置与结果!$D$15:$D$18,F521)</f>
        <v>0.46</v>
      </c>
      <c r="K521" s="1">
        <f>INDEX(配置与结果!$E$15:$E$18,F521)</f>
        <v>1.9279999999999999</v>
      </c>
      <c r="L521" s="1">
        <f t="shared" si="736"/>
        <v>1</v>
      </c>
      <c r="M521" s="1">
        <f t="shared" si="736"/>
        <v>8</v>
      </c>
      <c r="N521" s="1">
        <f t="shared" si="736"/>
        <v>0</v>
      </c>
      <c r="O521" s="1">
        <f t="shared" si="735"/>
        <v>6</v>
      </c>
      <c r="P521" s="1">
        <f>MIN(方案参数!$AI$17,AZ520+0+0)</f>
        <v>5</v>
      </c>
      <c r="Q521" s="1">
        <f t="shared" si="713"/>
        <v>3</v>
      </c>
      <c r="R521" s="1">
        <f t="shared" si="714"/>
        <v>5</v>
      </c>
      <c r="S521" s="1">
        <f t="shared" si="715"/>
        <v>2</v>
      </c>
      <c r="T521" s="1">
        <f t="shared" si="716"/>
        <v>0</v>
      </c>
      <c r="U521" s="1">
        <f t="shared" si="717"/>
        <v>0</v>
      </c>
      <c r="V521" s="1">
        <f t="shared" si="718"/>
        <v>1</v>
      </c>
      <c r="W521" s="1">
        <f t="shared" si="719"/>
        <v>1</v>
      </c>
      <c r="X521" s="1">
        <f t="shared" si="720"/>
        <v>1</v>
      </c>
      <c r="Y521" s="1">
        <f t="shared" si="721"/>
        <v>1</v>
      </c>
      <c r="Z521" s="1">
        <f t="shared" si="722"/>
        <v>1</v>
      </c>
      <c r="AA521" s="1">
        <f t="shared" si="737"/>
        <v>1</v>
      </c>
      <c r="AB521" s="1">
        <f t="shared" si="724"/>
        <v>0</v>
      </c>
      <c r="AC521" s="1">
        <f t="shared" si="725"/>
        <v>0</v>
      </c>
      <c r="AD521" s="1">
        <f>ROUNDDOWN(I521*(1+IF(F521=3,0.05+方案参数!$Y$17+AA521*0.12,IF(F521=4,方案参数!$BZ$17*方案参数!$AS$17,0)))+IF(AND(X521=1,F521&lt;&gt;3),方案参数!$CC$17,0)+AC521*方案参数!$CB$17,0)</f>
        <v>2544</v>
      </c>
      <c r="AE521" s="1">
        <f>IF(OR(F521=1,F521=4),配置与结果!$B$24,配置与结果!$B$25)*MAX(0,1-INDEX(配置与结果!$I$15:$I$18,F521))</f>
        <v>1000</v>
      </c>
      <c r="AF521" s="1">
        <f>方案参数!$BV$17</f>
        <v>3</v>
      </c>
      <c r="AG521" s="1">
        <f>MAX(配置与结果!$B$32,1+INDEX(配置与结果!$F$15:$F$18,F521)+0+Q521*方案参数!$W$17+Y521*(方案参数!$AN$17+MIN(方案参数!$AO$17,P521*0.03))+AB521*方案参数!$BZ$17*0.025-配置与结果!$B$28)</f>
        <v>0.96499999999999997</v>
      </c>
      <c r="AH521" s="1">
        <f>MAX(0,1+INDEX(配置与结果!$G$15:$G$18,F521)+W521*方案参数!$AG$17)</f>
        <v>1.3</v>
      </c>
      <c r="AI521" s="1">
        <f>IF(OR(INDEX(配置与结果!$K$15:$K$18,F521)=1,G521="RHI_BERRY"),1+配置与结果!$B$33+P521*方案参数!$AH$17,1)</f>
        <v>1</v>
      </c>
      <c r="AJ521" s="1">
        <f>MIN(1,MAX(0,J521+方案参数!$AB$17-配置与结果!$B$27))</f>
        <v>0.76</v>
      </c>
      <c r="AK521" s="1">
        <f>MAX(1,K521+IF(F521=2,0.15+方案参数!$CH$17,0)+BN521*方案参数!$X$17+R521*方案参数!$AA$17+0-配置与结果!$B$26+Z521*(方案参数!$AP$17+MIN(方案参数!$AQ$17,P521*0.03)))</f>
        <v>2.278</v>
      </c>
      <c r="AL521" s="7">
        <f>ROUNDDOWN(MAX(AD521*配置与结果!$B$31,AD521-AE521)*AF521*AG521*AH521*AI521,0)</f>
        <v>5810</v>
      </c>
      <c r="AM521" s="7">
        <f>ROUNDDOWN(MAX(AD521*配置与结果!$B$31,AD521-AE521)*AF521*AG521*AH521*AI521*AK521,0)</f>
        <v>13237</v>
      </c>
      <c r="AN521" s="7">
        <f t="shared" si="738"/>
        <v>11454.52</v>
      </c>
      <c r="AO521" s="7">
        <f>方案参数!$BW$17</f>
        <v>1</v>
      </c>
      <c r="AP521" s="7">
        <f>MAX(0,1+INDEX(配置与结果!$J$15:$J$18,F521)+IF(T521&gt;0,方案参数!$BY$17,0)-配置与结果!$B$30)</f>
        <v>1</v>
      </c>
      <c r="AQ521" s="7">
        <f t="shared" si="739"/>
        <v>2544</v>
      </c>
      <c r="AR521" s="7">
        <f t="shared" si="740"/>
        <v>5795</v>
      </c>
      <c r="AS521" s="7">
        <f t="shared" si="741"/>
        <v>5014.76</v>
      </c>
      <c r="AT521" s="7">
        <f>0</f>
        <v>0</v>
      </c>
      <c r="AU521" s="7">
        <f t="shared" si="742"/>
        <v>16469.28</v>
      </c>
      <c r="AV521" s="1">
        <f t="shared" si="743"/>
        <v>1</v>
      </c>
      <c r="AW521" s="1">
        <f t="shared" si="747"/>
        <v>8</v>
      </c>
      <c r="AX521" s="1">
        <f t="shared" si="744"/>
        <v>0</v>
      </c>
      <c r="AY521" s="1">
        <f t="shared" si="733"/>
        <v>6</v>
      </c>
      <c r="AZ521" s="1">
        <f t="shared" si="745"/>
        <v>5</v>
      </c>
      <c r="BA521" s="1">
        <f>MIN(6,Q521+0)</f>
        <v>3</v>
      </c>
      <c r="BB521" s="1">
        <f t="shared" si="726"/>
        <v>5</v>
      </c>
      <c r="BC521" s="1">
        <f t="shared" si="748"/>
        <v>2</v>
      </c>
      <c r="BD521" s="1">
        <f t="shared" si="734"/>
        <v>0</v>
      </c>
      <c r="BE521" s="1">
        <f t="shared" si="727"/>
        <v>0</v>
      </c>
      <c r="BF521" s="1">
        <f>MIN(4,V521+1)</f>
        <v>2</v>
      </c>
      <c r="BG521" s="1">
        <f t="shared" si="731"/>
        <v>1</v>
      </c>
      <c r="BH521" s="1">
        <f t="shared" si="728"/>
        <v>1</v>
      </c>
      <c r="BI521" s="1">
        <f t="shared" si="732"/>
        <v>1</v>
      </c>
      <c r="BJ521" s="1">
        <f t="shared" si="746"/>
        <v>1</v>
      </c>
      <c r="BK521" s="1">
        <f t="shared" si="746"/>
        <v>1</v>
      </c>
      <c r="BL521" s="1">
        <f t="shared" si="708"/>
        <v>0</v>
      </c>
      <c r="BM521" s="1">
        <f t="shared" si="706"/>
        <v>0</v>
      </c>
      <c r="BN521" s="1">
        <f t="shared" si="729"/>
        <v>1</v>
      </c>
      <c r="BO521" s="1">
        <f t="shared" si="730"/>
        <v>1</v>
      </c>
    </row>
    <row r="522" spans="1:67" ht="30.95" customHeight="1">
      <c r="A522" s="1">
        <f>14</f>
        <v>14</v>
      </c>
      <c r="B522" s="1">
        <f>固定流程!A18</f>
        <v>13</v>
      </c>
      <c r="C522" s="1">
        <f>17</f>
        <v>17</v>
      </c>
      <c r="D522" s="1">
        <f>1</f>
        <v>1</v>
      </c>
      <c r="E522" s="1">
        <f>固定流程!C18</f>
        <v>2</v>
      </c>
      <c r="F522" s="1">
        <f>固定流程!G18</f>
        <v>3</v>
      </c>
      <c r="G522" s="1" t="str">
        <f>固定流程!H18</f>
        <v>RHI_BERRY</v>
      </c>
      <c r="H522" s="1">
        <f>固定流程!F18</f>
        <v>1</v>
      </c>
      <c r="I522" s="1">
        <f>INDEX(配置与结果!$B$15:$B$18,F522)</f>
        <v>2597</v>
      </c>
      <c r="J522" s="1">
        <f>INDEX(配置与结果!$D$15:$D$18,F522)</f>
        <v>0.255</v>
      </c>
      <c r="K522" s="1">
        <f>INDEX(配置与结果!$E$15:$E$18,F522)</f>
        <v>1.55</v>
      </c>
      <c r="L522" s="1">
        <f t="shared" si="736"/>
        <v>1</v>
      </c>
      <c r="M522" s="1">
        <f t="shared" si="736"/>
        <v>8</v>
      </c>
      <c r="N522" s="1">
        <f t="shared" si="736"/>
        <v>0</v>
      </c>
      <c r="O522" s="1">
        <f t="shared" si="735"/>
        <v>6</v>
      </c>
      <c r="P522" s="1">
        <f>MIN(方案参数!$AI$17,AZ521+0+0)</f>
        <v>5</v>
      </c>
      <c r="Q522" s="1">
        <f t="shared" si="713"/>
        <v>3</v>
      </c>
      <c r="R522" s="1">
        <f t="shared" si="714"/>
        <v>5</v>
      </c>
      <c r="S522" s="1">
        <f t="shared" si="715"/>
        <v>2</v>
      </c>
      <c r="T522" s="1">
        <f t="shared" si="716"/>
        <v>0</v>
      </c>
      <c r="U522" s="1">
        <f t="shared" si="717"/>
        <v>0</v>
      </c>
      <c r="V522" s="1">
        <f t="shared" si="718"/>
        <v>2</v>
      </c>
      <c r="W522" s="1">
        <f t="shared" si="719"/>
        <v>1</v>
      </c>
      <c r="X522" s="1">
        <f t="shared" si="720"/>
        <v>1</v>
      </c>
      <c r="Y522" s="1">
        <f t="shared" si="721"/>
        <v>1</v>
      </c>
      <c r="Z522" s="1">
        <f t="shared" si="722"/>
        <v>1</v>
      </c>
      <c r="AA522" s="1">
        <f t="shared" si="737"/>
        <v>1</v>
      </c>
      <c r="AB522" s="1">
        <f t="shared" si="724"/>
        <v>0</v>
      </c>
      <c r="AC522" s="1">
        <f t="shared" si="725"/>
        <v>0</v>
      </c>
      <c r="AD522" s="1">
        <f>ROUNDDOWN(I522*(1+IF(F522=3,0.05+方案参数!$Y$17+AA522*0.12,IF(F522=4,方案参数!$BZ$17*方案参数!$AS$17,0)))+IF(AND(X522=1,F522&lt;&gt;3),方案参数!$CC$17,0)+AC522*方案参数!$CB$17,0)</f>
        <v>3298</v>
      </c>
      <c r="AE522" s="1">
        <f>IF(OR(F522=1,F522=4),配置与结果!$B$24,配置与结果!$B$25)*MAX(0,1-INDEX(配置与结果!$I$15:$I$18,F522))</f>
        <v>1000</v>
      </c>
      <c r="AF522" s="1">
        <f>方案参数!$CF$17+P522*方案参数!$CG$17</f>
        <v>22.5</v>
      </c>
      <c r="AG522" s="1">
        <f>MAX(配置与结果!$B$32,1+INDEX(配置与结果!$F$15:$F$18,F522)+0+Q522*方案参数!$W$17+Y522*(方案参数!$AN$17+MIN(方案参数!$AO$17,P522*0.03))+AB522*方案参数!$BZ$17*0.025-配置与结果!$B$28)</f>
        <v>0.995</v>
      </c>
      <c r="AH522" s="1">
        <f>MAX(0,1+INDEX(配置与结果!$G$15:$G$18,F522)+W522*方案参数!$AG$17)</f>
        <v>1.3</v>
      </c>
      <c r="AI522" s="1">
        <f>IF(OR(INDEX(配置与结果!$K$15:$K$18,F522)=1,G522="RHI_BERRY"),1+配置与结果!$B$33+P522*方案参数!$AH$17,1)</f>
        <v>1.5</v>
      </c>
      <c r="AJ522" s="1">
        <f>MIN(1,MAX(0,J522+方案参数!$AB$17-配置与结果!$B$27))</f>
        <v>0.55499999999999994</v>
      </c>
      <c r="AK522" s="1">
        <f>MAX(1,K522+IF(F522=2,0.15+方案参数!$CH$17,0)+BN522*方案参数!$X$17+R522*方案参数!$AA$17+0-配置与结果!$B$26+Z522*(方案参数!$AP$17+MIN(方案参数!$AQ$17,P522*0.03)))</f>
        <v>1.6300000000000001</v>
      </c>
      <c r="AL522" s="7">
        <f>ROUNDDOWN(MAX(AD522*配置与结果!$B$31,AD522-AE522)*AF522*AG522*AH522*AI522,0)</f>
        <v>100320</v>
      </c>
      <c r="AM522" s="7">
        <f>ROUNDDOWN(MAX(AD522*配置与结果!$B$31,AD522-AE522)*AF522*AG522*AH522*AI522*AK522,0)</f>
        <v>163522</v>
      </c>
      <c r="AN522" s="7">
        <f t="shared" si="738"/>
        <v>135397.10999999999</v>
      </c>
      <c r="AO522" s="7">
        <f>0</f>
        <v>0</v>
      </c>
      <c r="AP522" s="7">
        <f>MAX(0,1+INDEX(配置与结果!$J$15:$J$18,F522)+IF(T522&gt;0,方案参数!$BY$17,0)-配置与结果!$B$30)</f>
        <v>1</v>
      </c>
      <c r="AQ522" s="7">
        <f t="shared" si="739"/>
        <v>0</v>
      </c>
      <c r="AR522" s="7">
        <f t="shared" si="740"/>
        <v>0</v>
      </c>
      <c r="AS522" s="7">
        <f t="shared" si="741"/>
        <v>0</v>
      </c>
      <c r="AT522" s="7">
        <f>0</f>
        <v>0</v>
      </c>
      <c r="AU522" s="7">
        <f t="shared" si="742"/>
        <v>135397.10999999999</v>
      </c>
      <c r="AV522" s="1">
        <f t="shared" si="743"/>
        <v>1</v>
      </c>
      <c r="AW522" s="1">
        <f t="shared" si="747"/>
        <v>8</v>
      </c>
      <c r="AX522" s="1">
        <f t="shared" si="744"/>
        <v>0</v>
      </c>
      <c r="AY522" s="1">
        <f t="shared" si="733"/>
        <v>6</v>
      </c>
      <c r="AZ522" s="1">
        <f t="shared" si="745"/>
        <v>5</v>
      </c>
      <c r="BA522" s="1">
        <f>MIN(6,Q522+0)</f>
        <v>3</v>
      </c>
      <c r="BB522" s="1">
        <f t="shared" si="726"/>
        <v>5</v>
      </c>
      <c r="BC522" s="1">
        <f t="shared" si="748"/>
        <v>2</v>
      </c>
      <c r="BD522" s="1">
        <f t="shared" si="734"/>
        <v>0</v>
      </c>
      <c r="BE522" s="1">
        <f t="shared" si="727"/>
        <v>0</v>
      </c>
      <c r="BF522" s="1">
        <f>MIN(4,V522+0)</f>
        <v>2</v>
      </c>
      <c r="BG522" s="1">
        <f t="shared" si="731"/>
        <v>1</v>
      </c>
      <c r="BH522" s="1">
        <f t="shared" si="728"/>
        <v>1</v>
      </c>
      <c r="BI522" s="1">
        <f t="shared" si="732"/>
        <v>1</v>
      </c>
      <c r="BJ522" s="1">
        <f t="shared" si="746"/>
        <v>1</v>
      </c>
      <c r="BK522" s="1">
        <f t="shared" si="746"/>
        <v>1</v>
      </c>
      <c r="BL522" s="1">
        <f t="shared" si="708"/>
        <v>0</v>
      </c>
      <c r="BM522" s="1">
        <f t="shared" si="706"/>
        <v>0</v>
      </c>
      <c r="BN522" s="1">
        <f t="shared" si="729"/>
        <v>1</v>
      </c>
      <c r="BO522" s="1">
        <f t="shared" si="730"/>
        <v>1</v>
      </c>
    </row>
    <row r="523" spans="1:67" ht="30.95" customHeight="1">
      <c r="A523" s="1">
        <f>14</f>
        <v>14</v>
      </c>
      <c r="B523" s="1">
        <f>固定流程!A19</f>
        <v>14</v>
      </c>
      <c r="C523" s="1">
        <f>17</f>
        <v>17</v>
      </c>
      <c r="D523" s="1">
        <f>1</f>
        <v>1</v>
      </c>
      <c r="E523" s="1">
        <f>固定流程!C19</f>
        <v>3</v>
      </c>
      <c r="F523" s="1">
        <f>固定流程!G19</f>
        <v>3</v>
      </c>
      <c r="G523" s="1" t="str">
        <f>固定流程!H19</f>
        <v>RHI_BUFF</v>
      </c>
      <c r="H523" s="1">
        <f>固定流程!F19</f>
        <v>1</v>
      </c>
      <c r="I523" s="1">
        <f>INDEX(配置与结果!$B$15:$B$18,F523)</f>
        <v>2597</v>
      </c>
      <c r="J523" s="1">
        <f>INDEX(配置与结果!$D$15:$D$18,F523)</f>
        <v>0.255</v>
      </c>
      <c r="K523" s="1">
        <f>INDEX(配置与结果!$E$15:$E$18,F523)</f>
        <v>1.55</v>
      </c>
      <c r="L523" s="1">
        <f>IF(AV522=1,IF(M523&gt;=10,2,1),IF(AV522=2,IF(AX522&lt;=1,0,2),0))</f>
        <v>2</v>
      </c>
      <c r="M523" s="1">
        <f>IF(AND(AV522=2,AX522&lt;=1),0,MIN(10,AW522+IF(AV522=1,3,0)))</f>
        <v>10</v>
      </c>
      <c r="N523" s="1">
        <f>IF(AND(AV522=1,M523&gt;=10),2,IF(AV522=2,MAX(0,AX522-1),0))</f>
        <v>2</v>
      </c>
      <c r="O523" s="1">
        <f t="shared" si="735"/>
        <v>6</v>
      </c>
      <c r="P523" s="1">
        <f>MIN(方案参数!$AI$17,AZ522+方案参数!$AJ$17+方案参数!$AK$17)</f>
        <v>5</v>
      </c>
      <c r="Q523" s="1">
        <f t="shared" si="713"/>
        <v>3</v>
      </c>
      <c r="R523" s="1">
        <f t="shared" si="714"/>
        <v>5</v>
      </c>
      <c r="S523" s="1">
        <f t="shared" si="715"/>
        <v>2</v>
      </c>
      <c r="T523" s="1">
        <f t="shared" si="716"/>
        <v>0</v>
      </c>
      <c r="U523" s="1">
        <f t="shared" si="717"/>
        <v>0</v>
      </c>
      <c r="V523" s="1">
        <f t="shared" si="718"/>
        <v>2</v>
      </c>
      <c r="W523" s="1">
        <f t="shared" si="719"/>
        <v>1</v>
      </c>
      <c r="X523" s="1">
        <f t="shared" si="720"/>
        <v>1</v>
      </c>
      <c r="Y523" s="1">
        <f t="shared" si="721"/>
        <v>1</v>
      </c>
      <c r="Z523" s="1">
        <f t="shared" si="722"/>
        <v>1</v>
      </c>
      <c r="AA523" s="1">
        <f t="shared" si="737"/>
        <v>1</v>
      </c>
      <c r="AB523" s="1">
        <f t="shared" si="724"/>
        <v>0</v>
      </c>
      <c r="AC523" s="1">
        <f t="shared" si="725"/>
        <v>0</v>
      </c>
      <c r="AD523" s="1">
        <f>ROUNDDOWN(I523*(1+IF(F523=3,0.05+方案参数!$Y$17+AA523*0.12,IF(F523=4,方案参数!$BZ$17*方案参数!$AS$17,0)))+IF(AND(X523=1,F523&lt;&gt;3),方案参数!$CC$17,0)+AC523*方案参数!$CB$17,0)</f>
        <v>3298</v>
      </c>
      <c r="AE523" s="1">
        <f>IF(OR(F523=1,F523=4),配置与结果!$B$24,配置与结果!$B$25)*MAX(0,1-INDEX(配置与结果!$I$15:$I$18,F523))</f>
        <v>1000</v>
      </c>
      <c r="AF523" s="1">
        <f>0</f>
        <v>0</v>
      </c>
      <c r="AG523" s="1">
        <f>MAX(配置与结果!$B$32,1+INDEX(配置与结果!$F$15:$F$18,F523)+0+Q523*方案参数!$W$17+Y523*(方案参数!$AN$17+MIN(方案参数!$AO$17,P523*0.03))+AB523*方案参数!$BZ$17*0.025-配置与结果!$B$28)</f>
        <v>0.995</v>
      </c>
      <c r="AH523" s="1">
        <f>MAX(0,1+INDEX(配置与结果!$G$15:$G$18,F523)+W523*方案参数!$AG$17)</f>
        <v>1.3</v>
      </c>
      <c r="AI523" s="1">
        <f>IF(OR(INDEX(配置与结果!$K$15:$K$18,F523)=1,G523="RHI_BERRY"),1+配置与结果!$B$33+P523*方案参数!$AH$17,1)</f>
        <v>1</v>
      </c>
      <c r="AJ523" s="1">
        <f>MIN(1,MAX(0,J523+方案参数!$AB$17-配置与结果!$B$27))</f>
        <v>0.55499999999999994</v>
      </c>
      <c r="AK523" s="1">
        <f>MAX(1,K523+IF(F523=2,0.15+方案参数!$CH$17,0)+BN523*方案参数!$X$17+R523*方案参数!$AA$17+0-配置与结果!$B$26+Z523*(方案参数!$AP$17+MIN(方案参数!$AQ$17,P523*0.03)))</f>
        <v>1.6300000000000001</v>
      </c>
      <c r="AL523" s="7">
        <f>ROUNDDOWN(MAX(AD523*配置与结果!$B$31,AD523-AE523)*AF523*AG523*AH523*AI523,0)</f>
        <v>0</v>
      </c>
      <c r="AM523" s="7">
        <f>ROUNDDOWN(MAX(AD523*配置与结果!$B$31,AD523-AE523)*AF523*AG523*AH523*AI523*AK523,0)</f>
        <v>0</v>
      </c>
      <c r="AN523" s="7">
        <f t="shared" si="738"/>
        <v>0</v>
      </c>
      <c r="AO523" s="7">
        <f>0</f>
        <v>0</v>
      </c>
      <c r="AP523" s="7">
        <f>MAX(0,1+INDEX(配置与结果!$J$15:$J$18,F523)+IF(T523&gt;0,方案参数!$BY$17,0)-配置与结果!$B$30)</f>
        <v>1</v>
      </c>
      <c r="AQ523" s="7">
        <f t="shared" si="739"/>
        <v>0</v>
      </c>
      <c r="AR523" s="7">
        <f t="shared" si="740"/>
        <v>0</v>
      </c>
      <c r="AS523" s="7">
        <f t="shared" si="741"/>
        <v>0</v>
      </c>
      <c r="AT523" s="7">
        <f>0</f>
        <v>0</v>
      </c>
      <c r="AU523" s="7">
        <f t="shared" si="742"/>
        <v>0</v>
      </c>
      <c r="AV523" s="1">
        <f t="shared" si="743"/>
        <v>2</v>
      </c>
      <c r="AW523" s="1">
        <f t="shared" si="747"/>
        <v>10</v>
      </c>
      <c r="AX523" s="1">
        <f t="shared" si="744"/>
        <v>2</v>
      </c>
      <c r="AY523" s="1">
        <f t="shared" si="733"/>
        <v>6</v>
      </c>
      <c r="AZ523" s="1">
        <f t="shared" si="745"/>
        <v>5</v>
      </c>
      <c r="BA523" s="1">
        <f>MIN(6,Q523+1)</f>
        <v>4</v>
      </c>
      <c r="BB523" s="1">
        <f t="shared" si="726"/>
        <v>5</v>
      </c>
      <c r="BC523" s="1">
        <f t="shared" si="748"/>
        <v>2</v>
      </c>
      <c r="BD523" s="1">
        <f t="shared" si="734"/>
        <v>0</v>
      </c>
      <c r="BE523" s="1">
        <f t="shared" si="727"/>
        <v>0</v>
      </c>
      <c r="BF523" s="1">
        <f>MIN(4,V523+0)</f>
        <v>2</v>
      </c>
      <c r="BG523" s="1">
        <f>MAX(W523,1)</f>
        <v>1</v>
      </c>
      <c r="BH523" s="1">
        <f t="shared" si="728"/>
        <v>1</v>
      </c>
      <c r="BI523" s="1">
        <f>MAX(Y523,1)</f>
        <v>1</v>
      </c>
      <c r="BJ523" s="1">
        <f t="shared" si="746"/>
        <v>1</v>
      </c>
      <c r="BK523" s="1">
        <f t="shared" si="746"/>
        <v>1</v>
      </c>
      <c r="BL523" s="1">
        <f t="shared" si="708"/>
        <v>0</v>
      </c>
      <c r="BM523" s="1">
        <f t="shared" si="706"/>
        <v>0</v>
      </c>
      <c r="BN523" s="1">
        <f t="shared" si="729"/>
        <v>1</v>
      </c>
      <c r="BO523" s="1">
        <f t="shared" si="730"/>
        <v>1</v>
      </c>
    </row>
    <row r="524" spans="1:67" ht="30.95" customHeight="1">
      <c r="A524" s="1">
        <f>14</f>
        <v>14</v>
      </c>
      <c r="B524" s="1">
        <f>固定流程!A20</f>
        <v>15</v>
      </c>
      <c r="C524" s="1">
        <f>17</f>
        <v>17</v>
      </c>
      <c r="D524" s="1">
        <f>1</f>
        <v>1</v>
      </c>
      <c r="E524" s="1">
        <f>固定流程!C20</f>
        <v>3</v>
      </c>
      <c r="F524" s="1">
        <f>固定流程!G20</f>
        <v>3</v>
      </c>
      <c r="G524" s="1" t="str">
        <f>固定流程!H20</f>
        <v>RHI_ATTACK</v>
      </c>
      <c r="H524" s="1">
        <f>固定流程!F20</f>
        <v>1</v>
      </c>
      <c r="I524" s="1">
        <f>INDEX(配置与结果!$B$15:$B$18,F524)</f>
        <v>2597</v>
      </c>
      <c r="J524" s="1">
        <f>INDEX(配置与结果!$D$15:$D$18,F524)</f>
        <v>0.255</v>
      </c>
      <c r="K524" s="1">
        <f>INDEX(配置与结果!$E$15:$E$18,F524)</f>
        <v>1.55</v>
      </c>
      <c r="L524" s="1">
        <f t="shared" ref="L524:L545" si="749">AV523</f>
        <v>2</v>
      </c>
      <c r="M524" s="1">
        <f t="shared" ref="M524:M545" si="750">AW523</f>
        <v>10</v>
      </c>
      <c r="N524" s="1">
        <f t="shared" ref="N524:N545" si="751">AX523</f>
        <v>2</v>
      </c>
      <c r="O524" s="1">
        <f t="shared" si="735"/>
        <v>6</v>
      </c>
      <c r="P524" s="1">
        <f>MIN(方案参数!$AI$17,AZ523+0+方案参数!$AK$17)</f>
        <v>5</v>
      </c>
      <c r="Q524" s="1">
        <f t="shared" si="713"/>
        <v>4</v>
      </c>
      <c r="R524" s="1">
        <f t="shared" si="714"/>
        <v>5</v>
      </c>
      <c r="S524" s="1">
        <f t="shared" si="715"/>
        <v>2</v>
      </c>
      <c r="T524" s="1">
        <f t="shared" si="716"/>
        <v>0</v>
      </c>
      <c r="U524" s="1">
        <f t="shared" si="717"/>
        <v>0</v>
      </c>
      <c r="V524" s="1">
        <f t="shared" si="718"/>
        <v>2</v>
      </c>
      <c r="W524" s="1">
        <f t="shared" si="719"/>
        <v>1</v>
      </c>
      <c r="X524" s="1">
        <f t="shared" si="720"/>
        <v>1</v>
      </c>
      <c r="Y524" s="1">
        <f t="shared" si="721"/>
        <v>1</v>
      </c>
      <c r="Z524" s="1">
        <f t="shared" si="722"/>
        <v>1</v>
      </c>
      <c r="AA524" s="1">
        <f>MAX(BK523,1)</f>
        <v>1</v>
      </c>
      <c r="AB524" s="1">
        <f t="shared" si="724"/>
        <v>0</v>
      </c>
      <c r="AC524" s="1">
        <f t="shared" si="725"/>
        <v>0</v>
      </c>
      <c r="AD524" s="1">
        <f>ROUNDDOWN(I524*(1+IF(F524=3,0.05+方案参数!$Y$17+AA524*0.12,IF(F524=4,方案参数!$BZ$17*方案参数!$AS$17,0)))+IF(AND(X524=1,F524&lt;&gt;3),方案参数!$CC$17,0)+AC524*方案参数!$CB$17,0)</f>
        <v>3298</v>
      </c>
      <c r="AE524" s="1">
        <f>IF(OR(F524=1,F524=4),配置与结果!$B$24,配置与结果!$B$25)*MAX(0,1-INDEX(配置与结果!$I$15:$I$18,F524))</f>
        <v>1000</v>
      </c>
      <c r="AF524" s="1">
        <f>4</f>
        <v>4</v>
      </c>
      <c r="AG524" s="1">
        <f>MAX(配置与结果!$B$32,1+INDEX(配置与结果!$F$15:$F$18,F524)+0+Q524*方案参数!$W$17+Y524*(方案参数!$AN$17+MIN(方案参数!$AO$17,P524*0.03))+AB524*方案参数!$BZ$17*0.025-配置与结果!$B$28)</f>
        <v>1.0150000000000001</v>
      </c>
      <c r="AH524" s="1">
        <f>MAX(0,1+INDEX(配置与结果!$G$15:$G$18,F524)+W524*方案参数!$AG$17)</f>
        <v>1.3</v>
      </c>
      <c r="AI524" s="1">
        <f>IF(OR(INDEX(配置与结果!$K$15:$K$18,F524)=1,G524="RHI_BERRY"),1+配置与结果!$B$33+P524*方案参数!$AH$17,1)</f>
        <v>1</v>
      </c>
      <c r="AJ524" s="1">
        <f>MIN(1,MAX(0,J524+方案参数!$AB$17-配置与结果!$B$27))</f>
        <v>0.55499999999999994</v>
      </c>
      <c r="AK524" s="1">
        <f>MAX(1,K524+IF(F524=2,0.15+方案参数!$CH$17,0)+BN524*方案参数!$X$17+R524*方案参数!$AA$17+0-配置与结果!$B$26+Z524*(方案参数!$AP$17+MIN(方案参数!$AQ$17,P524*0.03)))</f>
        <v>1.6300000000000001</v>
      </c>
      <c r="AL524" s="7">
        <f>ROUNDDOWN(MAX(AD524*配置与结果!$B$31,AD524-AE524)*AF524*AG524*AH524*AI524,0)</f>
        <v>12128</v>
      </c>
      <c r="AM524" s="7">
        <f>ROUNDDOWN(MAX(AD524*配置与结果!$B$31,AD524-AE524)*AF524*AG524*AH524*AI524*AK524,0)</f>
        <v>19770</v>
      </c>
      <c r="AN524" s="7">
        <f t="shared" si="738"/>
        <v>16369.31</v>
      </c>
      <c r="AO524" s="7">
        <f>0</f>
        <v>0</v>
      </c>
      <c r="AP524" s="7">
        <f>MAX(0,1+INDEX(配置与结果!$J$15:$J$18,F524)+IF(T524&gt;0,方案参数!$BY$17,0)-配置与结果!$B$30)</f>
        <v>1</v>
      </c>
      <c r="AQ524" s="7">
        <f t="shared" si="739"/>
        <v>0</v>
      </c>
      <c r="AR524" s="7">
        <f t="shared" si="740"/>
        <v>0</v>
      </c>
      <c r="AS524" s="7">
        <f t="shared" si="741"/>
        <v>0</v>
      </c>
      <c r="AT524" s="7">
        <f>0</f>
        <v>0</v>
      </c>
      <c r="AU524" s="7">
        <f t="shared" si="742"/>
        <v>16369.31</v>
      </c>
      <c r="AV524" s="1">
        <f t="shared" si="743"/>
        <v>2</v>
      </c>
      <c r="AW524" s="1">
        <f t="shared" si="747"/>
        <v>10</v>
      </c>
      <c r="AX524" s="1">
        <f t="shared" si="744"/>
        <v>2</v>
      </c>
      <c r="AY524" s="1">
        <f t="shared" si="733"/>
        <v>6</v>
      </c>
      <c r="AZ524" s="1">
        <f t="shared" si="745"/>
        <v>5</v>
      </c>
      <c r="BA524" s="1">
        <f>MIN(6,Q524+1)</f>
        <v>5</v>
      </c>
      <c r="BB524" s="1">
        <f t="shared" si="726"/>
        <v>5</v>
      </c>
      <c r="BC524" s="1">
        <f t="shared" si="748"/>
        <v>2</v>
      </c>
      <c r="BD524" s="1">
        <f t="shared" si="734"/>
        <v>0</v>
      </c>
      <c r="BE524" s="1">
        <f t="shared" si="727"/>
        <v>0</v>
      </c>
      <c r="BF524" s="1">
        <f>MIN(4,V524+0)</f>
        <v>2</v>
      </c>
      <c r="BG524" s="1">
        <f t="shared" ref="BG524:BG546" si="752">MAX(W524,0)</f>
        <v>1</v>
      </c>
      <c r="BH524" s="1">
        <f t="shared" si="728"/>
        <v>1</v>
      </c>
      <c r="BI524" s="1">
        <f t="shared" ref="BI524:BI546" si="753">MAX(Y524,0)</f>
        <v>1</v>
      </c>
      <c r="BJ524" s="1">
        <f>MAX(Z524,1)</f>
        <v>1</v>
      </c>
      <c r="BK524" s="1">
        <f>MAX(AA524,1)</f>
        <v>1</v>
      </c>
      <c r="BL524" s="1">
        <f t="shared" si="708"/>
        <v>0</v>
      </c>
      <c r="BM524" s="1">
        <f t="shared" si="706"/>
        <v>0</v>
      </c>
      <c r="BN524" s="1">
        <f t="shared" si="729"/>
        <v>1</v>
      </c>
      <c r="BO524" s="1">
        <f t="shared" si="730"/>
        <v>1</v>
      </c>
    </row>
    <row r="525" spans="1:67" ht="30.95" customHeight="1">
      <c r="A525" s="1">
        <f>14</f>
        <v>14</v>
      </c>
      <c r="B525" s="1">
        <f>固定流程!A21</f>
        <v>16</v>
      </c>
      <c r="C525" s="1">
        <f>17</f>
        <v>17</v>
      </c>
      <c r="D525" s="1">
        <f>1</f>
        <v>1</v>
      </c>
      <c r="E525" s="1">
        <f>固定流程!C21</f>
        <v>3</v>
      </c>
      <c r="F525" s="1">
        <f>固定流程!G21</f>
        <v>2</v>
      </c>
      <c r="G525" s="1" t="str">
        <f>固定流程!H21</f>
        <v>37_ULT</v>
      </c>
      <c r="H525" s="1">
        <f>固定流程!F21</f>
        <v>1</v>
      </c>
      <c r="I525" s="1">
        <f>INDEX(配置与结果!$B$15:$B$18,F525)</f>
        <v>2306</v>
      </c>
      <c r="J525" s="1">
        <f>INDEX(配置与结果!$D$15:$D$18,F525)</f>
        <v>0.46</v>
      </c>
      <c r="K525" s="1">
        <f>INDEX(配置与结果!$E$15:$E$18,F525)</f>
        <v>1.9279999999999999</v>
      </c>
      <c r="L525" s="1">
        <f t="shared" si="749"/>
        <v>2</v>
      </c>
      <c r="M525" s="1">
        <f t="shared" si="750"/>
        <v>10</v>
      </c>
      <c r="N525" s="1">
        <f t="shared" si="751"/>
        <v>2</v>
      </c>
      <c r="O525" s="1">
        <f t="shared" si="735"/>
        <v>6</v>
      </c>
      <c r="P525" s="1">
        <f>MIN(方案参数!$AI$17,AZ524+0+0)</f>
        <v>5</v>
      </c>
      <c r="Q525" s="1">
        <f t="shared" si="713"/>
        <v>5</v>
      </c>
      <c r="R525" s="1">
        <f t="shared" si="714"/>
        <v>5</v>
      </c>
      <c r="S525" s="1">
        <f t="shared" si="715"/>
        <v>2</v>
      </c>
      <c r="T525" s="1">
        <f>BD524+方案参数!$BX$17</f>
        <v>2</v>
      </c>
      <c r="U525" s="1">
        <f t="shared" si="717"/>
        <v>0</v>
      </c>
      <c r="V525" s="1">
        <f t="shared" si="718"/>
        <v>2</v>
      </c>
      <c r="W525" s="1">
        <f t="shared" si="719"/>
        <v>1</v>
      </c>
      <c r="X525" s="1">
        <f t="shared" si="720"/>
        <v>1</v>
      </c>
      <c r="Y525" s="1">
        <f t="shared" si="721"/>
        <v>1</v>
      </c>
      <c r="Z525" s="1">
        <f t="shared" si="722"/>
        <v>1</v>
      </c>
      <c r="AA525" s="1">
        <f t="shared" ref="AA525:AA545" si="754">MAX(BK524,0)</f>
        <v>1</v>
      </c>
      <c r="AB525" s="1">
        <f t="shared" si="724"/>
        <v>0</v>
      </c>
      <c r="AC525" s="1">
        <f>MAX(BM524,1)</f>
        <v>1</v>
      </c>
      <c r="AD525" s="1">
        <f>ROUNDDOWN(I525*(1+IF(F525=3,0.05+方案参数!$Y$17+AA525*0.12,IF(F525=4,方案参数!$BZ$17*方案参数!$AS$17,0)))+IF(AND(X525=1,F525&lt;&gt;3),方案参数!$CC$17,0)+AC525*方案参数!$CB$17,0)</f>
        <v>3044</v>
      </c>
      <c r="AE525" s="1">
        <f>IF(OR(F525=1,F525=4),配置与结果!$B$24,配置与结果!$B$25)*MAX(0,1-INDEX(配置与结果!$I$15:$I$18,F525))</f>
        <v>1000</v>
      </c>
      <c r="AF525" s="1">
        <f>0</f>
        <v>0</v>
      </c>
      <c r="AG525" s="1">
        <f>MAX(配置与结果!$B$32,1+INDEX(配置与结果!$F$15:$F$18,F525)+0+Q525*方案参数!$W$17+Y525*(方案参数!$AN$17+MIN(方案参数!$AO$17,P525*0.03))+AB525*方案参数!$BZ$17*0.025-配置与结果!$B$28)</f>
        <v>1.0049999999999999</v>
      </c>
      <c r="AH525" s="1">
        <f>MAX(0,1+INDEX(配置与结果!$G$15:$G$18,F525)+W525*方案参数!$AG$17)</f>
        <v>1.3</v>
      </c>
      <c r="AI525" s="1">
        <f>IF(OR(INDEX(配置与结果!$K$15:$K$18,F525)=1,G525="RHI_BERRY"),1+配置与结果!$B$33+P525*方案参数!$AH$17,1)</f>
        <v>1</v>
      </c>
      <c r="AJ525" s="1">
        <f>MIN(1,MAX(0,J525+方案参数!$AB$17-配置与结果!$B$27))</f>
        <v>0.76</v>
      </c>
      <c r="AK525" s="1">
        <f>MAX(1,K525+IF(F525=2,0.15+方案参数!$CH$17,0)+BN525*方案参数!$X$17+R525*方案参数!$AA$17+0-配置与结果!$B$26+Z525*(方案参数!$AP$17+MIN(方案参数!$AQ$17,P525*0.03)))</f>
        <v>2.278</v>
      </c>
      <c r="AL525" s="7">
        <f>ROUNDDOWN(MAX(AD525*配置与结果!$B$31,AD525-AE525)*AF525*AG525*AH525*AI525,0)</f>
        <v>0</v>
      </c>
      <c r="AM525" s="7">
        <f>ROUNDDOWN(MAX(AD525*配置与结果!$B$31,AD525-AE525)*AF525*AG525*AH525*AI525*AK525,0)</f>
        <v>0</v>
      </c>
      <c r="AN525" s="7">
        <f t="shared" si="738"/>
        <v>0</v>
      </c>
      <c r="AO525" s="7">
        <f>0</f>
        <v>0</v>
      </c>
      <c r="AP525" s="7">
        <f>MAX(0,1+INDEX(配置与结果!$J$15:$J$18,F525)+IF(T525&gt;0,方案参数!$BY$17,0)-配置与结果!$B$30)</f>
        <v>2</v>
      </c>
      <c r="AQ525" s="7">
        <f t="shared" si="739"/>
        <v>0</v>
      </c>
      <c r="AR525" s="7">
        <f t="shared" si="740"/>
        <v>0</v>
      </c>
      <c r="AS525" s="7">
        <f t="shared" si="741"/>
        <v>0</v>
      </c>
      <c r="AT525" s="7">
        <f>0</f>
        <v>0</v>
      </c>
      <c r="AU525" s="7">
        <f t="shared" si="742"/>
        <v>0</v>
      </c>
      <c r="AV525" s="1">
        <f t="shared" si="743"/>
        <v>2</v>
      </c>
      <c r="AW525" s="1">
        <f t="shared" si="747"/>
        <v>10</v>
      </c>
      <c r="AX525" s="1">
        <f t="shared" si="744"/>
        <v>2</v>
      </c>
      <c r="AY525" s="1">
        <f t="shared" si="733"/>
        <v>6</v>
      </c>
      <c r="AZ525" s="1">
        <f t="shared" si="745"/>
        <v>5</v>
      </c>
      <c r="BA525" s="1">
        <f t="shared" ref="BA525:BA545" si="755">MIN(6,Q525+0)</f>
        <v>5</v>
      </c>
      <c r="BB525" s="1">
        <f>MIN(30,R525+5)</f>
        <v>10</v>
      </c>
      <c r="BC525" s="1">
        <f t="shared" si="748"/>
        <v>2</v>
      </c>
      <c r="BD525" s="1">
        <f t="shared" si="734"/>
        <v>2</v>
      </c>
      <c r="BE525" s="1">
        <f t="shared" si="727"/>
        <v>0</v>
      </c>
      <c r="BF525" s="1">
        <f>MIN(4,V525+0)</f>
        <v>2</v>
      </c>
      <c r="BG525" s="1">
        <f t="shared" si="752"/>
        <v>1</v>
      </c>
      <c r="BH525" s="1">
        <f t="shared" si="728"/>
        <v>1</v>
      </c>
      <c r="BI525" s="1">
        <f t="shared" si="753"/>
        <v>1</v>
      </c>
      <c r="BJ525" s="1">
        <f t="shared" ref="BJ525:BJ552" si="756">MAX(Z525,0)</f>
        <v>1</v>
      </c>
      <c r="BK525" s="1">
        <f t="shared" ref="BK525:BK552" si="757">MAX(AA525,0)</f>
        <v>1</v>
      </c>
      <c r="BL525" s="1">
        <f t="shared" si="708"/>
        <v>0</v>
      </c>
      <c r="BM525" s="1">
        <f>MAX(AC525,1)</f>
        <v>1</v>
      </c>
      <c r="BN525" s="1">
        <f t="shared" si="729"/>
        <v>1</v>
      </c>
      <c r="BO525" s="1">
        <f t="shared" si="730"/>
        <v>1</v>
      </c>
    </row>
    <row r="526" spans="1:67" ht="30.95" customHeight="1">
      <c r="A526" s="1">
        <f>14</f>
        <v>14</v>
      </c>
      <c r="B526" s="1">
        <f>固定流程!A22</f>
        <v>17</v>
      </c>
      <c r="C526" s="1">
        <f>17</f>
        <v>17</v>
      </c>
      <c r="D526" s="1">
        <f>1</f>
        <v>1</v>
      </c>
      <c r="E526" s="1">
        <f>固定流程!C22</f>
        <v>3</v>
      </c>
      <c r="F526" s="1">
        <f>固定流程!G22</f>
        <v>2</v>
      </c>
      <c r="G526" s="1" t="str">
        <f>固定流程!H22</f>
        <v>37_FOLLOW</v>
      </c>
      <c r="H526" s="1">
        <f>固定流程!F22</f>
        <v>1</v>
      </c>
      <c r="I526" s="1">
        <f>INDEX(配置与结果!$B$15:$B$18,F526)</f>
        <v>2306</v>
      </c>
      <c r="J526" s="1">
        <f>INDEX(配置与结果!$D$15:$D$18,F526)</f>
        <v>0.46</v>
      </c>
      <c r="K526" s="1">
        <f>INDEX(配置与结果!$E$15:$E$18,F526)</f>
        <v>1.9279999999999999</v>
      </c>
      <c r="L526" s="1">
        <f t="shared" si="749"/>
        <v>2</v>
      </c>
      <c r="M526" s="1">
        <f t="shared" si="750"/>
        <v>10</v>
      </c>
      <c r="N526" s="1">
        <f t="shared" si="751"/>
        <v>2</v>
      </c>
      <c r="O526" s="1">
        <f t="shared" si="735"/>
        <v>6</v>
      </c>
      <c r="P526" s="1">
        <f>MIN(方案参数!$AI$17,AZ525+0+0)</f>
        <v>5</v>
      </c>
      <c r="Q526" s="1">
        <f t="shared" si="713"/>
        <v>5</v>
      </c>
      <c r="R526" s="1">
        <f t="shared" si="714"/>
        <v>10</v>
      </c>
      <c r="S526" s="1">
        <f t="shared" si="715"/>
        <v>2</v>
      </c>
      <c r="T526" s="1">
        <f t="shared" ref="T526:T545" si="758">BD525+0</f>
        <v>2</v>
      </c>
      <c r="U526" s="1">
        <f t="shared" si="717"/>
        <v>0</v>
      </c>
      <c r="V526" s="1">
        <f t="shared" si="718"/>
        <v>2</v>
      </c>
      <c r="W526" s="1">
        <f t="shared" si="719"/>
        <v>1</v>
      </c>
      <c r="X526" s="1">
        <f t="shared" si="720"/>
        <v>1</v>
      </c>
      <c r="Y526" s="1">
        <f t="shared" si="721"/>
        <v>1</v>
      </c>
      <c r="Z526" s="1">
        <f t="shared" si="722"/>
        <v>1</v>
      </c>
      <c r="AA526" s="1">
        <f t="shared" si="754"/>
        <v>1</v>
      </c>
      <c r="AB526" s="1">
        <f t="shared" si="724"/>
        <v>0</v>
      </c>
      <c r="AC526" s="1">
        <f t="shared" ref="AC526:AC545" si="759">MAX(BM525,0)</f>
        <v>1</v>
      </c>
      <c r="AD526" s="1">
        <f>ROUNDDOWN(I526*(1+IF(F526=3,0.05+方案参数!$Y$17+AA526*0.12,IF(F526=4,方案参数!$BZ$17*方案参数!$AS$17,0)))+IF(AND(X526=1,F526&lt;&gt;3),方案参数!$CC$17,0)+AC526*方案参数!$CB$17,0)</f>
        <v>3044</v>
      </c>
      <c r="AE526" s="1">
        <f>IF(OR(F526=1,F526=4),配置与结果!$B$24,配置与结果!$B$25)*MAX(0,1-INDEX(配置与结果!$I$15:$I$18,F526))</f>
        <v>1000</v>
      </c>
      <c r="AF526" s="1">
        <f>方案参数!$BV$17</f>
        <v>3</v>
      </c>
      <c r="AG526" s="1">
        <f>MAX(配置与结果!$B$32,1+INDEX(配置与结果!$F$15:$F$18,F526)+0+Q526*方案参数!$W$17+Y526*(方案参数!$AN$17+MIN(方案参数!$AO$17,P526*0.03))+AB526*方案参数!$BZ$17*0.025-配置与结果!$B$28)</f>
        <v>1.0049999999999999</v>
      </c>
      <c r="AH526" s="1">
        <f>MAX(0,1+INDEX(配置与结果!$G$15:$G$18,F526)+W526*方案参数!$AG$17)</f>
        <v>1.3</v>
      </c>
      <c r="AI526" s="1">
        <f>IF(OR(INDEX(配置与结果!$K$15:$K$18,F526)=1,G526="RHI_BERRY"),1+配置与结果!$B$33+P526*方案参数!$AH$17,1)</f>
        <v>1</v>
      </c>
      <c r="AJ526" s="1">
        <f>MIN(1,MAX(0,J526+方案参数!$AB$17-配置与结果!$B$27))</f>
        <v>0.76</v>
      </c>
      <c r="AK526" s="1">
        <f>MAX(1,K526+IF(F526=2,0.15+方案参数!$CH$17,0)+BN526*方案参数!$X$17+R526*方案参数!$AA$17+0-配置与结果!$B$26+Z526*(方案参数!$AP$17+MIN(方案参数!$AQ$17,P526*0.03)))</f>
        <v>2.298</v>
      </c>
      <c r="AL526" s="7">
        <f>ROUNDDOWN(MAX(AD526*配置与结果!$B$31,AD526-AE526)*AF526*AG526*AH526*AI526,0)</f>
        <v>8011</v>
      </c>
      <c r="AM526" s="7">
        <f>ROUNDDOWN(MAX(AD526*配置与结果!$B$31,AD526-AE526)*AF526*AG526*AH526*AI526*AK526,0)</f>
        <v>18410</v>
      </c>
      <c r="AN526" s="7">
        <f t="shared" si="738"/>
        <v>15914.24</v>
      </c>
      <c r="AO526" s="7">
        <f>方案参数!$BW$17</f>
        <v>1</v>
      </c>
      <c r="AP526" s="7">
        <f>MAX(0,1+INDEX(配置与结果!$J$15:$J$18,F526)+IF(T526&gt;0,方案参数!$BY$17,0)-配置与结果!$B$30)</f>
        <v>2</v>
      </c>
      <c r="AQ526" s="7">
        <f t="shared" si="739"/>
        <v>6088</v>
      </c>
      <c r="AR526" s="7">
        <f t="shared" si="740"/>
        <v>13990</v>
      </c>
      <c r="AS526" s="7">
        <f t="shared" si="741"/>
        <v>12093.52</v>
      </c>
      <c r="AT526" s="7">
        <f>0</f>
        <v>0</v>
      </c>
      <c r="AU526" s="7">
        <f t="shared" si="742"/>
        <v>28007.760000000002</v>
      </c>
      <c r="AV526" s="1">
        <f t="shared" si="743"/>
        <v>2</v>
      </c>
      <c r="AW526" s="1">
        <f t="shared" si="747"/>
        <v>10</v>
      </c>
      <c r="AX526" s="1">
        <f t="shared" si="744"/>
        <v>2</v>
      </c>
      <c r="AY526" s="1">
        <f t="shared" si="733"/>
        <v>6</v>
      </c>
      <c r="AZ526" s="1">
        <f t="shared" si="745"/>
        <v>5</v>
      </c>
      <c r="BA526" s="1">
        <f t="shared" si="755"/>
        <v>5</v>
      </c>
      <c r="BB526" s="1">
        <f>MIN(30,R526+0)</f>
        <v>10</v>
      </c>
      <c r="BC526" s="1">
        <f t="shared" si="748"/>
        <v>2</v>
      </c>
      <c r="BD526" s="1">
        <f t="shared" si="734"/>
        <v>1</v>
      </c>
      <c r="BE526" s="1">
        <f t="shared" si="727"/>
        <v>0</v>
      </c>
      <c r="BF526" s="1">
        <f>MIN(4,V526+1)</f>
        <v>3</v>
      </c>
      <c r="BG526" s="1">
        <f t="shared" si="752"/>
        <v>1</v>
      </c>
      <c r="BH526" s="1">
        <f t="shared" si="728"/>
        <v>1</v>
      </c>
      <c r="BI526" s="1">
        <f t="shared" si="753"/>
        <v>1</v>
      </c>
      <c r="BJ526" s="1">
        <f t="shared" si="756"/>
        <v>1</v>
      </c>
      <c r="BK526" s="1">
        <f t="shared" si="757"/>
        <v>1</v>
      </c>
      <c r="BL526" s="1">
        <f t="shared" si="708"/>
        <v>0</v>
      </c>
      <c r="BM526" s="1">
        <f t="shared" ref="BM526:BM560" si="760">MAX(AC526,0)</f>
        <v>1</v>
      </c>
      <c r="BN526" s="1">
        <f t="shared" si="729"/>
        <v>1</v>
      </c>
      <c r="BO526" s="1">
        <f t="shared" si="730"/>
        <v>1</v>
      </c>
    </row>
    <row r="527" spans="1:67" ht="30.95" customHeight="1">
      <c r="A527" s="1">
        <f>14</f>
        <v>14</v>
      </c>
      <c r="B527" s="1">
        <f>固定流程!A23</f>
        <v>18</v>
      </c>
      <c r="C527" s="1">
        <f>17</f>
        <v>17</v>
      </c>
      <c r="D527" s="1">
        <f>1</f>
        <v>1</v>
      </c>
      <c r="E527" s="1">
        <f>固定流程!C23</f>
        <v>3</v>
      </c>
      <c r="F527" s="1">
        <f>固定流程!G23</f>
        <v>4</v>
      </c>
      <c r="G527" s="1" t="str">
        <f>固定流程!H23</f>
        <v>J_HARD</v>
      </c>
      <c r="H527" s="1">
        <f>固定流程!F23</f>
        <v>1</v>
      </c>
      <c r="I527" s="1">
        <f>INDEX(配置与结果!$B$15:$B$18,F527)</f>
        <v>1906</v>
      </c>
      <c r="J527" s="1">
        <f>INDEX(配置与结果!$D$15:$D$18,F527)</f>
        <v>0.36699999999999999</v>
      </c>
      <c r="K527" s="1">
        <f>INDEX(配置与结果!$E$15:$E$18,F527)</f>
        <v>1.7170000000000001</v>
      </c>
      <c r="L527" s="1">
        <f t="shared" si="749"/>
        <v>2</v>
      </c>
      <c r="M527" s="1">
        <f t="shared" si="750"/>
        <v>10</v>
      </c>
      <c r="N527" s="1">
        <f t="shared" si="751"/>
        <v>2</v>
      </c>
      <c r="O527" s="1">
        <f t="shared" si="735"/>
        <v>6</v>
      </c>
      <c r="P527" s="1">
        <f>MIN(方案参数!$AI$17,AZ526+0+0)</f>
        <v>5</v>
      </c>
      <c r="Q527" s="1">
        <f t="shared" si="713"/>
        <v>5</v>
      </c>
      <c r="R527" s="1">
        <f t="shared" si="714"/>
        <v>10</v>
      </c>
      <c r="S527" s="1">
        <f t="shared" si="715"/>
        <v>2</v>
      </c>
      <c r="T527" s="1">
        <f t="shared" si="758"/>
        <v>1</v>
      </c>
      <c r="U527" s="1">
        <f t="shared" si="717"/>
        <v>0</v>
      </c>
      <c r="V527" s="1">
        <f t="shared" si="718"/>
        <v>3</v>
      </c>
      <c r="W527" s="1">
        <f t="shared" si="719"/>
        <v>1</v>
      </c>
      <c r="X527" s="1">
        <f t="shared" si="720"/>
        <v>1</v>
      </c>
      <c r="Y527" s="1">
        <f t="shared" si="721"/>
        <v>1</v>
      </c>
      <c r="Z527" s="1">
        <f t="shared" si="722"/>
        <v>1</v>
      </c>
      <c r="AA527" s="1">
        <f t="shared" si="754"/>
        <v>1</v>
      </c>
      <c r="AB527" s="1">
        <f t="shared" si="724"/>
        <v>0</v>
      </c>
      <c r="AC527" s="1">
        <f t="shared" si="759"/>
        <v>1</v>
      </c>
      <c r="AD527" s="1">
        <f>ROUNDDOWN(I527*(1+IF(F527=3,0.05+方案参数!$Y$17+AA527*0.12,IF(F527=4,方案参数!$BZ$17*方案参数!$AS$17,0)))+IF(AND(X527=1,F527&lt;&gt;3),方案参数!$CC$17,0)+AC527*方案参数!$CB$17,0)</f>
        <v>3311</v>
      </c>
      <c r="AE527" s="1">
        <f>IF(OR(F527=1,F527=4),配置与结果!$B$24,配置与结果!$B$25)*MAX(0,1-INDEX(配置与结果!$I$15:$I$18,F527))</f>
        <v>1200</v>
      </c>
      <c r="AF527" s="1">
        <f>3.6*IF(H527=1,1,IF(H527=2,1.5,2.5))</f>
        <v>3.6</v>
      </c>
      <c r="AG527" s="1">
        <f>MAX(配置与结果!$B$32,1+INDEX(配置与结果!$F$15:$F$18,F527)+0.08+Q527*方案参数!$W$17+Y527*(方案参数!$AN$17+MIN(方案参数!$AO$17,P527*0.03))+AB527*方案参数!$BZ$17*0.025+0.1+IF(方案参数!$BZ$17&gt;=30,方案参数!$BZ$17*0.01,0)-配置与结果!$B$28)</f>
        <v>1.5550000000000002</v>
      </c>
      <c r="AH527" s="1">
        <f>MAX(0,1+INDEX(配置与结果!$G$15:$G$18,F527)+W527*方案参数!$AG$17)</f>
        <v>1.3</v>
      </c>
      <c r="AI527" s="1">
        <f>IF(OR(INDEX(配置与结果!$K$15:$K$18,F527)=1,G527="RHI_BERRY"),1+配置与结果!$B$33+P527*方案参数!$AH$17,1)</f>
        <v>1</v>
      </c>
      <c r="AJ527" s="1">
        <f>MIN(1,MAX(0,J527+方案参数!$AB$17-配置与结果!$B$27))</f>
        <v>0.66700000000000004</v>
      </c>
      <c r="AK527" s="1">
        <f>MAX(1,K527+IF(F527=2,0.15+方案参数!$CH$17,0)+BN527*方案参数!$X$17+R527*方案参数!$AA$17+0-配置与结果!$B$26+Z527*(方案参数!$AP$17+MIN(方案参数!$AQ$17,P527*0.03)))</f>
        <v>1.8169999999999999</v>
      </c>
      <c r="AL527" s="7">
        <f>ROUNDDOWN(MAX(AD527*配置与结果!$B$31,AD527-AE527)*AF527*AG527*AH527*AI527,0)</f>
        <v>15362</v>
      </c>
      <c r="AM527" s="7">
        <f>ROUNDDOWN(MAX(AD527*配置与结果!$B$31,AD527-AE527)*AF527*AG527*AH527*AI527*AK527,0)</f>
        <v>27913</v>
      </c>
      <c r="AN527" s="7">
        <f t="shared" si="738"/>
        <v>23733.517</v>
      </c>
      <c r="AO527" s="7">
        <f>0</f>
        <v>0</v>
      </c>
      <c r="AP527" s="7">
        <f>MAX(0,1+INDEX(配置与结果!$J$15:$J$18,F527)+IF(T527&gt;0,方案参数!$BY$17,0)-配置与结果!$B$30)</f>
        <v>2</v>
      </c>
      <c r="AQ527" s="7">
        <f t="shared" si="739"/>
        <v>0</v>
      </c>
      <c r="AR527" s="7">
        <f t="shared" si="740"/>
        <v>0</v>
      </c>
      <c r="AS527" s="7">
        <f t="shared" si="741"/>
        <v>0</v>
      </c>
      <c r="AT527" s="7">
        <f>0</f>
        <v>0</v>
      </c>
      <c r="AU527" s="7">
        <f t="shared" si="742"/>
        <v>23733.517</v>
      </c>
      <c r="AV527" s="1">
        <f t="shared" si="743"/>
        <v>2</v>
      </c>
      <c r="AW527" s="1">
        <f t="shared" si="747"/>
        <v>10</v>
      </c>
      <c r="AX527" s="1">
        <f t="shared" si="744"/>
        <v>2</v>
      </c>
      <c r="AY527" s="1">
        <f t="shared" si="733"/>
        <v>6</v>
      </c>
      <c r="AZ527" s="1">
        <f t="shared" si="745"/>
        <v>5</v>
      </c>
      <c r="BA527" s="1">
        <f t="shared" si="755"/>
        <v>5</v>
      </c>
      <c r="BB527" s="1">
        <f>MIN(30,R527+0)</f>
        <v>10</v>
      </c>
      <c r="BC527" s="1">
        <f>MIN(3,S527+1)</f>
        <v>3</v>
      </c>
      <c r="BD527" s="1">
        <f t="shared" si="734"/>
        <v>1</v>
      </c>
      <c r="BE527" s="1">
        <f t="shared" si="727"/>
        <v>0</v>
      </c>
      <c r="BF527" s="1">
        <f>MIN(4,V527+0)</f>
        <v>3</v>
      </c>
      <c r="BG527" s="1">
        <f t="shared" si="752"/>
        <v>1</v>
      </c>
      <c r="BH527" s="1">
        <f t="shared" si="728"/>
        <v>1</v>
      </c>
      <c r="BI527" s="1">
        <f t="shared" si="753"/>
        <v>1</v>
      </c>
      <c r="BJ527" s="1">
        <f t="shared" si="756"/>
        <v>1</v>
      </c>
      <c r="BK527" s="1">
        <f t="shared" si="757"/>
        <v>1</v>
      </c>
      <c r="BL527" s="1">
        <f t="shared" si="708"/>
        <v>0</v>
      </c>
      <c r="BM527" s="1">
        <f t="shared" si="760"/>
        <v>1</v>
      </c>
      <c r="BN527" s="1">
        <f t="shared" si="729"/>
        <v>1</v>
      </c>
      <c r="BO527" s="1">
        <f t="shared" si="730"/>
        <v>1</v>
      </c>
    </row>
    <row r="528" spans="1:67" ht="30.95" customHeight="1">
      <c r="A528" s="1">
        <f>14</f>
        <v>14</v>
      </c>
      <c r="B528" s="1">
        <f>固定流程!A24</f>
        <v>19</v>
      </c>
      <c r="C528" s="1">
        <f>17</f>
        <v>17</v>
      </c>
      <c r="D528" s="1">
        <f>1</f>
        <v>1</v>
      </c>
      <c r="E528" s="1">
        <f>固定流程!C24</f>
        <v>3</v>
      </c>
      <c r="F528" s="1">
        <f>固定流程!G24</f>
        <v>4</v>
      </c>
      <c r="G528" s="1" t="str">
        <f>固定流程!H24</f>
        <v>J_ULT</v>
      </c>
      <c r="H528" s="1">
        <f>固定流程!F24</f>
        <v>1</v>
      </c>
      <c r="I528" s="1">
        <f>INDEX(配置与结果!$B$15:$B$18,F528)</f>
        <v>1906</v>
      </c>
      <c r="J528" s="1">
        <f>INDEX(配置与结果!$D$15:$D$18,F528)</f>
        <v>0.36699999999999999</v>
      </c>
      <c r="K528" s="1">
        <f>INDEX(配置与结果!$E$15:$E$18,F528)</f>
        <v>1.7170000000000001</v>
      </c>
      <c r="L528" s="1">
        <f t="shared" si="749"/>
        <v>2</v>
      </c>
      <c r="M528" s="1">
        <f t="shared" si="750"/>
        <v>10</v>
      </c>
      <c r="N528" s="1">
        <f t="shared" si="751"/>
        <v>2</v>
      </c>
      <c r="O528" s="1">
        <f t="shared" si="735"/>
        <v>6</v>
      </c>
      <c r="P528" s="1">
        <f>MIN(方案参数!$AI$17,AZ527+0+0)</f>
        <v>5</v>
      </c>
      <c r="Q528" s="1">
        <f t="shared" si="713"/>
        <v>5</v>
      </c>
      <c r="R528" s="1">
        <f t="shared" si="714"/>
        <v>10</v>
      </c>
      <c r="S528" s="1">
        <f t="shared" si="715"/>
        <v>3</v>
      </c>
      <c r="T528" s="1">
        <f t="shared" si="758"/>
        <v>1</v>
      </c>
      <c r="U528" s="1">
        <f t="shared" si="717"/>
        <v>0</v>
      </c>
      <c r="V528" s="1">
        <f t="shared" si="718"/>
        <v>3</v>
      </c>
      <c r="W528" s="1">
        <f t="shared" si="719"/>
        <v>1</v>
      </c>
      <c r="X528" s="1">
        <f t="shared" si="720"/>
        <v>1</v>
      </c>
      <c r="Y528" s="1">
        <f t="shared" si="721"/>
        <v>1</v>
      </c>
      <c r="Z528" s="1">
        <f t="shared" si="722"/>
        <v>1</v>
      </c>
      <c r="AA528" s="1">
        <f t="shared" si="754"/>
        <v>1</v>
      </c>
      <c r="AB528" s="1">
        <f t="shared" si="724"/>
        <v>0</v>
      </c>
      <c r="AC528" s="1">
        <f t="shared" si="759"/>
        <v>1</v>
      </c>
      <c r="AD528" s="1">
        <f>ROUNDDOWN(I528*(1+IF(F528=3,0.05+方案参数!$Y$17+AA528*0.12,IF(F528=4,方案参数!$BZ$17*方案参数!$AS$17,0)))+IF(AND(X528=1,F528&lt;&gt;3),方案参数!$CC$17,0)+AC528*方案参数!$CB$17,0)</f>
        <v>3311</v>
      </c>
      <c r="AE528" s="1">
        <f>IF(OR(F528=1,F528=4),配置与结果!$B$24,配置与结果!$B$25)*MAX(0,1-INDEX(配置与结果!$I$15:$I$18,F528))</f>
        <v>1200</v>
      </c>
      <c r="AF528" s="1">
        <f>方案参数!$AT$17+MAX(0,配置与结果!$H$26+方案参数!$BZ$17-30)*方案参数!$AU$17*配置与结果!$H$27</f>
        <v>42</v>
      </c>
      <c r="AG528" s="1">
        <f>MAX(配置与结果!$B$32,1+INDEX(配置与结果!$F$15:$F$18,F528)+0.08+Q528*方案参数!$W$17+Y528*(方案参数!$AN$17+MIN(方案参数!$AO$17,P528*0.03))+AB528*方案参数!$BZ$17*0.025-配置与结果!$B$28)</f>
        <v>1.105</v>
      </c>
      <c r="AH528" s="1">
        <f>MAX(0,1+INDEX(配置与结果!$H$15:$H$18,F528)+W528*方案参数!$AG$17+S528*方案参数!$Z$17)</f>
        <v>1.42</v>
      </c>
      <c r="AI528" s="1">
        <f>IF(OR(INDEX(配置与结果!$K$15:$K$18,F528)=1,G528="RHI_BERRY"),1+配置与结果!$B$33+P528*方案参数!$AH$17,1)</f>
        <v>1</v>
      </c>
      <c r="AJ528" s="1">
        <f>MIN(1,MAX(0,J528+方案参数!$AB$17-配置与结果!$B$27))</f>
        <v>0.66700000000000004</v>
      </c>
      <c r="AK528" s="1">
        <f>MAX(1,K528+IF(F528=2,0.15+方案参数!$CH$17,0)+BN528*方案参数!$X$17+R528*方案参数!$AA$17+0-配置与结果!$B$26+Z528*(方案参数!$AP$17+MIN(方案参数!$AQ$17,P528*0.03)))</f>
        <v>1.8169999999999999</v>
      </c>
      <c r="AL528" s="7">
        <f>ROUNDDOWN(MAX(AD528*配置与结果!$B$31,AD528-AE528)*AF528*AG528*AH528*AI528,0)</f>
        <v>139119</v>
      </c>
      <c r="AM528" s="7">
        <f>ROUNDDOWN(MAX(AD528*配置与结果!$B$31,AD528-AE528)*AF528*AG528*AH528*AI528*AK528,0)</f>
        <v>252780</v>
      </c>
      <c r="AN528" s="7">
        <f t="shared" si="738"/>
        <v>214930.88699999999</v>
      </c>
      <c r="AO528" s="7">
        <f>0</f>
        <v>0</v>
      </c>
      <c r="AP528" s="7">
        <f>MAX(0,1+INDEX(配置与结果!$J$15:$J$18,F528)+IF(T528&gt;0,方案参数!$BY$17,0)-配置与结果!$B$30)</f>
        <v>2</v>
      </c>
      <c r="AQ528" s="7">
        <f t="shared" si="739"/>
        <v>0</v>
      </c>
      <c r="AR528" s="7">
        <f t="shared" si="740"/>
        <v>0</v>
      </c>
      <c r="AS528" s="7">
        <f t="shared" si="741"/>
        <v>0</v>
      </c>
      <c r="AT528" s="7">
        <f>0</f>
        <v>0</v>
      </c>
      <c r="AU528" s="7">
        <f t="shared" si="742"/>
        <v>214930.88699999999</v>
      </c>
      <c r="AV528" s="1">
        <f t="shared" si="743"/>
        <v>2</v>
      </c>
      <c r="AW528" s="1">
        <f t="shared" si="747"/>
        <v>10</v>
      </c>
      <c r="AX528" s="1">
        <f t="shared" si="744"/>
        <v>2</v>
      </c>
      <c r="AY528" s="1">
        <f t="shared" si="733"/>
        <v>6</v>
      </c>
      <c r="AZ528" s="1">
        <f t="shared" si="745"/>
        <v>5</v>
      </c>
      <c r="BA528" s="1">
        <f t="shared" si="755"/>
        <v>5</v>
      </c>
      <c r="BB528" s="1">
        <f>MIN(30,R528+5)</f>
        <v>15</v>
      </c>
      <c r="BC528" s="1">
        <f t="shared" ref="BC528:BC551" si="761">MIN(3,S528+0)</f>
        <v>3</v>
      </c>
      <c r="BD528" s="1">
        <f t="shared" si="734"/>
        <v>1</v>
      </c>
      <c r="BE528" s="1">
        <f t="shared" si="727"/>
        <v>0</v>
      </c>
      <c r="BF528" s="1">
        <f>MIN(4,V528+0)</f>
        <v>3</v>
      </c>
      <c r="BG528" s="1">
        <f t="shared" si="752"/>
        <v>1</v>
      </c>
      <c r="BH528" s="1">
        <f t="shared" si="728"/>
        <v>1</v>
      </c>
      <c r="BI528" s="1">
        <f t="shared" si="753"/>
        <v>1</v>
      </c>
      <c r="BJ528" s="1">
        <f t="shared" si="756"/>
        <v>1</v>
      </c>
      <c r="BK528" s="1">
        <f t="shared" si="757"/>
        <v>1</v>
      </c>
      <c r="BL528" s="1">
        <f>MAX(AB528,1)</f>
        <v>1</v>
      </c>
      <c r="BM528" s="1">
        <f t="shared" si="760"/>
        <v>1</v>
      </c>
      <c r="BN528" s="1">
        <f t="shared" si="729"/>
        <v>1</v>
      </c>
      <c r="BO528" s="1">
        <f t="shared" si="730"/>
        <v>1</v>
      </c>
    </row>
    <row r="529" spans="1:67" ht="30.95" customHeight="1">
      <c r="A529" s="1">
        <f>14</f>
        <v>14</v>
      </c>
      <c r="B529" s="1">
        <f>固定流程!A25</f>
        <v>20</v>
      </c>
      <c r="C529" s="1">
        <f>17</f>
        <v>17</v>
      </c>
      <c r="D529" s="1">
        <f>1</f>
        <v>1</v>
      </c>
      <c r="E529" s="1">
        <f>固定流程!C25</f>
        <v>3</v>
      </c>
      <c r="F529" s="1">
        <f>固定流程!G25</f>
        <v>1</v>
      </c>
      <c r="G529" s="1" t="str">
        <f>固定流程!H25</f>
        <v>LILYA_ULT</v>
      </c>
      <c r="H529" s="1">
        <f>固定流程!F25</f>
        <v>1</v>
      </c>
      <c r="I529" s="1">
        <f>INDEX(配置与结果!$B$15:$B$18,F529)</f>
        <v>2296</v>
      </c>
      <c r="J529" s="1">
        <f>INDEX(配置与结果!$D$15:$D$18,F529)</f>
        <v>0.7</v>
      </c>
      <c r="K529" s="1">
        <f>INDEX(配置与结果!$E$15:$E$18,F529)</f>
        <v>2.0249999999999999</v>
      </c>
      <c r="L529" s="1">
        <f t="shared" si="749"/>
        <v>2</v>
      </c>
      <c r="M529" s="1">
        <f t="shared" si="750"/>
        <v>10</v>
      </c>
      <c r="N529" s="1">
        <f t="shared" si="751"/>
        <v>2</v>
      </c>
      <c r="O529" s="1">
        <f t="shared" si="735"/>
        <v>6</v>
      </c>
      <c r="P529" s="1">
        <f>MIN(方案参数!$AI$17,AZ528+0+0)</f>
        <v>5</v>
      </c>
      <c r="Q529" s="1">
        <f t="shared" si="713"/>
        <v>5</v>
      </c>
      <c r="R529" s="1">
        <f t="shared" si="714"/>
        <v>15</v>
      </c>
      <c r="S529" s="1">
        <f t="shared" si="715"/>
        <v>3</v>
      </c>
      <c r="T529" s="1">
        <f t="shared" si="758"/>
        <v>1</v>
      </c>
      <c r="U529" s="1">
        <f t="shared" si="717"/>
        <v>0</v>
      </c>
      <c r="V529" s="1">
        <f t="shared" si="718"/>
        <v>3</v>
      </c>
      <c r="W529" s="1">
        <f t="shared" si="719"/>
        <v>1</v>
      </c>
      <c r="X529" s="1">
        <f t="shared" si="720"/>
        <v>1</v>
      </c>
      <c r="Y529" s="1">
        <f t="shared" si="721"/>
        <v>1</v>
      </c>
      <c r="Z529" s="1">
        <f t="shared" si="722"/>
        <v>1</v>
      </c>
      <c r="AA529" s="1">
        <f t="shared" si="754"/>
        <v>1</v>
      </c>
      <c r="AB529" s="1">
        <f t="shared" si="724"/>
        <v>1</v>
      </c>
      <c r="AC529" s="1">
        <f t="shared" si="759"/>
        <v>1</v>
      </c>
      <c r="AD529" s="1">
        <f>ROUNDDOWN(I529*(1+IF(F529=3,0.05+方案参数!$Y$17+AA529*0.12,IF(F529=4,方案参数!$BZ$17*方案参数!$AS$17,0)))+IF(AND(X529=1,F529&lt;&gt;3),方案参数!$CC$17,0)+AC529*方案参数!$CB$17,0)</f>
        <v>3034</v>
      </c>
      <c r="AE529" s="1">
        <f>IF(OR(F529=1,F529=4),配置与结果!$B$24,配置与结果!$B$25)*MAX(0,1-INDEX(配置与结果!$I$15:$I$18,F529)+IF(O529&gt;=6,方案参数!$BK$17,0))</f>
        <v>1440</v>
      </c>
      <c r="AF529" s="1">
        <f>方案参数!$BG$17+IF(O529&gt;=6,方案参数!$BH$17,0)</f>
        <v>36</v>
      </c>
      <c r="AG529" s="1">
        <f>MAX(配置与结果!$B$32,1+INDEX(配置与结果!$F$15:$F$18,F529)+0.08+方案参数!$CD$17+Q529*方案参数!$W$17+Y529*(方案参数!$AN$17+MIN(方案参数!$AO$17,P529*0.03))+AB529*方案参数!$BZ$17*0.025-配置与结果!$B$28)</f>
        <v>2.2150000000000003</v>
      </c>
      <c r="AH529" s="1">
        <f>MAX(0,1+INDEX(配置与结果!$H$15:$H$18,F529)+W529*方案参数!$AG$17+O529*方案参数!$BF$17+IF(O529&gt;=6,方案参数!$BI$17,0))</f>
        <v>2.4500000000000002</v>
      </c>
      <c r="AI529" s="1">
        <f>IF(OR(INDEX(配置与结果!$K$15:$K$18,F529)=1,G529="RHI_BERRY"),1+配置与结果!$B$33+P529*方案参数!$AH$17,1)</f>
        <v>1</v>
      </c>
      <c r="AJ529" s="1">
        <f>MIN(1,MAX(0,J529+方案参数!$AB$17-配置与结果!$B$27))</f>
        <v>1</v>
      </c>
      <c r="AK529" s="1">
        <f>MAX(1,K529+IF(F529=2,0.15+方案参数!$CH$17,0)+BN529*方案参数!$X$17+R529*方案参数!$AA$17+IF(O529&gt;=6,方案参数!$BJ$17,0)-配置与结果!$B$26+Z529*(方案参数!$AP$17+MIN(方案参数!$AQ$17,P529*0.03)))</f>
        <v>3.145</v>
      </c>
      <c r="AL529" s="7">
        <f>ROUNDDOWN(MAX(AD529*配置与结果!$B$31,AD529-AE529)*AF529*AG529*AH529*AI529,0)</f>
        <v>311408</v>
      </c>
      <c r="AM529" s="7">
        <f>ROUNDDOWN(MAX(AD529*配置与结果!$B$31,AD529-AE529)*AF529*AG529*AH529*AI529*AK529,0)</f>
        <v>979380</v>
      </c>
      <c r="AN529" s="7">
        <f t="shared" si="738"/>
        <v>979380</v>
      </c>
      <c r="AO529" s="7">
        <f>0</f>
        <v>0</v>
      </c>
      <c r="AP529" s="7">
        <f>MAX(0,1+INDEX(配置与结果!$J$15:$J$18,F529)+IF(T529&gt;0,方案参数!$BY$17,0)-配置与结果!$B$30)</f>
        <v>2</v>
      </c>
      <c r="AQ529" s="7">
        <f t="shared" si="739"/>
        <v>0</v>
      </c>
      <c r="AR529" s="7">
        <f t="shared" si="740"/>
        <v>0</v>
      </c>
      <c r="AS529" s="7">
        <f t="shared" si="741"/>
        <v>0</v>
      </c>
      <c r="AT529" s="7">
        <f>0</f>
        <v>0</v>
      </c>
      <c r="AU529" s="7">
        <f t="shared" si="742"/>
        <v>979380</v>
      </c>
      <c r="AV529" s="1">
        <f t="shared" si="743"/>
        <v>2</v>
      </c>
      <c r="AW529" s="1">
        <f t="shared" si="747"/>
        <v>10</v>
      </c>
      <c r="AX529" s="1">
        <f t="shared" si="744"/>
        <v>2</v>
      </c>
      <c r="AY529" s="1">
        <f>MIN(20,MAX(0,O529+0+0-IF(O529&gt;=6,6,0)))</f>
        <v>0</v>
      </c>
      <c r="AZ529" s="1">
        <f t="shared" si="745"/>
        <v>5</v>
      </c>
      <c r="BA529" s="1">
        <f t="shared" si="755"/>
        <v>5</v>
      </c>
      <c r="BB529" s="1">
        <f>MIN(30,R529+5)</f>
        <v>20</v>
      </c>
      <c r="BC529" s="1">
        <f t="shared" si="761"/>
        <v>3</v>
      </c>
      <c r="BD529" s="1">
        <f t="shared" si="734"/>
        <v>1</v>
      </c>
      <c r="BE529" s="1">
        <f t="shared" si="727"/>
        <v>0</v>
      </c>
      <c r="BF529" s="1">
        <f>MIN(4,V529+0)</f>
        <v>3</v>
      </c>
      <c r="BG529" s="1">
        <f t="shared" si="752"/>
        <v>1</v>
      </c>
      <c r="BH529" s="1">
        <f t="shared" si="728"/>
        <v>1</v>
      </c>
      <c r="BI529" s="1">
        <f t="shared" si="753"/>
        <v>1</v>
      </c>
      <c r="BJ529" s="1">
        <f t="shared" si="756"/>
        <v>1</v>
      </c>
      <c r="BK529" s="1">
        <f t="shared" si="757"/>
        <v>1</v>
      </c>
      <c r="BL529" s="1">
        <f t="shared" ref="BL529:BL563" si="762">MAX(AB529,0)</f>
        <v>1</v>
      </c>
      <c r="BM529" s="1">
        <f t="shared" si="760"/>
        <v>1</v>
      </c>
      <c r="BN529" s="1">
        <f t="shared" si="729"/>
        <v>1</v>
      </c>
      <c r="BO529" s="1">
        <f t="shared" si="730"/>
        <v>1</v>
      </c>
    </row>
    <row r="530" spans="1:67" ht="30.95" customHeight="1">
      <c r="A530" s="1">
        <f>14</f>
        <v>14</v>
      </c>
      <c r="B530" s="1">
        <f>固定流程!A26</f>
        <v>21</v>
      </c>
      <c r="C530" s="1">
        <f>17</f>
        <v>17</v>
      </c>
      <c r="D530" s="1">
        <f>1</f>
        <v>1</v>
      </c>
      <c r="E530" s="1">
        <f>固定流程!C26</f>
        <v>3</v>
      </c>
      <c r="F530" s="1">
        <f>固定流程!G26</f>
        <v>1</v>
      </c>
      <c r="G530" s="1" t="str">
        <f>固定流程!H26</f>
        <v>LILYA_DIVE</v>
      </c>
      <c r="H530" s="1">
        <f>固定流程!F26</f>
        <v>3</v>
      </c>
      <c r="I530" s="1">
        <f>INDEX(配置与结果!$B$15:$B$18,F530)</f>
        <v>2296</v>
      </c>
      <c r="J530" s="1">
        <f>INDEX(配置与结果!$D$15:$D$18,F530)</f>
        <v>0.7</v>
      </c>
      <c r="K530" s="1">
        <f>INDEX(配置与结果!$E$15:$E$18,F530)</f>
        <v>2.0249999999999999</v>
      </c>
      <c r="L530" s="1">
        <f t="shared" si="749"/>
        <v>2</v>
      </c>
      <c r="M530" s="1">
        <f t="shared" si="750"/>
        <v>10</v>
      </c>
      <c r="N530" s="1">
        <f t="shared" si="751"/>
        <v>2</v>
      </c>
      <c r="O530" s="1">
        <f t="shared" si="735"/>
        <v>0</v>
      </c>
      <c r="P530" s="1">
        <f>MIN(方案参数!$AI$17,AZ529+0+0)</f>
        <v>5</v>
      </c>
      <c r="Q530" s="1">
        <f t="shared" si="713"/>
        <v>5</v>
      </c>
      <c r="R530" s="1">
        <f t="shared" si="714"/>
        <v>20</v>
      </c>
      <c r="S530" s="1">
        <f t="shared" si="715"/>
        <v>3</v>
      </c>
      <c r="T530" s="1">
        <f t="shared" si="758"/>
        <v>1</v>
      </c>
      <c r="U530" s="1">
        <f t="shared" si="717"/>
        <v>0</v>
      </c>
      <c r="V530" s="1">
        <f t="shared" si="718"/>
        <v>3</v>
      </c>
      <c r="W530" s="1">
        <f t="shared" si="719"/>
        <v>1</v>
      </c>
      <c r="X530" s="1">
        <f t="shared" si="720"/>
        <v>1</v>
      </c>
      <c r="Y530" s="1">
        <f t="shared" si="721"/>
        <v>1</v>
      </c>
      <c r="Z530" s="1">
        <f t="shared" si="722"/>
        <v>1</v>
      </c>
      <c r="AA530" s="1">
        <f t="shared" si="754"/>
        <v>1</v>
      </c>
      <c r="AB530" s="1">
        <f t="shared" si="724"/>
        <v>1</v>
      </c>
      <c r="AC530" s="1">
        <f t="shared" si="759"/>
        <v>1</v>
      </c>
      <c r="AD530" s="1">
        <f>ROUNDDOWN(I530*(1+IF(F530=3,0.05+方案参数!$Y$17+AA530*0.12,IF(F530=4,方案参数!$BZ$17*方案参数!$AS$17,0)))+IF(AND(X530=1,F530&lt;&gt;3),方案参数!$CC$17,0)+AC530*方案参数!$CB$17,0)</f>
        <v>3034</v>
      </c>
      <c r="AE530" s="1">
        <f>IF(OR(F530=1,F530=4),配置与结果!$B$24,配置与结果!$B$25)*MAX(0,1-INDEX(配置与结果!$I$15:$I$18,F530))</f>
        <v>1200</v>
      </c>
      <c r="AF530" s="1">
        <f>(IF(L530=1,方案参数!$AW$17,IF(L530=2,方案参数!$AX$17,0))+方案参数!$AV$17)*H530</f>
        <v>30</v>
      </c>
      <c r="AG530" s="1">
        <f>MAX(配置与结果!$B$32,1+INDEX(配置与结果!$F$15:$F$18,F530)+0.08+方案参数!$CD$17+Q530*方案参数!$W$17+Y530*(方案参数!$AN$17+MIN(方案参数!$AO$17,P530*0.03))+AB530*方案参数!$BZ$17*0.025+IF(L530=1,方案参数!$AY$17+(H530-1)*0.1,IF(L530=2,方案参数!$AZ$17+(H530-1)*0.2,0))-配置与结果!$B$28)</f>
        <v>2.8150000000000004</v>
      </c>
      <c r="AH530" s="1">
        <f>MAX(0,1+INDEX(配置与结果!$G$15:$G$18,F530)+W530*方案参数!$AG$17+IF(L530=1,方案参数!$BA$17,IF(L530=2,方案参数!$BB$17,0))+M530*方案参数!$BC$17)</f>
        <v>3.1</v>
      </c>
      <c r="AI530" s="1">
        <f>IF(OR(INDEX(配置与结果!$K$15:$K$18,F530)=1,G530="RHI_BERRY"),1+配置与结果!$B$33+P530*方案参数!$AH$17,1)</f>
        <v>1</v>
      </c>
      <c r="AJ530" s="1">
        <f>MIN(1,MAX(0,J530+方案参数!$AB$17-配置与结果!$B$27))</f>
        <v>1</v>
      </c>
      <c r="AK530" s="1">
        <f>MAX(1,K530+IF(F530=2,0.15+方案参数!$CH$17,0)+BN530*方案参数!$X$17+R530*方案参数!$AA$17+0-配置与结果!$B$26+Z530*(方案参数!$AP$17+MIN(方案参数!$AQ$17,P530*0.03)))</f>
        <v>2.165</v>
      </c>
      <c r="AL530" s="7">
        <f>ROUNDDOWN(MAX(AD530*配置与结果!$B$31,AD530-AE530)*AF530*AG530*AH530*AI530,0)</f>
        <v>480132</v>
      </c>
      <c r="AM530" s="7">
        <f>ROUNDDOWN(MAX(AD530*配置与结果!$B$31,AD530-AE530)*AF530*AG530*AH530*AI530*AK530,0)</f>
        <v>1039485</v>
      </c>
      <c r="AN530" s="7">
        <f t="shared" si="738"/>
        <v>1039485</v>
      </c>
      <c r="AO530" s="7">
        <f>0</f>
        <v>0</v>
      </c>
      <c r="AP530" s="7">
        <f>MAX(0,1+INDEX(配置与结果!$J$15:$J$18,F530)+IF(T530&gt;0,方案参数!$BY$17,0)-配置与结果!$B$30)</f>
        <v>2</v>
      </c>
      <c r="AQ530" s="7">
        <f t="shared" si="739"/>
        <v>0</v>
      </c>
      <c r="AR530" s="7">
        <f t="shared" si="740"/>
        <v>0</v>
      </c>
      <c r="AS530" s="7">
        <f t="shared" si="741"/>
        <v>0</v>
      </c>
      <c r="AT530" s="7">
        <f>0</f>
        <v>0</v>
      </c>
      <c r="AU530" s="7">
        <f t="shared" si="742"/>
        <v>1039485</v>
      </c>
      <c r="AV530" s="1">
        <f t="shared" si="743"/>
        <v>2</v>
      </c>
      <c r="AW530" s="1">
        <f>MIN(10,M530+0+IF(L530=1,方案参数!$BE$17,0))</f>
        <v>10</v>
      </c>
      <c r="AX530" s="1">
        <f t="shared" si="744"/>
        <v>2</v>
      </c>
      <c r="AY530" s="1">
        <f>MIN(20,MAX(0,O530+0+0-0))</f>
        <v>0</v>
      </c>
      <c r="AZ530" s="1">
        <f t="shared" si="745"/>
        <v>5</v>
      </c>
      <c r="BA530" s="1">
        <f t="shared" si="755"/>
        <v>5</v>
      </c>
      <c r="BB530" s="1">
        <f t="shared" ref="BB530:BB545" si="763">MIN(30,R530+0)</f>
        <v>20</v>
      </c>
      <c r="BC530" s="1">
        <f t="shared" si="761"/>
        <v>3</v>
      </c>
      <c r="BD530" s="1">
        <f t="shared" si="734"/>
        <v>1</v>
      </c>
      <c r="BE530" s="1">
        <f t="shared" si="727"/>
        <v>0</v>
      </c>
      <c r="BF530" s="1">
        <f>MIN(4,V530+0)</f>
        <v>3</v>
      </c>
      <c r="BG530" s="1">
        <f t="shared" si="752"/>
        <v>1</v>
      </c>
      <c r="BH530" s="1">
        <f t="shared" si="728"/>
        <v>1</v>
      </c>
      <c r="BI530" s="1">
        <f t="shared" si="753"/>
        <v>1</v>
      </c>
      <c r="BJ530" s="1">
        <f t="shared" si="756"/>
        <v>1</v>
      </c>
      <c r="BK530" s="1">
        <f t="shared" si="757"/>
        <v>1</v>
      </c>
      <c r="BL530" s="1">
        <f t="shared" si="762"/>
        <v>1</v>
      </c>
      <c r="BM530" s="1">
        <f t="shared" si="760"/>
        <v>1</v>
      </c>
      <c r="BN530" s="1">
        <f t="shared" si="729"/>
        <v>1</v>
      </c>
      <c r="BO530" s="1">
        <f t="shared" si="730"/>
        <v>1</v>
      </c>
    </row>
    <row r="531" spans="1:67" ht="30.95" customHeight="1">
      <c r="A531" s="1">
        <f>14</f>
        <v>14</v>
      </c>
      <c r="B531" s="1">
        <f>固定流程!A27</f>
        <v>22</v>
      </c>
      <c r="C531" s="1">
        <f>17</f>
        <v>17</v>
      </c>
      <c r="D531" s="1">
        <f>1</f>
        <v>1</v>
      </c>
      <c r="E531" s="1">
        <f>固定流程!C27</f>
        <v>3</v>
      </c>
      <c r="F531" s="1">
        <f>固定流程!G27</f>
        <v>3</v>
      </c>
      <c r="G531" s="1" t="str">
        <f>固定流程!H27</f>
        <v>RHI_BERRY</v>
      </c>
      <c r="H531" s="1">
        <f>固定流程!F27</f>
        <v>1</v>
      </c>
      <c r="I531" s="1">
        <f>INDEX(配置与结果!$B$15:$B$18,F531)</f>
        <v>2597</v>
      </c>
      <c r="J531" s="1">
        <f>INDEX(配置与结果!$D$15:$D$18,F531)</f>
        <v>0.255</v>
      </c>
      <c r="K531" s="1">
        <f>INDEX(配置与结果!$E$15:$E$18,F531)</f>
        <v>1.55</v>
      </c>
      <c r="L531" s="1">
        <f t="shared" si="749"/>
        <v>2</v>
      </c>
      <c r="M531" s="1">
        <f t="shared" si="750"/>
        <v>10</v>
      </c>
      <c r="N531" s="1">
        <f t="shared" si="751"/>
        <v>2</v>
      </c>
      <c r="O531" s="1">
        <f t="shared" si="735"/>
        <v>0</v>
      </c>
      <c r="P531" s="1">
        <f>MIN(方案参数!$AI$17,AZ530+0+0)</f>
        <v>5</v>
      </c>
      <c r="Q531" s="1">
        <f t="shared" si="713"/>
        <v>5</v>
      </c>
      <c r="R531" s="1">
        <f t="shared" si="714"/>
        <v>20</v>
      </c>
      <c r="S531" s="1">
        <f t="shared" si="715"/>
        <v>3</v>
      </c>
      <c r="T531" s="1">
        <f t="shared" si="758"/>
        <v>1</v>
      </c>
      <c r="U531" s="1">
        <f t="shared" si="717"/>
        <v>0</v>
      </c>
      <c r="V531" s="1">
        <f t="shared" si="718"/>
        <v>3</v>
      </c>
      <c r="W531" s="1">
        <f t="shared" si="719"/>
        <v>1</v>
      </c>
      <c r="X531" s="1">
        <f t="shared" si="720"/>
        <v>1</v>
      </c>
      <c r="Y531" s="1">
        <f t="shared" si="721"/>
        <v>1</v>
      </c>
      <c r="Z531" s="1">
        <f t="shared" si="722"/>
        <v>1</v>
      </c>
      <c r="AA531" s="1">
        <f t="shared" si="754"/>
        <v>1</v>
      </c>
      <c r="AB531" s="1">
        <f t="shared" si="724"/>
        <v>1</v>
      </c>
      <c r="AC531" s="1">
        <f t="shared" si="759"/>
        <v>1</v>
      </c>
      <c r="AD531" s="1">
        <f>ROUNDDOWN(I531*(1+IF(F531=3,0.05+方案参数!$Y$17+AA531*0.12,IF(F531=4,方案参数!$BZ$17*方案参数!$AS$17,0)))+IF(AND(X531=1,F531&lt;&gt;3),方案参数!$CC$17,0)+AC531*方案参数!$CB$17,0)</f>
        <v>3798</v>
      </c>
      <c r="AE531" s="1">
        <f>IF(OR(F531=1,F531=4),配置与结果!$B$24,配置与结果!$B$25)*MAX(0,1-INDEX(配置与结果!$I$15:$I$18,F531))</f>
        <v>1000</v>
      </c>
      <c r="AF531" s="1">
        <f>方案参数!$CF$17+P531*方案参数!$CG$17</f>
        <v>22.5</v>
      </c>
      <c r="AG531" s="1">
        <f>MAX(配置与结果!$B$32,1+INDEX(配置与结果!$F$15:$F$18,F531)+0+Q531*方案参数!$W$17+Y531*(方案参数!$AN$17+MIN(方案参数!$AO$17,P531*0.03))+AB531*方案参数!$BZ$17*0.025-配置与结果!$B$28)</f>
        <v>1.9100000000000001</v>
      </c>
      <c r="AH531" s="1">
        <f>MAX(0,1+INDEX(配置与结果!$G$15:$G$18,F531)+W531*方案参数!$AG$17)</f>
        <v>1.3</v>
      </c>
      <c r="AI531" s="1">
        <f>IF(OR(INDEX(配置与结果!$K$15:$K$18,F531)=1,G531="RHI_BERRY"),1+配置与结果!$B$33+P531*方案参数!$AH$17,1)</f>
        <v>1.5</v>
      </c>
      <c r="AJ531" s="1">
        <f>MIN(1,MAX(0,J531+方案参数!$AB$17-配置与结果!$B$27))</f>
        <v>0.55499999999999994</v>
      </c>
      <c r="AK531" s="1">
        <f>MAX(1,K531+IF(F531=2,0.15+方案参数!$CH$17,0)+BN531*方案参数!$X$17+R531*方案参数!$AA$17+0-配置与结果!$B$26+Z531*(方案参数!$AP$17+MIN(方案参数!$AQ$17,P531*0.03)))</f>
        <v>1.6900000000000002</v>
      </c>
      <c r="AL531" s="7">
        <f>ROUNDDOWN(MAX(AD531*配置与结果!$B$31,AD531-AE531)*AF531*AG531*AH531*AI531,0)</f>
        <v>234475</v>
      </c>
      <c r="AM531" s="7">
        <f>ROUNDDOWN(MAX(AD531*配置与结果!$B$31,AD531-AE531)*AF531*AG531*AH531*AI531*AK531,0)</f>
        <v>396264</v>
      </c>
      <c r="AN531" s="7">
        <f t="shared" si="738"/>
        <v>324267.89500000002</v>
      </c>
      <c r="AO531" s="7">
        <f>0</f>
        <v>0</v>
      </c>
      <c r="AP531" s="7">
        <f>MAX(0,1+INDEX(配置与结果!$J$15:$J$18,F531)+IF(T531&gt;0,方案参数!$BY$17,0)-配置与结果!$B$30)</f>
        <v>2</v>
      </c>
      <c r="AQ531" s="7">
        <f t="shared" si="739"/>
        <v>0</v>
      </c>
      <c r="AR531" s="7">
        <f t="shared" si="740"/>
        <v>0</v>
      </c>
      <c r="AS531" s="7">
        <f t="shared" si="741"/>
        <v>0</v>
      </c>
      <c r="AT531" s="7">
        <f>0</f>
        <v>0</v>
      </c>
      <c r="AU531" s="7">
        <f t="shared" si="742"/>
        <v>324267.89500000002</v>
      </c>
      <c r="AV531" s="1">
        <f t="shared" si="743"/>
        <v>2</v>
      </c>
      <c r="AW531" s="1">
        <f t="shared" ref="AW531:AW547" si="764">MIN(10,M531+0+0)</f>
        <v>10</v>
      </c>
      <c r="AX531" s="1">
        <f t="shared" si="744"/>
        <v>2</v>
      </c>
      <c r="AY531" s="1">
        <f>MIN(20,MAX(0,O531+0+0-0))</f>
        <v>0</v>
      </c>
      <c r="AZ531" s="1">
        <f t="shared" si="745"/>
        <v>5</v>
      </c>
      <c r="BA531" s="1">
        <f t="shared" si="755"/>
        <v>5</v>
      </c>
      <c r="BB531" s="1">
        <f t="shared" si="763"/>
        <v>20</v>
      </c>
      <c r="BC531" s="1">
        <f t="shared" si="761"/>
        <v>3</v>
      </c>
      <c r="BD531" s="1">
        <f t="shared" si="734"/>
        <v>1</v>
      </c>
      <c r="BE531" s="1">
        <f t="shared" si="727"/>
        <v>0</v>
      </c>
      <c r="BF531" s="1">
        <f>MIN(4,V531+0)</f>
        <v>3</v>
      </c>
      <c r="BG531" s="1">
        <f t="shared" si="752"/>
        <v>1</v>
      </c>
      <c r="BH531" s="1">
        <f t="shared" si="728"/>
        <v>1</v>
      </c>
      <c r="BI531" s="1">
        <f t="shared" si="753"/>
        <v>1</v>
      </c>
      <c r="BJ531" s="1">
        <f t="shared" si="756"/>
        <v>1</v>
      </c>
      <c r="BK531" s="1">
        <f t="shared" si="757"/>
        <v>1</v>
      </c>
      <c r="BL531" s="1">
        <f t="shared" si="762"/>
        <v>1</v>
      </c>
      <c r="BM531" s="1">
        <f t="shared" si="760"/>
        <v>1</v>
      </c>
      <c r="BN531" s="1">
        <f t="shared" si="729"/>
        <v>1</v>
      </c>
      <c r="BO531" s="1">
        <f t="shared" si="730"/>
        <v>1</v>
      </c>
    </row>
    <row r="532" spans="1:67" ht="30.95" customHeight="1">
      <c r="A532" s="1">
        <f>14</f>
        <v>14</v>
      </c>
      <c r="B532" s="1">
        <f>固定流程!A28</f>
        <v>23</v>
      </c>
      <c r="C532" s="1">
        <f>17</f>
        <v>17</v>
      </c>
      <c r="D532" s="1">
        <f>1</f>
        <v>1</v>
      </c>
      <c r="E532" s="1">
        <f>固定流程!C28</f>
        <v>3</v>
      </c>
      <c r="F532" s="1">
        <f>固定流程!G28</f>
        <v>2</v>
      </c>
      <c r="G532" s="1" t="str">
        <f>固定流程!H28</f>
        <v>37_FOLLOW</v>
      </c>
      <c r="H532" s="1">
        <f>固定流程!F28</f>
        <v>1</v>
      </c>
      <c r="I532" s="1">
        <f>INDEX(配置与结果!$B$15:$B$18,F532)</f>
        <v>2306</v>
      </c>
      <c r="J532" s="1">
        <f>INDEX(配置与结果!$D$15:$D$18,F532)</f>
        <v>0.46</v>
      </c>
      <c r="K532" s="1">
        <f>INDEX(配置与结果!$E$15:$E$18,F532)</f>
        <v>1.9279999999999999</v>
      </c>
      <c r="L532" s="1">
        <f t="shared" si="749"/>
        <v>2</v>
      </c>
      <c r="M532" s="1">
        <f t="shared" si="750"/>
        <v>10</v>
      </c>
      <c r="N532" s="1">
        <f t="shared" si="751"/>
        <v>2</v>
      </c>
      <c r="O532" s="1">
        <f t="shared" si="735"/>
        <v>0</v>
      </c>
      <c r="P532" s="1">
        <f>MIN(方案参数!$AI$17,AZ531+0+0)</f>
        <v>5</v>
      </c>
      <c r="Q532" s="1">
        <f t="shared" si="713"/>
        <v>5</v>
      </c>
      <c r="R532" s="1">
        <f t="shared" si="714"/>
        <v>20</v>
      </c>
      <c r="S532" s="1">
        <f t="shared" si="715"/>
        <v>3</v>
      </c>
      <c r="T532" s="1">
        <f t="shared" si="758"/>
        <v>1</v>
      </c>
      <c r="U532" s="1">
        <f t="shared" si="717"/>
        <v>0</v>
      </c>
      <c r="V532" s="1">
        <f t="shared" si="718"/>
        <v>3</v>
      </c>
      <c r="W532" s="1">
        <f t="shared" si="719"/>
        <v>1</v>
      </c>
      <c r="X532" s="1">
        <f t="shared" si="720"/>
        <v>1</v>
      </c>
      <c r="Y532" s="1">
        <f t="shared" si="721"/>
        <v>1</v>
      </c>
      <c r="Z532" s="1">
        <f t="shared" si="722"/>
        <v>1</v>
      </c>
      <c r="AA532" s="1">
        <f t="shared" si="754"/>
        <v>1</v>
      </c>
      <c r="AB532" s="1">
        <f t="shared" si="724"/>
        <v>1</v>
      </c>
      <c r="AC532" s="1">
        <f t="shared" si="759"/>
        <v>1</v>
      </c>
      <c r="AD532" s="1">
        <f>ROUNDDOWN(I532*(1+IF(F532=3,0.05+方案参数!$Y$17+AA532*0.12,IF(F532=4,方案参数!$BZ$17*方案参数!$AS$17,0)))+IF(AND(X532=1,F532&lt;&gt;3),方案参数!$CC$17,0)+AC532*方案参数!$CB$17,0)</f>
        <v>3044</v>
      </c>
      <c r="AE532" s="1">
        <f>IF(OR(F532=1,F532=4),配置与结果!$B$24,配置与结果!$B$25)*MAX(0,1-INDEX(配置与结果!$I$15:$I$18,F532))</f>
        <v>1000</v>
      </c>
      <c r="AF532" s="1">
        <f>方案参数!$BV$17</f>
        <v>3</v>
      </c>
      <c r="AG532" s="1">
        <f>MAX(配置与结果!$B$32,1+INDEX(配置与结果!$F$15:$F$18,F532)+0+Q532*方案参数!$W$17+Y532*(方案参数!$AN$17+MIN(方案参数!$AO$17,P532*0.03))+AB532*方案参数!$BZ$17*0.025-配置与结果!$B$28)</f>
        <v>1.8800000000000003</v>
      </c>
      <c r="AH532" s="1">
        <f>MAX(0,1+INDEX(配置与结果!$G$15:$G$18,F532)+W532*方案参数!$AG$17)</f>
        <v>1.3</v>
      </c>
      <c r="AI532" s="1">
        <f>IF(OR(INDEX(配置与结果!$K$15:$K$18,F532)=1,G532="RHI_BERRY"),1+配置与结果!$B$33+P532*方案参数!$AH$17,1)</f>
        <v>1</v>
      </c>
      <c r="AJ532" s="1">
        <f>MIN(1,MAX(0,J532+方案参数!$AB$17-配置与结果!$B$27))</f>
        <v>0.76</v>
      </c>
      <c r="AK532" s="1">
        <f>MAX(1,K532+IF(F532=2,0.15+方案参数!$CH$17,0)+BN532*方案参数!$X$17+R532*方案参数!$AA$17+0-配置与结果!$B$26+Z532*(方案参数!$AP$17+MIN(方案参数!$AQ$17,P532*0.03)))</f>
        <v>2.3380000000000001</v>
      </c>
      <c r="AL532" s="7">
        <f>ROUNDDOWN(MAX(AD532*配置与结果!$B$31,AD532-AE532)*AF532*AG532*AH532*AI532,0)</f>
        <v>14986</v>
      </c>
      <c r="AM532" s="7">
        <f>ROUNDDOWN(MAX(AD532*配置与结果!$B$31,AD532-AE532)*AF532*AG532*AH532*AI532*AK532,0)</f>
        <v>35038</v>
      </c>
      <c r="AN532" s="7">
        <f t="shared" si="738"/>
        <v>30225.52</v>
      </c>
      <c r="AO532" s="7">
        <f>方案参数!$BW$17</f>
        <v>1</v>
      </c>
      <c r="AP532" s="7">
        <f>MAX(0,1+INDEX(配置与结果!$J$15:$J$18,F532)+IF(T532&gt;0,方案参数!$BY$17,0)-配置与结果!$B$30)</f>
        <v>2</v>
      </c>
      <c r="AQ532" s="7">
        <f t="shared" si="739"/>
        <v>6088</v>
      </c>
      <c r="AR532" s="7">
        <f t="shared" si="740"/>
        <v>14233</v>
      </c>
      <c r="AS532" s="7">
        <f t="shared" si="741"/>
        <v>12278.2</v>
      </c>
      <c r="AT532" s="7">
        <f>0</f>
        <v>0</v>
      </c>
      <c r="AU532" s="7">
        <f t="shared" si="742"/>
        <v>42503.72</v>
      </c>
      <c r="AV532" s="1">
        <f t="shared" si="743"/>
        <v>2</v>
      </c>
      <c r="AW532" s="1">
        <f t="shared" si="764"/>
        <v>10</v>
      </c>
      <c r="AX532" s="1">
        <f t="shared" si="744"/>
        <v>2</v>
      </c>
      <c r="AY532" s="1">
        <f>MIN(20,MAX(0,O532+0+0-0))</f>
        <v>0</v>
      </c>
      <c r="AZ532" s="1">
        <f t="shared" si="745"/>
        <v>5</v>
      </c>
      <c r="BA532" s="1">
        <f t="shared" si="755"/>
        <v>5</v>
      </c>
      <c r="BB532" s="1">
        <f t="shared" si="763"/>
        <v>20</v>
      </c>
      <c r="BC532" s="1">
        <f t="shared" si="761"/>
        <v>3</v>
      </c>
      <c r="BD532" s="1">
        <f t="shared" si="734"/>
        <v>0</v>
      </c>
      <c r="BE532" s="1">
        <f t="shared" si="727"/>
        <v>0</v>
      </c>
      <c r="BF532" s="1">
        <f>MIN(4,V532+1)</f>
        <v>4</v>
      </c>
      <c r="BG532" s="1">
        <f t="shared" si="752"/>
        <v>1</v>
      </c>
      <c r="BH532" s="1">
        <f t="shared" si="728"/>
        <v>1</v>
      </c>
      <c r="BI532" s="1">
        <f t="shared" si="753"/>
        <v>1</v>
      </c>
      <c r="BJ532" s="1">
        <f t="shared" si="756"/>
        <v>1</v>
      </c>
      <c r="BK532" s="1">
        <f t="shared" si="757"/>
        <v>1</v>
      </c>
      <c r="BL532" s="1">
        <f t="shared" si="762"/>
        <v>1</v>
      </c>
      <c r="BM532" s="1">
        <f t="shared" si="760"/>
        <v>1</v>
      </c>
      <c r="BN532" s="1">
        <f t="shared" si="729"/>
        <v>1</v>
      </c>
      <c r="BO532" s="1">
        <f t="shared" si="730"/>
        <v>1</v>
      </c>
    </row>
    <row r="533" spans="1:67" ht="30.95" customHeight="1">
      <c r="A533" s="1">
        <f>14</f>
        <v>14</v>
      </c>
      <c r="B533" s="1">
        <f>固定流程!A29</f>
        <v>24</v>
      </c>
      <c r="C533" s="1">
        <f>17</f>
        <v>17</v>
      </c>
      <c r="D533" s="1">
        <f>2</f>
        <v>2</v>
      </c>
      <c r="E533" s="1">
        <f>固定流程!C29</f>
        <v>3</v>
      </c>
      <c r="F533" s="1">
        <f>固定流程!G29</f>
        <v>1</v>
      </c>
      <c r="G533" s="1" t="str">
        <f>固定流程!H29</f>
        <v>LILYA_WEAK</v>
      </c>
      <c r="H533" s="1">
        <f>固定流程!F29</f>
        <v>1</v>
      </c>
      <c r="I533" s="1">
        <f>INDEX(配置与结果!$B$15:$B$18,F533)</f>
        <v>2296</v>
      </c>
      <c r="J533" s="1">
        <f>INDEX(配置与结果!$D$15:$D$18,F533)</f>
        <v>0.7</v>
      </c>
      <c r="K533" s="1">
        <f>INDEX(配置与结果!$E$15:$E$18,F533)</f>
        <v>2.0249999999999999</v>
      </c>
      <c r="L533" s="1">
        <f t="shared" si="749"/>
        <v>2</v>
      </c>
      <c r="M533" s="1">
        <f t="shared" si="750"/>
        <v>10</v>
      </c>
      <c r="N533" s="1">
        <f t="shared" si="751"/>
        <v>2</v>
      </c>
      <c r="O533" s="1">
        <f t="shared" si="735"/>
        <v>0</v>
      </c>
      <c r="P533" s="1">
        <f>MIN(方案参数!$AI$17,AZ532+0+0)</f>
        <v>5</v>
      </c>
      <c r="Q533" s="1">
        <f t="shared" si="713"/>
        <v>5</v>
      </c>
      <c r="R533" s="1">
        <f t="shared" si="714"/>
        <v>20</v>
      </c>
      <c r="S533" s="1">
        <f t="shared" si="715"/>
        <v>3</v>
      </c>
      <c r="T533" s="1">
        <f t="shared" si="758"/>
        <v>0</v>
      </c>
      <c r="U533" s="1">
        <f t="shared" si="717"/>
        <v>0</v>
      </c>
      <c r="V533" s="1">
        <f t="shared" si="718"/>
        <v>4</v>
      </c>
      <c r="W533" s="1">
        <f t="shared" si="719"/>
        <v>1</v>
      </c>
      <c r="X533" s="1">
        <f t="shared" si="720"/>
        <v>1</v>
      </c>
      <c r="Y533" s="1">
        <f t="shared" si="721"/>
        <v>1</v>
      </c>
      <c r="Z533" s="1">
        <f t="shared" si="722"/>
        <v>1</v>
      </c>
      <c r="AA533" s="1">
        <f t="shared" si="754"/>
        <v>1</v>
      </c>
      <c r="AB533" s="1">
        <f t="shared" si="724"/>
        <v>1</v>
      </c>
      <c r="AC533" s="1">
        <f t="shared" si="759"/>
        <v>1</v>
      </c>
      <c r="AD533" s="1">
        <f>ROUNDDOWN(I533*(1+IF(F533=3,0.05+方案参数!$Y$17+AA533*0.12,IF(F533=4,方案参数!$BZ$17*方案参数!$AS$17,0)))+IF(AND(X533=1,F533&lt;&gt;3),方案参数!$CC$17,0)+AC533*方案参数!$CB$17,0)</f>
        <v>3034</v>
      </c>
      <c r="AE533" s="1">
        <f>IF(OR(F533=1,F533=4),配置与结果!$B$24,配置与结果!$B$25)*MAX(0,1-INDEX(配置与结果!$I$15:$I$18,F533))</f>
        <v>1200</v>
      </c>
      <c r="AF533" s="1">
        <f>方案参数!$BL$17</f>
        <v>9</v>
      </c>
      <c r="AG533" s="1">
        <f>MAX(配置与结果!$B$32,1+INDEX(配置与结果!$F$15:$F$18,F533)+0.08+方案参数!$CD$17+Q533*方案参数!$W$17+Y533*(方案参数!$AN$17+MIN(方案参数!$AO$17,P533*0.03))+AB533*方案参数!$BZ$17*0.025-配置与结果!$B$28+方案参数!$AE$17)</f>
        <v>2.6150000000000002</v>
      </c>
      <c r="AH533" s="1">
        <f>MAX(0,1+V533*方案参数!$U$17+0*方案参数!$V$17+方案参数!$AE$17-配置与结果!$B$29)</f>
        <v>1.56</v>
      </c>
      <c r="AI533" s="1">
        <f>IF(OR(INDEX(配置与结果!$K$15:$K$18,F533)=1,G533="RHI_BERRY"),1+配置与结果!$B$33+P533*方案参数!$AH$17,1)</f>
        <v>1</v>
      </c>
      <c r="AJ533" s="1">
        <f>MIN(1,MAX(0,J533+方案参数!$AB$17-配置与结果!$B$27))</f>
        <v>1</v>
      </c>
      <c r="AK533" s="1">
        <f>MAX(1,K533+IF(F533=2,0.15+方案参数!$CH$17,0)+BN533*方案参数!$X$17+R533*方案参数!$AA$17+方案参数!$BP$17-配置与结果!$B$26+Z533*(方案参数!$AP$17+MIN(方案参数!$AQ$17,P533*0.03)))</f>
        <v>2.7650000000000001</v>
      </c>
      <c r="AL533" s="7">
        <f>ROUNDDOWN(MAX(AD533*配置与结果!$B$31,AD533-AE533)*AF533*AG533*AH533*AI533,0)</f>
        <v>67334</v>
      </c>
      <c r="AM533" s="7">
        <f>ROUNDDOWN(MAX(AD533*配置与结果!$B$31,AD533-AE533)*AF533*AG533*AH533*AI533*AK533,0)</f>
        <v>186180</v>
      </c>
      <c r="AN533" s="7">
        <f t="shared" si="738"/>
        <v>186180</v>
      </c>
      <c r="AO533" s="7">
        <f>0</f>
        <v>0</v>
      </c>
      <c r="AP533" s="7">
        <f>MAX(0,1+INDEX(配置与结果!$J$15:$J$18,F533)+IF(T533&gt;0,方案参数!$BY$17,0)-配置与结果!$B$30)</f>
        <v>1</v>
      </c>
      <c r="AQ533" s="7">
        <f t="shared" si="739"/>
        <v>0</v>
      </c>
      <c r="AR533" s="7">
        <f t="shared" si="740"/>
        <v>0</v>
      </c>
      <c r="AS533" s="7">
        <f t="shared" si="741"/>
        <v>0</v>
      </c>
      <c r="AT533" s="7">
        <f>IF(U533&gt;0,ROUNDDOWN(AL533*方案参数!$AF$17,0)*(1-AJ533)+ROUNDDOWN(AM533*方案参数!$AF$17,0)*AJ533,0)</f>
        <v>0</v>
      </c>
      <c r="AU533" s="7">
        <f t="shared" si="742"/>
        <v>186180</v>
      </c>
      <c r="AV533" s="1">
        <f t="shared" si="743"/>
        <v>2</v>
      </c>
      <c r="AW533" s="1">
        <f t="shared" si="764"/>
        <v>10</v>
      </c>
      <c r="AX533" s="1">
        <f t="shared" si="744"/>
        <v>2</v>
      </c>
      <c r="AY533" s="1">
        <f>MIN(20,MAX(0,O533+0+1-0))</f>
        <v>1</v>
      </c>
      <c r="AZ533" s="1">
        <f t="shared" si="745"/>
        <v>5</v>
      </c>
      <c r="BA533" s="1">
        <f t="shared" si="755"/>
        <v>5</v>
      </c>
      <c r="BB533" s="1">
        <f t="shared" si="763"/>
        <v>20</v>
      </c>
      <c r="BC533" s="1">
        <f t="shared" si="761"/>
        <v>3</v>
      </c>
      <c r="BD533" s="1">
        <f t="shared" si="734"/>
        <v>0</v>
      </c>
      <c r="BE533" s="1">
        <f>MAX(0,U533-IF(AF533&gt;0,1,0))+0</f>
        <v>0</v>
      </c>
      <c r="BF533" s="1">
        <f t="shared" ref="BF533:BF550" si="765">MIN(4,V533+0)</f>
        <v>4</v>
      </c>
      <c r="BG533" s="1">
        <f t="shared" si="752"/>
        <v>1</v>
      </c>
      <c r="BH533" s="1">
        <f t="shared" si="728"/>
        <v>1</v>
      </c>
      <c r="BI533" s="1">
        <f t="shared" si="753"/>
        <v>1</v>
      </c>
      <c r="BJ533" s="1">
        <f t="shared" si="756"/>
        <v>1</v>
      </c>
      <c r="BK533" s="1">
        <f t="shared" si="757"/>
        <v>1</v>
      </c>
      <c r="BL533" s="1">
        <f t="shared" si="762"/>
        <v>1</v>
      </c>
      <c r="BM533" s="1">
        <f t="shared" si="760"/>
        <v>1</v>
      </c>
      <c r="BN533" s="1">
        <f t="shared" si="729"/>
        <v>1</v>
      </c>
      <c r="BO533" s="1">
        <f t="shared" si="730"/>
        <v>1</v>
      </c>
    </row>
    <row r="534" spans="1:67" ht="30.95" customHeight="1">
      <c r="A534" s="1">
        <f>14</f>
        <v>14</v>
      </c>
      <c r="B534" s="1">
        <f>固定流程!A30</f>
        <v>25</v>
      </c>
      <c r="C534" s="1">
        <f>17</f>
        <v>17</v>
      </c>
      <c r="D534" s="1">
        <f>2</f>
        <v>2</v>
      </c>
      <c r="E534" s="1">
        <f>固定流程!C30</f>
        <v>3</v>
      </c>
      <c r="F534" s="1">
        <f>固定流程!G30</f>
        <v>1</v>
      </c>
      <c r="G534" s="1" t="str">
        <f>固定流程!H30</f>
        <v>LILYA_WEAK</v>
      </c>
      <c r="H534" s="1">
        <f>固定流程!F30</f>
        <v>1</v>
      </c>
      <c r="I534" s="1">
        <f>INDEX(配置与结果!$B$15:$B$18,F534)</f>
        <v>2296</v>
      </c>
      <c r="J534" s="1">
        <f>INDEX(配置与结果!$D$15:$D$18,F534)</f>
        <v>0.7</v>
      </c>
      <c r="K534" s="1">
        <f>INDEX(配置与结果!$E$15:$E$18,F534)</f>
        <v>2.0249999999999999</v>
      </c>
      <c r="L534" s="1">
        <f t="shared" si="749"/>
        <v>2</v>
      </c>
      <c r="M534" s="1">
        <f t="shared" si="750"/>
        <v>10</v>
      </c>
      <c r="N534" s="1">
        <f t="shared" si="751"/>
        <v>2</v>
      </c>
      <c r="O534" s="1">
        <f t="shared" si="735"/>
        <v>1</v>
      </c>
      <c r="P534" s="1">
        <f>MIN(方案参数!$AI$17,AZ533+0+0)</f>
        <v>5</v>
      </c>
      <c r="Q534" s="1">
        <f t="shared" si="713"/>
        <v>5</v>
      </c>
      <c r="R534" s="1">
        <f t="shared" si="714"/>
        <v>20</v>
      </c>
      <c r="S534" s="1">
        <f t="shared" si="715"/>
        <v>3</v>
      </c>
      <c r="T534" s="1">
        <f t="shared" si="758"/>
        <v>0</v>
      </c>
      <c r="U534" s="1">
        <f t="shared" si="717"/>
        <v>0</v>
      </c>
      <c r="V534" s="1">
        <f t="shared" si="718"/>
        <v>4</v>
      </c>
      <c r="W534" s="1">
        <f t="shared" si="719"/>
        <v>1</v>
      </c>
      <c r="X534" s="1">
        <f t="shared" si="720"/>
        <v>1</v>
      </c>
      <c r="Y534" s="1">
        <f t="shared" si="721"/>
        <v>1</v>
      </c>
      <c r="Z534" s="1">
        <f t="shared" si="722"/>
        <v>1</v>
      </c>
      <c r="AA534" s="1">
        <f t="shared" si="754"/>
        <v>1</v>
      </c>
      <c r="AB534" s="1">
        <f t="shared" si="724"/>
        <v>1</v>
      </c>
      <c r="AC534" s="1">
        <f t="shared" si="759"/>
        <v>1</v>
      </c>
      <c r="AD534" s="1">
        <f>ROUNDDOWN(I534*(1+IF(F534=3,0.05+方案参数!$Y$17+AA534*0.12,IF(F534=4,方案参数!$BZ$17*方案参数!$AS$17,0)))+IF(AND(X534=1,F534&lt;&gt;3),方案参数!$CC$17,0)+AC534*方案参数!$CB$17,0)</f>
        <v>3034</v>
      </c>
      <c r="AE534" s="1">
        <f>IF(OR(F534=1,F534=4),配置与结果!$B$24,配置与结果!$B$25)*MAX(0,1-INDEX(配置与结果!$I$15:$I$18,F534))</f>
        <v>1200</v>
      </c>
      <c r="AF534" s="1">
        <f>方案参数!$BL$17</f>
        <v>9</v>
      </c>
      <c r="AG534" s="1">
        <f>MAX(配置与结果!$B$32,1+INDEX(配置与结果!$F$15:$F$18,F534)+0.08+方案参数!$CD$17+Q534*方案参数!$W$17+Y534*(方案参数!$AN$17+MIN(方案参数!$AO$17,P534*0.03))+AB534*方案参数!$BZ$17*0.025-配置与结果!$B$28+方案参数!$AE$17)</f>
        <v>2.6150000000000002</v>
      </c>
      <c r="AH534" s="1">
        <f>MAX(0,1+V534*方案参数!$U$17+1*方案参数!$V$17+方案参数!$AE$17-配置与结果!$B$29)</f>
        <v>1.62</v>
      </c>
      <c r="AI534" s="1">
        <f>IF(OR(INDEX(配置与结果!$K$15:$K$18,F534)=1,G534="RHI_BERRY"),1+配置与结果!$B$33+P534*方案参数!$AH$17,1)</f>
        <v>1</v>
      </c>
      <c r="AJ534" s="1">
        <f>MIN(1,MAX(0,J534+方案参数!$AB$17-配置与结果!$B$27))</f>
        <v>1</v>
      </c>
      <c r="AK534" s="1">
        <f>MAX(1,K534+IF(F534=2,0.15+方案参数!$CH$17,0)+BN534*方案参数!$X$17+R534*方案参数!$AA$17+方案参数!$BP$17-配置与结果!$B$26+Z534*(方案参数!$AP$17+MIN(方案参数!$AQ$17,P534*0.03)))</f>
        <v>2.7650000000000001</v>
      </c>
      <c r="AL534" s="7">
        <f>ROUNDDOWN(MAX(AD534*配置与结果!$B$31,AD534-AE534)*AF534*AG534*AH534*AI534,0)</f>
        <v>69924</v>
      </c>
      <c r="AM534" s="7">
        <f>ROUNDDOWN(MAX(AD534*配置与结果!$B$31,AD534-AE534)*AF534*AG534*AH534*AI534*AK534,0)</f>
        <v>193340</v>
      </c>
      <c r="AN534" s="7">
        <f t="shared" si="738"/>
        <v>193340</v>
      </c>
      <c r="AO534" s="7">
        <f>0</f>
        <v>0</v>
      </c>
      <c r="AP534" s="7">
        <f>MAX(0,1+INDEX(配置与结果!$J$15:$J$18,F534)+IF(T534&gt;0,方案参数!$BY$17,0)-配置与结果!$B$30)</f>
        <v>1</v>
      </c>
      <c r="AQ534" s="7">
        <f t="shared" si="739"/>
        <v>0</v>
      </c>
      <c r="AR534" s="7">
        <f t="shared" si="740"/>
        <v>0</v>
      </c>
      <c r="AS534" s="7">
        <f t="shared" si="741"/>
        <v>0</v>
      </c>
      <c r="AT534" s="7">
        <f>IF(U534&gt;0,ROUNDDOWN(AL534*方案参数!$AF$17,0)*(1-AJ534)+ROUNDDOWN(AM534*方案参数!$AF$17,0)*AJ534,0)</f>
        <v>0</v>
      </c>
      <c r="AU534" s="7">
        <f t="shared" si="742"/>
        <v>193340</v>
      </c>
      <c r="AV534" s="1">
        <f t="shared" si="743"/>
        <v>2</v>
      </c>
      <c r="AW534" s="1">
        <f t="shared" si="764"/>
        <v>10</v>
      </c>
      <c r="AX534" s="1">
        <f t="shared" si="744"/>
        <v>2</v>
      </c>
      <c r="AY534" s="1">
        <f>MIN(20,MAX(0,O534+0+1-0))</f>
        <v>2</v>
      </c>
      <c r="AZ534" s="1">
        <f t="shared" si="745"/>
        <v>5</v>
      </c>
      <c r="BA534" s="1">
        <f t="shared" si="755"/>
        <v>5</v>
      </c>
      <c r="BB534" s="1">
        <f t="shared" si="763"/>
        <v>20</v>
      </c>
      <c r="BC534" s="1">
        <f t="shared" si="761"/>
        <v>3</v>
      </c>
      <c r="BD534" s="1">
        <f t="shared" si="734"/>
        <v>0</v>
      </c>
      <c r="BE534" s="1">
        <f>MAX(0,U534-IF(AF534&gt;0,1,0))+0</f>
        <v>0</v>
      </c>
      <c r="BF534" s="1">
        <f t="shared" si="765"/>
        <v>4</v>
      </c>
      <c r="BG534" s="1">
        <f t="shared" si="752"/>
        <v>1</v>
      </c>
      <c r="BH534" s="1">
        <f t="shared" si="728"/>
        <v>1</v>
      </c>
      <c r="BI534" s="1">
        <f t="shared" si="753"/>
        <v>1</v>
      </c>
      <c r="BJ534" s="1">
        <f t="shared" si="756"/>
        <v>1</v>
      </c>
      <c r="BK534" s="1">
        <f t="shared" si="757"/>
        <v>1</v>
      </c>
      <c r="BL534" s="1">
        <f t="shared" si="762"/>
        <v>1</v>
      </c>
      <c r="BM534" s="1">
        <f t="shared" si="760"/>
        <v>1</v>
      </c>
      <c r="BN534" s="1">
        <f t="shared" si="729"/>
        <v>1</v>
      </c>
      <c r="BO534" s="1">
        <f t="shared" si="730"/>
        <v>1</v>
      </c>
    </row>
    <row r="535" spans="1:67" ht="30.95" customHeight="1">
      <c r="A535" s="1">
        <f>14</f>
        <v>14</v>
      </c>
      <c r="B535" s="1">
        <f>固定流程!A31</f>
        <v>26</v>
      </c>
      <c r="C535" s="1">
        <f>17</f>
        <v>17</v>
      </c>
      <c r="D535" s="1">
        <f>2</f>
        <v>2</v>
      </c>
      <c r="E535" s="1">
        <f>固定流程!C31</f>
        <v>3</v>
      </c>
      <c r="F535" s="1">
        <f>固定流程!G31</f>
        <v>2</v>
      </c>
      <c r="G535" s="1" t="str">
        <f>固定流程!H31</f>
        <v>37_WEAK</v>
      </c>
      <c r="H535" s="1">
        <f>固定流程!F31</f>
        <v>1</v>
      </c>
      <c r="I535" s="1">
        <f>INDEX(配置与结果!$B$15:$B$18,F535)</f>
        <v>2306</v>
      </c>
      <c r="J535" s="1">
        <f>INDEX(配置与结果!$D$15:$D$18,F535)</f>
        <v>0.46</v>
      </c>
      <c r="K535" s="1">
        <f>INDEX(配置与结果!$E$15:$E$18,F535)</f>
        <v>1.9279999999999999</v>
      </c>
      <c r="L535" s="1">
        <f t="shared" si="749"/>
        <v>2</v>
      </c>
      <c r="M535" s="1">
        <f t="shared" si="750"/>
        <v>10</v>
      </c>
      <c r="N535" s="1">
        <f t="shared" si="751"/>
        <v>2</v>
      </c>
      <c r="O535" s="1">
        <f t="shared" si="735"/>
        <v>2</v>
      </c>
      <c r="P535" s="1">
        <f>MIN(方案参数!$AI$17,AZ534+0+0)</f>
        <v>5</v>
      </c>
      <c r="Q535" s="1">
        <f t="shared" si="713"/>
        <v>5</v>
      </c>
      <c r="R535" s="1">
        <f t="shared" si="714"/>
        <v>20</v>
      </c>
      <c r="S535" s="1">
        <f t="shared" si="715"/>
        <v>3</v>
      </c>
      <c r="T535" s="1">
        <f t="shared" si="758"/>
        <v>0</v>
      </c>
      <c r="U535" s="1">
        <f t="shared" si="717"/>
        <v>0</v>
      </c>
      <c r="V535" s="1">
        <f t="shared" si="718"/>
        <v>4</v>
      </c>
      <c r="W535" s="1">
        <f t="shared" si="719"/>
        <v>1</v>
      </c>
      <c r="X535" s="1">
        <f t="shared" si="720"/>
        <v>1</v>
      </c>
      <c r="Y535" s="1">
        <f t="shared" si="721"/>
        <v>1</v>
      </c>
      <c r="Z535" s="1">
        <f t="shared" si="722"/>
        <v>1</v>
      </c>
      <c r="AA535" s="1">
        <f t="shared" si="754"/>
        <v>1</v>
      </c>
      <c r="AB535" s="1">
        <f t="shared" si="724"/>
        <v>1</v>
      </c>
      <c r="AC535" s="1">
        <f t="shared" si="759"/>
        <v>1</v>
      </c>
      <c r="AD535" s="1">
        <f>ROUNDDOWN(I535*(1+IF(F535=3,0.05+方案参数!$Y$17+AA535*0.12,IF(F535=4,方案参数!$BZ$17*方案参数!$AS$17,0)))+IF(AND(X535=1,F535&lt;&gt;3),方案参数!$CC$17,0)+AC535*方案参数!$CB$17,0)</f>
        <v>3044</v>
      </c>
      <c r="AE535" s="1">
        <f>IF(OR(F535=1,F535=4),配置与结果!$B$24,配置与结果!$B$25)*MAX(0,1-INDEX(配置与结果!$I$15:$I$18,F535))</f>
        <v>1000</v>
      </c>
      <c r="AF535" s="1">
        <f>方案参数!$CE$17</f>
        <v>8</v>
      </c>
      <c r="AG535" s="1">
        <f>MAX(配置与结果!$B$32,1+INDEX(配置与结果!$F$15:$F$18,F535)+0+Q535*方案参数!$W$17+Y535*(方案参数!$AN$17+MIN(方案参数!$AO$17,P535*0.03))+AB535*方案参数!$BZ$17*0.025-配置与结果!$B$28+方案参数!$AE$17)</f>
        <v>2.2800000000000002</v>
      </c>
      <c r="AH535" s="1">
        <f>MAX(0,1+V535*方案参数!$U$17+方案参数!$AE$17-配置与结果!$B$29)</f>
        <v>1.56</v>
      </c>
      <c r="AI535" s="1">
        <f>IF(OR(INDEX(配置与结果!$K$15:$K$18,F535)=1,G535="RHI_BERRY"),1+配置与结果!$B$33+P535*方案参数!$AH$17,1)</f>
        <v>1</v>
      </c>
      <c r="AJ535" s="1">
        <f>MIN(1,MAX(0,J535+方案参数!$AB$17-配置与结果!$B$27))</f>
        <v>0.76</v>
      </c>
      <c r="AK535" s="1">
        <f>MAX(1,K535+IF(F535=2,0.15+方案参数!$CH$17,0)+BN535*方案参数!$X$17+R535*方案参数!$AA$17+0-配置与结果!$B$26+Z535*(方案参数!$AP$17+MIN(方案参数!$AQ$17,P535*0.03)))</f>
        <v>2.3380000000000001</v>
      </c>
      <c r="AL535" s="7">
        <f>ROUNDDOWN(MAX(AD535*配置与结果!$B$31,AD535-AE535)*AF535*AG535*AH535*AI535,0)</f>
        <v>58160</v>
      </c>
      <c r="AM535" s="7">
        <f>ROUNDDOWN(MAX(AD535*配置与结果!$B$31,AD535-AE535)*AF535*AG535*AH535*AI535*AK535,0)</f>
        <v>135979</v>
      </c>
      <c r="AN535" s="7">
        <f t="shared" si="738"/>
        <v>117302.44</v>
      </c>
      <c r="AO535" s="7">
        <f>0</f>
        <v>0</v>
      </c>
      <c r="AP535" s="7">
        <f>MAX(0,1+INDEX(配置与结果!$J$15:$J$18,F535)+IF(T535&gt;0,方案参数!$BY$17,0)-配置与结果!$B$30)</f>
        <v>1</v>
      </c>
      <c r="AQ535" s="7">
        <f t="shared" si="739"/>
        <v>0</v>
      </c>
      <c r="AR535" s="7">
        <f t="shared" si="740"/>
        <v>0</v>
      </c>
      <c r="AS535" s="7">
        <f t="shared" si="741"/>
        <v>0</v>
      </c>
      <c r="AT535" s="7">
        <f>IF(U535&gt;0,ROUNDDOWN(AL535*方案参数!$AF$17,0)*(1-AJ535)+ROUNDDOWN(AM535*方案参数!$AF$17,0)*AJ535,0)</f>
        <v>0</v>
      </c>
      <c r="AU535" s="7">
        <f t="shared" si="742"/>
        <v>117302.44</v>
      </c>
      <c r="AV535" s="1">
        <f t="shared" si="743"/>
        <v>2</v>
      </c>
      <c r="AW535" s="1">
        <f t="shared" si="764"/>
        <v>10</v>
      </c>
      <c r="AX535" s="1">
        <f t="shared" si="744"/>
        <v>2</v>
      </c>
      <c r="AY535" s="1">
        <f>MIN(20,MAX(0,O535+0+0-0))</f>
        <v>2</v>
      </c>
      <c r="AZ535" s="1">
        <f t="shared" si="745"/>
        <v>5</v>
      </c>
      <c r="BA535" s="1">
        <f t="shared" si="755"/>
        <v>5</v>
      </c>
      <c r="BB535" s="1">
        <f t="shared" si="763"/>
        <v>20</v>
      </c>
      <c r="BC535" s="1">
        <f t="shared" si="761"/>
        <v>3</v>
      </c>
      <c r="BD535" s="1">
        <f t="shared" si="734"/>
        <v>0</v>
      </c>
      <c r="BE535" s="1">
        <f>MAX(0,U535-IF(AF535&gt;0,1,0))+1</f>
        <v>1</v>
      </c>
      <c r="BF535" s="1">
        <f t="shared" si="765"/>
        <v>4</v>
      </c>
      <c r="BG535" s="1">
        <f t="shared" si="752"/>
        <v>1</v>
      </c>
      <c r="BH535" s="1">
        <f t="shared" si="728"/>
        <v>1</v>
      </c>
      <c r="BI535" s="1">
        <f t="shared" si="753"/>
        <v>1</v>
      </c>
      <c r="BJ535" s="1">
        <f t="shared" si="756"/>
        <v>1</v>
      </c>
      <c r="BK535" s="1">
        <f t="shared" si="757"/>
        <v>1</v>
      </c>
      <c r="BL535" s="1">
        <f t="shared" si="762"/>
        <v>1</v>
      </c>
      <c r="BM535" s="1">
        <f t="shared" si="760"/>
        <v>1</v>
      </c>
      <c r="BN535" s="1">
        <f t="shared" si="729"/>
        <v>1</v>
      </c>
      <c r="BO535" s="1">
        <f t="shared" si="730"/>
        <v>1</v>
      </c>
    </row>
    <row r="536" spans="1:67" ht="30.95" customHeight="1">
      <c r="A536" s="1">
        <f>14</f>
        <v>14</v>
      </c>
      <c r="B536" s="1">
        <f>固定流程!A32</f>
        <v>27</v>
      </c>
      <c r="C536" s="1">
        <f>17</f>
        <v>17</v>
      </c>
      <c r="D536" s="1">
        <f>2</f>
        <v>2</v>
      </c>
      <c r="E536" s="1">
        <f>固定流程!C32</f>
        <v>3</v>
      </c>
      <c r="F536" s="1">
        <f>固定流程!G32</f>
        <v>1</v>
      </c>
      <c r="G536" s="1" t="str">
        <f>固定流程!H32</f>
        <v>LILYA_THIRD</v>
      </c>
      <c r="H536" s="1">
        <f>固定流程!F32</f>
        <v>1</v>
      </c>
      <c r="I536" s="1">
        <f>INDEX(配置与结果!$B$15:$B$18,F536)</f>
        <v>2296</v>
      </c>
      <c r="J536" s="1">
        <f>INDEX(配置与结果!$D$15:$D$18,F536)</f>
        <v>0.7</v>
      </c>
      <c r="K536" s="1">
        <f>INDEX(配置与结果!$E$15:$E$18,F536)</f>
        <v>2.0249999999999999</v>
      </c>
      <c r="L536" s="1">
        <f t="shared" si="749"/>
        <v>2</v>
      </c>
      <c r="M536" s="1">
        <f t="shared" si="750"/>
        <v>10</v>
      </c>
      <c r="N536" s="1">
        <f t="shared" si="751"/>
        <v>2</v>
      </c>
      <c r="O536" s="1">
        <f t="shared" si="735"/>
        <v>2</v>
      </c>
      <c r="P536" s="1">
        <f>MIN(方案参数!$AI$17,AZ535+0+0)</f>
        <v>5</v>
      </c>
      <c r="Q536" s="1">
        <f t="shared" si="713"/>
        <v>5</v>
      </c>
      <c r="R536" s="1">
        <f t="shared" si="714"/>
        <v>20</v>
      </c>
      <c r="S536" s="1">
        <f t="shared" si="715"/>
        <v>3</v>
      </c>
      <c r="T536" s="1">
        <f t="shared" si="758"/>
        <v>0</v>
      </c>
      <c r="U536" s="1">
        <f t="shared" si="717"/>
        <v>1</v>
      </c>
      <c r="V536" s="1">
        <f t="shared" si="718"/>
        <v>4</v>
      </c>
      <c r="W536" s="1">
        <f t="shared" si="719"/>
        <v>1</v>
      </c>
      <c r="X536" s="1">
        <f t="shared" si="720"/>
        <v>1</v>
      </c>
      <c r="Y536" s="1">
        <f t="shared" si="721"/>
        <v>1</v>
      </c>
      <c r="Z536" s="1">
        <f t="shared" si="722"/>
        <v>1</v>
      </c>
      <c r="AA536" s="1">
        <f t="shared" si="754"/>
        <v>1</v>
      </c>
      <c r="AB536" s="1">
        <f t="shared" si="724"/>
        <v>1</v>
      </c>
      <c r="AC536" s="1">
        <f t="shared" si="759"/>
        <v>1</v>
      </c>
      <c r="AD536" s="1">
        <f>ROUNDDOWN(I536*(1+IF(F536=3,0.05+方案参数!$Y$17+AA536*0.12,IF(F536=4,方案参数!$BZ$17*方案参数!$AS$17,0)))+IF(AND(X536=1,F536&lt;&gt;3),方案参数!$CC$17,0)+AC536*方案参数!$CB$17,0)</f>
        <v>3034</v>
      </c>
      <c r="AE536" s="1">
        <f>IF(OR(F536=1,F536=4),配置与结果!$B$24,配置与结果!$B$25)*MAX(0,1-INDEX(配置与结果!$I$15:$I$18,F536))</f>
        <v>1200</v>
      </c>
      <c r="AF536" s="1">
        <f>方案参数!$BM$17</f>
        <v>20</v>
      </c>
      <c r="AG536" s="1">
        <f>MAX(配置与结果!$B$32,1+INDEX(配置与结果!$F$15:$F$18,F536)+0.08+方案参数!$CD$17+Q536*方案参数!$W$17+Y536*(方案参数!$AN$17+MIN(方案参数!$AO$17,P536*0.03))+AB536*方案参数!$BZ$17*0.025-配置与结果!$B$28+方案参数!$AE$17)</f>
        <v>2.6150000000000002</v>
      </c>
      <c r="AH536" s="1">
        <f>MAX(0,1+V536*方案参数!$U$17+3*方案参数!$V$17+方案参数!$AE$17-配置与结果!$B$29)</f>
        <v>1.7399999999999998</v>
      </c>
      <c r="AI536" s="1">
        <f>IF(OR(INDEX(配置与结果!$K$15:$K$18,F536)=1,G536="RHI_BERRY"),1+配置与结果!$B$33+P536*方案参数!$AH$17,1)</f>
        <v>1</v>
      </c>
      <c r="AJ536" s="1">
        <f>MIN(1,MAX(0,J536+方案参数!$AB$17-配置与结果!$B$27))</f>
        <v>1</v>
      </c>
      <c r="AK536" s="1">
        <f>MAX(1,K536+IF(F536=2,0.15+方案参数!$CH$17,0)+BN536*方案参数!$X$17+R536*方案参数!$AA$17+方案参数!$BQ$17-配置与结果!$B$26+Z536*(方案参数!$AP$17+MIN(方案参数!$AQ$17,P536*0.03)))</f>
        <v>2.9650000000000003</v>
      </c>
      <c r="AL536" s="7">
        <f>ROUNDDOWN(MAX(AD536*配置与结果!$B$31,AD536-AE536)*AF536*AG536*AH536*AI536,0)</f>
        <v>166897</v>
      </c>
      <c r="AM536" s="7">
        <f>ROUNDDOWN(MAX(AD536*配置与结果!$B$31,AD536-AE536)*AF536*AG536*AH536*AI536*AK536,0)</f>
        <v>494851</v>
      </c>
      <c r="AN536" s="7">
        <f t="shared" si="738"/>
        <v>494851</v>
      </c>
      <c r="AO536" s="7">
        <f>0</f>
        <v>0</v>
      </c>
      <c r="AP536" s="7">
        <f>MAX(0,1+INDEX(配置与结果!$J$15:$J$18,F536)+IF(T536&gt;0,方案参数!$BY$17,0)-配置与结果!$B$30)</f>
        <v>1</v>
      </c>
      <c r="AQ536" s="7">
        <f t="shared" si="739"/>
        <v>0</v>
      </c>
      <c r="AR536" s="7">
        <f t="shared" si="740"/>
        <v>0</v>
      </c>
      <c r="AS536" s="7">
        <f t="shared" si="741"/>
        <v>0</v>
      </c>
      <c r="AT536" s="7">
        <f>IF(U536&gt;0,ROUNDDOWN(AL536*方案参数!$AF$17,0)*(1-AJ536)+ROUNDDOWN(AM536*方案参数!$AF$17,0)*AJ536,0)</f>
        <v>197940</v>
      </c>
      <c r="AU536" s="7">
        <f t="shared" si="742"/>
        <v>692791</v>
      </c>
      <c r="AV536" s="1">
        <f t="shared" si="743"/>
        <v>2</v>
      </c>
      <c r="AW536" s="1">
        <f t="shared" si="764"/>
        <v>10</v>
      </c>
      <c r="AX536" s="1">
        <f t="shared" si="744"/>
        <v>2</v>
      </c>
      <c r="AY536" s="1">
        <f>MIN(20,MAX(0,O536+0+1-0))</f>
        <v>3</v>
      </c>
      <c r="AZ536" s="1">
        <f t="shared" si="745"/>
        <v>5</v>
      </c>
      <c r="BA536" s="1">
        <f t="shared" si="755"/>
        <v>5</v>
      </c>
      <c r="BB536" s="1">
        <f t="shared" si="763"/>
        <v>20</v>
      </c>
      <c r="BC536" s="1">
        <f t="shared" si="761"/>
        <v>3</v>
      </c>
      <c r="BD536" s="1">
        <f t="shared" si="734"/>
        <v>0</v>
      </c>
      <c r="BE536" s="1">
        <f>MAX(0,U536-IF(AF536&gt;0,1,0))+0</f>
        <v>0</v>
      </c>
      <c r="BF536" s="1">
        <f t="shared" si="765"/>
        <v>4</v>
      </c>
      <c r="BG536" s="1">
        <f t="shared" si="752"/>
        <v>1</v>
      </c>
      <c r="BH536" s="1">
        <f t="shared" si="728"/>
        <v>1</v>
      </c>
      <c r="BI536" s="1">
        <f t="shared" si="753"/>
        <v>1</v>
      </c>
      <c r="BJ536" s="1">
        <f t="shared" si="756"/>
        <v>1</v>
      </c>
      <c r="BK536" s="1">
        <f t="shared" si="757"/>
        <v>1</v>
      </c>
      <c r="BL536" s="1">
        <f t="shared" si="762"/>
        <v>1</v>
      </c>
      <c r="BM536" s="1">
        <f t="shared" si="760"/>
        <v>1</v>
      </c>
      <c r="BN536" s="1">
        <f t="shared" si="729"/>
        <v>1</v>
      </c>
      <c r="BO536" s="1">
        <f t="shared" si="730"/>
        <v>1</v>
      </c>
    </row>
    <row r="537" spans="1:67" ht="30.95" customHeight="1">
      <c r="A537" s="1">
        <f>14</f>
        <v>14</v>
      </c>
      <c r="B537" s="1">
        <f>固定流程!A33</f>
        <v>28</v>
      </c>
      <c r="C537" s="1">
        <f>17</f>
        <v>17</v>
      </c>
      <c r="D537" s="1">
        <f>2</f>
        <v>2</v>
      </c>
      <c r="E537" s="1">
        <f>固定流程!C33</f>
        <v>3</v>
      </c>
      <c r="F537" s="1">
        <f>固定流程!G33</f>
        <v>1</v>
      </c>
      <c r="G537" s="1" t="str">
        <f>固定流程!H33</f>
        <v>LILYA_WEAK</v>
      </c>
      <c r="H537" s="1">
        <f>固定流程!F33</f>
        <v>1</v>
      </c>
      <c r="I537" s="1">
        <f>INDEX(配置与结果!$B$15:$B$18,F537)</f>
        <v>2296</v>
      </c>
      <c r="J537" s="1">
        <f>INDEX(配置与结果!$D$15:$D$18,F537)</f>
        <v>0.7</v>
      </c>
      <c r="K537" s="1">
        <f>INDEX(配置与结果!$E$15:$E$18,F537)</f>
        <v>2.0249999999999999</v>
      </c>
      <c r="L537" s="1">
        <f t="shared" si="749"/>
        <v>2</v>
      </c>
      <c r="M537" s="1">
        <f t="shared" si="750"/>
        <v>10</v>
      </c>
      <c r="N537" s="1">
        <f t="shared" si="751"/>
        <v>2</v>
      </c>
      <c r="O537" s="1">
        <f t="shared" si="735"/>
        <v>3</v>
      </c>
      <c r="P537" s="1">
        <f>MIN(方案参数!$AI$17,AZ536+0+0)</f>
        <v>5</v>
      </c>
      <c r="Q537" s="1">
        <f t="shared" si="713"/>
        <v>5</v>
      </c>
      <c r="R537" s="1">
        <f t="shared" si="714"/>
        <v>20</v>
      </c>
      <c r="S537" s="1">
        <f t="shared" si="715"/>
        <v>3</v>
      </c>
      <c r="T537" s="1">
        <f t="shared" si="758"/>
        <v>0</v>
      </c>
      <c r="U537" s="1">
        <f t="shared" si="717"/>
        <v>0</v>
      </c>
      <c r="V537" s="1">
        <f t="shared" si="718"/>
        <v>4</v>
      </c>
      <c r="W537" s="1">
        <f t="shared" si="719"/>
        <v>1</v>
      </c>
      <c r="X537" s="1">
        <f t="shared" si="720"/>
        <v>1</v>
      </c>
      <c r="Y537" s="1">
        <f t="shared" si="721"/>
        <v>1</v>
      </c>
      <c r="Z537" s="1">
        <f t="shared" si="722"/>
        <v>1</v>
      </c>
      <c r="AA537" s="1">
        <f t="shared" si="754"/>
        <v>1</v>
      </c>
      <c r="AB537" s="1">
        <f t="shared" si="724"/>
        <v>1</v>
      </c>
      <c r="AC537" s="1">
        <f t="shared" si="759"/>
        <v>1</v>
      </c>
      <c r="AD537" s="1">
        <f>ROUNDDOWN(I537*(1+IF(F537=3,0.05+方案参数!$Y$17+AA537*0.12,IF(F537=4,方案参数!$BZ$17*方案参数!$AS$17,0)))+IF(AND(X537=1,F537&lt;&gt;3),方案参数!$CC$17,0)+AC537*方案参数!$CB$17,0)</f>
        <v>3034</v>
      </c>
      <c r="AE537" s="1">
        <f>IF(OR(F537=1,F537=4),配置与结果!$B$24,配置与结果!$B$25)*MAX(0,1-INDEX(配置与结果!$I$15:$I$18,F537))</f>
        <v>1200</v>
      </c>
      <c r="AF537" s="1">
        <f>方案参数!$BL$17</f>
        <v>9</v>
      </c>
      <c r="AG537" s="1">
        <f>MAX(配置与结果!$B$32,1+INDEX(配置与结果!$F$15:$F$18,F537)+0.08+方案参数!$CD$17+Q537*方案参数!$W$17+Y537*(方案参数!$AN$17+MIN(方案参数!$AO$17,P537*0.03))+AB537*方案参数!$BZ$17*0.025-配置与结果!$B$28+方案参数!$AE$17)</f>
        <v>2.6150000000000002</v>
      </c>
      <c r="AH537" s="1">
        <f>MAX(0,1+V537*方案参数!$U$17+4*方案参数!$V$17+方案参数!$AE$17-配置与结果!$B$29)</f>
        <v>1.7999999999999998</v>
      </c>
      <c r="AI537" s="1">
        <f>IF(OR(INDEX(配置与结果!$K$15:$K$18,F537)=1,G537="RHI_BERRY"),1+配置与结果!$B$33+P537*方案参数!$AH$17,1)</f>
        <v>1</v>
      </c>
      <c r="AJ537" s="1">
        <f>MIN(1,MAX(0,J537+方案参数!$AB$17-配置与结果!$B$27))</f>
        <v>1</v>
      </c>
      <c r="AK537" s="1">
        <f>MAX(1,K537+IF(F537=2,0.15+方案参数!$CH$17,0)+BN537*方案参数!$X$17+R537*方案参数!$AA$17+方案参数!$BP$17-配置与结果!$B$26+Z537*(方案参数!$AP$17+MIN(方案参数!$AQ$17,P537*0.03)))</f>
        <v>2.7650000000000001</v>
      </c>
      <c r="AL537" s="7">
        <f>ROUNDDOWN(MAX(AD537*配置与结果!$B$31,AD537-AE537)*AF537*AG537*AH537*AI537,0)</f>
        <v>77693</v>
      </c>
      <c r="AM537" s="7">
        <f>ROUNDDOWN(MAX(AD537*配置与结果!$B$31,AD537-AE537)*AF537*AG537*AH537*AI537*AK537,0)</f>
        <v>214823</v>
      </c>
      <c r="AN537" s="7">
        <f t="shared" si="738"/>
        <v>214823</v>
      </c>
      <c r="AO537" s="7">
        <f>0</f>
        <v>0</v>
      </c>
      <c r="AP537" s="7">
        <f>MAX(0,1+INDEX(配置与结果!$J$15:$J$18,F537)+IF(T537&gt;0,方案参数!$BY$17,0)-配置与结果!$B$30)</f>
        <v>1</v>
      </c>
      <c r="AQ537" s="7">
        <f t="shared" si="739"/>
        <v>0</v>
      </c>
      <c r="AR537" s="7">
        <f t="shared" si="740"/>
        <v>0</v>
      </c>
      <c r="AS537" s="7">
        <f t="shared" si="741"/>
        <v>0</v>
      </c>
      <c r="AT537" s="7">
        <f>IF(U537&gt;0,ROUNDDOWN(AL537*方案参数!$AF$17,0)*(1-AJ537)+ROUNDDOWN(AM537*方案参数!$AF$17,0)*AJ537,0)</f>
        <v>0</v>
      </c>
      <c r="AU537" s="7">
        <f t="shared" si="742"/>
        <v>214823</v>
      </c>
      <c r="AV537" s="1">
        <f t="shared" si="743"/>
        <v>2</v>
      </c>
      <c r="AW537" s="1">
        <f t="shared" si="764"/>
        <v>10</v>
      </c>
      <c r="AX537" s="1">
        <f t="shared" si="744"/>
        <v>2</v>
      </c>
      <c r="AY537" s="1">
        <f>MIN(20,MAX(0,O537+0+1-0))</f>
        <v>4</v>
      </c>
      <c r="AZ537" s="1">
        <f t="shared" si="745"/>
        <v>5</v>
      </c>
      <c r="BA537" s="1">
        <f t="shared" si="755"/>
        <v>5</v>
      </c>
      <c r="BB537" s="1">
        <f t="shared" si="763"/>
        <v>20</v>
      </c>
      <c r="BC537" s="1">
        <f t="shared" si="761"/>
        <v>3</v>
      </c>
      <c r="BD537" s="1">
        <f t="shared" si="734"/>
        <v>0</v>
      </c>
      <c r="BE537" s="1">
        <f>MAX(0,U537-IF(AF537&gt;0,1,0))+0</f>
        <v>0</v>
      </c>
      <c r="BF537" s="1">
        <f t="shared" si="765"/>
        <v>4</v>
      </c>
      <c r="BG537" s="1">
        <f t="shared" si="752"/>
        <v>1</v>
      </c>
      <c r="BH537" s="1">
        <f t="shared" si="728"/>
        <v>1</v>
      </c>
      <c r="BI537" s="1">
        <f t="shared" si="753"/>
        <v>1</v>
      </c>
      <c r="BJ537" s="1">
        <f t="shared" si="756"/>
        <v>1</v>
      </c>
      <c r="BK537" s="1">
        <f t="shared" si="757"/>
        <v>1</v>
      </c>
      <c r="BL537" s="1">
        <f t="shared" si="762"/>
        <v>1</v>
      </c>
      <c r="BM537" s="1">
        <f t="shared" si="760"/>
        <v>1</v>
      </c>
      <c r="BN537" s="1">
        <f t="shared" si="729"/>
        <v>1</v>
      </c>
      <c r="BO537" s="1">
        <f t="shared" si="730"/>
        <v>1</v>
      </c>
    </row>
    <row r="538" spans="1:67" ht="30.95" customHeight="1">
      <c r="A538" s="1">
        <f>14</f>
        <v>14</v>
      </c>
      <c r="B538" s="1">
        <f>固定流程!A34</f>
        <v>29</v>
      </c>
      <c r="C538" s="1">
        <f>17</f>
        <v>17</v>
      </c>
      <c r="D538" s="1">
        <f>2</f>
        <v>2</v>
      </c>
      <c r="E538" s="1">
        <f>固定流程!C34</f>
        <v>3</v>
      </c>
      <c r="F538" s="1">
        <f>固定流程!G34</f>
        <v>1</v>
      </c>
      <c r="G538" s="1" t="str">
        <f>固定流程!H34</f>
        <v>LILYA_WEAK</v>
      </c>
      <c r="H538" s="1">
        <f>固定流程!F34</f>
        <v>1</v>
      </c>
      <c r="I538" s="1">
        <f>INDEX(配置与结果!$B$15:$B$18,F538)</f>
        <v>2296</v>
      </c>
      <c r="J538" s="1">
        <f>INDEX(配置与结果!$D$15:$D$18,F538)</f>
        <v>0.7</v>
      </c>
      <c r="K538" s="1">
        <f>INDEX(配置与结果!$E$15:$E$18,F538)</f>
        <v>2.0249999999999999</v>
      </c>
      <c r="L538" s="1">
        <f t="shared" si="749"/>
        <v>2</v>
      </c>
      <c r="M538" s="1">
        <f t="shared" si="750"/>
        <v>10</v>
      </c>
      <c r="N538" s="1">
        <f t="shared" si="751"/>
        <v>2</v>
      </c>
      <c r="O538" s="1">
        <f t="shared" si="735"/>
        <v>4</v>
      </c>
      <c r="P538" s="1">
        <f>MIN(方案参数!$AI$17,AZ537+0+0)</f>
        <v>5</v>
      </c>
      <c r="Q538" s="1">
        <f t="shared" si="713"/>
        <v>5</v>
      </c>
      <c r="R538" s="1">
        <f t="shared" si="714"/>
        <v>20</v>
      </c>
      <c r="S538" s="1">
        <f t="shared" si="715"/>
        <v>3</v>
      </c>
      <c r="T538" s="1">
        <f t="shared" si="758"/>
        <v>0</v>
      </c>
      <c r="U538" s="1">
        <f t="shared" si="717"/>
        <v>0</v>
      </c>
      <c r="V538" s="1">
        <f t="shared" si="718"/>
        <v>4</v>
      </c>
      <c r="W538" s="1">
        <f t="shared" si="719"/>
        <v>1</v>
      </c>
      <c r="X538" s="1">
        <f t="shared" si="720"/>
        <v>1</v>
      </c>
      <c r="Y538" s="1">
        <f t="shared" si="721"/>
        <v>1</v>
      </c>
      <c r="Z538" s="1">
        <f t="shared" si="722"/>
        <v>1</v>
      </c>
      <c r="AA538" s="1">
        <f t="shared" si="754"/>
        <v>1</v>
      </c>
      <c r="AB538" s="1">
        <f t="shared" si="724"/>
        <v>1</v>
      </c>
      <c r="AC538" s="1">
        <f t="shared" si="759"/>
        <v>1</v>
      </c>
      <c r="AD538" s="1">
        <f>ROUNDDOWN(I538*(1+IF(F538=3,0.05+方案参数!$Y$17+AA538*0.12,IF(F538=4,方案参数!$BZ$17*方案参数!$AS$17,0)))+IF(AND(X538=1,F538&lt;&gt;3),方案参数!$CC$17,0)+AC538*方案参数!$CB$17,0)</f>
        <v>3034</v>
      </c>
      <c r="AE538" s="1">
        <f>IF(OR(F538=1,F538=4),配置与结果!$B$24,配置与结果!$B$25)*MAX(0,1-INDEX(配置与结果!$I$15:$I$18,F538))</f>
        <v>1200</v>
      </c>
      <c r="AF538" s="1">
        <f>方案参数!$BL$17</f>
        <v>9</v>
      </c>
      <c r="AG538" s="1">
        <f>MAX(配置与结果!$B$32,1+INDEX(配置与结果!$F$15:$F$18,F538)+0.08+方案参数!$CD$17+Q538*方案参数!$W$17+Y538*(方案参数!$AN$17+MIN(方案参数!$AO$17,P538*0.03))+AB538*方案参数!$BZ$17*0.025-配置与结果!$B$28+方案参数!$AE$17)</f>
        <v>2.6150000000000002</v>
      </c>
      <c r="AH538" s="1">
        <f>MAX(0,1+V538*方案参数!$U$17+5*方案参数!$V$17+方案参数!$AE$17-配置与结果!$B$29)</f>
        <v>1.8599999999999999</v>
      </c>
      <c r="AI538" s="1">
        <f>IF(OR(INDEX(配置与结果!$K$15:$K$18,F538)=1,G538="RHI_BERRY"),1+配置与结果!$B$33+P538*方案参数!$AH$17,1)</f>
        <v>1</v>
      </c>
      <c r="AJ538" s="1">
        <f>MIN(1,MAX(0,J538+方案参数!$AB$17-配置与结果!$B$27))</f>
        <v>1</v>
      </c>
      <c r="AK538" s="1">
        <f>MAX(1,K538+IF(F538=2,0.15+方案参数!$CH$17,0)+BN538*方案参数!$X$17+R538*方案参数!$AA$17+方案参数!$BP$17-配置与结果!$B$26+Z538*(方案参数!$AP$17+MIN(方案参数!$AQ$17,P538*0.03)))</f>
        <v>2.7650000000000001</v>
      </c>
      <c r="AL538" s="7">
        <f>ROUNDDOWN(MAX(AD538*配置与结果!$B$31,AD538-AE538)*AF538*AG538*AH538*AI538,0)</f>
        <v>80283</v>
      </c>
      <c r="AM538" s="7">
        <f>ROUNDDOWN(MAX(AD538*配置与结果!$B$31,AD538-AE538)*AF538*AG538*AH538*AI538*AK538,0)</f>
        <v>221983</v>
      </c>
      <c r="AN538" s="7">
        <f t="shared" si="738"/>
        <v>221983</v>
      </c>
      <c r="AO538" s="7">
        <f>0</f>
        <v>0</v>
      </c>
      <c r="AP538" s="7">
        <f>MAX(0,1+INDEX(配置与结果!$J$15:$J$18,F538)+IF(T538&gt;0,方案参数!$BY$17,0)-配置与结果!$B$30)</f>
        <v>1</v>
      </c>
      <c r="AQ538" s="7">
        <f t="shared" si="739"/>
        <v>0</v>
      </c>
      <c r="AR538" s="7">
        <f t="shared" si="740"/>
        <v>0</v>
      </c>
      <c r="AS538" s="7">
        <f t="shared" si="741"/>
        <v>0</v>
      </c>
      <c r="AT538" s="7">
        <f>IF(U538&gt;0,ROUNDDOWN(AL538*方案参数!$AF$17,0)*(1-AJ538)+ROUNDDOWN(AM538*方案参数!$AF$17,0)*AJ538,0)</f>
        <v>0</v>
      </c>
      <c r="AU538" s="7">
        <f t="shared" si="742"/>
        <v>221983</v>
      </c>
      <c r="AV538" s="1">
        <f t="shared" si="743"/>
        <v>2</v>
      </c>
      <c r="AW538" s="1">
        <f t="shared" si="764"/>
        <v>10</v>
      </c>
      <c r="AX538" s="1">
        <f t="shared" si="744"/>
        <v>2</v>
      </c>
      <c r="AY538" s="1">
        <f>MIN(20,MAX(0,O538+0+1-0))</f>
        <v>5</v>
      </c>
      <c r="AZ538" s="1">
        <f t="shared" si="745"/>
        <v>5</v>
      </c>
      <c r="BA538" s="1">
        <f t="shared" si="755"/>
        <v>5</v>
      </c>
      <c r="BB538" s="1">
        <f t="shared" si="763"/>
        <v>20</v>
      </c>
      <c r="BC538" s="1">
        <f t="shared" si="761"/>
        <v>3</v>
      </c>
      <c r="BD538" s="1">
        <f t="shared" si="734"/>
        <v>0</v>
      </c>
      <c r="BE538" s="1">
        <f>MAX(0,U538-IF(AF538&gt;0,1,0))+0</f>
        <v>0</v>
      </c>
      <c r="BF538" s="1">
        <f t="shared" si="765"/>
        <v>4</v>
      </c>
      <c r="BG538" s="1">
        <f t="shared" si="752"/>
        <v>1</v>
      </c>
      <c r="BH538" s="1">
        <f t="shared" si="728"/>
        <v>1</v>
      </c>
      <c r="BI538" s="1">
        <f t="shared" si="753"/>
        <v>1</v>
      </c>
      <c r="BJ538" s="1">
        <f t="shared" si="756"/>
        <v>1</v>
      </c>
      <c r="BK538" s="1">
        <f t="shared" si="757"/>
        <v>1</v>
      </c>
      <c r="BL538" s="1">
        <f t="shared" si="762"/>
        <v>1</v>
      </c>
      <c r="BM538" s="1">
        <f t="shared" si="760"/>
        <v>1</v>
      </c>
      <c r="BN538" s="1">
        <f t="shared" si="729"/>
        <v>1</v>
      </c>
      <c r="BO538" s="1">
        <f t="shared" si="730"/>
        <v>1</v>
      </c>
    </row>
    <row r="539" spans="1:67" ht="30.95" customHeight="1">
      <c r="A539" s="1">
        <f>14</f>
        <v>14</v>
      </c>
      <c r="B539" s="1">
        <f>固定流程!A35</f>
        <v>30</v>
      </c>
      <c r="C539" s="1">
        <f>17</f>
        <v>17</v>
      </c>
      <c r="D539" s="1">
        <f>2</f>
        <v>2</v>
      </c>
      <c r="E539" s="1">
        <f>固定流程!C35</f>
        <v>3</v>
      </c>
      <c r="F539" s="1">
        <f>固定流程!G35</f>
        <v>2</v>
      </c>
      <c r="G539" s="1" t="str">
        <f>固定流程!H35</f>
        <v>37_WEAK</v>
      </c>
      <c r="H539" s="1">
        <f>固定流程!F35</f>
        <v>1</v>
      </c>
      <c r="I539" s="1">
        <f>INDEX(配置与结果!$B$15:$B$18,F539)</f>
        <v>2306</v>
      </c>
      <c r="J539" s="1">
        <f>INDEX(配置与结果!$D$15:$D$18,F539)</f>
        <v>0.46</v>
      </c>
      <c r="K539" s="1">
        <f>INDEX(配置与结果!$E$15:$E$18,F539)</f>
        <v>1.9279999999999999</v>
      </c>
      <c r="L539" s="1">
        <f t="shared" si="749"/>
        <v>2</v>
      </c>
      <c r="M539" s="1">
        <f t="shared" si="750"/>
        <v>10</v>
      </c>
      <c r="N539" s="1">
        <f t="shared" si="751"/>
        <v>2</v>
      </c>
      <c r="O539" s="1">
        <f t="shared" si="735"/>
        <v>5</v>
      </c>
      <c r="P539" s="1">
        <f>MIN(方案参数!$AI$17,AZ538+0+0)</f>
        <v>5</v>
      </c>
      <c r="Q539" s="1">
        <f t="shared" si="713"/>
        <v>5</v>
      </c>
      <c r="R539" s="1">
        <f t="shared" si="714"/>
        <v>20</v>
      </c>
      <c r="S539" s="1">
        <f t="shared" si="715"/>
        <v>3</v>
      </c>
      <c r="T539" s="1">
        <f t="shared" si="758"/>
        <v>0</v>
      </c>
      <c r="U539" s="1">
        <f t="shared" si="717"/>
        <v>0</v>
      </c>
      <c r="V539" s="1">
        <f t="shared" si="718"/>
        <v>4</v>
      </c>
      <c r="W539" s="1">
        <f t="shared" si="719"/>
        <v>1</v>
      </c>
      <c r="X539" s="1">
        <f t="shared" si="720"/>
        <v>1</v>
      </c>
      <c r="Y539" s="1">
        <f t="shared" si="721"/>
        <v>1</v>
      </c>
      <c r="Z539" s="1">
        <f t="shared" si="722"/>
        <v>1</v>
      </c>
      <c r="AA539" s="1">
        <f t="shared" si="754"/>
        <v>1</v>
      </c>
      <c r="AB539" s="1">
        <f t="shared" si="724"/>
        <v>1</v>
      </c>
      <c r="AC539" s="1">
        <f t="shared" si="759"/>
        <v>1</v>
      </c>
      <c r="AD539" s="1">
        <f>ROUNDDOWN(I539*(1+IF(F539=3,0.05+方案参数!$Y$17+AA539*0.12,IF(F539=4,方案参数!$BZ$17*方案参数!$AS$17,0)))+IF(AND(X539=1,F539&lt;&gt;3),方案参数!$CC$17,0)+AC539*方案参数!$CB$17,0)</f>
        <v>3044</v>
      </c>
      <c r="AE539" s="1">
        <f>IF(OR(F539=1,F539=4),配置与结果!$B$24,配置与结果!$B$25)*MAX(0,1-INDEX(配置与结果!$I$15:$I$18,F539))</f>
        <v>1000</v>
      </c>
      <c r="AF539" s="1">
        <f>方案参数!$CE$17</f>
        <v>8</v>
      </c>
      <c r="AG539" s="1">
        <f>MAX(配置与结果!$B$32,1+INDEX(配置与结果!$F$15:$F$18,F539)+0+Q539*方案参数!$W$17+Y539*(方案参数!$AN$17+MIN(方案参数!$AO$17,P539*0.03))+AB539*方案参数!$BZ$17*0.025-配置与结果!$B$28+方案参数!$AE$17)</f>
        <v>2.2800000000000002</v>
      </c>
      <c r="AH539" s="1">
        <f>MAX(0,1+V539*方案参数!$U$17+方案参数!$AE$17-配置与结果!$B$29)</f>
        <v>1.56</v>
      </c>
      <c r="AI539" s="1">
        <f>IF(OR(INDEX(配置与结果!$K$15:$K$18,F539)=1,G539="RHI_BERRY"),1+配置与结果!$B$33+P539*方案参数!$AH$17,1)</f>
        <v>1</v>
      </c>
      <c r="AJ539" s="1">
        <f>MIN(1,MAX(0,J539+方案参数!$AB$17-配置与结果!$B$27))</f>
        <v>0.76</v>
      </c>
      <c r="AK539" s="1">
        <f>MAX(1,K539+IF(F539=2,0.15+方案参数!$CH$17,0)+BN539*方案参数!$X$17+R539*方案参数!$AA$17+0-配置与结果!$B$26+Z539*(方案参数!$AP$17+MIN(方案参数!$AQ$17,P539*0.03)))</f>
        <v>2.3380000000000001</v>
      </c>
      <c r="AL539" s="7">
        <f>ROUNDDOWN(MAX(AD539*配置与结果!$B$31,AD539-AE539)*AF539*AG539*AH539*AI539,0)</f>
        <v>58160</v>
      </c>
      <c r="AM539" s="7">
        <f>ROUNDDOWN(MAX(AD539*配置与结果!$B$31,AD539-AE539)*AF539*AG539*AH539*AI539*AK539,0)</f>
        <v>135979</v>
      </c>
      <c r="AN539" s="7">
        <f t="shared" si="738"/>
        <v>117302.44</v>
      </c>
      <c r="AO539" s="7">
        <f>0</f>
        <v>0</v>
      </c>
      <c r="AP539" s="7">
        <f>MAX(0,1+INDEX(配置与结果!$J$15:$J$18,F539)+IF(T539&gt;0,方案参数!$BY$17,0)-配置与结果!$B$30)</f>
        <v>1</v>
      </c>
      <c r="AQ539" s="7">
        <f t="shared" si="739"/>
        <v>0</v>
      </c>
      <c r="AR539" s="7">
        <f t="shared" si="740"/>
        <v>0</v>
      </c>
      <c r="AS539" s="7">
        <f t="shared" si="741"/>
        <v>0</v>
      </c>
      <c r="AT539" s="7">
        <f>IF(U539&gt;0,ROUNDDOWN(AL539*方案参数!$AF$17,0)*(1-AJ539)+ROUNDDOWN(AM539*方案参数!$AF$17,0)*AJ539,0)</f>
        <v>0</v>
      </c>
      <c r="AU539" s="7">
        <f t="shared" si="742"/>
        <v>117302.44</v>
      </c>
      <c r="AV539" s="1">
        <f t="shared" si="743"/>
        <v>2</v>
      </c>
      <c r="AW539" s="1">
        <f t="shared" si="764"/>
        <v>10</v>
      </c>
      <c r="AX539" s="1">
        <f t="shared" si="744"/>
        <v>2</v>
      </c>
      <c r="AY539" s="1">
        <f>MIN(20,MAX(0,O539+0+0-0))</f>
        <v>5</v>
      </c>
      <c r="AZ539" s="1">
        <f t="shared" si="745"/>
        <v>5</v>
      </c>
      <c r="BA539" s="1">
        <f t="shared" si="755"/>
        <v>5</v>
      </c>
      <c r="BB539" s="1">
        <f t="shared" si="763"/>
        <v>20</v>
      </c>
      <c r="BC539" s="1">
        <f t="shared" si="761"/>
        <v>3</v>
      </c>
      <c r="BD539" s="1">
        <f t="shared" si="734"/>
        <v>0</v>
      </c>
      <c r="BE539" s="1">
        <f>MAX(0,U539-IF(AF539&gt;0,1,0))+1</f>
        <v>1</v>
      </c>
      <c r="BF539" s="1">
        <f t="shared" si="765"/>
        <v>4</v>
      </c>
      <c r="BG539" s="1">
        <f t="shared" si="752"/>
        <v>1</v>
      </c>
      <c r="BH539" s="1">
        <f t="shared" si="728"/>
        <v>1</v>
      </c>
      <c r="BI539" s="1">
        <f t="shared" si="753"/>
        <v>1</v>
      </c>
      <c r="BJ539" s="1">
        <f t="shared" si="756"/>
        <v>1</v>
      </c>
      <c r="BK539" s="1">
        <f t="shared" si="757"/>
        <v>1</v>
      </c>
      <c r="BL539" s="1">
        <f t="shared" si="762"/>
        <v>1</v>
      </c>
      <c r="BM539" s="1">
        <f t="shared" si="760"/>
        <v>1</v>
      </c>
      <c r="BN539" s="1">
        <f t="shared" si="729"/>
        <v>1</v>
      </c>
      <c r="BO539" s="1">
        <f t="shared" si="730"/>
        <v>1</v>
      </c>
    </row>
    <row r="540" spans="1:67" ht="30.95" customHeight="1">
      <c r="A540" s="1">
        <f>14</f>
        <v>14</v>
      </c>
      <c r="B540" s="1">
        <f>固定流程!A36</f>
        <v>31</v>
      </c>
      <c r="C540" s="1">
        <f>17</f>
        <v>17</v>
      </c>
      <c r="D540" s="1">
        <f>2</f>
        <v>2</v>
      </c>
      <c r="E540" s="1">
        <f>固定流程!C36</f>
        <v>3</v>
      </c>
      <c r="F540" s="1">
        <f>固定流程!G36</f>
        <v>1</v>
      </c>
      <c r="G540" s="1" t="str">
        <f>固定流程!H36</f>
        <v>LILYA_THIRD</v>
      </c>
      <c r="H540" s="1">
        <f>固定流程!F36</f>
        <v>1</v>
      </c>
      <c r="I540" s="1">
        <f>INDEX(配置与结果!$B$15:$B$18,F540)</f>
        <v>2296</v>
      </c>
      <c r="J540" s="1">
        <f>INDEX(配置与结果!$D$15:$D$18,F540)</f>
        <v>0.7</v>
      </c>
      <c r="K540" s="1">
        <f>INDEX(配置与结果!$E$15:$E$18,F540)</f>
        <v>2.0249999999999999</v>
      </c>
      <c r="L540" s="1">
        <f t="shared" si="749"/>
        <v>2</v>
      </c>
      <c r="M540" s="1">
        <f t="shared" si="750"/>
        <v>10</v>
      </c>
      <c r="N540" s="1">
        <f t="shared" si="751"/>
        <v>2</v>
      </c>
      <c r="O540" s="1">
        <f t="shared" si="735"/>
        <v>5</v>
      </c>
      <c r="P540" s="1">
        <f>MIN(方案参数!$AI$17,AZ539+0+0)</f>
        <v>5</v>
      </c>
      <c r="Q540" s="1">
        <f t="shared" si="713"/>
        <v>5</v>
      </c>
      <c r="R540" s="1">
        <f t="shared" si="714"/>
        <v>20</v>
      </c>
      <c r="S540" s="1">
        <f t="shared" si="715"/>
        <v>3</v>
      </c>
      <c r="T540" s="1">
        <f t="shared" si="758"/>
        <v>0</v>
      </c>
      <c r="U540" s="1">
        <f t="shared" si="717"/>
        <v>1</v>
      </c>
      <c r="V540" s="1">
        <f t="shared" si="718"/>
        <v>4</v>
      </c>
      <c r="W540" s="1">
        <f t="shared" si="719"/>
        <v>1</v>
      </c>
      <c r="X540" s="1">
        <f t="shared" si="720"/>
        <v>1</v>
      </c>
      <c r="Y540" s="1">
        <f t="shared" si="721"/>
        <v>1</v>
      </c>
      <c r="Z540" s="1">
        <f t="shared" si="722"/>
        <v>1</v>
      </c>
      <c r="AA540" s="1">
        <f t="shared" si="754"/>
        <v>1</v>
      </c>
      <c r="AB540" s="1">
        <f t="shared" si="724"/>
        <v>1</v>
      </c>
      <c r="AC540" s="1">
        <f t="shared" si="759"/>
        <v>1</v>
      </c>
      <c r="AD540" s="1">
        <f>ROUNDDOWN(I540*(1+IF(F540=3,0.05+方案参数!$Y$17+AA540*0.12,IF(F540=4,方案参数!$BZ$17*方案参数!$AS$17,0)))+IF(AND(X540=1,F540&lt;&gt;3),方案参数!$CC$17,0)+AC540*方案参数!$CB$17,0)</f>
        <v>3034</v>
      </c>
      <c r="AE540" s="1">
        <f>IF(OR(F540=1,F540=4),配置与结果!$B$24,配置与结果!$B$25)*MAX(0,1-INDEX(配置与结果!$I$15:$I$18,F540))</f>
        <v>1200</v>
      </c>
      <c r="AF540" s="1">
        <f>方案参数!$BM$17</f>
        <v>20</v>
      </c>
      <c r="AG540" s="1">
        <f>MAX(配置与结果!$B$32,1+INDEX(配置与结果!$F$15:$F$18,F540)+0.08+方案参数!$CD$17+Q540*方案参数!$W$17+Y540*(方案参数!$AN$17+MIN(方案参数!$AO$17,P540*0.03))+AB540*方案参数!$BZ$17*0.025-配置与结果!$B$28+方案参数!$AE$17)</f>
        <v>2.6150000000000002</v>
      </c>
      <c r="AH540" s="1">
        <f>MAX(0,1+V540*方案参数!$U$17+7*方案参数!$V$17+方案参数!$AE$17-配置与结果!$B$29)</f>
        <v>1.98</v>
      </c>
      <c r="AI540" s="1">
        <f>IF(OR(INDEX(配置与结果!$K$15:$K$18,F540)=1,G540="RHI_BERRY"),1+配置与结果!$B$33+P540*方案参数!$AH$17,1)</f>
        <v>1</v>
      </c>
      <c r="AJ540" s="1">
        <f>MIN(1,MAX(0,J540+方案参数!$AB$17-配置与结果!$B$27))</f>
        <v>1</v>
      </c>
      <c r="AK540" s="1">
        <f>MAX(1,K540+IF(F540=2,0.15+方案参数!$CH$17,0)+BN540*方案参数!$X$17+R540*方案参数!$AA$17+方案参数!$BQ$17-配置与结果!$B$26+Z540*(方案参数!$AP$17+MIN(方案参数!$AQ$17,P540*0.03)))</f>
        <v>2.9650000000000003</v>
      </c>
      <c r="AL540" s="7">
        <f>ROUNDDOWN(MAX(AD540*配置与结果!$B$31,AD540-AE540)*AF540*AG540*AH540*AI540,0)</f>
        <v>189918</v>
      </c>
      <c r="AM540" s="7">
        <f>ROUNDDOWN(MAX(AD540*配置与结果!$B$31,AD540-AE540)*AF540*AG540*AH540*AI540*AK540,0)</f>
        <v>563106</v>
      </c>
      <c r="AN540" s="7">
        <f t="shared" si="738"/>
        <v>563106</v>
      </c>
      <c r="AO540" s="7">
        <f>0</f>
        <v>0</v>
      </c>
      <c r="AP540" s="7">
        <f>MAX(0,1+INDEX(配置与结果!$J$15:$J$18,F540)+IF(T540&gt;0,方案参数!$BY$17,0)-配置与结果!$B$30)</f>
        <v>1</v>
      </c>
      <c r="AQ540" s="7">
        <f t="shared" si="739"/>
        <v>0</v>
      </c>
      <c r="AR540" s="7">
        <f t="shared" si="740"/>
        <v>0</v>
      </c>
      <c r="AS540" s="7">
        <f t="shared" si="741"/>
        <v>0</v>
      </c>
      <c r="AT540" s="7">
        <f>IF(U540&gt;0,ROUNDDOWN(AL540*方案参数!$AF$17,0)*(1-AJ540)+ROUNDDOWN(AM540*方案参数!$AF$17,0)*AJ540,0)</f>
        <v>225242</v>
      </c>
      <c r="AU540" s="7">
        <f t="shared" si="742"/>
        <v>788348</v>
      </c>
      <c r="AV540" s="1">
        <f t="shared" si="743"/>
        <v>2</v>
      </c>
      <c r="AW540" s="1">
        <f t="shared" si="764"/>
        <v>10</v>
      </c>
      <c r="AX540" s="1">
        <f t="shared" si="744"/>
        <v>2</v>
      </c>
      <c r="AY540" s="1">
        <f>MIN(20,MAX(0,O540+0+1-0))</f>
        <v>6</v>
      </c>
      <c r="AZ540" s="1">
        <f t="shared" si="745"/>
        <v>5</v>
      </c>
      <c r="BA540" s="1">
        <f t="shared" si="755"/>
        <v>5</v>
      </c>
      <c r="BB540" s="1">
        <f t="shared" si="763"/>
        <v>20</v>
      </c>
      <c r="BC540" s="1">
        <f t="shared" si="761"/>
        <v>3</v>
      </c>
      <c r="BD540" s="1">
        <f t="shared" si="734"/>
        <v>0</v>
      </c>
      <c r="BE540" s="1">
        <f>MAX(0,U540-IF(AF540&gt;0,1,0))+0</f>
        <v>0</v>
      </c>
      <c r="BF540" s="1">
        <f t="shared" si="765"/>
        <v>4</v>
      </c>
      <c r="BG540" s="1">
        <f t="shared" si="752"/>
        <v>1</v>
      </c>
      <c r="BH540" s="1">
        <f t="shared" si="728"/>
        <v>1</v>
      </c>
      <c r="BI540" s="1">
        <f t="shared" si="753"/>
        <v>1</v>
      </c>
      <c r="BJ540" s="1">
        <f t="shared" si="756"/>
        <v>1</v>
      </c>
      <c r="BK540" s="1">
        <f t="shared" si="757"/>
        <v>1</v>
      </c>
      <c r="BL540" s="1">
        <f t="shared" si="762"/>
        <v>1</v>
      </c>
      <c r="BM540" s="1">
        <f t="shared" si="760"/>
        <v>1</v>
      </c>
      <c r="BN540" s="1">
        <f t="shared" si="729"/>
        <v>1</v>
      </c>
      <c r="BO540" s="1">
        <f t="shared" si="730"/>
        <v>1</v>
      </c>
    </row>
    <row r="541" spans="1:67" ht="30.95" customHeight="1">
      <c r="A541" s="1">
        <f>14</f>
        <v>14</v>
      </c>
      <c r="B541" s="1">
        <f>固定流程!A37</f>
        <v>32</v>
      </c>
      <c r="C541" s="1">
        <f>17</f>
        <v>17</v>
      </c>
      <c r="D541" s="1">
        <f>2</f>
        <v>2</v>
      </c>
      <c r="E541" s="1">
        <f>固定流程!C37</f>
        <v>3</v>
      </c>
      <c r="F541" s="1">
        <f>固定流程!G37</f>
        <v>1</v>
      </c>
      <c r="G541" s="1" t="str">
        <f>固定流程!H37</f>
        <v>LILYA_WEAK</v>
      </c>
      <c r="H541" s="1">
        <f>固定流程!F37</f>
        <v>1</v>
      </c>
      <c r="I541" s="1">
        <f>INDEX(配置与结果!$B$15:$B$18,F541)</f>
        <v>2296</v>
      </c>
      <c r="J541" s="1">
        <f>INDEX(配置与结果!$D$15:$D$18,F541)</f>
        <v>0.7</v>
      </c>
      <c r="K541" s="1">
        <f>INDEX(配置与结果!$E$15:$E$18,F541)</f>
        <v>2.0249999999999999</v>
      </c>
      <c r="L541" s="1">
        <f t="shared" si="749"/>
        <v>2</v>
      </c>
      <c r="M541" s="1">
        <f t="shared" si="750"/>
        <v>10</v>
      </c>
      <c r="N541" s="1">
        <f t="shared" si="751"/>
        <v>2</v>
      </c>
      <c r="O541" s="1">
        <f t="shared" si="735"/>
        <v>6</v>
      </c>
      <c r="P541" s="1">
        <f>MIN(方案参数!$AI$17,AZ540+0+0)</f>
        <v>5</v>
      </c>
      <c r="Q541" s="1">
        <f t="shared" si="713"/>
        <v>5</v>
      </c>
      <c r="R541" s="1">
        <f t="shared" si="714"/>
        <v>20</v>
      </c>
      <c r="S541" s="1">
        <f t="shared" si="715"/>
        <v>3</v>
      </c>
      <c r="T541" s="1">
        <f t="shared" si="758"/>
        <v>0</v>
      </c>
      <c r="U541" s="1">
        <f t="shared" si="717"/>
        <v>0</v>
      </c>
      <c r="V541" s="1">
        <f t="shared" si="718"/>
        <v>4</v>
      </c>
      <c r="W541" s="1">
        <f t="shared" si="719"/>
        <v>1</v>
      </c>
      <c r="X541" s="1">
        <f t="shared" si="720"/>
        <v>1</v>
      </c>
      <c r="Y541" s="1">
        <f t="shared" si="721"/>
        <v>1</v>
      </c>
      <c r="Z541" s="1">
        <f t="shared" si="722"/>
        <v>1</v>
      </c>
      <c r="AA541" s="1">
        <f t="shared" si="754"/>
        <v>1</v>
      </c>
      <c r="AB541" s="1">
        <f t="shared" si="724"/>
        <v>1</v>
      </c>
      <c r="AC541" s="1">
        <f t="shared" si="759"/>
        <v>1</v>
      </c>
      <c r="AD541" s="1">
        <f>ROUNDDOWN(I541*(1+IF(F541=3,0.05+方案参数!$Y$17+AA541*0.12,IF(F541=4,方案参数!$BZ$17*方案参数!$AS$17,0)))+IF(AND(X541=1,F541&lt;&gt;3),方案参数!$CC$17,0)+AC541*方案参数!$CB$17,0)</f>
        <v>3034</v>
      </c>
      <c r="AE541" s="1">
        <f>IF(OR(F541=1,F541=4),配置与结果!$B$24,配置与结果!$B$25)*MAX(0,1-INDEX(配置与结果!$I$15:$I$18,F541))</f>
        <v>1200</v>
      </c>
      <c r="AF541" s="1">
        <f>方案参数!$BL$17</f>
        <v>9</v>
      </c>
      <c r="AG541" s="1">
        <f>MAX(配置与结果!$B$32,1+INDEX(配置与结果!$F$15:$F$18,F541)+0.08+方案参数!$CD$17+Q541*方案参数!$W$17+Y541*(方案参数!$AN$17+MIN(方案参数!$AO$17,P541*0.03))+AB541*方案参数!$BZ$17*0.025-配置与结果!$B$28+方案参数!$AE$17)</f>
        <v>2.6150000000000002</v>
      </c>
      <c r="AH541" s="1">
        <f>MAX(0,1+V541*方案参数!$U$17+8*方案参数!$V$17+方案参数!$AE$17-配置与结果!$B$29)</f>
        <v>2.04</v>
      </c>
      <c r="AI541" s="1">
        <f>IF(OR(INDEX(配置与结果!$K$15:$K$18,F541)=1,G541="RHI_BERRY"),1+配置与结果!$B$33+P541*方案参数!$AH$17,1)</f>
        <v>1</v>
      </c>
      <c r="AJ541" s="1">
        <f>MIN(1,MAX(0,J541+方案参数!$AB$17-配置与结果!$B$27))</f>
        <v>1</v>
      </c>
      <c r="AK541" s="1">
        <f>MAX(1,K541+IF(F541=2,0.15+方案参数!$CH$17,0)+BN541*方案参数!$X$17+R541*方案参数!$AA$17+方案参数!$BP$17-配置与结果!$B$26+Z541*(方案参数!$AP$17+MIN(方案参数!$AQ$17,P541*0.03)))</f>
        <v>2.7650000000000001</v>
      </c>
      <c r="AL541" s="7">
        <f>ROUNDDOWN(MAX(AD541*配置与结果!$B$31,AD541-AE541)*AF541*AG541*AH541*AI541,0)</f>
        <v>88052</v>
      </c>
      <c r="AM541" s="7">
        <f>ROUNDDOWN(MAX(AD541*配置与结果!$B$31,AD541-AE541)*AF541*AG541*AH541*AI541*AK541,0)</f>
        <v>243466</v>
      </c>
      <c r="AN541" s="7">
        <f t="shared" si="738"/>
        <v>243466</v>
      </c>
      <c r="AO541" s="7">
        <f>0</f>
        <v>0</v>
      </c>
      <c r="AP541" s="7">
        <f>MAX(0,1+INDEX(配置与结果!$J$15:$J$18,F541)+IF(T541&gt;0,方案参数!$BY$17,0)-配置与结果!$B$30)</f>
        <v>1</v>
      </c>
      <c r="AQ541" s="7">
        <f t="shared" si="739"/>
        <v>0</v>
      </c>
      <c r="AR541" s="7">
        <f t="shared" si="740"/>
        <v>0</v>
      </c>
      <c r="AS541" s="7">
        <f t="shared" si="741"/>
        <v>0</v>
      </c>
      <c r="AT541" s="7">
        <f>IF(U541&gt;0,ROUNDDOWN(AL541*方案参数!$AF$17,0)*(1-AJ541)+ROUNDDOWN(AM541*方案参数!$AF$17,0)*AJ541,0)</f>
        <v>0</v>
      </c>
      <c r="AU541" s="7">
        <f t="shared" si="742"/>
        <v>243466</v>
      </c>
      <c r="AV541" s="1">
        <f t="shared" si="743"/>
        <v>2</v>
      </c>
      <c r="AW541" s="1">
        <f t="shared" si="764"/>
        <v>10</v>
      </c>
      <c r="AX541" s="1">
        <f t="shared" si="744"/>
        <v>2</v>
      </c>
      <c r="AY541" s="1">
        <f>MIN(20,MAX(0,O541+0+1-0))</f>
        <v>7</v>
      </c>
      <c r="AZ541" s="1">
        <f t="shared" si="745"/>
        <v>5</v>
      </c>
      <c r="BA541" s="1">
        <f t="shared" si="755"/>
        <v>5</v>
      </c>
      <c r="BB541" s="1">
        <f t="shared" si="763"/>
        <v>20</v>
      </c>
      <c r="BC541" s="1">
        <f t="shared" si="761"/>
        <v>3</v>
      </c>
      <c r="BD541" s="1">
        <f t="shared" si="734"/>
        <v>0</v>
      </c>
      <c r="BE541" s="1">
        <f>MAX(0,U541-IF(AF541&gt;0,1,0))+0</f>
        <v>0</v>
      </c>
      <c r="BF541" s="1">
        <f t="shared" si="765"/>
        <v>4</v>
      </c>
      <c r="BG541" s="1">
        <f t="shared" si="752"/>
        <v>1</v>
      </c>
      <c r="BH541" s="1">
        <f t="shared" si="728"/>
        <v>1</v>
      </c>
      <c r="BI541" s="1">
        <f t="shared" si="753"/>
        <v>1</v>
      </c>
      <c r="BJ541" s="1">
        <f t="shared" si="756"/>
        <v>1</v>
      </c>
      <c r="BK541" s="1">
        <f t="shared" si="757"/>
        <v>1</v>
      </c>
      <c r="BL541" s="1">
        <f t="shared" si="762"/>
        <v>1</v>
      </c>
      <c r="BM541" s="1">
        <f t="shared" si="760"/>
        <v>1</v>
      </c>
      <c r="BN541" s="1">
        <f t="shared" si="729"/>
        <v>1</v>
      </c>
      <c r="BO541" s="1">
        <f t="shared" si="730"/>
        <v>1</v>
      </c>
    </row>
    <row r="542" spans="1:67" ht="30.95" customHeight="1">
      <c r="A542" s="1">
        <f>14</f>
        <v>14</v>
      </c>
      <c r="B542" s="1">
        <f>固定流程!A38</f>
        <v>33</v>
      </c>
      <c r="C542" s="1">
        <f>17</f>
        <v>17</v>
      </c>
      <c r="D542" s="1">
        <f>2</f>
        <v>2</v>
      </c>
      <c r="E542" s="1">
        <f>固定流程!C38</f>
        <v>3</v>
      </c>
      <c r="F542" s="1">
        <f>固定流程!G38</f>
        <v>1</v>
      </c>
      <c r="G542" s="1" t="str">
        <f>固定流程!H38</f>
        <v>LILYA_WEAK</v>
      </c>
      <c r="H542" s="1">
        <f>固定流程!F38</f>
        <v>1</v>
      </c>
      <c r="I542" s="1">
        <f>INDEX(配置与结果!$B$15:$B$18,F542)</f>
        <v>2296</v>
      </c>
      <c r="J542" s="1">
        <f>INDEX(配置与结果!$D$15:$D$18,F542)</f>
        <v>0.7</v>
      </c>
      <c r="K542" s="1">
        <f>INDEX(配置与结果!$E$15:$E$18,F542)</f>
        <v>2.0249999999999999</v>
      </c>
      <c r="L542" s="1">
        <f t="shared" si="749"/>
        <v>2</v>
      </c>
      <c r="M542" s="1">
        <f t="shared" si="750"/>
        <v>10</v>
      </c>
      <c r="N542" s="1">
        <f t="shared" si="751"/>
        <v>2</v>
      </c>
      <c r="O542" s="1">
        <f t="shared" si="735"/>
        <v>7</v>
      </c>
      <c r="P542" s="1">
        <f>MIN(方案参数!$AI$17,AZ541+0+0)</f>
        <v>5</v>
      </c>
      <c r="Q542" s="1">
        <f t="shared" si="713"/>
        <v>5</v>
      </c>
      <c r="R542" s="1">
        <f t="shared" si="714"/>
        <v>20</v>
      </c>
      <c r="S542" s="1">
        <f t="shared" si="715"/>
        <v>3</v>
      </c>
      <c r="T542" s="1">
        <f t="shared" si="758"/>
        <v>0</v>
      </c>
      <c r="U542" s="1">
        <f t="shared" si="717"/>
        <v>0</v>
      </c>
      <c r="V542" s="1">
        <f t="shared" si="718"/>
        <v>4</v>
      </c>
      <c r="W542" s="1">
        <f t="shared" si="719"/>
        <v>1</v>
      </c>
      <c r="X542" s="1">
        <f t="shared" si="720"/>
        <v>1</v>
      </c>
      <c r="Y542" s="1">
        <f t="shared" si="721"/>
        <v>1</v>
      </c>
      <c r="Z542" s="1">
        <f t="shared" si="722"/>
        <v>1</v>
      </c>
      <c r="AA542" s="1">
        <f t="shared" si="754"/>
        <v>1</v>
      </c>
      <c r="AB542" s="1">
        <f t="shared" si="724"/>
        <v>1</v>
      </c>
      <c r="AC542" s="1">
        <f t="shared" si="759"/>
        <v>1</v>
      </c>
      <c r="AD542" s="1">
        <f>ROUNDDOWN(I542*(1+IF(F542=3,0.05+方案参数!$Y$17+AA542*0.12,IF(F542=4,方案参数!$BZ$17*方案参数!$AS$17,0)))+IF(AND(X542=1,F542&lt;&gt;3),方案参数!$CC$17,0)+AC542*方案参数!$CB$17,0)</f>
        <v>3034</v>
      </c>
      <c r="AE542" s="1">
        <f>IF(OR(F542=1,F542=4),配置与结果!$B$24,配置与结果!$B$25)*MAX(0,1-INDEX(配置与结果!$I$15:$I$18,F542))</f>
        <v>1200</v>
      </c>
      <c r="AF542" s="1">
        <f>方案参数!$BL$17</f>
        <v>9</v>
      </c>
      <c r="AG542" s="1">
        <f>MAX(配置与结果!$B$32,1+INDEX(配置与结果!$F$15:$F$18,F542)+0.08+方案参数!$CD$17+Q542*方案参数!$W$17+Y542*(方案参数!$AN$17+MIN(方案参数!$AO$17,P542*0.03))+AB542*方案参数!$BZ$17*0.025-配置与结果!$B$28+方案参数!$AE$17)</f>
        <v>2.6150000000000002</v>
      </c>
      <c r="AH542" s="1">
        <f>MAX(0,1+V542*方案参数!$U$17+9*方案参数!$V$17+方案参数!$AE$17-配置与结果!$B$29)</f>
        <v>2.1</v>
      </c>
      <c r="AI542" s="1">
        <f>IF(OR(INDEX(配置与结果!$K$15:$K$18,F542)=1,G542="RHI_BERRY"),1+配置与结果!$B$33+P542*方案参数!$AH$17,1)</f>
        <v>1</v>
      </c>
      <c r="AJ542" s="1">
        <f>MIN(1,MAX(0,J542+方案参数!$AB$17-配置与结果!$B$27))</f>
        <v>1</v>
      </c>
      <c r="AK542" s="1">
        <f>MAX(1,K542+IF(F542=2,0.15+方案参数!$CH$17,0)+BN542*方案参数!$X$17+R542*方案参数!$AA$17+方案参数!$BP$17-配置与结果!$B$26+Z542*(方案参数!$AP$17+MIN(方案参数!$AQ$17,P542*0.03)))</f>
        <v>2.7650000000000001</v>
      </c>
      <c r="AL542" s="7">
        <f>ROUNDDOWN(MAX(AD542*配置与结果!$B$31,AD542-AE542)*AF542*AG542*AH542*AI542,0)</f>
        <v>90642</v>
      </c>
      <c r="AM542" s="7">
        <f>ROUNDDOWN(MAX(AD542*配置与结果!$B$31,AD542-AE542)*AF542*AG542*AH542*AI542*AK542,0)</f>
        <v>250627</v>
      </c>
      <c r="AN542" s="7">
        <f t="shared" si="738"/>
        <v>250627</v>
      </c>
      <c r="AO542" s="7">
        <f>0</f>
        <v>0</v>
      </c>
      <c r="AP542" s="7">
        <f>MAX(0,1+INDEX(配置与结果!$J$15:$J$18,F542)+IF(T542&gt;0,方案参数!$BY$17,0)-配置与结果!$B$30)</f>
        <v>1</v>
      </c>
      <c r="AQ542" s="7">
        <f t="shared" si="739"/>
        <v>0</v>
      </c>
      <c r="AR542" s="7">
        <f t="shared" si="740"/>
        <v>0</v>
      </c>
      <c r="AS542" s="7">
        <f t="shared" si="741"/>
        <v>0</v>
      </c>
      <c r="AT542" s="7">
        <f>IF(U542&gt;0,ROUNDDOWN(AL542*方案参数!$AF$17,0)*(1-AJ542)+ROUNDDOWN(AM542*方案参数!$AF$17,0)*AJ542,0)</f>
        <v>0</v>
      </c>
      <c r="AU542" s="7">
        <f t="shared" si="742"/>
        <v>250627</v>
      </c>
      <c r="AV542" s="1">
        <f t="shared" si="743"/>
        <v>2</v>
      </c>
      <c r="AW542" s="1">
        <f t="shared" si="764"/>
        <v>10</v>
      </c>
      <c r="AX542" s="1">
        <f t="shared" si="744"/>
        <v>2</v>
      </c>
      <c r="AY542" s="1">
        <f>MIN(20,MAX(0,O542+0+1-0))</f>
        <v>8</v>
      </c>
      <c r="AZ542" s="1">
        <f t="shared" si="745"/>
        <v>5</v>
      </c>
      <c r="BA542" s="1">
        <f t="shared" si="755"/>
        <v>5</v>
      </c>
      <c r="BB542" s="1">
        <f t="shared" si="763"/>
        <v>20</v>
      </c>
      <c r="BC542" s="1">
        <f t="shared" si="761"/>
        <v>3</v>
      </c>
      <c r="BD542" s="1">
        <f t="shared" si="734"/>
        <v>0</v>
      </c>
      <c r="BE542" s="1">
        <f>MAX(0,U542-IF(AF542&gt;0,1,0))+0</f>
        <v>0</v>
      </c>
      <c r="BF542" s="1">
        <f t="shared" si="765"/>
        <v>4</v>
      </c>
      <c r="BG542" s="1">
        <f t="shared" si="752"/>
        <v>1</v>
      </c>
      <c r="BH542" s="1">
        <f t="shared" si="728"/>
        <v>1</v>
      </c>
      <c r="BI542" s="1">
        <f t="shared" si="753"/>
        <v>1</v>
      </c>
      <c r="BJ542" s="1">
        <f t="shared" si="756"/>
        <v>1</v>
      </c>
      <c r="BK542" s="1">
        <f t="shared" si="757"/>
        <v>1</v>
      </c>
      <c r="BL542" s="1">
        <f t="shared" si="762"/>
        <v>1</v>
      </c>
      <c r="BM542" s="1">
        <f t="shared" si="760"/>
        <v>1</v>
      </c>
      <c r="BN542" s="1">
        <f t="shared" si="729"/>
        <v>1</v>
      </c>
      <c r="BO542" s="1">
        <f t="shared" si="730"/>
        <v>1</v>
      </c>
    </row>
    <row r="543" spans="1:67" ht="30.95" customHeight="1">
      <c r="A543" s="1">
        <f>14</f>
        <v>14</v>
      </c>
      <c r="B543" s="1">
        <f>固定流程!A39</f>
        <v>34</v>
      </c>
      <c r="C543" s="1">
        <f>17</f>
        <v>17</v>
      </c>
      <c r="D543" s="1">
        <f>2</f>
        <v>2</v>
      </c>
      <c r="E543" s="1">
        <f>固定流程!C39</f>
        <v>3</v>
      </c>
      <c r="F543" s="1">
        <f>固定流程!G39</f>
        <v>2</v>
      </c>
      <c r="G543" s="1" t="str">
        <f>固定流程!H39</f>
        <v>37_WEAK</v>
      </c>
      <c r="H543" s="1">
        <f>固定流程!F39</f>
        <v>1</v>
      </c>
      <c r="I543" s="1">
        <f>INDEX(配置与结果!$B$15:$B$18,F543)</f>
        <v>2306</v>
      </c>
      <c r="J543" s="1">
        <f>INDEX(配置与结果!$D$15:$D$18,F543)</f>
        <v>0.46</v>
      </c>
      <c r="K543" s="1">
        <f>INDEX(配置与结果!$E$15:$E$18,F543)</f>
        <v>1.9279999999999999</v>
      </c>
      <c r="L543" s="1">
        <f t="shared" si="749"/>
        <v>2</v>
      </c>
      <c r="M543" s="1">
        <f t="shared" si="750"/>
        <v>10</v>
      </c>
      <c r="N543" s="1">
        <f t="shared" si="751"/>
        <v>2</v>
      </c>
      <c r="O543" s="1">
        <f t="shared" si="735"/>
        <v>8</v>
      </c>
      <c r="P543" s="1">
        <f>MIN(方案参数!$AI$17,AZ542+0+0)</f>
        <v>5</v>
      </c>
      <c r="Q543" s="1">
        <f t="shared" si="713"/>
        <v>5</v>
      </c>
      <c r="R543" s="1">
        <f t="shared" si="714"/>
        <v>20</v>
      </c>
      <c r="S543" s="1">
        <f t="shared" si="715"/>
        <v>3</v>
      </c>
      <c r="T543" s="1">
        <f t="shared" si="758"/>
        <v>0</v>
      </c>
      <c r="U543" s="1">
        <f t="shared" si="717"/>
        <v>0</v>
      </c>
      <c r="V543" s="1">
        <f t="shared" si="718"/>
        <v>4</v>
      </c>
      <c r="W543" s="1">
        <f t="shared" si="719"/>
        <v>1</v>
      </c>
      <c r="X543" s="1">
        <f t="shared" si="720"/>
        <v>1</v>
      </c>
      <c r="Y543" s="1">
        <f t="shared" si="721"/>
        <v>1</v>
      </c>
      <c r="Z543" s="1">
        <f t="shared" si="722"/>
        <v>1</v>
      </c>
      <c r="AA543" s="1">
        <f t="shared" si="754"/>
        <v>1</v>
      </c>
      <c r="AB543" s="1">
        <f t="shared" si="724"/>
        <v>1</v>
      </c>
      <c r="AC543" s="1">
        <f t="shared" si="759"/>
        <v>1</v>
      </c>
      <c r="AD543" s="1">
        <f>ROUNDDOWN(I543*(1+IF(F543=3,0.05+方案参数!$Y$17+AA543*0.12,IF(F543=4,方案参数!$BZ$17*方案参数!$AS$17,0)))+IF(AND(X543=1,F543&lt;&gt;3),方案参数!$CC$17,0)+AC543*方案参数!$CB$17,0)</f>
        <v>3044</v>
      </c>
      <c r="AE543" s="1">
        <f>IF(OR(F543=1,F543=4),配置与结果!$B$24,配置与结果!$B$25)*MAX(0,1-INDEX(配置与结果!$I$15:$I$18,F543))</f>
        <v>1000</v>
      </c>
      <c r="AF543" s="1">
        <f>方案参数!$CE$17</f>
        <v>8</v>
      </c>
      <c r="AG543" s="1">
        <f>MAX(配置与结果!$B$32,1+INDEX(配置与结果!$F$15:$F$18,F543)+0+Q543*方案参数!$W$17+Y543*(方案参数!$AN$17+MIN(方案参数!$AO$17,P543*0.03))+AB543*方案参数!$BZ$17*0.025-配置与结果!$B$28+方案参数!$AE$17)</f>
        <v>2.2800000000000002</v>
      </c>
      <c r="AH543" s="1">
        <f>MAX(0,1+V543*方案参数!$U$17+方案参数!$AE$17-配置与结果!$B$29)</f>
        <v>1.56</v>
      </c>
      <c r="AI543" s="1">
        <f>IF(OR(INDEX(配置与结果!$K$15:$K$18,F543)=1,G543="RHI_BERRY"),1+配置与结果!$B$33+P543*方案参数!$AH$17,1)</f>
        <v>1</v>
      </c>
      <c r="AJ543" s="1">
        <f>MIN(1,MAX(0,J543+方案参数!$AB$17-配置与结果!$B$27))</f>
        <v>0.76</v>
      </c>
      <c r="AK543" s="1">
        <f>MAX(1,K543+IF(F543=2,0.15+方案参数!$CH$17,0)+BN543*方案参数!$X$17+R543*方案参数!$AA$17+0-配置与结果!$B$26+Z543*(方案参数!$AP$17+MIN(方案参数!$AQ$17,P543*0.03)))</f>
        <v>2.3380000000000001</v>
      </c>
      <c r="AL543" s="7">
        <f>ROUNDDOWN(MAX(AD543*配置与结果!$B$31,AD543-AE543)*AF543*AG543*AH543*AI543,0)</f>
        <v>58160</v>
      </c>
      <c r="AM543" s="7">
        <f>ROUNDDOWN(MAX(AD543*配置与结果!$B$31,AD543-AE543)*AF543*AG543*AH543*AI543*AK543,0)</f>
        <v>135979</v>
      </c>
      <c r="AN543" s="7">
        <f t="shared" si="738"/>
        <v>117302.44</v>
      </c>
      <c r="AO543" s="7">
        <f>0</f>
        <v>0</v>
      </c>
      <c r="AP543" s="7">
        <f>MAX(0,1+INDEX(配置与结果!$J$15:$J$18,F543)+IF(T543&gt;0,方案参数!$BY$17,0)-配置与结果!$B$30)</f>
        <v>1</v>
      </c>
      <c r="AQ543" s="7">
        <f t="shared" si="739"/>
        <v>0</v>
      </c>
      <c r="AR543" s="7">
        <f t="shared" si="740"/>
        <v>0</v>
      </c>
      <c r="AS543" s="7">
        <f t="shared" si="741"/>
        <v>0</v>
      </c>
      <c r="AT543" s="7">
        <f>IF(U543&gt;0,ROUNDDOWN(AL543*方案参数!$AF$17,0)*(1-AJ543)+ROUNDDOWN(AM543*方案参数!$AF$17,0)*AJ543,0)</f>
        <v>0</v>
      </c>
      <c r="AU543" s="7">
        <f t="shared" si="742"/>
        <v>117302.44</v>
      </c>
      <c r="AV543" s="1">
        <f t="shared" si="743"/>
        <v>2</v>
      </c>
      <c r="AW543" s="1">
        <f t="shared" si="764"/>
        <v>10</v>
      </c>
      <c r="AX543" s="1">
        <f t="shared" si="744"/>
        <v>2</v>
      </c>
      <c r="AY543" s="1">
        <f>MIN(20,MAX(0,O543+0+0-0))</f>
        <v>8</v>
      </c>
      <c r="AZ543" s="1">
        <f t="shared" si="745"/>
        <v>5</v>
      </c>
      <c r="BA543" s="1">
        <f t="shared" si="755"/>
        <v>5</v>
      </c>
      <c r="BB543" s="1">
        <f t="shared" si="763"/>
        <v>20</v>
      </c>
      <c r="BC543" s="1">
        <f t="shared" si="761"/>
        <v>3</v>
      </c>
      <c r="BD543" s="1">
        <f t="shared" si="734"/>
        <v>0</v>
      </c>
      <c r="BE543" s="1">
        <f>MAX(0,U543-IF(AF543&gt;0,1,0))+1</f>
        <v>1</v>
      </c>
      <c r="BF543" s="1">
        <f t="shared" si="765"/>
        <v>4</v>
      </c>
      <c r="BG543" s="1">
        <f t="shared" si="752"/>
        <v>1</v>
      </c>
      <c r="BH543" s="1">
        <f t="shared" si="728"/>
        <v>1</v>
      </c>
      <c r="BI543" s="1">
        <f t="shared" si="753"/>
        <v>1</v>
      </c>
      <c r="BJ543" s="1">
        <f t="shared" si="756"/>
        <v>1</v>
      </c>
      <c r="BK543" s="1">
        <f t="shared" si="757"/>
        <v>1</v>
      </c>
      <c r="BL543" s="1">
        <f t="shared" si="762"/>
        <v>1</v>
      </c>
      <c r="BM543" s="1">
        <f t="shared" si="760"/>
        <v>1</v>
      </c>
      <c r="BN543" s="1">
        <f t="shared" si="729"/>
        <v>1</v>
      </c>
      <c r="BO543" s="1">
        <f t="shared" si="730"/>
        <v>1</v>
      </c>
    </row>
    <row r="544" spans="1:67" ht="30.95" customHeight="1">
      <c r="A544" s="1">
        <f>14</f>
        <v>14</v>
      </c>
      <c r="B544" s="1">
        <f>固定流程!A40</f>
        <v>35</v>
      </c>
      <c r="C544" s="1">
        <f>17</f>
        <v>17</v>
      </c>
      <c r="D544" s="1">
        <f>2</f>
        <v>2</v>
      </c>
      <c r="E544" s="1">
        <f>固定流程!C40</f>
        <v>3</v>
      </c>
      <c r="F544" s="1">
        <f>固定流程!G40</f>
        <v>2</v>
      </c>
      <c r="G544" s="1" t="str">
        <f>固定流程!H40</f>
        <v>37_WEAK</v>
      </c>
      <c r="H544" s="1">
        <f>固定流程!F40</f>
        <v>1</v>
      </c>
      <c r="I544" s="1">
        <f>INDEX(配置与结果!$B$15:$B$18,F544)</f>
        <v>2306</v>
      </c>
      <c r="J544" s="1">
        <f>INDEX(配置与结果!$D$15:$D$18,F544)</f>
        <v>0.46</v>
      </c>
      <c r="K544" s="1">
        <f>INDEX(配置与结果!$E$15:$E$18,F544)</f>
        <v>1.9279999999999999</v>
      </c>
      <c r="L544" s="1">
        <f t="shared" si="749"/>
        <v>2</v>
      </c>
      <c r="M544" s="1">
        <f t="shared" si="750"/>
        <v>10</v>
      </c>
      <c r="N544" s="1">
        <f t="shared" si="751"/>
        <v>2</v>
      </c>
      <c r="O544" s="1">
        <f t="shared" si="735"/>
        <v>8</v>
      </c>
      <c r="P544" s="1">
        <f>MIN(方案参数!$AI$17,AZ543+0+0)</f>
        <v>5</v>
      </c>
      <c r="Q544" s="1">
        <f t="shared" si="713"/>
        <v>5</v>
      </c>
      <c r="R544" s="1">
        <f t="shared" si="714"/>
        <v>20</v>
      </c>
      <c r="S544" s="1">
        <f t="shared" si="715"/>
        <v>3</v>
      </c>
      <c r="T544" s="1">
        <f t="shared" si="758"/>
        <v>0</v>
      </c>
      <c r="U544" s="1">
        <f t="shared" si="717"/>
        <v>1</v>
      </c>
      <c r="V544" s="1">
        <f t="shared" si="718"/>
        <v>4</v>
      </c>
      <c r="W544" s="1">
        <f t="shared" si="719"/>
        <v>1</v>
      </c>
      <c r="X544" s="1">
        <f t="shared" si="720"/>
        <v>1</v>
      </c>
      <c r="Y544" s="1">
        <f t="shared" si="721"/>
        <v>1</v>
      </c>
      <c r="Z544" s="1">
        <f t="shared" si="722"/>
        <v>1</v>
      </c>
      <c r="AA544" s="1">
        <f t="shared" si="754"/>
        <v>1</v>
      </c>
      <c r="AB544" s="1">
        <f t="shared" si="724"/>
        <v>1</v>
      </c>
      <c r="AC544" s="1">
        <f t="shared" si="759"/>
        <v>1</v>
      </c>
      <c r="AD544" s="1">
        <f>ROUNDDOWN(I544*(1+IF(F544=3,0.05+方案参数!$Y$17+AA544*0.12,IF(F544=4,方案参数!$BZ$17*方案参数!$AS$17,0)))+IF(AND(X544=1,F544&lt;&gt;3),方案参数!$CC$17,0)+AC544*方案参数!$CB$17,0)</f>
        <v>3044</v>
      </c>
      <c r="AE544" s="1">
        <f>IF(OR(F544=1,F544=4),配置与结果!$B$24,配置与结果!$B$25)*MAX(0,1-INDEX(配置与结果!$I$15:$I$18,F544))</f>
        <v>1000</v>
      </c>
      <c r="AF544" s="1">
        <f>方案参数!$CE$17</f>
        <v>8</v>
      </c>
      <c r="AG544" s="1">
        <f>MAX(配置与结果!$B$32,1+INDEX(配置与结果!$F$15:$F$18,F544)+0+Q544*方案参数!$W$17+Y544*(方案参数!$AN$17+MIN(方案参数!$AO$17,P544*0.03))+AB544*方案参数!$BZ$17*0.025-配置与结果!$B$28+方案参数!$AE$17)</f>
        <v>2.2800000000000002</v>
      </c>
      <c r="AH544" s="1">
        <f>MAX(0,1+V544*方案参数!$U$17+方案参数!$AE$17-配置与结果!$B$29)</f>
        <v>1.56</v>
      </c>
      <c r="AI544" s="1">
        <f>IF(OR(INDEX(配置与结果!$K$15:$K$18,F544)=1,G544="RHI_BERRY"),1+配置与结果!$B$33+P544*方案参数!$AH$17,1)</f>
        <v>1</v>
      </c>
      <c r="AJ544" s="1">
        <f>MIN(1,MAX(0,J544+方案参数!$AB$17-配置与结果!$B$27))</f>
        <v>0.76</v>
      </c>
      <c r="AK544" s="1">
        <f>MAX(1,K544+IF(F544=2,0.15+方案参数!$CH$17,0)+BN544*方案参数!$X$17+R544*方案参数!$AA$17+0-配置与结果!$B$26+Z544*(方案参数!$AP$17+MIN(方案参数!$AQ$17,P544*0.03)))</f>
        <v>2.3380000000000001</v>
      </c>
      <c r="AL544" s="7">
        <f>ROUNDDOWN(MAX(AD544*配置与结果!$B$31,AD544-AE544)*AF544*AG544*AH544*AI544,0)</f>
        <v>58160</v>
      </c>
      <c r="AM544" s="7">
        <f>ROUNDDOWN(MAX(AD544*配置与结果!$B$31,AD544-AE544)*AF544*AG544*AH544*AI544*AK544,0)</f>
        <v>135979</v>
      </c>
      <c r="AN544" s="7">
        <f t="shared" si="738"/>
        <v>117302.44</v>
      </c>
      <c r="AO544" s="7">
        <f>0</f>
        <v>0</v>
      </c>
      <c r="AP544" s="7">
        <f>MAX(0,1+INDEX(配置与结果!$J$15:$J$18,F544)+IF(T544&gt;0,方案参数!$BY$17,0)-配置与结果!$B$30)</f>
        <v>1</v>
      </c>
      <c r="AQ544" s="7">
        <f t="shared" si="739"/>
        <v>0</v>
      </c>
      <c r="AR544" s="7">
        <f t="shared" si="740"/>
        <v>0</v>
      </c>
      <c r="AS544" s="7">
        <f t="shared" si="741"/>
        <v>0</v>
      </c>
      <c r="AT544" s="7">
        <f>IF(U544&gt;0,ROUNDDOWN(AL544*方案参数!$AF$17,0)*(1-AJ544)+ROUNDDOWN(AM544*方案参数!$AF$17,0)*AJ544,0)</f>
        <v>46920.520000000004</v>
      </c>
      <c r="AU544" s="7">
        <f t="shared" si="742"/>
        <v>164222.96000000002</v>
      </c>
      <c r="AV544" s="1">
        <f t="shared" si="743"/>
        <v>2</v>
      </c>
      <c r="AW544" s="1">
        <f t="shared" si="764"/>
        <v>10</v>
      </c>
      <c r="AX544" s="1">
        <f t="shared" si="744"/>
        <v>2</v>
      </c>
      <c r="AY544" s="1">
        <f>MIN(20,MAX(0,O544+0+0-0))</f>
        <v>8</v>
      </c>
      <c r="AZ544" s="1">
        <f t="shared" si="745"/>
        <v>5</v>
      </c>
      <c r="BA544" s="1">
        <f t="shared" si="755"/>
        <v>5</v>
      </c>
      <c r="BB544" s="1">
        <f t="shared" si="763"/>
        <v>20</v>
      </c>
      <c r="BC544" s="1">
        <f t="shared" si="761"/>
        <v>3</v>
      </c>
      <c r="BD544" s="1">
        <f t="shared" si="734"/>
        <v>0</v>
      </c>
      <c r="BE544" s="1">
        <f>MAX(0,U544-IF(AF544&gt;0,1,0))+1</f>
        <v>1</v>
      </c>
      <c r="BF544" s="1">
        <f t="shared" si="765"/>
        <v>4</v>
      </c>
      <c r="BG544" s="1">
        <f t="shared" si="752"/>
        <v>1</v>
      </c>
      <c r="BH544" s="1">
        <f t="shared" si="728"/>
        <v>1</v>
      </c>
      <c r="BI544" s="1">
        <f t="shared" si="753"/>
        <v>1</v>
      </c>
      <c r="BJ544" s="1">
        <f t="shared" si="756"/>
        <v>1</v>
      </c>
      <c r="BK544" s="1">
        <f t="shared" si="757"/>
        <v>1</v>
      </c>
      <c r="BL544" s="1">
        <f t="shared" si="762"/>
        <v>1</v>
      </c>
      <c r="BM544" s="1">
        <f t="shared" si="760"/>
        <v>1</v>
      </c>
      <c r="BN544" s="1">
        <f t="shared" si="729"/>
        <v>1</v>
      </c>
      <c r="BO544" s="1">
        <f t="shared" si="730"/>
        <v>1</v>
      </c>
    </row>
    <row r="545" spans="1:67" ht="30.95" customHeight="1">
      <c r="A545" s="1">
        <f>14</f>
        <v>14</v>
      </c>
      <c r="B545" s="1">
        <f>固定流程!A41</f>
        <v>36</v>
      </c>
      <c r="C545" s="1">
        <f>17</f>
        <v>17</v>
      </c>
      <c r="D545" s="1">
        <f>2</f>
        <v>2</v>
      </c>
      <c r="E545" s="1">
        <f>固定流程!C41</f>
        <v>3</v>
      </c>
      <c r="F545" s="1">
        <f>固定流程!G41</f>
        <v>1</v>
      </c>
      <c r="G545" s="1" t="str">
        <f>固定流程!H41</f>
        <v>LILYA_FINISH</v>
      </c>
      <c r="H545" s="1">
        <f>固定流程!F41</f>
        <v>1</v>
      </c>
      <c r="I545" s="1">
        <f>INDEX(配置与结果!$B$15:$B$18,F545)</f>
        <v>2296</v>
      </c>
      <c r="J545" s="1">
        <f>INDEX(配置与结果!$D$15:$D$18,F545)</f>
        <v>0.7</v>
      </c>
      <c r="K545" s="1">
        <f>INDEX(配置与结果!$E$15:$E$18,F545)</f>
        <v>2.0249999999999999</v>
      </c>
      <c r="L545" s="1">
        <f t="shared" si="749"/>
        <v>2</v>
      </c>
      <c r="M545" s="1">
        <f t="shared" si="750"/>
        <v>10</v>
      </c>
      <c r="N545" s="1">
        <f t="shared" si="751"/>
        <v>2</v>
      </c>
      <c r="O545" s="1">
        <f t="shared" si="735"/>
        <v>8</v>
      </c>
      <c r="P545" s="1">
        <f>MIN(方案参数!$AI$17,AZ544+0+0)</f>
        <v>5</v>
      </c>
      <c r="Q545" s="1">
        <f t="shared" si="713"/>
        <v>5</v>
      </c>
      <c r="R545" s="1">
        <f t="shared" si="714"/>
        <v>20</v>
      </c>
      <c r="S545" s="1">
        <f t="shared" si="715"/>
        <v>3</v>
      </c>
      <c r="T545" s="1">
        <f t="shared" si="758"/>
        <v>0</v>
      </c>
      <c r="U545" s="1">
        <f t="shared" si="717"/>
        <v>1</v>
      </c>
      <c r="V545" s="1">
        <f t="shared" si="718"/>
        <v>4</v>
      </c>
      <c r="W545" s="1">
        <f t="shared" si="719"/>
        <v>1</v>
      </c>
      <c r="X545" s="1">
        <f t="shared" si="720"/>
        <v>1</v>
      </c>
      <c r="Y545" s="1">
        <f t="shared" si="721"/>
        <v>1</v>
      </c>
      <c r="Z545" s="1">
        <f t="shared" si="722"/>
        <v>1</v>
      </c>
      <c r="AA545" s="1">
        <f t="shared" si="754"/>
        <v>1</v>
      </c>
      <c r="AB545" s="1">
        <f t="shared" si="724"/>
        <v>1</v>
      </c>
      <c r="AC545" s="1">
        <f t="shared" si="759"/>
        <v>1</v>
      </c>
      <c r="AD545" s="1">
        <f>ROUNDDOWN(I545*(1+IF(F545=3,0.05+方案参数!$Y$17+AA545*0.12,IF(F545=4,方案参数!$BZ$17*方案参数!$AS$17,0)))+IF(AND(X545=1,F545&lt;&gt;3),方案参数!$CC$17,0)+AC545*方案参数!$CB$17,0)</f>
        <v>3034</v>
      </c>
      <c r="AE545" s="1">
        <f>IF(OR(F545=1,F545=4),配置与结果!$B$24,配置与结果!$B$25)*MAX(0,1-INDEX(配置与结果!$I$15:$I$18,F545))</f>
        <v>1200</v>
      </c>
      <c r="AF545" s="1">
        <f>方案参数!$BN$17+12*方案参数!$BO$17</f>
        <v>48</v>
      </c>
      <c r="AG545" s="1">
        <f>MAX(配置与结果!$B$32,1+INDEX(配置与结果!$F$15:$F$18,F545)+0.08+方案参数!$CD$17+Q545*方案参数!$W$17+Y545*(方案参数!$AN$17+MIN(方案参数!$AO$17,P545*0.03))+AB545*方案参数!$BZ$17*0.025-配置与结果!$B$28+方案参数!$AE$17)</f>
        <v>2.6150000000000002</v>
      </c>
      <c r="AH545" s="1">
        <f>MAX(0,1+V545*方案参数!$U$17+12*方案参数!$V$17+方案参数!$AE$17-配置与结果!$B$29)</f>
        <v>2.2799999999999998</v>
      </c>
      <c r="AI545" s="1">
        <f>IF(OR(INDEX(配置与结果!$K$15:$K$18,F545)=1,G545="RHI_BERRY"),1+配置与结果!$B$33+P545*方案参数!$AH$17,1)</f>
        <v>1</v>
      </c>
      <c r="AJ545" s="1">
        <f>MIN(1,MAX(0,J545+方案参数!$AB$17-配置与结果!$B$27))</f>
        <v>1</v>
      </c>
      <c r="AK545" s="1">
        <f>MAX(1,K545+IF(F545=2,0.15+方案参数!$CH$17,0)+BN545*方案参数!$X$17+R545*方案参数!$AA$17+方案参数!$BR$17-配置与结果!$B$26+Z545*(方案参数!$AP$17+MIN(方案参数!$AQ$17,P545*0.03)))</f>
        <v>3.165</v>
      </c>
      <c r="AL545" s="7">
        <f>ROUNDDOWN(MAX(AD545*配置与结果!$B$31,AD545-AE545)*AF545*AG545*AH545*AI545,0)</f>
        <v>524864</v>
      </c>
      <c r="AM545" s="7">
        <f>ROUNDDOWN(MAX(AD545*配置与结果!$B$31,AD545-AE545)*AF545*AG545*AH545*AI545*AK545,0)</f>
        <v>1661195</v>
      </c>
      <c r="AN545" s="7">
        <f t="shared" si="738"/>
        <v>1661195</v>
      </c>
      <c r="AO545" s="7">
        <f>0</f>
        <v>0</v>
      </c>
      <c r="AP545" s="7">
        <f>MAX(0,1+INDEX(配置与结果!$J$15:$J$18,F545)+IF(T545&gt;0,方案参数!$BY$17,0)-配置与结果!$B$30)</f>
        <v>1</v>
      </c>
      <c r="AQ545" s="7">
        <f t="shared" si="739"/>
        <v>0</v>
      </c>
      <c r="AR545" s="7">
        <f t="shared" si="740"/>
        <v>0</v>
      </c>
      <c r="AS545" s="7">
        <f t="shared" si="741"/>
        <v>0</v>
      </c>
      <c r="AT545" s="7">
        <f>IF(U545&gt;0,ROUNDDOWN(AL545*方案参数!$AF$17,0)*(1-AJ545)+ROUNDDOWN(AM545*方案参数!$AF$17,0)*AJ545,0)</f>
        <v>664478</v>
      </c>
      <c r="AU545" s="7">
        <f t="shared" si="742"/>
        <v>2325673</v>
      </c>
      <c r="AV545" s="1">
        <f t="shared" si="743"/>
        <v>2</v>
      </c>
      <c r="AW545" s="1">
        <f t="shared" si="764"/>
        <v>10</v>
      </c>
      <c r="AX545" s="1">
        <f t="shared" si="744"/>
        <v>2</v>
      </c>
      <c r="AY545" s="1">
        <f>MIN(20,MAX(0,O545+0+1-0))</f>
        <v>9</v>
      </c>
      <c r="AZ545" s="1">
        <f t="shared" si="745"/>
        <v>5</v>
      </c>
      <c r="BA545" s="1">
        <f t="shared" si="755"/>
        <v>5</v>
      </c>
      <c r="BB545" s="1">
        <f t="shared" si="763"/>
        <v>20</v>
      </c>
      <c r="BC545" s="1">
        <f t="shared" si="761"/>
        <v>3</v>
      </c>
      <c r="BD545" s="1">
        <f t="shared" si="734"/>
        <v>0</v>
      </c>
      <c r="BE545" s="1">
        <f>MAX(0,U545-IF(AF545&gt;0,1,0))+0</f>
        <v>0</v>
      </c>
      <c r="BF545" s="1">
        <f t="shared" si="765"/>
        <v>4</v>
      </c>
      <c r="BG545" s="1">
        <f t="shared" si="752"/>
        <v>1</v>
      </c>
      <c r="BH545" s="1">
        <f t="shared" si="728"/>
        <v>1</v>
      </c>
      <c r="BI545" s="1">
        <f t="shared" si="753"/>
        <v>1</v>
      </c>
      <c r="BJ545" s="1">
        <f t="shared" si="756"/>
        <v>1</v>
      </c>
      <c r="BK545" s="1">
        <f t="shared" si="757"/>
        <v>1</v>
      </c>
      <c r="BL545" s="1">
        <f t="shared" si="762"/>
        <v>1</v>
      </c>
      <c r="BM545" s="1">
        <f t="shared" si="760"/>
        <v>1</v>
      </c>
      <c r="BN545" s="1">
        <f t="shared" si="729"/>
        <v>1</v>
      </c>
      <c r="BO545" s="1">
        <f t="shared" si="730"/>
        <v>1</v>
      </c>
    </row>
    <row r="546" spans="1:67" ht="30.95" customHeight="1">
      <c r="A546" s="1">
        <f>15</f>
        <v>15</v>
      </c>
      <c r="B546" s="1">
        <f>固定流程!A6</f>
        <v>1</v>
      </c>
      <c r="C546" s="1">
        <f>18</f>
        <v>18</v>
      </c>
      <c r="D546" s="1">
        <f>1</f>
        <v>1</v>
      </c>
      <c r="E546" s="1">
        <f>固定流程!C6</f>
        <v>1</v>
      </c>
      <c r="F546" s="1">
        <f>固定流程!G6</f>
        <v>3</v>
      </c>
      <c r="G546" s="1" t="str">
        <f>固定流程!H6</f>
        <v>RHI_ULT</v>
      </c>
      <c r="H546" s="1">
        <f>固定流程!F6</f>
        <v>1</v>
      </c>
      <c r="I546" s="1">
        <f>INDEX(配置与结果!$B$15:$B$18,F546)</f>
        <v>2597</v>
      </c>
      <c r="J546" s="1">
        <f>INDEX(配置与结果!$D$15:$D$18,F546)</f>
        <v>0.255</v>
      </c>
      <c r="K546" s="1">
        <f>INDEX(配置与结果!$E$15:$E$18,F546)</f>
        <v>1.55</v>
      </c>
      <c r="L546" s="1">
        <f>0</f>
        <v>0</v>
      </c>
      <c r="M546" s="1">
        <f>0</f>
        <v>0</v>
      </c>
      <c r="N546" s="1">
        <f>0</f>
        <v>0</v>
      </c>
      <c r="O546" s="1">
        <f>0</f>
        <v>0</v>
      </c>
      <c r="P546" s="1">
        <f>MIN(方案参数!$AI$18,0+方案参数!$AJ$18+0)</f>
        <v>1</v>
      </c>
      <c r="Q546" s="1">
        <f>0</f>
        <v>0</v>
      </c>
      <c r="R546" s="1">
        <f>0</f>
        <v>0</v>
      </c>
      <c r="S546" s="1">
        <f>0</f>
        <v>0</v>
      </c>
      <c r="T546" s="1">
        <f>0+0</f>
        <v>0</v>
      </c>
      <c r="U546" s="1">
        <f>0</f>
        <v>0</v>
      </c>
      <c r="V546" s="1">
        <f>0</f>
        <v>0</v>
      </c>
      <c r="W546" s="1">
        <f>0</f>
        <v>0</v>
      </c>
      <c r="X546" s="1">
        <f>0</f>
        <v>0</v>
      </c>
      <c r="Y546" s="1">
        <f>0</f>
        <v>0</v>
      </c>
      <c r="Z546" s="1">
        <f>0</f>
        <v>0</v>
      </c>
      <c r="AA546" s="1">
        <f>MAX(0,0)</f>
        <v>0</v>
      </c>
      <c r="AB546" s="1">
        <f>0</f>
        <v>0</v>
      </c>
      <c r="AC546" s="1">
        <f>MAX(0,0)</f>
        <v>0</v>
      </c>
      <c r="AD546" s="1">
        <f>ROUNDDOWN(I546*(1+IF(F546=3,0.05+方案参数!$Y$18+AA546*0.12,IF(F546=4,方案参数!$BZ$18*方案参数!$AS$18,0)))+IF(AND(X546=1,F546&lt;&gt;3),方案参数!$CC$18,0)+AC546*方案参数!$CB$18,0)</f>
        <v>2986</v>
      </c>
      <c r="AE546" s="1">
        <f>IF(OR(F546=1,F546=4),配置与结果!$B$24,配置与结果!$B$25)*MAX(0,1-INDEX(配置与结果!$I$15:$I$18,F546))</f>
        <v>1000</v>
      </c>
      <c r="AF546" s="1">
        <f>0</f>
        <v>0</v>
      </c>
      <c r="AG546" s="1">
        <f>MAX(配置与结果!$B$32,1+INDEX(配置与结果!$F$15:$F$18,F546)+0+Q546*方案参数!$W$18+Y546*(方案参数!$AN$18+MIN(方案参数!$AO$18,P546*0.03))+AB546*方案参数!$BZ$18*0.025-配置与结果!$B$28)</f>
        <v>0.6349999999999999</v>
      </c>
      <c r="AH546" s="1">
        <f>MAX(0,1+INDEX(配置与结果!$G$15:$G$18,F546)+W546*方案参数!$AG$18)</f>
        <v>1</v>
      </c>
      <c r="AI546" s="1">
        <f>IF(OR(INDEX(配置与结果!$K$15:$K$18,F546)=1,G546="RHI_BERRY"),1+配置与结果!$B$33+P546*方案参数!$AH$18,1)</f>
        <v>1</v>
      </c>
      <c r="AJ546" s="1">
        <f>MIN(1,MAX(0,J546+方案参数!$AB$18-配置与结果!$B$27))</f>
        <v>0.55499999999999994</v>
      </c>
      <c r="AK546" s="1">
        <f>MAX(1,K546+IF(F546=2,0.15+方案参数!$CH$18,0)+BN546*方案参数!$X$18+R546*方案参数!$AA$18+0-配置与结果!$B$26+Z546*(方案参数!$AP$18+MIN(方案参数!$AQ$18,P546*0.03)))</f>
        <v>1.1499999999999999</v>
      </c>
      <c r="AL546" s="7">
        <f>ROUNDDOWN(MAX(AD546*配置与结果!$B$31,AD546-AE546)*AF546*AG546*AH546*AI546,0)</f>
        <v>0</v>
      </c>
      <c r="AM546" s="7">
        <f>ROUNDDOWN(MAX(AD546*配置与结果!$B$31,AD546-AE546)*AF546*AG546*AH546*AI546*AK546,0)</f>
        <v>0</v>
      </c>
      <c r="AN546" s="7">
        <f t="shared" si="738"/>
        <v>0</v>
      </c>
      <c r="AO546" s="7">
        <f>0</f>
        <v>0</v>
      </c>
      <c r="AP546" s="7">
        <f>MAX(0,1+INDEX(配置与结果!$J$15:$J$18,F546)+IF(T546&gt;0,方案参数!$BY$18,0)-配置与结果!$B$30)</f>
        <v>1</v>
      </c>
      <c r="AQ546" s="7">
        <f t="shared" si="739"/>
        <v>0</v>
      </c>
      <c r="AR546" s="7">
        <f t="shared" si="740"/>
        <v>0</v>
      </c>
      <c r="AS546" s="7">
        <f t="shared" si="741"/>
        <v>0</v>
      </c>
      <c r="AT546" s="7">
        <f>0</f>
        <v>0</v>
      </c>
      <c r="AU546" s="7">
        <f t="shared" si="742"/>
        <v>0</v>
      </c>
      <c r="AV546" s="1">
        <f t="shared" si="743"/>
        <v>0</v>
      </c>
      <c r="AW546" s="1">
        <f t="shared" si="764"/>
        <v>0</v>
      </c>
      <c r="AX546" s="1">
        <f t="shared" si="744"/>
        <v>0</v>
      </c>
      <c r="AY546" s="1">
        <f>MIN(20,MAX(0,O546+0+0-0))</f>
        <v>0</v>
      </c>
      <c r="AZ546" s="1">
        <f t="shared" si="745"/>
        <v>1</v>
      </c>
      <c r="BA546" s="1">
        <f>MIN(6,Q546+1)</f>
        <v>1</v>
      </c>
      <c r="BB546" s="1">
        <f>MIN(30,R546+5)</f>
        <v>5</v>
      </c>
      <c r="BC546" s="1">
        <f t="shared" si="761"/>
        <v>0</v>
      </c>
      <c r="BD546" s="1">
        <f t="shared" si="734"/>
        <v>0</v>
      </c>
      <c r="BE546" s="1">
        <f>0</f>
        <v>0</v>
      </c>
      <c r="BF546" s="1">
        <f t="shared" si="765"/>
        <v>0</v>
      </c>
      <c r="BG546" s="1">
        <f t="shared" si="752"/>
        <v>0</v>
      </c>
      <c r="BH546" s="1">
        <f>MAX(X546,1)</f>
        <v>1</v>
      </c>
      <c r="BI546" s="1">
        <f t="shared" si="753"/>
        <v>0</v>
      </c>
      <c r="BJ546" s="1">
        <f t="shared" si="756"/>
        <v>0</v>
      </c>
      <c r="BK546" s="1">
        <f t="shared" si="757"/>
        <v>0</v>
      </c>
      <c r="BL546" s="1">
        <f t="shared" si="762"/>
        <v>0</v>
      </c>
      <c r="BM546" s="1">
        <f t="shared" si="760"/>
        <v>0</v>
      </c>
      <c r="BN546" s="1">
        <f>0</f>
        <v>0</v>
      </c>
      <c r="BO546" s="1">
        <f>MAX(BN546,1)</f>
        <v>1</v>
      </c>
    </row>
    <row r="547" spans="1:67" ht="30.95" customHeight="1">
      <c r="A547" s="1">
        <f>15</f>
        <v>15</v>
      </c>
      <c r="B547" s="1">
        <f>固定流程!A7</f>
        <v>2</v>
      </c>
      <c r="C547" s="1">
        <f>18</f>
        <v>18</v>
      </c>
      <c r="D547" s="1">
        <f>1</f>
        <v>1</v>
      </c>
      <c r="E547" s="1">
        <f>固定流程!C7</f>
        <v>1</v>
      </c>
      <c r="F547" s="1">
        <f>固定流程!G7</f>
        <v>3</v>
      </c>
      <c r="G547" s="1" t="str">
        <f>固定流程!H7</f>
        <v>RHI_BUFF</v>
      </c>
      <c r="H547" s="1">
        <f>固定流程!F7</f>
        <v>1</v>
      </c>
      <c r="I547" s="1">
        <f>INDEX(配置与结果!$B$15:$B$18,F547)</f>
        <v>2597</v>
      </c>
      <c r="J547" s="1">
        <f>INDEX(配置与结果!$D$15:$D$18,F547)</f>
        <v>0.255</v>
      </c>
      <c r="K547" s="1">
        <f>INDEX(配置与结果!$E$15:$E$18,F547)</f>
        <v>1.55</v>
      </c>
      <c r="L547" s="1">
        <f t="shared" ref="L547:O552" si="766">AV546</f>
        <v>0</v>
      </c>
      <c r="M547" s="1">
        <f t="shared" si="766"/>
        <v>0</v>
      </c>
      <c r="N547" s="1">
        <f t="shared" si="766"/>
        <v>0</v>
      </c>
      <c r="O547" s="1">
        <f t="shared" si="766"/>
        <v>0</v>
      </c>
      <c r="P547" s="1">
        <f>MIN(方案参数!$AI$18,AZ546+0+方案参数!$AK$18)</f>
        <v>3</v>
      </c>
      <c r="Q547" s="1">
        <f t="shared" ref="Q547:Q581" si="767">BA546</f>
        <v>1</v>
      </c>
      <c r="R547" s="1">
        <f t="shared" ref="R547:R581" si="768">BB546</f>
        <v>5</v>
      </c>
      <c r="S547" s="1">
        <f t="shared" ref="S547:S581" si="769">BC546</f>
        <v>0</v>
      </c>
      <c r="T547" s="1">
        <f t="shared" ref="T547:T560" si="770">BD546+0</f>
        <v>0</v>
      </c>
      <c r="U547" s="1">
        <f t="shared" ref="U547:U581" si="771">BE546</f>
        <v>0</v>
      </c>
      <c r="V547" s="1">
        <f t="shared" ref="V547:V581" si="772">BF546</f>
        <v>0</v>
      </c>
      <c r="W547" s="1">
        <f t="shared" ref="W547:W581" si="773">BG546</f>
        <v>0</v>
      </c>
      <c r="X547" s="1">
        <f t="shared" ref="X547:X581" si="774">BH546</f>
        <v>1</v>
      </c>
      <c r="Y547" s="1">
        <f t="shared" ref="Y547:Y581" si="775">BI546</f>
        <v>0</v>
      </c>
      <c r="Z547" s="1">
        <f t="shared" ref="Z547:Z581" si="776">BJ546</f>
        <v>0</v>
      </c>
      <c r="AA547" s="1">
        <f t="shared" ref="AA547:AA552" si="777">MAX(BK546,0)</f>
        <v>0</v>
      </c>
      <c r="AB547" s="1">
        <f t="shared" ref="AB547:AB581" si="778">BL546</f>
        <v>0</v>
      </c>
      <c r="AC547" s="1">
        <f t="shared" ref="AC547:AC560" si="779">MAX(BM546,0)</f>
        <v>0</v>
      </c>
      <c r="AD547" s="1">
        <f>ROUNDDOWN(I547*(1+IF(F547=3,0.05+方案参数!$Y$18+AA547*0.12,IF(F547=4,方案参数!$BZ$18*方案参数!$AS$18,0)))+IF(AND(X547=1,F547&lt;&gt;3),方案参数!$CC$18,0)+AC547*方案参数!$CB$18,0)</f>
        <v>2986</v>
      </c>
      <c r="AE547" s="1">
        <f>IF(OR(F547=1,F547=4),配置与结果!$B$24,配置与结果!$B$25)*MAX(0,1-INDEX(配置与结果!$I$15:$I$18,F547))</f>
        <v>1000</v>
      </c>
      <c r="AF547" s="1">
        <f>0</f>
        <v>0</v>
      </c>
      <c r="AG547" s="1">
        <f>MAX(配置与结果!$B$32,1+INDEX(配置与结果!$F$15:$F$18,F547)+0+Q547*方案参数!$W$18+Y547*(方案参数!$AN$18+MIN(方案参数!$AO$18,P547*0.03))+AB547*方案参数!$BZ$18*0.025-配置与结果!$B$28)</f>
        <v>0.65499999999999992</v>
      </c>
      <c r="AH547" s="1">
        <f>MAX(0,1+INDEX(配置与结果!$G$15:$G$18,F547)+W547*方案参数!$AG$18)</f>
        <v>1</v>
      </c>
      <c r="AI547" s="1">
        <f>IF(OR(INDEX(配置与结果!$K$15:$K$18,F547)=1,G547="RHI_BERRY"),1+配置与结果!$B$33+P547*方案参数!$AH$18,1)</f>
        <v>1</v>
      </c>
      <c r="AJ547" s="1">
        <f>MIN(1,MAX(0,J547+方案参数!$AB$18-配置与结果!$B$27))</f>
        <v>0.55499999999999994</v>
      </c>
      <c r="AK547" s="1">
        <f>MAX(1,K547+IF(F547=2,0.15+方案参数!$CH$18,0)+BN547*方案参数!$X$18+R547*方案参数!$AA$18+0-配置与结果!$B$26+Z547*(方案参数!$AP$18+MIN(方案参数!$AQ$18,P547*0.03)))</f>
        <v>1.33</v>
      </c>
      <c r="AL547" s="7">
        <f>ROUNDDOWN(MAX(AD547*配置与结果!$B$31,AD547-AE547)*AF547*AG547*AH547*AI547,0)</f>
        <v>0</v>
      </c>
      <c r="AM547" s="7">
        <f>ROUNDDOWN(MAX(AD547*配置与结果!$B$31,AD547-AE547)*AF547*AG547*AH547*AI547*AK547,0)</f>
        <v>0</v>
      </c>
      <c r="AN547" s="7">
        <f t="shared" si="738"/>
        <v>0</v>
      </c>
      <c r="AO547" s="7">
        <f>0</f>
        <v>0</v>
      </c>
      <c r="AP547" s="7">
        <f>MAX(0,1+INDEX(配置与结果!$J$15:$J$18,F547)+IF(T547&gt;0,方案参数!$BY$18,0)-配置与结果!$B$30)</f>
        <v>1</v>
      </c>
      <c r="AQ547" s="7">
        <f t="shared" si="739"/>
        <v>0</v>
      </c>
      <c r="AR547" s="7">
        <f t="shared" si="740"/>
        <v>0</v>
      </c>
      <c r="AS547" s="7">
        <f t="shared" si="741"/>
        <v>0</v>
      </c>
      <c r="AT547" s="7">
        <f>0</f>
        <v>0</v>
      </c>
      <c r="AU547" s="7">
        <f t="shared" si="742"/>
        <v>0</v>
      </c>
      <c r="AV547" s="1">
        <f t="shared" si="743"/>
        <v>0</v>
      </c>
      <c r="AW547" s="1">
        <f t="shared" si="764"/>
        <v>0</v>
      </c>
      <c r="AX547" s="1">
        <f t="shared" si="744"/>
        <v>0</v>
      </c>
      <c r="AY547" s="1">
        <f>MIN(20,MAX(0,O547+0+0-0))</f>
        <v>0</v>
      </c>
      <c r="AZ547" s="1">
        <f t="shared" si="745"/>
        <v>3</v>
      </c>
      <c r="BA547" s="1">
        <f>MIN(6,Q547+1)</f>
        <v>2</v>
      </c>
      <c r="BB547" s="1">
        <f t="shared" ref="BB547:BB560" si="780">MIN(30,R547+0)</f>
        <v>5</v>
      </c>
      <c r="BC547" s="1">
        <f t="shared" si="761"/>
        <v>0</v>
      </c>
      <c r="BD547" s="1">
        <f t="shared" si="734"/>
        <v>0</v>
      </c>
      <c r="BE547" s="1">
        <f t="shared" ref="BE547:BE568" si="781">BE546</f>
        <v>0</v>
      </c>
      <c r="BF547" s="1">
        <f t="shared" si="765"/>
        <v>0</v>
      </c>
      <c r="BG547" s="1">
        <f>MAX(W547,1)</f>
        <v>1</v>
      </c>
      <c r="BH547" s="1">
        <f t="shared" ref="BH547:BH581" si="782">MAX(X547,0)</f>
        <v>1</v>
      </c>
      <c r="BI547" s="1">
        <f>MAX(Y547,1)</f>
        <v>1</v>
      </c>
      <c r="BJ547" s="1">
        <f t="shared" si="756"/>
        <v>0</v>
      </c>
      <c r="BK547" s="1">
        <f t="shared" si="757"/>
        <v>0</v>
      </c>
      <c r="BL547" s="1">
        <f t="shared" si="762"/>
        <v>0</v>
      </c>
      <c r="BM547" s="1">
        <f t="shared" si="760"/>
        <v>0</v>
      </c>
      <c r="BN547" s="1">
        <f t="shared" ref="BN547:BN581" si="783">BO546</f>
        <v>1</v>
      </c>
      <c r="BO547" s="1">
        <f t="shared" ref="BO547:BO581" si="784">MAX(BN547,0)</f>
        <v>1</v>
      </c>
    </row>
    <row r="548" spans="1:67" ht="30.95" customHeight="1">
      <c r="A548" s="1">
        <f>15</f>
        <v>15</v>
      </c>
      <c r="B548" s="1">
        <f>固定流程!A8</f>
        <v>3</v>
      </c>
      <c r="C548" s="1">
        <f>18</f>
        <v>18</v>
      </c>
      <c r="D548" s="1">
        <f>1</f>
        <v>1</v>
      </c>
      <c r="E548" s="1">
        <f>固定流程!C8</f>
        <v>1</v>
      </c>
      <c r="F548" s="1">
        <f>固定流程!G8</f>
        <v>1</v>
      </c>
      <c r="G548" s="1" t="str">
        <f>固定流程!H8</f>
        <v>LILYA_COBRA</v>
      </c>
      <c r="H548" s="1">
        <f>固定流程!F8</f>
        <v>1</v>
      </c>
      <c r="I548" s="1">
        <f>INDEX(配置与结果!$B$15:$B$18,F548)</f>
        <v>2296</v>
      </c>
      <c r="J548" s="1">
        <f>INDEX(配置与结果!$D$15:$D$18,F548)</f>
        <v>0.7</v>
      </c>
      <c r="K548" s="1">
        <f>INDEX(配置与结果!$E$15:$E$18,F548)</f>
        <v>2.0249999999999999</v>
      </c>
      <c r="L548" s="1">
        <f t="shared" si="766"/>
        <v>0</v>
      </c>
      <c r="M548" s="1">
        <f t="shared" si="766"/>
        <v>0</v>
      </c>
      <c r="N548" s="1">
        <f t="shared" si="766"/>
        <v>0</v>
      </c>
      <c r="O548" s="1">
        <f t="shared" si="766"/>
        <v>0</v>
      </c>
      <c r="P548" s="1">
        <f>MIN(方案参数!$AI$18,AZ547+0+0)</f>
        <v>3</v>
      </c>
      <c r="Q548" s="1">
        <f t="shared" si="767"/>
        <v>2</v>
      </c>
      <c r="R548" s="1">
        <f t="shared" si="768"/>
        <v>5</v>
      </c>
      <c r="S548" s="1">
        <f t="shared" si="769"/>
        <v>0</v>
      </c>
      <c r="T548" s="1">
        <f t="shared" si="770"/>
        <v>0</v>
      </c>
      <c r="U548" s="1">
        <f t="shared" si="771"/>
        <v>0</v>
      </c>
      <c r="V548" s="1">
        <f t="shared" si="772"/>
        <v>0</v>
      </c>
      <c r="W548" s="1">
        <f t="shared" si="773"/>
        <v>1</v>
      </c>
      <c r="X548" s="1">
        <f t="shared" si="774"/>
        <v>1</v>
      </c>
      <c r="Y548" s="1">
        <f t="shared" si="775"/>
        <v>1</v>
      </c>
      <c r="Z548" s="1">
        <f t="shared" si="776"/>
        <v>0</v>
      </c>
      <c r="AA548" s="1">
        <f t="shared" si="777"/>
        <v>0</v>
      </c>
      <c r="AB548" s="1">
        <f t="shared" si="778"/>
        <v>0</v>
      </c>
      <c r="AC548" s="1">
        <f t="shared" si="779"/>
        <v>0</v>
      </c>
      <c r="AD548" s="1">
        <f>ROUNDDOWN(I548*(1+IF(F548=3,0.05+方案参数!$Y$18+AA548*0.12,IF(F548=4,方案参数!$BZ$18*方案参数!$AS$18,0)))+IF(AND(X548=1,F548&lt;&gt;3),方案参数!$CC$18,0)+AC548*方案参数!$CB$18,0)</f>
        <v>2534</v>
      </c>
      <c r="AE548" s="1">
        <f>IF(OR(F548=1,F548=4),配置与结果!$B$24,配置与结果!$B$25)*MAX(0,1-INDEX(配置与结果!$I$15:$I$18,F548))</f>
        <v>1200</v>
      </c>
      <c r="AF548" s="1">
        <f>0</f>
        <v>0</v>
      </c>
      <c r="AG548" s="1">
        <f>MAX(配置与结果!$B$32,1+INDEX(配置与结果!$F$15:$F$18,F548)+0.08+方案参数!$CD$18+Q548*方案参数!$W$18+Y548*(方案参数!$AN$18+MIN(方案参数!$AO$18,P548*0.03))+AB548*方案参数!$BZ$18*0.025-配置与结果!$B$28)</f>
        <v>1.2200000000000002</v>
      </c>
      <c r="AH548" s="1">
        <f>MAX(0,1+INDEX(配置与结果!$G$15:$G$18,F548)+W548*方案参数!$AG$18)</f>
        <v>1.45</v>
      </c>
      <c r="AI548" s="1">
        <f>IF(OR(INDEX(配置与结果!$K$15:$K$18,F548)=1,G548="RHI_BERRY"),1+配置与结果!$B$33+P548*方案参数!$AH$18,1)</f>
        <v>1</v>
      </c>
      <c r="AJ548" s="1">
        <f>MIN(1,MAX(0,J548+方案参数!$AB$18-配置与结果!$B$27))</f>
        <v>1</v>
      </c>
      <c r="AK548" s="1">
        <f>MAX(1,K548+IF(F548=2,0.15+方案参数!$CH$18,0)+BN548*方案参数!$X$18+R548*方案参数!$AA$18+0-配置与结果!$B$26+Z548*(方案参数!$AP$18+MIN(方案参数!$AQ$18,P548*0.03)))</f>
        <v>1.8050000000000002</v>
      </c>
      <c r="AL548" s="7">
        <f>ROUNDDOWN(MAX(AD548*配置与结果!$B$31,AD548-AE548)*AF548*AG548*AH548*AI548,0)</f>
        <v>0</v>
      </c>
      <c r="AM548" s="7">
        <f>ROUNDDOWN(MAX(AD548*配置与结果!$B$31,AD548-AE548)*AF548*AG548*AH548*AI548*AK548,0)</f>
        <v>0</v>
      </c>
      <c r="AN548" s="7">
        <f t="shared" si="738"/>
        <v>0</v>
      </c>
      <c r="AO548" s="7">
        <f>0</f>
        <v>0</v>
      </c>
      <c r="AP548" s="7">
        <f>MAX(0,1+INDEX(配置与结果!$J$15:$J$18,F548)+IF(T548&gt;0,方案参数!$BY$18,0)-配置与结果!$B$30)</f>
        <v>1</v>
      </c>
      <c r="AQ548" s="7">
        <f t="shared" si="739"/>
        <v>0</v>
      </c>
      <c r="AR548" s="7">
        <f t="shared" si="740"/>
        <v>0</v>
      </c>
      <c r="AS548" s="7">
        <f t="shared" si="741"/>
        <v>0</v>
      </c>
      <c r="AT548" s="7">
        <f>0</f>
        <v>0</v>
      </c>
      <c r="AU548" s="7">
        <f t="shared" si="742"/>
        <v>0</v>
      </c>
      <c r="AV548" s="1">
        <f t="shared" si="743"/>
        <v>1</v>
      </c>
      <c r="AW548" s="1">
        <f>MIN(10,M548+方案参数!$BD$18+0)</f>
        <v>3</v>
      </c>
      <c r="AX548" s="1">
        <f t="shared" si="744"/>
        <v>0</v>
      </c>
      <c r="AY548" s="1">
        <f>MIN(20,MAX(0,O548+6+0-0))</f>
        <v>6</v>
      </c>
      <c r="AZ548" s="1">
        <f t="shared" si="745"/>
        <v>3</v>
      </c>
      <c r="BA548" s="1">
        <f>MIN(6,Q548+0)</f>
        <v>2</v>
      </c>
      <c r="BB548" s="1">
        <f t="shared" si="780"/>
        <v>5</v>
      </c>
      <c r="BC548" s="1">
        <f t="shared" si="761"/>
        <v>0</v>
      </c>
      <c r="BD548" s="1">
        <f t="shared" si="734"/>
        <v>0</v>
      </c>
      <c r="BE548" s="1">
        <f t="shared" si="781"/>
        <v>0</v>
      </c>
      <c r="BF548" s="1">
        <f t="shared" si="765"/>
        <v>0</v>
      </c>
      <c r="BG548" s="1">
        <f t="shared" ref="BG548:BG558" si="785">MAX(W548,0)</f>
        <v>1</v>
      </c>
      <c r="BH548" s="1">
        <f t="shared" si="782"/>
        <v>1</v>
      </c>
      <c r="BI548" s="1">
        <f t="shared" ref="BI548:BI558" si="786">MAX(Y548,0)</f>
        <v>1</v>
      </c>
      <c r="BJ548" s="1">
        <f t="shared" si="756"/>
        <v>0</v>
      </c>
      <c r="BK548" s="1">
        <f t="shared" si="757"/>
        <v>0</v>
      </c>
      <c r="BL548" s="1">
        <f t="shared" si="762"/>
        <v>0</v>
      </c>
      <c r="BM548" s="1">
        <f t="shared" si="760"/>
        <v>0</v>
      </c>
      <c r="BN548" s="1">
        <f t="shared" si="783"/>
        <v>1</v>
      </c>
      <c r="BO548" s="1">
        <f t="shared" si="784"/>
        <v>1</v>
      </c>
    </row>
    <row r="549" spans="1:67" ht="30.95" customHeight="1">
      <c r="A549" s="1">
        <f>15</f>
        <v>15</v>
      </c>
      <c r="B549" s="1">
        <f>固定流程!A9</f>
        <v>4</v>
      </c>
      <c r="C549" s="1">
        <f>18</f>
        <v>18</v>
      </c>
      <c r="D549" s="1">
        <f>1</f>
        <v>1</v>
      </c>
      <c r="E549" s="1">
        <f>固定流程!C9</f>
        <v>1</v>
      </c>
      <c r="F549" s="1">
        <f>固定流程!G9</f>
        <v>1</v>
      </c>
      <c r="G549" s="1" t="str">
        <f>固定流程!H9</f>
        <v>LILYA_DIVE</v>
      </c>
      <c r="H549" s="1">
        <f>固定流程!F9</f>
        <v>1</v>
      </c>
      <c r="I549" s="1">
        <f>INDEX(配置与结果!$B$15:$B$18,F549)</f>
        <v>2296</v>
      </c>
      <c r="J549" s="1">
        <f>INDEX(配置与结果!$D$15:$D$18,F549)</f>
        <v>0.7</v>
      </c>
      <c r="K549" s="1">
        <f>INDEX(配置与结果!$E$15:$E$18,F549)</f>
        <v>2.0249999999999999</v>
      </c>
      <c r="L549" s="1">
        <f t="shared" si="766"/>
        <v>1</v>
      </c>
      <c r="M549" s="1">
        <f t="shared" si="766"/>
        <v>3</v>
      </c>
      <c r="N549" s="1">
        <f t="shared" si="766"/>
        <v>0</v>
      </c>
      <c r="O549" s="1">
        <f t="shared" si="766"/>
        <v>6</v>
      </c>
      <c r="P549" s="1">
        <f>MIN(方案参数!$AI$18,AZ548+0+0)</f>
        <v>3</v>
      </c>
      <c r="Q549" s="1">
        <f t="shared" si="767"/>
        <v>2</v>
      </c>
      <c r="R549" s="1">
        <f t="shared" si="768"/>
        <v>5</v>
      </c>
      <c r="S549" s="1">
        <f t="shared" si="769"/>
        <v>0</v>
      </c>
      <c r="T549" s="1">
        <f t="shared" si="770"/>
        <v>0</v>
      </c>
      <c r="U549" s="1">
        <f t="shared" si="771"/>
        <v>0</v>
      </c>
      <c r="V549" s="1">
        <f t="shared" si="772"/>
        <v>0</v>
      </c>
      <c r="W549" s="1">
        <f t="shared" si="773"/>
        <v>1</v>
      </c>
      <c r="X549" s="1">
        <f t="shared" si="774"/>
        <v>1</v>
      </c>
      <c r="Y549" s="1">
        <f t="shared" si="775"/>
        <v>1</v>
      </c>
      <c r="Z549" s="1">
        <f t="shared" si="776"/>
        <v>0</v>
      </c>
      <c r="AA549" s="1">
        <f t="shared" si="777"/>
        <v>0</v>
      </c>
      <c r="AB549" s="1">
        <f t="shared" si="778"/>
        <v>0</v>
      </c>
      <c r="AC549" s="1">
        <f t="shared" si="779"/>
        <v>0</v>
      </c>
      <c r="AD549" s="1">
        <f>ROUNDDOWN(I549*(1+IF(F549=3,0.05+方案参数!$Y$18+AA549*0.12,IF(F549=4,方案参数!$BZ$18*方案参数!$AS$18,0)))+IF(AND(X549=1,F549&lt;&gt;3),方案参数!$CC$18,0)+AC549*方案参数!$CB$18,0)</f>
        <v>2534</v>
      </c>
      <c r="AE549" s="1">
        <f>IF(OR(F549=1,F549=4),配置与结果!$B$24,配置与结果!$B$25)*MAX(0,1-INDEX(配置与结果!$I$15:$I$18,F549))</f>
        <v>1200</v>
      </c>
      <c r="AF549" s="1">
        <f>(IF(L549=1,方案参数!$AW$18,IF(L549=2,方案参数!$AX$18,0))+方案参数!$AV$18)*H549</f>
        <v>6</v>
      </c>
      <c r="AG549" s="1">
        <f>MAX(配置与结果!$B$32,1+INDEX(配置与结果!$F$15:$F$18,F549)+0.08+方案参数!$CD$18+Q549*方案参数!$W$18+Y549*(方案参数!$AN$18+MIN(方案参数!$AO$18,P549*0.03))+AB549*方案参数!$BZ$18*0.025+IF(L549=1,方案参数!$AY$18+(H549-1)*0.1,IF(L549=2,方案参数!$AZ$18+(H549-1)*0.2,0))-配置与结果!$B$28)</f>
        <v>1.3200000000000003</v>
      </c>
      <c r="AH549" s="1">
        <f>MAX(0,1+INDEX(配置与结果!$G$15:$G$18,F549)+W549*方案参数!$AG$18+IF(L549=1,方案参数!$BA$18,IF(L549=2,方案参数!$BB$18,0))+M549*方案参数!$BC$18)</f>
        <v>2.23</v>
      </c>
      <c r="AI549" s="1">
        <f>IF(OR(INDEX(配置与结果!$K$15:$K$18,F549)=1,G549="RHI_BERRY"),1+配置与结果!$B$33+P549*方案参数!$AH$18,1)</f>
        <v>1</v>
      </c>
      <c r="AJ549" s="1">
        <f>MIN(1,MAX(0,J549+方案参数!$AB$18-配置与结果!$B$27))</f>
        <v>1</v>
      </c>
      <c r="AK549" s="1">
        <f>MAX(1,K549+IF(F549=2,0.15+方案参数!$CH$18,0)+BN549*方案参数!$X$18+R549*方案参数!$AA$18+0-配置与结果!$B$26+Z549*(方案参数!$AP$18+MIN(方案参数!$AQ$18,P549*0.03)))</f>
        <v>1.8050000000000002</v>
      </c>
      <c r="AL549" s="7">
        <f>ROUNDDOWN(MAX(AD549*配置与结果!$B$31,AD549-AE549)*AF549*AG549*AH549*AI549,0)</f>
        <v>23560</v>
      </c>
      <c r="AM549" s="7">
        <f>ROUNDDOWN(MAX(AD549*配置与结果!$B$31,AD549-AE549)*AF549*AG549*AH549*AI549*AK549,0)</f>
        <v>42526</v>
      </c>
      <c r="AN549" s="7">
        <f t="shared" si="738"/>
        <v>42526</v>
      </c>
      <c r="AO549" s="7">
        <f>0</f>
        <v>0</v>
      </c>
      <c r="AP549" s="7">
        <f>MAX(0,1+INDEX(配置与结果!$J$15:$J$18,F549)+IF(T549&gt;0,方案参数!$BY$18,0)-配置与结果!$B$30)</f>
        <v>1</v>
      </c>
      <c r="AQ549" s="7">
        <f t="shared" si="739"/>
        <v>0</v>
      </c>
      <c r="AR549" s="7">
        <f t="shared" si="740"/>
        <v>0</v>
      </c>
      <c r="AS549" s="7">
        <f t="shared" si="741"/>
        <v>0</v>
      </c>
      <c r="AT549" s="7">
        <f>0</f>
        <v>0</v>
      </c>
      <c r="AU549" s="7">
        <f t="shared" si="742"/>
        <v>42526</v>
      </c>
      <c r="AV549" s="1">
        <f t="shared" si="743"/>
        <v>1</v>
      </c>
      <c r="AW549" s="1">
        <f>MIN(10,M549+0+IF(L549=1,方案参数!$BE$18,0))</f>
        <v>4</v>
      </c>
      <c r="AX549" s="1">
        <f t="shared" si="744"/>
        <v>0</v>
      </c>
      <c r="AY549" s="1">
        <f t="shared" ref="AY549:AY564" si="787">MIN(20,MAX(0,O549+0+0-0))</f>
        <v>6</v>
      </c>
      <c r="AZ549" s="1">
        <f t="shared" si="745"/>
        <v>3</v>
      </c>
      <c r="BA549" s="1">
        <f>MIN(6,Q549+0)</f>
        <v>2</v>
      </c>
      <c r="BB549" s="1">
        <f t="shared" si="780"/>
        <v>5</v>
      </c>
      <c r="BC549" s="1">
        <f t="shared" si="761"/>
        <v>0</v>
      </c>
      <c r="BD549" s="1">
        <f t="shared" si="734"/>
        <v>0</v>
      </c>
      <c r="BE549" s="1">
        <f t="shared" si="781"/>
        <v>0</v>
      </c>
      <c r="BF549" s="1">
        <f t="shared" si="765"/>
        <v>0</v>
      </c>
      <c r="BG549" s="1">
        <f t="shared" si="785"/>
        <v>1</v>
      </c>
      <c r="BH549" s="1">
        <f t="shared" si="782"/>
        <v>1</v>
      </c>
      <c r="BI549" s="1">
        <f t="shared" si="786"/>
        <v>1</v>
      </c>
      <c r="BJ549" s="1">
        <f t="shared" si="756"/>
        <v>0</v>
      </c>
      <c r="BK549" s="1">
        <f t="shared" si="757"/>
        <v>0</v>
      </c>
      <c r="BL549" s="1">
        <f t="shared" si="762"/>
        <v>0</v>
      </c>
      <c r="BM549" s="1">
        <f t="shared" si="760"/>
        <v>0</v>
      </c>
      <c r="BN549" s="1">
        <f t="shared" si="783"/>
        <v>1</v>
      </c>
      <c r="BO549" s="1">
        <f t="shared" si="784"/>
        <v>1</v>
      </c>
    </row>
    <row r="550" spans="1:67" ht="30.95" customHeight="1">
      <c r="A550" s="1">
        <f>15</f>
        <v>15</v>
      </c>
      <c r="B550" s="1">
        <f>固定流程!A10</f>
        <v>5</v>
      </c>
      <c r="C550" s="1">
        <f>18</f>
        <v>18</v>
      </c>
      <c r="D550" s="1">
        <f>1</f>
        <v>1</v>
      </c>
      <c r="E550" s="1">
        <f>固定流程!C10</f>
        <v>1</v>
      </c>
      <c r="F550" s="1">
        <f>固定流程!G10</f>
        <v>2</v>
      </c>
      <c r="G550" s="1" t="str">
        <f>固定流程!H10</f>
        <v>37_TRIANGLE</v>
      </c>
      <c r="H550" s="1">
        <f>固定流程!F10</f>
        <v>1</v>
      </c>
      <c r="I550" s="1">
        <f>INDEX(配置与结果!$B$15:$B$18,F550)</f>
        <v>2306</v>
      </c>
      <c r="J550" s="1">
        <f>INDEX(配置与结果!$D$15:$D$18,F550)</f>
        <v>0.46</v>
      </c>
      <c r="K550" s="1">
        <f>INDEX(配置与结果!$E$15:$E$18,F550)</f>
        <v>1.9279999999999999</v>
      </c>
      <c r="L550" s="1">
        <f t="shared" si="766"/>
        <v>1</v>
      </c>
      <c r="M550" s="1">
        <f t="shared" si="766"/>
        <v>4</v>
      </c>
      <c r="N550" s="1">
        <f t="shared" si="766"/>
        <v>0</v>
      </c>
      <c r="O550" s="1">
        <f t="shared" si="766"/>
        <v>6</v>
      </c>
      <c r="P550" s="1">
        <f>MIN(方案参数!$AI$18,AZ549+0+0)</f>
        <v>3</v>
      </c>
      <c r="Q550" s="1">
        <f t="shared" si="767"/>
        <v>2</v>
      </c>
      <c r="R550" s="1">
        <f t="shared" si="768"/>
        <v>5</v>
      </c>
      <c r="S550" s="1">
        <f t="shared" si="769"/>
        <v>0</v>
      </c>
      <c r="T550" s="1">
        <f t="shared" si="770"/>
        <v>0</v>
      </c>
      <c r="U550" s="1">
        <f t="shared" si="771"/>
        <v>0</v>
      </c>
      <c r="V550" s="1">
        <f t="shared" si="772"/>
        <v>0</v>
      </c>
      <c r="W550" s="1">
        <f t="shared" si="773"/>
        <v>1</v>
      </c>
      <c r="X550" s="1">
        <f t="shared" si="774"/>
        <v>1</v>
      </c>
      <c r="Y550" s="1">
        <f t="shared" si="775"/>
        <v>1</v>
      </c>
      <c r="Z550" s="1">
        <f t="shared" si="776"/>
        <v>0</v>
      </c>
      <c r="AA550" s="1">
        <f t="shared" si="777"/>
        <v>0</v>
      </c>
      <c r="AB550" s="1">
        <f t="shared" si="778"/>
        <v>0</v>
      </c>
      <c r="AC550" s="1">
        <f t="shared" si="779"/>
        <v>0</v>
      </c>
      <c r="AD550" s="1">
        <f>ROUNDDOWN(I550*(1+IF(F550=3,0.05+方案参数!$Y$18+AA550*0.12,IF(F550=4,方案参数!$BZ$18*方案参数!$AS$18,0)))+IF(AND(X550=1,F550&lt;&gt;3),方案参数!$CC$18,0)+AC550*方案参数!$CB$18,0)</f>
        <v>2544</v>
      </c>
      <c r="AE550" s="1">
        <f>IF(OR(F550=1,F550=4),配置与结果!$B$24,配置与结果!$B$25)*MAX(0,1-INDEX(配置与结果!$I$15:$I$18,F550))</f>
        <v>1000</v>
      </c>
      <c r="AF550" s="1">
        <f>方案参数!$BS$18*IF(H550=1,1,IF(H550=2,1.5,2.5))</f>
        <v>2.8</v>
      </c>
      <c r="AG550" s="1">
        <f>MAX(配置与结果!$B$32,1+INDEX(配置与结果!$F$15:$F$18,F550)+0+Q550*方案参数!$W$18+Y550*(方案参数!$AN$18+MIN(方案参数!$AO$18,P550*0.03))+AB550*方案参数!$BZ$18*0.025-配置与结果!$B$28)</f>
        <v>0.8849999999999999</v>
      </c>
      <c r="AH550" s="1">
        <f>MAX(0,1+INDEX(配置与结果!$G$15:$G$18,F550)+W550*方案参数!$AG$18)</f>
        <v>1.45</v>
      </c>
      <c r="AI550" s="1">
        <f>IF(OR(INDEX(配置与结果!$K$15:$K$18,F550)=1,G550="RHI_BERRY"),1+配置与结果!$B$33+P550*方案参数!$AH$18,1)</f>
        <v>1</v>
      </c>
      <c r="AJ550" s="1">
        <f>MIN(1,MAX(0,J550+方案参数!$AB$18-配置与结果!$B$27))</f>
        <v>0.76</v>
      </c>
      <c r="AK550" s="1">
        <f>MAX(1,K550+IF(F550=2,0.15+方案参数!$CH$18,0)+BN550*方案参数!$X$18+R550*方案参数!$AA$18+0-配置与结果!$B$26+Z550*(方案参数!$AP$18+MIN(方案参数!$AQ$18,P550*0.03)))</f>
        <v>1.9780000000000002</v>
      </c>
      <c r="AL550" s="7">
        <f>ROUNDDOWN(MAX(AD550*配置与结果!$B$31,AD550-AE550)*AF550*AG550*AH550*AI550,0)</f>
        <v>5547</v>
      </c>
      <c r="AM550" s="7">
        <f>ROUNDDOWN(MAX(AD550*配置与结果!$B$31,AD550-AE550)*AF550*AG550*AH550*AI550*AK550,0)</f>
        <v>10973</v>
      </c>
      <c r="AN550" s="7">
        <f t="shared" si="738"/>
        <v>9670.76</v>
      </c>
      <c r="AO550" s="7">
        <f>方案参数!$BU$18*IF(H550=1,1,IF(H550=2,1.5,2.5))</f>
        <v>0.8</v>
      </c>
      <c r="AP550" s="7">
        <f>MAX(0,1+INDEX(配置与结果!$J$15:$J$18,F550)+IF(T550&gt;0,方案参数!$BY$18,0)-配置与结果!$B$30)</f>
        <v>1</v>
      </c>
      <c r="AQ550" s="7">
        <f t="shared" si="739"/>
        <v>2035</v>
      </c>
      <c r="AR550" s="7">
        <f t="shared" si="740"/>
        <v>4025</v>
      </c>
      <c r="AS550" s="7">
        <f t="shared" si="741"/>
        <v>3547.4</v>
      </c>
      <c r="AT550" s="7">
        <f>0</f>
        <v>0</v>
      </c>
      <c r="AU550" s="7">
        <f t="shared" si="742"/>
        <v>13218.16</v>
      </c>
      <c r="AV550" s="1">
        <f t="shared" si="743"/>
        <v>1</v>
      </c>
      <c r="AW550" s="1">
        <f>MIN(10,M550+0+0)</f>
        <v>4</v>
      </c>
      <c r="AX550" s="1">
        <f t="shared" si="744"/>
        <v>0</v>
      </c>
      <c r="AY550" s="1">
        <f t="shared" si="787"/>
        <v>6</v>
      </c>
      <c r="AZ550" s="1">
        <f t="shared" si="745"/>
        <v>3</v>
      </c>
      <c r="BA550" s="1">
        <f>MIN(6,Q550+0)</f>
        <v>2</v>
      </c>
      <c r="BB550" s="1">
        <f t="shared" si="780"/>
        <v>5</v>
      </c>
      <c r="BC550" s="1">
        <f t="shared" si="761"/>
        <v>0</v>
      </c>
      <c r="BD550" s="1">
        <f>MAX(0,T550-IF(AO550&gt;0,1,0))+1</f>
        <v>1</v>
      </c>
      <c r="BE550" s="1">
        <f t="shared" si="781"/>
        <v>0</v>
      </c>
      <c r="BF550" s="1">
        <f t="shared" si="765"/>
        <v>0</v>
      </c>
      <c r="BG550" s="1">
        <f t="shared" si="785"/>
        <v>1</v>
      </c>
      <c r="BH550" s="1">
        <f t="shared" si="782"/>
        <v>1</v>
      </c>
      <c r="BI550" s="1">
        <f t="shared" si="786"/>
        <v>1</v>
      </c>
      <c r="BJ550" s="1">
        <f t="shared" si="756"/>
        <v>0</v>
      </c>
      <c r="BK550" s="1">
        <f t="shared" si="757"/>
        <v>0</v>
      </c>
      <c r="BL550" s="1">
        <f t="shared" si="762"/>
        <v>0</v>
      </c>
      <c r="BM550" s="1">
        <f t="shared" si="760"/>
        <v>0</v>
      </c>
      <c r="BN550" s="1">
        <f t="shared" si="783"/>
        <v>1</v>
      </c>
      <c r="BO550" s="1">
        <f t="shared" si="784"/>
        <v>1</v>
      </c>
    </row>
    <row r="551" spans="1:67" ht="30.95" customHeight="1">
      <c r="A551" s="1">
        <f>15</f>
        <v>15</v>
      </c>
      <c r="B551" s="1">
        <f>固定流程!A11</f>
        <v>6</v>
      </c>
      <c r="C551" s="1">
        <f>18</f>
        <v>18</v>
      </c>
      <c r="D551" s="1">
        <f>1</f>
        <v>1</v>
      </c>
      <c r="E551" s="1">
        <f>固定流程!C11</f>
        <v>1</v>
      </c>
      <c r="F551" s="1">
        <f>固定流程!G11</f>
        <v>2</v>
      </c>
      <c r="G551" s="1" t="str">
        <f>固定流程!H11</f>
        <v>37_FOLLOW</v>
      </c>
      <c r="H551" s="1">
        <f>固定流程!F11</f>
        <v>1</v>
      </c>
      <c r="I551" s="1">
        <f>INDEX(配置与结果!$B$15:$B$18,F551)</f>
        <v>2306</v>
      </c>
      <c r="J551" s="1">
        <f>INDEX(配置与结果!$D$15:$D$18,F551)</f>
        <v>0.46</v>
      </c>
      <c r="K551" s="1">
        <f>INDEX(配置与结果!$E$15:$E$18,F551)</f>
        <v>1.9279999999999999</v>
      </c>
      <c r="L551" s="1">
        <f t="shared" si="766"/>
        <v>1</v>
      </c>
      <c r="M551" s="1">
        <f t="shared" si="766"/>
        <v>4</v>
      </c>
      <c r="N551" s="1">
        <f t="shared" si="766"/>
        <v>0</v>
      </c>
      <c r="O551" s="1">
        <f t="shared" si="766"/>
        <v>6</v>
      </c>
      <c r="P551" s="1">
        <f>MIN(方案参数!$AI$18,AZ550+0+0)</f>
        <v>3</v>
      </c>
      <c r="Q551" s="1">
        <f t="shared" si="767"/>
        <v>2</v>
      </c>
      <c r="R551" s="1">
        <f t="shared" si="768"/>
        <v>5</v>
      </c>
      <c r="S551" s="1">
        <f t="shared" si="769"/>
        <v>0</v>
      </c>
      <c r="T551" s="1">
        <f t="shared" si="770"/>
        <v>1</v>
      </c>
      <c r="U551" s="1">
        <f t="shared" si="771"/>
        <v>0</v>
      </c>
      <c r="V551" s="1">
        <f t="shared" si="772"/>
        <v>0</v>
      </c>
      <c r="W551" s="1">
        <f t="shared" si="773"/>
        <v>1</v>
      </c>
      <c r="X551" s="1">
        <f t="shared" si="774"/>
        <v>1</v>
      </c>
      <c r="Y551" s="1">
        <f t="shared" si="775"/>
        <v>1</v>
      </c>
      <c r="Z551" s="1">
        <f t="shared" si="776"/>
        <v>0</v>
      </c>
      <c r="AA551" s="1">
        <f t="shared" si="777"/>
        <v>0</v>
      </c>
      <c r="AB551" s="1">
        <f t="shared" si="778"/>
        <v>0</v>
      </c>
      <c r="AC551" s="1">
        <f t="shared" si="779"/>
        <v>0</v>
      </c>
      <c r="AD551" s="1">
        <f>ROUNDDOWN(I551*(1+IF(F551=3,0.05+方案参数!$Y$18+AA551*0.12,IF(F551=4,方案参数!$BZ$18*方案参数!$AS$18,0)))+IF(AND(X551=1,F551&lt;&gt;3),方案参数!$CC$18,0)+AC551*方案参数!$CB$18,0)</f>
        <v>2544</v>
      </c>
      <c r="AE551" s="1">
        <f>IF(OR(F551=1,F551=4),配置与结果!$B$24,配置与结果!$B$25)*MAX(0,1-INDEX(配置与结果!$I$15:$I$18,F551))</f>
        <v>1000</v>
      </c>
      <c r="AF551" s="1">
        <f>方案参数!$BV$18</f>
        <v>3</v>
      </c>
      <c r="AG551" s="1">
        <f>MAX(配置与结果!$B$32,1+INDEX(配置与结果!$F$15:$F$18,F551)+0+Q551*方案参数!$W$18+Y551*(方案参数!$AN$18+MIN(方案参数!$AO$18,P551*0.03))+AB551*方案参数!$BZ$18*0.025-配置与结果!$B$28)</f>
        <v>0.8849999999999999</v>
      </c>
      <c r="AH551" s="1">
        <f>MAX(0,1+INDEX(配置与结果!$G$15:$G$18,F551)+W551*方案参数!$AG$18)</f>
        <v>1.45</v>
      </c>
      <c r="AI551" s="1">
        <f>IF(OR(INDEX(配置与结果!$K$15:$K$18,F551)=1,G551="RHI_BERRY"),1+配置与结果!$B$33+P551*方案参数!$AH$18,1)</f>
        <v>1</v>
      </c>
      <c r="AJ551" s="1">
        <f>MIN(1,MAX(0,J551+方案参数!$AB$18-配置与结果!$B$27))</f>
        <v>0.76</v>
      </c>
      <c r="AK551" s="1">
        <f>MAX(1,K551+IF(F551=2,0.15+方案参数!$CH$18,0)+BN551*方案参数!$X$18+R551*方案参数!$AA$18+0-配置与结果!$B$26+Z551*(方案参数!$AP$18+MIN(方案参数!$AQ$18,P551*0.03)))</f>
        <v>1.9780000000000002</v>
      </c>
      <c r="AL551" s="7">
        <f>ROUNDDOWN(MAX(AD551*配置与结果!$B$31,AD551-AE551)*AF551*AG551*AH551*AI551,0)</f>
        <v>5944</v>
      </c>
      <c r="AM551" s="7">
        <f>ROUNDDOWN(MAX(AD551*配置与结果!$B$31,AD551-AE551)*AF551*AG551*AH551*AI551*AK551,0)</f>
        <v>11757</v>
      </c>
      <c r="AN551" s="7">
        <f t="shared" si="738"/>
        <v>10361.879999999999</v>
      </c>
      <c r="AO551" s="7">
        <f>方案参数!$BW$18</f>
        <v>1</v>
      </c>
      <c r="AP551" s="7">
        <f>MAX(0,1+INDEX(配置与结果!$J$15:$J$18,F551)+IF(T551&gt;0,方案参数!$BY$18,0)-配置与结果!$B$30)</f>
        <v>2</v>
      </c>
      <c r="AQ551" s="7">
        <f t="shared" si="739"/>
        <v>5088</v>
      </c>
      <c r="AR551" s="7">
        <f t="shared" si="740"/>
        <v>10064</v>
      </c>
      <c r="AS551" s="7">
        <f t="shared" si="741"/>
        <v>8869.76</v>
      </c>
      <c r="AT551" s="7">
        <f>0</f>
        <v>0</v>
      </c>
      <c r="AU551" s="7">
        <f t="shared" si="742"/>
        <v>19231.64</v>
      </c>
      <c r="AV551" s="1">
        <f t="shared" si="743"/>
        <v>1</v>
      </c>
      <c r="AW551" s="1">
        <f>MIN(10,M551+0+0)</f>
        <v>4</v>
      </c>
      <c r="AX551" s="1">
        <f t="shared" si="744"/>
        <v>0</v>
      </c>
      <c r="AY551" s="1">
        <f t="shared" si="787"/>
        <v>6</v>
      </c>
      <c r="AZ551" s="1">
        <f t="shared" si="745"/>
        <v>3</v>
      </c>
      <c r="BA551" s="1">
        <f>MIN(6,Q551+0)</f>
        <v>2</v>
      </c>
      <c r="BB551" s="1">
        <f t="shared" si="780"/>
        <v>5</v>
      </c>
      <c r="BC551" s="1">
        <f t="shared" si="761"/>
        <v>0</v>
      </c>
      <c r="BD551" s="1">
        <f t="shared" ref="BD551:BD585" si="788">MAX(0,T551-IF(AO551&gt;0,1,0))+0</f>
        <v>0</v>
      </c>
      <c r="BE551" s="1">
        <f t="shared" si="781"/>
        <v>0</v>
      </c>
      <c r="BF551" s="1">
        <f>MIN(4,V551+1)</f>
        <v>1</v>
      </c>
      <c r="BG551" s="1">
        <f t="shared" si="785"/>
        <v>1</v>
      </c>
      <c r="BH551" s="1">
        <f t="shared" si="782"/>
        <v>1</v>
      </c>
      <c r="BI551" s="1">
        <f t="shared" si="786"/>
        <v>1</v>
      </c>
      <c r="BJ551" s="1">
        <f t="shared" si="756"/>
        <v>0</v>
      </c>
      <c r="BK551" s="1">
        <f t="shared" si="757"/>
        <v>0</v>
      </c>
      <c r="BL551" s="1">
        <f t="shared" si="762"/>
        <v>0</v>
      </c>
      <c r="BM551" s="1">
        <f t="shared" si="760"/>
        <v>0</v>
      </c>
      <c r="BN551" s="1">
        <f t="shared" si="783"/>
        <v>1</v>
      </c>
      <c r="BO551" s="1">
        <f t="shared" si="784"/>
        <v>1</v>
      </c>
    </row>
    <row r="552" spans="1:67" ht="30.95" customHeight="1">
      <c r="A552" s="1">
        <f>15</f>
        <v>15</v>
      </c>
      <c r="B552" s="1">
        <f>固定流程!A12</f>
        <v>7</v>
      </c>
      <c r="C552" s="1">
        <f>18</f>
        <v>18</v>
      </c>
      <c r="D552" s="1">
        <f>1</f>
        <v>1</v>
      </c>
      <c r="E552" s="1">
        <f>固定流程!C12</f>
        <v>1</v>
      </c>
      <c r="F552" s="1">
        <f>固定流程!G12</f>
        <v>4</v>
      </c>
      <c r="G552" s="1" t="str">
        <f>固定流程!H12</f>
        <v>J_HARD</v>
      </c>
      <c r="H552" s="1">
        <f>固定流程!F12</f>
        <v>1</v>
      </c>
      <c r="I552" s="1">
        <f>INDEX(配置与结果!$B$15:$B$18,F552)</f>
        <v>1906</v>
      </c>
      <c r="J552" s="1">
        <f>INDEX(配置与结果!$D$15:$D$18,F552)</f>
        <v>0.36699999999999999</v>
      </c>
      <c r="K552" s="1">
        <f>INDEX(配置与结果!$E$15:$E$18,F552)</f>
        <v>1.7170000000000001</v>
      </c>
      <c r="L552" s="1">
        <f t="shared" si="766"/>
        <v>1</v>
      </c>
      <c r="M552" s="1">
        <f t="shared" si="766"/>
        <v>4</v>
      </c>
      <c r="N552" s="1">
        <f t="shared" si="766"/>
        <v>0</v>
      </c>
      <c r="O552" s="1">
        <f t="shared" si="766"/>
        <v>6</v>
      </c>
      <c r="P552" s="1">
        <f>MIN(方案参数!$AI$18,AZ551+0+0)</f>
        <v>3</v>
      </c>
      <c r="Q552" s="1">
        <f t="shared" si="767"/>
        <v>2</v>
      </c>
      <c r="R552" s="1">
        <f t="shared" si="768"/>
        <v>5</v>
      </c>
      <c r="S552" s="1">
        <f t="shared" si="769"/>
        <v>0</v>
      </c>
      <c r="T552" s="1">
        <f t="shared" si="770"/>
        <v>0</v>
      </c>
      <c r="U552" s="1">
        <f t="shared" si="771"/>
        <v>0</v>
      </c>
      <c r="V552" s="1">
        <f t="shared" si="772"/>
        <v>1</v>
      </c>
      <c r="W552" s="1">
        <f t="shared" si="773"/>
        <v>1</v>
      </c>
      <c r="X552" s="1">
        <f t="shared" si="774"/>
        <v>1</v>
      </c>
      <c r="Y552" s="1">
        <f t="shared" si="775"/>
        <v>1</v>
      </c>
      <c r="Z552" s="1">
        <f t="shared" si="776"/>
        <v>0</v>
      </c>
      <c r="AA552" s="1">
        <f t="shared" si="777"/>
        <v>0</v>
      </c>
      <c r="AB552" s="1">
        <f t="shared" si="778"/>
        <v>0</v>
      </c>
      <c r="AC552" s="1">
        <f t="shared" si="779"/>
        <v>0</v>
      </c>
      <c r="AD552" s="1">
        <f>ROUNDDOWN(I552*(1+IF(F552=3,0.05+方案参数!$Y$18+AA552*0.12,IF(F552=4,方案参数!$BZ$18*方案参数!$AS$18,0)))+IF(AND(X552=1,F552&lt;&gt;3),方案参数!$CC$18,0)+AC552*方案参数!$CB$18,0)</f>
        <v>2811</v>
      </c>
      <c r="AE552" s="1">
        <f>IF(OR(F552=1,F552=4),配置与结果!$B$24,配置与结果!$B$25)*MAX(0,1-INDEX(配置与结果!$I$15:$I$18,F552))</f>
        <v>1200</v>
      </c>
      <c r="AF552" s="1">
        <f>3.6*IF(H552=1,1,IF(H552=2,1.5,2.5))</f>
        <v>3.6</v>
      </c>
      <c r="AG552" s="1">
        <f>MAX(配置与结果!$B$32,1+INDEX(配置与结果!$F$15:$F$18,F552)+0.08+Q552*方案参数!$W$18+Y552*(方案参数!$AN$18+MIN(方案参数!$AO$18,P552*0.03))+AB552*方案参数!$BZ$18*0.025+0.1+IF(方案参数!$BZ$18&gt;=30,方案参数!$BZ$18*0.01,0)-配置与结果!$B$28)</f>
        <v>1.4350000000000001</v>
      </c>
      <c r="AH552" s="1">
        <f>MAX(0,1+INDEX(配置与结果!$G$15:$G$18,F552)+W552*方案参数!$AG$18)</f>
        <v>1.45</v>
      </c>
      <c r="AI552" s="1">
        <f>IF(OR(INDEX(配置与结果!$K$15:$K$18,F552)=1,G552="RHI_BERRY"),1+配置与结果!$B$33+P552*方案参数!$AH$18,1)</f>
        <v>1</v>
      </c>
      <c r="AJ552" s="1">
        <f>MIN(1,MAX(0,J552+方案参数!$AB$18-配置与结果!$B$27))</f>
        <v>0.66700000000000004</v>
      </c>
      <c r="AK552" s="1">
        <f>MAX(1,K552+IF(F552=2,0.15+方案参数!$CH$18,0)+BN552*方案参数!$X$18+R552*方案参数!$AA$18+0-配置与结果!$B$26+Z552*(方案参数!$AP$18+MIN(方案参数!$AQ$18,P552*0.03)))</f>
        <v>1.4969999999999999</v>
      </c>
      <c r="AL552" s="7">
        <f>ROUNDDOWN(MAX(AD552*配置与结果!$B$31,AD552-AE552)*AF552*AG552*AH552*AI552,0)</f>
        <v>12067</v>
      </c>
      <c r="AM552" s="7">
        <f>ROUNDDOWN(MAX(AD552*配置与结果!$B$31,AD552-AE552)*AF552*AG552*AH552*AI552*AK552,0)</f>
        <v>18065</v>
      </c>
      <c r="AN552" s="7">
        <f t="shared" si="738"/>
        <v>16067.666000000001</v>
      </c>
      <c r="AO552" s="7">
        <f>0</f>
        <v>0</v>
      </c>
      <c r="AP552" s="7">
        <f>MAX(0,1+INDEX(配置与结果!$J$15:$J$18,F552)+IF(T552&gt;0,方案参数!$BY$18,0)-配置与结果!$B$30)</f>
        <v>1</v>
      </c>
      <c r="AQ552" s="7">
        <f t="shared" si="739"/>
        <v>0</v>
      </c>
      <c r="AR552" s="7">
        <f t="shared" si="740"/>
        <v>0</v>
      </c>
      <c r="AS552" s="7">
        <f t="shared" si="741"/>
        <v>0</v>
      </c>
      <c r="AT552" s="7">
        <f>0</f>
        <v>0</v>
      </c>
      <c r="AU552" s="7">
        <f t="shared" si="742"/>
        <v>16067.666000000001</v>
      </c>
      <c r="AV552" s="1">
        <f t="shared" si="743"/>
        <v>1</v>
      </c>
      <c r="AW552" s="1">
        <f>MIN(10,M552+0+0)</f>
        <v>4</v>
      </c>
      <c r="AX552" s="1">
        <f t="shared" si="744"/>
        <v>0</v>
      </c>
      <c r="AY552" s="1">
        <f t="shared" si="787"/>
        <v>6</v>
      </c>
      <c r="AZ552" s="1">
        <f t="shared" si="745"/>
        <v>3</v>
      </c>
      <c r="BA552" s="1">
        <f>MIN(6,Q552+0)</f>
        <v>2</v>
      </c>
      <c r="BB552" s="1">
        <f t="shared" si="780"/>
        <v>5</v>
      </c>
      <c r="BC552" s="1">
        <f>MIN(3,S552+1)</f>
        <v>1</v>
      </c>
      <c r="BD552" s="1">
        <f t="shared" si="788"/>
        <v>0</v>
      </c>
      <c r="BE552" s="1">
        <f t="shared" si="781"/>
        <v>0</v>
      </c>
      <c r="BF552" s="1">
        <f>MIN(4,V552+0)</f>
        <v>1</v>
      </c>
      <c r="BG552" s="1">
        <f t="shared" si="785"/>
        <v>1</v>
      </c>
      <c r="BH552" s="1">
        <f t="shared" si="782"/>
        <v>1</v>
      </c>
      <c r="BI552" s="1">
        <f t="shared" si="786"/>
        <v>1</v>
      </c>
      <c r="BJ552" s="1">
        <f t="shared" si="756"/>
        <v>0</v>
      </c>
      <c r="BK552" s="1">
        <f t="shared" si="757"/>
        <v>0</v>
      </c>
      <c r="BL552" s="1">
        <f t="shared" si="762"/>
        <v>0</v>
      </c>
      <c r="BM552" s="1">
        <f t="shared" si="760"/>
        <v>0</v>
      </c>
      <c r="BN552" s="1">
        <f t="shared" si="783"/>
        <v>1</v>
      </c>
      <c r="BO552" s="1">
        <f t="shared" si="784"/>
        <v>1</v>
      </c>
    </row>
    <row r="553" spans="1:67" ht="30.95" customHeight="1">
      <c r="A553" s="1">
        <f>15</f>
        <v>15</v>
      </c>
      <c r="B553" s="1">
        <f>固定流程!A13</f>
        <v>8</v>
      </c>
      <c r="C553" s="1">
        <f>18</f>
        <v>18</v>
      </c>
      <c r="D553" s="1">
        <f>1</f>
        <v>1</v>
      </c>
      <c r="E553" s="1">
        <f>固定流程!C13</f>
        <v>2</v>
      </c>
      <c r="F553" s="1">
        <f>固定流程!G13</f>
        <v>3</v>
      </c>
      <c r="G553" s="1" t="str">
        <f>固定流程!H13</f>
        <v>RHI_ATTACK</v>
      </c>
      <c r="H553" s="1">
        <f>固定流程!F13</f>
        <v>1</v>
      </c>
      <c r="I553" s="1">
        <f>INDEX(配置与结果!$B$15:$B$18,F553)</f>
        <v>2597</v>
      </c>
      <c r="J553" s="1">
        <f>INDEX(配置与结果!$D$15:$D$18,F553)</f>
        <v>0.255</v>
      </c>
      <c r="K553" s="1">
        <f>INDEX(配置与结果!$E$15:$E$18,F553)</f>
        <v>1.55</v>
      </c>
      <c r="L553" s="1">
        <f>IF(AV552=1,IF(M553&gt;=10,2,1),IF(AV552=2,IF(AX552&lt;=1,0,2),0))</f>
        <v>1</v>
      </c>
      <c r="M553" s="1">
        <f>IF(AND(AV552=2,AX552&lt;=1),0,MIN(10,AW552+IF(AV552=1,3,0)))</f>
        <v>7</v>
      </c>
      <c r="N553" s="1">
        <f>IF(AND(AV552=1,M553&gt;=10),2,IF(AV552=2,MAX(0,AX552-1),0))</f>
        <v>0</v>
      </c>
      <c r="O553" s="1">
        <f t="shared" ref="O553:O581" si="789">AY552</f>
        <v>6</v>
      </c>
      <c r="P553" s="1">
        <f>MIN(方案参数!$AI$18,AZ552+方案参数!$AJ$18+方案参数!$AK$18)</f>
        <v>5</v>
      </c>
      <c r="Q553" s="1">
        <f t="shared" si="767"/>
        <v>2</v>
      </c>
      <c r="R553" s="1">
        <f t="shared" si="768"/>
        <v>5</v>
      </c>
      <c r="S553" s="1">
        <f t="shared" si="769"/>
        <v>1</v>
      </c>
      <c r="T553" s="1">
        <f t="shared" si="770"/>
        <v>0</v>
      </c>
      <c r="U553" s="1">
        <f t="shared" si="771"/>
        <v>0</v>
      </c>
      <c r="V553" s="1">
        <f t="shared" si="772"/>
        <v>1</v>
      </c>
      <c r="W553" s="1">
        <f t="shared" si="773"/>
        <v>1</v>
      </c>
      <c r="X553" s="1">
        <f t="shared" si="774"/>
        <v>1</v>
      </c>
      <c r="Y553" s="1">
        <f t="shared" si="775"/>
        <v>1</v>
      </c>
      <c r="Z553" s="1">
        <f t="shared" si="776"/>
        <v>0</v>
      </c>
      <c r="AA553" s="1">
        <f>MAX(BK552,1)</f>
        <v>1</v>
      </c>
      <c r="AB553" s="1">
        <f t="shared" si="778"/>
        <v>0</v>
      </c>
      <c r="AC553" s="1">
        <f t="shared" si="779"/>
        <v>0</v>
      </c>
      <c r="AD553" s="1">
        <f>ROUNDDOWN(I553*(1+IF(F553=3,0.05+方案参数!$Y$18+AA553*0.12,IF(F553=4,方案参数!$BZ$18*方案参数!$AS$18,0)))+IF(AND(X553=1,F553&lt;&gt;3),方案参数!$CC$18,0)+AC553*方案参数!$CB$18,0)</f>
        <v>3298</v>
      </c>
      <c r="AE553" s="1">
        <f>IF(OR(F553=1,F553=4),配置与结果!$B$24,配置与结果!$B$25)*MAX(0,1-INDEX(配置与结果!$I$15:$I$18,F553))</f>
        <v>1000</v>
      </c>
      <c r="AF553" s="1">
        <f>4</f>
        <v>4</v>
      </c>
      <c r="AG553" s="1">
        <f>MAX(配置与结果!$B$32,1+INDEX(配置与结果!$F$15:$F$18,F553)+0+Q553*方案参数!$W$18+Y553*(方案参数!$AN$18+MIN(方案参数!$AO$18,P553*0.03))+AB553*方案参数!$BZ$18*0.025-配置与结果!$B$28)</f>
        <v>0.97499999999999998</v>
      </c>
      <c r="AH553" s="1">
        <f>MAX(0,1+INDEX(配置与结果!$G$15:$G$18,F553)+W553*方案参数!$AG$18)</f>
        <v>1.45</v>
      </c>
      <c r="AI553" s="1">
        <f>IF(OR(INDEX(配置与结果!$K$15:$K$18,F553)=1,G553="RHI_BERRY"),1+配置与结果!$B$33+P553*方案参数!$AH$18,1)</f>
        <v>1</v>
      </c>
      <c r="AJ553" s="1">
        <f>MIN(1,MAX(0,J553+方案参数!$AB$18-配置与结果!$B$27))</f>
        <v>0.55499999999999994</v>
      </c>
      <c r="AK553" s="1">
        <f>MAX(1,K553+IF(F553=2,0.15+方案参数!$CH$18,0)+BN553*方案参数!$X$18+R553*方案参数!$AA$18+0-配置与结果!$B$26+Z553*(方案参数!$AP$18+MIN(方案参数!$AQ$18,P553*0.03)))</f>
        <v>1.33</v>
      </c>
      <c r="AL553" s="7">
        <f>ROUNDDOWN(MAX(AD553*配置与结果!$B$31,AD553-AE553)*AF553*AG553*AH553*AI553,0)</f>
        <v>12995</v>
      </c>
      <c r="AM553" s="7">
        <f>ROUNDDOWN(MAX(AD553*配置与结果!$B$31,AD553-AE553)*AF553*AG553*AH553*AI553*AK553,0)</f>
        <v>17283</v>
      </c>
      <c r="AN553" s="7">
        <f t="shared" si="738"/>
        <v>15374.84</v>
      </c>
      <c r="AO553" s="7">
        <f>0</f>
        <v>0</v>
      </c>
      <c r="AP553" s="7">
        <f>MAX(0,1+INDEX(配置与结果!$J$15:$J$18,F553)+IF(T553&gt;0,方案参数!$BY$18,0)-配置与结果!$B$30)</f>
        <v>1</v>
      </c>
      <c r="AQ553" s="7">
        <f t="shared" si="739"/>
        <v>0</v>
      </c>
      <c r="AR553" s="7">
        <f t="shared" si="740"/>
        <v>0</v>
      </c>
      <c r="AS553" s="7">
        <f t="shared" si="741"/>
        <v>0</v>
      </c>
      <c r="AT553" s="7">
        <f>0</f>
        <v>0</v>
      </c>
      <c r="AU553" s="7">
        <f t="shared" si="742"/>
        <v>15374.84</v>
      </c>
      <c r="AV553" s="1">
        <f t="shared" si="743"/>
        <v>1</v>
      </c>
      <c r="AW553" s="1">
        <f>MIN(10,M553+0+0)</f>
        <v>7</v>
      </c>
      <c r="AX553" s="1">
        <f t="shared" si="744"/>
        <v>0</v>
      </c>
      <c r="AY553" s="1">
        <f t="shared" si="787"/>
        <v>6</v>
      </c>
      <c r="AZ553" s="1">
        <f t="shared" si="745"/>
        <v>5</v>
      </c>
      <c r="BA553" s="1">
        <f>MIN(6,Q553+1)</f>
        <v>3</v>
      </c>
      <c r="BB553" s="1">
        <f t="shared" si="780"/>
        <v>5</v>
      </c>
      <c r="BC553" s="1">
        <f>MIN(3,S553+0)</f>
        <v>1</v>
      </c>
      <c r="BD553" s="1">
        <f t="shared" si="788"/>
        <v>0</v>
      </c>
      <c r="BE553" s="1">
        <f t="shared" si="781"/>
        <v>0</v>
      </c>
      <c r="BF553" s="1">
        <f>MIN(4,V553+0)</f>
        <v>1</v>
      </c>
      <c r="BG553" s="1">
        <f t="shared" si="785"/>
        <v>1</v>
      </c>
      <c r="BH553" s="1">
        <f t="shared" si="782"/>
        <v>1</v>
      </c>
      <c r="BI553" s="1">
        <f t="shared" si="786"/>
        <v>1</v>
      </c>
      <c r="BJ553" s="1">
        <f>MAX(Z553,1)</f>
        <v>1</v>
      </c>
      <c r="BK553" s="1">
        <f>MAX(AA553,1)</f>
        <v>1</v>
      </c>
      <c r="BL553" s="1">
        <f t="shared" si="762"/>
        <v>0</v>
      </c>
      <c r="BM553" s="1">
        <f t="shared" si="760"/>
        <v>0</v>
      </c>
      <c r="BN553" s="1">
        <f t="shared" si="783"/>
        <v>1</v>
      </c>
      <c r="BO553" s="1">
        <f t="shared" si="784"/>
        <v>1</v>
      </c>
    </row>
    <row r="554" spans="1:67" ht="30.95" customHeight="1">
      <c r="A554" s="1">
        <f>15</f>
        <v>15</v>
      </c>
      <c r="B554" s="1">
        <f>固定流程!A14</f>
        <v>9</v>
      </c>
      <c r="C554" s="1">
        <f>18</f>
        <v>18</v>
      </c>
      <c r="D554" s="1">
        <f>1</f>
        <v>1</v>
      </c>
      <c r="E554" s="1">
        <f>固定流程!C14</f>
        <v>2</v>
      </c>
      <c r="F554" s="1">
        <f>固定流程!G14</f>
        <v>1</v>
      </c>
      <c r="G554" s="1" t="str">
        <f>固定流程!H14</f>
        <v>LILYA_DIVE</v>
      </c>
      <c r="H554" s="1">
        <f>固定流程!F14</f>
        <v>3</v>
      </c>
      <c r="I554" s="1">
        <f>INDEX(配置与结果!$B$15:$B$18,F554)</f>
        <v>2296</v>
      </c>
      <c r="J554" s="1">
        <f>INDEX(配置与结果!$D$15:$D$18,F554)</f>
        <v>0.7</v>
      </c>
      <c r="K554" s="1">
        <f>INDEX(配置与结果!$E$15:$E$18,F554)</f>
        <v>2.0249999999999999</v>
      </c>
      <c r="L554" s="1">
        <f t="shared" ref="L554:N558" si="790">AV553</f>
        <v>1</v>
      </c>
      <c r="M554" s="1">
        <f t="shared" si="790"/>
        <v>7</v>
      </c>
      <c r="N554" s="1">
        <f t="shared" si="790"/>
        <v>0</v>
      </c>
      <c r="O554" s="1">
        <f t="shared" si="789"/>
        <v>6</v>
      </c>
      <c r="P554" s="1">
        <f>MIN(方案参数!$AI$18,AZ553+0+0)</f>
        <v>5</v>
      </c>
      <c r="Q554" s="1">
        <f t="shared" si="767"/>
        <v>3</v>
      </c>
      <c r="R554" s="1">
        <f t="shared" si="768"/>
        <v>5</v>
      </c>
      <c r="S554" s="1">
        <f t="shared" si="769"/>
        <v>1</v>
      </c>
      <c r="T554" s="1">
        <f t="shared" si="770"/>
        <v>0</v>
      </c>
      <c r="U554" s="1">
        <f t="shared" si="771"/>
        <v>0</v>
      </c>
      <c r="V554" s="1">
        <f t="shared" si="772"/>
        <v>1</v>
      </c>
      <c r="W554" s="1">
        <f t="shared" si="773"/>
        <v>1</v>
      </c>
      <c r="X554" s="1">
        <f t="shared" si="774"/>
        <v>1</v>
      </c>
      <c r="Y554" s="1">
        <f t="shared" si="775"/>
        <v>1</v>
      </c>
      <c r="Z554" s="1">
        <f t="shared" si="776"/>
        <v>1</v>
      </c>
      <c r="AA554" s="1">
        <f t="shared" ref="AA554:AA559" si="791">MAX(BK553,0)</f>
        <v>1</v>
      </c>
      <c r="AB554" s="1">
        <f t="shared" si="778"/>
        <v>0</v>
      </c>
      <c r="AC554" s="1">
        <f t="shared" si="779"/>
        <v>0</v>
      </c>
      <c r="AD554" s="1">
        <f>ROUNDDOWN(I554*(1+IF(F554=3,0.05+方案参数!$Y$18+AA554*0.12,IF(F554=4,方案参数!$BZ$18*方案参数!$AS$18,0)))+IF(AND(X554=1,F554&lt;&gt;3),方案参数!$CC$18,0)+AC554*方案参数!$CB$18,0)</f>
        <v>2534</v>
      </c>
      <c r="AE554" s="1">
        <f>IF(OR(F554=1,F554=4),配置与结果!$B$24,配置与结果!$B$25)*MAX(0,1-INDEX(配置与结果!$I$15:$I$18,F554))</f>
        <v>1200</v>
      </c>
      <c r="AF554" s="1">
        <f>(IF(L554=1,方案参数!$AW$18,IF(L554=2,方案参数!$AX$18,0))+方案参数!$AV$18)*H554</f>
        <v>18</v>
      </c>
      <c r="AG554" s="1">
        <f>MAX(配置与结果!$B$32,1+INDEX(配置与结果!$F$15:$F$18,F554)+0.08+方案参数!$CD$18+Q554*方案参数!$W$18+Y554*(方案参数!$AN$18+MIN(方案参数!$AO$18,P554*0.03))+AB554*方案参数!$BZ$18*0.025+IF(L554=1,方案参数!$AY$18+(H554-1)*0.1,IF(L554=2,方案参数!$AZ$18+(H554-1)*0.2,0))-配置与结果!$B$28)</f>
        <v>1.6</v>
      </c>
      <c r="AH554" s="1">
        <f>MAX(0,1+INDEX(配置与结果!$G$15:$G$18,F554)+W554*方案参数!$AG$18+IF(L554=1,方案参数!$BA$18,IF(L554=2,方案参数!$BB$18,0))+M554*方案参数!$BC$18)</f>
        <v>2.4699999999999998</v>
      </c>
      <c r="AI554" s="1">
        <f>IF(OR(INDEX(配置与结果!$K$15:$K$18,F554)=1,G554="RHI_BERRY"),1+配置与结果!$B$33+P554*方案参数!$AH$18,1)</f>
        <v>1</v>
      </c>
      <c r="AJ554" s="1">
        <f>MIN(1,MAX(0,J554+方案参数!$AB$18-配置与结果!$B$27))</f>
        <v>1</v>
      </c>
      <c r="AK554" s="1">
        <f>MAX(1,K554+IF(F554=2,0.15+方案参数!$CH$18,0)+BN554*方案参数!$X$18+R554*方案参数!$AA$18+0-配置与结果!$B$26+Z554*(方案参数!$AP$18+MIN(方案参数!$AQ$18,P554*0.03)))</f>
        <v>2.105</v>
      </c>
      <c r="AL554" s="7">
        <f>ROUNDDOWN(MAX(AD554*配置与结果!$B$31,AD554-AE554)*AF554*AG554*AH554*AI554,0)</f>
        <v>94895</v>
      </c>
      <c r="AM554" s="7">
        <f>ROUNDDOWN(MAX(AD554*配置与结果!$B$31,AD554-AE554)*AF554*AG554*AH554*AI554*AK554,0)</f>
        <v>199754</v>
      </c>
      <c r="AN554" s="7">
        <f t="shared" si="738"/>
        <v>199754</v>
      </c>
      <c r="AO554" s="7">
        <f>0</f>
        <v>0</v>
      </c>
      <c r="AP554" s="7">
        <f>MAX(0,1+INDEX(配置与结果!$J$15:$J$18,F554)+IF(T554&gt;0,方案参数!$BY$18,0)-配置与结果!$B$30)</f>
        <v>1</v>
      </c>
      <c r="AQ554" s="7">
        <f t="shared" si="739"/>
        <v>0</v>
      </c>
      <c r="AR554" s="7">
        <f t="shared" si="740"/>
        <v>0</v>
      </c>
      <c r="AS554" s="7">
        <f t="shared" si="741"/>
        <v>0</v>
      </c>
      <c r="AT554" s="7">
        <f>0</f>
        <v>0</v>
      </c>
      <c r="AU554" s="7">
        <f t="shared" si="742"/>
        <v>199754</v>
      </c>
      <c r="AV554" s="1">
        <f t="shared" si="743"/>
        <v>1</v>
      </c>
      <c r="AW554" s="1">
        <f>MIN(10,M554+0+IF(L554=1,方案参数!$BE$18,0))</f>
        <v>8</v>
      </c>
      <c r="AX554" s="1">
        <f t="shared" si="744"/>
        <v>0</v>
      </c>
      <c r="AY554" s="1">
        <f t="shared" si="787"/>
        <v>6</v>
      </c>
      <c r="AZ554" s="1">
        <f t="shared" si="745"/>
        <v>5</v>
      </c>
      <c r="BA554" s="1">
        <f>MIN(6,Q554+0)</f>
        <v>3</v>
      </c>
      <c r="BB554" s="1">
        <f t="shared" si="780"/>
        <v>5</v>
      </c>
      <c r="BC554" s="1">
        <f>MIN(3,S554+0)</f>
        <v>1</v>
      </c>
      <c r="BD554" s="1">
        <f t="shared" si="788"/>
        <v>0</v>
      </c>
      <c r="BE554" s="1">
        <f t="shared" si="781"/>
        <v>0</v>
      </c>
      <c r="BF554" s="1">
        <f>MIN(4,V554+0)</f>
        <v>1</v>
      </c>
      <c r="BG554" s="1">
        <f t="shared" si="785"/>
        <v>1</v>
      </c>
      <c r="BH554" s="1">
        <f t="shared" si="782"/>
        <v>1</v>
      </c>
      <c r="BI554" s="1">
        <f t="shared" si="786"/>
        <v>1</v>
      </c>
      <c r="BJ554" s="1">
        <f t="shared" ref="BJ554:BK559" si="792">MAX(Z554,0)</f>
        <v>1</v>
      </c>
      <c r="BK554" s="1">
        <f t="shared" si="792"/>
        <v>1</v>
      </c>
      <c r="BL554" s="1">
        <f t="shared" si="762"/>
        <v>0</v>
      </c>
      <c r="BM554" s="1">
        <f t="shared" si="760"/>
        <v>0</v>
      </c>
      <c r="BN554" s="1">
        <f t="shared" si="783"/>
        <v>1</v>
      </c>
      <c r="BO554" s="1">
        <f t="shared" si="784"/>
        <v>1</v>
      </c>
    </row>
    <row r="555" spans="1:67" ht="30.95" customHeight="1">
      <c r="A555" s="1">
        <f>15</f>
        <v>15</v>
      </c>
      <c r="B555" s="1">
        <f>固定流程!A15</f>
        <v>10</v>
      </c>
      <c r="C555" s="1">
        <f>18</f>
        <v>18</v>
      </c>
      <c r="D555" s="1">
        <f>1</f>
        <v>1</v>
      </c>
      <c r="E555" s="1">
        <f>固定流程!C15</f>
        <v>2</v>
      </c>
      <c r="F555" s="1">
        <f>固定流程!G15</f>
        <v>4</v>
      </c>
      <c r="G555" s="1" t="str">
        <f>固定流程!H15</f>
        <v>J_HARD</v>
      </c>
      <c r="H555" s="1">
        <f>固定流程!F15</f>
        <v>1</v>
      </c>
      <c r="I555" s="1">
        <f>INDEX(配置与结果!$B$15:$B$18,F555)</f>
        <v>1906</v>
      </c>
      <c r="J555" s="1">
        <f>INDEX(配置与结果!$D$15:$D$18,F555)</f>
        <v>0.36699999999999999</v>
      </c>
      <c r="K555" s="1">
        <f>INDEX(配置与结果!$E$15:$E$18,F555)</f>
        <v>1.7170000000000001</v>
      </c>
      <c r="L555" s="1">
        <f t="shared" si="790"/>
        <v>1</v>
      </c>
      <c r="M555" s="1">
        <f t="shared" si="790"/>
        <v>8</v>
      </c>
      <c r="N555" s="1">
        <f t="shared" si="790"/>
        <v>0</v>
      </c>
      <c r="O555" s="1">
        <f t="shared" si="789"/>
        <v>6</v>
      </c>
      <c r="P555" s="1">
        <f>MIN(方案参数!$AI$18,AZ554+0+0)</f>
        <v>5</v>
      </c>
      <c r="Q555" s="1">
        <f t="shared" si="767"/>
        <v>3</v>
      </c>
      <c r="R555" s="1">
        <f t="shared" si="768"/>
        <v>5</v>
      </c>
      <c r="S555" s="1">
        <f t="shared" si="769"/>
        <v>1</v>
      </c>
      <c r="T555" s="1">
        <f t="shared" si="770"/>
        <v>0</v>
      </c>
      <c r="U555" s="1">
        <f t="shared" si="771"/>
        <v>0</v>
      </c>
      <c r="V555" s="1">
        <f t="shared" si="772"/>
        <v>1</v>
      </c>
      <c r="W555" s="1">
        <f t="shared" si="773"/>
        <v>1</v>
      </c>
      <c r="X555" s="1">
        <f t="shared" si="774"/>
        <v>1</v>
      </c>
      <c r="Y555" s="1">
        <f t="shared" si="775"/>
        <v>1</v>
      </c>
      <c r="Z555" s="1">
        <f t="shared" si="776"/>
        <v>1</v>
      </c>
      <c r="AA555" s="1">
        <f t="shared" si="791"/>
        <v>1</v>
      </c>
      <c r="AB555" s="1">
        <f t="shared" si="778"/>
        <v>0</v>
      </c>
      <c r="AC555" s="1">
        <f t="shared" si="779"/>
        <v>0</v>
      </c>
      <c r="AD555" s="1">
        <f>ROUNDDOWN(I555*(1+IF(F555=3,0.05+方案参数!$Y$18+AA555*0.12,IF(F555=4,方案参数!$BZ$18*方案参数!$AS$18,0)))+IF(AND(X555=1,F555&lt;&gt;3),方案参数!$CC$18,0)+AC555*方案参数!$CB$18,0)</f>
        <v>2811</v>
      </c>
      <c r="AE555" s="1">
        <f>IF(OR(F555=1,F555=4),配置与结果!$B$24,配置与结果!$B$25)*MAX(0,1-INDEX(配置与结果!$I$15:$I$18,F555))</f>
        <v>1200</v>
      </c>
      <c r="AF555" s="1">
        <f>3.6*IF(H555=1,1,IF(H555=2,1.5,2.5))</f>
        <v>3.6</v>
      </c>
      <c r="AG555" s="1">
        <f>MAX(配置与结果!$B$32,1+INDEX(配置与结果!$F$15:$F$18,F555)+0.08+Q555*方案参数!$W$18+Y555*(方案参数!$AN$18+MIN(方案参数!$AO$18,P555*0.03))+AB555*方案参数!$BZ$18*0.025+0.1+IF(方案参数!$BZ$18&gt;=30,方案参数!$BZ$18*0.01,0)-配置与结果!$B$28)</f>
        <v>1.5150000000000001</v>
      </c>
      <c r="AH555" s="1">
        <f>MAX(0,1+INDEX(配置与结果!$G$15:$G$18,F555)+W555*方案参数!$AG$18)</f>
        <v>1.45</v>
      </c>
      <c r="AI555" s="1">
        <f>IF(OR(INDEX(配置与结果!$K$15:$K$18,F555)=1,G555="RHI_BERRY"),1+配置与结果!$B$33+P555*方案参数!$AH$18,1)</f>
        <v>1</v>
      </c>
      <c r="AJ555" s="1">
        <f>MIN(1,MAX(0,J555+方案参数!$AB$18-配置与结果!$B$27))</f>
        <v>0.66700000000000004</v>
      </c>
      <c r="AK555" s="1">
        <f>MAX(1,K555+IF(F555=2,0.15+方案参数!$CH$18,0)+BN555*方案参数!$X$18+R555*方案参数!$AA$18+0-配置与结果!$B$26+Z555*(方案参数!$AP$18+MIN(方案参数!$AQ$18,P555*0.03)))</f>
        <v>1.7969999999999999</v>
      </c>
      <c r="AL555" s="7">
        <f>ROUNDDOWN(MAX(AD555*配置与结果!$B$31,AD555-AE555)*AF555*AG555*AH555*AI555,0)</f>
        <v>12740</v>
      </c>
      <c r="AM555" s="7">
        <f>ROUNDDOWN(MAX(AD555*配置与结果!$B$31,AD555-AE555)*AF555*AG555*AH555*AI555*AK555,0)</f>
        <v>22894</v>
      </c>
      <c r="AN555" s="7">
        <f t="shared" si="738"/>
        <v>19512.718000000001</v>
      </c>
      <c r="AO555" s="7">
        <f>0</f>
        <v>0</v>
      </c>
      <c r="AP555" s="7">
        <f>MAX(0,1+INDEX(配置与结果!$J$15:$J$18,F555)+IF(T555&gt;0,方案参数!$BY$18,0)-配置与结果!$B$30)</f>
        <v>1</v>
      </c>
      <c r="AQ555" s="7">
        <f t="shared" si="739"/>
        <v>0</v>
      </c>
      <c r="AR555" s="7">
        <f t="shared" si="740"/>
        <v>0</v>
      </c>
      <c r="AS555" s="7">
        <f t="shared" si="741"/>
        <v>0</v>
      </c>
      <c r="AT555" s="7">
        <f>0</f>
        <v>0</v>
      </c>
      <c r="AU555" s="7">
        <f t="shared" si="742"/>
        <v>19512.718000000001</v>
      </c>
      <c r="AV555" s="1">
        <f t="shared" si="743"/>
        <v>1</v>
      </c>
      <c r="AW555" s="1">
        <f t="shared" ref="AW555:AW565" si="793">MIN(10,M555+0+0)</f>
        <v>8</v>
      </c>
      <c r="AX555" s="1">
        <f t="shared" si="744"/>
        <v>0</v>
      </c>
      <c r="AY555" s="1">
        <f t="shared" si="787"/>
        <v>6</v>
      </c>
      <c r="AZ555" s="1">
        <f t="shared" si="745"/>
        <v>5</v>
      </c>
      <c r="BA555" s="1">
        <f>MIN(6,Q555+0)</f>
        <v>3</v>
      </c>
      <c r="BB555" s="1">
        <f t="shared" si="780"/>
        <v>5</v>
      </c>
      <c r="BC555" s="1">
        <f>MIN(3,S555+1)</f>
        <v>2</v>
      </c>
      <c r="BD555" s="1">
        <f t="shared" si="788"/>
        <v>0</v>
      </c>
      <c r="BE555" s="1">
        <f t="shared" si="781"/>
        <v>0</v>
      </c>
      <c r="BF555" s="1">
        <f>MIN(4,V555+0)</f>
        <v>1</v>
      </c>
      <c r="BG555" s="1">
        <f t="shared" si="785"/>
        <v>1</v>
      </c>
      <c r="BH555" s="1">
        <f t="shared" si="782"/>
        <v>1</v>
      </c>
      <c r="BI555" s="1">
        <f t="shared" si="786"/>
        <v>1</v>
      </c>
      <c r="BJ555" s="1">
        <f t="shared" si="792"/>
        <v>1</v>
      </c>
      <c r="BK555" s="1">
        <f t="shared" si="792"/>
        <v>1</v>
      </c>
      <c r="BL555" s="1">
        <f t="shared" si="762"/>
        <v>0</v>
      </c>
      <c r="BM555" s="1">
        <f t="shared" si="760"/>
        <v>0</v>
      </c>
      <c r="BN555" s="1">
        <f t="shared" si="783"/>
        <v>1</v>
      </c>
      <c r="BO555" s="1">
        <f t="shared" si="784"/>
        <v>1</v>
      </c>
    </row>
    <row r="556" spans="1:67" ht="30.95" customHeight="1">
      <c r="A556" s="1">
        <f>15</f>
        <v>15</v>
      </c>
      <c r="B556" s="1">
        <f>固定流程!A16</f>
        <v>11</v>
      </c>
      <c r="C556" s="1">
        <f>18</f>
        <v>18</v>
      </c>
      <c r="D556" s="1">
        <f>1</f>
        <v>1</v>
      </c>
      <c r="E556" s="1">
        <f>固定流程!C16</f>
        <v>2</v>
      </c>
      <c r="F556" s="1">
        <f>固定流程!G16</f>
        <v>2</v>
      </c>
      <c r="G556" s="1" t="str">
        <f>固定流程!H16</f>
        <v>37_CURVE</v>
      </c>
      <c r="H556" s="1">
        <f>固定流程!F16</f>
        <v>1</v>
      </c>
      <c r="I556" s="1">
        <f>INDEX(配置与结果!$B$15:$B$18,F556)</f>
        <v>2306</v>
      </c>
      <c r="J556" s="1">
        <f>INDEX(配置与结果!$D$15:$D$18,F556)</f>
        <v>0.46</v>
      </c>
      <c r="K556" s="1">
        <f>INDEX(配置与结果!$E$15:$E$18,F556)</f>
        <v>1.9279999999999999</v>
      </c>
      <c r="L556" s="1">
        <f t="shared" si="790"/>
        <v>1</v>
      </c>
      <c r="M556" s="1">
        <f t="shared" si="790"/>
        <v>8</v>
      </c>
      <c r="N556" s="1">
        <f t="shared" si="790"/>
        <v>0</v>
      </c>
      <c r="O556" s="1">
        <f t="shared" si="789"/>
        <v>6</v>
      </c>
      <c r="P556" s="1">
        <f>MIN(方案参数!$AI$18,AZ555+0+0)</f>
        <v>5</v>
      </c>
      <c r="Q556" s="1">
        <f t="shared" si="767"/>
        <v>3</v>
      </c>
      <c r="R556" s="1">
        <f t="shared" si="768"/>
        <v>5</v>
      </c>
      <c r="S556" s="1">
        <f t="shared" si="769"/>
        <v>2</v>
      </c>
      <c r="T556" s="1">
        <f t="shared" si="770"/>
        <v>0</v>
      </c>
      <c r="U556" s="1">
        <f t="shared" si="771"/>
        <v>0</v>
      </c>
      <c r="V556" s="1">
        <f t="shared" si="772"/>
        <v>1</v>
      </c>
      <c r="W556" s="1">
        <f t="shared" si="773"/>
        <v>1</v>
      </c>
      <c r="X556" s="1">
        <f t="shared" si="774"/>
        <v>1</v>
      </c>
      <c r="Y556" s="1">
        <f t="shared" si="775"/>
        <v>1</v>
      </c>
      <c r="Z556" s="1">
        <f t="shared" si="776"/>
        <v>1</v>
      </c>
      <c r="AA556" s="1">
        <f t="shared" si="791"/>
        <v>1</v>
      </c>
      <c r="AB556" s="1">
        <f t="shared" si="778"/>
        <v>0</v>
      </c>
      <c r="AC556" s="1">
        <f t="shared" si="779"/>
        <v>0</v>
      </c>
      <c r="AD556" s="1">
        <f>ROUNDDOWN(I556*(1+IF(F556=3,0.05+方案参数!$Y$18+AA556*0.12,IF(F556=4,方案参数!$BZ$18*方案参数!$AS$18,0)))+IF(AND(X556=1,F556&lt;&gt;3),方案参数!$CC$18,0)+AC556*方案参数!$CB$18,0)</f>
        <v>2544</v>
      </c>
      <c r="AE556" s="1">
        <f>IF(OR(F556=1,F556=4),配置与结果!$B$24,配置与结果!$B$25)*MAX(0,1-INDEX(配置与结果!$I$15:$I$18,F556))</f>
        <v>1000</v>
      </c>
      <c r="AF556" s="1">
        <f>方案参数!$BT$18*IF(H556=1,1,IF(H556=2,1.5,2.5))</f>
        <v>1.4</v>
      </c>
      <c r="AG556" s="1">
        <f>MAX(配置与结果!$B$32,1+INDEX(配置与结果!$F$15:$F$18,F556)+0+Q556*方案参数!$W$18+Y556*(方案参数!$AN$18+MIN(方案参数!$AO$18,P556*0.03))+AB556*方案参数!$BZ$18*0.025-配置与结果!$B$28)</f>
        <v>0.96499999999999997</v>
      </c>
      <c r="AH556" s="1">
        <f>MAX(0,1+INDEX(配置与结果!$G$15:$G$18,F556)+W556*方案参数!$AG$18)</f>
        <v>1.45</v>
      </c>
      <c r="AI556" s="1">
        <f>IF(OR(INDEX(配置与结果!$K$15:$K$18,F556)=1,G556="RHI_BERRY"),1+配置与结果!$B$33+P556*方案参数!$AH$18,1)</f>
        <v>1</v>
      </c>
      <c r="AJ556" s="1">
        <f>MIN(1,MAX(0,J556+方案参数!$AB$18-配置与结果!$B$27))</f>
        <v>0.76</v>
      </c>
      <c r="AK556" s="1">
        <f>MAX(1,K556+IF(F556=2,0.15+方案参数!$CH$18,0)+BN556*方案参数!$X$18+R556*方案参数!$AA$18+0-配置与结果!$B$26+Z556*(方案参数!$AP$18+MIN(方案参数!$AQ$18,P556*0.03)))</f>
        <v>2.278</v>
      </c>
      <c r="AL556" s="7">
        <f>ROUNDDOWN(MAX(AD556*配置与结果!$B$31,AD556-AE556)*AF556*AG556*AH556*AI556,0)</f>
        <v>3024</v>
      </c>
      <c r="AM556" s="7">
        <f>ROUNDDOWN(MAX(AD556*配置与结果!$B$31,AD556-AE556)*AF556*AG556*AH556*AI556*AK556,0)</f>
        <v>6890</v>
      </c>
      <c r="AN556" s="7">
        <f t="shared" si="738"/>
        <v>5962.16</v>
      </c>
      <c r="AO556" s="7">
        <f>方案参数!$BU$18*IF(H556=1,1,IF(H556=2,1.5,2.5))</f>
        <v>0.8</v>
      </c>
      <c r="AP556" s="7">
        <f>MAX(0,1+INDEX(配置与结果!$J$15:$J$18,F556)+IF(T556&gt;0,方案参数!$BY$18,0)-配置与结果!$B$30)</f>
        <v>1</v>
      </c>
      <c r="AQ556" s="7">
        <f t="shared" si="739"/>
        <v>2035</v>
      </c>
      <c r="AR556" s="7">
        <f t="shared" si="740"/>
        <v>4635</v>
      </c>
      <c r="AS556" s="7">
        <f t="shared" si="741"/>
        <v>4011</v>
      </c>
      <c r="AT556" s="7">
        <f>0</f>
        <v>0</v>
      </c>
      <c r="AU556" s="7">
        <f t="shared" si="742"/>
        <v>9973.16</v>
      </c>
      <c r="AV556" s="1">
        <f t="shared" si="743"/>
        <v>1</v>
      </c>
      <c r="AW556" s="1">
        <f t="shared" si="793"/>
        <v>8</v>
      </c>
      <c r="AX556" s="1">
        <f t="shared" si="744"/>
        <v>0</v>
      </c>
      <c r="AY556" s="1">
        <f t="shared" si="787"/>
        <v>6</v>
      </c>
      <c r="AZ556" s="1">
        <f t="shared" si="745"/>
        <v>5</v>
      </c>
      <c r="BA556" s="1">
        <f>MIN(6,Q556+0)</f>
        <v>3</v>
      </c>
      <c r="BB556" s="1">
        <f t="shared" si="780"/>
        <v>5</v>
      </c>
      <c r="BC556" s="1">
        <f t="shared" ref="BC556:BC562" si="794">MIN(3,S556+0)</f>
        <v>2</v>
      </c>
      <c r="BD556" s="1">
        <f t="shared" si="788"/>
        <v>0</v>
      </c>
      <c r="BE556" s="1">
        <f t="shared" si="781"/>
        <v>0</v>
      </c>
      <c r="BF556" s="1">
        <f>MIN(4,V556+0)</f>
        <v>1</v>
      </c>
      <c r="BG556" s="1">
        <f t="shared" si="785"/>
        <v>1</v>
      </c>
      <c r="BH556" s="1">
        <f t="shared" si="782"/>
        <v>1</v>
      </c>
      <c r="BI556" s="1">
        <f t="shared" si="786"/>
        <v>1</v>
      </c>
      <c r="BJ556" s="1">
        <f t="shared" si="792"/>
        <v>1</v>
      </c>
      <c r="BK556" s="1">
        <f t="shared" si="792"/>
        <v>1</v>
      </c>
      <c r="BL556" s="1">
        <f t="shared" si="762"/>
        <v>0</v>
      </c>
      <c r="BM556" s="1">
        <f t="shared" si="760"/>
        <v>0</v>
      </c>
      <c r="BN556" s="1">
        <f t="shared" si="783"/>
        <v>1</v>
      </c>
      <c r="BO556" s="1">
        <f t="shared" si="784"/>
        <v>1</v>
      </c>
    </row>
    <row r="557" spans="1:67" ht="30.95" customHeight="1">
      <c r="A557" s="1">
        <f>15</f>
        <v>15</v>
      </c>
      <c r="B557" s="1">
        <f>固定流程!A17</f>
        <v>12</v>
      </c>
      <c r="C557" s="1">
        <f>18</f>
        <v>18</v>
      </c>
      <c r="D557" s="1">
        <f>1</f>
        <v>1</v>
      </c>
      <c r="E557" s="1">
        <f>固定流程!C17</f>
        <v>2</v>
      </c>
      <c r="F557" s="1">
        <f>固定流程!G17</f>
        <v>2</v>
      </c>
      <c r="G557" s="1" t="str">
        <f>固定流程!H17</f>
        <v>37_FOLLOW</v>
      </c>
      <c r="H557" s="1">
        <f>固定流程!F17</f>
        <v>1</v>
      </c>
      <c r="I557" s="1">
        <f>INDEX(配置与结果!$B$15:$B$18,F557)</f>
        <v>2306</v>
      </c>
      <c r="J557" s="1">
        <f>INDEX(配置与结果!$D$15:$D$18,F557)</f>
        <v>0.46</v>
      </c>
      <c r="K557" s="1">
        <f>INDEX(配置与结果!$E$15:$E$18,F557)</f>
        <v>1.9279999999999999</v>
      </c>
      <c r="L557" s="1">
        <f t="shared" si="790"/>
        <v>1</v>
      </c>
      <c r="M557" s="1">
        <f t="shared" si="790"/>
        <v>8</v>
      </c>
      <c r="N557" s="1">
        <f t="shared" si="790"/>
        <v>0</v>
      </c>
      <c r="O557" s="1">
        <f t="shared" si="789"/>
        <v>6</v>
      </c>
      <c r="P557" s="1">
        <f>MIN(方案参数!$AI$18,AZ556+0+0)</f>
        <v>5</v>
      </c>
      <c r="Q557" s="1">
        <f t="shared" si="767"/>
        <v>3</v>
      </c>
      <c r="R557" s="1">
        <f t="shared" si="768"/>
        <v>5</v>
      </c>
      <c r="S557" s="1">
        <f t="shared" si="769"/>
        <v>2</v>
      </c>
      <c r="T557" s="1">
        <f t="shared" si="770"/>
        <v>0</v>
      </c>
      <c r="U557" s="1">
        <f t="shared" si="771"/>
        <v>0</v>
      </c>
      <c r="V557" s="1">
        <f t="shared" si="772"/>
        <v>1</v>
      </c>
      <c r="W557" s="1">
        <f t="shared" si="773"/>
        <v>1</v>
      </c>
      <c r="X557" s="1">
        <f t="shared" si="774"/>
        <v>1</v>
      </c>
      <c r="Y557" s="1">
        <f t="shared" si="775"/>
        <v>1</v>
      </c>
      <c r="Z557" s="1">
        <f t="shared" si="776"/>
        <v>1</v>
      </c>
      <c r="AA557" s="1">
        <f t="shared" si="791"/>
        <v>1</v>
      </c>
      <c r="AB557" s="1">
        <f t="shared" si="778"/>
        <v>0</v>
      </c>
      <c r="AC557" s="1">
        <f t="shared" si="779"/>
        <v>0</v>
      </c>
      <c r="AD557" s="1">
        <f>ROUNDDOWN(I557*(1+IF(F557=3,0.05+方案参数!$Y$18+AA557*0.12,IF(F557=4,方案参数!$BZ$18*方案参数!$AS$18,0)))+IF(AND(X557=1,F557&lt;&gt;3),方案参数!$CC$18,0)+AC557*方案参数!$CB$18,0)</f>
        <v>2544</v>
      </c>
      <c r="AE557" s="1">
        <f>IF(OR(F557=1,F557=4),配置与结果!$B$24,配置与结果!$B$25)*MAX(0,1-INDEX(配置与结果!$I$15:$I$18,F557))</f>
        <v>1000</v>
      </c>
      <c r="AF557" s="1">
        <f>方案参数!$BV$18</f>
        <v>3</v>
      </c>
      <c r="AG557" s="1">
        <f>MAX(配置与结果!$B$32,1+INDEX(配置与结果!$F$15:$F$18,F557)+0+Q557*方案参数!$W$18+Y557*(方案参数!$AN$18+MIN(方案参数!$AO$18,P557*0.03))+AB557*方案参数!$BZ$18*0.025-配置与结果!$B$28)</f>
        <v>0.96499999999999997</v>
      </c>
      <c r="AH557" s="1">
        <f>MAX(0,1+INDEX(配置与结果!$G$15:$G$18,F557)+W557*方案参数!$AG$18)</f>
        <v>1.45</v>
      </c>
      <c r="AI557" s="1">
        <f>IF(OR(INDEX(配置与结果!$K$15:$K$18,F557)=1,G557="RHI_BERRY"),1+配置与结果!$B$33+P557*方案参数!$AH$18,1)</f>
        <v>1</v>
      </c>
      <c r="AJ557" s="1">
        <f>MIN(1,MAX(0,J557+方案参数!$AB$18-配置与结果!$B$27))</f>
        <v>0.76</v>
      </c>
      <c r="AK557" s="1">
        <f>MAX(1,K557+IF(F557=2,0.15+方案参数!$CH$18,0)+BN557*方案参数!$X$18+R557*方案参数!$AA$18+0-配置与结果!$B$26+Z557*(方案参数!$AP$18+MIN(方案参数!$AQ$18,P557*0.03)))</f>
        <v>2.278</v>
      </c>
      <c r="AL557" s="7">
        <f>ROUNDDOWN(MAX(AD557*配置与结果!$B$31,AD557-AE557)*AF557*AG557*AH557*AI557,0)</f>
        <v>6481</v>
      </c>
      <c r="AM557" s="7">
        <f>ROUNDDOWN(MAX(AD557*配置与结果!$B$31,AD557-AE557)*AF557*AG557*AH557*AI557*AK557,0)</f>
        <v>14764</v>
      </c>
      <c r="AN557" s="7">
        <f t="shared" si="738"/>
        <v>12776.08</v>
      </c>
      <c r="AO557" s="7">
        <f>方案参数!$BW$18</f>
        <v>1</v>
      </c>
      <c r="AP557" s="7">
        <f>MAX(0,1+INDEX(配置与结果!$J$15:$J$18,F557)+IF(T557&gt;0,方案参数!$BY$18,0)-配置与结果!$B$30)</f>
        <v>1</v>
      </c>
      <c r="AQ557" s="7">
        <f t="shared" si="739"/>
        <v>2544</v>
      </c>
      <c r="AR557" s="7">
        <f t="shared" si="740"/>
        <v>5795</v>
      </c>
      <c r="AS557" s="7">
        <f t="shared" si="741"/>
        <v>5014.76</v>
      </c>
      <c r="AT557" s="7">
        <f>0</f>
        <v>0</v>
      </c>
      <c r="AU557" s="7">
        <f t="shared" si="742"/>
        <v>17790.84</v>
      </c>
      <c r="AV557" s="1">
        <f t="shared" si="743"/>
        <v>1</v>
      </c>
      <c r="AW557" s="1">
        <f t="shared" si="793"/>
        <v>8</v>
      </c>
      <c r="AX557" s="1">
        <f t="shared" si="744"/>
        <v>0</v>
      </c>
      <c r="AY557" s="1">
        <f t="shared" si="787"/>
        <v>6</v>
      </c>
      <c r="AZ557" s="1">
        <f t="shared" si="745"/>
        <v>5</v>
      </c>
      <c r="BA557" s="1">
        <f>MIN(6,Q557+0)</f>
        <v>3</v>
      </c>
      <c r="BB557" s="1">
        <f t="shared" si="780"/>
        <v>5</v>
      </c>
      <c r="BC557" s="1">
        <f t="shared" si="794"/>
        <v>2</v>
      </c>
      <c r="BD557" s="1">
        <f t="shared" si="788"/>
        <v>0</v>
      </c>
      <c r="BE557" s="1">
        <f t="shared" si="781"/>
        <v>0</v>
      </c>
      <c r="BF557" s="1">
        <f>MIN(4,V557+1)</f>
        <v>2</v>
      </c>
      <c r="BG557" s="1">
        <f t="shared" si="785"/>
        <v>1</v>
      </c>
      <c r="BH557" s="1">
        <f t="shared" si="782"/>
        <v>1</v>
      </c>
      <c r="BI557" s="1">
        <f t="shared" si="786"/>
        <v>1</v>
      </c>
      <c r="BJ557" s="1">
        <f t="shared" si="792"/>
        <v>1</v>
      </c>
      <c r="BK557" s="1">
        <f t="shared" si="792"/>
        <v>1</v>
      </c>
      <c r="BL557" s="1">
        <f t="shared" si="762"/>
        <v>0</v>
      </c>
      <c r="BM557" s="1">
        <f t="shared" si="760"/>
        <v>0</v>
      </c>
      <c r="BN557" s="1">
        <f t="shared" si="783"/>
        <v>1</v>
      </c>
      <c r="BO557" s="1">
        <f t="shared" si="784"/>
        <v>1</v>
      </c>
    </row>
    <row r="558" spans="1:67" ht="30.95" customHeight="1">
      <c r="A558" s="1">
        <f>15</f>
        <v>15</v>
      </c>
      <c r="B558" s="1">
        <f>固定流程!A18</f>
        <v>13</v>
      </c>
      <c r="C558" s="1">
        <f>18</f>
        <v>18</v>
      </c>
      <c r="D558" s="1">
        <f>1</f>
        <v>1</v>
      </c>
      <c r="E558" s="1">
        <f>固定流程!C18</f>
        <v>2</v>
      </c>
      <c r="F558" s="1">
        <f>固定流程!G18</f>
        <v>3</v>
      </c>
      <c r="G558" s="1" t="str">
        <f>固定流程!H18</f>
        <v>RHI_BERRY</v>
      </c>
      <c r="H558" s="1">
        <f>固定流程!F18</f>
        <v>1</v>
      </c>
      <c r="I558" s="1">
        <f>INDEX(配置与结果!$B$15:$B$18,F558)</f>
        <v>2597</v>
      </c>
      <c r="J558" s="1">
        <f>INDEX(配置与结果!$D$15:$D$18,F558)</f>
        <v>0.255</v>
      </c>
      <c r="K558" s="1">
        <f>INDEX(配置与结果!$E$15:$E$18,F558)</f>
        <v>1.55</v>
      </c>
      <c r="L558" s="1">
        <f t="shared" si="790"/>
        <v>1</v>
      </c>
      <c r="M558" s="1">
        <f t="shared" si="790"/>
        <v>8</v>
      </c>
      <c r="N558" s="1">
        <f t="shared" si="790"/>
        <v>0</v>
      </c>
      <c r="O558" s="1">
        <f t="shared" si="789"/>
        <v>6</v>
      </c>
      <c r="P558" s="1">
        <f>MIN(方案参数!$AI$18,AZ557+0+0)</f>
        <v>5</v>
      </c>
      <c r="Q558" s="1">
        <f t="shared" si="767"/>
        <v>3</v>
      </c>
      <c r="R558" s="1">
        <f t="shared" si="768"/>
        <v>5</v>
      </c>
      <c r="S558" s="1">
        <f t="shared" si="769"/>
        <v>2</v>
      </c>
      <c r="T558" s="1">
        <f t="shared" si="770"/>
        <v>0</v>
      </c>
      <c r="U558" s="1">
        <f t="shared" si="771"/>
        <v>0</v>
      </c>
      <c r="V558" s="1">
        <f t="shared" si="772"/>
        <v>2</v>
      </c>
      <c r="W558" s="1">
        <f t="shared" si="773"/>
        <v>1</v>
      </c>
      <c r="X558" s="1">
        <f t="shared" si="774"/>
        <v>1</v>
      </c>
      <c r="Y558" s="1">
        <f t="shared" si="775"/>
        <v>1</v>
      </c>
      <c r="Z558" s="1">
        <f t="shared" si="776"/>
        <v>1</v>
      </c>
      <c r="AA558" s="1">
        <f t="shared" si="791"/>
        <v>1</v>
      </c>
      <c r="AB558" s="1">
        <f t="shared" si="778"/>
        <v>0</v>
      </c>
      <c r="AC558" s="1">
        <f t="shared" si="779"/>
        <v>0</v>
      </c>
      <c r="AD558" s="1">
        <f>ROUNDDOWN(I558*(1+IF(F558=3,0.05+方案参数!$Y$18+AA558*0.12,IF(F558=4,方案参数!$BZ$18*方案参数!$AS$18,0)))+IF(AND(X558=1,F558&lt;&gt;3),方案参数!$CC$18,0)+AC558*方案参数!$CB$18,0)</f>
        <v>3298</v>
      </c>
      <c r="AE558" s="1">
        <f>IF(OR(F558=1,F558=4),配置与结果!$B$24,配置与结果!$B$25)*MAX(0,1-INDEX(配置与结果!$I$15:$I$18,F558))</f>
        <v>1000</v>
      </c>
      <c r="AF558" s="1">
        <f>方案参数!$CF$18+P558*方案参数!$CG$18</f>
        <v>22.5</v>
      </c>
      <c r="AG558" s="1">
        <f>MAX(配置与结果!$B$32,1+INDEX(配置与结果!$F$15:$F$18,F558)+0+Q558*方案参数!$W$18+Y558*(方案参数!$AN$18+MIN(方案参数!$AO$18,P558*0.03))+AB558*方案参数!$BZ$18*0.025-配置与结果!$B$28)</f>
        <v>0.995</v>
      </c>
      <c r="AH558" s="1">
        <f>MAX(0,1+INDEX(配置与结果!$G$15:$G$18,F558)+W558*方案参数!$AG$18)</f>
        <v>1.45</v>
      </c>
      <c r="AI558" s="1">
        <f>IF(OR(INDEX(配置与结果!$K$15:$K$18,F558)=1,G558="RHI_BERRY"),1+配置与结果!$B$33+P558*方案参数!$AH$18,1)</f>
        <v>1.5</v>
      </c>
      <c r="AJ558" s="1">
        <f>MIN(1,MAX(0,J558+方案参数!$AB$18-配置与结果!$B$27))</f>
        <v>0.55499999999999994</v>
      </c>
      <c r="AK558" s="1">
        <f>MAX(1,K558+IF(F558=2,0.15+方案参数!$CH$18,0)+BN558*方案参数!$X$18+R558*方案参数!$AA$18+0-配置与结果!$B$26+Z558*(方案参数!$AP$18+MIN(方案参数!$AQ$18,P558*0.03)))</f>
        <v>1.6300000000000001</v>
      </c>
      <c r="AL558" s="7">
        <f>ROUNDDOWN(MAX(AD558*配置与结果!$B$31,AD558-AE558)*AF558*AG558*AH558*AI558,0)</f>
        <v>111896</v>
      </c>
      <c r="AM558" s="7">
        <f>ROUNDDOWN(MAX(AD558*配置与结果!$B$31,AD558-AE558)*AF558*AG558*AH558*AI558*AK558,0)</f>
        <v>182390</v>
      </c>
      <c r="AN558" s="7">
        <f t="shared" si="738"/>
        <v>151020.16999999998</v>
      </c>
      <c r="AO558" s="7">
        <f>0</f>
        <v>0</v>
      </c>
      <c r="AP558" s="7">
        <f>MAX(0,1+INDEX(配置与结果!$J$15:$J$18,F558)+IF(T558&gt;0,方案参数!$BY$18,0)-配置与结果!$B$30)</f>
        <v>1</v>
      </c>
      <c r="AQ558" s="7">
        <f t="shared" si="739"/>
        <v>0</v>
      </c>
      <c r="AR558" s="7">
        <f t="shared" si="740"/>
        <v>0</v>
      </c>
      <c r="AS558" s="7">
        <f t="shared" si="741"/>
        <v>0</v>
      </c>
      <c r="AT558" s="7">
        <f>0</f>
        <v>0</v>
      </c>
      <c r="AU558" s="7">
        <f t="shared" si="742"/>
        <v>151020.16999999998</v>
      </c>
      <c r="AV558" s="1">
        <f t="shared" si="743"/>
        <v>1</v>
      </c>
      <c r="AW558" s="1">
        <f t="shared" si="793"/>
        <v>8</v>
      </c>
      <c r="AX558" s="1">
        <f t="shared" si="744"/>
        <v>0</v>
      </c>
      <c r="AY558" s="1">
        <f t="shared" si="787"/>
        <v>6</v>
      </c>
      <c r="AZ558" s="1">
        <f t="shared" si="745"/>
        <v>5</v>
      </c>
      <c r="BA558" s="1">
        <f>MIN(6,Q558+0)</f>
        <v>3</v>
      </c>
      <c r="BB558" s="1">
        <f t="shared" si="780"/>
        <v>5</v>
      </c>
      <c r="BC558" s="1">
        <f t="shared" si="794"/>
        <v>2</v>
      </c>
      <c r="BD558" s="1">
        <f t="shared" si="788"/>
        <v>0</v>
      </c>
      <c r="BE558" s="1">
        <f t="shared" si="781"/>
        <v>0</v>
      </c>
      <c r="BF558" s="1">
        <f>MIN(4,V558+0)</f>
        <v>2</v>
      </c>
      <c r="BG558" s="1">
        <f t="shared" si="785"/>
        <v>1</v>
      </c>
      <c r="BH558" s="1">
        <f t="shared" si="782"/>
        <v>1</v>
      </c>
      <c r="BI558" s="1">
        <f t="shared" si="786"/>
        <v>1</v>
      </c>
      <c r="BJ558" s="1">
        <f t="shared" si="792"/>
        <v>1</v>
      </c>
      <c r="BK558" s="1">
        <f t="shared" si="792"/>
        <v>1</v>
      </c>
      <c r="BL558" s="1">
        <f t="shared" si="762"/>
        <v>0</v>
      </c>
      <c r="BM558" s="1">
        <f t="shared" si="760"/>
        <v>0</v>
      </c>
      <c r="BN558" s="1">
        <f t="shared" si="783"/>
        <v>1</v>
      </c>
      <c r="BO558" s="1">
        <f t="shared" si="784"/>
        <v>1</v>
      </c>
    </row>
    <row r="559" spans="1:67" ht="30.95" customHeight="1">
      <c r="A559" s="1">
        <f>15</f>
        <v>15</v>
      </c>
      <c r="B559" s="1">
        <f>固定流程!A19</f>
        <v>14</v>
      </c>
      <c r="C559" s="1">
        <f>18</f>
        <v>18</v>
      </c>
      <c r="D559" s="1">
        <f>1</f>
        <v>1</v>
      </c>
      <c r="E559" s="1">
        <f>固定流程!C19</f>
        <v>3</v>
      </c>
      <c r="F559" s="1">
        <f>固定流程!G19</f>
        <v>3</v>
      </c>
      <c r="G559" s="1" t="str">
        <f>固定流程!H19</f>
        <v>RHI_BUFF</v>
      </c>
      <c r="H559" s="1">
        <f>固定流程!F19</f>
        <v>1</v>
      </c>
      <c r="I559" s="1">
        <f>INDEX(配置与结果!$B$15:$B$18,F559)</f>
        <v>2597</v>
      </c>
      <c r="J559" s="1">
        <f>INDEX(配置与结果!$D$15:$D$18,F559)</f>
        <v>0.255</v>
      </c>
      <c r="K559" s="1">
        <f>INDEX(配置与结果!$E$15:$E$18,F559)</f>
        <v>1.55</v>
      </c>
      <c r="L559" s="1">
        <f>IF(AV558=1,IF(M559&gt;=10,2,1),IF(AV558=2,IF(AX558&lt;=1,0,2),0))</f>
        <v>2</v>
      </c>
      <c r="M559" s="1">
        <f>IF(AND(AV558=2,AX558&lt;=1),0,MIN(10,AW558+IF(AV558=1,3,0)))</f>
        <v>10</v>
      </c>
      <c r="N559" s="1">
        <f>IF(AND(AV558=1,M559&gt;=10),2,IF(AV558=2,MAX(0,AX558-1),0))</f>
        <v>2</v>
      </c>
      <c r="O559" s="1">
        <f t="shared" si="789"/>
        <v>6</v>
      </c>
      <c r="P559" s="1">
        <f>MIN(方案参数!$AI$18,AZ558+方案参数!$AJ$18+方案参数!$AK$18)</f>
        <v>5</v>
      </c>
      <c r="Q559" s="1">
        <f t="shared" si="767"/>
        <v>3</v>
      </c>
      <c r="R559" s="1">
        <f t="shared" si="768"/>
        <v>5</v>
      </c>
      <c r="S559" s="1">
        <f t="shared" si="769"/>
        <v>2</v>
      </c>
      <c r="T559" s="1">
        <f t="shared" si="770"/>
        <v>0</v>
      </c>
      <c r="U559" s="1">
        <f t="shared" si="771"/>
        <v>0</v>
      </c>
      <c r="V559" s="1">
        <f t="shared" si="772"/>
        <v>2</v>
      </c>
      <c r="W559" s="1">
        <f t="shared" si="773"/>
        <v>1</v>
      </c>
      <c r="X559" s="1">
        <f t="shared" si="774"/>
        <v>1</v>
      </c>
      <c r="Y559" s="1">
        <f t="shared" si="775"/>
        <v>1</v>
      </c>
      <c r="Z559" s="1">
        <f t="shared" si="776"/>
        <v>1</v>
      </c>
      <c r="AA559" s="1">
        <f t="shared" si="791"/>
        <v>1</v>
      </c>
      <c r="AB559" s="1">
        <f t="shared" si="778"/>
        <v>0</v>
      </c>
      <c r="AC559" s="1">
        <f t="shared" si="779"/>
        <v>0</v>
      </c>
      <c r="AD559" s="1">
        <f>ROUNDDOWN(I559*(1+IF(F559=3,0.05+方案参数!$Y$18+AA559*0.12,IF(F559=4,方案参数!$BZ$18*方案参数!$AS$18,0)))+IF(AND(X559=1,F559&lt;&gt;3),方案参数!$CC$18,0)+AC559*方案参数!$CB$18,0)</f>
        <v>3298</v>
      </c>
      <c r="AE559" s="1">
        <f>IF(OR(F559=1,F559=4),配置与结果!$B$24,配置与结果!$B$25)*MAX(0,1-INDEX(配置与结果!$I$15:$I$18,F559))</f>
        <v>1000</v>
      </c>
      <c r="AF559" s="1">
        <f>0</f>
        <v>0</v>
      </c>
      <c r="AG559" s="1">
        <f>MAX(配置与结果!$B$32,1+INDEX(配置与结果!$F$15:$F$18,F559)+0+Q559*方案参数!$W$18+Y559*(方案参数!$AN$18+MIN(方案参数!$AO$18,P559*0.03))+AB559*方案参数!$BZ$18*0.025-配置与结果!$B$28)</f>
        <v>0.995</v>
      </c>
      <c r="AH559" s="1">
        <f>MAX(0,1+INDEX(配置与结果!$G$15:$G$18,F559)+W559*方案参数!$AG$18)</f>
        <v>1.45</v>
      </c>
      <c r="AI559" s="1">
        <f>IF(OR(INDEX(配置与结果!$K$15:$K$18,F559)=1,G559="RHI_BERRY"),1+配置与结果!$B$33+P559*方案参数!$AH$18,1)</f>
        <v>1</v>
      </c>
      <c r="AJ559" s="1">
        <f>MIN(1,MAX(0,J559+方案参数!$AB$18-配置与结果!$B$27))</f>
        <v>0.55499999999999994</v>
      </c>
      <c r="AK559" s="1">
        <f>MAX(1,K559+IF(F559=2,0.15+方案参数!$CH$18,0)+BN559*方案参数!$X$18+R559*方案参数!$AA$18+0-配置与结果!$B$26+Z559*(方案参数!$AP$18+MIN(方案参数!$AQ$18,P559*0.03)))</f>
        <v>1.6300000000000001</v>
      </c>
      <c r="AL559" s="7">
        <f>ROUNDDOWN(MAX(AD559*配置与结果!$B$31,AD559-AE559)*AF559*AG559*AH559*AI559,0)</f>
        <v>0</v>
      </c>
      <c r="AM559" s="7">
        <f>ROUNDDOWN(MAX(AD559*配置与结果!$B$31,AD559-AE559)*AF559*AG559*AH559*AI559*AK559,0)</f>
        <v>0</v>
      </c>
      <c r="AN559" s="7">
        <f t="shared" si="738"/>
        <v>0</v>
      </c>
      <c r="AO559" s="7">
        <f>0</f>
        <v>0</v>
      </c>
      <c r="AP559" s="7">
        <f>MAX(0,1+INDEX(配置与结果!$J$15:$J$18,F559)+IF(T559&gt;0,方案参数!$BY$18,0)-配置与结果!$B$30)</f>
        <v>1</v>
      </c>
      <c r="AQ559" s="7">
        <f t="shared" si="739"/>
        <v>0</v>
      </c>
      <c r="AR559" s="7">
        <f t="shared" si="740"/>
        <v>0</v>
      </c>
      <c r="AS559" s="7">
        <f t="shared" si="741"/>
        <v>0</v>
      </c>
      <c r="AT559" s="7">
        <f>0</f>
        <v>0</v>
      </c>
      <c r="AU559" s="7">
        <f t="shared" si="742"/>
        <v>0</v>
      </c>
      <c r="AV559" s="1">
        <f t="shared" si="743"/>
        <v>2</v>
      </c>
      <c r="AW559" s="1">
        <f t="shared" si="793"/>
        <v>10</v>
      </c>
      <c r="AX559" s="1">
        <f t="shared" si="744"/>
        <v>2</v>
      </c>
      <c r="AY559" s="1">
        <f t="shared" si="787"/>
        <v>6</v>
      </c>
      <c r="AZ559" s="1">
        <f t="shared" si="745"/>
        <v>5</v>
      </c>
      <c r="BA559" s="1">
        <f>MIN(6,Q559+1)</f>
        <v>4</v>
      </c>
      <c r="BB559" s="1">
        <f t="shared" si="780"/>
        <v>5</v>
      </c>
      <c r="BC559" s="1">
        <f t="shared" si="794"/>
        <v>2</v>
      </c>
      <c r="BD559" s="1">
        <f t="shared" si="788"/>
        <v>0</v>
      </c>
      <c r="BE559" s="1">
        <f t="shared" si="781"/>
        <v>0</v>
      </c>
      <c r="BF559" s="1">
        <f>MIN(4,V559+0)</f>
        <v>2</v>
      </c>
      <c r="BG559" s="1">
        <f>MAX(W559,1)</f>
        <v>1</v>
      </c>
      <c r="BH559" s="1">
        <f t="shared" si="782"/>
        <v>1</v>
      </c>
      <c r="BI559" s="1">
        <f>MAX(Y559,1)</f>
        <v>1</v>
      </c>
      <c r="BJ559" s="1">
        <f t="shared" si="792"/>
        <v>1</v>
      </c>
      <c r="BK559" s="1">
        <f t="shared" si="792"/>
        <v>1</v>
      </c>
      <c r="BL559" s="1">
        <f t="shared" si="762"/>
        <v>0</v>
      </c>
      <c r="BM559" s="1">
        <f t="shared" si="760"/>
        <v>0</v>
      </c>
      <c r="BN559" s="1">
        <f t="shared" si="783"/>
        <v>1</v>
      </c>
      <c r="BO559" s="1">
        <f t="shared" si="784"/>
        <v>1</v>
      </c>
    </row>
    <row r="560" spans="1:67" ht="30.95" customHeight="1">
      <c r="A560" s="1">
        <f>15</f>
        <v>15</v>
      </c>
      <c r="B560" s="1">
        <f>固定流程!A20</f>
        <v>15</v>
      </c>
      <c r="C560" s="1">
        <f>18</f>
        <v>18</v>
      </c>
      <c r="D560" s="1">
        <f>1</f>
        <v>1</v>
      </c>
      <c r="E560" s="1">
        <f>固定流程!C20</f>
        <v>3</v>
      </c>
      <c r="F560" s="1">
        <f>固定流程!G20</f>
        <v>3</v>
      </c>
      <c r="G560" s="1" t="str">
        <f>固定流程!H20</f>
        <v>RHI_ATTACK</v>
      </c>
      <c r="H560" s="1">
        <f>固定流程!F20</f>
        <v>1</v>
      </c>
      <c r="I560" s="1">
        <f>INDEX(配置与结果!$B$15:$B$18,F560)</f>
        <v>2597</v>
      </c>
      <c r="J560" s="1">
        <f>INDEX(配置与结果!$D$15:$D$18,F560)</f>
        <v>0.255</v>
      </c>
      <c r="K560" s="1">
        <f>INDEX(配置与结果!$E$15:$E$18,F560)</f>
        <v>1.55</v>
      </c>
      <c r="L560" s="1">
        <f t="shared" ref="L560:L581" si="795">AV559</f>
        <v>2</v>
      </c>
      <c r="M560" s="1">
        <f t="shared" ref="M560:M581" si="796">AW559</f>
        <v>10</v>
      </c>
      <c r="N560" s="1">
        <f t="shared" ref="N560:N581" si="797">AX559</f>
        <v>2</v>
      </c>
      <c r="O560" s="1">
        <f t="shared" si="789"/>
        <v>6</v>
      </c>
      <c r="P560" s="1">
        <f>MIN(方案参数!$AI$18,AZ559+0+方案参数!$AK$18)</f>
        <v>5</v>
      </c>
      <c r="Q560" s="1">
        <f t="shared" si="767"/>
        <v>4</v>
      </c>
      <c r="R560" s="1">
        <f t="shared" si="768"/>
        <v>5</v>
      </c>
      <c r="S560" s="1">
        <f t="shared" si="769"/>
        <v>2</v>
      </c>
      <c r="T560" s="1">
        <f t="shared" si="770"/>
        <v>0</v>
      </c>
      <c r="U560" s="1">
        <f t="shared" si="771"/>
        <v>0</v>
      </c>
      <c r="V560" s="1">
        <f t="shared" si="772"/>
        <v>2</v>
      </c>
      <c r="W560" s="1">
        <f t="shared" si="773"/>
        <v>1</v>
      </c>
      <c r="X560" s="1">
        <f t="shared" si="774"/>
        <v>1</v>
      </c>
      <c r="Y560" s="1">
        <f t="shared" si="775"/>
        <v>1</v>
      </c>
      <c r="Z560" s="1">
        <f t="shared" si="776"/>
        <v>1</v>
      </c>
      <c r="AA560" s="1">
        <f>MAX(BK559,1)</f>
        <v>1</v>
      </c>
      <c r="AB560" s="1">
        <f t="shared" si="778"/>
        <v>0</v>
      </c>
      <c r="AC560" s="1">
        <f t="shared" si="779"/>
        <v>0</v>
      </c>
      <c r="AD560" s="1">
        <f>ROUNDDOWN(I560*(1+IF(F560=3,0.05+方案参数!$Y$18+AA560*0.12,IF(F560=4,方案参数!$BZ$18*方案参数!$AS$18,0)))+IF(AND(X560=1,F560&lt;&gt;3),方案参数!$CC$18,0)+AC560*方案参数!$CB$18,0)</f>
        <v>3298</v>
      </c>
      <c r="AE560" s="1">
        <f>IF(OR(F560=1,F560=4),配置与结果!$B$24,配置与结果!$B$25)*MAX(0,1-INDEX(配置与结果!$I$15:$I$18,F560))</f>
        <v>1000</v>
      </c>
      <c r="AF560" s="1">
        <f>4</f>
        <v>4</v>
      </c>
      <c r="AG560" s="1">
        <f>MAX(配置与结果!$B$32,1+INDEX(配置与结果!$F$15:$F$18,F560)+0+Q560*方案参数!$W$18+Y560*(方案参数!$AN$18+MIN(方案参数!$AO$18,P560*0.03))+AB560*方案参数!$BZ$18*0.025-配置与结果!$B$28)</f>
        <v>1.0150000000000001</v>
      </c>
      <c r="AH560" s="1">
        <f>MAX(0,1+INDEX(配置与结果!$G$15:$G$18,F560)+W560*方案参数!$AG$18)</f>
        <v>1.45</v>
      </c>
      <c r="AI560" s="1">
        <f>IF(OR(INDEX(配置与结果!$K$15:$K$18,F560)=1,G560="RHI_BERRY"),1+配置与结果!$B$33+P560*方案参数!$AH$18,1)</f>
        <v>1</v>
      </c>
      <c r="AJ560" s="1">
        <f>MIN(1,MAX(0,J560+方案参数!$AB$18-配置与结果!$B$27))</f>
        <v>0.55499999999999994</v>
      </c>
      <c r="AK560" s="1">
        <f>MAX(1,K560+IF(F560=2,0.15+方案参数!$CH$18,0)+BN560*方案参数!$X$18+R560*方案参数!$AA$18+0-配置与结果!$B$26+Z560*(方案参数!$AP$18+MIN(方案参数!$AQ$18,P560*0.03)))</f>
        <v>1.6300000000000001</v>
      </c>
      <c r="AL560" s="7">
        <f>ROUNDDOWN(MAX(AD560*配置与结果!$B$31,AD560-AE560)*AF560*AG560*AH560*AI560,0)</f>
        <v>13528</v>
      </c>
      <c r="AM560" s="7">
        <f>ROUNDDOWN(MAX(AD560*配置与结果!$B$31,AD560-AE560)*AF560*AG560*AH560*AI560*AK560,0)</f>
        <v>22051</v>
      </c>
      <c r="AN560" s="7">
        <f t="shared" si="738"/>
        <v>18258.264999999999</v>
      </c>
      <c r="AO560" s="7">
        <f>0</f>
        <v>0</v>
      </c>
      <c r="AP560" s="7">
        <f>MAX(0,1+INDEX(配置与结果!$J$15:$J$18,F560)+IF(T560&gt;0,方案参数!$BY$18,0)-配置与结果!$B$30)</f>
        <v>1</v>
      </c>
      <c r="AQ560" s="7">
        <f t="shared" si="739"/>
        <v>0</v>
      </c>
      <c r="AR560" s="7">
        <f t="shared" si="740"/>
        <v>0</v>
      </c>
      <c r="AS560" s="7">
        <f t="shared" si="741"/>
        <v>0</v>
      </c>
      <c r="AT560" s="7">
        <f>0</f>
        <v>0</v>
      </c>
      <c r="AU560" s="7">
        <f t="shared" si="742"/>
        <v>18258.264999999999</v>
      </c>
      <c r="AV560" s="1">
        <f t="shared" si="743"/>
        <v>2</v>
      </c>
      <c r="AW560" s="1">
        <f t="shared" si="793"/>
        <v>10</v>
      </c>
      <c r="AX560" s="1">
        <f t="shared" si="744"/>
        <v>2</v>
      </c>
      <c r="AY560" s="1">
        <f t="shared" si="787"/>
        <v>6</v>
      </c>
      <c r="AZ560" s="1">
        <f t="shared" si="745"/>
        <v>5</v>
      </c>
      <c r="BA560" s="1">
        <f>MIN(6,Q560+1)</f>
        <v>5</v>
      </c>
      <c r="BB560" s="1">
        <f t="shared" si="780"/>
        <v>5</v>
      </c>
      <c r="BC560" s="1">
        <f t="shared" si="794"/>
        <v>2</v>
      </c>
      <c r="BD560" s="1">
        <f t="shared" si="788"/>
        <v>0</v>
      </c>
      <c r="BE560" s="1">
        <f t="shared" si="781"/>
        <v>0</v>
      </c>
      <c r="BF560" s="1">
        <f>MIN(4,V560+0)</f>
        <v>2</v>
      </c>
      <c r="BG560" s="1">
        <f t="shared" ref="BG560:BG582" si="798">MAX(W560,0)</f>
        <v>1</v>
      </c>
      <c r="BH560" s="1">
        <f t="shared" si="782"/>
        <v>1</v>
      </c>
      <c r="BI560" s="1">
        <f t="shared" ref="BI560:BI582" si="799">MAX(Y560,0)</f>
        <v>1</v>
      </c>
      <c r="BJ560" s="1">
        <f>MAX(Z560,1)</f>
        <v>1</v>
      </c>
      <c r="BK560" s="1">
        <f>MAX(AA560,1)</f>
        <v>1</v>
      </c>
      <c r="BL560" s="1">
        <f t="shared" si="762"/>
        <v>0</v>
      </c>
      <c r="BM560" s="1">
        <f t="shared" si="760"/>
        <v>0</v>
      </c>
      <c r="BN560" s="1">
        <f t="shared" si="783"/>
        <v>1</v>
      </c>
      <c r="BO560" s="1">
        <f t="shared" si="784"/>
        <v>1</v>
      </c>
    </row>
    <row r="561" spans="1:67" ht="30.95" customHeight="1">
      <c r="A561" s="1">
        <f>15</f>
        <v>15</v>
      </c>
      <c r="B561" s="1">
        <f>固定流程!A21</f>
        <v>16</v>
      </c>
      <c r="C561" s="1">
        <f>18</f>
        <v>18</v>
      </c>
      <c r="D561" s="1">
        <f>1</f>
        <v>1</v>
      </c>
      <c r="E561" s="1">
        <f>固定流程!C21</f>
        <v>3</v>
      </c>
      <c r="F561" s="1">
        <f>固定流程!G21</f>
        <v>2</v>
      </c>
      <c r="G561" s="1" t="str">
        <f>固定流程!H21</f>
        <v>37_ULT</v>
      </c>
      <c r="H561" s="1">
        <f>固定流程!F21</f>
        <v>1</v>
      </c>
      <c r="I561" s="1">
        <f>INDEX(配置与结果!$B$15:$B$18,F561)</f>
        <v>2306</v>
      </c>
      <c r="J561" s="1">
        <f>INDEX(配置与结果!$D$15:$D$18,F561)</f>
        <v>0.46</v>
      </c>
      <c r="K561" s="1">
        <f>INDEX(配置与结果!$E$15:$E$18,F561)</f>
        <v>1.9279999999999999</v>
      </c>
      <c r="L561" s="1">
        <f t="shared" si="795"/>
        <v>2</v>
      </c>
      <c r="M561" s="1">
        <f t="shared" si="796"/>
        <v>10</v>
      </c>
      <c r="N561" s="1">
        <f t="shared" si="797"/>
        <v>2</v>
      </c>
      <c r="O561" s="1">
        <f t="shared" si="789"/>
        <v>6</v>
      </c>
      <c r="P561" s="1">
        <f>MIN(方案参数!$AI$18,AZ560+0+0)</f>
        <v>5</v>
      </c>
      <c r="Q561" s="1">
        <f t="shared" si="767"/>
        <v>5</v>
      </c>
      <c r="R561" s="1">
        <f t="shared" si="768"/>
        <v>5</v>
      </c>
      <c r="S561" s="1">
        <f t="shared" si="769"/>
        <v>2</v>
      </c>
      <c r="T561" s="1">
        <f>BD560+方案参数!$BX$18</f>
        <v>2</v>
      </c>
      <c r="U561" s="1">
        <f t="shared" si="771"/>
        <v>0</v>
      </c>
      <c r="V561" s="1">
        <f t="shared" si="772"/>
        <v>2</v>
      </c>
      <c r="W561" s="1">
        <f t="shared" si="773"/>
        <v>1</v>
      </c>
      <c r="X561" s="1">
        <f t="shared" si="774"/>
        <v>1</v>
      </c>
      <c r="Y561" s="1">
        <f t="shared" si="775"/>
        <v>1</v>
      </c>
      <c r="Z561" s="1">
        <f t="shared" si="776"/>
        <v>1</v>
      </c>
      <c r="AA561" s="1">
        <f t="shared" ref="AA561:AA581" si="800">MAX(BK560,0)</f>
        <v>1</v>
      </c>
      <c r="AB561" s="1">
        <f t="shared" si="778"/>
        <v>0</v>
      </c>
      <c r="AC561" s="1">
        <f>MAX(BM560,1)</f>
        <v>1</v>
      </c>
      <c r="AD561" s="1">
        <f>ROUNDDOWN(I561*(1+IF(F561=3,0.05+方案参数!$Y$18+AA561*0.12,IF(F561=4,方案参数!$BZ$18*方案参数!$AS$18,0)))+IF(AND(X561=1,F561&lt;&gt;3),方案参数!$CC$18,0)+AC561*方案参数!$CB$18,0)</f>
        <v>3044</v>
      </c>
      <c r="AE561" s="1">
        <f>IF(OR(F561=1,F561=4),配置与结果!$B$24,配置与结果!$B$25)*MAX(0,1-INDEX(配置与结果!$I$15:$I$18,F561))</f>
        <v>1000</v>
      </c>
      <c r="AF561" s="1">
        <f>0</f>
        <v>0</v>
      </c>
      <c r="AG561" s="1">
        <f>MAX(配置与结果!$B$32,1+INDEX(配置与结果!$F$15:$F$18,F561)+0+Q561*方案参数!$W$18+Y561*(方案参数!$AN$18+MIN(方案参数!$AO$18,P561*0.03))+AB561*方案参数!$BZ$18*0.025-配置与结果!$B$28)</f>
        <v>1.0049999999999999</v>
      </c>
      <c r="AH561" s="1">
        <f>MAX(0,1+INDEX(配置与结果!$G$15:$G$18,F561)+W561*方案参数!$AG$18)</f>
        <v>1.45</v>
      </c>
      <c r="AI561" s="1">
        <f>IF(OR(INDEX(配置与结果!$K$15:$K$18,F561)=1,G561="RHI_BERRY"),1+配置与结果!$B$33+P561*方案参数!$AH$18,1)</f>
        <v>1</v>
      </c>
      <c r="AJ561" s="1">
        <f>MIN(1,MAX(0,J561+方案参数!$AB$18-配置与结果!$B$27))</f>
        <v>0.76</v>
      </c>
      <c r="AK561" s="1">
        <f>MAX(1,K561+IF(F561=2,0.15+方案参数!$CH$18,0)+BN561*方案参数!$X$18+R561*方案参数!$AA$18+0-配置与结果!$B$26+Z561*(方案参数!$AP$18+MIN(方案参数!$AQ$18,P561*0.03)))</f>
        <v>2.278</v>
      </c>
      <c r="AL561" s="7">
        <f>ROUNDDOWN(MAX(AD561*配置与结果!$B$31,AD561-AE561)*AF561*AG561*AH561*AI561,0)</f>
        <v>0</v>
      </c>
      <c r="AM561" s="7">
        <f>ROUNDDOWN(MAX(AD561*配置与结果!$B$31,AD561-AE561)*AF561*AG561*AH561*AI561*AK561,0)</f>
        <v>0</v>
      </c>
      <c r="AN561" s="7">
        <f t="shared" si="738"/>
        <v>0</v>
      </c>
      <c r="AO561" s="7">
        <f>0</f>
        <v>0</v>
      </c>
      <c r="AP561" s="7">
        <f>MAX(0,1+INDEX(配置与结果!$J$15:$J$18,F561)+IF(T561&gt;0,方案参数!$BY$18,0)-配置与结果!$B$30)</f>
        <v>2</v>
      </c>
      <c r="AQ561" s="7">
        <f t="shared" si="739"/>
        <v>0</v>
      </c>
      <c r="AR561" s="7">
        <f t="shared" si="740"/>
        <v>0</v>
      </c>
      <c r="AS561" s="7">
        <f t="shared" si="741"/>
        <v>0</v>
      </c>
      <c r="AT561" s="7">
        <f>0</f>
        <v>0</v>
      </c>
      <c r="AU561" s="7">
        <f t="shared" si="742"/>
        <v>0</v>
      </c>
      <c r="AV561" s="1">
        <f t="shared" si="743"/>
        <v>2</v>
      </c>
      <c r="AW561" s="1">
        <f t="shared" si="793"/>
        <v>10</v>
      </c>
      <c r="AX561" s="1">
        <f t="shared" si="744"/>
        <v>2</v>
      </c>
      <c r="AY561" s="1">
        <f t="shared" si="787"/>
        <v>6</v>
      </c>
      <c r="AZ561" s="1">
        <f t="shared" si="745"/>
        <v>5</v>
      </c>
      <c r="BA561" s="1">
        <f t="shared" ref="BA561:BA581" si="801">MIN(6,Q561+0)</f>
        <v>5</v>
      </c>
      <c r="BB561" s="1">
        <f>MIN(30,R561+5)</f>
        <v>10</v>
      </c>
      <c r="BC561" s="1">
        <f t="shared" si="794"/>
        <v>2</v>
      </c>
      <c r="BD561" s="1">
        <f t="shared" si="788"/>
        <v>2</v>
      </c>
      <c r="BE561" s="1">
        <f t="shared" si="781"/>
        <v>0</v>
      </c>
      <c r="BF561" s="1">
        <f>MIN(4,V561+0)</f>
        <v>2</v>
      </c>
      <c r="BG561" s="1">
        <f t="shared" si="798"/>
        <v>1</v>
      </c>
      <c r="BH561" s="1">
        <f t="shared" si="782"/>
        <v>1</v>
      </c>
      <c r="BI561" s="1">
        <f t="shared" si="799"/>
        <v>1</v>
      </c>
      <c r="BJ561" s="1">
        <f t="shared" ref="BJ561:BJ588" si="802">MAX(Z561,0)</f>
        <v>1</v>
      </c>
      <c r="BK561" s="1">
        <f t="shared" ref="BK561:BK588" si="803">MAX(AA561,0)</f>
        <v>1</v>
      </c>
      <c r="BL561" s="1">
        <f t="shared" si="762"/>
        <v>0</v>
      </c>
      <c r="BM561" s="1">
        <f>MAX(AC561,1)</f>
        <v>1</v>
      </c>
      <c r="BN561" s="1">
        <f t="shared" si="783"/>
        <v>1</v>
      </c>
      <c r="BO561" s="1">
        <f t="shared" si="784"/>
        <v>1</v>
      </c>
    </row>
    <row r="562" spans="1:67" ht="30.95" customHeight="1">
      <c r="A562" s="1">
        <f>15</f>
        <v>15</v>
      </c>
      <c r="B562" s="1">
        <f>固定流程!A22</f>
        <v>17</v>
      </c>
      <c r="C562" s="1">
        <f>18</f>
        <v>18</v>
      </c>
      <c r="D562" s="1">
        <f>1</f>
        <v>1</v>
      </c>
      <c r="E562" s="1">
        <f>固定流程!C22</f>
        <v>3</v>
      </c>
      <c r="F562" s="1">
        <f>固定流程!G22</f>
        <v>2</v>
      </c>
      <c r="G562" s="1" t="str">
        <f>固定流程!H22</f>
        <v>37_FOLLOW</v>
      </c>
      <c r="H562" s="1">
        <f>固定流程!F22</f>
        <v>1</v>
      </c>
      <c r="I562" s="1">
        <f>INDEX(配置与结果!$B$15:$B$18,F562)</f>
        <v>2306</v>
      </c>
      <c r="J562" s="1">
        <f>INDEX(配置与结果!$D$15:$D$18,F562)</f>
        <v>0.46</v>
      </c>
      <c r="K562" s="1">
        <f>INDEX(配置与结果!$E$15:$E$18,F562)</f>
        <v>1.9279999999999999</v>
      </c>
      <c r="L562" s="1">
        <f t="shared" si="795"/>
        <v>2</v>
      </c>
      <c r="M562" s="1">
        <f t="shared" si="796"/>
        <v>10</v>
      </c>
      <c r="N562" s="1">
        <f t="shared" si="797"/>
        <v>2</v>
      </c>
      <c r="O562" s="1">
        <f t="shared" si="789"/>
        <v>6</v>
      </c>
      <c r="P562" s="1">
        <f>MIN(方案参数!$AI$18,AZ561+0+0)</f>
        <v>5</v>
      </c>
      <c r="Q562" s="1">
        <f t="shared" si="767"/>
        <v>5</v>
      </c>
      <c r="R562" s="1">
        <f t="shared" si="768"/>
        <v>10</v>
      </c>
      <c r="S562" s="1">
        <f t="shared" si="769"/>
        <v>2</v>
      </c>
      <c r="T562" s="1">
        <f t="shared" ref="T562:T581" si="804">BD561+0</f>
        <v>2</v>
      </c>
      <c r="U562" s="1">
        <f t="shared" si="771"/>
        <v>0</v>
      </c>
      <c r="V562" s="1">
        <f t="shared" si="772"/>
        <v>2</v>
      </c>
      <c r="W562" s="1">
        <f t="shared" si="773"/>
        <v>1</v>
      </c>
      <c r="X562" s="1">
        <f t="shared" si="774"/>
        <v>1</v>
      </c>
      <c r="Y562" s="1">
        <f t="shared" si="775"/>
        <v>1</v>
      </c>
      <c r="Z562" s="1">
        <f t="shared" si="776"/>
        <v>1</v>
      </c>
      <c r="AA562" s="1">
        <f t="shared" si="800"/>
        <v>1</v>
      </c>
      <c r="AB562" s="1">
        <f t="shared" si="778"/>
        <v>0</v>
      </c>
      <c r="AC562" s="1">
        <f t="shared" ref="AC562:AC581" si="805">MAX(BM561,0)</f>
        <v>1</v>
      </c>
      <c r="AD562" s="1">
        <f>ROUNDDOWN(I562*(1+IF(F562=3,0.05+方案参数!$Y$18+AA562*0.12,IF(F562=4,方案参数!$BZ$18*方案参数!$AS$18,0)))+IF(AND(X562=1,F562&lt;&gt;3),方案参数!$CC$18,0)+AC562*方案参数!$CB$18,0)</f>
        <v>3044</v>
      </c>
      <c r="AE562" s="1">
        <f>IF(OR(F562=1,F562=4),配置与结果!$B$24,配置与结果!$B$25)*MAX(0,1-INDEX(配置与结果!$I$15:$I$18,F562))</f>
        <v>1000</v>
      </c>
      <c r="AF562" s="1">
        <f>方案参数!$BV$18</f>
        <v>3</v>
      </c>
      <c r="AG562" s="1">
        <f>MAX(配置与结果!$B$32,1+INDEX(配置与结果!$F$15:$F$18,F562)+0+Q562*方案参数!$W$18+Y562*(方案参数!$AN$18+MIN(方案参数!$AO$18,P562*0.03))+AB562*方案参数!$BZ$18*0.025-配置与结果!$B$28)</f>
        <v>1.0049999999999999</v>
      </c>
      <c r="AH562" s="1">
        <f>MAX(0,1+INDEX(配置与结果!$G$15:$G$18,F562)+W562*方案参数!$AG$18)</f>
        <v>1.45</v>
      </c>
      <c r="AI562" s="1">
        <f>IF(OR(INDEX(配置与结果!$K$15:$K$18,F562)=1,G562="RHI_BERRY"),1+配置与结果!$B$33+P562*方案参数!$AH$18,1)</f>
        <v>1</v>
      </c>
      <c r="AJ562" s="1">
        <f>MIN(1,MAX(0,J562+方案参数!$AB$18-配置与结果!$B$27))</f>
        <v>0.76</v>
      </c>
      <c r="AK562" s="1">
        <f>MAX(1,K562+IF(F562=2,0.15+方案参数!$CH$18,0)+BN562*方案参数!$X$18+R562*方案参数!$AA$18+0-配置与结果!$B$26+Z562*(方案参数!$AP$18+MIN(方案参数!$AQ$18,P562*0.03)))</f>
        <v>2.298</v>
      </c>
      <c r="AL562" s="7">
        <f>ROUNDDOWN(MAX(AD562*配置与结果!$B$31,AD562-AE562)*AF562*AG562*AH562*AI562,0)</f>
        <v>8935</v>
      </c>
      <c r="AM562" s="7">
        <f>ROUNDDOWN(MAX(AD562*配置与结果!$B$31,AD562-AE562)*AF562*AG562*AH562*AI562*AK562,0)</f>
        <v>20534</v>
      </c>
      <c r="AN562" s="7">
        <f t="shared" si="738"/>
        <v>17750.240000000002</v>
      </c>
      <c r="AO562" s="7">
        <f>方案参数!$BW$18</f>
        <v>1</v>
      </c>
      <c r="AP562" s="7">
        <f>MAX(0,1+INDEX(配置与结果!$J$15:$J$18,F562)+IF(T562&gt;0,方案参数!$BY$18,0)-配置与结果!$B$30)</f>
        <v>2</v>
      </c>
      <c r="AQ562" s="7">
        <f t="shared" si="739"/>
        <v>6088</v>
      </c>
      <c r="AR562" s="7">
        <f t="shared" si="740"/>
        <v>13990</v>
      </c>
      <c r="AS562" s="7">
        <f t="shared" si="741"/>
        <v>12093.52</v>
      </c>
      <c r="AT562" s="7">
        <f>0</f>
        <v>0</v>
      </c>
      <c r="AU562" s="7">
        <f t="shared" si="742"/>
        <v>29843.760000000002</v>
      </c>
      <c r="AV562" s="1">
        <f t="shared" si="743"/>
        <v>2</v>
      </c>
      <c r="AW562" s="1">
        <f t="shared" si="793"/>
        <v>10</v>
      </c>
      <c r="AX562" s="1">
        <f t="shared" si="744"/>
        <v>2</v>
      </c>
      <c r="AY562" s="1">
        <f t="shared" si="787"/>
        <v>6</v>
      </c>
      <c r="AZ562" s="1">
        <f t="shared" si="745"/>
        <v>5</v>
      </c>
      <c r="BA562" s="1">
        <f t="shared" si="801"/>
        <v>5</v>
      </c>
      <c r="BB562" s="1">
        <f>MIN(30,R562+0)</f>
        <v>10</v>
      </c>
      <c r="BC562" s="1">
        <f t="shared" si="794"/>
        <v>2</v>
      </c>
      <c r="BD562" s="1">
        <f t="shared" si="788"/>
        <v>1</v>
      </c>
      <c r="BE562" s="1">
        <f t="shared" si="781"/>
        <v>0</v>
      </c>
      <c r="BF562" s="1">
        <f>MIN(4,V562+1)</f>
        <v>3</v>
      </c>
      <c r="BG562" s="1">
        <f t="shared" si="798"/>
        <v>1</v>
      </c>
      <c r="BH562" s="1">
        <f t="shared" si="782"/>
        <v>1</v>
      </c>
      <c r="BI562" s="1">
        <f t="shared" si="799"/>
        <v>1</v>
      </c>
      <c r="BJ562" s="1">
        <f t="shared" si="802"/>
        <v>1</v>
      </c>
      <c r="BK562" s="1">
        <f t="shared" si="803"/>
        <v>1</v>
      </c>
      <c r="BL562" s="1">
        <f t="shared" si="762"/>
        <v>0</v>
      </c>
      <c r="BM562" s="1">
        <f t="shared" ref="BM562:BM596" si="806">MAX(AC562,0)</f>
        <v>1</v>
      </c>
      <c r="BN562" s="1">
        <f t="shared" si="783"/>
        <v>1</v>
      </c>
      <c r="BO562" s="1">
        <f t="shared" si="784"/>
        <v>1</v>
      </c>
    </row>
    <row r="563" spans="1:67" ht="30.95" customHeight="1">
      <c r="A563" s="1">
        <f>15</f>
        <v>15</v>
      </c>
      <c r="B563" s="1">
        <f>固定流程!A23</f>
        <v>18</v>
      </c>
      <c r="C563" s="1">
        <f>18</f>
        <v>18</v>
      </c>
      <c r="D563" s="1">
        <f>1</f>
        <v>1</v>
      </c>
      <c r="E563" s="1">
        <f>固定流程!C23</f>
        <v>3</v>
      </c>
      <c r="F563" s="1">
        <f>固定流程!G23</f>
        <v>4</v>
      </c>
      <c r="G563" s="1" t="str">
        <f>固定流程!H23</f>
        <v>J_HARD</v>
      </c>
      <c r="H563" s="1">
        <f>固定流程!F23</f>
        <v>1</v>
      </c>
      <c r="I563" s="1">
        <f>INDEX(配置与结果!$B$15:$B$18,F563)</f>
        <v>1906</v>
      </c>
      <c r="J563" s="1">
        <f>INDEX(配置与结果!$D$15:$D$18,F563)</f>
        <v>0.36699999999999999</v>
      </c>
      <c r="K563" s="1">
        <f>INDEX(配置与结果!$E$15:$E$18,F563)</f>
        <v>1.7170000000000001</v>
      </c>
      <c r="L563" s="1">
        <f t="shared" si="795"/>
        <v>2</v>
      </c>
      <c r="M563" s="1">
        <f t="shared" si="796"/>
        <v>10</v>
      </c>
      <c r="N563" s="1">
        <f t="shared" si="797"/>
        <v>2</v>
      </c>
      <c r="O563" s="1">
        <f t="shared" si="789"/>
        <v>6</v>
      </c>
      <c r="P563" s="1">
        <f>MIN(方案参数!$AI$18,AZ562+0+0)</f>
        <v>5</v>
      </c>
      <c r="Q563" s="1">
        <f t="shared" si="767"/>
        <v>5</v>
      </c>
      <c r="R563" s="1">
        <f t="shared" si="768"/>
        <v>10</v>
      </c>
      <c r="S563" s="1">
        <f t="shared" si="769"/>
        <v>2</v>
      </c>
      <c r="T563" s="1">
        <f t="shared" si="804"/>
        <v>1</v>
      </c>
      <c r="U563" s="1">
        <f t="shared" si="771"/>
        <v>0</v>
      </c>
      <c r="V563" s="1">
        <f t="shared" si="772"/>
        <v>3</v>
      </c>
      <c r="W563" s="1">
        <f t="shared" si="773"/>
        <v>1</v>
      </c>
      <c r="X563" s="1">
        <f t="shared" si="774"/>
        <v>1</v>
      </c>
      <c r="Y563" s="1">
        <f t="shared" si="775"/>
        <v>1</v>
      </c>
      <c r="Z563" s="1">
        <f t="shared" si="776"/>
        <v>1</v>
      </c>
      <c r="AA563" s="1">
        <f t="shared" si="800"/>
        <v>1</v>
      </c>
      <c r="AB563" s="1">
        <f t="shared" si="778"/>
        <v>0</v>
      </c>
      <c r="AC563" s="1">
        <f t="shared" si="805"/>
        <v>1</v>
      </c>
      <c r="AD563" s="1">
        <f>ROUNDDOWN(I563*(1+IF(F563=3,0.05+方案参数!$Y$18+AA563*0.12,IF(F563=4,方案参数!$BZ$18*方案参数!$AS$18,0)))+IF(AND(X563=1,F563&lt;&gt;3),方案参数!$CC$18,0)+AC563*方案参数!$CB$18,0)</f>
        <v>3311</v>
      </c>
      <c r="AE563" s="1">
        <f>IF(OR(F563=1,F563=4),配置与结果!$B$24,配置与结果!$B$25)*MAX(0,1-INDEX(配置与结果!$I$15:$I$18,F563))</f>
        <v>1200</v>
      </c>
      <c r="AF563" s="1">
        <f>3.6*IF(H563=1,1,IF(H563=2,1.5,2.5))</f>
        <v>3.6</v>
      </c>
      <c r="AG563" s="1">
        <f>MAX(配置与结果!$B$32,1+INDEX(配置与结果!$F$15:$F$18,F563)+0.08+Q563*方案参数!$W$18+Y563*(方案参数!$AN$18+MIN(方案参数!$AO$18,P563*0.03))+AB563*方案参数!$BZ$18*0.025+0.1+IF(方案参数!$BZ$18&gt;=30,方案参数!$BZ$18*0.01,0)-配置与结果!$B$28)</f>
        <v>1.5550000000000002</v>
      </c>
      <c r="AH563" s="1">
        <f>MAX(0,1+INDEX(配置与结果!$G$15:$G$18,F563)+W563*方案参数!$AG$18)</f>
        <v>1.45</v>
      </c>
      <c r="AI563" s="1">
        <f>IF(OR(INDEX(配置与结果!$K$15:$K$18,F563)=1,G563="RHI_BERRY"),1+配置与结果!$B$33+P563*方案参数!$AH$18,1)</f>
        <v>1</v>
      </c>
      <c r="AJ563" s="1">
        <f>MIN(1,MAX(0,J563+方案参数!$AB$18-配置与结果!$B$27))</f>
        <v>0.66700000000000004</v>
      </c>
      <c r="AK563" s="1">
        <f>MAX(1,K563+IF(F563=2,0.15+方案参数!$CH$18,0)+BN563*方案参数!$X$18+R563*方案参数!$AA$18+0-配置与结果!$B$26+Z563*(方案参数!$AP$18+MIN(方案参数!$AQ$18,P563*0.03)))</f>
        <v>1.8169999999999999</v>
      </c>
      <c r="AL563" s="7">
        <f>ROUNDDOWN(MAX(AD563*配置与结果!$B$31,AD563-AE563)*AF563*AG563*AH563*AI563,0)</f>
        <v>17135</v>
      </c>
      <c r="AM563" s="7">
        <f>ROUNDDOWN(MAX(AD563*配置与结果!$B$31,AD563-AE563)*AF563*AG563*AH563*AI563*AK563,0)</f>
        <v>31134</v>
      </c>
      <c r="AN563" s="7">
        <f t="shared" si="738"/>
        <v>26472.332999999999</v>
      </c>
      <c r="AO563" s="7">
        <f>0</f>
        <v>0</v>
      </c>
      <c r="AP563" s="7">
        <f>MAX(0,1+INDEX(配置与结果!$J$15:$J$18,F563)+IF(T563&gt;0,方案参数!$BY$18,0)-配置与结果!$B$30)</f>
        <v>2</v>
      </c>
      <c r="AQ563" s="7">
        <f t="shared" si="739"/>
        <v>0</v>
      </c>
      <c r="AR563" s="7">
        <f t="shared" si="740"/>
        <v>0</v>
      </c>
      <c r="AS563" s="7">
        <f t="shared" si="741"/>
        <v>0</v>
      </c>
      <c r="AT563" s="7">
        <f>0</f>
        <v>0</v>
      </c>
      <c r="AU563" s="7">
        <f t="shared" si="742"/>
        <v>26472.332999999999</v>
      </c>
      <c r="AV563" s="1">
        <f t="shared" si="743"/>
        <v>2</v>
      </c>
      <c r="AW563" s="1">
        <f t="shared" si="793"/>
        <v>10</v>
      </c>
      <c r="AX563" s="1">
        <f t="shared" si="744"/>
        <v>2</v>
      </c>
      <c r="AY563" s="1">
        <f t="shared" si="787"/>
        <v>6</v>
      </c>
      <c r="AZ563" s="1">
        <f t="shared" si="745"/>
        <v>5</v>
      </c>
      <c r="BA563" s="1">
        <f t="shared" si="801"/>
        <v>5</v>
      </c>
      <c r="BB563" s="1">
        <f>MIN(30,R563+0)</f>
        <v>10</v>
      </c>
      <c r="BC563" s="1">
        <f>MIN(3,S563+1)</f>
        <v>3</v>
      </c>
      <c r="BD563" s="1">
        <f t="shared" si="788"/>
        <v>1</v>
      </c>
      <c r="BE563" s="1">
        <f t="shared" si="781"/>
        <v>0</v>
      </c>
      <c r="BF563" s="1">
        <f>MIN(4,V563+0)</f>
        <v>3</v>
      </c>
      <c r="BG563" s="1">
        <f t="shared" si="798"/>
        <v>1</v>
      </c>
      <c r="BH563" s="1">
        <f t="shared" si="782"/>
        <v>1</v>
      </c>
      <c r="BI563" s="1">
        <f t="shared" si="799"/>
        <v>1</v>
      </c>
      <c r="BJ563" s="1">
        <f t="shared" si="802"/>
        <v>1</v>
      </c>
      <c r="BK563" s="1">
        <f t="shared" si="803"/>
        <v>1</v>
      </c>
      <c r="BL563" s="1">
        <f t="shared" si="762"/>
        <v>0</v>
      </c>
      <c r="BM563" s="1">
        <f t="shared" si="806"/>
        <v>1</v>
      </c>
      <c r="BN563" s="1">
        <f t="shared" si="783"/>
        <v>1</v>
      </c>
      <c r="BO563" s="1">
        <f t="shared" si="784"/>
        <v>1</v>
      </c>
    </row>
    <row r="564" spans="1:67" ht="30.95" customHeight="1">
      <c r="A564" s="1">
        <f>15</f>
        <v>15</v>
      </c>
      <c r="B564" s="1">
        <f>固定流程!A24</f>
        <v>19</v>
      </c>
      <c r="C564" s="1">
        <f>18</f>
        <v>18</v>
      </c>
      <c r="D564" s="1">
        <f>1</f>
        <v>1</v>
      </c>
      <c r="E564" s="1">
        <f>固定流程!C24</f>
        <v>3</v>
      </c>
      <c r="F564" s="1">
        <f>固定流程!G24</f>
        <v>4</v>
      </c>
      <c r="G564" s="1" t="str">
        <f>固定流程!H24</f>
        <v>J_ULT</v>
      </c>
      <c r="H564" s="1">
        <f>固定流程!F24</f>
        <v>1</v>
      </c>
      <c r="I564" s="1">
        <f>INDEX(配置与结果!$B$15:$B$18,F564)</f>
        <v>1906</v>
      </c>
      <c r="J564" s="1">
        <f>INDEX(配置与结果!$D$15:$D$18,F564)</f>
        <v>0.36699999999999999</v>
      </c>
      <c r="K564" s="1">
        <f>INDEX(配置与结果!$E$15:$E$18,F564)</f>
        <v>1.7170000000000001</v>
      </c>
      <c r="L564" s="1">
        <f t="shared" si="795"/>
        <v>2</v>
      </c>
      <c r="M564" s="1">
        <f t="shared" si="796"/>
        <v>10</v>
      </c>
      <c r="N564" s="1">
        <f t="shared" si="797"/>
        <v>2</v>
      </c>
      <c r="O564" s="1">
        <f t="shared" si="789"/>
        <v>6</v>
      </c>
      <c r="P564" s="1">
        <f>MIN(方案参数!$AI$18,AZ563+0+0)</f>
        <v>5</v>
      </c>
      <c r="Q564" s="1">
        <f t="shared" si="767"/>
        <v>5</v>
      </c>
      <c r="R564" s="1">
        <f t="shared" si="768"/>
        <v>10</v>
      </c>
      <c r="S564" s="1">
        <f t="shared" si="769"/>
        <v>3</v>
      </c>
      <c r="T564" s="1">
        <f t="shared" si="804"/>
        <v>1</v>
      </c>
      <c r="U564" s="1">
        <f t="shared" si="771"/>
        <v>0</v>
      </c>
      <c r="V564" s="1">
        <f t="shared" si="772"/>
        <v>3</v>
      </c>
      <c r="W564" s="1">
        <f t="shared" si="773"/>
        <v>1</v>
      </c>
      <c r="X564" s="1">
        <f t="shared" si="774"/>
        <v>1</v>
      </c>
      <c r="Y564" s="1">
        <f t="shared" si="775"/>
        <v>1</v>
      </c>
      <c r="Z564" s="1">
        <f t="shared" si="776"/>
        <v>1</v>
      </c>
      <c r="AA564" s="1">
        <f t="shared" si="800"/>
        <v>1</v>
      </c>
      <c r="AB564" s="1">
        <f t="shared" si="778"/>
        <v>0</v>
      </c>
      <c r="AC564" s="1">
        <f t="shared" si="805"/>
        <v>1</v>
      </c>
      <c r="AD564" s="1">
        <f>ROUNDDOWN(I564*(1+IF(F564=3,0.05+方案参数!$Y$18+AA564*0.12,IF(F564=4,方案参数!$BZ$18*方案参数!$AS$18,0)))+IF(AND(X564=1,F564&lt;&gt;3),方案参数!$CC$18,0)+AC564*方案参数!$CB$18,0)</f>
        <v>3311</v>
      </c>
      <c r="AE564" s="1">
        <f>IF(OR(F564=1,F564=4),配置与结果!$B$24,配置与结果!$B$25)*MAX(0,1-INDEX(配置与结果!$I$15:$I$18,F564))</f>
        <v>1200</v>
      </c>
      <c r="AF564" s="1">
        <f>方案参数!$AT$18+MAX(0,配置与结果!$H$26+方案参数!$BZ$18-30)*方案参数!$AU$18*配置与结果!$H$27</f>
        <v>42</v>
      </c>
      <c r="AG564" s="1">
        <f>MAX(配置与结果!$B$32,1+INDEX(配置与结果!$F$15:$F$18,F564)+0.08+Q564*方案参数!$W$18+Y564*(方案参数!$AN$18+MIN(方案参数!$AO$18,P564*0.03))+AB564*方案参数!$BZ$18*0.025-配置与结果!$B$28)</f>
        <v>1.105</v>
      </c>
      <c r="AH564" s="1">
        <f>MAX(0,1+INDEX(配置与结果!$H$15:$H$18,F564)+W564*方案参数!$AG$18+S564*方案参数!$Z$18)</f>
        <v>1.5699999999999998</v>
      </c>
      <c r="AI564" s="1">
        <f>IF(OR(INDEX(配置与结果!$K$15:$K$18,F564)=1,G564="RHI_BERRY"),1+配置与结果!$B$33+P564*方案参数!$AH$18,1)</f>
        <v>1</v>
      </c>
      <c r="AJ564" s="1">
        <f>MIN(1,MAX(0,J564+方案参数!$AB$18-配置与结果!$B$27))</f>
        <v>0.66700000000000004</v>
      </c>
      <c r="AK564" s="1">
        <f>MAX(1,K564+IF(F564=2,0.15+方案参数!$CH$18,0)+BN564*方案参数!$X$18+R564*方案参数!$AA$18+0-配置与结果!$B$26+Z564*(方案参数!$AP$18+MIN(方案参数!$AQ$18,P564*0.03)))</f>
        <v>1.8169999999999999</v>
      </c>
      <c r="AL564" s="7">
        <f>ROUNDDOWN(MAX(AD564*配置与结果!$B$31,AD564-AE564)*AF564*AG564*AH564*AI564,0)</f>
        <v>153815</v>
      </c>
      <c r="AM564" s="7">
        <f>ROUNDDOWN(MAX(AD564*配置与结果!$B$31,AD564-AE564)*AF564*AG564*AH564*AI564*AK564,0)</f>
        <v>279482</v>
      </c>
      <c r="AN564" s="7">
        <f t="shared" si="738"/>
        <v>237634.889</v>
      </c>
      <c r="AO564" s="7">
        <f>0</f>
        <v>0</v>
      </c>
      <c r="AP564" s="7">
        <f>MAX(0,1+INDEX(配置与结果!$J$15:$J$18,F564)+IF(T564&gt;0,方案参数!$BY$18,0)-配置与结果!$B$30)</f>
        <v>2</v>
      </c>
      <c r="AQ564" s="7">
        <f t="shared" si="739"/>
        <v>0</v>
      </c>
      <c r="AR564" s="7">
        <f t="shared" si="740"/>
        <v>0</v>
      </c>
      <c r="AS564" s="7">
        <f t="shared" si="741"/>
        <v>0</v>
      </c>
      <c r="AT564" s="7">
        <f>0</f>
        <v>0</v>
      </c>
      <c r="AU564" s="7">
        <f t="shared" si="742"/>
        <v>237634.889</v>
      </c>
      <c r="AV564" s="1">
        <f t="shared" si="743"/>
        <v>2</v>
      </c>
      <c r="AW564" s="1">
        <f t="shared" si="793"/>
        <v>10</v>
      </c>
      <c r="AX564" s="1">
        <f t="shared" si="744"/>
        <v>2</v>
      </c>
      <c r="AY564" s="1">
        <f t="shared" si="787"/>
        <v>6</v>
      </c>
      <c r="AZ564" s="1">
        <f t="shared" si="745"/>
        <v>5</v>
      </c>
      <c r="BA564" s="1">
        <f t="shared" si="801"/>
        <v>5</v>
      </c>
      <c r="BB564" s="1">
        <f>MIN(30,R564+5)</f>
        <v>15</v>
      </c>
      <c r="BC564" s="1">
        <f t="shared" ref="BC564:BC587" si="807">MIN(3,S564+0)</f>
        <v>3</v>
      </c>
      <c r="BD564" s="1">
        <f t="shared" si="788"/>
        <v>1</v>
      </c>
      <c r="BE564" s="1">
        <f t="shared" si="781"/>
        <v>0</v>
      </c>
      <c r="BF564" s="1">
        <f>MIN(4,V564+0)</f>
        <v>3</v>
      </c>
      <c r="BG564" s="1">
        <f t="shared" si="798"/>
        <v>1</v>
      </c>
      <c r="BH564" s="1">
        <f t="shared" si="782"/>
        <v>1</v>
      </c>
      <c r="BI564" s="1">
        <f t="shared" si="799"/>
        <v>1</v>
      </c>
      <c r="BJ564" s="1">
        <f t="shared" si="802"/>
        <v>1</v>
      </c>
      <c r="BK564" s="1">
        <f t="shared" si="803"/>
        <v>1</v>
      </c>
      <c r="BL564" s="1">
        <f>MAX(AB564,1)</f>
        <v>1</v>
      </c>
      <c r="BM564" s="1">
        <f t="shared" si="806"/>
        <v>1</v>
      </c>
      <c r="BN564" s="1">
        <f t="shared" si="783"/>
        <v>1</v>
      </c>
      <c r="BO564" s="1">
        <f t="shared" si="784"/>
        <v>1</v>
      </c>
    </row>
    <row r="565" spans="1:67" ht="30.95" customHeight="1">
      <c r="A565" s="1">
        <f>15</f>
        <v>15</v>
      </c>
      <c r="B565" s="1">
        <f>固定流程!A25</f>
        <v>20</v>
      </c>
      <c r="C565" s="1">
        <f>18</f>
        <v>18</v>
      </c>
      <c r="D565" s="1">
        <f>1</f>
        <v>1</v>
      </c>
      <c r="E565" s="1">
        <f>固定流程!C25</f>
        <v>3</v>
      </c>
      <c r="F565" s="1">
        <f>固定流程!G25</f>
        <v>1</v>
      </c>
      <c r="G565" s="1" t="str">
        <f>固定流程!H25</f>
        <v>LILYA_ULT</v>
      </c>
      <c r="H565" s="1">
        <f>固定流程!F25</f>
        <v>1</v>
      </c>
      <c r="I565" s="1">
        <f>INDEX(配置与结果!$B$15:$B$18,F565)</f>
        <v>2296</v>
      </c>
      <c r="J565" s="1">
        <f>INDEX(配置与结果!$D$15:$D$18,F565)</f>
        <v>0.7</v>
      </c>
      <c r="K565" s="1">
        <f>INDEX(配置与结果!$E$15:$E$18,F565)</f>
        <v>2.0249999999999999</v>
      </c>
      <c r="L565" s="1">
        <f t="shared" si="795"/>
        <v>2</v>
      </c>
      <c r="M565" s="1">
        <f t="shared" si="796"/>
        <v>10</v>
      </c>
      <c r="N565" s="1">
        <f t="shared" si="797"/>
        <v>2</v>
      </c>
      <c r="O565" s="1">
        <f t="shared" si="789"/>
        <v>6</v>
      </c>
      <c r="P565" s="1">
        <f>MIN(方案参数!$AI$18,AZ564+0+0)</f>
        <v>5</v>
      </c>
      <c r="Q565" s="1">
        <f t="shared" si="767"/>
        <v>5</v>
      </c>
      <c r="R565" s="1">
        <f t="shared" si="768"/>
        <v>15</v>
      </c>
      <c r="S565" s="1">
        <f t="shared" si="769"/>
        <v>3</v>
      </c>
      <c r="T565" s="1">
        <f t="shared" si="804"/>
        <v>1</v>
      </c>
      <c r="U565" s="1">
        <f t="shared" si="771"/>
        <v>0</v>
      </c>
      <c r="V565" s="1">
        <f t="shared" si="772"/>
        <v>3</v>
      </c>
      <c r="W565" s="1">
        <f t="shared" si="773"/>
        <v>1</v>
      </c>
      <c r="X565" s="1">
        <f t="shared" si="774"/>
        <v>1</v>
      </c>
      <c r="Y565" s="1">
        <f t="shared" si="775"/>
        <v>1</v>
      </c>
      <c r="Z565" s="1">
        <f t="shared" si="776"/>
        <v>1</v>
      </c>
      <c r="AA565" s="1">
        <f t="shared" si="800"/>
        <v>1</v>
      </c>
      <c r="AB565" s="1">
        <f t="shared" si="778"/>
        <v>1</v>
      </c>
      <c r="AC565" s="1">
        <f t="shared" si="805"/>
        <v>1</v>
      </c>
      <c r="AD565" s="1">
        <f>ROUNDDOWN(I565*(1+IF(F565=3,0.05+方案参数!$Y$18+AA565*0.12,IF(F565=4,方案参数!$BZ$18*方案参数!$AS$18,0)))+IF(AND(X565=1,F565&lt;&gt;3),方案参数!$CC$18,0)+AC565*方案参数!$CB$18,0)</f>
        <v>3034</v>
      </c>
      <c r="AE565" s="1">
        <f>IF(OR(F565=1,F565=4),配置与结果!$B$24,配置与结果!$B$25)*MAX(0,1-INDEX(配置与结果!$I$15:$I$18,F565)+IF(O565&gt;=6,方案参数!$BK$18,0))</f>
        <v>1440</v>
      </c>
      <c r="AF565" s="1">
        <f>方案参数!$BG$18+IF(O565&gt;=6,方案参数!$BH$18,0)</f>
        <v>36</v>
      </c>
      <c r="AG565" s="1">
        <f>MAX(配置与结果!$B$32,1+INDEX(配置与结果!$F$15:$F$18,F565)+0.08+方案参数!$CD$18+Q565*方案参数!$W$18+Y565*(方案参数!$AN$18+MIN(方案参数!$AO$18,P565*0.03))+AB565*方案参数!$BZ$18*0.025-配置与结果!$B$28)</f>
        <v>2.2150000000000003</v>
      </c>
      <c r="AH565" s="1">
        <f>MAX(0,1+INDEX(配置与结果!$H$15:$H$18,F565)+W565*方案参数!$AG$18+O565*方案参数!$BF$18+IF(O565&gt;=6,方案参数!$BI$18,0))</f>
        <v>2.6</v>
      </c>
      <c r="AI565" s="1">
        <f>IF(OR(INDEX(配置与结果!$K$15:$K$18,F565)=1,G565="RHI_BERRY"),1+配置与结果!$B$33+P565*方案参数!$AH$18,1)</f>
        <v>1</v>
      </c>
      <c r="AJ565" s="1">
        <f>MIN(1,MAX(0,J565+方案参数!$AB$18-配置与结果!$B$27))</f>
        <v>1</v>
      </c>
      <c r="AK565" s="1">
        <f>MAX(1,K565+IF(F565=2,0.15+方案参数!$CH$18,0)+BN565*方案参数!$X$18+R565*方案参数!$AA$18+IF(O565&gt;=6,方案参数!$BJ$18,0)-配置与结果!$B$26+Z565*(方案参数!$AP$18+MIN(方案参数!$AQ$18,P565*0.03)))</f>
        <v>3.145</v>
      </c>
      <c r="AL565" s="7">
        <f>ROUNDDOWN(MAX(AD565*配置与结果!$B$31,AD565-AE565)*AF565*AG565*AH565*AI565,0)</f>
        <v>330474</v>
      </c>
      <c r="AM565" s="7">
        <f>ROUNDDOWN(MAX(AD565*配置与结果!$B$31,AD565-AE565)*AF565*AG565*AH565*AI565*AK565,0)</f>
        <v>1039342</v>
      </c>
      <c r="AN565" s="7">
        <f t="shared" si="738"/>
        <v>1039342</v>
      </c>
      <c r="AO565" s="7">
        <f>0</f>
        <v>0</v>
      </c>
      <c r="AP565" s="7">
        <f>MAX(0,1+INDEX(配置与结果!$J$15:$J$18,F565)+IF(T565&gt;0,方案参数!$BY$18,0)-配置与结果!$B$30)</f>
        <v>2</v>
      </c>
      <c r="AQ565" s="7">
        <f t="shared" si="739"/>
        <v>0</v>
      </c>
      <c r="AR565" s="7">
        <f t="shared" si="740"/>
        <v>0</v>
      </c>
      <c r="AS565" s="7">
        <f t="shared" si="741"/>
        <v>0</v>
      </c>
      <c r="AT565" s="7">
        <f>0</f>
        <v>0</v>
      </c>
      <c r="AU565" s="7">
        <f t="shared" si="742"/>
        <v>1039342</v>
      </c>
      <c r="AV565" s="1">
        <f t="shared" si="743"/>
        <v>2</v>
      </c>
      <c r="AW565" s="1">
        <f t="shared" si="793"/>
        <v>10</v>
      </c>
      <c r="AX565" s="1">
        <f t="shared" si="744"/>
        <v>2</v>
      </c>
      <c r="AY565" s="1">
        <f>MIN(20,MAX(0,O565+0+0-IF(O565&gt;=6,6,0)))</f>
        <v>0</v>
      </c>
      <c r="AZ565" s="1">
        <f t="shared" si="745"/>
        <v>5</v>
      </c>
      <c r="BA565" s="1">
        <f t="shared" si="801"/>
        <v>5</v>
      </c>
      <c r="BB565" s="1">
        <f>MIN(30,R565+5)</f>
        <v>20</v>
      </c>
      <c r="BC565" s="1">
        <f t="shared" si="807"/>
        <v>3</v>
      </c>
      <c r="BD565" s="1">
        <f t="shared" si="788"/>
        <v>1</v>
      </c>
      <c r="BE565" s="1">
        <f t="shared" si="781"/>
        <v>0</v>
      </c>
      <c r="BF565" s="1">
        <f>MIN(4,V565+0)</f>
        <v>3</v>
      </c>
      <c r="BG565" s="1">
        <f t="shared" si="798"/>
        <v>1</v>
      </c>
      <c r="BH565" s="1">
        <f t="shared" si="782"/>
        <v>1</v>
      </c>
      <c r="BI565" s="1">
        <f t="shared" si="799"/>
        <v>1</v>
      </c>
      <c r="BJ565" s="1">
        <f t="shared" si="802"/>
        <v>1</v>
      </c>
      <c r="BK565" s="1">
        <f t="shared" si="803"/>
        <v>1</v>
      </c>
      <c r="BL565" s="1">
        <f t="shared" ref="BL565:BL599" si="808">MAX(AB565,0)</f>
        <v>1</v>
      </c>
      <c r="BM565" s="1">
        <f t="shared" si="806"/>
        <v>1</v>
      </c>
      <c r="BN565" s="1">
        <f t="shared" si="783"/>
        <v>1</v>
      </c>
      <c r="BO565" s="1">
        <f t="shared" si="784"/>
        <v>1</v>
      </c>
    </row>
    <row r="566" spans="1:67" ht="30.95" customHeight="1">
      <c r="A566" s="1">
        <f>15</f>
        <v>15</v>
      </c>
      <c r="B566" s="1">
        <f>固定流程!A26</f>
        <v>21</v>
      </c>
      <c r="C566" s="1">
        <f>18</f>
        <v>18</v>
      </c>
      <c r="D566" s="1">
        <f>1</f>
        <v>1</v>
      </c>
      <c r="E566" s="1">
        <f>固定流程!C26</f>
        <v>3</v>
      </c>
      <c r="F566" s="1">
        <f>固定流程!G26</f>
        <v>1</v>
      </c>
      <c r="G566" s="1" t="str">
        <f>固定流程!H26</f>
        <v>LILYA_DIVE</v>
      </c>
      <c r="H566" s="1">
        <f>固定流程!F26</f>
        <v>3</v>
      </c>
      <c r="I566" s="1">
        <f>INDEX(配置与结果!$B$15:$B$18,F566)</f>
        <v>2296</v>
      </c>
      <c r="J566" s="1">
        <f>INDEX(配置与结果!$D$15:$D$18,F566)</f>
        <v>0.7</v>
      </c>
      <c r="K566" s="1">
        <f>INDEX(配置与结果!$E$15:$E$18,F566)</f>
        <v>2.0249999999999999</v>
      </c>
      <c r="L566" s="1">
        <f t="shared" si="795"/>
        <v>2</v>
      </c>
      <c r="M566" s="1">
        <f t="shared" si="796"/>
        <v>10</v>
      </c>
      <c r="N566" s="1">
        <f t="shared" si="797"/>
        <v>2</v>
      </c>
      <c r="O566" s="1">
        <f t="shared" si="789"/>
        <v>0</v>
      </c>
      <c r="P566" s="1">
        <f>MIN(方案参数!$AI$18,AZ565+0+0)</f>
        <v>5</v>
      </c>
      <c r="Q566" s="1">
        <f t="shared" si="767"/>
        <v>5</v>
      </c>
      <c r="R566" s="1">
        <f t="shared" si="768"/>
        <v>20</v>
      </c>
      <c r="S566" s="1">
        <f t="shared" si="769"/>
        <v>3</v>
      </c>
      <c r="T566" s="1">
        <f t="shared" si="804"/>
        <v>1</v>
      </c>
      <c r="U566" s="1">
        <f t="shared" si="771"/>
        <v>0</v>
      </c>
      <c r="V566" s="1">
        <f t="shared" si="772"/>
        <v>3</v>
      </c>
      <c r="W566" s="1">
        <f t="shared" si="773"/>
        <v>1</v>
      </c>
      <c r="X566" s="1">
        <f t="shared" si="774"/>
        <v>1</v>
      </c>
      <c r="Y566" s="1">
        <f t="shared" si="775"/>
        <v>1</v>
      </c>
      <c r="Z566" s="1">
        <f t="shared" si="776"/>
        <v>1</v>
      </c>
      <c r="AA566" s="1">
        <f t="shared" si="800"/>
        <v>1</v>
      </c>
      <c r="AB566" s="1">
        <f t="shared" si="778"/>
        <v>1</v>
      </c>
      <c r="AC566" s="1">
        <f t="shared" si="805"/>
        <v>1</v>
      </c>
      <c r="AD566" s="1">
        <f>ROUNDDOWN(I566*(1+IF(F566=3,0.05+方案参数!$Y$18+AA566*0.12,IF(F566=4,方案参数!$BZ$18*方案参数!$AS$18,0)))+IF(AND(X566=1,F566&lt;&gt;3),方案参数!$CC$18,0)+AC566*方案参数!$CB$18,0)</f>
        <v>3034</v>
      </c>
      <c r="AE566" s="1">
        <f>IF(OR(F566=1,F566=4),配置与结果!$B$24,配置与结果!$B$25)*MAX(0,1-INDEX(配置与结果!$I$15:$I$18,F566))</f>
        <v>1200</v>
      </c>
      <c r="AF566" s="1">
        <f>(IF(L566=1,方案参数!$AW$18,IF(L566=2,方案参数!$AX$18,0))+方案参数!$AV$18)*H566</f>
        <v>30</v>
      </c>
      <c r="AG566" s="1">
        <f>MAX(配置与结果!$B$32,1+INDEX(配置与结果!$F$15:$F$18,F566)+0.08+方案参数!$CD$18+Q566*方案参数!$W$18+Y566*(方案参数!$AN$18+MIN(方案参数!$AO$18,P566*0.03))+AB566*方案参数!$BZ$18*0.025+IF(L566=1,方案参数!$AY$18+(H566-1)*0.1,IF(L566=2,方案参数!$AZ$18+(H566-1)*0.2,0))-配置与结果!$B$28)</f>
        <v>2.8150000000000004</v>
      </c>
      <c r="AH566" s="1">
        <f>MAX(0,1+INDEX(配置与结果!$G$15:$G$18,F566)+W566*方案参数!$AG$18+IF(L566=1,方案参数!$BA$18,IF(L566=2,方案参数!$BB$18,0))+M566*方案参数!$BC$18)</f>
        <v>3.25</v>
      </c>
      <c r="AI566" s="1">
        <f>IF(OR(INDEX(配置与结果!$K$15:$K$18,F566)=1,G566="RHI_BERRY"),1+配置与结果!$B$33+P566*方案参数!$AH$18,1)</f>
        <v>1</v>
      </c>
      <c r="AJ566" s="1">
        <f>MIN(1,MAX(0,J566+方案参数!$AB$18-配置与结果!$B$27))</f>
        <v>1</v>
      </c>
      <c r="AK566" s="1">
        <f>MAX(1,K566+IF(F566=2,0.15+方案参数!$CH$18,0)+BN566*方案参数!$X$18+R566*方案参数!$AA$18+0-配置与结果!$B$26+Z566*(方案参数!$AP$18+MIN(方案参数!$AQ$18,P566*0.03)))</f>
        <v>2.165</v>
      </c>
      <c r="AL566" s="7">
        <f>ROUNDDOWN(MAX(AD566*配置与结果!$B$31,AD566-AE566)*AF566*AG566*AH566*AI566,0)</f>
        <v>503364</v>
      </c>
      <c r="AM566" s="7">
        <f>ROUNDDOWN(MAX(AD566*配置与结果!$B$31,AD566-AE566)*AF566*AG566*AH566*AI566*AK566,0)</f>
        <v>1089783</v>
      </c>
      <c r="AN566" s="7">
        <f t="shared" si="738"/>
        <v>1089783</v>
      </c>
      <c r="AO566" s="7">
        <f>0</f>
        <v>0</v>
      </c>
      <c r="AP566" s="7">
        <f>MAX(0,1+INDEX(配置与结果!$J$15:$J$18,F566)+IF(T566&gt;0,方案参数!$BY$18,0)-配置与结果!$B$30)</f>
        <v>2</v>
      </c>
      <c r="AQ566" s="7">
        <f t="shared" si="739"/>
        <v>0</v>
      </c>
      <c r="AR566" s="7">
        <f t="shared" si="740"/>
        <v>0</v>
      </c>
      <c r="AS566" s="7">
        <f t="shared" si="741"/>
        <v>0</v>
      </c>
      <c r="AT566" s="7">
        <f>0</f>
        <v>0</v>
      </c>
      <c r="AU566" s="7">
        <f t="shared" si="742"/>
        <v>1089783</v>
      </c>
      <c r="AV566" s="1">
        <f t="shared" si="743"/>
        <v>2</v>
      </c>
      <c r="AW566" s="1">
        <f>MIN(10,M566+0+IF(L566=1,方案参数!$BE$18,0))</f>
        <v>10</v>
      </c>
      <c r="AX566" s="1">
        <f t="shared" si="744"/>
        <v>2</v>
      </c>
      <c r="AY566" s="1">
        <f>MIN(20,MAX(0,O566+0+0-0))</f>
        <v>0</v>
      </c>
      <c r="AZ566" s="1">
        <f t="shared" si="745"/>
        <v>5</v>
      </c>
      <c r="BA566" s="1">
        <f t="shared" si="801"/>
        <v>5</v>
      </c>
      <c r="BB566" s="1">
        <f t="shared" ref="BB566:BB581" si="809">MIN(30,R566+0)</f>
        <v>20</v>
      </c>
      <c r="BC566" s="1">
        <f t="shared" si="807"/>
        <v>3</v>
      </c>
      <c r="BD566" s="1">
        <f t="shared" si="788"/>
        <v>1</v>
      </c>
      <c r="BE566" s="1">
        <f t="shared" si="781"/>
        <v>0</v>
      </c>
      <c r="BF566" s="1">
        <f>MIN(4,V566+0)</f>
        <v>3</v>
      </c>
      <c r="BG566" s="1">
        <f t="shared" si="798"/>
        <v>1</v>
      </c>
      <c r="BH566" s="1">
        <f t="shared" si="782"/>
        <v>1</v>
      </c>
      <c r="BI566" s="1">
        <f t="shared" si="799"/>
        <v>1</v>
      </c>
      <c r="BJ566" s="1">
        <f t="shared" si="802"/>
        <v>1</v>
      </c>
      <c r="BK566" s="1">
        <f t="shared" si="803"/>
        <v>1</v>
      </c>
      <c r="BL566" s="1">
        <f t="shared" si="808"/>
        <v>1</v>
      </c>
      <c r="BM566" s="1">
        <f t="shared" si="806"/>
        <v>1</v>
      </c>
      <c r="BN566" s="1">
        <f t="shared" si="783"/>
        <v>1</v>
      </c>
      <c r="BO566" s="1">
        <f t="shared" si="784"/>
        <v>1</v>
      </c>
    </row>
    <row r="567" spans="1:67" ht="30.95" customHeight="1">
      <c r="A567" s="1">
        <f>15</f>
        <v>15</v>
      </c>
      <c r="B567" s="1">
        <f>固定流程!A27</f>
        <v>22</v>
      </c>
      <c r="C567" s="1">
        <f>18</f>
        <v>18</v>
      </c>
      <c r="D567" s="1">
        <f>1</f>
        <v>1</v>
      </c>
      <c r="E567" s="1">
        <f>固定流程!C27</f>
        <v>3</v>
      </c>
      <c r="F567" s="1">
        <f>固定流程!G27</f>
        <v>3</v>
      </c>
      <c r="G567" s="1" t="str">
        <f>固定流程!H27</f>
        <v>RHI_BERRY</v>
      </c>
      <c r="H567" s="1">
        <f>固定流程!F27</f>
        <v>1</v>
      </c>
      <c r="I567" s="1">
        <f>INDEX(配置与结果!$B$15:$B$18,F567)</f>
        <v>2597</v>
      </c>
      <c r="J567" s="1">
        <f>INDEX(配置与结果!$D$15:$D$18,F567)</f>
        <v>0.255</v>
      </c>
      <c r="K567" s="1">
        <f>INDEX(配置与结果!$E$15:$E$18,F567)</f>
        <v>1.55</v>
      </c>
      <c r="L567" s="1">
        <f t="shared" si="795"/>
        <v>2</v>
      </c>
      <c r="M567" s="1">
        <f t="shared" si="796"/>
        <v>10</v>
      </c>
      <c r="N567" s="1">
        <f t="shared" si="797"/>
        <v>2</v>
      </c>
      <c r="O567" s="1">
        <f t="shared" si="789"/>
        <v>0</v>
      </c>
      <c r="P567" s="1">
        <f>MIN(方案参数!$AI$18,AZ566+0+0)</f>
        <v>5</v>
      </c>
      <c r="Q567" s="1">
        <f t="shared" si="767"/>
        <v>5</v>
      </c>
      <c r="R567" s="1">
        <f t="shared" si="768"/>
        <v>20</v>
      </c>
      <c r="S567" s="1">
        <f t="shared" si="769"/>
        <v>3</v>
      </c>
      <c r="T567" s="1">
        <f t="shared" si="804"/>
        <v>1</v>
      </c>
      <c r="U567" s="1">
        <f t="shared" si="771"/>
        <v>0</v>
      </c>
      <c r="V567" s="1">
        <f t="shared" si="772"/>
        <v>3</v>
      </c>
      <c r="W567" s="1">
        <f t="shared" si="773"/>
        <v>1</v>
      </c>
      <c r="X567" s="1">
        <f t="shared" si="774"/>
        <v>1</v>
      </c>
      <c r="Y567" s="1">
        <f t="shared" si="775"/>
        <v>1</v>
      </c>
      <c r="Z567" s="1">
        <f t="shared" si="776"/>
        <v>1</v>
      </c>
      <c r="AA567" s="1">
        <f t="shared" si="800"/>
        <v>1</v>
      </c>
      <c r="AB567" s="1">
        <f t="shared" si="778"/>
        <v>1</v>
      </c>
      <c r="AC567" s="1">
        <f t="shared" si="805"/>
        <v>1</v>
      </c>
      <c r="AD567" s="1">
        <f>ROUNDDOWN(I567*(1+IF(F567=3,0.05+方案参数!$Y$18+AA567*0.12,IF(F567=4,方案参数!$BZ$18*方案参数!$AS$18,0)))+IF(AND(X567=1,F567&lt;&gt;3),方案参数!$CC$18,0)+AC567*方案参数!$CB$18,0)</f>
        <v>3798</v>
      </c>
      <c r="AE567" s="1">
        <f>IF(OR(F567=1,F567=4),配置与结果!$B$24,配置与结果!$B$25)*MAX(0,1-INDEX(配置与结果!$I$15:$I$18,F567))</f>
        <v>1000</v>
      </c>
      <c r="AF567" s="1">
        <f>方案参数!$CF$18+P567*方案参数!$CG$18</f>
        <v>22.5</v>
      </c>
      <c r="AG567" s="1">
        <f>MAX(配置与结果!$B$32,1+INDEX(配置与结果!$F$15:$F$18,F567)+0+Q567*方案参数!$W$18+Y567*(方案参数!$AN$18+MIN(方案参数!$AO$18,P567*0.03))+AB567*方案参数!$BZ$18*0.025-配置与结果!$B$28)</f>
        <v>1.9100000000000001</v>
      </c>
      <c r="AH567" s="1">
        <f>MAX(0,1+INDEX(配置与结果!$G$15:$G$18,F567)+W567*方案参数!$AG$18)</f>
        <v>1.45</v>
      </c>
      <c r="AI567" s="1">
        <f>IF(OR(INDEX(配置与结果!$K$15:$K$18,F567)=1,G567="RHI_BERRY"),1+配置与结果!$B$33+P567*方案参数!$AH$18,1)</f>
        <v>1.5</v>
      </c>
      <c r="AJ567" s="1">
        <f>MIN(1,MAX(0,J567+方案参数!$AB$18-配置与结果!$B$27))</f>
        <v>0.55499999999999994</v>
      </c>
      <c r="AK567" s="1">
        <f>MAX(1,K567+IF(F567=2,0.15+方案参数!$CH$18,0)+BN567*方案参数!$X$18+R567*方案参数!$AA$18+0-配置与结果!$B$26+Z567*(方案参数!$AP$18+MIN(方案参数!$AQ$18,P567*0.03)))</f>
        <v>1.6900000000000002</v>
      </c>
      <c r="AL567" s="7">
        <f>ROUNDDOWN(MAX(AD567*配置与结果!$B$31,AD567-AE567)*AF567*AG567*AH567*AI567,0)</f>
        <v>261530</v>
      </c>
      <c r="AM567" s="7">
        <f>ROUNDDOWN(MAX(AD567*配置与结果!$B$31,AD567-AE567)*AF567*AG567*AH567*AI567*AK567,0)</f>
        <v>441987</v>
      </c>
      <c r="AN567" s="7">
        <f t="shared" si="738"/>
        <v>361683.63500000001</v>
      </c>
      <c r="AO567" s="7">
        <f>0</f>
        <v>0</v>
      </c>
      <c r="AP567" s="7">
        <f>MAX(0,1+INDEX(配置与结果!$J$15:$J$18,F567)+IF(T567&gt;0,方案参数!$BY$18,0)-配置与结果!$B$30)</f>
        <v>2</v>
      </c>
      <c r="AQ567" s="7">
        <f t="shared" si="739"/>
        <v>0</v>
      </c>
      <c r="AR567" s="7">
        <f t="shared" si="740"/>
        <v>0</v>
      </c>
      <c r="AS567" s="7">
        <f t="shared" si="741"/>
        <v>0</v>
      </c>
      <c r="AT567" s="7">
        <f>0</f>
        <v>0</v>
      </c>
      <c r="AU567" s="7">
        <f t="shared" si="742"/>
        <v>361683.63500000001</v>
      </c>
      <c r="AV567" s="1">
        <f t="shared" si="743"/>
        <v>2</v>
      </c>
      <c r="AW567" s="1">
        <f t="shared" ref="AW567:AW583" si="810">MIN(10,M567+0+0)</f>
        <v>10</v>
      </c>
      <c r="AX567" s="1">
        <f t="shared" si="744"/>
        <v>2</v>
      </c>
      <c r="AY567" s="1">
        <f>MIN(20,MAX(0,O567+0+0-0))</f>
        <v>0</v>
      </c>
      <c r="AZ567" s="1">
        <f t="shared" si="745"/>
        <v>5</v>
      </c>
      <c r="BA567" s="1">
        <f t="shared" si="801"/>
        <v>5</v>
      </c>
      <c r="BB567" s="1">
        <f t="shared" si="809"/>
        <v>20</v>
      </c>
      <c r="BC567" s="1">
        <f t="shared" si="807"/>
        <v>3</v>
      </c>
      <c r="BD567" s="1">
        <f t="shared" si="788"/>
        <v>1</v>
      </c>
      <c r="BE567" s="1">
        <f t="shared" si="781"/>
        <v>0</v>
      </c>
      <c r="BF567" s="1">
        <f>MIN(4,V567+0)</f>
        <v>3</v>
      </c>
      <c r="BG567" s="1">
        <f t="shared" si="798"/>
        <v>1</v>
      </c>
      <c r="BH567" s="1">
        <f t="shared" si="782"/>
        <v>1</v>
      </c>
      <c r="BI567" s="1">
        <f t="shared" si="799"/>
        <v>1</v>
      </c>
      <c r="BJ567" s="1">
        <f t="shared" si="802"/>
        <v>1</v>
      </c>
      <c r="BK567" s="1">
        <f t="shared" si="803"/>
        <v>1</v>
      </c>
      <c r="BL567" s="1">
        <f t="shared" si="808"/>
        <v>1</v>
      </c>
      <c r="BM567" s="1">
        <f t="shared" si="806"/>
        <v>1</v>
      </c>
      <c r="BN567" s="1">
        <f t="shared" si="783"/>
        <v>1</v>
      </c>
      <c r="BO567" s="1">
        <f t="shared" si="784"/>
        <v>1</v>
      </c>
    </row>
    <row r="568" spans="1:67" ht="30.95" customHeight="1">
      <c r="A568" s="1">
        <f>15</f>
        <v>15</v>
      </c>
      <c r="B568" s="1">
        <f>固定流程!A28</f>
        <v>23</v>
      </c>
      <c r="C568" s="1">
        <f>18</f>
        <v>18</v>
      </c>
      <c r="D568" s="1">
        <f>1</f>
        <v>1</v>
      </c>
      <c r="E568" s="1">
        <f>固定流程!C28</f>
        <v>3</v>
      </c>
      <c r="F568" s="1">
        <f>固定流程!G28</f>
        <v>2</v>
      </c>
      <c r="G568" s="1" t="str">
        <f>固定流程!H28</f>
        <v>37_FOLLOW</v>
      </c>
      <c r="H568" s="1">
        <f>固定流程!F28</f>
        <v>1</v>
      </c>
      <c r="I568" s="1">
        <f>INDEX(配置与结果!$B$15:$B$18,F568)</f>
        <v>2306</v>
      </c>
      <c r="J568" s="1">
        <f>INDEX(配置与结果!$D$15:$D$18,F568)</f>
        <v>0.46</v>
      </c>
      <c r="K568" s="1">
        <f>INDEX(配置与结果!$E$15:$E$18,F568)</f>
        <v>1.9279999999999999</v>
      </c>
      <c r="L568" s="1">
        <f t="shared" si="795"/>
        <v>2</v>
      </c>
      <c r="M568" s="1">
        <f t="shared" si="796"/>
        <v>10</v>
      </c>
      <c r="N568" s="1">
        <f t="shared" si="797"/>
        <v>2</v>
      </c>
      <c r="O568" s="1">
        <f t="shared" si="789"/>
        <v>0</v>
      </c>
      <c r="P568" s="1">
        <f>MIN(方案参数!$AI$18,AZ567+0+0)</f>
        <v>5</v>
      </c>
      <c r="Q568" s="1">
        <f t="shared" si="767"/>
        <v>5</v>
      </c>
      <c r="R568" s="1">
        <f t="shared" si="768"/>
        <v>20</v>
      </c>
      <c r="S568" s="1">
        <f t="shared" si="769"/>
        <v>3</v>
      </c>
      <c r="T568" s="1">
        <f t="shared" si="804"/>
        <v>1</v>
      </c>
      <c r="U568" s="1">
        <f t="shared" si="771"/>
        <v>0</v>
      </c>
      <c r="V568" s="1">
        <f t="shared" si="772"/>
        <v>3</v>
      </c>
      <c r="W568" s="1">
        <f t="shared" si="773"/>
        <v>1</v>
      </c>
      <c r="X568" s="1">
        <f t="shared" si="774"/>
        <v>1</v>
      </c>
      <c r="Y568" s="1">
        <f t="shared" si="775"/>
        <v>1</v>
      </c>
      <c r="Z568" s="1">
        <f t="shared" si="776"/>
        <v>1</v>
      </c>
      <c r="AA568" s="1">
        <f t="shared" si="800"/>
        <v>1</v>
      </c>
      <c r="AB568" s="1">
        <f t="shared" si="778"/>
        <v>1</v>
      </c>
      <c r="AC568" s="1">
        <f t="shared" si="805"/>
        <v>1</v>
      </c>
      <c r="AD568" s="1">
        <f>ROUNDDOWN(I568*(1+IF(F568=3,0.05+方案参数!$Y$18+AA568*0.12,IF(F568=4,方案参数!$BZ$18*方案参数!$AS$18,0)))+IF(AND(X568=1,F568&lt;&gt;3),方案参数!$CC$18,0)+AC568*方案参数!$CB$18,0)</f>
        <v>3044</v>
      </c>
      <c r="AE568" s="1">
        <f>IF(OR(F568=1,F568=4),配置与结果!$B$24,配置与结果!$B$25)*MAX(0,1-INDEX(配置与结果!$I$15:$I$18,F568))</f>
        <v>1000</v>
      </c>
      <c r="AF568" s="1">
        <f>方案参数!$BV$18</f>
        <v>3</v>
      </c>
      <c r="AG568" s="1">
        <f>MAX(配置与结果!$B$32,1+INDEX(配置与结果!$F$15:$F$18,F568)+0+Q568*方案参数!$W$18+Y568*(方案参数!$AN$18+MIN(方案参数!$AO$18,P568*0.03))+AB568*方案参数!$BZ$18*0.025-配置与结果!$B$28)</f>
        <v>1.8800000000000003</v>
      </c>
      <c r="AH568" s="1">
        <f>MAX(0,1+INDEX(配置与结果!$G$15:$G$18,F568)+W568*方案参数!$AG$18)</f>
        <v>1.45</v>
      </c>
      <c r="AI568" s="1">
        <f>IF(OR(INDEX(配置与结果!$K$15:$K$18,F568)=1,G568="RHI_BERRY"),1+配置与结果!$B$33+P568*方案参数!$AH$18,1)</f>
        <v>1</v>
      </c>
      <c r="AJ568" s="1">
        <f>MIN(1,MAX(0,J568+方案参数!$AB$18-配置与结果!$B$27))</f>
        <v>0.76</v>
      </c>
      <c r="AK568" s="1">
        <f>MAX(1,K568+IF(F568=2,0.15+方案参数!$CH$18,0)+BN568*方案参数!$X$18+R568*方案参数!$AA$18+0-配置与结果!$B$26+Z568*(方案参数!$AP$18+MIN(方案参数!$AQ$18,P568*0.03)))</f>
        <v>2.3380000000000001</v>
      </c>
      <c r="AL568" s="7">
        <f>ROUNDDOWN(MAX(AD568*配置与结果!$B$31,AD568-AE568)*AF568*AG568*AH568*AI568,0)</f>
        <v>16715</v>
      </c>
      <c r="AM568" s="7">
        <f>ROUNDDOWN(MAX(AD568*配置与结果!$B$31,AD568-AE568)*AF568*AG568*AH568*AI568*AK568,0)</f>
        <v>39081</v>
      </c>
      <c r="AN568" s="7">
        <f t="shared" si="738"/>
        <v>33713.160000000003</v>
      </c>
      <c r="AO568" s="7">
        <f>方案参数!$BW$18</f>
        <v>1</v>
      </c>
      <c r="AP568" s="7">
        <f>MAX(0,1+INDEX(配置与结果!$J$15:$J$18,F568)+IF(T568&gt;0,方案参数!$BY$18,0)-配置与结果!$B$30)</f>
        <v>2</v>
      </c>
      <c r="AQ568" s="7">
        <f t="shared" si="739"/>
        <v>6088</v>
      </c>
      <c r="AR568" s="7">
        <f t="shared" si="740"/>
        <v>14233</v>
      </c>
      <c r="AS568" s="7">
        <f t="shared" si="741"/>
        <v>12278.2</v>
      </c>
      <c r="AT568" s="7">
        <f>0</f>
        <v>0</v>
      </c>
      <c r="AU568" s="7">
        <f t="shared" si="742"/>
        <v>45991.360000000001</v>
      </c>
      <c r="AV568" s="1">
        <f t="shared" si="743"/>
        <v>2</v>
      </c>
      <c r="AW568" s="1">
        <f t="shared" si="810"/>
        <v>10</v>
      </c>
      <c r="AX568" s="1">
        <f t="shared" si="744"/>
        <v>2</v>
      </c>
      <c r="AY568" s="1">
        <f>MIN(20,MAX(0,O568+0+0-0))</f>
        <v>0</v>
      </c>
      <c r="AZ568" s="1">
        <f t="shared" si="745"/>
        <v>5</v>
      </c>
      <c r="BA568" s="1">
        <f t="shared" si="801"/>
        <v>5</v>
      </c>
      <c r="BB568" s="1">
        <f t="shared" si="809"/>
        <v>20</v>
      </c>
      <c r="BC568" s="1">
        <f t="shared" si="807"/>
        <v>3</v>
      </c>
      <c r="BD568" s="1">
        <f t="shared" si="788"/>
        <v>0</v>
      </c>
      <c r="BE568" s="1">
        <f t="shared" si="781"/>
        <v>0</v>
      </c>
      <c r="BF568" s="1">
        <f>MIN(4,V568+1)</f>
        <v>4</v>
      </c>
      <c r="BG568" s="1">
        <f t="shared" si="798"/>
        <v>1</v>
      </c>
      <c r="BH568" s="1">
        <f t="shared" si="782"/>
        <v>1</v>
      </c>
      <c r="BI568" s="1">
        <f t="shared" si="799"/>
        <v>1</v>
      </c>
      <c r="BJ568" s="1">
        <f t="shared" si="802"/>
        <v>1</v>
      </c>
      <c r="BK568" s="1">
        <f t="shared" si="803"/>
        <v>1</v>
      </c>
      <c r="BL568" s="1">
        <f t="shared" si="808"/>
        <v>1</v>
      </c>
      <c r="BM568" s="1">
        <f t="shared" si="806"/>
        <v>1</v>
      </c>
      <c r="BN568" s="1">
        <f t="shared" si="783"/>
        <v>1</v>
      </c>
      <c r="BO568" s="1">
        <f t="shared" si="784"/>
        <v>1</v>
      </c>
    </row>
    <row r="569" spans="1:67" ht="30.95" customHeight="1">
      <c r="A569" s="1">
        <f>15</f>
        <v>15</v>
      </c>
      <c r="B569" s="1">
        <f>固定流程!A29</f>
        <v>24</v>
      </c>
      <c r="C569" s="1">
        <f>18</f>
        <v>18</v>
      </c>
      <c r="D569" s="1">
        <f>2</f>
        <v>2</v>
      </c>
      <c r="E569" s="1">
        <f>固定流程!C29</f>
        <v>3</v>
      </c>
      <c r="F569" s="1">
        <f>固定流程!G29</f>
        <v>1</v>
      </c>
      <c r="G569" s="1" t="str">
        <f>固定流程!H29</f>
        <v>LILYA_WEAK</v>
      </c>
      <c r="H569" s="1">
        <f>固定流程!F29</f>
        <v>1</v>
      </c>
      <c r="I569" s="1">
        <f>INDEX(配置与结果!$B$15:$B$18,F569)</f>
        <v>2296</v>
      </c>
      <c r="J569" s="1">
        <f>INDEX(配置与结果!$D$15:$D$18,F569)</f>
        <v>0.7</v>
      </c>
      <c r="K569" s="1">
        <f>INDEX(配置与结果!$E$15:$E$18,F569)</f>
        <v>2.0249999999999999</v>
      </c>
      <c r="L569" s="1">
        <f t="shared" si="795"/>
        <v>2</v>
      </c>
      <c r="M569" s="1">
        <f t="shared" si="796"/>
        <v>10</v>
      </c>
      <c r="N569" s="1">
        <f t="shared" si="797"/>
        <v>2</v>
      </c>
      <c r="O569" s="1">
        <f t="shared" si="789"/>
        <v>0</v>
      </c>
      <c r="P569" s="1">
        <f>MIN(方案参数!$AI$18,AZ568+0+0)</f>
        <v>5</v>
      </c>
      <c r="Q569" s="1">
        <f t="shared" si="767"/>
        <v>5</v>
      </c>
      <c r="R569" s="1">
        <f t="shared" si="768"/>
        <v>20</v>
      </c>
      <c r="S569" s="1">
        <f t="shared" si="769"/>
        <v>3</v>
      </c>
      <c r="T569" s="1">
        <f t="shared" si="804"/>
        <v>0</v>
      </c>
      <c r="U569" s="1">
        <f t="shared" si="771"/>
        <v>0</v>
      </c>
      <c r="V569" s="1">
        <f t="shared" si="772"/>
        <v>4</v>
      </c>
      <c r="W569" s="1">
        <f t="shared" si="773"/>
        <v>1</v>
      </c>
      <c r="X569" s="1">
        <f t="shared" si="774"/>
        <v>1</v>
      </c>
      <c r="Y569" s="1">
        <f t="shared" si="775"/>
        <v>1</v>
      </c>
      <c r="Z569" s="1">
        <f t="shared" si="776"/>
        <v>1</v>
      </c>
      <c r="AA569" s="1">
        <f t="shared" si="800"/>
        <v>1</v>
      </c>
      <c r="AB569" s="1">
        <f t="shared" si="778"/>
        <v>1</v>
      </c>
      <c r="AC569" s="1">
        <f t="shared" si="805"/>
        <v>1</v>
      </c>
      <c r="AD569" s="1">
        <f>ROUNDDOWN(I569*(1+IF(F569=3,0.05+方案参数!$Y$18+AA569*0.12,IF(F569=4,方案参数!$BZ$18*方案参数!$AS$18,0)))+IF(AND(X569=1,F569&lt;&gt;3),方案参数!$CC$18,0)+AC569*方案参数!$CB$18,0)</f>
        <v>3034</v>
      </c>
      <c r="AE569" s="1">
        <f>IF(OR(F569=1,F569=4),配置与结果!$B$24,配置与结果!$B$25)*MAX(0,1-INDEX(配置与结果!$I$15:$I$18,F569))</f>
        <v>1200</v>
      </c>
      <c r="AF569" s="1">
        <f>方案参数!$BL$18</f>
        <v>9</v>
      </c>
      <c r="AG569" s="1">
        <f>MAX(配置与结果!$B$32,1+INDEX(配置与结果!$F$15:$F$18,F569)+0.08+方案参数!$CD$18+Q569*方案参数!$W$18+Y569*(方案参数!$AN$18+MIN(方案参数!$AO$18,P569*0.03))+AB569*方案参数!$BZ$18*0.025-配置与结果!$B$28+方案参数!$AE$18)</f>
        <v>2.6150000000000002</v>
      </c>
      <c r="AH569" s="1">
        <f>MAX(0,1+V569*方案参数!$U$18+0*方案参数!$V$18+方案参数!$AE$18-配置与结果!$B$29)</f>
        <v>1.56</v>
      </c>
      <c r="AI569" s="1">
        <f>IF(OR(INDEX(配置与结果!$K$15:$K$18,F569)=1,G569="RHI_BERRY"),1+配置与结果!$B$33+P569*方案参数!$AH$18,1)</f>
        <v>1</v>
      </c>
      <c r="AJ569" s="1">
        <f>MIN(1,MAX(0,J569+方案参数!$AB$18-配置与结果!$B$27))</f>
        <v>1</v>
      </c>
      <c r="AK569" s="1">
        <f>MAX(1,K569+IF(F569=2,0.15+方案参数!$CH$18,0)+BN569*方案参数!$X$18+R569*方案参数!$AA$18+方案参数!$BP$18-配置与结果!$B$26+Z569*(方案参数!$AP$18+MIN(方案参数!$AQ$18,P569*0.03)))</f>
        <v>2.7650000000000001</v>
      </c>
      <c r="AL569" s="7">
        <f>ROUNDDOWN(MAX(AD569*配置与结果!$B$31,AD569-AE569)*AF569*AG569*AH569*AI569,0)</f>
        <v>67334</v>
      </c>
      <c r="AM569" s="7">
        <f>ROUNDDOWN(MAX(AD569*配置与结果!$B$31,AD569-AE569)*AF569*AG569*AH569*AI569*AK569,0)</f>
        <v>186180</v>
      </c>
      <c r="AN569" s="7">
        <f t="shared" si="738"/>
        <v>186180</v>
      </c>
      <c r="AO569" s="7">
        <f>0</f>
        <v>0</v>
      </c>
      <c r="AP569" s="7">
        <f>MAX(0,1+INDEX(配置与结果!$J$15:$J$18,F569)+IF(T569&gt;0,方案参数!$BY$18,0)-配置与结果!$B$30)</f>
        <v>1</v>
      </c>
      <c r="AQ569" s="7">
        <f t="shared" si="739"/>
        <v>0</v>
      </c>
      <c r="AR569" s="7">
        <f t="shared" si="740"/>
        <v>0</v>
      </c>
      <c r="AS569" s="7">
        <f t="shared" si="741"/>
        <v>0</v>
      </c>
      <c r="AT569" s="7">
        <f>IF(U569&gt;0,ROUNDDOWN(AL569*方案参数!$AF$18,0)*(1-AJ569)+ROUNDDOWN(AM569*方案参数!$AF$18,0)*AJ569,0)</f>
        <v>0</v>
      </c>
      <c r="AU569" s="7">
        <f t="shared" si="742"/>
        <v>186180</v>
      </c>
      <c r="AV569" s="1">
        <f t="shared" si="743"/>
        <v>2</v>
      </c>
      <c r="AW569" s="1">
        <f t="shared" si="810"/>
        <v>10</v>
      </c>
      <c r="AX569" s="1">
        <f t="shared" si="744"/>
        <v>2</v>
      </c>
      <c r="AY569" s="1">
        <f>MIN(20,MAX(0,O569+0+1-0))</f>
        <v>1</v>
      </c>
      <c r="AZ569" s="1">
        <f t="shared" si="745"/>
        <v>5</v>
      </c>
      <c r="BA569" s="1">
        <f t="shared" si="801"/>
        <v>5</v>
      </c>
      <c r="BB569" s="1">
        <f t="shared" si="809"/>
        <v>20</v>
      </c>
      <c r="BC569" s="1">
        <f t="shared" si="807"/>
        <v>3</v>
      </c>
      <c r="BD569" s="1">
        <f t="shared" si="788"/>
        <v>0</v>
      </c>
      <c r="BE569" s="1">
        <f>MAX(0,U569-IF(AF569&gt;0,1,0))+0</f>
        <v>0</v>
      </c>
      <c r="BF569" s="1">
        <f t="shared" ref="BF569:BF586" si="811">MIN(4,V569+0)</f>
        <v>4</v>
      </c>
      <c r="BG569" s="1">
        <f t="shared" si="798"/>
        <v>1</v>
      </c>
      <c r="BH569" s="1">
        <f t="shared" si="782"/>
        <v>1</v>
      </c>
      <c r="BI569" s="1">
        <f t="shared" si="799"/>
        <v>1</v>
      </c>
      <c r="BJ569" s="1">
        <f t="shared" si="802"/>
        <v>1</v>
      </c>
      <c r="BK569" s="1">
        <f t="shared" si="803"/>
        <v>1</v>
      </c>
      <c r="BL569" s="1">
        <f t="shared" si="808"/>
        <v>1</v>
      </c>
      <c r="BM569" s="1">
        <f t="shared" si="806"/>
        <v>1</v>
      </c>
      <c r="BN569" s="1">
        <f t="shared" si="783"/>
        <v>1</v>
      </c>
      <c r="BO569" s="1">
        <f t="shared" si="784"/>
        <v>1</v>
      </c>
    </row>
    <row r="570" spans="1:67" ht="30.95" customHeight="1">
      <c r="A570" s="1">
        <f>15</f>
        <v>15</v>
      </c>
      <c r="B570" s="1">
        <f>固定流程!A30</f>
        <v>25</v>
      </c>
      <c r="C570" s="1">
        <f>18</f>
        <v>18</v>
      </c>
      <c r="D570" s="1">
        <f>2</f>
        <v>2</v>
      </c>
      <c r="E570" s="1">
        <f>固定流程!C30</f>
        <v>3</v>
      </c>
      <c r="F570" s="1">
        <f>固定流程!G30</f>
        <v>1</v>
      </c>
      <c r="G570" s="1" t="str">
        <f>固定流程!H30</f>
        <v>LILYA_WEAK</v>
      </c>
      <c r="H570" s="1">
        <f>固定流程!F30</f>
        <v>1</v>
      </c>
      <c r="I570" s="1">
        <f>INDEX(配置与结果!$B$15:$B$18,F570)</f>
        <v>2296</v>
      </c>
      <c r="J570" s="1">
        <f>INDEX(配置与结果!$D$15:$D$18,F570)</f>
        <v>0.7</v>
      </c>
      <c r="K570" s="1">
        <f>INDEX(配置与结果!$E$15:$E$18,F570)</f>
        <v>2.0249999999999999</v>
      </c>
      <c r="L570" s="1">
        <f t="shared" si="795"/>
        <v>2</v>
      </c>
      <c r="M570" s="1">
        <f t="shared" si="796"/>
        <v>10</v>
      </c>
      <c r="N570" s="1">
        <f t="shared" si="797"/>
        <v>2</v>
      </c>
      <c r="O570" s="1">
        <f t="shared" si="789"/>
        <v>1</v>
      </c>
      <c r="P570" s="1">
        <f>MIN(方案参数!$AI$18,AZ569+0+0)</f>
        <v>5</v>
      </c>
      <c r="Q570" s="1">
        <f t="shared" si="767"/>
        <v>5</v>
      </c>
      <c r="R570" s="1">
        <f t="shared" si="768"/>
        <v>20</v>
      </c>
      <c r="S570" s="1">
        <f t="shared" si="769"/>
        <v>3</v>
      </c>
      <c r="T570" s="1">
        <f t="shared" si="804"/>
        <v>0</v>
      </c>
      <c r="U570" s="1">
        <f t="shared" si="771"/>
        <v>0</v>
      </c>
      <c r="V570" s="1">
        <f t="shared" si="772"/>
        <v>4</v>
      </c>
      <c r="W570" s="1">
        <f t="shared" si="773"/>
        <v>1</v>
      </c>
      <c r="X570" s="1">
        <f t="shared" si="774"/>
        <v>1</v>
      </c>
      <c r="Y570" s="1">
        <f t="shared" si="775"/>
        <v>1</v>
      </c>
      <c r="Z570" s="1">
        <f t="shared" si="776"/>
        <v>1</v>
      </c>
      <c r="AA570" s="1">
        <f t="shared" si="800"/>
        <v>1</v>
      </c>
      <c r="AB570" s="1">
        <f t="shared" si="778"/>
        <v>1</v>
      </c>
      <c r="AC570" s="1">
        <f t="shared" si="805"/>
        <v>1</v>
      </c>
      <c r="AD570" s="1">
        <f>ROUNDDOWN(I570*(1+IF(F570=3,0.05+方案参数!$Y$18+AA570*0.12,IF(F570=4,方案参数!$BZ$18*方案参数!$AS$18,0)))+IF(AND(X570=1,F570&lt;&gt;3),方案参数!$CC$18,0)+AC570*方案参数!$CB$18,0)</f>
        <v>3034</v>
      </c>
      <c r="AE570" s="1">
        <f>IF(OR(F570=1,F570=4),配置与结果!$B$24,配置与结果!$B$25)*MAX(0,1-INDEX(配置与结果!$I$15:$I$18,F570))</f>
        <v>1200</v>
      </c>
      <c r="AF570" s="1">
        <f>方案参数!$BL$18</f>
        <v>9</v>
      </c>
      <c r="AG570" s="1">
        <f>MAX(配置与结果!$B$32,1+INDEX(配置与结果!$F$15:$F$18,F570)+0.08+方案参数!$CD$18+Q570*方案参数!$W$18+Y570*(方案参数!$AN$18+MIN(方案参数!$AO$18,P570*0.03))+AB570*方案参数!$BZ$18*0.025-配置与结果!$B$28+方案参数!$AE$18)</f>
        <v>2.6150000000000002</v>
      </c>
      <c r="AH570" s="1">
        <f>MAX(0,1+V570*方案参数!$U$18+1*方案参数!$V$18+方案参数!$AE$18-配置与结果!$B$29)</f>
        <v>1.62</v>
      </c>
      <c r="AI570" s="1">
        <f>IF(OR(INDEX(配置与结果!$K$15:$K$18,F570)=1,G570="RHI_BERRY"),1+配置与结果!$B$33+P570*方案参数!$AH$18,1)</f>
        <v>1</v>
      </c>
      <c r="AJ570" s="1">
        <f>MIN(1,MAX(0,J570+方案参数!$AB$18-配置与结果!$B$27))</f>
        <v>1</v>
      </c>
      <c r="AK570" s="1">
        <f>MAX(1,K570+IF(F570=2,0.15+方案参数!$CH$18,0)+BN570*方案参数!$X$18+R570*方案参数!$AA$18+方案参数!$BP$18-配置与结果!$B$26+Z570*(方案参数!$AP$18+MIN(方案参数!$AQ$18,P570*0.03)))</f>
        <v>2.7650000000000001</v>
      </c>
      <c r="AL570" s="7">
        <f>ROUNDDOWN(MAX(AD570*配置与结果!$B$31,AD570-AE570)*AF570*AG570*AH570*AI570,0)</f>
        <v>69924</v>
      </c>
      <c r="AM570" s="7">
        <f>ROUNDDOWN(MAX(AD570*配置与结果!$B$31,AD570-AE570)*AF570*AG570*AH570*AI570*AK570,0)</f>
        <v>193340</v>
      </c>
      <c r="AN570" s="7">
        <f t="shared" si="738"/>
        <v>193340</v>
      </c>
      <c r="AO570" s="7">
        <f>0</f>
        <v>0</v>
      </c>
      <c r="AP570" s="7">
        <f>MAX(0,1+INDEX(配置与结果!$J$15:$J$18,F570)+IF(T570&gt;0,方案参数!$BY$18,0)-配置与结果!$B$30)</f>
        <v>1</v>
      </c>
      <c r="AQ570" s="7">
        <f t="shared" si="739"/>
        <v>0</v>
      </c>
      <c r="AR570" s="7">
        <f t="shared" si="740"/>
        <v>0</v>
      </c>
      <c r="AS570" s="7">
        <f t="shared" si="741"/>
        <v>0</v>
      </c>
      <c r="AT570" s="7">
        <f>IF(U570&gt;0,ROUNDDOWN(AL570*方案参数!$AF$18,0)*(1-AJ570)+ROUNDDOWN(AM570*方案参数!$AF$18,0)*AJ570,0)</f>
        <v>0</v>
      </c>
      <c r="AU570" s="7">
        <f t="shared" si="742"/>
        <v>193340</v>
      </c>
      <c r="AV570" s="1">
        <f t="shared" si="743"/>
        <v>2</v>
      </c>
      <c r="AW570" s="1">
        <f t="shared" si="810"/>
        <v>10</v>
      </c>
      <c r="AX570" s="1">
        <f t="shared" si="744"/>
        <v>2</v>
      </c>
      <c r="AY570" s="1">
        <f>MIN(20,MAX(0,O570+0+1-0))</f>
        <v>2</v>
      </c>
      <c r="AZ570" s="1">
        <f t="shared" si="745"/>
        <v>5</v>
      </c>
      <c r="BA570" s="1">
        <f t="shared" si="801"/>
        <v>5</v>
      </c>
      <c r="BB570" s="1">
        <f t="shared" si="809"/>
        <v>20</v>
      </c>
      <c r="BC570" s="1">
        <f t="shared" si="807"/>
        <v>3</v>
      </c>
      <c r="BD570" s="1">
        <f t="shared" si="788"/>
        <v>0</v>
      </c>
      <c r="BE570" s="1">
        <f>MAX(0,U570-IF(AF570&gt;0,1,0))+0</f>
        <v>0</v>
      </c>
      <c r="BF570" s="1">
        <f t="shared" si="811"/>
        <v>4</v>
      </c>
      <c r="BG570" s="1">
        <f t="shared" si="798"/>
        <v>1</v>
      </c>
      <c r="BH570" s="1">
        <f t="shared" si="782"/>
        <v>1</v>
      </c>
      <c r="BI570" s="1">
        <f t="shared" si="799"/>
        <v>1</v>
      </c>
      <c r="BJ570" s="1">
        <f t="shared" si="802"/>
        <v>1</v>
      </c>
      <c r="BK570" s="1">
        <f t="shared" si="803"/>
        <v>1</v>
      </c>
      <c r="BL570" s="1">
        <f t="shared" si="808"/>
        <v>1</v>
      </c>
      <c r="BM570" s="1">
        <f t="shared" si="806"/>
        <v>1</v>
      </c>
      <c r="BN570" s="1">
        <f t="shared" si="783"/>
        <v>1</v>
      </c>
      <c r="BO570" s="1">
        <f t="shared" si="784"/>
        <v>1</v>
      </c>
    </row>
    <row r="571" spans="1:67" ht="30.95" customHeight="1">
      <c r="A571" s="1">
        <f>15</f>
        <v>15</v>
      </c>
      <c r="B571" s="1">
        <f>固定流程!A31</f>
        <v>26</v>
      </c>
      <c r="C571" s="1">
        <f>18</f>
        <v>18</v>
      </c>
      <c r="D571" s="1">
        <f>2</f>
        <v>2</v>
      </c>
      <c r="E571" s="1">
        <f>固定流程!C31</f>
        <v>3</v>
      </c>
      <c r="F571" s="1">
        <f>固定流程!G31</f>
        <v>2</v>
      </c>
      <c r="G571" s="1" t="str">
        <f>固定流程!H31</f>
        <v>37_WEAK</v>
      </c>
      <c r="H571" s="1">
        <f>固定流程!F31</f>
        <v>1</v>
      </c>
      <c r="I571" s="1">
        <f>INDEX(配置与结果!$B$15:$B$18,F571)</f>
        <v>2306</v>
      </c>
      <c r="J571" s="1">
        <f>INDEX(配置与结果!$D$15:$D$18,F571)</f>
        <v>0.46</v>
      </c>
      <c r="K571" s="1">
        <f>INDEX(配置与结果!$E$15:$E$18,F571)</f>
        <v>1.9279999999999999</v>
      </c>
      <c r="L571" s="1">
        <f t="shared" si="795"/>
        <v>2</v>
      </c>
      <c r="M571" s="1">
        <f t="shared" si="796"/>
        <v>10</v>
      </c>
      <c r="N571" s="1">
        <f t="shared" si="797"/>
        <v>2</v>
      </c>
      <c r="O571" s="1">
        <f t="shared" si="789"/>
        <v>2</v>
      </c>
      <c r="P571" s="1">
        <f>MIN(方案参数!$AI$18,AZ570+0+0)</f>
        <v>5</v>
      </c>
      <c r="Q571" s="1">
        <f t="shared" si="767"/>
        <v>5</v>
      </c>
      <c r="R571" s="1">
        <f t="shared" si="768"/>
        <v>20</v>
      </c>
      <c r="S571" s="1">
        <f t="shared" si="769"/>
        <v>3</v>
      </c>
      <c r="T571" s="1">
        <f t="shared" si="804"/>
        <v>0</v>
      </c>
      <c r="U571" s="1">
        <f t="shared" si="771"/>
        <v>0</v>
      </c>
      <c r="V571" s="1">
        <f t="shared" si="772"/>
        <v>4</v>
      </c>
      <c r="W571" s="1">
        <f t="shared" si="773"/>
        <v>1</v>
      </c>
      <c r="X571" s="1">
        <f t="shared" si="774"/>
        <v>1</v>
      </c>
      <c r="Y571" s="1">
        <f t="shared" si="775"/>
        <v>1</v>
      </c>
      <c r="Z571" s="1">
        <f t="shared" si="776"/>
        <v>1</v>
      </c>
      <c r="AA571" s="1">
        <f t="shared" si="800"/>
        <v>1</v>
      </c>
      <c r="AB571" s="1">
        <f t="shared" si="778"/>
        <v>1</v>
      </c>
      <c r="AC571" s="1">
        <f t="shared" si="805"/>
        <v>1</v>
      </c>
      <c r="AD571" s="1">
        <f>ROUNDDOWN(I571*(1+IF(F571=3,0.05+方案参数!$Y$18+AA571*0.12,IF(F571=4,方案参数!$BZ$18*方案参数!$AS$18,0)))+IF(AND(X571=1,F571&lt;&gt;3),方案参数!$CC$18,0)+AC571*方案参数!$CB$18,0)</f>
        <v>3044</v>
      </c>
      <c r="AE571" s="1">
        <f>IF(OR(F571=1,F571=4),配置与结果!$B$24,配置与结果!$B$25)*MAX(0,1-INDEX(配置与结果!$I$15:$I$18,F571))</f>
        <v>1000</v>
      </c>
      <c r="AF571" s="1">
        <f>方案参数!$CE$18</f>
        <v>8</v>
      </c>
      <c r="AG571" s="1">
        <f>MAX(配置与结果!$B$32,1+INDEX(配置与结果!$F$15:$F$18,F571)+0+Q571*方案参数!$W$18+Y571*(方案参数!$AN$18+MIN(方案参数!$AO$18,P571*0.03))+AB571*方案参数!$BZ$18*0.025-配置与结果!$B$28+方案参数!$AE$18)</f>
        <v>2.2800000000000002</v>
      </c>
      <c r="AH571" s="1">
        <f>MAX(0,1+V571*方案参数!$U$18+方案参数!$AE$18-配置与结果!$B$29)</f>
        <v>1.56</v>
      </c>
      <c r="AI571" s="1">
        <f>IF(OR(INDEX(配置与结果!$K$15:$K$18,F571)=1,G571="RHI_BERRY"),1+配置与结果!$B$33+P571*方案参数!$AH$18,1)</f>
        <v>1</v>
      </c>
      <c r="AJ571" s="1">
        <f>MIN(1,MAX(0,J571+方案参数!$AB$18-配置与结果!$B$27))</f>
        <v>0.76</v>
      </c>
      <c r="AK571" s="1">
        <f>MAX(1,K571+IF(F571=2,0.15+方案参数!$CH$18,0)+BN571*方案参数!$X$18+R571*方案参数!$AA$18+0-配置与结果!$B$26+Z571*(方案参数!$AP$18+MIN(方案参数!$AQ$18,P571*0.03)))</f>
        <v>2.3380000000000001</v>
      </c>
      <c r="AL571" s="7">
        <f>ROUNDDOWN(MAX(AD571*配置与结果!$B$31,AD571-AE571)*AF571*AG571*AH571*AI571,0)</f>
        <v>58160</v>
      </c>
      <c r="AM571" s="7">
        <f>ROUNDDOWN(MAX(AD571*配置与结果!$B$31,AD571-AE571)*AF571*AG571*AH571*AI571*AK571,0)</f>
        <v>135979</v>
      </c>
      <c r="AN571" s="7">
        <f t="shared" si="738"/>
        <v>117302.44</v>
      </c>
      <c r="AO571" s="7">
        <f>0</f>
        <v>0</v>
      </c>
      <c r="AP571" s="7">
        <f>MAX(0,1+INDEX(配置与结果!$J$15:$J$18,F571)+IF(T571&gt;0,方案参数!$BY$18,0)-配置与结果!$B$30)</f>
        <v>1</v>
      </c>
      <c r="AQ571" s="7">
        <f t="shared" si="739"/>
        <v>0</v>
      </c>
      <c r="AR571" s="7">
        <f t="shared" si="740"/>
        <v>0</v>
      </c>
      <c r="AS571" s="7">
        <f t="shared" si="741"/>
        <v>0</v>
      </c>
      <c r="AT571" s="7">
        <f>IF(U571&gt;0,ROUNDDOWN(AL571*方案参数!$AF$18,0)*(1-AJ571)+ROUNDDOWN(AM571*方案参数!$AF$18,0)*AJ571,0)</f>
        <v>0</v>
      </c>
      <c r="AU571" s="7">
        <f t="shared" si="742"/>
        <v>117302.44</v>
      </c>
      <c r="AV571" s="1">
        <f t="shared" si="743"/>
        <v>2</v>
      </c>
      <c r="AW571" s="1">
        <f t="shared" si="810"/>
        <v>10</v>
      </c>
      <c r="AX571" s="1">
        <f t="shared" si="744"/>
        <v>2</v>
      </c>
      <c r="AY571" s="1">
        <f>MIN(20,MAX(0,O571+0+0-0))</f>
        <v>2</v>
      </c>
      <c r="AZ571" s="1">
        <f t="shared" si="745"/>
        <v>5</v>
      </c>
      <c r="BA571" s="1">
        <f t="shared" si="801"/>
        <v>5</v>
      </c>
      <c r="BB571" s="1">
        <f t="shared" si="809"/>
        <v>20</v>
      </c>
      <c r="BC571" s="1">
        <f t="shared" si="807"/>
        <v>3</v>
      </c>
      <c r="BD571" s="1">
        <f t="shared" si="788"/>
        <v>0</v>
      </c>
      <c r="BE571" s="1">
        <f>MAX(0,U571-IF(AF571&gt;0,1,0))+1</f>
        <v>1</v>
      </c>
      <c r="BF571" s="1">
        <f t="shared" si="811"/>
        <v>4</v>
      </c>
      <c r="BG571" s="1">
        <f t="shared" si="798"/>
        <v>1</v>
      </c>
      <c r="BH571" s="1">
        <f t="shared" si="782"/>
        <v>1</v>
      </c>
      <c r="BI571" s="1">
        <f t="shared" si="799"/>
        <v>1</v>
      </c>
      <c r="BJ571" s="1">
        <f t="shared" si="802"/>
        <v>1</v>
      </c>
      <c r="BK571" s="1">
        <f t="shared" si="803"/>
        <v>1</v>
      </c>
      <c r="BL571" s="1">
        <f t="shared" si="808"/>
        <v>1</v>
      </c>
      <c r="BM571" s="1">
        <f t="shared" si="806"/>
        <v>1</v>
      </c>
      <c r="BN571" s="1">
        <f t="shared" si="783"/>
        <v>1</v>
      </c>
      <c r="BO571" s="1">
        <f t="shared" si="784"/>
        <v>1</v>
      </c>
    </row>
    <row r="572" spans="1:67" ht="30.95" customHeight="1">
      <c r="A572" s="1">
        <f>15</f>
        <v>15</v>
      </c>
      <c r="B572" s="1">
        <f>固定流程!A32</f>
        <v>27</v>
      </c>
      <c r="C572" s="1">
        <f>18</f>
        <v>18</v>
      </c>
      <c r="D572" s="1">
        <f>2</f>
        <v>2</v>
      </c>
      <c r="E572" s="1">
        <f>固定流程!C32</f>
        <v>3</v>
      </c>
      <c r="F572" s="1">
        <f>固定流程!G32</f>
        <v>1</v>
      </c>
      <c r="G572" s="1" t="str">
        <f>固定流程!H32</f>
        <v>LILYA_THIRD</v>
      </c>
      <c r="H572" s="1">
        <f>固定流程!F32</f>
        <v>1</v>
      </c>
      <c r="I572" s="1">
        <f>INDEX(配置与结果!$B$15:$B$18,F572)</f>
        <v>2296</v>
      </c>
      <c r="J572" s="1">
        <f>INDEX(配置与结果!$D$15:$D$18,F572)</f>
        <v>0.7</v>
      </c>
      <c r="K572" s="1">
        <f>INDEX(配置与结果!$E$15:$E$18,F572)</f>
        <v>2.0249999999999999</v>
      </c>
      <c r="L572" s="1">
        <f t="shared" si="795"/>
        <v>2</v>
      </c>
      <c r="M572" s="1">
        <f t="shared" si="796"/>
        <v>10</v>
      </c>
      <c r="N572" s="1">
        <f t="shared" si="797"/>
        <v>2</v>
      </c>
      <c r="O572" s="1">
        <f t="shared" si="789"/>
        <v>2</v>
      </c>
      <c r="P572" s="1">
        <f>MIN(方案参数!$AI$18,AZ571+0+0)</f>
        <v>5</v>
      </c>
      <c r="Q572" s="1">
        <f t="shared" si="767"/>
        <v>5</v>
      </c>
      <c r="R572" s="1">
        <f t="shared" si="768"/>
        <v>20</v>
      </c>
      <c r="S572" s="1">
        <f t="shared" si="769"/>
        <v>3</v>
      </c>
      <c r="T572" s="1">
        <f t="shared" si="804"/>
        <v>0</v>
      </c>
      <c r="U572" s="1">
        <f t="shared" si="771"/>
        <v>1</v>
      </c>
      <c r="V572" s="1">
        <f t="shared" si="772"/>
        <v>4</v>
      </c>
      <c r="W572" s="1">
        <f t="shared" si="773"/>
        <v>1</v>
      </c>
      <c r="X572" s="1">
        <f t="shared" si="774"/>
        <v>1</v>
      </c>
      <c r="Y572" s="1">
        <f t="shared" si="775"/>
        <v>1</v>
      </c>
      <c r="Z572" s="1">
        <f t="shared" si="776"/>
        <v>1</v>
      </c>
      <c r="AA572" s="1">
        <f t="shared" si="800"/>
        <v>1</v>
      </c>
      <c r="AB572" s="1">
        <f t="shared" si="778"/>
        <v>1</v>
      </c>
      <c r="AC572" s="1">
        <f t="shared" si="805"/>
        <v>1</v>
      </c>
      <c r="AD572" s="1">
        <f>ROUNDDOWN(I572*(1+IF(F572=3,0.05+方案参数!$Y$18+AA572*0.12,IF(F572=4,方案参数!$BZ$18*方案参数!$AS$18,0)))+IF(AND(X572=1,F572&lt;&gt;3),方案参数!$CC$18,0)+AC572*方案参数!$CB$18,0)</f>
        <v>3034</v>
      </c>
      <c r="AE572" s="1">
        <f>IF(OR(F572=1,F572=4),配置与结果!$B$24,配置与结果!$B$25)*MAX(0,1-INDEX(配置与结果!$I$15:$I$18,F572))</f>
        <v>1200</v>
      </c>
      <c r="AF572" s="1">
        <f>方案参数!$BM$18</f>
        <v>20</v>
      </c>
      <c r="AG572" s="1">
        <f>MAX(配置与结果!$B$32,1+INDEX(配置与结果!$F$15:$F$18,F572)+0.08+方案参数!$CD$18+Q572*方案参数!$W$18+Y572*(方案参数!$AN$18+MIN(方案参数!$AO$18,P572*0.03))+AB572*方案参数!$BZ$18*0.025-配置与结果!$B$28+方案参数!$AE$18)</f>
        <v>2.6150000000000002</v>
      </c>
      <c r="AH572" s="1">
        <f>MAX(0,1+V572*方案参数!$U$18+3*方案参数!$V$18+方案参数!$AE$18-配置与结果!$B$29)</f>
        <v>1.7399999999999998</v>
      </c>
      <c r="AI572" s="1">
        <f>IF(OR(INDEX(配置与结果!$K$15:$K$18,F572)=1,G572="RHI_BERRY"),1+配置与结果!$B$33+P572*方案参数!$AH$18,1)</f>
        <v>1</v>
      </c>
      <c r="AJ572" s="1">
        <f>MIN(1,MAX(0,J572+方案参数!$AB$18-配置与结果!$B$27))</f>
        <v>1</v>
      </c>
      <c r="AK572" s="1">
        <f>MAX(1,K572+IF(F572=2,0.15+方案参数!$CH$18,0)+BN572*方案参数!$X$18+R572*方案参数!$AA$18+方案参数!$BQ$18-配置与结果!$B$26+Z572*(方案参数!$AP$18+MIN(方案参数!$AQ$18,P572*0.03)))</f>
        <v>2.9650000000000003</v>
      </c>
      <c r="AL572" s="7">
        <f>ROUNDDOWN(MAX(AD572*配置与结果!$B$31,AD572-AE572)*AF572*AG572*AH572*AI572,0)</f>
        <v>166897</v>
      </c>
      <c r="AM572" s="7">
        <f>ROUNDDOWN(MAX(AD572*配置与结果!$B$31,AD572-AE572)*AF572*AG572*AH572*AI572*AK572,0)</f>
        <v>494851</v>
      </c>
      <c r="AN572" s="7">
        <f t="shared" si="738"/>
        <v>494851</v>
      </c>
      <c r="AO572" s="7">
        <f>0</f>
        <v>0</v>
      </c>
      <c r="AP572" s="7">
        <f>MAX(0,1+INDEX(配置与结果!$J$15:$J$18,F572)+IF(T572&gt;0,方案参数!$BY$18,0)-配置与结果!$B$30)</f>
        <v>1</v>
      </c>
      <c r="AQ572" s="7">
        <f t="shared" si="739"/>
        <v>0</v>
      </c>
      <c r="AR572" s="7">
        <f t="shared" si="740"/>
        <v>0</v>
      </c>
      <c r="AS572" s="7">
        <f t="shared" si="741"/>
        <v>0</v>
      </c>
      <c r="AT572" s="7">
        <f>IF(U572&gt;0,ROUNDDOWN(AL572*方案参数!$AF$18,0)*(1-AJ572)+ROUNDDOWN(AM572*方案参数!$AF$18,0)*AJ572,0)</f>
        <v>197940</v>
      </c>
      <c r="AU572" s="7">
        <f t="shared" si="742"/>
        <v>692791</v>
      </c>
      <c r="AV572" s="1">
        <f t="shared" si="743"/>
        <v>2</v>
      </c>
      <c r="AW572" s="1">
        <f t="shared" si="810"/>
        <v>10</v>
      </c>
      <c r="AX572" s="1">
        <f t="shared" si="744"/>
        <v>2</v>
      </c>
      <c r="AY572" s="1">
        <f>MIN(20,MAX(0,O572+0+1-0))</f>
        <v>3</v>
      </c>
      <c r="AZ572" s="1">
        <f t="shared" si="745"/>
        <v>5</v>
      </c>
      <c r="BA572" s="1">
        <f t="shared" si="801"/>
        <v>5</v>
      </c>
      <c r="BB572" s="1">
        <f t="shared" si="809"/>
        <v>20</v>
      </c>
      <c r="BC572" s="1">
        <f t="shared" si="807"/>
        <v>3</v>
      </c>
      <c r="BD572" s="1">
        <f t="shared" si="788"/>
        <v>0</v>
      </c>
      <c r="BE572" s="1">
        <f>MAX(0,U572-IF(AF572&gt;0,1,0))+0</f>
        <v>0</v>
      </c>
      <c r="BF572" s="1">
        <f t="shared" si="811"/>
        <v>4</v>
      </c>
      <c r="BG572" s="1">
        <f t="shared" si="798"/>
        <v>1</v>
      </c>
      <c r="BH572" s="1">
        <f t="shared" si="782"/>
        <v>1</v>
      </c>
      <c r="BI572" s="1">
        <f t="shared" si="799"/>
        <v>1</v>
      </c>
      <c r="BJ572" s="1">
        <f t="shared" si="802"/>
        <v>1</v>
      </c>
      <c r="BK572" s="1">
        <f t="shared" si="803"/>
        <v>1</v>
      </c>
      <c r="BL572" s="1">
        <f t="shared" si="808"/>
        <v>1</v>
      </c>
      <c r="BM572" s="1">
        <f t="shared" si="806"/>
        <v>1</v>
      </c>
      <c r="BN572" s="1">
        <f t="shared" si="783"/>
        <v>1</v>
      </c>
      <c r="BO572" s="1">
        <f t="shared" si="784"/>
        <v>1</v>
      </c>
    </row>
    <row r="573" spans="1:67" ht="30.95" customHeight="1">
      <c r="A573" s="1">
        <f>15</f>
        <v>15</v>
      </c>
      <c r="B573" s="1">
        <f>固定流程!A33</f>
        <v>28</v>
      </c>
      <c r="C573" s="1">
        <f>18</f>
        <v>18</v>
      </c>
      <c r="D573" s="1">
        <f>2</f>
        <v>2</v>
      </c>
      <c r="E573" s="1">
        <f>固定流程!C33</f>
        <v>3</v>
      </c>
      <c r="F573" s="1">
        <f>固定流程!G33</f>
        <v>1</v>
      </c>
      <c r="G573" s="1" t="str">
        <f>固定流程!H33</f>
        <v>LILYA_WEAK</v>
      </c>
      <c r="H573" s="1">
        <f>固定流程!F33</f>
        <v>1</v>
      </c>
      <c r="I573" s="1">
        <f>INDEX(配置与结果!$B$15:$B$18,F573)</f>
        <v>2296</v>
      </c>
      <c r="J573" s="1">
        <f>INDEX(配置与结果!$D$15:$D$18,F573)</f>
        <v>0.7</v>
      </c>
      <c r="K573" s="1">
        <f>INDEX(配置与结果!$E$15:$E$18,F573)</f>
        <v>2.0249999999999999</v>
      </c>
      <c r="L573" s="1">
        <f t="shared" si="795"/>
        <v>2</v>
      </c>
      <c r="M573" s="1">
        <f t="shared" si="796"/>
        <v>10</v>
      </c>
      <c r="N573" s="1">
        <f t="shared" si="797"/>
        <v>2</v>
      </c>
      <c r="O573" s="1">
        <f t="shared" si="789"/>
        <v>3</v>
      </c>
      <c r="P573" s="1">
        <f>MIN(方案参数!$AI$18,AZ572+0+0)</f>
        <v>5</v>
      </c>
      <c r="Q573" s="1">
        <f t="shared" si="767"/>
        <v>5</v>
      </c>
      <c r="R573" s="1">
        <f t="shared" si="768"/>
        <v>20</v>
      </c>
      <c r="S573" s="1">
        <f t="shared" si="769"/>
        <v>3</v>
      </c>
      <c r="T573" s="1">
        <f t="shared" si="804"/>
        <v>0</v>
      </c>
      <c r="U573" s="1">
        <f t="shared" si="771"/>
        <v>0</v>
      </c>
      <c r="V573" s="1">
        <f t="shared" si="772"/>
        <v>4</v>
      </c>
      <c r="W573" s="1">
        <f t="shared" si="773"/>
        <v>1</v>
      </c>
      <c r="X573" s="1">
        <f t="shared" si="774"/>
        <v>1</v>
      </c>
      <c r="Y573" s="1">
        <f t="shared" si="775"/>
        <v>1</v>
      </c>
      <c r="Z573" s="1">
        <f t="shared" si="776"/>
        <v>1</v>
      </c>
      <c r="AA573" s="1">
        <f t="shared" si="800"/>
        <v>1</v>
      </c>
      <c r="AB573" s="1">
        <f t="shared" si="778"/>
        <v>1</v>
      </c>
      <c r="AC573" s="1">
        <f t="shared" si="805"/>
        <v>1</v>
      </c>
      <c r="AD573" s="1">
        <f>ROUNDDOWN(I573*(1+IF(F573=3,0.05+方案参数!$Y$18+AA573*0.12,IF(F573=4,方案参数!$BZ$18*方案参数!$AS$18,0)))+IF(AND(X573=1,F573&lt;&gt;3),方案参数!$CC$18,0)+AC573*方案参数!$CB$18,0)</f>
        <v>3034</v>
      </c>
      <c r="AE573" s="1">
        <f>IF(OR(F573=1,F573=4),配置与结果!$B$24,配置与结果!$B$25)*MAX(0,1-INDEX(配置与结果!$I$15:$I$18,F573))</f>
        <v>1200</v>
      </c>
      <c r="AF573" s="1">
        <f>方案参数!$BL$18</f>
        <v>9</v>
      </c>
      <c r="AG573" s="1">
        <f>MAX(配置与结果!$B$32,1+INDEX(配置与结果!$F$15:$F$18,F573)+0.08+方案参数!$CD$18+Q573*方案参数!$W$18+Y573*(方案参数!$AN$18+MIN(方案参数!$AO$18,P573*0.03))+AB573*方案参数!$BZ$18*0.025-配置与结果!$B$28+方案参数!$AE$18)</f>
        <v>2.6150000000000002</v>
      </c>
      <c r="AH573" s="1">
        <f>MAX(0,1+V573*方案参数!$U$18+4*方案参数!$V$18+方案参数!$AE$18-配置与结果!$B$29)</f>
        <v>1.7999999999999998</v>
      </c>
      <c r="AI573" s="1">
        <f>IF(OR(INDEX(配置与结果!$K$15:$K$18,F573)=1,G573="RHI_BERRY"),1+配置与结果!$B$33+P573*方案参数!$AH$18,1)</f>
        <v>1</v>
      </c>
      <c r="AJ573" s="1">
        <f>MIN(1,MAX(0,J573+方案参数!$AB$18-配置与结果!$B$27))</f>
        <v>1</v>
      </c>
      <c r="AK573" s="1">
        <f>MAX(1,K573+IF(F573=2,0.15+方案参数!$CH$18,0)+BN573*方案参数!$X$18+R573*方案参数!$AA$18+方案参数!$BP$18-配置与结果!$B$26+Z573*(方案参数!$AP$18+MIN(方案参数!$AQ$18,P573*0.03)))</f>
        <v>2.7650000000000001</v>
      </c>
      <c r="AL573" s="7">
        <f>ROUNDDOWN(MAX(AD573*配置与结果!$B$31,AD573-AE573)*AF573*AG573*AH573*AI573,0)</f>
        <v>77693</v>
      </c>
      <c r="AM573" s="7">
        <f>ROUNDDOWN(MAX(AD573*配置与结果!$B$31,AD573-AE573)*AF573*AG573*AH573*AI573*AK573,0)</f>
        <v>214823</v>
      </c>
      <c r="AN573" s="7">
        <f t="shared" si="738"/>
        <v>214823</v>
      </c>
      <c r="AO573" s="7">
        <f>0</f>
        <v>0</v>
      </c>
      <c r="AP573" s="7">
        <f>MAX(0,1+INDEX(配置与结果!$J$15:$J$18,F573)+IF(T573&gt;0,方案参数!$BY$18,0)-配置与结果!$B$30)</f>
        <v>1</v>
      </c>
      <c r="AQ573" s="7">
        <f t="shared" si="739"/>
        <v>0</v>
      </c>
      <c r="AR573" s="7">
        <f t="shared" si="740"/>
        <v>0</v>
      </c>
      <c r="AS573" s="7">
        <f t="shared" si="741"/>
        <v>0</v>
      </c>
      <c r="AT573" s="7">
        <f>IF(U573&gt;0,ROUNDDOWN(AL573*方案参数!$AF$18,0)*(1-AJ573)+ROUNDDOWN(AM573*方案参数!$AF$18,0)*AJ573,0)</f>
        <v>0</v>
      </c>
      <c r="AU573" s="7">
        <f t="shared" si="742"/>
        <v>214823</v>
      </c>
      <c r="AV573" s="1">
        <f t="shared" si="743"/>
        <v>2</v>
      </c>
      <c r="AW573" s="1">
        <f t="shared" si="810"/>
        <v>10</v>
      </c>
      <c r="AX573" s="1">
        <f t="shared" si="744"/>
        <v>2</v>
      </c>
      <c r="AY573" s="1">
        <f>MIN(20,MAX(0,O573+0+1-0))</f>
        <v>4</v>
      </c>
      <c r="AZ573" s="1">
        <f t="shared" si="745"/>
        <v>5</v>
      </c>
      <c r="BA573" s="1">
        <f t="shared" si="801"/>
        <v>5</v>
      </c>
      <c r="BB573" s="1">
        <f t="shared" si="809"/>
        <v>20</v>
      </c>
      <c r="BC573" s="1">
        <f t="shared" si="807"/>
        <v>3</v>
      </c>
      <c r="BD573" s="1">
        <f t="shared" si="788"/>
        <v>0</v>
      </c>
      <c r="BE573" s="1">
        <f>MAX(0,U573-IF(AF573&gt;0,1,0))+0</f>
        <v>0</v>
      </c>
      <c r="BF573" s="1">
        <f t="shared" si="811"/>
        <v>4</v>
      </c>
      <c r="BG573" s="1">
        <f t="shared" si="798"/>
        <v>1</v>
      </c>
      <c r="BH573" s="1">
        <f t="shared" si="782"/>
        <v>1</v>
      </c>
      <c r="BI573" s="1">
        <f t="shared" si="799"/>
        <v>1</v>
      </c>
      <c r="BJ573" s="1">
        <f t="shared" si="802"/>
        <v>1</v>
      </c>
      <c r="BK573" s="1">
        <f t="shared" si="803"/>
        <v>1</v>
      </c>
      <c r="BL573" s="1">
        <f t="shared" si="808"/>
        <v>1</v>
      </c>
      <c r="BM573" s="1">
        <f t="shared" si="806"/>
        <v>1</v>
      </c>
      <c r="BN573" s="1">
        <f t="shared" si="783"/>
        <v>1</v>
      </c>
      <c r="BO573" s="1">
        <f t="shared" si="784"/>
        <v>1</v>
      </c>
    </row>
    <row r="574" spans="1:67" ht="30.95" customHeight="1">
      <c r="A574" s="1">
        <f>15</f>
        <v>15</v>
      </c>
      <c r="B574" s="1">
        <f>固定流程!A34</f>
        <v>29</v>
      </c>
      <c r="C574" s="1">
        <f>18</f>
        <v>18</v>
      </c>
      <c r="D574" s="1">
        <f>2</f>
        <v>2</v>
      </c>
      <c r="E574" s="1">
        <f>固定流程!C34</f>
        <v>3</v>
      </c>
      <c r="F574" s="1">
        <f>固定流程!G34</f>
        <v>1</v>
      </c>
      <c r="G574" s="1" t="str">
        <f>固定流程!H34</f>
        <v>LILYA_WEAK</v>
      </c>
      <c r="H574" s="1">
        <f>固定流程!F34</f>
        <v>1</v>
      </c>
      <c r="I574" s="1">
        <f>INDEX(配置与结果!$B$15:$B$18,F574)</f>
        <v>2296</v>
      </c>
      <c r="J574" s="1">
        <f>INDEX(配置与结果!$D$15:$D$18,F574)</f>
        <v>0.7</v>
      </c>
      <c r="K574" s="1">
        <f>INDEX(配置与结果!$E$15:$E$18,F574)</f>
        <v>2.0249999999999999</v>
      </c>
      <c r="L574" s="1">
        <f t="shared" si="795"/>
        <v>2</v>
      </c>
      <c r="M574" s="1">
        <f t="shared" si="796"/>
        <v>10</v>
      </c>
      <c r="N574" s="1">
        <f t="shared" si="797"/>
        <v>2</v>
      </c>
      <c r="O574" s="1">
        <f t="shared" si="789"/>
        <v>4</v>
      </c>
      <c r="P574" s="1">
        <f>MIN(方案参数!$AI$18,AZ573+0+0)</f>
        <v>5</v>
      </c>
      <c r="Q574" s="1">
        <f t="shared" si="767"/>
        <v>5</v>
      </c>
      <c r="R574" s="1">
        <f t="shared" si="768"/>
        <v>20</v>
      </c>
      <c r="S574" s="1">
        <f t="shared" si="769"/>
        <v>3</v>
      </c>
      <c r="T574" s="1">
        <f t="shared" si="804"/>
        <v>0</v>
      </c>
      <c r="U574" s="1">
        <f t="shared" si="771"/>
        <v>0</v>
      </c>
      <c r="V574" s="1">
        <f t="shared" si="772"/>
        <v>4</v>
      </c>
      <c r="W574" s="1">
        <f t="shared" si="773"/>
        <v>1</v>
      </c>
      <c r="X574" s="1">
        <f t="shared" si="774"/>
        <v>1</v>
      </c>
      <c r="Y574" s="1">
        <f t="shared" si="775"/>
        <v>1</v>
      </c>
      <c r="Z574" s="1">
        <f t="shared" si="776"/>
        <v>1</v>
      </c>
      <c r="AA574" s="1">
        <f t="shared" si="800"/>
        <v>1</v>
      </c>
      <c r="AB574" s="1">
        <f t="shared" si="778"/>
        <v>1</v>
      </c>
      <c r="AC574" s="1">
        <f t="shared" si="805"/>
        <v>1</v>
      </c>
      <c r="AD574" s="1">
        <f>ROUNDDOWN(I574*(1+IF(F574=3,0.05+方案参数!$Y$18+AA574*0.12,IF(F574=4,方案参数!$BZ$18*方案参数!$AS$18,0)))+IF(AND(X574=1,F574&lt;&gt;3),方案参数!$CC$18,0)+AC574*方案参数!$CB$18,0)</f>
        <v>3034</v>
      </c>
      <c r="AE574" s="1">
        <f>IF(OR(F574=1,F574=4),配置与结果!$B$24,配置与结果!$B$25)*MAX(0,1-INDEX(配置与结果!$I$15:$I$18,F574))</f>
        <v>1200</v>
      </c>
      <c r="AF574" s="1">
        <f>方案参数!$BL$18</f>
        <v>9</v>
      </c>
      <c r="AG574" s="1">
        <f>MAX(配置与结果!$B$32,1+INDEX(配置与结果!$F$15:$F$18,F574)+0.08+方案参数!$CD$18+Q574*方案参数!$W$18+Y574*(方案参数!$AN$18+MIN(方案参数!$AO$18,P574*0.03))+AB574*方案参数!$BZ$18*0.025-配置与结果!$B$28+方案参数!$AE$18)</f>
        <v>2.6150000000000002</v>
      </c>
      <c r="AH574" s="1">
        <f>MAX(0,1+V574*方案参数!$U$18+5*方案参数!$V$18+方案参数!$AE$18-配置与结果!$B$29)</f>
        <v>1.8599999999999999</v>
      </c>
      <c r="AI574" s="1">
        <f>IF(OR(INDEX(配置与结果!$K$15:$K$18,F574)=1,G574="RHI_BERRY"),1+配置与结果!$B$33+P574*方案参数!$AH$18,1)</f>
        <v>1</v>
      </c>
      <c r="AJ574" s="1">
        <f>MIN(1,MAX(0,J574+方案参数!$AB$18-配置与结果!$B$27))</f>
        <v>1</v>
      </c>
      <c r="AK574" s="1">
        <f>MAX(1,K574+IF(F574=2,0.15+方案参数!$CH$18,0)+BN574*方案参数!$X$18+R574*方案参数!$AA$18+方案参数!$BP$18-配置与结果!$B$26+Z574*(方案参数!$AP$18+MIN(方案参数!$AQ$18,P574*0.03)))</f>
        <v>2.7650000000000001</v>
      </c>
      <c r="AL574" s="7">
        <f>ROUNDDOWN(MAX(AD574*配置与结果!$B$31,AD574-AE574)*AF574*AG574*AH574*AI574,0)</f>
        <v>80283</v>
      </c>
      <c r="AM574" s="7">
        <f>ROUNDDOWN(MAX(AD574*配置与结果!$B$31,AD574-AE574)*AF574*AG574*AH574*AI574*AK574,0)</f>
        <v>221983</v>
      </c>
      <c r="AN574" s="7">
        <f t="shared" si="738"/>
        <v>221983</v>
      </c>
      <c r="AO574" s="7">
        <f>0</f>
        <v>0</v>
      </c>
      <c r="AP574" s="7">
        <f>MAX(0,1+INDEX(配置与结果!$J$15:$J$18,F574)+IF(T574&gt;0,方案参数!$BY$18,0)-配置与结果!$B$30)</f>
        <v>1</v>
      </c>
      <c r="AQ574" s="7">
        <f t="shared" si="739"/>
        <v>0</v>
      </c>
      <c r="AR574" s="7">
        <f t="shared" si="740"/>
        <v>0</v>
      </c>
      <c r="AS574" s="7">
        <f t="shared" si="741"/>
        <v>0</v>
      </c>
      <c r="AT574" s="7">
        <f>IF(U574&gt;0,ROUNDDOWN(AL574*方案参数!$AF$18,0)*(1-AJ574)+ROUNDDOWN(AM574*方案参数!$AF$18,0)*AJ574,0)</f>
        <v>0</v>
      </c>
      <c r="AU574" s="7">
        <f t="shared" si="742"/>
        <v>221983</v>
      </c>
      <c r="AV574" s="1">
        <f t="shared" si="743"/>
        <v>2</v>
      </c>
      <c r="AW574" s="1">
        <f t="shared" si="810"/>
        <v>10</v>
      </c>
      <c r="AX574" s="1">
        <f t="shared" si="744"/>
        <v>2</v>
      </c>
      <c r="AY574" s="1">
        <f>MIN(20,MAX(0,O574+0+1-0))</f>
        <v>5</v>
      </c>
      <c r="AZ574" s="1">
        <f t="shared" si="745"/>
        <v>5</v>
      </c>
      <c r="BA574" s="1">
        <f t="shared" si="801"/>
        <v>5</v>
      </c>
      <c r="BB574" s="1">
        <f t="shared" si="809"/>
        <v>20</v>
      </c>
      <c r="BC574" s="1">
        <f t="shared" si="807"/>
        <v>3</v>
      </c>
      <c r="BD574" s="1">
        <f t="shared" si="788"/>
        <v>0</v>
      </c>
      <c r="BE574" s="1">
        <f>MAX(0,U574-IF(AF574&gt;0,1,0))+0</f>
        <v>0</v>
      </c>
      <c r="BF574" s="1">
        <f t="shared" si="811"/>
        <v>4</v>
      </c>
      <c r="BG574" s="1">
        <f t="shared" si="798"/>
        <v>1</v>
      </c>
      <c r="BH574" s="1">
        <f t="shared" si="782"/>
        <v>1</v>
      </c>
      <c r="BI574" s="1">
        <f t="shared" si="799"/>
        <v>1</v>
      </c>
      <c r="BJ574" s="1">
        <f t="shared" si="802"/>
        <v>1</v>
      </c>
      <c r="BK574" s="1">
        <f t="shared" si="803"/>
        <v>1</v>
      </c>
      <c r="BL574" s="1">
        <f t="shared" si="808"/>
        <v>1</v>
      </c>
      <c r="BM574" s="1">
        <f t="shared" si="806"/>
        <v>1</v>
      </c>
      <c r="BN574" s="1">
        <f t="shared" si="783"/>
        <v>1</v>
      </c>
      <c r="BO574" s="1">
        <f t="shared" si="784"/>
        <v>1</v>
      </c>
    </row>
    <row r="575" spans="1:67" ht="30.95" customHeight="1">
      <c r="A575" s="1">
        <f>15</f>
        <v>15</v>
      </c>
      <c r="B575" s="1">
        <f>固定流程!A35</f>
        <v>30</v>
      </c>
      <c r="C575" s="1">
        <f>18</f>
        <v>18</v>
      </c>
      <c r="D575" s="1">
        <f>2</f>
        <v>2</v>
      </c>
      <c r="E575" s="1">
        <f>固定流程!C35</f>
        <v>3</v>
      </c>
      <c r="F575" s="1">
        <f>固定流程!G35</f>
        <v>2</v>
      </c>
      <c r="G575" s="1" t="str">
        <f>固定流程!H35</f>
        <v>37_WEAK</v>
      </c>
      <c r="H575" s="1">
        <f>固定流程!F35</f>
        <v>1</v>
      </c>
      <c r="I575" s="1">
        <f>INDEX(配置与结果!$B$15:$B$18,F575)</f>
        <v>2306</v>
      </c>
      <c r="J575" s="1">
        <f>INDEX(配置与结果!$D$15:$D$18,F575)</f>
        <v>0.46</v>
      </c>
      <c r="K575" s="1">
        <f>INDEX(配置与结果!$E$15:$E$18,F575)</f>
        <v>1.9279999999999999</v>
      </c>
      <c r="L575" s="1">
        <f t="shared" si="795"/>
        <v>2</v>
      </c>
      <c r="M575" s="1">
        <f t="shared" si="796"/>
        <v>10</v>
      </c>
      <c r="N575" s="1">
        <f t="shared" si="797"/>
        <v>2</v>
      </c>
      <c r="O575" s="1">
        <f t="shared" si="789"/>
        <v>5</v>
      </c>
      <c r="P575" s="1">
        <f>MIN(方案参数!$AI$18,AZ574+0+0)</f>
        <v>5</v>
      </c>
      <c r="Q575" s="1">
        <f t="shared" si="767"/>
        <v>5</v>
      </c>
      <c r="R575" s="1">
        <f t="shared" si="768"/>
        <v>20</v>
      </c>
      <c r="S575" s="1">
        <f t="shared" si="769"/>
        <v>3</v>
      </c>
      <c r="T575" s="1">
        <f t="shared" si="804"/>
        <v>0</v>
      </c>
      <c r="U575" s="1">
        <f t="shared" si="771"/>
        <v>0</v>
      </c>
      <c r="V575" s="1">
        <f t="shared" si="772"/>
        <v>4</v>
      </c>
      <c r="W575" s="1">
        <f t="shared" si="773"/>
        <v>1</v>
      </c>
      <c r="X575" s="1">
        <f t="shared" si="774"/>
        <v>1</v>
      </c>
      <c r="Y575" s="1">
        <f t="shared" si="775"/>
        <v>1</v>
      </c>
      <c r="Z575" s="1">
        <f t="shared" si="776"/>
        <v>1</v>
      </c>
      <c r="AA575" s="1">
        <f t="shared" si="800"/>
        <v>1</v>
      </c>
      <c r="AB575" s="1">
        <f t="shared" si="778"/>
        <v>1</v>
      </c>
      <c r="AC575" s="1">
        <f t="shared" si="805"/>
        <v>1</v>
      </c>
      <c r="AD575" s="1">
        <f>ROUNDDOWN(I575*(1+IF(F575=3,0.05+方案参数!$Y$18+AA575*0.12,IF(F575=4,方案参数!$BZ$18*方案参数!$AS$18,0)))+IF(AND(X575=1,F575&lt;&gt;3),方案参数!$CC$18,0)+AC575*方案参数!$CB$18,0)</f>
        <v>3044</v>
      </c>
      <c r="AE575" s="1">
        <f>IF(OR(F575=1,F575=4),配置与结果!$B$24,配置与结果!$B$25)*MAX(0,1-INDEX(配置与结果!$I$15:$I$18,F575))</f>
        <v>1000</v>
      </c>
      <c r="AF575" s="1">
        <f>方案参数!$CE$18</f>
        <v>8</v>
      </c>
      <c r="AG575" s="1">
        <f>MAX(配置与结果!$B$32,1+INDEX(配置与结果!$F$15:$F$18,F575)+0+Q575*方案参数!$W$18+Y575*(方案参数!$AN$18+MIN(方案参数!$AO$18,P575*0.03))+AB575*方案参数!$BZ$18*0.025-配置与结果!$B$28+方案参数!$AE$18)</f>
        <v>2.2800000000000002</v>
      </c>
      <c r="AH575" s="1">
        <f>MAX(0,1+V575*方案参数!$U$18+方案参数!$AE$18-配置与结果!$B$29)</f>
        <v>1.56</v>
      </c>
      <c r="AI575" s="1">
        <f>IF(OR(INDEX(配置与结果!$K$15:$K$18,F575)=1,G575="RHI_BERRY"),1+配置与结果!$B$33+P575*方案参数!$AH$18,1)</f>
        <v>1</v>
      </c>
      <c r="AJ575" s="1">
        <f>MIN(1,MAX(0,J575+方案参数!$AB$18-配置与结果!$B$27))</f>
        <v>0.76</v>
      </c>
      <c r="AK575" s="1">
        <f>MAX(1,K575+IF(F575=2,0.15+方案参数!$CH$18,0)+BN575*方案参数!$X$18+R575*方案参数!$AA$18+0-配置与结果!$B$26+Z575*(方案参数!$AP$18+MIN(方案参数!$AQ$18,P575*0.03)))</f>
        <v>2.3380000000000001</v>
      </c>
      <c r="AL575" s="7">
        <f>ROUNDDOWN(MAX(AD575*配置与结果!$B$31,AD575-AE575)*AF575*AG575*AH575*AI575,0)</f>
        <v>58160</v>
      </c>
      <c r="AM575" s="7">
        <f>ROUNDDOWN(MAX(AD575*配置与结果!$B$31,AD575-AE575)*AF575*AG575*AH575*AI575*AK575,0)</f>
        <v>135979</v>
      </c>
      <c r="AN575" s="7">
        <f t="shared" si="738"/>
        <v>117302.44</v>
      </c>
      <c r="AO575" s="7">
        <f>0</f>
        <v>0</v>
      </c>
      <c r="AP575" s="7">
        <f>MAX(0,1+INDEX(配置与结果!$J$15:$J$18,F575)+IF(T575&gt;0,方案参数!$BY$18,0)-配置与结果!$B$30)</f>
        <v>1</v>
      </c>
      <c r="AQ575" s="7">
        <f t="shared" si="739"/>
        <v>0</v>
      </c>
      <c r="AR575" s="7">
        <f t="shared" si="740"/>
        <v>0</v>
      </c>
      <c r="AS575" s="7">
        <f t="shared" si="741"/>
        <v>0</v>
      </c>
      <c r="AT575" s="7">
        <f>IF(U575&gt;0,ROUNDDOWN(AL575*方案参数!$AF$18,0)*(1-AJ575)+ROUNDDOWN(AM575*方案参数!$AF$18,0)*AJ575,0)</f>
        <v>0</v>
      </c>
      <c r="AU575" s="7">
        <f t="shared" si="742"/>
        <v>117302.44</v>
      </c>
      <c r="AV575" s="1">
        <f t="shared" si="743"/>
        <v>2</v>
      </c>
      <c r="AW575" s="1">
        <f t="shared" si="810"/>
        <v>10</v>
      </c>
      <c r="AX575" s="1">
        <f t="shared" si="744"/>
        <v>2</v>
      </c>
      <c r="AY575" s="1">
        <f>MIN(20,MAX(0,O575+0+0-0))</f>
        <v>5</v>
      </c>
      <c r="AZ575" s="1">
        <f t="shared" si="745"/>
        <v>5</v>
      </c>
      <c r="BA575" s="1">
        <f t="shared" si="801"/>
        <v>5</v>
      </c>
      <c r="BB575" s="1">
        <f t="shared" si="809"/>
        <v>20</v>
      </c>
      <c r="BC575" s="1">
        <f t="shared" si="807"/>
        <v>3</v>
      </c>
      <c r="BD575" s="1">
        <f t="shared" si="788"/>
        <v>0</v>
      </c>
      <c r="BE575" s="1">
        <f>MAX(0,U575-IF(AF575&gt;0,1,0))+1</f>
        <v>1</v>
      </c>
      <c r="BF575" s="1">
        <f t="shared" si="811"/>
        <v>4</v>
      </c>
      <c r="BG575" s="1">
        <f t="shared" si="798"/>
        <v>1</v>
      </c>
      <c r="BH575" s="1">
        <f t="shared" si="782"/>
        <v>1</v>
      </c>
      <c r="BI575" s="1">
        <f t="shared" si="799"/>
        <v>1</v>
      </c>
      <c r="BJ575" s="1">
        <f t="shared" si="802"/>
        <v>1</v>
      </c>
      <c r="BK575" s="1">
        <f t="shared" si="803"/>
        <v>1</v>
      </c>
      <c r="BL575" s="1">
        <f t="shared" si="808"/>
        <v>1</v>
      </c>
      <c r="BM575" s="1">
        <f t="shared" si="806"/>
        <v>1</v>
      </c>
      <c r="BN575" s="1">
        <f t="shared" si="783"/>
        <v>1</v>
      </c>
      <c r="BO575" s="1">
        <f t="shared" si="784"/>
        <v>1</v>
      </c>
    </row>
    <row r="576" spans="1:67" ht="30.95" customHeight="1">
      <c r="A576" s="1">
        <f>15</f>
        <v>15</v>
      </c>
      <c r="B576" s="1">
        <f>固定流程!A36</f>
        <v>31</v>
      </c>
      <c r="C576" s="1">
        <f>18</f>
        <v>18</v>
      </c>
      <c r="D576" s="1">
        <f>2</f>
        <v>2</v>
      </c>
      <c r="E576" s="1">
        <f>固定流程!C36</f>
        <v>3</v>
      </c>
      <c r="F576" s="1">
        <f>固定流程!G36</f>
        <v>1</v>
      </c>
      <c r="G576" s="1" t="str">
        <f>固定流程!H36</f>
        <v>LILYA_THIRD</v>
      </c>
      <c r="H576" s="1">
        <f>固定流程!F36</f>
        <v>1</v>
      </c>
      <c r="I576" s="1">
        <f>INDEX(配置与结果!$B$15:$B$18,F576)</f>
        <v>2296</v>
      </c>
      <c r="J576" s="1">
        <f>INDEX(配置与结果!$D$15:$D$18,F576)</f>
        <v>0.7</v>
      </c>
      <c r="K576" s="1">
        <f>INDEX(配置与结果!$E$15:$E$18,F576)</f>
        <v>2.0249999999999999</v>
      </c>
      <c r="L576" s="1">
        <f t="shared" si="795"/>
        <v>2</v>
      </c>
      <c r="M576" s="1">
        <f t="shared" si="796"/>
        <v>10</v>
      </c>
      <c r="N576" s="1">
        <f t="shared" si="797"/>
        <v>2</v>
      </c>
      <c r="O576" s="1">
        <f t="shared" si="789"/>
        <v>5</v>
      </c>
      <c r="P576" s="1">
        <f>MIN(方案参数!$AI$18,AZ575+0+0)</f>
        <v>5</v>
      </c>
      <c r="Q576" s="1">
        <f t="shared" si="767"/>
        <v>5</v>
      </c>
      <c r="R576" s="1">
        <f t="shared" si="768"/>
        <v>20</v>
      </c>
      <c r="S576" s="1">
        <f t="shared" si="769"/>
        <v>3</v>
      </c>
      <c r="T576" s="1">
        <f t="shared" si="804"/>
        <v>0</v>
      </c>
      <c r="U576" s="1">
        <f t="shared" si="771"/>
        <v>1</v>
      </c>
      <c r="V576" s="1">
        <f t="shared" si="772"/>
        <v>4</v>
      </c>
      <c r="W576" s="1">
        <f t="shared" si="773"/>
        <v>1</v>
      </c>
      <c r="X576" s="1">
        <f t="shared" si="774"/>
        <v>1</v>
      </c>
      <c r="Y576" s="1">
        <f t="shared" si="775"/>
        <v>1</v>
      </c>
      <c r="Z576" s="1">
        <f t="shared" si="776"/>
        <v>1</v>
      </c>
      <c r="AA576" s="1">
        <f t="shared" si="800"/>
        <v>1</v>
      </c>
      <c r="AB576" s="1">
        <f t="shared" si="778"/>
        <v>1</v>
      </c>
      <c r="AC576" s="1">
        <f t="shared" si="805"/>
        <v>1</v>
      </c>
      <c r="AD576" s="1">
        <f>ROUNDDOWN(I576*(1+IF(F576=3,0.05+方案参数!$Y$18+AA576*0.12,IF(F576=4,方案参数!$BZ$18*方案参数!$AS$18,0)))+IF(AND(X576=1,F576&lt;&gt;3),方案参数!$CC$18,0)+AC576*方案参数!$CB$18,0)</f>
        <v>3034</v>
      </c>
      <c r="AE576" s="1">
        <f>IF(OR(F576=1,F576=4),配置与结果!$B$24,配置与结果!$B$25)*MAX(0,1-INDEX(配置与结果!$I$15:$I$18,F576))</f>
        <v>1200</v>
      </c>
      <c r="AF576" s="1">
        <f>方案参数!$BM$18</f>
        <v>20</v>
      </c>
      <c r="AG576" s="1">
        <f>MAX(配置与结果!$B$32,1+INDEX(配置与结果!$F$15:$F$18,F576)+0.08+方案参数!$CD$18+Q576*方案参数!$W$18+Y576*(方案参数!$AN$18+MIN(方案参数!$AO$18,P576*0.03))+AB576*方案参数!$BZ$18*0.025-配置与结果!$B$28+方案参数!$AE$18)</f>
        <v>2.6150000000000002</v>
      </c>
      <c r="AH576" s="1">
        <f>MAX(0,1+V576*方案参数!$U$18+7*方案参数!$V$18+方案参数!$AE$18-配置与结果!$B$29)</f>
        <v>1.98</v>
      </c>
      <c r="AI576" s="1">
        <f>IF(OR(INDEX(配置与结果!$K$15:$K$18,F576)=1,G576="RHI_BERRY"),1+配置与结果!$B$33+P576*方案参数!$AH$18,1)</f>
        <v>1</v>
      </c>
      <c r="AJ576" s="1">
        <f>MIN(1,MAX(0,J576+方案参数!$AB$18-配置与结果!$B$27))</f>
        <v>1</v>
      </c>
      <c r="AK576" s="1">
        <f>MAX(1,K576+IF(F576=2,0.15+方案参数!$CH$18,0)+BN576*方案参数!$X$18+R576*方案参数!$AA$18+方案参数!$BQ$18-配置与结果!$B$26+Z576*(方案参数!$AP$18+MIN(方案参数!$AQ$18,P576*0.03)))</f>
        <v>2.9650000000000003</v>
      </c>
      <c r="AL576" s="7">
        <f>ROUNDDOWN(MAX(AD576*配置与结果!$B$31,AD576-AE576)*AF576*AG576*AH576*AI576,0)</f>
        <v>189918</v>
      </c>
      <c r="AM576" s="7">
        <f>ROUNDDOWN(MAX(AD576*配置与结果!$B$31,AD576-AE576)*AF576*AG576*AH576*AI576*AK576,0)</f>
        <v>563106</v>
      </c>
      <c r="AN576" s="7">
        <f t="shared" si="738"/>
        <v>563106</v>
      </c>
      <c r="AO576" s="7">
        <f>0</f>
        <v>0</v>
      </c>
      <c r="AP576" s="7">
        <f>MAX(0,1+INDEX(配置与结果!$J$15:$J$18,F576)+IF(T576&gt;0,方案参数!$BY$18,0)-配置与结果!$B$30)</f>
        <v>1</v>
      </c>
      <c r="AQ576" s="7">
        <f t="shared" si="739"/>
        <v>0</v>
      </c>
      <c r="AR576" s="7">
        <f t="shared" si="740"/>
        <v>0</v>
      </c>
      <c r="AS576" s="7">
        <f t="shared" si="741"/>
        <v>0</v>
      </c>
      <c r="AT576" s="7">
        <f>IF(U576&gt;0,ROUNDDOWN(AL576*方案参数!$AF$18,0)*(1-AJ576)+ROUNDDOWN(AM576*方案参数!$AF$18,0)*AJ576,0)</f>
        <v>225242</v>
      </c>
      <c r="AU576" s="7">
        <f t="shared" si="742"/>
        <v>788348</v>
      </c>
      <c r="AV576" s="1">
        <f t="shared" si="743"/>
        <v>2</v>
      </c>
      <c r="AW576" s="1">
        <f t="shared" si="810"/>
        <v>10</v>
      </c>
      <c r="AX576" s="1">
        <f t="shared" si="744"/>
        <v>2</v>
      </c>
      <c r="AY576" s="1">
        <f>MIN(20,MAX(0,O576+0+1-0))</f>
        <v>6</v>
      </c>
      <c r="AZ576" s="1">
        <f t="shared" si="745"/>
        <v>5</v>
      </c>
      <c r="BA576" s="1">
        <f t="shared" si="801"/>
        <v>5</v>
      </c>
      <c r="BB576" s="1">
        <f t="shared" si="809"/>
        <v>20</v>
      </c>
      <c r="BC576" s="1">
        <f t="shared" si="807"/>
        <v>3</v>
      </c>
      <c r="BD576" s="1">
        <f t="shared" si="788"/>
        <v>0</v>
      </c>
      <c r="BE576" s="1">
        <f>MAX(0,U576-IF(AF576&gt;0,1,0))+0</f>
        <v>0</v>
      </c>
      <c r="BF576" s="1">
        <f t="shared" si="811"/>
        <v>4</v>
      </c>
      <c r="BG576" s="1">
        <f t="shared" si="798"/>
        <v>1</v>
      </c>
      <c r="BH576" s="1">
        <f t="shared" si="782"/>
        <v>1</v>
      </c>
      <c r="BI576" s="1">
        <f t="shared" si="799"/>
        <v>1</v>
      </c>
      <c r="BJ576" s="1">
        <f t="shared" si="802"/>
        <v>1</v>
      </c>
      <c r="BK576" s="1">
        <f t="shared" si="803"/>
        <v>1</v>
      </c>
      <c r="BL576" s="1">
        <f t="shared" si="808"/>
        <v>1</v>
      </c>
      <c r="BM576" s="1">
        <f t="shared" si="806"/>
        <v>1</v>
      </c>
      <c r="BN576" s="1">
        <f t="shared" si="783"/>
        <v>1</v>
      </c>
      <c r="BO576" s="1">
        <f t="shared" si="784"/>
        <v>1</v>
      </c>
    </row>
    <row r="577" spans="1:67" ht="30.95" customHeight="1">
      <c r="A577" s="1">
        <f>15</f>
        <v>15</v>
      </c>
      <c r="B577" s="1">
        <f>固定流程!A37</f>
        <v>32</v>
      </c>
      <c r="C577" s="1">
        <f>18</f>
        <v>18</v>
      </c>
      <c r="D577" s="1">
        <f>2</f>
        <v>2</v>
      </c>
      <c r="E577" s="1">
        <f>固定流程!C37</f>
        <v>3</v>
      </c>
      <c r="F577" s="1">
        <f>固定流程!G37</f>
        <v>1</v>
      </c>
      <c r="G577" s="1" t="str">
        <f>固定流程!H37</f>
        <v>LILYA_WEAK</v>
      </c>
      <c r="H577" s="1">
        <f>固定流程!F37</f>
        <v>1</v>
      </c>
      <c r="I577" s="1">
        <f>INDEX(配置与结果!$B$15:$B$18,F577)</f>
        <v>2296</v>
      </c>
      <c r="J577" s="1">
        <f>INDEX(配置与结果!$D$15:$D$18,F577)</f>
        <v>0.7</v>
      </c>
      <c r="K577" s="1">
        <f>INDEX(配置与结果!$E$15:$E$18,F577)</f>
        <v>2.0249999999999999</v>
      </c>
      <c r="L577" s="1">
        <f t="shared" si="795"/>
        <v>2</v>
      </c>
      <c r="M577" s="1">
        <f t="shared" si="796"/>
        <v>10</v>
      </c>
      <c r="N577" s="1">
        <f t="shared" si="797"/>
        <v>2</v>
      </c>
      <c r="O577" s="1">
        <f t="shared" si="789"/>
        <v>6</v>
      </c>
      <c r="P577" s="1">
        <f>MIN(方案参数!$AI$18,AZ576+0+0)</f>
        <v>5</v>
      </c>
      <c r="Q577" s="1">
        <f t="shared" si="767"/>
        <v>5</v>
      </c>
      <c r="R577" s="1">
        <f t="shared" si="768"/>
        <v>20</v>
      </c>
      <c r="S577" s="1">
        <f t="shared" si="769"/>
        <v>3</v>
      </c>
      <c r="T577" s="1">
        <f t="shared" si="804"/>
        <v>0</v>
      </c>
      <c r="U577" s="1">
        <f t="shared" si="771"/>
        <v>0</v>
      </c>
      <c r="V577" s="1">
        <f t="shared" si="772"/>
        <v>4</v>
      </c>
      <c r="W577" s="1">
        <f t="shared" si="773"/>
        <v>1</v>
      </c>
      <c r="X577" s="1">
        <f t="shared" si="774"/>
        <v>1</v>
      </c>
      <c r="Y577" s="1">
        <f t="shared" si="775"/>
        <v>1</v>
      </c>
      <c r="Z577" s="1">
        <f t="shared" si="776"/>
        <v>1</v>
      </c>
      <c r="AA577" s="1">
        <f t="shared" si="800"/>
        <v>1</v>
      </c>
      <c r="AB577" s="1">
        <f t="shared" si="778"/>
        <v>1</v>
      </c>
      <c r="AC577" s="1">
        <f t="shared" si="805"/>
        <v>1</v>
      </c>
      <c r="AD577" s="1">
        <f>ROUNDDOWN(I577*(1+IF(F577=3,0.05+方案参数!$Y$18+AA577*0.12,IF(F577=4,方案参数!$BZ$18*方案参数!$AS$18,0)))+IF(AND(X577=1,F577&lt;&gt;3),方案参数!$CC$18,0)+AC577*方案参数!$CB$18,0)</f>
        <v>3034</v>
      </c>
      <c r="AE577" s="1">
        <f>IF(OR(F577=1,F577=4),配置与结果!$B$24,配置与结果!$B$25)*MAX(0,1-INDEX(配置与结果!$I$15:$I$18,F577))</f>
        <v>1200</v>
      </c>
      <c r="AF577" s="1">
        <f>方案参数!$BL$18</f>
        <v>9</v>
      </c>
      <c r="AG577" s="1">
        <f>MAX(配置与结果!$B$32,1+INDEX(配置与结果!$F$15:$F$18,F577)+0.08+方案参数!$CD$18+Q577*方案参数!$W$18+Y577*(方案参数!$AN$18+MIN(方案参数!$AO$18,P577*0.03))+AB577*方案参数!$BZ$18*0.025-配置与结果!$B$28+方案参数!$AE$18)</f>
        <v>2.6150000000000002</v>
      </c>
      <c r="AH577" s="1">
        <f>MAX(0,1+V577*方案参数!$U$18+8*方案参数!$V$18+方案参数!$AE$18-配置与结果!$B$29)</f>
        <v>2.04</v>
      </c>
      <c r="AI577" s="1">
        <f>IF(OR(INDEX(配置与结果!$K$15:$K$18,F577)=1,G577="RHI_BERRY"),1+配置与结果!$B$33+P577*方案参数!$AH$18,1)</f>
        <v>1</v>
      </c>
      <c r="AJ577" s="1">
        <f>MIN(1,MAX(0,J577+方案参数!$AB$18-配置与结果!$B$27))</f>
        <v>1</v>
      </c>
      <c r="AK577" s="1">
        <f>MAX(1,K577+IF(F577=2,0.15+方案参数!$CH$18,0)+BN577*方案参数!$X$18+R577*方案参数!$AA$18+方案参数!$BP$18-配置与结果!$B$26+Z577*(方案参数!$AP$18+MIN(方案参数!$AQ$18,P577*0.03)))</f>
        <v>2.7650000000000001</v>
      </c>
      <c r="AL577" s="7">
        <f>ROUNDDOWN(MAX(AD577*配置与结果!$B$31,AD577-AE577)*AF577*AG577*AH577*AI577,0)</f>
        <v>88052</v>
      </c>
      <c r="AM577" s="7">
        <f>ROUNDDOWN(MAX(AD577*配置与结果!$B$31,AD577-AE577)*AF577*AG577*AH577*AI577*AK577,0)</f>
        <v>243466</v>
      </c>
      <c r="AN577" s="7">
        <f t="shared" si="738"/>
        <v>243466</v>
      </c>
      <c r="AO577" s="7">
        <f>0</f>
        <v>0</v>
      </c>
      <c r="AP577" s="7">
        <f>MAX(0,1+INDEX(配置与结果!$J$15:$J$18,F577)+IF(T577&gt;0,方案参数!$BY$18,0)-配置与结果!$B$30)</f>
        <v>1</v>
      </c>
      <c r="AQ577" s="7">
        <f t="shared" si="739"/>
        <v>0</v>
      </c>
      <c r="AR577" s="7">
        <f t="shared" si="740"/>
        <v>0</v>
      </c>
      <c r="AS577" s="7">
        <f t="shared" si="741"/>
        <v>0</v>
      </c>
      <c r="AT577" s="7">
        <f>IF(U577&gt;0,ROUNDDOWN(AL577*方案参数!$AF$18,0)*(1-AJ577)+ROUNDDOWN(AM577*方案参数!$AF$18,0)*AJ577,0)</f>
        <v>0</v>
      </c>
      <c r="AU577" s="7">
        <f t="shared" si="742"/>
        <v>243466</v>
      </c>
      <c r="AV577" s="1">
        <f t="shared" si="743"/>
        <v>2</v>
      </c>
      <c r="AW577" s="1">
        <f t="shared" si="810"/>
        <v>10</v>
      </c>
      <c r="AX577" s="1">
        <f t="shared" si="744"/>
        <v>2</v>
      </c>
      <c r="AY577" s="1">
        <f>MIN(20,MAX(0,O577+0+1-0))</f>
        <v>7</v>
      </c>
      <c r="AZ577" s="1">
        <f t="shared" si="745"/>
        <v>5</v>
      </c>
      <c r="BA577" s="1">
        <f t="shared" si="801"/>
        <v>5</v>
      </c>
      <c r="BB577" s="1">
        <f t="shared" si="809"/>
        <v>20</v>
      </c>
      <c r="BC577" s="1">
        <f t="shared" si="807"/>
        <v>3</v>
      </c>
      <c r="BD577" s="1">
        <f t="shared" si="788"/>
        <v>0</v>
      </c>
      <c r="BE577" s="1">
        <f>MAX(0,U577-IF(AF577&gt;0,1,0))+0</f>
        <v>0</v>
      </c>
      <c r="BF577" s="1">
        <f t="shared" si="811"/>
        <v>4</v>
      </c>
      <c r="BG577" s="1">
        <f t="shared" si="798"/>
        <v>1</v>
      </c>
      <c r="BH577" s="1">
        <f t="shared" si="782"/>
        <v>1</v>
      </c>
      <c r="BI577" s="1">
        <f t="shared" si="799"/>
        <v>1</v>
      </c>
      <c r="BJ577" s="1">
        <f t="shared" si="802"/>
        <v>1</v>
      </c>
      <c r="BK577" s="1">
        <f t="shared" si="803"/>
        <v>1</v>
      </c>
      <c r="BL577" s="1">
        <f t="shared" si="808"/>
        <v>1</v>
      </c>
      <c r="BM577" s="1">
        <f t="shared" si="806"/>
        <v>1</v>
      </c>
      <c r="BN577" s="1">
        <f t="shared" si="783"/>
        <v>1</v>
      </c>
      <c r="BO577" s="1">
        <f t="shared" si="784"/>
        <v>1</v>
      </c>
    </row>
    <row r="578" spans="1:67" ht="30.95" customHeight="1">
      <c r="A578" s="1">
        <f>15</f>
        <v>15</v>
      </c>
      <c r="B578" s="1">
        <f>固定流程!A38</f>
        <v>33</v>
      </c>
      <c r="C578" s="1">
        <f>18</f>
        <v>18</v>
      </c>
      <c r="D578" s="1">
        <f>2</f>
        <v>2</v>
      </c>
      <c r="E578" s="1">
        <f>固定流程!C38</f>
        <v>3</v>
      </c>
      <c r="F578" s="1">
        <f>固定流程!G38</f>
        <v>1</v>
      </c>
      <c r="G578" s="1" t="str">
        <f>固定流程!H38</f>
        <v>LILYA_WEAK</v>
      </c>
      <c r="H578" s="1">
        <f>固定流程!F38</f>
        <v>1</v>
      </c>
      <c r="I578" s="1">
        <f>INDEX(配置与结果!$B$15:$B$18,F578)</f>
        <v>2296</v>
      </c>
      <c r="J578" s="1">
        <f>INDEX(配置与结果!$D$15:$D$18,F578)</f>
        <v>0.7</v>
      </c>
      <c r="K578" s="1">
        <f>INDEX(配置与结果!$E$15:$E$18,F578)</f>
        <v>2.0249999999999999</v>
      </c>
      <c r="L578" s="1">
        <f t="shared" si="795"/>
        <v>2</v>
      </c>
      <c r="M578" s="1">
        <f t="shared" si="796"/>
        <v>10</v>
      </c>
      <c r="N578" s="1">
        <f t="shared" si="797"/>
        <v>2</v>
      </c>
      <c r="O578" s="1">
        <f t="shared" si="789"/>
        <v>7</v>
      </c>
      <c r="P578" s="1">
        <f>MIN(方案参数!$AI$18,AZ577+0+0)</f>
        <v>5</v>
      </c>
      <c r="Q578" s="1">
        <f t="shared" si="767"/>
        <v>5</v>
      </c>
      <c r="R578" s="1">
        <f t="shared" si="768"/>
        <v>20</v>
      </c>
      <c r="S578" s="1">
        <f t="shared" si="769"/>
        <v>3</v>
      </c>
      <c r="T578" s="1">
        <f t="shared" si="804"/>
        <v>0</v>
      </c>
      <c r="U578" s="1">
        <f t="shared" si="771"/>
        <v>0</v>
      </c>
      <c r="V578" s="1">
        <f t="shared" si="772"/>
        <v>4</v>
      </c>
      <c r="W578" s="1">
        <f t="shared" si="773"/>
        <v>1</v>
      </c>
      <c r="X578" s="1">
        <f t="shared" si="774"/>
        <v>1</v>
      </c>
      <c r="Y578" s="1">
        <f t="shared" si="775"/>
        <v>1</v>
      </c>
      <c r="Z578" s="1">
        <f t="shared" si="776"/>
        <v>1</v>
      </c>
      <c r="AA578" s="1">
        <f t="shared" si="800"/>
        <v>1</v>
      </c>
      <c r="AB578" s="1">
        <f t="shared" si="778"/>
        <v>1</v>
      </c>
      <c r="AC578" s="1">
        <f t="shared" si="805"/>
        <v>1</v>
      </c>
      <c r="AD578" s="1">
        <f>ROUNDDOWN(I578*(1+IF(F578=3,0.05+方案参数!$Y$18+AA578*0.12,IF(F578=4,方案参数!$BZ$18*方案参数!$AS$18,0)))+IF(AND(X578=1,F578&lt;&gt;3),方案参数!$CC$18,0)+AC578*方案参数!$CB$18,0)</f>
        <v>3034</v>
      </c>
      <c r="AE578" s="1">
        <f>IF(OR(F578=1,F578=4),配置与结果!$B$24,配置与结果!$B$25)*MAX(0,1-INDEX(配置与结果!$I$15:$I$18,F578))</f>
        <v>1200</v>
      </c>
      <c r="AF578" s="1">
        <f>方案参数!$BL$18</f>
        <v>9</v>
      </c>
      <c r="AG578" s="1">
        <f>MAX(配置与结果!$B$32,1+INDEX(配置与结果!$F$15:$F$18,F578)+0.08+方案参数!$CD$18+Q578*方案参数!$W$18+Y578*(方案参数!$AN$18+MIN(方案参数!$AO$18,P578*0.03))+AB578*方案参数!$BZ$18*0.025-配置与结果!$B$28+方案参数!$AE$18)</f>
        <v>2.6150000000000002</v>
      </c>
      <c r="AH578" s="1">
        <f>MAX(0,1+V578*方案参数!$U$18+9*方案参数!$V$18+方案参数!$AE$18-配置与结果!$B$29)</f>
        <v>2.1</v>
      </c>
      <c r="AI578" s="1">
        <f>IF(OR(INDEX(配置与结果!$K$15:$K$18,F578)=1,G578="RHI_BERRY"),1+配置与结果!$B$33+P578*方案参数!$AH$18,1)</f>
        <v>1</v>
      </c>
      <c r="AJ578" s="1">
        <f>MIN(1,MAX(0,J578+方案参数!$AB$18-配置与结果!$B$27))</f>
        <v>1</v>
      </c>
      <c r="AK578" s="1">
        <f>MAX(1,K578+IF(F578=2,0.15+方案参数!$CH$18,0)+BN578*方案参数!$X$18+R578*方案参数!$AA$18+方案参数!$BP$18-配置与结果!$B$26+Z578*(方案参数!$AP$18+MIN(方案参数!$AQ$18,P578*0.03)))</f>
        <v>2.7650000000000001</v>
      </c>
      <c r="AL578" s="7">
        <f>ROUNDDOWN(MAX(AD578*配置与结果!$B$31,AD578-AE578)*AF578*AG578*AH578*AI578,0)</f>
        <v>90642</v>
      </c>
      <c r="AM578" s="7">
        <f>ROUNDDOWN(MAX(AD578*配置与结果!$B$31,AD578-AE578)*AF578*AG578*AH578*AI578*AK578,0)</f>
        <v>250627</v>
      </c>
      <c r="AN578" s="7">
        <f t="shared" si="738"/>
        <v>250627</v>
      </c>
      <c r="AO578" s="7">
        <f>0</f>
        <v>0</v>
      </c>
      <c r="AP578" s="7">
        <f>MAX(0,1+INDEX(配置与结果!$J$15:$J$18,F578)+IF(T578&gt;0,方案参数!$BY$18,0)-配置与结果!$B$30)</f>
        <v>1</v>
      </c>
      <c r="AQ578" s="7">
        <f t="shared" si="739"/>
        <v>0</v>
      </c>
      <c r="AR578" s="7">
        <f t="shared" si="740"/>
        <v>0</v>
      </c>
      <c r="AS578" s="7">
        <f t="shared" si="741"/>
        <v>0</v>
      </c>
      <c r="AT578" s="7">
        <f>IF(U578&gt;0,ROUNDDOWN(AL578*方案参数!$AF$18,0)*(1-AJ578)+ROUNDDOWN(AM578*方案参数!$AF$18,0)*AJ578,0)</f>
        <v>0</v>
      </c>
      <c r="AU578" s="7">
        <f t="shared" si="742"/>
        <v>250627</v>
      </c>
      <c r="AV578" s="1">
        <f t="shared" si="743"/>
        <v>2</v>
      </c>
      <c r="AW578" s="1">
        <f t="shared" si="810"/>
        <v>10</v>
      </c>
      <c r="AX578" s="1">
        <f t="shared" si="744"/>
        <v>2</v>
      </c>
      <c r="AY578" s="1">
        <f>MIN(20,MAX(0,O578+0+1-0))</f>
        <v>8</v>
      </c>
      <c r="AZ578" s="1">
        <f t="shared" si="745"/>
        <v>5</v>
      </c>
      <c r="BA578" s="1">
        <f t="shared" si="801"/>
        <v>5</v>
      </c>
      <c r="BB578" s="1">
        <f t="shared" si="809"/>
        <v>20</v>
      </c>
      <c r="BC578" s="1">
        <f t="shared" si="807"/>
        <v>3</v>
      </c>
      <c r="BD578" s="1">
        <f t="shared" si="788"/>
        <v>0</v>
      </c>
      <c r="BE578" s="1">
        <f>MAX(0,U578-IF(AF578&gt;0,1,0))+0</f>
        <v>0</v>
      </c>
      <c r="BF578" s="1">
        <f t="shared" si="811"/>
        <v>4</v>
      </c>
      <c r="BG578" s="1">
        <f t="shared" si="798"/>
        <v>1</v>
      </c>
      <c r="BH578" s="1">
        <f t="shared" si="782"/>
        <v>1</v>
      </c>
      <c r="BI578" s="1">
        <f t="shared" si="799"/>
        <v>1</v>
      </c>
      <c r="BJ578" s="1">
        <f t="shared" si="802"/>
        <v>1</v>
      </c>
      <c r="BK578" s="1">
        <f t="shared" si="803"/>
        <v>1</v>
      </c>
      <c r="BL578" s="1">
        <f t="shared" si="808"/>
        <v>1</v>
      </c>
      <c r="BM578" s="1">
        <f t="shared" si="806"/>
        <v>1</v>
      </c>
      <c r="BN578" s="1">
        <f t="shared" si="783"/>
        <v>1</v>
      </c>
      <c r="BO578" s="1">
        <f t="shared" si="784"/>
        <v>1</v>
      </c>
    </row>
    <row r="579" spans="1:67" ht="30.95" customHeight="1">
      <c r="A579" s="1">
        <f>15</f>
        <v>15</v>
      </c>
      <c r="B579" s="1">
        <f>固定流程!A39</f>
        <v>34</v>
      </c>
      <c r="C579" s="1">
        <f>18</f>
        <v>18</v>
      </c>
      <c r="D579" s="1">
        <f>2</f>
        <v>2</v>
      </c>
      <c r="E579" s="1">
        <f>固定流程!C39</f>
        <v>3</v>
      </c>
      <c r="F579" s="1">
        <f>固定流程!G39</f>
        <v>2</v>
      </c>
      <c r="G579" s="1" t="str">
        <f>固定流程!H39</f>
        <v>37_WEAK</v>
      </c>
      <c r="H579" s="1">
        <f>固定流程!F39</f>
        <v>1</v>
      </c>
      <c r="I579" s="1">
        <f>INDEX(配置与结果!$B$15:$B$18,F579)</f>
        <v>2306</v>
      </c>
      <c r="J579" s="1">
        <f>INDEX(配置与结果!$D$15:$D$18,F579)</f>
        <v>0.46</v>
      </c>
      <c r="K579" s="1">
        <f>INDEX(配置与结果!$E$15:$E$18,F579)</f>
        <v>1.9279999999999999</v>
      </c>
      <c r="L579" s="1">
        <f t="shared" si="795"/>
        <v>2</v>
      </c>
      <c r="M579" s="1">
        <f t="shared" si="796"/>
        <v>10</v>
      </c>
      <c r="N579" s="1">
        <f t="shared" si="797"/>
        <v>2</v>
      </c>
      <c r="O579" s="1">
        <f t="shared" si="789"/>
        <v>8</v>
      </c>
      <c r="P579" s="1">
        <f>MIN(方案参数!$AI$18,AZ578+0+0)</f>
        <v>5</v>
      </c>
      <c r="Q579" s="1">
        <f t="shared" si="767"/>
        <v>5</v>
      </c>
      <c r="R579" s="1">
        <f t="shared" si="768"/>
        <v>20</v>
      </c>
      <c r="S579" s="1">
        <f t="shared" si="769"/>
        <v>3</v>
      </c>
      <c r="T579" s="1">
        <f t="shared" si="804"/>
        <v>0</v>
      </c>
      <c r="U579" s="1">
        <f t="shared" si="771"/>
        <v>0</v>
      </c>
      <c r="V579" s="1">
        <f t="shared" si="772"/>
        <v>4</v>
      </c>
      <c r="W579" s="1">
        <f t="shared" si="773"/>
        <v>1</v>
      </c>
      <c r="X579" s="1">
        <f t="shared" si="774"/>
        <v>1</v>
      </c>
      <c r="Y579" s="1">
        <f t="shared" si="775"/>
        <v>1</v>
      </c>
      <c r="Z579" s="1">
        <f t="shared" si="776"/>
        <v>1</v>
      </c>
      <c r="AA579" s="1">
        <f t="shared" si="800"/>
        <v>1</v>
      </c>
      <c r="AB579" s="1">
        <f t="shared" si="778"/>
        <v>1</v>
      </c>
      <c r="AC579" s="1">
        <f t="shared" si="805"/>
        <v>1</v>
      </c>
      <c r="AD579" s="1">
        <f>ROUNDDOWN(I579*(1+IF(F579=3,0.05+方案参数!$Y$18+AA579*0.12,IF(F579=4,方案参数!$BZ$18*方案参数!$AS$18,0)))+IF(AND(X579=1,F579&lt;&gt;3),方案参数!$CC$18,0)+AC579*方案参数!$CB$18,0)</f>
        <v>3044</v>
      </c>
      <c r="AE579" s="1">
        <f>IF(OR(F579=1,F579=4),配置与结果!$B$24,配置与结果!$B$25)*MAX(0,1-INDEX(配置与结果!$I$15:$I$18,F579))</f>
        <v>1000</v>
      </c>
      <c r="AF579" s="1">
        <f>方案参数!$CE$18</f>
        <v>8</v>
      </c>
      <c r="AG579" s="1">
        <f>MAX(配置与结果!$B$32,1+INDEX(配置与结果!$F$15:$F$18,F579)+0+Q579*方案参数!$W$18+Y579*(方案参数!$AN$18+MIN(方案参数!$AO$18,P579*0.03))+AB579*方案参数!$BZ$18*0.025-配置与结果!$B$28+方案参数!$AE$18)</f>
        <v>2.2800000000000002</v>
      </c>
      <c r="AH579" s="1">
        <f>MAX(0,1+V579*方案参数!$U$18+方案参数!$AE$18-配置与结果!$B$29)</f>
        <v>1.56</v>
      </c>
      <c r="AI579" s="1">
        <f>IF(OR(INDEX(配置与结果!$K$15:$K$18,F579)=1,G579="RHI_BERRY"),1+配置与结果!$B$33+P579*方案参数!$AH$18,1)</f>
        <v>1</v>
      </c>
      <c r="AJ579" s="1">
        <f>MIN(1,MAX(0,J579+方案参数!$AB$18-配置与结果!$B$27))</f>
        <v>0.76</v>
      </c>
      <c r="AK579" s="1">
        <f>MAX(1,K579+IF(F579=2,0.15+方案参数!$CH$18,0)+BN579*方案参数!$X$18+R579*方案参数!$AA$18+0-配置与结果!$B$26+Z579*(方案参数!$AP$18+MIN(方案参数!$AQ$18,P579*0.03)))</f>
        <v>2.3380000000000001</v>
      </c>
      <c r="AL579" s="7">
        <f>ROUNDDOWN(MAX(AD579*配置与结果!$B$31,AD579-AE579)*AF579*AG579*AH579*AI579,0)</f>
        <v>58160</v>
      </c>
      <c r="AM579" s="7">
        <f>ROUNDDOWN(MAX(AD579*配置与结果!$B$31,AD579-AE579)*AF579*AG579*AH579*AI579*AK579,0)</f>
        <v>135979</v>
      </c>
      <c r="AN579" s="7">
        <f t="shared" si="738"/>
        <v>117302.44</v>
      </c>
      <c r="AO579" s="7">
        <f>0</f>
        <v>0</v>
      </c>
      <c r="AP579" s="7">
        <f>MAX(0,1+INDEX(配置与结果!$J$15:$J$18,F579)+IF(T579&gt;0,方案参数!$BY$18,0)-配置与结果!$B$30)</f>
        <v>1</v>
      </c>
      <c r="AQ579" s="7">
        <f t="shared" si="739"/>
        <v>0</v>
      </c>
      <c r="AR579" s="7">
        <f t="shared" si="740"/>
        <v>0</v>
      </c>
      <c r="AS579" s="7">
        <f t="shared" si="741"/>
        <v>0</v>
      </c>
      <c r="AT579" s="7">
        <f>IF(U579&gt;0,ROUNDDOWN(AL579*方案参数!$AF$18,0)*(1-AJ579)+ROUNDDOWN(AM579*方案参数!$AF$18,0)*AJ579,0)</f>
        <v>0</v>
      </c>
      <c r="AU579" s="7">
        <f t="shared" si="742"/>
        <v>117302.44</v>
      </c>
      <c r="AV579" s="1">
        <f t="shared" si="743"/>
        <v>2</v>
      </c>
      <c r="AW579" s="1">
        <f t="shared" si="810"/>
        <v>10</v>
      </c>
      <c r="AX579" s="1">
        <f t="shared" si="744"/>
        <v>2</v>
      </c>
      <c r="AY579" s="1">
        <f>MIN(20,MAX(0,O579+0+0-0))</f>
        <v>8</v>
      </c>
      <c r="AZ579" s="1">
        <f t="shared" si="745"/>
        <v>5</v>
      </c>
      <c r="BA579" s="1">
        <f t="shared" si="801"/>
        <v>5</v>
      </c>
      <c r="BB579" s="1">
        <f t="shared" si="809"/>
        <v>20</v>
      </c>
      <c r="BC579" s="1">
        <f t="shared" si="807"/>
        <v>3</v>
      </c>
      <c r="BD579" s="1">
        <f t="shared" si="788"/>
        <v>0</v>
      </c>
      <c r="BE579" s="1">
        <f>MAX(0,U579-IF(AF579&gt;0,1,0))+1</f>
        <v>1</v>
      </c>
      <c r="BF579" s="1">
        <f t="shared" si="811"/>
        <v>4</v>
      </c>
      <c r="BG579" s="1">
        <f t="shared" si="798"/>
        <v>1</v>
      </c>
      <c r="BH579" s="1">
        <f t="shared" si="782"/>
        <v>1</v>
      </c>
      <c r="BI579" s="1">
        <f t="shared" si="799"/>
        <v>1</v>
      </c>
      <c r="BJ579" s="1">
        <f t="shared" si="802"/>
        <v>1</v>
      </c>
      <c r="BK579" s="1">
        <f t="shared" si="803"/>
        <v>1</v>
      </c>
      <c r="BL579" s="1">
        <f t="shared" si="808"/>
        <v>1</v>
      </c>
      <c r="BM579" s="1">
        <f t="shared" si="806"/>
        <v>1</v>
      </c>
      <c r="BN579" s="1">
        <f t="shared" si="783"/>
        <v>1</v>
      </c>
      <c r="BO579" s="1">
        <f t="shared" si="784"/>
        <v>1</v>
      </c>
    </row>
    <row r="580" spans="1:67" ht="30.95" customHeight="1">
      <c r="A580" s="1">
        <f>15</f>
        <v>15</v>
      </c>
      <c r="B580" s="1">
        <f>固定流程!A40</f>
        <v>35</v>
      </c>
      <c r="C580" s="1">
        <f>18</f>
        <v>18</v>
      </c>
      <c r="D580" s="1">
        <f>2</f>
        <v>2</v>
      </c>
      <c r="E580" s="1">
        <f>固定流程!C40</f>
        <v>3</v>
      </c>
      <c r="F580" s="1">
        <f>固定流程!G40</f>
        <v>2</v>
      </c>
      <c r="G580" s="1" t="str">
        <f>固定流程!H40</f>
        <v>37_WEAK</v>
      </c>
      <c r="H580" s="1">
        <f>固定流程!F40</f>
        <v>1</v>
      </c>
      <c r="I580" s="1">
        <f>INDEX(配置与结果!$B$15:$B$18,F580)</f>
        <v>2306</v>
      </c>
      <c r="J580" s="1">
        <f>INDEX(配置与结果!$D$15:$D$18,F580)</f>
        <v>0.46</v>
      </c>
      <c r="K580" s="1">
        <f>INDEX(配置与结果!$E$15:$E$18,F580)</f>
        <v>1.9279999999999999</v>
      </c>
      <c r="L580" s="1">
        <f t="shared" si="795"/>
        <v>2</v>
      </c>
      <c r="M580" s="1">
        <f t="shared" si="796"/>
        <v>10</v>
      </c>
      <c r="N580" s="1">
        <f t="shared" si="797"/>
        <v>2</v>
      </c>
      <c r="O580" s="1">
        <f t="shared" si="789"/>
        <v>8</v>
      </c>
      <c r="P580" s="1">
        <f>MIN(方案参数!$AI$18,AZ579+0+0)</f>
        <v>5</v>
      </c>
      <c r="Q580" s="1">
        <f t="shared" si="767"/>
        <v>5</v>
      </c>
      <c r="R580" s="1">
        <f t="shared" si="768"/>
        <v>20</v>
      </c>
      <c r="S580" s="1">
        <f t="shared" si="769"/>
        <v>3</v>
      </c>
      <c r="T580" s="1">
        <f t="shared" si="804"/>
        <v>0</v>
      </c>
      <c r="U580" s="1">
        <f t="shared" si="771"/>
        <v>1</v>
      </c>
      <c r="V580" s="1">
        <f t="shared" si="772"/>
        <v>4</v>
      </c>
      <c r="W580" s="1">
        <f t="shared" si="773"/>
        <v>1</v>
      </c>
      <c r="X580" s="1">
        <f t="shared" si="774"/>
        <v>1</v>
      </c>
      <c r="Y580" s="1">
        <f t="shared" si="775"/>
        <v>1</v>
      </c>
      <c r="Z580" s="1">
        <f t="shared" si="776"/>
        <v>1</v>
      </c>
      <c r="AA580" s="1">
        <f t="shared" si="800"/>
        <v>1</v>
      </c>
      <c r="AB580" s="1">
        <f t="shared" si="778"/>
        <v>1</v>
      </c>
      <c r="AC580" s="1">
        <f t="shared" si="805"/>
        <v>1</v>
      </c>
      <c r="AD580" s="1">
        <f>ROUNDDOWN(I580*(1+IF(F580=3,0.05+方案参数!$Y$18+AA580*0.12,IF(F580=4,方案参数!$BZ$18*方案参数!$AS$18,0)))+IF(AND(X580=1,F580&lt;&gt;3),方案参数!$CC$18,0)+AC580*方案参数!$CB$18,0)</f>
        <v>3044</v>
      </c>
      <c r="AE580" s="1">
        <f>IF(OR(F580=1,F580=4),配置与结果!$B$24,配置与结果!$B$25)*MAX(0,1-INDEX(配置与结果!$I$15:$I$18,F580))</f>
        <v>1000</v>
      </c>
      <c r="AF580" s="1">
        <f>方案参数!$CE$18</f>
        <v>8</v>
      </c>
      <c r="AG580" s="1">
        <f>MAX(配置与结果!$B$32,1+INDEX(配置与结果!$F$15:$F$18,F580)+0+Q580*方案参数!$W$18+Y580*(方案参数!$AN$18+MIN(方案参数!$AO$18,P580*0.03))+AB580*方案参数!$BZ$18*0.025-配置与结果!$B$28+方案参数!$AE$18)</f>
        <v>2.2800000000000002</v>
      </c>
      <c r="AH580" s="1">
        <f>MAX(0,1+V580*方案参数!$U$18+方案参数!$AE$18-配置与结果!$B$29)</f>
        <v>1.56</v>
      </c>
      <c r="AI580" s="1">
        <f>IF(OR(INDEX(配置与结果!$K$15:$K$18,F580)=1,G580="RHI_BERRY"),1+配置与结果!$B$33+P580*方案参数!$AH$18,1)</f>
        <v>1</v>
      </c>
      <c r="AJ580" s="1">
        <f>MIN(1,MAX(0,J580+方案参数!$AB$18-配置与结果!$B$27))</f>
        <v>0.76</v>
      </c>
      <c r="AK580" s="1">
        <f>MAX(1,K580+IF(F580=2,0.15+方案参数!$CH$18,0)+BN580*方案参数!$X$18+R580*方案参数!$AA$18+0-配置与结果!$B$26+Z580*(方案参数!$AP$18+MIN(方案参数!$AQ$18,P580*0.03)))</f>
        <v>2.3380000000000001</v>
      </c>
      <c r="AL580" s="7">
        <f>ROUNDDOWN(MAX(AD580*配置与结果!$B$31,AD580-AE580)*AF580*AG580*AH580*AI580,0)</f>
        <v>58160</v>
      </c>
      <c r="AM580" s="7">
        <f>ROUNDDOWN(MAX(AD580*配置与结果!$B$31,AD580-AE580)*AF580*AG580*AH580*AI580*AK580,0)</f>
        <v>135979</v>
      </c>
      <c r="AN580" s="7">
        <f t="shared" si="738"/>
        <v>117302.44</v>
      </c>
      <c r="AO580" s="7">
        <f>0</f>
        <v>0</v>
      </c>
      <c r="AP580" s="7">
        <f>MAX(0,1+INDEX(配置与结果!$J$15:$J$18,F580)+IF(T580&gt;0,方案参数!$BY$18,0)-配置与结果!$B$30)</f>
        <v>1</v>
      </c>
      <c r="AQ580" s="7">
        <f t="shared" si="739"/>
        <v>0</v>
      </c>
      <c r="AR580" s="7">
        <f t="shared" si="740"/>
        <v>0</v>
      </c>
      <c r="AS580" s="7">
        <f t="shared" si="741"/>
        <v>0</v>
      </c>
      <c r="AT580" s="7">
        <f>IF(U580&gt;0,ROUNDDOWN(AL580*方案参数!$AF$18,0)*(1-AJ580)+ROUNDDOWN(AM580*方案参数!$AF$18,0)*AJ580,0)</f>
        <v>46920.520000000004</v>
      </c>
      <c r="AU580" s="7">
        <f t="shared" si="742"/>
        <v>164222.96000000002</v>
      </c>
      <c r="AV580" s="1">
        <f t="shared" si="743"/>
        <v>2</v>
      </c>
      <c r="AW580" s="1">
        <f t="shared" si="810"/>
        <v>10</v>
      </c>
      <c r="AX580" s="1">
        <f t="shared" si="744"/>
        <v>2</v>
      </c>
      <c r="AY580" s="1">
        <f>MIN(20,MAX(0,O580+0+0-0))</f>
        <v>8</v>
      </c>
      <c r="AZ580" s="1">
        <f t="shared" si="745"/>
        <v>5</v>
      </c>
      <c r="BA580" s="1">
        <f t="shared" si="801"/>
        <v>5</v>
      </c>
      <c r="BB580" s="1">
        <f t="shared" si="809"/>
        <v>20</v>
      </c>
      <c r="BC580" s="1">
        <f t="shared" si="807"/>
        <v>3</v>
      </c>
      <c r="BD580" s="1">
        <f t="shared" si="788"/>
        <v>0</v>
      </c>
      <c r="BE580" s="1">
        <f>MAX(0,U580-IF(AF580&gt;0,1,0))+1</f>
        <v>1</v>
      </c>
      <c r="BF580" s="1">
        <f t="shared" si="811"/>
        <v>4</v>
      </c>
      <c r="BG580" s="1">
        <f t="shared" si="798"/>
        <v>1</v>
      </c>
      <c r="BH580" s="1">
        <f t="shared" si="782"/>
        <v>1</v>
      </c>
      <c r="BI580" s="1">
        <f t="shared" si="799"/>
        <v>1</v>
      </c>
      <c r="BJ580" s="1">
        <f t="shared" si="802"/>
        <v>1</v>
      </c>
      <c r="BK580" s="1">
        <f t="shared" si="803"/>
        <v>1</v>
      </c>
      <c r="BL580" s="1">
        <f t="shared" si="808"/>
        <v>1</v>
      </c>
      <c r="BM580" s="1">
        <f t="shared" si="806"/>
        <v>1</v>
      </c>
      <c r="BN580" s="1">
        <f t="shared" si="783"/>
        <v>1</v>
      </c>
      <c r="BO580" s="1">
        <f t="shared" si="784"/>
        <v>1</v>
      </c>
    </row>
    <row r="581" spans="1:67" ht="30.95" customHeight="1">
      <c r="A581" s="1">
        <f>15</f>
        <v>15</v>
      </c>
      <c r="B581" s="1">
        <f>固定流程!A41</f>
        <v>36</v>
      </c>
      <c r="C581" s="1">
        <f>18</f>
        <v>18</v>
      </c>
      <c r="D581" s="1">
        <f>2</f>
        <v>2</v>
      </c>
      <c r="E581" s="1">
        <f>固定流程!C41</f>
        <v>3</v>
      </c>
      <c r="F581" s="1">
        <f>固定流程!G41</f>
        <v>1</v>
      </c>
      <c r="G581" s="1" t="str">
        <f>固定流程!H41</f>
        <v>LILYA_FINISH</v>
      </c>
      <c r="H581" s="1">
        <f>固定流程!F41</f>
        <v>1</v>
      </c>
      <c r="I581" s="1">
        <f>INDEX(配置与结果!$B$15:$B$18,F581)</f>
        <v>2296</v>
      </c>
      <c r="J581" s="1">
        <f>INDEX(配置与结果!$D$15:$D$18,F581)</f>
        <v>0.7</v>
      </c>
      <c r="K581" s="1">
        <f>INDEX(配置与结果!$E$15:$E$18,F581)</f>
        <v>2.0249999999999999</v>
      </c>
      <c r="L581" s="1">
        <f t="shared" si="795"/>
        <v>2</v>
      </c>
      <c r="M581" s="1">
        <f t="shared" si="796"/>
        <v>10</v>
      </c>
      <c r="N581" s="1">
        <f t="shared" si="797"/>
        <v>2</v>
      </c>
      <c r="O581" s="1">
        <f t="shared" si="789"/>
        <v>8</v>
      </c>
      <c r="P581" s="1">
        <f>MIN(方案参数!$AI$18,AZ580+0+0)</f>
        <v>5</v>
      </c>
      <c r="Q581" s="1">
        <f t="shared" si="767"/>
        <v>5</v>
      </c>
      <c r="R581" s="1">
        <f t="shared" si="768"/>
        <v>20</v>
      </c>
      <c r="S581" s="1">
        <f t="shared" si="769"/>
        <v>3</v>
      </c>
      <c r="T581" s="1">
        <f t="shared" si="804"/>
        <v>0</v>
      </c>
      <c r="U581" s="1">
        <f t="shared" si="771"/>
        <v>1</v>
      </c>
      <c r="V581" s="1">
        <f t="shared" si="772"/>
        <v>4</v>
      </c>
      <c r="W581" s="1">
        <f t="shared" si="773"/>
        <v>1</v>
      </c>
      <c r="X581" s="1">
        <f t="shared" si="774"/>
        <v>1</v>
      </c>
      <c r="Y581" s="1">
        <f t="shared" si="775"/>
        <v>1</v>
      </c>
      <c r="Z581" s="1">
        <f t="shared" si="776"/>
        <v>1</v>
      </c>
      <c r="AA581" s="1">
        <f t="shared" si="800"/>
        <v>1</v>
      </c>
      <c r="AB581" s="1">
        <f t="shared" si="778"/>
        <v>1</v>
      </c>
      <c r="AC581" s="1">
        <f t="shared" si="805"/>
        <v>1</v>
      </c>
      <c r="AD581" s="1">
        <f>ROUNDDOWN(I581*(1+IF(F581=3,0.05+方案参数!$Y$18+AA581*0.12,IF(F581=4,方案参数!$BZ$18*方案参数!$AS$18,0)))+IF(AND(X581=1,F581&lt;&gt;3),方案参数!$CC$18,0)+AC581*方案参数!$CB$18,0)</f>
        <v>3034</v>
      </c>
      <c r="AE581" s="1">
        <f>IF(OR(F581=1,F581=4),配置与结果!$B$24,配置与结果!$B$25)*MAX(0,1-INDEX(配置与结果!$I$15:$I$18,F581))</f>
        <v>1200</v>
      </c>
      <c r="AF581" s="1">
        <f>方案参数!$BN$18+12*方案参数!$BO$18</f>
        <v>48</v>
      </c>
      <c r="AG581" s="1">
        <f>MAX(配置与结果!$B$32,1+INDEX(配置与结果!$F$15:$F$18,F581)+0.08+方案参数!$CD$18+Q581*方案参数!$W$18+Y581*(方案参数!$AN$18+MIN(方案参数!$AO$18,P581*0.03))+AB581*方案参数!$BZ$18*0.025-配置与结果!$B$28+方案参数!$AE$18)</f>
        <v>2.6150000000000002</v>
      </c>
      <c r="AH581" s="1">
        <f>MAX(0,1+V581*方案参数!$U$18+12*方案参数!$V$18+方案参数!$AE$18-配置与结果!$B$29)</f>
        <v>2.2799999999999998</v>
      </c>
      <c r="AI581" s="1">
        <f>IF(OR(INDEX(配置与结果!$K$15:$K$18,F581)=1,G581="RHI_BERRY"),1+配置与结果!$B$33+P581*方案参数!$AH$18,1)</f>
        <v>1</v>
      </c>
      <c r="AJ581" s="1">
        <f>MIN(1,MAX(0,J581+方案参数!$AB$18-配置与结果!$B$27))</f>
        <v>1</v>
      </c>
      <c r="AK581" s="1">
        <f>MAX(1,K581+IF(F581=2,0.15+方案参数!$CH$18,0)+BN581*方案参数!$X$18+R581*方案参数!$AA$18+方案参数!$BR$18-配置与结果!$B$26+Z581*(方案参数!$AP$18+MIN(方案参数!$AQ$18,P581*0.03)))</f>
        <v>3.165</v>
      </c>
      <c r="AL581" s="7">
        <f>ROUNDDOWN(MAX(AD581*配置与结果!$B$31,AD581-AE581)*AF581*AG581*AH581*AI581,0)</f>
        <v>524864</v>
      </c>
      <c r="AM581" s="7">
        <f>ROUNDDOWN(MAX(AD581*配置与结果!$B$31,AD581-AE581)*AF581*AG581*AH581*AI581*AK581,0)</f>
        <v>1661195</v>
      </c>
      <c r="AN581" s="7">
        <f t="shared" si="738"/>
        <v>1661195</v>
      </c>
      <c r="AO581" s="7">
        <f>0</f>
        <v>0</v>
      </c>
      <c r="AP581" s="7">
        <f>MAX(0,1+INDEX(配置与结果!$J$15:$J$18,F581)+IF(T581&gt;0,方案参数!$BY$18,0)-配置与结果!$B$30)</f>
        <v>1</v>
      </c>
      <c r="AQ581" s="7">
        <f t="shared" si="739"/>
        <v>0</v>
      </c>
      <c r="AR581" s="7">
        <f t="shared" si="740"/>
        <v>0</v>
      </c>
      <c r="AS581" s="7">
        <f t="shared" si="741"/>
        <v>0</v>
      </c>
      <c r="AT581" s="7">
        <f>IF(U581&gt;0,ROUNDDOWN(AL581*方案参数!$AF$18,0)*(1-AJ581)+ROUNDDOWN(AM581*方案参数!$AF$18,0)*AJ581,0)</f>
        <v>664478</v>
      </c>
      <c r="AU581" s="7">
        <f t="shared" si="742"/>
        <v>2325673</v>
      </c>
      <c r="AV581" s="1">
        <f t="shared" si="743"/>
        <v>2</v>
      </c>
      <c r="AW581" s="1">
        <f t="shared" si="810"/>
        <v>10</v>
      </c>
      <c r="AX581" s="1">
        <f t="shared" si="744"/>
        <v>2</v>
      </c>
      <c r="AY581" s="1">
        <f>MIN(20,MAX(0,O581+0+1-0))</f>
        <v>9</v>
      </c>
      <c r="AZ581" s="1">
        <f t="shared" si="745"/>
        <v>5</v>
      </c>
      <c r="BA581" s="1">
        <f t="shared" si="801"/>
        <v>5</v>
      </c>
      <c r="BB581" s="1">
        <f t="shared" si="809"/>
        <v>20</v>
      </c>
      <c r="BC581" s="1">
        <f t="shared" si="807"/>
        <v>3</v>
      </c>
      <c r="BD581" s="1">
        <f t="shared" si="788"/>
        <v>0</v>
      </c>
      <c r="BE581" s="1">
        <f>MAX(0,U581-IF(AF581&gt;0,1,0))+0</f>
        <v>0</v>
      </c>
      <c r="BF581" s="1">
        <f t="shared" si="811"/>
        <v>4</v>
      </c>
      <c r="BG581" s="1">
        <f t="shared" si="798"/>
        <v>1</v>
      </c>
      <c r="BH581" s="1">
        <f t="shared" si="782"/>
        <v>1</v>
      </c>
      <c r="BI581" s="1">
        <f t="shared" si="799"/>
        <v>1</v>
      </c>
      <c r="BJ581" s="1">
        <f t="shared" si="802"/>
        <v>1</v>
      </c>
      <c r="BK581" s="1">
        <f t="shared" si="803"/>
        <v>1</v>
      </c>
      <c r="BL581" s="1">
        <f t="shared" si="808"/>
        <v>1</v>
      </c>
      <c r="BM581" s="1">
        <f t="shared" si="806"/>
        <v>1</v>
      </c>
      <c r="BN581" s="1">
        <f t="shared" si="783"/>
        <v>1</v>
      </c>
      <c r="BO581" s="1">
        <f t="shared" si="784"/>
        <v>1</v>
      </c>
    </row>
    <row r="582" spans="1:67" ht="30.95" customHeight="1">
      <c r="A582" s="1">
        <f>16</f>
        <v>16</v>
      </c>
      <c r="B582" s="1">
        <f>固定流程!A6</f>
        <v>1</v>
      </c>
      <c r="C582" s="1">
        <f>19</f>
        <v>19</v>
      </c>
      <c r="D582" s="1">
        <f>1</f>
        <v>1</v>
      </c>
      <c r="E582" s="1">
        <f>固定流程!C6</f>
        <v>1</v>
      </c>
      <c r="F582" s="1">
        <f>固定流程!G6</f>
        <v>3</v>
      </c>
      <c r="G582" s="1" t="str">
        <f>固定流程!H6</f>
        <v>RHI_ULT</v>
      </c>
      <c r="H582" s="1">
        <f>固定流程!F6</f>
        <v>1</v>
      </c>
      <c r="I582" s="1">
        <f>INDEX(配置与结果!$B$15:$B$18,F582)</f>
        <v>2597</v>
      </c>
      <c r="J582" s="1">
        <f>INDEX(配置与结果!$D$15:$D$18,F582)</f>
        <v>0.255</v>
      </c>
      <c r="K582" s="1">
        <f>INDEX(配置与结果!$E$15:$E$18,F582)</f>
        <v>1.55</v>
      </c>
      <c r="L582" s="1">
        <f>0</f>
        <v>0</v>
      </c>
      <c r="M582" s="1">
        <f>0</f>
        <v>0</v>
      </c>
      <c r="N582" s="1">
        <f>0</f>
        <v>0</v>
      </c>
      <c r="O582" s="1">
        <f>0</f>
        <v>0</v>
      </c>
      <c r="P582" s="1">
        <f>MIN(方案参数!$AI$19,0+方案参数!$AJ$19+0)</f>
        <v>1</v>
      </c>
      <c r="Q582" s="1">
        <f>0</f>
        <v>0</v>
      </c>
      <c r="R582" s="1">
        <f>0</f>
        <v>0</v>
      </c>
      <c r="S582" s="1">
        <f>0</f>
        <v>0</v>
      </c>
      <c r="T582" s="1">
        <f>0+0</f>
        <v>0</v>
      </c>
      <c r="U582" s="1">
        <f>0</f>
        <v>0</v>
      </c>
      <c r="V582" s="1">
        <f>0</f>
        <v>0</v>
      </c>
      <c r="W582" s="1">
        <f>0</f>
        <v>0</v>
      </c>
      <c r="X582" s="1">
        <f>0</f>
        <v>0</v>
      </c>
      <c r="Y582" s="1">
        <f>0</f>
        <v>0</v>
      </c>
      <c r="Z582" s="1">
        <f>0</f>
        <v>0</v>
      </c>
      <c r="AA582" s="1">
        <f>MAX(0,0)</f>
        <v>0</v>
      </c>
      <c r="AB582" s="1">
        <f>0</f>
        <v>0</v>
      </c>
      <c r="AC582" s="1">
        <f>MAX(0,0)</f>
        <v>0</v>
      </c>
      <c r="AD582" s="1">
        <f>ROUNDDOWN(I582*(1+IF(F582=3,0.05+方案参数!$Y$19+AA582*0.12,IF(F582=4,方案参数!$BZ$19*方案参数!$AS$19,0)))+IF(AND(X582=1,F582&lt;&gt;3),方案参数!$CC$19,0)+AC582*方案参数!$CB$19,0)</f>
        <v>2986</v>
      </c>
      <c r="AE582" s="1">
        <f>IF(OR(F582=1,F582=4),配置与结果!$B$24,配置与结果!$B$25)*MAX(0,1-INDEX(配置与结果!$I$15:$I$18,F582))</f>
        <v>1000</v>
      </c>
      <c r="AF582" s="1">
        <f>0</f>
        <v>0</v>
      </c>
      <c r="AG582" s="1">
        <f>MAX(配置与结果!$B$32,1+INDEX(配置与结果!$F$15:$F$18,F582)+0+Q582*方案参数!$W$19+Y582*(方案参数!$AN$19+MIN(方案参数!$AO$19,P582*0.03))+AB582*方案参数!$BZ$19*0.025-配置与结果!$B$28)</f>
        <v>0.6349999999999999</v>
      </c>
      <c r="AH582" s="1">
        <f>MAX(0,1+INDEX(配置与结果!$G$15:$G$18,F582)+W582*方案参数!$AG$19)</f>
        <v>1</v>
      </c>
      <c r="AI582" s="1">
        <f>IF(OR(INDEX(配置与结果!$K$15:$K$18,F582)=1,G582="RHI_BERRY"),1+配置与结果!$B$33+P582*方案参数!$AH$19,1)</f>
        <v>1</v>
      </c>
      <c r="AJ582" s="1">
        <f>MIN(1,MAX(0,J582+方案参数!$AB$19-配置与结果!$B$27))</f>
        <v>0.55499999999999994</v>
      </c>
      <c r="AK582" s="1">
        <f>MAX(1,K582+IF(F582=2,0.15+方案参数!$CH$19,0)+BN582*方案参数!$X$19+R582*方案参数!$AA$19+0-配置与结果!$B$26+Z582*(方案参数!$AP$19+MIN(方案参数!$AQ$19,P582*0.03)))</f>
        <v>1.1499999999999999</v>
      </c>
      <c r="AL582" s="7">
        <f>ROUNDDOWN(MAX(AD582*配置与结果!$B$31,AD582-AE582)*AF582*AG582*AH582*AI582,0)</f>
        <v>0</v>
      </c>
      <c r="AM582" s="7">
        <f>ROUNDDOWN(MAX(AD582*配置与结果!$B$31,AD582-AE582)*AF582*AG582*AH582*AI582*AK582,0)</f>
        <v>0</v>
      </c>
      <c r="AN582" s="7">
        <f t="shared" ref="AN582:AN645" si="812">AL582*(1-AJ582)+AM582*AJ582</f>
        <v>0</v>
      </c>
      <c r="AO582" s="7">
        <f>0</f>
        <v>0</v>
      </c>
      <c r="AP582" s="7">
        <f>MAX(0,1+INDEX(配置与结果!$J$15:$J$18,F582)+IF(T582&gt;0,方案参数!$BY$19,0)-配置与结果!$B$30)</f>
        <v>1</v>
      </c>
      <c r="AQ582" s="7">
        <f t="shared" ref="AQ582:AQ645" si="813">ROUNDDOWN(ROUNDDOWN(AD582*AO582,0)*AP582,0)</f>
        <v>0</v>
      </c>
      <c r="AR582" s="7">
        <f t="shared" ref="AR582:AR645" si="814">ROUNDDOWN(ROUNDDOWN(AD582*AO582,0)*AP582*AK582,0)</f>
        <v>0</v>
      </c>
      <c r="AS582" s="7">
        <f t="shared" ref="AS582:AS645" si="815">AQ582*(1-AJ582)+AR582*AJ582</f>
        <v>0</v>
      </c>
      <c r="AT582" s="7">
        <f>0</f>
        <v>0</v>
      </c>
      <c r="AU582" s="7">
        <f t="shared" ref="AU582:AU645" si="816">AN582+AS582+AT582</f>
        <v>0</v>
      </c>
      <c r="AV582" s="1">
        <f t="shared" ref="AV582:AV645" si="817">IF(G582="LILYA_COBRA",IF(L582=0,1,L582),L582)</f>
        <v>0</v>
      </c>
      <c r="AW582" s="1">
        <f t="shared" si="810"/>
        <v>0</v>
      </c>
      <c r="AX582" s="1">
        <f t="shared" ref="AX582:AX645" si="818">N582</f>
        <v>0</v>
      </c>
      <c r="AY582" s="1">
        <f>MIN(20,MAX(0,O582+0+0-0))</f>
        <v>0</v>
      </c>
      <c r="AZ582" s="1">
        <f t="shared" ref="AZ582:AZ645" si="819">P582</f>
        <v>1</v>
      </c>
      <c r="BA582" s="1">
        <f>MIN(6,Q582+1)</f>
        <v>1</v>
      </c>
      <c r="BB582" s="1">
        <f>MIN(30,R582+5)</f>
        <v>5</v>
      </c>
      <c r="BC582" s="1">
        <f t="shared" si="807"/>
        <v>0</v>
      </c>
      <c r="BD582" s="1">
        <f t="shared" si="788"/>
        <v>0</v>
      </c>
      <c r="BE582" s="1">
        <f>0</f>
        <v>0</v>
      </c>
      <c r="BF582" s="1">
        <f t="shared" si="811"/>
        <v>0</v>
      </c>
      <c r="BG582" s="1">
        <f t="shared" si="798"/>
        <v>0</v>
      </c>
      <c r="BH582" s="1">
        <f>MAX(X582,1)</f>
        <v>1</v>
      </c>
      <c r="BI582" s="1">
        <f t="shared" si="799"/>
        <v>0</v>
      </c>
      <c r="BJ582" s="1">
        <f t="shared" si="802"/>
        <v>0</v>
      </c>
      <c r="BK582" s="1">
        <f t="shared" si="803"/>
        <v>0</v>
      </c>
      <c r="BL582" s="1">
        <f t="shared" si="808"/>
        <v>0</v>
      </c>
      <c r="BM582" s="1">
        <f t="shared" si="806"/>
        <v>0</v>
      </c>
      <c r="BN582" s="1">
        <f>0</f>
        <v>0</v>
      </c>
      <c r="BO582" s="1">
        <f>MAX(BN582,1)</f>
        <v>1</v>
      </c>
    </row>
    <row r="583" spans="1:67" ht="30.95" customHeight="1">
      <c r="A583" s="1">
        <f>16</f>
        <v>16</v>
      </c>
      <c r="B583" s="1">
        <f>固定流程!A7</f>
        <v>2</v>
      </c>
      <c r="C583" s="1">
        <f>19</f>
        <v>19</v>
      </c>
      <c r="D583" s="1">
        <f>1</f>
        <v>1</v>
      </c>
      <c r="E583" s="1">
        <f>固定流程!C7</f>
        <v>1</v>
      </c>
      <c r="F583" s="1">
        <f>固定流程!G7</f>
        <v>3</v>
      </c>
      <c r="G583" s="1" t="str">
        <f>固定流程!H7</f>
        <v>RHI_BUFF</v>
      </c>
      <c r="H583" s="1">
        <f>固定流程!F7</f>
        <v>1</v>
      </c>
      <c r="I583" s="1">
        <f>INDEX(配置与结果!$B$15:$B$18,F583)</f>
        <v>2597</v>
      </c>
      <c r="J583" s="1">
        <f>INDEX(配置与结果!$D$15:$D$18,F583)</f>
        <v>0.255</v>
      </c>
      <c r="K583" s="1">
        <f>INDEX(配置与结果!$E$15:$E$18,F583)</f>
        <v>1.55</v>
      </c>
      <c r="L583" s="1">
        <f t="shared" ref="L583:O588" si="820">AV582</f>
        <v>0</v>
      </c>
      <c r="M583" s="1">
        <f t="shared" si="820"/>
        <v>0</v>
      </c>
      <c r="N583" s="1">
        <f t="shared" si="820"/>
        <v>0</v>
      </c>
      <c r="O583" s="1">
        <f t="shared" si="820"/>
        <v>0</v>
      </c>
      <c r="P583" s="1">
        <f>MIN(方案参数!$AI$19,AZ582+0+方案参数!$AK$19)</f>
        <v>4</v>
      </c>
      <c r="Q583" s="1">
        <f t="shared" ref="Q583:Q617" si="821">BA582</f>
        <v>1</v>
      </c>
      <c r="R583" s="1">
        <f t="shared" ref="R583:R617" si="822">BB582</f>
        <v>5</v>
      </c>
      <c r="S583" s="1">
        <f t="shared" ref="S583:S617" si="823">BC582</f>
        <v>0</v>
      </c>
      <c r="T583" s="1">
        <f t="shared" ref="T583:T596" si="824">BD582+0</f>
        <v>0</v>
      </c>
      <c r="U583" s="1">
        <f t="shared" ref="U583:U617" si="825">BE582</f>
        <v>0</v>
      </c>
      <c r="V583" s="1">
        <f t="shared" ref="V583:V617" si="826">BF582</f>
        <v>0</v>
      </c>
      <c r="W583" s="1">
        <f t="shared" ref="W583:W617" si="827">BG582</f>
        <v>0</v>
      </c>
      <c r="X583" s="1">
        <f t="shared" ref="X583:X617" si="828">BH582</f>
        <v>1</v>
      </c>
      <c r="Y583" s="1">
        <f t="shared" ref="Y583:Y617" si="829">BI582</f>
        <v>0</v>
      </c>
      <c r="Z583" s="1">
        <f t="shared" ref="Z583:Z617" si="830">BJ582</f>
        <v>0</v>
      </c>
      <c r="AA583" s="1">
        <f t="shared" ref="AA583:AA588" si="831">MAX(BK582,0)</f>
        <v>0</v>
      </c>
      <c r="AB583" s="1">
        <f t="shared" ref="AB583:AB617" si="832">BL582</f>
        <v>0</v>
      </c>
      <c r="AC583" s="1">
        <f t="shared" ref="AC583:AC596" si="833">MAX(BM582,0)</f>
        <v>0</v>
      </c>
      <c r="AD583" s="1">
        <f>ROUNDDOWN(I583*(1+IF(F583=3,0.05+方案参数!$Y$19+AA583*0.12,IF(F583=4,方案参数!$BZ$19*方案参数!$AS$19,0)))+IF(AND(X583=1,F583&lt;&gt;3),方案参数!$CC$19,0)+AC583*方案参数!$CB$19,0)</f>
        <v>2986</v>
      </c>
      <c r="AE583" s="1">
        <f>IF(OR(F583=1,F583=4),配置与结果!$B$24,配置与结果!$B$25)*MAX(0,1-INDEX(配置与结果!$I$15:$I$18,F583))</f>
        <v>1000</v>
      </c>
      <c r="AF583" s="1">
        <f>0</f>
        <v>0</v>
      </c>
      <c r="AG583" s="1">
        <f>MAX(配置与结果!$B$32,1+INDEX(配置与结果!$F$15:$F$18,F583)+0+Q583*方案参数!$W$19+Y583*(方案参数!$AN$19+MIN(方案参数!$AO$19,P583*0.03))+AB583*方案参数!$BZ$19*0.025-配置与结果!$B$28)</f>
        <v>0.65499999999999992</v>
      </c>
      <c r="AH583" s="1">
        <f>MAX(0,1+INDEX(配置与结果!$G$15:$G$18,F583)+W583*方案参数!$AG$19)</f>
        <v>1</v>
      </c>
      <c r="AI583" s="1">
        <f>IF(OR(INDEX(配置与结果!$K$15:$K$18,F583)=1,G583="RHI_BERRY"),1+配置与结果!$B$33+P583*方案参数!$AH$19,1)</f>
        <v>1</v>
      </c>
      <c r="AJ583" s="1">
        <f>MIN(1,MAX(0,J583+方案参数!$AB$19-配置与结果!$B$27))</f>
        <v>0.55499999999999994</v>
      </c>
      <c r="AK583" s="1">
        <f>MAX(1,K583+IF(F583=2,0.15+方案参数!$CH$19,0)+BN583*方案参数!$X$19+R583*方案参数!$AA$19+0-配置与结果!$B$26+Z583*(方案参数!$AP$19+MIN(方案参数!$AQ$19,P583*0.03)))</f>
        <v>1.33</v>
      </c>
      <c r="AL583" s="7">
        <f>ROUNDDOWN(MAX(AD583*配置与结果!$B$31,AD583-AE583)*AF583*AG583*AH583*AI583,0)</f>
        <v>0</v>
      </c>
      <c r="AM583" s="7">
        <f>ROUNDDOWN(MAX(AD583*配置与结果!$B$31,AD583-AE583)*AF583*AG583*AH583*AI583*AK583,0)</f>
        <v>0</v>
      </c>
      <c r="AN583" s="7">
        <f t="shared" si="812"/>
        <v>0</v>
      </c>
      <c r="AO583" s="7">
        <f>0</f>
        <v>0</v>
      </c>
      <c r="AP583" s="7">
        <f>MAX(0,1+INDEX(配置与结果!$J$15:$J$18,F583)+IF(T583&gt;0,方案参数!$BY$19,0)-配置与结果!$B$30)</f>
        <v>1</v>
      </c>
      <c r="AQ583" s="7">
        <f t="shared" si="813"/>
        <v>0</v>
      </c>
      <c r="AR583" s="7">
        <f t="shared" si="814"/>
        <v>0</v>
      </c>
      <c r="AS583" s="7">
        <f t="shared" si="815"/>
        <v>0</v>
      </c>
      <c r="AT583" s="7">
        <f>0</f>
        <v>0</v>
      </c>
      <c r="AU583" s="7">
        <f t="shared" si="816"/>
        <v>0</v>
      </c>
      <c r="AV583" s="1">
        <f t="shared" si="817"/>
        <v>0</v>
      </c>
      <c r="AW583" s="1">
        <f t="shared" si="810"/>
        <v>0</v>
      </c>
      <c r="AX583" s="1">
        <f t="shared" si="818"/>
        <v>0</v>
      </c>
      <c r="AY583" s="1">
        <f>MIN(20,MAX(0,O583+0+0-0))</f>
        <v>0</v>
      </c>
      <c r="AZ583" s="1">
        <f t="shared" si="819"/>
        <v>4</v>
      </c>
      <c r="BA583" s="1">
        <f>MIN(6,Q583+1)</f>
        <v>2</v>
      </c>
      <c r="BB583" s="1">
        <f t="shared" ref="BB583:BB596" si="834">MIN(30,R583+0)</f>
        <v>5</v>
      </c>
      <c r="BC583" s="1">
        <f t="shared" si="807"/>
        <v>0</v>
      </c>
      <c r="BD583" s="1">
        <f t="shared" si="788"/>
        <v>0</v>
      </c>
      <c r="BE583" s="1">
        <f t="shared" ref="BE583:BE604" si="835">BE582</f>
        <v>0</v>
      </c>
      <c r="BF583" s="1">
        <f t="shared" si="811"/>
        <v>0</v>
      </c>
      <c r="BG583" s="1">
        <f>MAX(W583,1)</f>
        <v>1</v>
      </c>
      <c r="BH583" s="1">
        <f t="shared" ref="BH583:BH617" si="836">MAX(X583,0)</f>
        <v>1</v>
      </c>
      <c r="BI583" s="1">
        <f>MAX(Y583,1)</f>
        <v>1</v>
      </c>
      <c r="BJ583" s="1">
        <f t="shared" si="802"/>
        <v>0</v>
      </c>
      <c r="BK583" s="1">
        <f t="shared" si="803"/>
        <v>0</v>
      </c>
      <c r="BL583" s="1">
        <f t="shared" si="808"/>
        <v>0</v>
      </c>
      <c r="BM583" s="1">
        <f t="shared" si="806"/>
        <v>0</v>
      </c>
      <c r="BN583" s="1">
        <f t="shared" ref="BN583:BN617" si="837">BO582</f>
        <v>1</v>
      </c>
      <c r="BO583" s="1">
        <f t="shared" ref="BO583:BO617" si="838">MAX(BN583,0)</f>
        <v>1</v>
      </c>
    </row>
    <row r="584" spans="1:67" ht="30.95" customHeight="1">
      <c r="A584" s="1">
        <f>16</f>
        <v>16</v>
      </c>
      <c r="B584" s="1">
        <f>固定流程!A8</f>
        <v>3</v>
      </c>
      <c r="C584" s="1">
        <f>19</f>
        <v>19</v>
      </c>
      <c r="D584" s="1">
        <f>1</f>
        <v>1</v>
      </c>
      <c r="E584" s="1">
        <f>固定流程!C8</f>
        <v>1</v>
      </c>
      <c r="F584" s="1">
        <f>固定流程!G8</f>
        <v>1</v>
      </c>
      <c r="G584" s="1" t="str">
        <f>固定流程!H8</f>
        <v>LILYA_COBRA</v>
      </c>
      <c r="H584" s="1">
        <f>固定流程!F8</f>
        <v>1</v>
      </c>
      <c r="I584" s="1">
        <f>INDEX(配置与结果!$B$15:$B$18,F584)</f>
        <v>2296</v>
      </c>
      <c r="J584" s="1">
        <f>INDEX(配置与结果!$D$15:$D$18,F584)</f>
        <v>0.7</v>
      </c>
      <c r="K584" s="1">
        <f>INDEX(配置与结果!$E$15:$E$18,F584)</f>
        <v>2.0249999999999999</v>
      </c>
      <c r="L584" s="1">
        <f t="shared" si="820"/>
        <v>0</v>
      </c>
      <c r="M584" s="1">
        <f t="shared" si="820"/>
        <v>0</v>
      </c>
      <c r="N584" s="1">
        <f t="shared" si="820"/>
        <v>0</v>
      </c>
      <c r="O584" s="1">
        <f t="shared" si="820"/>
        <v>0</v>
      </c>
      <c r="P584" s="1">
        <f>MIN(方案参数!$AI$19,AZ583+0+0)</f>
        <v>4</v>
      </c>
      <c r="Q584" s="1">
        <f t="shared" si="821"/>
        <v>2</v>
      </c>
      <c r="R584" s="1">
        <f t="shared" si="822"/>
        <v>5</v>
      </c>
      <c r="S584" s="1">
        <f t="shared" si="823"/>
        <v>0</v>
      </c>
      <c r="T584" s="1">
        <f t="shared" si="824"/>
        <v>0</v>
      </c>
      <c r="U584" s="1">
        <f t="shared" si="825"/>
        <v>0</v>
      </c>
      <c r="V584" s="1">
        <f t="shared" si="826"/>
        <v>0</v>
      </c>
      <c r="W584" s="1">
        <f t="shared" si="827"/>
        <v>1</v>
      </c>
      <c r="X584" s="1">
        <f t="shared" si="828"/>
        <v>1</v>
      </c>
      <c r="Y584" s="1">
        <f t="shared" si="829"/>
        <v>1</v>
      </c>
      <c r="Z584" s="1">
        <f t="shared" si="830"/>
        <v>0</v>
      </c>
      <c r="AA584" s="1">
        <f t="shared" si="831"/>
        <v>0</v>
      </c>
      <c r="AB584" s="1">
        <f t="shared" si="832"/>
        <v>0</v>
      </c>
      <c r="AC584" s="1">
        <f t="shared" si="833"/>
        <v>0</v>
      </c>
      <c r="AD584" s="1">
        <f>ROUNDDOWN(I584*(1+IF(F584=3,0.05+方案参数!$Y$19+AA584*0.12,IF(F584=4,方案参数!$BZ$19*方案参数!$AS$19,0)))+IF(AND(X584=1,F584&lt;&gt;3),方案参数!$CC$19,0)+AC584*方案参数!$CB$19,0)</f>
        <v>2534</v>
      </c>
      <c r="AE584" s="1">
        <f>IF(OR(F584=1,F584=4),配置与结果!$B$24,配置与结果!$B$25)*MAX(0,1-INDEX(配置与结果!$I$15:$I$18,F584))</f>
        <v>1200</v>
      </c>
      <c r="AF584" s="1">
        <f>0</f>
        <v>0</v>
      </c>
      <c r="AG584" s="1">
        <f>MAX(配置与结果!$B$32,1+INDEX(配置与结果!$F$15:$F$18,F584)+0.08+方案参数!$CD$19+Q584*方案参数!$W$19+Y584*(方案参数!$AN$19+MIN(方案参数!$AO$19,P584*0.03))+AB584*方案参数!$BZ$19*0.025-配置与结果!$B$28)</f>
        <v>1.25</v>
      </c>
      <c r="AH584" s="1">
        <f>MAX(0,1+INDEX(配置与结果!$G$15:$G$18,F584)+W584*方案参数!$AG$19)</f>
        <v>1.45</v>
      </c>
      <c r="AI584" s="1">
        <f>IF(OR(INDEX(配置与结果!$K$15:$K$18,F584)=1,G584="RHI_BERRY"),1+配置与结果!$B$33+P584*方案参数!$AH$19,1)</f>
        <v>1</v>
      </c>
      <c r="AJ584" s="1">
        <f>MIN(1,MAX(0,J584+方案参数!$AB$19-配置与结果!$B$27))</f>
        <v>1</v>
      </c>
      <c r="AK584" s="1">
        <f>MAX(1,K584+IF(F584=2,0.15+方案参数!$CH$19,0)+BN584*方案参数!$X$19+R584*方案参数!$AA$19+0-配置与结果!$B$26+Z584*(方案参数!$AP$19+MIN(方案参数!$AQ$19,P584*0.03)))</f>
        <v>1.8050000000000002</v>
      </c>
      <c r="AL584" s="7">
        <f>ROUNDDOWN(MAX(AD584*配置与结果!$B$31,AD584-AE584)*AF584*AG584*AH584*AI584,0)</f>
        <v>0</v>
      </c>
      <c r="AM584" s="7">
        <f>ROUNDDOWN(MAX(AD584*配置与结果!$B$31,AD584-AE584)*AF584*AG584*AH584*AI584*AK584,0)</f>
        <v>0</v>
      </c>
      <c r="AN584" s="7">
        <f t="shared" si="812"/>
        <v>0</v>
      </c>
      <c r="AO584" s="7">
        <f>0</f>
        <v>0</v>
      </c>
      <c r="AP584" s="7">
        <f>MAX(0,1+INDEX(配置与结果!$J$15:$J$18,F584)+IF(T584&gt;0,方案参数!$BY$19,0)-配置与结果!$B$30)</f>
        <v>1</v>
      </c>
      <c r="AQ584" s="7">
        <f t="shared" si="813"/>
        <v>0</v>
      </c>
      <c r="AR584" s="7">
        <f t="shared" si="814"/>
        <v>0</v>
      </c>
      <c r="AS584" s="7">
        <f t="shared" si="815"/>
        <v>0</v>
      </c>
      <c r="AT584" s="7">
        <f>0</f>
        <v>0</v>
      </c>
      <c r="AU584" s="7">
        <f t="shared" si="816"/>
        <v>0</v>
      </c>
      <c r="AV584" s="1">
        <f t="shared" si="817"/>
        <v>1</v>
      </c>
      <c r="AW584" s="1">
        <f>MIN(10,M584+方案参数!$BD$19+0)</f>
        <v>3</v>
      </c>
      <c r="AX584" s="1">
        <f t="shared" si="818"/>
        <v>0</v>
      </c>
      <c r="AY584" s="1">
        <f>MIN(20,MAX(0,O584+6+0-0))</f>
        <v>6</v>
      </c>
      <c r="AZ584" s="1">
        <f t="shared" si="819"/>
        <v>4</v>
      </c>
      <c r="BA584" s="1">
        <f>MIN(6,Q584+0)</f>
        <v>2</v>
      </c>
      <c r="BB584" s="1">
        <f t="shared" si="834"/>
        <v>5</v>
      </c>
      <c r="BC584" s="1">
        <f t="shared" si="807"/>
        <v>0</v>
      </c>
      <c r="BD584" s="1">
        <f t="shared" si="788"/>
        <v>0</v>
      </c>
      <c r="BE584" s="1">
        <f t="shared" si="835"/>
        <v>0</v>
      </c>
      <c r="BF584" s="1">
        <f t="shared" si="811"/>
        <v>0</v>
      </c>
      <c r="BG584" s="1">
        <f t="shared" ref="BG584:BG594" si="839">MAX(W584,0)</f>
        <v>1</v>
      </c>
      <c r="BH584" s="1">
        <f t="shared" si="836"/>
        <v>1</v>
      </c>
      <c r="BI584" s="1">
        <f t="shared" ref="BI584:BI594" si="840">MAX(Y584,0)</f>
        <v>1</v>
      </c>
      <c r="BJ584" s="1">
        <f t="shared" si="802"/>
        <v>0</v>
      </c>
      <c r="BK584" s="1">
        <f t="shared" si="803"/>
        <v>0</v>
      </c>
      <c r="BL584" s="1">
        <f t="shared" si="808"/>
        <v>0</v>
      </c>
      <c r="BM584" s="1">
        <f t="shared" si="806"/>
        <v>0</v>
      </c>
      <c r="BN584" s="1">
        <f t="shared" si="837"/>
        <v>1</v>
      </c>
      <c r="BO584" s="1">
        <f t="shared" si="838"/>
        <v>1</v>
      </c>
    </row>
    <row r="585" spans="1:67" ht="30.95" customHeight="1">
      <c r="A585" s="1">
        <f>16</f>
        <v>16</v>
      </c>
      <c r="B585" s="1">
        <f>固定流程!A9</f>
        <v>4</v>
      </c>
      <c r="C585" s="1">
        <f>19</f>
        <v>19</v>
      </c>
      <c r="D585" s="1">
        <f>1</f>
        <v>1</v>
      </c>
      <c r="E585" s="1">
        <f>固定流程!C9</f>
        <v>1</v>
      </c>
      <c r="F585" s="1">
        <f>固定流程!G9</f>
        <v>1</v>
      </c>
      <c r="G585" s="1" t="str">
        <f>固定流程!H9</f>
        <v>LILYA_DIVE</v>
      </c>
      <c r="H585" s="1">
        <f>固定流程!F9</f>
        <v>1</v>
      </c>
      <c r="I585" s="1">
        <f>INDEX(配置与结果!$B$15:$B$18,F585)</f>
        <v>2296</v>
      </c>
      <c r="J585" s="1">
        <f>INDEX(配置与结果!$D$15:$D$18,F585)</f>
        <v>0.7</v>
      </c>
      <c r="K585" s="1">
        <f>INDEX(配置与结果!$E$15:$E$18,F585)</f>
        <v>2.0249999999999999</v>
      </c>
      <c r="L585" s="1">
        <f t="shared" si="820"/>
        <v>1</v>
      </c>
      <c r="M585" s="1">
        <f t="shared" si="820"/>
        <v>3</v>
      </c>
      <c r="N585" s="1">
        <f t="shared" si="820"/>
        <v>0</v>
      </c>
      <c r="O585" s="1">
        <f t="shared" si="820"/>
        <v>6</v>
      </c>
      <c r="P585" s="1">
        <f>MIN(方案参数!$AI$19,AZ584+0+0)</f>
        <v>4</v>
      </c>
      <c r="Q585" s="1">
        <f t="shared" si="821"/>
        <v>2</v>
      </c>
      <c r="R585" s="1">
        <f t="shared" si="822"/>
        <v>5</v>
      </c>
      <c r="S585" s="1">
        <f t="shared" si="823"/>
        <v>0</v>
      </c>
      <c r="T585" s="1">
        <f t="shared" si="824"/>
        <v>0</v>
      </c>
      <c r="U585" s="1">
        <f t="shared" si="825"/>
        <v>0</v>
      </c>
      <c r="V585" s="1">
        <f t="shared" si="826"/>
        <v>0</v>
      </c>
      <c r="W585" s="1">
        <f t="shared" si="827"/>
        <v>1</v>
      </c>
      <c r="X585" s="1">
        <f t="shared" si="828"/>
        <v>1</v>
      </c>
      <c r="Y585" s="1">
        <f t="shared" si="829"/>
        <v>1</v>
      </c>
      <c r="Z585" s="1">
        <f t="shared" si="830"/>
        <v>0</v>
      </c>
      <c r="AA585" s="1">
        <f t="shared" si="831"/>
        <v>0</v>
      </c>
      <c r="AB585" s="1">
        <f t="shared" si="832"/>
        <v>0</v>
      </c>
      <c r="AC585" s="1">
        <f t="shared" si="833"/>
        <v>0</v>
      </c>
      <c r="AD585" s="1">
        <f>ROUNDDOWN(I585*(1+IF(F585=3,0.05+方案参数!$Y$19+AA585*0.12,IF(F585=4,方案参数!$BZ$19*方案参数!$AS$19,0)))+IF(AND(X585=1,F585&lt;&gt;3),方案参数!$CC$19,0)+AC585*方案参数!$CB$19,0)</f>
        <v>2534</v>
      </c>
      <c r="AE585" s="1">
        <f>IF(OR(F585=1,F585=4),配置与结果!$B$24,配置与结果!$B$25)*MAX(0,1-INDEX(配置与结果!$I$15:$I$18,F585))</f>
        <v>1200</v>
      </c>
      <c r="AF585" s="1">
        <f>(IF(L585=1,方案参数!$AW$19,IF(L585=2,方案参数!$AX$19,0))+方案参数!$AV$19)*H585</f>
        <v>6</v>
      </c>
      <c r="AG585" s="1">
        <f>MAX(配置与结果!$B$32,1+INDEX(配置与结果!$F$15:$F$18,F585)+0.08+方案参数!$CD$19+Q585*方案参数!$W$19+Y585*(方案参数!$AN$19+MIN(方案参数!$AO$19,P585*0.03))+AB585*方案参数!$BZ$19*0.025+IF(L585=1,方案参数!$AY$19+(H585-1)*0.1,IF(L585=2,方案参数!$AZ$19+(H585-1)*0.2,0))-配置与结果!$B$28)</f>
        <v>1.35</v>
      </c>
      <c r="AH585" s="1">
        <f>MAX(0,1+INDEX(配置与结果!$G$15:$G$18,F585)+W585*方案参数!$AG$19+IF(L585=1,方案参数!$BA$19,IF(L585=2,方案参数!$BB$19,0))+M585*方案参数!$BC$19)</f>
        <v>2.23</v>
      </c>
      <c r="AI585" s="1">
        <f>IF(OR(INDEX(配置与结果!$K$15:$K$18,F585)=1,G585="RHI_BERRY"),1+配置与结果!$B$33+P585*方案参数!$AH$19,1)</f>
        <v>1</v>
      </c>
      <c r="AJ585" s="1">
        <f>MIN(1,MAX(0,J585+方案参数!$AB$19-配置与结果!$B$27))</f>
        <v>1</v>
      </c>
      <c r="AK585" s="1">
        <f>MAX(1,K585+IF(F585=2,0.15+方案参数!$CH$19,0)+BN585*方案参数!$X$19+R585*方案参数!$AA$19+0-配置与结果!$B$26+Z585*(方案参数!$AP$19+MIN(方案参数!$AQ$19,P585*0.03)))</f>
        <v>1.8050000000000002</v>
      </c>
      <c r="AL585" s="7">
        <f>ROUNDDOWN(MAX(AD585*配置与结果!$B$31,AD585-AE585)*AF585*AG585*AH585*AI585,0)</f>
        <v>24096</v>
      </c>
      <c r="AM585" s="7">
        <f>ROUNDDOWN(MAX(AD585*配置与结果!$B$31,AD585-AE585)*AF585*AG585*AH585*AI585*AK585,0)</f>
        <v>43493</v>
      </c>
      <c r="AN585" s="7">
        <f t="shared" si="812"/>
        <v>43493</v>
      </c>
      <c r="AO585" s="7">
        <f>0</f>
        <v>0</v>
      </c>
      <c r="AP585" s="7">
        <f>MAX(0,1+INDEX(配置与结果!$J$15:$J$18,F585)+IF(T585&gt;0,方案参数!$BY$19,0)-配置与结果!$B$30)</f>
        <v>1</v>
      </c>
      <c r="AQ585" s="7">
        <f t="shared" si="813"/>
        <v>0</v>
      </c>
      <c r="AR585" s="7">
        <f t="shared" si="814"/>
        <v>0</v>
      </c>
      <c r="AS585" s="7">
        <f t="shared" si="815"/>
        <v>0</v>
      </c>
      <c r="AT585" s="7">
        <f>0</f>
        <v>0</v>
      </c>
      <c r="AU585" s="7">
        <f t="shared" si="816"/>
        <v>43493</v>
      </c>
      <c r="AV585" s="1">
        <f t="shared" si="817"/>
        <v>1</v>
      </c>
      <c r="AW585" s="1">
        <f>MIN(10,M585+0+IF(L585=1,方案参数!$BE$19,0))</f>
        <v>4</v>
      </c>
      <c r="AX585" s="1">
        <f t="shared" si="818"/>
        <v>0</v>
      </c>
      <c r="AY585" s="1">
        <f t="shared" ref="AY585:AY600" si="841">MIN(20,MAX(0,O585+0+0-0))</f>
        <v>6</v>
      </c>
      <c r="AZ585" s="1">
        <f t="shared" si="819"/>
        <v>4</v>
      </c>
      <c r="BA585" s="1">
        <f>MIN(6,Q585+0)</f>
        <v>2</v>
      </c>
      <c r="BB585" s="1">
        <f t="shared" si="834"/>
        <v>5</v>
      </c>
      <c r="BC585" s="1">
        <f t="shared" si="807"/>
        <v>0</v>
      </c>
      <c r="BD585" s="1">
        <f t="shared" si="788"/>
        <v>0</v>
      </c>
      <c r="BE585" s="1">
        <f t="shared" si="835"/>
        <v>0</v>
      </c>
      <c r="BF585" s="1">
        <f t="shared" si="811"/>
        <v>0</v>
      </c>
      <c r="BG585" s="1">
        <f t="shared" si="839"/>
        <v>1</v>
      </c>
      <c r="BH585" s="1">
        <f t="shared" si="836"/>
        <v>1</v>
      </c>
      <c r="BI585" s="1">
        <f t="shared" si="840"/>
        <v>1</v>
      </c>
      <c r="BJ585" s="1">
        <f t="shared" si="802"/>
        <v>0</v>
      </c>
      <c r="BK585" s="1">
        <f t="shared" si="803"/>
        <v>0</v>
      </c>
      <c r="BL585" s="1">
        <f t="shared" si="808"/>
        <v>0</v>
      </c>
      <c r="BM585" s="1">
        <f t="shared" si="806"/>
        <v>0</v>
      </c>
      <c r="BN585" s="1">
        <f t="shared" si="837"/>
        <v>1</v>
      </c>
      <c r="BO585" s="1">
        <f t="shared" si="838"/>
        <v>1</v>
      </c>
    </row>
    <row r="586" spans="1:67" ht="30.95" customHeight="1">
      <c r="A586" s="1">
        <f>16</f>
        <v>16</v>
      </c>
      <c r="B586" s="1">
        <f>固定流程!A10</f>
        <v>5</v>
      </c>
      <c r="C586" s="1">
        <f>19</f>
        <v>19</v>
      </c>
      <c r="D586" s="1">
        <f>1</f>
        <v>1</v>
      </c>
      <c r="E586" s="1">
        <f>固定流程!C10</f>
        <v>1</v>
      </c>
      <c r="F586" s="1">
        <f>固定流程!G10</f>
        <v>2</v>
      </c>
      <c r="G586" s="1" t="str">
        <f>固定流程!H10</f>
        <v>37_TRIANGLE</v>
      </c>
      <c r="H586" s="1">
        <f>固定流程!F10</f>
        <v>1</v>
      </c>
      <c r="I586" s="1">
        <f>INDEX(配置与结果!$B$15:$B$18,F586)</f>
        <v>2306</v>
      </c>
      <c r="J586" s="1">
        <f>INDEX(配置与结果!$D$15:$D$18,F586)</f>
        <v>0.46</v>
      </c>
      <c r="K586" s="1">
        <f>INDEX(配置与结果!$E$15:$E$18,F586)</f>
        <v>1.9279999999999999</v>
      </c>
      <c r="L586" s="1">
        <f t="shared" si="820"/>
        <v>1</v>
      </c>
      <c r="M586" s="1">
        <f t="shared" si="820"/>
        <v>4</v>
      </c>
      <c r="N586" s="1">
        <f t="shared" si="820"/>
        <v>0</v>
      </c>
      <c r="O586" s="1">
        <f t="shared" si="820"/>
        <v>6</v>
      </c>
      <c r="P586" s="1">
        <f>MIN(方案参数!$AI$19,AZ585+0+0)</f>
        <v>4</v>
      </c>
      <c r="Q586" s="1">
        <f t="shared" si="821"/>
        <v>2</v>
      </c>
      <c r="R586" s="1">
        <f t="shared" si="822"/>
        <v>5</v>
      </c>
      <c r="S586" s="1">
        <f t="shared" si="823"/>
        <v>0</v>
      </c>
      <c r="T586" s="1">
        <f t="shared" si="824"/>
        <v>0</v>
      </c>
      <c r="U586" s="1">
        <f t="shared" si="825"/>
        <v>0</v>
      </c>
      <c r="V586" s="1">
        <f t="shared" si="826"/>
        <v>0</v>
      </c>
      <c r="W586" s="1">
        <f t="shared" si="827"/>
        <v>1</v>
      </c>
      <c r="X586" s="1">
        <f t="shared" si="828"/>
        <v>1</v>
      </c>
      <c r="Y586" s="1">
        <f t="shared" si="829"/>
        <v>1</v>
      </c>
      <c r="Z586" s="1">
        <f t="shared" si="830"/>
        <v>0</v>
      </c>
      <c r="AA586" s="1">
        <f t="shared" si="831"/>
        <v>0</v>
      </c>
      <c r="AB586" s="1">
        <f t="shared" si="832"/>
        <v>0</v>
      </c>
      <c r="AC586" s="1">
        <f t="shared" si="833"/>
        <v>0</v>
      </c>
      <c r="AD586" s="1">
        <f>ROUNDDOWN(I586*(1+IF(F586=3,0.05+方案参数!$Y$19+AA586*0.12,IF(F586=4,方案参数!$BZ$19*方案参数!$AS$19,0)))+IF(AND(X586=1,F586&lt;&gt;3),方案参数!$CC$19,0)+AC586*方案参数!$CB$19,0)</f>
        <v>2544</v>
      </c>
      <c r="AE586" s="1">
        <f>IF(OR(F586=1,F586=4),配置与结果!$B$24,配置与结果!$B$25)*MAX(0,1-INDEX(配置与结果!$I$15:$I$18,F586))</f>
        <v>1000</v>
      </c>
      <c r="AF586" s="1">
        <f>方案参数!$BS$19*IF(H586=1,1,IF(H586=2,1.5,2.5))</f>
        <v>2.8</v>
      </c>
      <c r="AG586" s="1">
        <f>MAX(配置与结果!$B$32,1+INDEX(配置与结果!$F$15:$F$18,F586)+0+Q586*方案参数!$W$19+Y586*(方案参数!$AN$19+MIN(方案参数!$AO$19,P586*0.03))+AB586*方案参数!$BZ$19*0.025-配置与结果!$B$28)</f>
        <v>0.91499999999999992</v>
      </c>
      <c r="AH586" s="1">
        <f>MAX(0,1+INDEX(配置与结果!$G$15:$G$18,F586)+W586*方案参数!$AG$19)</f>
        <v>1.45</v>
      </c>
      <c r="AI586" s="1">
        <f>IF(OR(INDEX(配置与结果!$K$15:$K$18,F586)=1,G586="RHI_BERRY"),1+配置与结果!$B$33+P586*方案参数!$AH$19,1)</f>
        <v>1</v>
      </c>
      <c r="AJ586" s="1">
        <f>MIN(1,MAX(0,J586+方案参数!$AB$19-配置与结果!$B$27))</f>
        <v>0.76</v>
      </c>
      <c r="AK586" s="1">
        <f>MAX(1,K586+IF(F586=2,0.15+方案参数!$CH$19,0)+BN586*方案参数!$X$19+R586*方案参数!$AA$19+0-配置与结果!$B$26+Z586*(方案参数!$AP$19+MIN(方案参数!$AQ$19,P586*0.03)))</f>
        <v>1.9780000000000002</v>
      </c>
      <c r="AL586" s="7">
        <f>ROUNDDOWN(MAX(AD586*配置与结果!$B$31,AD586-AE586)*AF586*AG586*AH586*AI586,0)</f>
        <v>5735</v>
      </c>
      <c r="AM586" s="7">
        <f>ROUNDDOWN(MAX(AD586*配置与结果!$B$31,AD586-AE586)*AF586*AG586*AH586*AI586*AK586,0)</f>
        <v>11345</v>
      </c>
      <c r="AN586" s="7">
        <f t="shared" si="812"/>
        <v>9998.6</v>
      </c>
      <c r="AO586" s="7">
        <f>方案参数!$BU$19*IF(H586=1,1,IF(H586=2,1.5,2.5))</f>
        <v>0.8</v>
      </c>
      <c r="AP586" s="7">
        <f>MAX(0,1+INDEX(配置与结果!$J$15:$J$18,F586)+IF(T586&gt;0,方案参数!$BY$19,0)-配置与结果!$B$30)</f>
        <v>1</v>
      </c>
      <c r="AQ586" s="7">
        <f t="shared" si="813"/>
        <v>2035</v>
      </c>
      <c r="AR586" s="7">
        <f t="shared" si="814"/>
        <v>4025</v>
      </c>
      <c r="AS586" s="7">
        <f t="shared" si="815"/>
        <v>3547.4</v>
      </c>
      <c r="AT586" s="7">
        <f>0</f>
        <v>0</v>
      </c>
      <c r="AU586" s="7">
        <f t="shared" si="816"/>
        <v>13546</v>
      </c>
      <c r="AV586" s="1">
        <f t="shared" si="817"/>
        <v>1</v>
      </c>
      <c r="AW586" s="1">
        <f>MIN(10,M586+0+0)</f>
        <v>4</v>
      </c>
      <c r="AX586" s="1">
        <f t="shared" si="818"/>
        <v>0</v>
      </c>
      <c r="AY586" s="1">
        <f t="shared" si="841"/>
        <v>6</v>
      </c>
      <c r="AZ586" s="1">
        <f t="shared" si="819"/>
        <v>4</v>
      </c>
      <c r="BA586" s="1">
        <f>MIN(6,Q586+0)</f>
        <v>2</v>
      </c>
      <c r="BB586" s="1">
        <f t="shared" si="834"/>
        <v>5</v>
      </c>
      <c r="BC586" s="1">
        <f t="shared" si="807"/>
        <v>0</v>
      </c>
      <c r="BD586" s="1">
        <f>MAX(0,T586-IF(AO586&gt;0,1,0))+1</f>
        <v>1</v>
      </c>
      <c r="BE586" s="1">
        <f t="shared" si="835"/>
        <v>0</v>
      </c>
      <c r="BF586" s="1">
        <f t="shared" si="811"/>
        <v>0</v>
      </c>
      <c r="BG586" s="1">
        <f t="shared" si="839"/>
        <v>1</v>
      </c>
      <c r="BH586" s="1">
        <f t="shared" si="836"/>
        <v>1</v>
      </c>
      <c r="BI586" s="1">
        <f t="shared" si="840"/>
        <v>1</v>
      </c>
      <c r="BJ586" s="1">
        <f t="shared" si="802"/>
        <v>0</v>
      </c>
      <c r="BK586" s="1">
        <f t="shared" si="803"/>
        <v>0</v>
      </c>
      <c r="BL586" s="1">
        <f t="shared" si="808"/>
        <v>0</v>
      </c>
      <c r="BM586" s="1">
        <f t="shared" si="806"/>
        <v>0</v>
      </c>
      <c r="BN586" s="1">
        <f t="shared" si="837"/>
        <v>1</v>
      </c>
      <c r="BO586" s="1">
        <f t="shared" si="838"/>
        <v>1</v>
      </c>
    </row>
    <row r="587" spans="1:67" ht="30.95" customHeight="1">
      <c r="A587" s="1">
        <f>16</f>
        <v>16</v>
      </c>
      <c r="B587" s="1">
        <f>固定流程!A11</f>
        <v>6</v>
      </c>
      <c r="C587" s="1">
        <f>19</f>
        <v>19</v>
      </c>
      <c r="D587" s="1">
        <f>1</f>
        <v>1</v>
      </c>
      <c r="E587" s="1">
        <f>固定流程!C11</f>
        <v>1</v>
      </c>
      <c r="F587" s="1">
        <f>固定流程!G11</f>
        <v>2</v>
      </c>
      <c r="G587" s="1" t="str">
        <f>固定流程!H11</f>
        <v>37_FOLLOW</v>
      </c>
      <c r="H587" s="1">
        <f>固定流程!F11</f>
        <v>1</v>
      </c>
      <c r="I587" s="1">
        <f>INDEX(配置与结果!$B$15:$B$18,F587)</f>
        <v>2306</v>
      </c>
      <c r="J587" s="1">
        <f>INDEX(配置与结果!$D$15:$D$18,F587)</f>
        <v>0.46</v>
      </c>
      <c r="K587" s="1">
        <f>INDEX(配置与结果!$E$15:$E$18,F587)</f>
        <v>1.9279999999999999</v>
      </c>
      <c r="L587" s="1">
        <f t="shared" si="820"/>
        <v>1</v>
      </c>
      <c r="M587" s="1">
        <f t="shared" si="820"/>
        <v>4</v>
      </c>
      <c r="N587" s="1">
        <f t="shared" si="820"/>
        <v>0</v>
      </c>
      <c r="O587" s="1">
        <f t="shared" si="820"/>
        <v>6</v>
      </c>
      <c r="P587" s="1">
        <f>MIN(方案参数!$AI$19,AZ586+0+0)</f>
        <v>4</v>
      </c>
      <c r="Q587" s="1">
        <f t="shared" si="821"/>
        <v>2</v>
      </c>
      <c r="R587" s="1">
        <f t="shared" si="822"/>
        <v>5</v>
      </c>
      <c r="S587" s="1">
        <f t="shared" si="823"/>
        <v>0</v>
      </c>
      <c r="T587" s="1">
        <f t="shared" si="824"/>
        <v>1</v>
      </c>
      <c r="U587" s="1">
        <f t="shared" si="825"/>
        <v>0</v>
      </c>
      <c r="V587" s="1">
        <f t="shared" si="826"/>
        <v>0</v>
      </c>
      <c r="W587" s="1">
        <f t="shared" si="827"/>
        <v>1</v>
      </c>
      <c r="X587" s="1">
        <f t="shared" si="828"/>
        <v>1</v>
      </c>
      <c r="Y587" s="1">
        <f t="shared" si="829"/>
        <v>1</v>
      </c>
      <c r="Z587" s="1">
        <f t="shared" si="830"/>
        <v>0</v>
      </c>
      <c r="AA587" s="1">
        <f t="shared" si="831"/>
        <v>0</v>
      </c>
      <c r="AB587" s="1">
        <f t="shared" si="832"/>
        <v>0</v>
      </c>
      <c r="AC587" s="1">
        <f t="shared" si="833"/>
        <v>0</v>
      </c>
      <c r="AD587" s="1">
        <f>ROUNDDOWN(I587*(1+IF(F587=3,0.05+方案参数!$Y$19+AA587*0.12,IF(F587=4,方案参数!$BZ$19*方案参数!$AS$19,0)))+IF(AND(X587=1,F587&lt;&gt;3),方案参数!$CC$19,0)+AC587*方案参数!$CB$19,0)</f>
        <v>2544</v>
      </c>
      <c r="AE587" s="1">
        <f>IF(OR(F587=1,F587=4),配置与结果!$B$24,配置与结果!$B$25)*MAX(0,1-INDEX(配置与结果!$I$15:$I$18,F587))</f>
        <v>1000</v>
      </c>
      <c r="AF587" s="1">
        <f>方案参数!$BV$19</f>
        <v>3</v>
      </c>
      <c r="AG587" s="1">
        <f>MAX(配置与结果!$B$32,1+INDEX(配置与结果!$F$15:$F$18,F587)+0+Q587*方案参数!$W$19+Y587*(方案参数!$AN$19+MIN(方案参数!$AO$19,P587*0.03))+AB587*方案参数!$BZ$19*0.025-配置与结果!$B$28)</f>
        <v>0.91499999999999992</v>
      </c>
      <c r="AH587" s="1">
        <f>MAX(0,1+INDEX(配置与结果!$G$15:$G$18,F587)+W587*方案参数!$AG$19)</f>
        <v>1.45</v>
      </c>
      <c r="AI587" s="1">
        <f>IF(OR(INDEX(配置与结果!$K$15:$K$18,F587)=1,G587="RHI_BERRY"),1+配置与结果!$B$33+P587*方案参数!$AH$19,1)</f>
        <v>1</v>
      </c>
      <c r="AJ587" s="1">
        <f>MIN(1,MAX(0,J587+方案参数!$AB$19-配置与结果!$B$27))</f>
        <v>0.76</v>
      </c>
      <c r="AK587" s="1">
        <f>MAX(1,K587+IF(F587=2,0.15+方案参数!$CH$19,0)+BN587*方案参数!$X$19+R587*方案参数!$AA$19+0-配置与结果!$B$26+Z587*(方案参数!$AP$19+MIN(方案参数!$AQ$19,P587*0.03)))</f>
        <v>1.9780000000000002</v>
      </c>
      <c r="AL587" s="7">
        <f>ROUNDDOWN(MAX(AD587*配置与结果!$B$31,AD587-AE587)*AF587*AG587*AH587*AI587,0)</f>
        <v>6145</v>
      </c>
      <c r="AM587" s="7">
        <f>ROUNDDOWN(MAX(AD587*配置与结果!$B$31,AD587-AE587)*AF587*AG587*AH587*AI587*AK587,0)</f>
        <v>12155</v>
      </c>
      <c r="AN587" s="7">
        <f t="shared" si="812"/>
        <v>10712.599999999999</v>
      </c>
      <c r="AO587" s="7">
        <f>方案参数!$BW$19</f>
        <v>1</v>
      </c>
      <c r="AP587" s="7">
        <f>MAX(0,1+INDEX(配置与结果!$J$15:$J$18,F587)+IF(T587&gt;0,方案参数!$BY$19,0)-配置与结果!$B$30)</f>
        <v>2</v>
      </c>
      <c r="AQ587" s="7">
        <f t="shared" si="813"/>
        <v>5088</v>
      </c>
      <c r="AR587" s="7">
        <f t="shared" si="814"/>
        <v>10064</v>
      </c>
      <c r="AS587" s="7">
        <f t="shared" si="815"/>
        <v>8869.76</v>
      </c>
      <c r="AT587" s="7">
        <f>0</f>
        <v>0</v>
      </c>
      <c r="AU587" s="7">
        <f t="shared" si="816"/>
        <v>19582.36</v>
      </c>
      <c r="AV587" s="1">
        <f t="shared" si="817"/>
        <v>1</v>
      </c>
      <c r="AW587" s="1">
        <f>MIN(10,M587+0+0)</f>
        <v>4</v>
      </c>
      <c r="AX587" s="1">
        <f t="shared" si="818"/>
        <v>0</v>
      </c>
      <c r="AY587" s="1">
        <f t="shared" si="841"/>
        <v>6</v>
      </c>
      <c r="AZ587" s="1">
        <f t="shared" si="819"/>
        <v>4</v>
      </c>
      <c r="BA587" s="1">
        <f>MIN(6,Q587+0)</f>
        <v>2</v>
      </c>
      <c r="BB587" s="1">
        <f t="shared" si="834"/>
        <v>5</v>
      </c>
      <c r="BC587" s="1">
        <f t="shared" si="807"/>
        <v>0</v>
      </c>
      <c r="BD587" s="1">
        <f t="shared" ref="BD587:BD621" si="842">MAX(0,T587-IF(AO587&gt;0,1,0))+0</f>
        <v>0</v>
      </c>
      <c r="BE587" s="1">
        <f t="shared" si="835"/>
        <v>0</v>
      </c>
      <c r="BF587" s="1">
        <f>MIN(4,V587+1)</f>
        <v>1</v>
      </c>
      <c r="BG587" s="1">
        <f t="shared" si="839"/>
        <v>1</v>
      </c>
      <c r="BH587" s="1">
        <f t="shared" si="836"/>
        <v>1</v>
      </c>
      <c r="BI587" s="1">
        <f t="shared" si="840"/>
        <v>1</v>
      </c>
      <c r="BJ587" s="1">
        <f t="shared" si="802"/>
        <v>0</v>
      </c>
      <c r="BK587" s="1">
        <f t="shared" si="803"/>
        <v>0</v>
      </c>
      <c r="BL587" s="1">
        <f t="shared" si="808"/>
        <v>0</v>
      </c>
      <c r="BM587" s="1">
        <f t="shared" si="806"/>
        <v>0</v>
      </c>
      <c r="BN587" s="1">
        <f t="shared" si="837"/>
        <v>1</v>
      </c>
      <c r="BO587" s="1">
        <f t="shared" si="838"/>
        <v>1</v>
      </c>
    </row>
    <row r="588" spans="1:67" ht="30.95" customHeight="1">
      <c r="A588" s="1">
        <f>16</f>
        <v>16</v>
      </c>
      <c r="B588" s="1">
        <f>固定流程!A12</f>
        <v>7</v>
      </c>
      <c r="C588" s="1">
        <f>19</f>
        <v>19</v>
      </c>
      <c r="D588" s="1">
        <f>1</f>
        <v>1</v>
      </c>
      <c r="E588" s="1">
        <f>固定流程!C12</f>
        <v>1</v>
      </c>
      <c r="F588" s="1">
        <f>固定流程!G12</f>
        <v>4</v>
      </c>
      <c r="G588" s="1" t="str">
        <f>固定流程!H12</f>
        <v>J_HARD</v>
      </c>
      <c r="H588" s="1">
        <f>固定流程!F12</f>
        <v>1</v>
      </c>
      <c r="I588" s="1">
        <f>INDEX(配置与结果!$B$15:$B$18,F588)</f>
        <v>1906</v>
      </c>
      <c r="J588" s="1">
        <f>INDEX(配置与结果!$D$15:$D$18,F588)</f>
        <v>0.36699999999999999</v>
      </c>
      <c r="K588" s="1">
        <f>INDEX(配置与结果!$E$15:$E$18,F588)</f>
        <v>1.7170000000000001</v>
      </c>
      <c r="L588" s="1">
        <f t="shared" si="820"/>
        <v>1</v>
      </c>
      <c r="M588" s="1">
        <f t="shared" si="820"/>
        <v>4</v>
      </c>
      <c r="N588" s="1">
        <f t="shared" si="820"/>
        <v>0</v>
      </c>
      <c r="O588" s="1">
        <f t="shared" si="820"/>
        <v>6</v>
      </c>
      <c r="P588" s="1">
        <f>MIN(方案参数!$AI$19,AZ587+0+0)</f>
        <v>4</v>
      </c>
      <c r="Q588" s="1">
        <f t="shared" si="821"/>
        <v>2</v>
      </c>
      <c r="R588" s="1">
        <f t="shared" si="822"/>
        <v>5</v>
      </c>
      <c r="S588" s="1">
        <f t="shared" si="823"/>
        <v>0</v>
      </c>
      <c r="T588" s="1">
        <f t="shared" si="824"/>
        <v>0</v>
      </c>
      <c r="U588" s="1">
        <f t="shared" si="825"/>
        <v>0</v>
      </c>
      <c r="V588" s="1">
        <f t="shared" si="826"/>
        <v>1</v>
      </c>
      <c r="W588" s="1">
        <f t="shared" si="827"/>
        <v>1</v>
      </c>
      <c r="X588" s="1">
        <f t="shared" si="828"/>
        <v>1</v>
      </c>
      <c r="Y588" s="1">
        <f t="shared" si="829"/>
        <v>1</v>
      </c>
      <c r="Z588" s="1">
        <f t="shared" si="830"/>
        <v>0</v>
      </c>
      <c r="AA588" s="1">
        <f t="shared" si="831"/>
        <v>0</v>
      </c>
      <c r="AB588" s="1">
        <f t="shared" si="832"/>
        <v>0</v>
      </c>
      <c r="AC588" s="1">
        <f t="shared" si="833"/>
        <v>0</v>
      </c>
      <c r="AD588" s="1">
        <f>ROUNDDOWN(I588*(1+IF(F588=3,0.05+方案参数!$Y$19+AA588*0.12,IF(F588=4,方案参数!$BZ$19*方案参数!$AS$19,0)))+IF(AND(X588=1,F588&lt;&gt;3),方案参数!$CC$19,0)+AC588*方案参数!$CB$19,0)</f>
        <v>2811</v>
      </c>
      <c r="AE588" s="1">
        <f>IF(OR(F588=1,F588=4),配置与结果!$B$24,配置与结果!$B$25)*MAX(0,1-INDEX(配置与结果!$I$15:$I$18,F588))</f>
        <v>1200</v>
      </c>
      <c r="AF588" s="1">
        <f>3.6*IF(H588=1,1,IF(H588=2,1.5,2.5))</f>
        <v>3.6</v>
      </c>
      <c r="AG588" s="1">
        <f>MAX(配置与结果!$B$32,1+INDEX(配置与结果!$F$15:$F$18,F588)+0.08+Q588*方案参数!$W$19+Y588*(方案参数!$AN$19+MIN(方案参数!$AO$19,P588*0.03))+AB588*方案参数!$BZ$19*0.025+0.1+IF(方案参数!$BZ$19&gt;=30,方案参数!$BZ$19*0.01,0)-配置与结果!$B$28)</f>
        <v>1.4650000000000003</v>
      </c>
      <c r="AH588" s="1">
        <f>MAX(0,1+INDEX(配置与结果!$G$15:$G$18,F588)+W588*方案参数!$AG$19)</f>
        <v>1.45</v>
      </c>
      <c r="AI588" s="1">
        <f>IF(OR(INDEX(配置与结果!$K$15:$K$18,F588)=1,G588="RHI_BERRY"),1+配置与结果!$B$33+P588*方案参数!$AH$19,1)</f>
        <v>1</v>
      </c>
      <c r="AJ588" s="1">
        <f>MIN(1,MAX(0,J588+方案参数!$AB$19-配置与结果!$B$27))</f>
        <v>0.66700000000000004</v>
      </c>
      <c r="AK588" s="1">
        <f>MAX(1,K588+IF(F588=2,0.15+方案参数!$CH$19,0)+BN588*方案参数!$X$19+R588*方案参数!$AA$19+0-配置与结果!$B$26+Z588*(方案参数!$AP$19+MIN(方案参数!$AQ$19,P588*0.03)))</f>
        <v>1.4969999999999999</v>
      </c>
      <c r="AL588" s="7">
        <f>ROUNDDOWN(MAX(AD588*配置与结果!$B$31,AD588-AE588)*AF588*AG588*AH588*AI588,0)</f>
        <v>12319</v>
      </c>
      <c r="AM588" s="7">
        <f>ROUNDDOWN(MAX(AD588*配置与结果!$B$31,AD588-AE588)*AF588*AG588*AH588*AI588*AK588,0)</f>
        <v>18442</v>
      </c>
      <c r="AN588" s="7">
        <f t="shared" si="812"/>
        <v>16403.041000000001</v>
      </c>
      <c r="AO588" s="7">
        <f>0</f>
        <v>0</v>
      </c>
      <c r="AP588" s="7">
        <f>MAX(0,1+INDEX(配置与结果!$J$15:$J$18,F588)+IF(T588&gt;0,方案参数!$BY$19,0)-配置与结果!$B$30)</f>
        <v>1</v>
      </c>
      <c r="AQ588" s="7">
        <f t="shared" si="813"/>
        <v>0</v>
      </c>
      <c r="AR588" s="7">
        <f t="shared" si="814"/>
        <v>0</v>
      </c>
      <c r="AS588" s="7">
        <f t="shared" si="815"/>
        <v>0</v>
      </c>
      <c r="AT588" s="7">
        <f>0</f>
        <v>0</v>
      </c>
      <c r="AU588" s="7">
        <f t="shared" si="816"/>
        <v>16403.041000000001</v>
      </c>
      <c r="AV588" s="1">
        <f t="shared" si="817"/>
        <v>1</v>
      </c>
      <c r="AW588" s="1">
        <f>MIN(10,M588+0+0)</f>
        <v>4</v>
      </c>
      <c r="AX588" s="1">
        <f t="shared" si="818"/>
        <v>0</v>
      </c>
      <c r="AY588" s="1">
        <f t="shared" si="841"/>
        <v>6</v>
      </c>
      <c r="AZ588" s="1">
        <f t="shared" si="819"/>
        <v>4</v>
      </c>
      <c r="BA588" s="1">
        <f>MIN(6,Q588+0)</f>
        <v>2</v>
      </c>
      <c r="BB588" s="1">
        <f t="shared" si="834"/>
        <v>5</v>
      </c>
      <c r="BC588" s="1">
        <f>MIN(3,S588+1)</f>
        <v>1</v>
      </c>
      <c r="BD588" s="1">
        <f t="shared" si="842"/>
        <v>0</v>
      </c>
      <c r="BE588" s="1">
        <f t="shared" si="835"/>
        <v>0</v>
      </c>
      <c r="BF588" s="1">
        <f>MIN(4,V588+0)</f>
        <v>1</v>
      </c>
      <c r="BG588" s="1">
        <f t="shared" si="839"/>
        <v>1</v>
      </c>
      <c r="BH588" s="1">
        <f t="shared" si="836"/>
        <v>1</v>
      </c>
      <c r="BI588" s="1">
        <f t="shared" si="840"/>
        <v>1</v>
      </c>
      <c r="BJ588" s="1">
        <f t="shared" si="802"/>
        <v>0</v>
      </c>
      <c r="BK588" s="1">
        <f t="shared" si="803"/>
        <v>0</v>
      </c>
      <c r="BL588" s="1">
        <f t="shared" si="808"/>
        <v>0</v>
      </c>
      <c r="BM588" s="1">
        <f t="shared" si="806"/>
        <v>0</v>
      </c>
      <c r="BN588" s="1">
        <f t="shared" si="837"/>
        <v>1</v>
      </c>
      <c r="BO588" s="1">
        <f t="shared" si="838"/>
        <v>1</v>
      </c>
    </row>
    <row r="589" spans="1:67" ht="30.95" customHeight="1">
      <c r="A589" s="1">
        <f>16</f>
        <v>16</v>
      </c>
      <c r="B589" s="1">
        <f>固定流程!A13</f>
        <v>8</v>
      </c>
      <c r="C589" s="1">
        <f>19</f>
        <v>19</v>
      </c>
      <c r="D589" s="1">
        <f>1</f>
        <v>1</v>
      </c>
      <c r="E589" s="1">
        <f>固定流程!C13</f>
        <v>2</v>
      </c>
      <c r="F589" s="1">
        <f>固定流程!G13</f>
        <v>3</v>
      </c>
      <c r="G589" s="1" t="str">
        <f>固定流程!H13</f>
        <v>RHI_ATTACK</v>
      </c>
      <c r="H589" s="1">
        <f>固定流程!F13</f>
        <v>1</v>
      </c>
      <c r="I589" s="1">
        <f>INDEX(配置与结果!$B$15:$B$18,F589)</f>
        <v>2597</v>
      </c>
      <c r="J589" s="1">
        <f>INDEX(配置与结果!$D$15:$D$18,F589)</f>
        <v>0.255</v>
      </c>
      <c r="K589" s="1">
        <f>INDEX(配置与结果!$E$15:$E$18,F589)</f>
        <v>1.55</v>
      </c>
      <c r="L589" s="1">
        <f>IF(AV588=1,IF(M589&gt;=10,2,1),IF(AV588=2,IF(AX588&lt;=1,0,2),0))</f>
        <v>1</v>
      </c>
      <c r="M589" s="1">
        <f>IF(AND(AV588=2,AX588&lt;=1),0,MIN(10,AW588+IF(AV588=1,3,0)))</f>
        <v>7</v>
      </c>
      <c r="N589" s="1">
        <f>IF(AND(AV588=1,M589&gt;=10),2,IF(AV588=2,MAX(0,AX588-1),0))</f>
        <v>0</v>
      </c>
      <c r="O589" s="1">
        <f t="shared" ref="O589:O617" si="843">AY588</f>
        <v>6</v>
      </c>
      <c r="P589" s="1">
        <f>MIN(方案参数!$AI$19,AZ588+方案参数!$AJ$19+方案参数!$AK$19)</f>
        <v>7</v>
      </c>
      <c r="Q589" s="1">
        <f t="shared" si="821"/>
        <v>2</v>
      </c>
      <c r="R589" s="1">
        <f t="shared" si="822"/>
        <v>5</v>
      </c>
      <c r="S589" s="1">
        <f t="shared" si="823"/>
        <v>1</v>
      </c>
      <c r="T589" s="1">
        <f t="shared" si="824"/>
        <v>0</v>
      </c>
      <c r="U589" s="1">
        <f t="shared" si="825"/>
        <v>0</v>
      </c>
      <c r="V589" s="1">
        <f t="shared" si="826"/>
        <v>1</v>
      </c>
      <c r="W589" s="1">
        <f t="shared" si="827"/>
        <v>1</v>
      </c>
      <c r="X589" s="1">
        <f t="shared" si="828"/>
        <v>1</v>
      </c>
      <c r="Y589" s="1">
        <f t="shared" si="829"/>
        <v>1</v>
      </c>
      <c r="Z589" s="1">
        <f t="shared" si="830"/>
        <v>0</v>
      </c>
      <c r="AA589" s="1">
        <f>MAX(BK588,1)</f>
        <v>1</v>
      </c>
      <c r="AB589" s="1">
        <f t="shared" si="832"/>
        <v>0</v>
      </c>
      <c r="AC589" s="1">
        <f t="shared" si="833"/>
        <v>0</v>
      </c>
      <c r="AD589" s="1">
        <f>ROUNDDOWN(I589*(1+IF(F589=3,0.05+方案参数!$Y$19+AA589*0.12,IF(F589=4,方案参数!$BZ$19*方案参数!$AS$19,0)))+IF(AND(X589=1,F589&lt;&gt;3),方案参数!$CC$19,0)+AC589*方案参数!$CB$19,0)</f>
        <v>3298</v>
      </c>
      <c r="AE589" s="1">
        <f>IF(OR(F589=1,F589=4),配置与结果!$B$24,配置与结果!$B$25)*MAX(0,1-INDEX(配置与结果!$I$15:$I$18,F589))</f>
        <v>1000</v>
      </c>
      <c r="AF589" s="1">
        <f>4</f>
        <v>4</v>
      </c>
      <c r="AG589" s="1">
        <f>MAX(配置与结果!$B$32,1+INDEX(配置与结果!$F$15:$F$18,F589)+0+Q589*方案参数!$W$19+Y589*(方案参数!$AN$19+MIN(方案参数!$AO$19,P589*0.03))+AB589*方案参数!$BZ$19*0.025-配置与结果!$B$28)</f>
        <v>0.97499999999999998</v>
      </c>
      <c r="AH589" s="1">
        <f>MAX(0,1+INDEX(配置与结果!$G$15:$G$18,F589)+W589*方案参数!$AG$19)</f>
        <v>1.45</v>
      </c>
      <c r="AI589" s="1">
        <f>IF(OR(INDEX(配置与结果!$K$15:$K$18,F589)=1,G589="RHI_BERRY"),1+配置与结果!$B$33+P589*方案参数!$AH$19,1)</f>
        <v>1</v>
      </c>
      <c r="AJ589" s="1">
        <f>MIN(1,MAX(0,J589+方案参数!$AB$19-配置与结果!$B$27))</f>
        <v>0.55499999999999994</v>
      </c>
      <c r="AK589" s="1">
        <f>MAX(1,K589+IF(F589=2,0.15+方案参数!$CH$19,0)+BN589*方案参数!$X$19+R589*方案参数!$AA$19+0-配置与结果!$B$26+Z589*(方案参数!$AP$19+MIN(方案参数!$AQ$19,P589*0.03)))</f>
        <v>1.33</v>
      </c>
      <c r="AL589" s="7">
        <f>ROUNDDOWN(MAX(AD589*配置与结果!$B$31,AD589-AE589)*AF589*AG589*AH589*AI589,0)</f>
        <v>12995</v>
      </c>
      <c r="AM589" s="7">
        <f>ROUNDDOWN(MAX(AD589*配置与结果!$B$31,AD589-AE589)*AF589*AG589*AH589*AI589*AK589,0)</f>
        <v>17283</v>
      </c>
      <c r="AN589" s="7">
        <f t="shared" si="812"/>
        <v>15374.84</v>
      </c>
      <c r="AO589" s="7">
        <f>0</f>
        <v>0</v>
      </c>
      <c r="AP589" s="7">
        <f>MAX(0,1+INDEX(配置与结果!$J$15:$J$18,F589)+IF(T589&gt;0,方案参数!$BY$19,0)-配置与结果!$B$30)</f>
        <v>1</v>
      </c>
      <c r="AQ589" s="7">
        <f t="shared" si="813"/>
        <v>0</v>
      </c>
      <c r="AR589" s="7">
        <f t="shared" si="814"/>
        <v>0</v>
      </c>
      <c r="AS589" s="7">
        <f t="shared" si="815"/>
        <v>0</v>
      </c>
      <c r="AT589" s="7">
        <f>0</f>
        <v>0</v>
      </c>
      <c r="AU589" s="7">
        <f t="shared" si="816"/>
        <v>15374.84</v>
      </c>
      <c r="AV589" s="1">
        <f t="shared" si="817"/>
        <v>1</v>
      </c>
      <c r="AW589" s="1">
        <f>MIN(10,M589+0+0)</f>
        <v>7</v>
      </c>
      <c r="AX589" s="1">
        <f t="shared" si="818"/>
        <v>0</v>
      </c>
      <c r="AY589" s="1">
        <f t="shared" si="841"/>
        <v>6</v>
      </c>
      <c r="AZ589" s="1">
        <f t="shared" si="819"/>
        <v>7</v>
      </c>
      <c r="BA589" s="1">
        <f>MIN(6,Q589+1)</f>
        <v>3</v>
      </c>
      <c r="BB589" s="1">
        <f t="shared" si="834"/>
        <v>5</v>
      </c>
      <c r="BC589" s="1">
        <f>MIN(3,S589+0)</f>
        <v>1</v>
      </c>
      <c r="BD589" s="1">
        <f t="shared" si="842"/>
        <v>0</v>
      </c>
      <c r="BE589" s="1">
        <f t="shared" si="835"/>
        <v>0</v>
      </c>
      <c r="BF589" s="1">
        <f>MIN(4,V589+0)</f>
        <v>1</v>
      </c>
      <c r="BG589" s="1">
        <f t="shared" si="839"/>
        <v>1</v>
      </c>
      <c r="BH589" s="1">
        <f t="shared" si="836"/>
        <v>1</v>
      </c>
      <c r="BI589" s="1">
        <f t="shared" si="840"/>
        <v>1</v>
      </c>
      <c r="BJ589" s="1">
        <f>MAX(Z589,1)</f>
        <v>1</v>
      </c>
      <c r="BK589" s="1">
        <f>MAX(AA589,1)</f>
        <v>1</v>
      </c>
      <c r="BL589" s="1">
        <f t="shared" si="808"/>
        <v>0</v>
      </c>
      <c r="BM589" s="1">
        <f t="shared" si="806"/>
        <v>0</v>
      </c>
      <c r="BN589" s="1">
        <f t="shared" si="837"/>
        <v>1</v>
      </c>
      <c r="BO589" s="1">
        <f t="shared" si="838"/>
        <v>1</v>
      </c>
    </row>
    <row r="590" spans="1:67" ht="30.95" customHeight="1">
      <c r="A590" s="1">
        <f>16</f>
        <v>16</v>
      </c>
      <c r="B590" s="1">
        <f>固定流程!A14</f>
        <v>9</v>
      </c>
      <c r="C590" s="1">
        <f>19</f>
        <v>19</v>
      </c>
      <c r="D590" s="1">
        <f>1</f>
        <v>1</v>
      </c>
      <c r="E590" s="1">
        <f>固定流程!C14</f>
        <v>2</v>
      </c>
      <c r="F590" s="1">
        <f>固定流程!G14</f>
        <v>1</v>
      </c>
      <c r="G590" s="1" t="str">
        <f>固定流程!H14</f>
        <v>LILYA_DIVE</v>
      </c>
      <c r="H590" s="1">
        <f>固定流程!F14</f>
        <v>3</v>
      </c>
      <c r="I590" s="1">
        <f>INDEX(配置与结果!$B$15:$B$18,F590)</f>
        <v>2296</v>
      </c>
      <c r="J590" s="1">
        <f>INDEX(配置与结果!$D$15:$D$18,F590)</f>
        <v>0.7</v>
      </c>
      <c r="K590" s="1">
        <f>INDEX(配置与结果!$E$15:$E$18,F590)</f>
        <v>2.0249999999999999</v>
      </c>
      <c r="L590" s="1">
        <f t="shared" ref="L590:N594" si="844">AV589</f>
        <v>1</v>
      </c>
      <c r="M590" s="1">
        <f t="shared" si="844"/>
        <v>7</v>
      </c>
      <c r="N590" s="1">
        <f t="shared" si="844"/>
        <v>0</v>
      </c>
      <c r="O590" s="1">
        <f t="shared" si="843"/>
        <v>6</v>
      </c>
      <c r="P590" s="1">
        <f>MIN(方案参数!$AI$19,AZ589+0+0)</f>
        <v>7</v>
      </c>
      <c r="Q590" s="1">
        <f t="shared" si="821"/>
        <v>3</v>
      </c>
      <c r="R590" s="1">
        <f t="shared" si="822"/>
        <v>5</v>
      </c>
      <c r="S590" s="1">
        <f t="shared" si="823"/>
        <v>1</v>
      </c>
      <c r="T590" s="1">
        <f t="shared" si="824"/>
        <v>0</v>
      </c>
      <c r="U590" s="1">
        <f t="shared" si="825"/>
        <v>0</v>
      </c>
      <c r="V590" s="1">
        <f t="shared" si="826"/>
        <v>1</v>
      </c>
      <c r="W590" s="1">
        <f t="shared" si="827"/>
        <v>1</v>
      </c>
      <c r="X590" s="1">
        <f t="shared" si="828"/>
        <v>1</v>
      </c>
      <c r="Y590" s="1">
        <f t="shared" si="829"/>
        <v>1</v>
      </c>
      <c r="Z590" s="1">
        <f t="shared" si="830"/>
        <v>1</v>
      </c>
      <c r="AA590" s="1">
        <f t="shared" ref="AA590:AA595" si="845">MAX(BK589,0)</f>
        <v>1</v>
      </c>
      <c r="AB590" s="1">
        <f t="shared" si="832"/>
        <v>0</v>
      </c>
      <c r="AC590" s="1">
        <f t="shared" si="833"/>
        <v>0</v>
      </c>
      <c r="AD590" s="1">
        <f>ROUNDDOWN(I590*(1+IF(F590=3,0.05+方案参数!$Y$19+AA590*0.12,IF(F590=4,方案参数!$BZ$19*方案参数!$AS$19,0)))+IF(AND(X590=1,F590&lt;&gt;3),方案参数!$CC$19,0)+AC590*方案参数!$CB$19,0)</f>
        <v>2534</v>
      </c>
      <c r="AE590" s="1">
        <f>IF(OR(F590=1,F590=4),配置与结果!$B$24,配置与结果!$B$25)*MAX(0,1-INDEX(配置与结果!$I$15:$I$18,F590))</f>
        <v>1200</v>
      </c>
      <c r="AF590" s="1">
        <f>(IF(L590=1,方案参数!$AW$19,IF(L590=2,方案参数!$AX$19,0))+方案参数!$AV$19)*H590</f>
        <v>18</v>
      </c>
      <c r="AG590" s="1">
        <f>MAX(配置与结果!$B$32,1+INDEX(配置与结果!$F$15:$F$18,F590)+0.08+方案参数!$CD$19+Q590*方案参数!$W$19+Y590*(方案参数!$AN$19+MIN(方案参数!$AO$19,P590*0.03))+AB590*方案参数!$BZ$19*0.025+IF(L590=1,方案参数!$AY$19+(H590-1)*0.1,IF(L590=2,方案参数!$AZ$19+(H590-1)*0.2,0))-配置与结果!$B$28)</f>
        <v>1.6</v>
      </c>
      <c r="AH590" s="1">
        <f>MAX(0,1+INDEX(配置与结果!$G$15:$G$18,F590)+W590*方案参数!$AG$19+IF(L590=1,方案参数!$BA$19,IF(L590=2,方案参数!$BB$19,0))+M590*方案参数!$BC$19)</f>
        <v>2.4699999999999998</v>
      </c>
      <c r="AI590" s="1">
        <f>IF(OR(INDEX(配置与结果!$K$15:$K$18,F590)=1,G590="RHI_BERRY"),1+配置与结果!$B$33+P590*方案参数!$AH$19,1)</f>
        <v>1</v>
      </c>
      <c r="AJ590" s="1">
        <f>MIN(1,MAX(0,J590+方案参数!$AB$19-配置与结果!$B$27))</f>
        <v>1</v>
      </c>
      <c r="AK590" s="1">
        <f>MAX(1,K590+IF(F590=2,0.15+方案参数!$CH$19,0)+BN590*方案参数!$X$19+R590*方案参数!$AA$19+0-配置与结果!$B$26+Z590*(方案参数!$AP$19+MIN(方案参数!$AQ$19,P590*0.03)))</f>
        <v>2.105</v>
      </c>
      <c r="AL590" s="7">
        <f>ROUNDDOWN(MAX(AD590*配置与结果!$B$31,AD590-AE590)*AF590*AG590*AH590*AI590,0)</f>
        <v>94895</v>
      </c>
      <c r="AM590" s="7">
        <f>ROUNDDOWN(MAX(AD590*配置与结果!$B$31,AD590-AE590)*AF590*AG590*AH590*AI590*AK590,0)</f>
        <v>199754</v>
      </c>
      <c r="AN590" s="7">
        <f t="shared" si="812"/>
        <v>199754</v>
      </c>
      <c r="AO590" s="7">
        <f>0</f>
        <v>0</v>
      </c>
      <c r="AP590" s="7">
        <f>MAX(0,1+INDEX(配置与结果!$J$15:$J$18,F590)+IF(T590&gt;0,方案参数!$BY$19,0)-配置与结果!$B$30)</f>
        <v>1</v>
      </c>
      <c r="AQ590" s="7">
        <f t="shared" si="813"/>
        <v>0</v>
      </c>
      <c r="AR590" s="7">
        <f t="shared" si="814"/>
        <v>0</v>
      </c>
      <c r="AS590" s="7">
        <f t="shared" si="815"/>
        <v>0</v>
      </c>
      <c r="AT590" s="7">
        <f>0</f>
        <v>0</v>
      </c>
      <c r="AU590" s="7">
        <f t="shared" si="816"/>
        <v>199754</v>
      </c>
      <c r="AV590" s="1">
        <f t="shared" si="817"/>
        <v>1</v>
      </c>
      <c r="AW590" s="1">
        <f>MIN(10,M590+0+IF(L590=1,方案参数!$BE$19,0))</f>
        <v>8</v>
      </c>
      <c r="AX590" s="1">
        <f t="shared" si="818"/>
        <v>0</v>
      </c>
      <c r="AY590" s="1">
        <f t="shared" si="841"/>
        <v>6</v>
      </c>
      <c r="AZ590" s="1">
        <f t="shared" si="819"/>
        <v>7</v>
      </c>
      <c r="BA590" s="1">
        <f>MIN(6,Q590+0)</f>
        <v>3</v>
      </c>
      <c r="BB590" s="1">
        <f t="shared" si="834"/>
        <v>5</v>
      </c>
      <c r="BC590" s="1">
        <f>MIN(3,S590+0)</f>
        <v>1</v>
      </c>
      <c r="BD590" s="1">
        <f t="shared" si="842"/>
        <v>0</v>
      </c>
      <c r="BE590" s="1">
        <f t="shared" si="835"/>
        <v>0</v>
      </c>
      <c r="BF590" s="1">
        <f>MIN(4,V590+0)</f>
        <v>1</v>
      </c>
      <c r="BG590" s="1">
        <f t="shared" si="839"/>
        <v>1</v>
      </c>
      <c r="BH590" s="1">
        <f t="shared" si="836"/>
        <v>1</v>
      </c>
      <c r="BI590" s="1">
        <f t="shared" si="840"/>
        <v>1</v>
      </c>
      <c r="BJ590" s="1">
        <f t="shared" ref="BJ590:BK595" si="846">MAX(Z590,0)</f>
        <v>1</v>
      </c>
      <c r="BK590" s="1">
        <f t="shared" si="846"/>
        <v>1</v>
      </c>
      <c r="BL590" s="1">
        <f t="shared" si="808"/>
        <v>0</v>
      </c>
      <c r="BM590" s="1">
        <f t="shared" si="806"/>
        <v>0</v>
      </c>
      <c r="BN590" s="1">
        <f t="shared" si="837"/>
        <v>1</v>
      </c>
      <c r="BO590" s="1">
        <f t="shared" si="838"/>
        <v>1</v>
      </c>
    </row>
    <row r="591" spans="1:67" ht="30.95" customHeight="1">
      <c r="A591" s="1">
        <f>16</f>
        <v>16</v>
      </c>
      <c r="B591" s="1">
        <f>固定流程!A15</f>
        <v>10</v>
      </c>
      <c r="C591" s="1">
        <f>19</f>
        <v>19</v>
      </c>
      <c r="D591" s="1">
        <f>1</f>
        <v>1</v>
      </c>
      <c r="E591" s="1">
        <f>固定流程!C15</f>
        <v>2</v>
      </c>
      <c r="F591" s="1">
        <f>固定流程!G15</f>
        <v>4</v>
      </c>
      <c r="G591" s="1" t="str">
        <f>固定流程!H15</f>
        <v>J_HARD</v>
      </c>
      <c r="H591" s="1">
        <f>固定流程!F15</f>
        <v>1</v>
      </c>
      <c r="I591" s="1">
        <f>INDEX(配置与结果!$B$15:$B$18,F591)</f>
        <v>1906</v>
      </c>
      <c r="J591" s="1">
        <f>INDEX(配置与结果!$D$15:$D$18,F591)</f>
        <v>0.36699999999999999</v>
      </c>
      <c r="K591" s="1">
        <f>INDEX(配置与结果!$E$15:$E$18,F591)</f>
        <v>1.7170000000000001</v>
      </c>
      <c r="L591" s="1">
        <f t="shared" si="844"/>
        <v>1</v>
      </c>
      <c r="M591" s="1">
        <f t="shared" si="844"/>
        <v>8</v>
      </c>
      <c r="N591" s="1">
        <f t="shared" si="844"/>
        <v>0</v>
      </c>
      <c r="O591" s="1">
        <f t="shared" si="843"/>
        <v>6</v>
      </c>
      <c r="P591" s="1">
        <f>MIN(方案参数!$AI$19,AZ590+0+0)</f>
        <v>7</v>
      </c>
      <c r="Q591" s="1">
        <f t="shared" si="821"/>
        <v>3</v>
      </c>
      <c r="R591" s="1">
        <f t="shared" si="822"/>
        <v>5</v>
      </c>
      <c r="S591" s="1">
        <f t="shared" si="823"/>
        <v>1</v>
      </c>
      <c r="T591" s="1">
        <f t="shared" si="824"/>
        <v>0</v>
      </c>
      <c r="U591" s="1">
        <f t="shared" si="825"/>
        <v>0</v>
      </c>
      <c r="V591" s="1">
        <f t="shared" si="826"/>
        <v>1</v>
      </c>
      <c r="W591" s="1">
        <f t="shared" si="827"/>
        <v>1</v>
      </c>
      <c r="X591" s="1">
        <f t="shared" si="828"/>
        <v>1</v>
      </c>
      <c r="Y591" s="1">
        <f t="shared" si="829"/>
        <v>1</v>
      </c>
      <c r="Z591" s="1">
        <f t="shared" si="830"/>
        <v>1</v>
      </c>
      <c r="AA591" s="1">
        <f t="shared" si="845"/>
        <v>1</v>
      </c>
      <c r="AB591" s="1">
        <f t="shared" si="832"/>
        <v>0</v>
      </c>
      <c r="AC591" s="1">
        <f t="shared" si="833"/>
        <v>0</v>
      </c>
      <c r="AD591" s="1">
        <f>ROUNDDOWN(I591*(1+IF(F591=3,0.05+方案参数!$Y$19+AA591*0.12,IF(F591=4,方案参数!$BZ$19*方案参数!$AS$19,0)))+IF(AND(X591=1,F591&lt;&gt;3),方案参数!$CC$19,0)+AC591*方案参数!$CB$19,0)</f>
        <v>2811</v>
      </c>
      <c r="AE591" s="1">
        <f>IF(OR(F591=1,F591=4),配置与结果!$B$24,配置与结果!$B$25)*MAX(0,1-INDEX(配置与结果!$I$15:$I$18,F591))</f>
        <v>1200</v>
      </c>
      <c r="AF591" s="1">
        <f>3.6*IF(H591=1,1,IF(H591=2,1.5,2.5))</f>
        <v>3.6</v>
      </c>
      <c r="AG591" s="1">
        <f>MAX(配置与结果!$B$32,1+INDEX(配置与结果!$F$15:$F$18,F591)+0.08+Q591*方案参数!$W$19+Y591*(方案参数!$AN$19+MIN(方案参数!$AO$19,P591*0.03))+AB591*方案参数!$BZ$19*0.025+0.1+IF(方案参数!$BZ$19&gt;=30,方案参数!$BZ$19*0.01,0)-配置与结果!$B$28)</f>
        <v>1.5150000000000001</v>
      </c>
      <c r="AH591" s="1">
        <f>MAX(0,1+INDEX(配置与结果!$G$15:$G$18,F591)+W591*方案参数!$AG$19)</f>
        <v>1.45</v>
      </c>
      <c r="AI591" s="1">
        <f>IF(OR(INDEX(配置与结果!$K$15:$K$18,F591)=1,G591="RHI_BERRY"),1+配置与结果!$B$33+P591*方案参数!$AH$19,1)</f>
        <v>1</v>
      </c>
      <c r="AJ591" s="1">
        <f>MIN(1,MAX(0,J591+方案参数!$AB$19-配置与结果!$B$27))</f>
        <v>0.66700000000000004</v>
      </c>
      <c r="AK591" s="1">
        <f>MAX(1,K591+IF(F591=2,0.15+方案参数!$CH$19,0)+BN591*方案参数!$X$19+R591*方案参数!$AA$19+0-配置与结果!$B$26+Z591*(方案参数!$AP$19+MIN(方案参数!$AQ$19,P591*0.03)))</f>
        <v>1.7969999999999999</v>
      </c>
      <c r="AL591" s="7">
        <f>ROUNDDOWN(MAX(AD591*配置与结果!$B$31,AD591-AE591)*AF591*AG591*AH591*AI591,0)</f>
        <v>12740</v>
      </c>
      <c r="AM591" s="7">
        <f>ROUNDDOWN(MAX(AD591*配置与结果!$B$31,AD591-AE591)*AF591*AG591*AH591*AI591*AK591,0)</f>
        <v>22894</v>
      </c>
      <c r="AN591" s="7">
        <f t="shared" si="812"/>
        <v>19512.718000000001</v>
      </c>
      <c r="AO591" s="7">
        <f>0</f>
        <v>0</v>
      </c>
      <c r="AP591" s="7">
        <f>MAX(0,1+INDEX(配置与结果!$J$15:$J$18,F591)+IF(T591&gt;0,方案参数!$BY$19,0)-配置与结果!$B$30)</f>
        <v>1</v>
      </c>
      <c r="AQ591" s="7">
        <f t="shared" si="813"/>
        <v>0</v>
      </c>
      <c r="AR591" s="7">
        <f t="shared" si="814"/>
        <v>0</v>
      </c>
      <c r="AS591" s="7">
        <f t="shared" si="815"/>
        <v>0</v>
      </c>
      <c r="AT591" s="7">
        <f>0</f>
        <v>0</v>
      </c>
      <c r="AU591" s="7">
        <f t="shared" si="816"/>
        <v>19512.718000000001</v>
      </c>
      <c r="AV591" s="1">
        <f t="shared" si="817"/>
        <v>1</v>
      </c>
      <c r="AW591" s="1">
        <f t="shared" ref="AW591:AW601" si="847">MIN(10,M591+0+0)</f>
        <v>8</v>
      </c>
      <c r="AX591" s="1">
        <f t="shared" si="818"/>
        <v>0</v>
      </c>
      <c r="AY591" s="1">
        <f t="shared" si="841"/>
        <v>6</v>
      </c>
      <c r="AZ591" s="1">
        <f t="shared" si="819"/>
        <v>7</v>
      </c>
      <c r="BA591" s="1">
        <f>MIN(6,Q591+0)</f>
        <v>3</v>
      </c>
      <c r="BB591" s="1">
        <f t="shared" si="834"/>
        <v>5</v>
      </c>
      <c r="BC591" s="1">
        <f>MIN(3,S591+1)</f>
        <v>2</v>
      </c>
      <c r="BD591" s="1">
        <f t="shared" si="842"/>
        <v>0</v>
      </c>
      <c r="BE591" s="1">
        <f t="shared" si="835"/>
        <v>0</v>
      </c>
      <c r="BF591" s="1">
        <f>MIN(4,V591+0)</f>
        <v>1</v>
      </c>
      <c r="BG591" s="1">
        <f t="shared" si="839"/>
        <v>1</v>
      </c>
      <c r="BH591" s="1">
        <f t="shared" si="836"/>
        <v>1</v>
      </c>
      <c r="BI591" s="1">
        <f t="shared" si="840"/>
        <v>1</v>
      </c>
      <c r="BJ591" s="1">
        <f t="shared" si="846"/>
        <v>1</v>
      </c>
      <c r="BK591" s="1">
        <f t="shared" si="846"/>
        <v>1</v>
      </c>
      <c r="BL591" s="1">
        <f t="shared" si="808"/>
        <v>0</v>
      </c>
      <c r="BM591" s="1">
        <f t="shared" si="806"/>
        <v>0</v>
      </c>
      <c r="BN591" s="1">
        <f t="shared" si="837"/>
        <v>1</v>
      </c>
      <c r="BO591" s="1">
        <f t="shared" si="838"/>
        <v>1</v>
      </c>
    </row>
    <row r="592" spans="1:67" ht="30.95" customHeight="1">
      <c r="A592" s="1">
        <f>16</f>
        <v>16</v>
      </c>
      <c r="B592" s="1">
        <f>固定流程!A16</f>
        <v>11</v>
      </c>
      <c r="C592" s="1">
        <f>19</f>
        <v>19</v>
      </c>
      <c r="D592" s="1">
        <f>1</f>
        <v>1</v>
      </c>
      <c r="E592" s="1">
        <f>固定流程!C16</f>
        <v>2</v>
      </c>
      <c r="F592" s="1">
        <f>固定流程!G16</f>
        <v>2</v>
      </c>
      <c r="G592" s="1" t="str">
        <f>固定流程!H16</f>
        <v>37_CURVE</v>
      </c>
      <c r="H592" s="1">
        <f>固定流程!F16</f>
        <v>1</v>
      </c>
      <c r="I592" s="1">
        <f>INDEX(配置与结果!$B$15:$B$18,F592)</f>
        <v>2306</v>
      </c>
      <c r="J592" s="1">
        <f>INDEX(配置与结果!$D$15:$D$18,F592)</f>
        <v>0.46</v>
      </c>
      <c r="K592" s="1">
        <f>INDEX(配置与结果!$E$15:$E$18,F592)</f>
        <v>1.9279999999999999</v>
      </c>
      <c r="L592" s="1">
        <f t="shared" si="844"/>
        <v>1</v>
      </c>
      <c r="M592" s="1">
        <f t="shared" si="844"/>
        <v>8</v>
      </c>
      <c r="N592" s="1">
        <f t="shared" si="844"/>
        <v>0</v>
      </c>
      <c r="O592" s="1">
        <f t="shared" si="843"/>
        <v>6</v>
      </c>
      <c r="P592" s="1">
        <f>MIN(方案参数!$AI$19,AZ591+0+0)</f>
        <v>7</v>
      </c>
      <c r="Q592" s="1">
        <f t="shared" si="821"/>
        <v>3</v>
      </c>
      <c r="R592" s="1">
        <f t="shared" si="822"/>
        <v>5</v>
      </c>
      <c r="S592" s="1">
        <f t="shared" si="823"/>
        <v>2</v>
      </c>
      <c r="T592" s="1">
        <f t="shared" si="824"/>
        <v>0</v>
      </c>
      <c r="U592" s="1">
        <f t="shared" si="825"/>
        <v>0</v>
      </c>
      <c r="V592" s="1">
        <f t="shared" si="826"/>
        <v>1</v>
      </c>
      <c r="W592" s="1">
        <f t="shared" si="827"/>
        <v>1</v>
      </c>
      <c r="X592" s="1">
        <f t="shared" si="828"/>
        <v>1</v>
      </c>
      <c r="Y592" s="1">
        <f t="shared" si="829"/>
        <v>1</v>
      </c>
      <c r="Z592" s="1">
        <f t="shared" si="830"/>
        <v>1</v>
      </c>
      <c r="AA592" s="1">
        <f t="shared" si="845"/>
        <v>1</v>
      </c>
      <c r="AB592" s="1">
        <f t="shared" si="832"/>
        <v>0</v>
      </c>
      <c r="AC592" s="1">
        <f t="shared" si="833"/>
        <v>0</v>
      </c>
      <c r="AD592" s="1">
        <f>ROUNDDOWN(I592*(1+IF(F592=3,0.05+方案参数!$Y$19+AA592*0.12,IF(F592=4,方案参数!$BZ$19*方案参数!$AS$19,0)))+IF(AND(X592=1,F592&lt;&gt;3),方案参数!$CC$19,0)+AC592*方案参数!$CB$19,0)</f>
        <v>2544</v>
      </c>
      <c r="AE592" s="1">
        <f>IF(OR(F592=1,F592=4),配置与结果!$B$24,配置与结果!$B$25)*MAX(0,1-INDEX(配置与结果!$I$15:$I$18,F592))</f>
        <v>1000</v>
      </c>
      <c r="AF592" s="1">
        <f>方案参数!$BT$19*IF(H592=1,1,IF(H592=2,1.5,2.5))</f>
        <v>1.4</v>
      </c>
      <c r="AG592" s="1">
        <f>MAX(配置与结果!$B$32,1+INDEX(配置与结果!$F$15:$F$18,F592)+0+Q592*方案参数!$W$19+Y592*(方案参数!$AN$19+MIN(方案参数!$AO$19,P592*0.03))+AB592*方案参数!$BZ$19*0.025-配置与结果!$B$28)</f>
        <v>0.96499999999999997</v>
      </c>
      <c r="AH592" s="1">
        <f>MAX(0,1+INDEX(配置与结果!$G$15:$G$18,F592)+W592*方案参数!$AG$19)</f>
        <v>1.45</v>
      </c>
      <c r="AI592" s="1">
        <f>IF(OR(INDEX(配置与结果!$K$15:$K$18,F592)=1,G592="RHI_BERRY"),1+配置与结果!$B$33+P592*方案参数!$AH$19,1)</f>
        <v>1</v>
      </c>
      <c r="AJ592" s="1">
        <f>MIN(1,MAX(0,J592+方案参数!$AB$19-配置与结果!$B$27))</f>
        <v>0.76</v>
      </c>
      <c r="AK592" s="1">
        <f>MAX(1,K592+IF(F592=2,0.15+方案参数!$CH$19,0)+BN592*方案参数!$X$19+R592*方案参数!$AA$19+0-配置与结果!$B$26+Z592*(方案参数!$AP$19+MIN(方案参数!$AQ$19,P592*0.03)))</f>
        <v>2.278</v>
      </c>
      <c r="AL592" s="7">
        <f>ROUNDDOWN(MAX(AD592*配置与结果!$B$31,AD592-AE592)*AF592*AG592*AH592*AI592,0)</f>
        <v>3024</v>
      </c>
      <c r="AM592" s="7">
        <f>ROUNDDOWN(MAX(AD592*配置与结果!$B$31,AD592-AE592)*AF592*AG592*AH592*AI592*AK592,0)</f>
        <v>6890</v>
      </c>
      <c r="AN592" s="7">
        <f t="shared" si="812"/>
        <v>5962.16</v>
      </c>
      <c r="AO592" s="7">
        <f>方案参数!$BU$19*IF(H592=1,1,IF(H592=2,1.5,2.5))</f>
        <v>0.8</v>
      </c>
      <c r="AP592" s="7">
        <f>MAX(0,1+INDEX(配置与结果!$J$15:$J$18,F592)+IF(T592&gt;0,方案参数!$BY$19,0)-配置与结果!$B$30)</f>
        <v>1</v>
      </c>
      <c r="AQ592" s="7">
        <f t="shared" si="813"/>
        <v>2035</v>
      </c>
      <c r="AR592" s="7">
        <f t="shared" si="814"/>
        <v>4635</v>
      </c>
      <c r="AS592" s="7">
        <f t="shared" si="815"/>
        <v>4011</v>
      </c>
      <c r="AT592" s="7">
        <f>0</f>
        <v>0</v>
      </c>
      <c r="AU592" s="7">
        <f t="shared" si="816"/>
        <v>9973.16</v>
      </c>
      <c r="AV592" s="1">
        <f t="shared" si="817"/>
        <v>1</v>
      </c>
      <c r="AW592" s="1">
        <f t="shared" si="847"/>
        <v>8</v>
      </c>
      <c r="AX592" s="1">
        <f t="shared" si="818"/>
        <v>0</v>
      </c>
      <c r="AY592" s="1">
        <f t="shared" si="841"/>
        <v>6</v>
      </c>
      <c r="AZ592" s="1">
        <f t="shared" si="819"/>
        <v>7</v>
      </c>
      <c r="BA592" s="1">
        <f>MIN(6,Q592+0)</f>
        <v>3</v>
      </c>
      <c r="BB592" s="1">
        <f t="shared" si="834"/>
        <v>5</v>
      </c>
      <c r="BC592" s="1">
        <f t="shared" ref="BC592:BC598" si="848">MIN(3,S592+0)</f>
        <v>2</v>
      </c>
      <c r="BD592" s="1">
        <f t="shared" si="842"/>
        <v>0</v>
      </c>
      <c r="BE592" s="1">
        <f t="shared" si="835"/>
        <v>0</v>
      </c>
      <c r="BF592" s="1">
        <f>MIN(4,V592+0)</f>
        <v>1</v>
      </c>
      <c r="BG592" s="1">
        <f t="shared" si="839"/>
        <v>1</v>
      </c>
      <c r="BH592" s="1">
        <f t="shared" si="836"/>
        <v>1</v>
      </c>
      <c r="BI592" s="1">
        <f t="shared" si="840"/>
        <v>1</v>
      </c>
      <c r="BJ592" s="1">
        <f t="shared" si="846"/>
        <v>1</v>
      </c>
      <c r="BK592" s="1">
        <f t="shared" si="846"/>
        <v>1</v>
      </c>
      <c r="BL592" s="1">
        <f t="shared" si="808"/>
        <v>0</v>
      </c>
      <c r="BM592" s="1">
        <f t="shared" si="806"/>
        <v>0</v>
      </c>
      <c r="BN592" s="1">
        <f t="shared" si="837"/>
        <v>1</v>
      </c>
      <c r="BO592" s="1">
        <f t="shared" si="838"/>
        <v>1</v>
      </c>
    </row>
    <row r="593" spans="1:67" ht="30.95" customHeight="1">
      <c r="A593" s="1">
        <f>16</f>
        <v>16</v>
      </c>
      <c r="B593" s="1">
        <f>固定流程!A17</f>
        <v>12</v>
      </c>
      <c r="C593" s="1">
        <f>19</f>
        <v>19</v>
      </c>
      <c r="D593" s="1">
        <f>1</f>
        <v>1</v>
      </c>
      <c r="E593" s="1">
        <f>固定流程!C17</f>
        <v>2</v>
      </c>
      <c r="F593" s="1">
        <f>固定流程!G17</f>
        <v>2</v>
      </c>
      <c r="G593" s="1" t="str">
        <f>固定流程!H17</f>
        <v>37_FOLLOW</v>
      </c>
      <c r="H593" s="1">
        <f>固定流程!F17</f>
        <v>1</v>
      </c>
      <c r="I593" s="1">
        <f>INDEX(配置与结果!$B$15:$B$18,F593)</f>
        <v>2306</v>
      </c>
      <c r="J593" s="1">
        <f>INDEX(配置与结果!$D$15:$D$18,F593)</f>
        <v>0.46</v>
      </c>
      <c r="K593" s="1">
        <f>INDEX(配置与结果!$E$15:$E$18,F593)</f>
        <v>1.9279999999999999</v>
      </c>
      <c r="L593" s="1">
        <f t="shared" si="844"/>
        <v>1</v>
      </c>
      <c r="M593" s="1">
        <f t="shared" si="844"/>
        <v>8</v>
      </c>
      <c r="N593" s="1">
        <f t="shared" si="844"/>
        <v>0</v>
      </c>
      <c r="O593" s="1">
        <f t="shared" si="843"/>
        <v>6</v>
      </c>
      <c r="P593" s="1">
        <f>MIN(方案参数!$AI$19,AZ592+0+0)</f>
        <v>7</v>
      </c>
      <c r="Q593" s="1">
        <f t="shared" si="821"/>
        <v>3</v>
      </c>
      <c r="R593" s="1">
        <f t="shared" si="822"/>
        <v>5</v>
      </c>
      <c r="S593" s="1">
        <f t="shared" si="823"/>
        <v>2</v>
      </c>
      <c r="T593" s="1">
        <f t="shared" si="824"/>
        <v>0</v>
      </c>
      <c r="U593" s="1">
        <f t="shared" si="825"/>
        <v>0</v>
      </c>
      <c r="V593" s="1">
        <f t="shared" si="826"/>
        <v>1</v>
      </c>
      <c r="W593" s="1">
        <f t="shared" si="827"/>
        <v>1</v>
      </c>
      <c r="X593" s="1">
        <f t="shared" si="828"/>
        <v>1</v>
      </c>
      <c r="Y593" s="1">
        <f t="shared" si="829"/>
        <v>1</v>
      </c>
      <c r="Z593" s="1">
        <f t="shared" si="830"/>
        <v>1</v>
      </c>
      <c r="AA593" s="1">
        <f t="shared" si="845"/>
        <v>1</v>
      </c>
      <c r="AB593" s="1">
        <f t="shared" si="832"/>
        <v>0</v>
      </c>
      <c r="AC593" s="1">
        <f t="shared" si="833"/>
        <v>0</v>
      </c>
      <c r="AD593" s="1">
        <f>ROUNDDOWN(I593*(1+IF(F593=3,0.05+方案参数!$Y$19+AA593*0.12,IF(F593=4,方案参数!$BZ$19*方案参数!$AS$19,0)))+IF(AND(X593=1,F593&lt;&gt;3),方案参数!$CC$19,0)+AC593*方案参数!$CB$19,0)</f>
        <v>2544</v>
      </c>
      <c r="AE593" s="1">
        <f>IF(OR(F593=1,F593=4),配置与结果!$B$24,配置与结果!$B$25)*MAX(0,1-INDEX(配置与结果!$I$15:$I$18,F593))</f>
        <v>1000</v>
      </c>
      <c r="AF593" s="1">
        <f>方案参数!$BV$19</f>
        <v>3</v>
      </c>
      <c r="AG593" s="1">
        <f>MAX(配置与结果!$B$32,1+INDEX(配置与结果!$F$15:$F$18,F593)+0+Q593*方案参数!$W$19+Y593*(方案参数!$AN$19+MIN(方案参数!$AO$19,P593*0.03))+AB593*方案参数!$BZ$19*0.025-配置与结果!$B$28)</f>
        <v>0.96499999999999997</v>
      </c>
      <c r="AH593" s="1">
        <f>MAX(0,1+INDEX(配置与结果!$G$15:$G$18,F593)+W593*方案参数!$AG$19)</f>
        <v>1.45</v>
      </c>
      <c r="AI593" s="1">
        <f>IF(OR(INDEX(配置与结果!$K$15:$K$18,F593)=1,G593="RHI_BERRY"),1+配置与结果!$B$33+P593*方案参数!$AH$19,1)</f>
        <v>1</v>
      </c>
      <c r="AJ593" s="1">
        <f>MIN(1,MAX(0,J593+方案参数!$AB$19-配置与结果!$B$27))</f>
        <v>0.76</v>
      </c>
      <c r="AK593" s="1">
        <f>MAX(1,K593+IF(F593=2,0.15+方案参数!$CH$19,0)+BN593*方案参数!$X$19+R593*方案参数!$AA$19+0-配置与结果!$B$26+Z593*(方案参数!$AP$19+MIN(方案参数!$AQ$19,P593*0.03)))</f>
        <v>2.278</v>
      </c>
      <c r="AL593" s="7">
        <f>ROUNDDOWN(MAX(AD593*配置与结果!$B$31,AD593-AE593)*AF593*AG593*AH593*AI593,0)</f>
        <v>6481</v>
      </c>
      <c r="AM593" s="7">
        <f>ROUNDDOWN(MAX(AD593*配置与结果!$B$31,AD593-AE593)*AF593*AG593*AH593*AI593*AK593,0)</f>
        <v>14764</v>
      </c>
      <c r="AN593" s="7">
        <f t="shared" si="812"/>
        <v>12776.08</v>
      </c>
      <c r="AO593" s="7">
        <f>方案参数!$BW$19</f>
        <v>1</v>
      </c>
      <c r="AP593" s="7">
        <f>MAX(0,1+INDEX(配置与结果!$J$15:$J$18,F593)+IF(T593&gt;0,方案参数!$BY$19,0)-配置与结果!$B$30)</f>
        <v>1</v>
      </c>
      <c r="AQ593" s="7">
        <f t="shared" si="813"/>
        <v>2544</v>
      </c>
      <c r="AR593" s="7">
        <f t="shared" si="814"/>
        <v>5795</v>
      </c>
      <c r="AS593" s="7">
        <f t="shared" si="815"/>
        <v>5014.76</v>
      </c>
      <c r="AT593" s="7">
        <f>0</f>
        <v>0</v>
      </c>
      <c r="AU593" s="7">
        <f t="shared" si="816"/>
        <v>17790.84</v>
      </c>
      <c r="AV593" s="1">
        <f t="shared" si="817"/>
        <v>1</v>
      </c>
      <c r="AW593" s="1">
        <f t="shared" si="847"/>
        <v>8</v>
      </c>
      <c r="AX593" s="1">
        <f t="shared" si="818"/>
        <v>0</v>
      </c>
      <c r="AY593" s="1">
        <f t="shared" si="841"/>
        <v>6</v>
      </c>
      <c r="AZ593" s="1">
        <f t="shared" si="819"/>
        <v>7</v>
      </c>
      <c r="BA593" s="1">
        <f>MIN(6,Q593+0)</f>
        <v>3</v>
      </c>
      <c r="BB593" s="1">
        <f t="shared" si="834"/>
        <v>5</v>
      </c>
      <c r="BC593" s="1">
        <f t="shared" si="848"/>
        <v>2</v>
      </c>
      <c r="BD593" s="1">
        <f t="shared" si="842"/>
        <v>0</v>
      </c>
      <c r="BE593" s="1">
        <f t="shared" si="835"/>
        <v>0</v>
      </c>
      <c r="BF593" s="1">
        <f>MIN(4,V593+1)</f>
        <v>2</v>
      </c>
      <c r="BG593" s="1">
        <f t="shared" si="839"/>
        <v>1</v>
      </c>
      <c r="BH593" s="1">
        <f t="shared" si="836"/>
        <v>1</v>
      </c>
      <c r="BI593" s="1">
        <f t="shared" si="840"/>
        <v>1</v>
      </c>
      <c r="BJ593" s="1">
        <f t="shared" si="846"/>
        <v>1</v>
      </c>
      <c r="BK593" s="1">
        <f t="shared" si="846"/>
        <v>1</v>
      </c>
      <c r="BL593" s="1">
        <f t="shared" si="808"/>
        <v>0</v>
      </c>
      <c r="BM593" s="1">
        <f t="shared" si="806"/>
        <v>0</v>
      </c>
      <c r="BN593" s="1">
        <f t="shared" si="837"/>
        <v>1</v>
      </c>
      <c r="BO593" s="1">
        <f t="shared" si="838"/>
        <v>1</v>
      </c>
    </row>
    <row r="594" spans="1:67" ht="30.95" customHeight="1">
      <c r="A594" s="1">
        <f>16</f>
        <v>16</v>
      </c>
      <c r="B594" s="1">
        <f>固定流程!A18</f>
        <v>13</v>
      </c>
      <c r="C594" s="1">
        <f>19</f>
        <v>19</v>
      </c>
      <c r="D594" s="1">
        <f>1</f>
        <v>1</v>
      </c>
      <c r="E594" s="1">
        <f>固定流程!C18</f>
        <v>2</v>
      </c>
      <c r="F594" s="1">
        <f>固定流程!G18</f>
        <v>3</v>
      </c>
      <c r="G594" s="1" t="str">
        <f>固定流程!H18</f>
        <v>RHI_BERRY</v>
      </c>
      <c r="H594" s="1">
        <f>固定流程!F18</f>
        <v>1</v>
      </c>
      <c r="I594" s="1">
        <f>INDEX(配置与结果!$B$15:$B$18,F594)</f>
        <v>2597</v>
      </c>
      <c r="J594" s="1">
        <f>INDEX(配置与结果!$D$15:$D$18,F594)</f>
        <v>0.255</v>
      </c>
      <c r="K594" s="1">
        <f>INDEX(配置与结果!$E$15:$E$18,F594)</f>
        <v>1.55</v>
      </c>
      <c r="L594" s="1">
        <f t="shared" si="844"/>
        <v>1</v>
      </c>
      <c r="M594" s="1">
        <f t="shared" si="844"/>
        <v>8</v>
      </c>
      <c r="N594" s="1">
        <f t="shared" si="844"/>
        <v>0</v>
      </c>
      <c r="O594" s="1">
        <f t="shared" si="843"/>
        <v>6</v>
      </c>
      <c r="P594" s="1">
        <f>MIN(方案参数!$AI$19,AZ593+0+0)</f>
        <v>7</v>
      </c>
      <c r="Q594" s="1">
        <f t="shared" si="821"/>
        <v>3</v>
      </c>
      <c r="R594" s="1">
        <f t="shared" si="822"/>
        <v>5</v>
      </c>
      <c r="S594" s="1">
        <f t="shared" si="823"/>
        <v>2</v>
      </c>
      <c r="T594" s="1">
        <f t="shared" si="824"/>
        <v>0</v>
      </c>
      <c r="U594" s="1">
        <f t="shared" si="825"/>
        <v>0</v>
      </c>
      <c r="V594" s="1">
        <f t="shared" si="826"/>
        <v>2</v>
      </c>
      <c r="W594" s="1">
        <f t="shared" si="827"/>
        <v>1</v>
      </c>
      <c r="X594" s="1">
        <f t="shared" si="828"/>
        <v>1</v>
      </c>
      <c r="Y594" s="1">
        <f t="shared" si="829"/>
        <v>1</v>
      </c>
      <c r="Z594" s="1">
        <f t="shared" si="830"/>
        <v>1</v>
      </c>
      <c r="AA594" s="1">
        <f t="shared" si="845"/>
        <v>1</v>
      </c>
      <c r="AB594" s="1">
        <f t="shared" si="832"/>
        <v>0</v>
      </c>
      <c r="AC594" s="1">
        <f t="shared" si="833"/>
        <v>0</v>
      </c>
      <c r="AD594" s="1">
        <f>ROUNDDOWN(I594*(1+IF(F594=3,0.05+方案参数!$Y$19+AA594*0.12,IF(F594=4,方案参数!$BZ$19*方案参数!$AS$19,0)))+IF(AND(X594=1,F594&lt;&gt;3),方案参数!$CC$19,0)+AC594*方案参数!$CB$19,0)</f>
        <v>3298</v>
      </c>
      <c r="AE594" s="1">
        <f>IF(OR(F594=1,F594=4),配置与结果!$B$24,配置与结果!$B$25)*MAX(0,1-INDEX(配置与结果!$I$15:$I$18,F594))</f>
        <v>1000</v>
      </c>
      <c r="AF594" s="1">
        <f>方案参数!$CF$19+P594*方案参数!$CG$19</f>
        <v>51</v>
      </c>
      <c r="AG594" s="1">
        <f>MAX(配置与结果!$B$32,1+INDEX(配置与结果!$F$15:$F$18,F594)+0+Q594*方案参数!$W$19+Y594*(方案参数!$AN$19+MIN(方案参数!$AO$19,P594*0.03))+AB594*方案参数!$BZ$19*0.025-配置与结果!$B$28)</f>
        <v>0.995</v>
      </c>
      <c r="AH594" s="1">
        <f>MAX(0,1+INDEX(配置与结果!$G$15:$G$18,F594)+W594*方案参数!$AG$19)</f>
        <v>1.45</v>
      </c>
      <c r="AI594" s="1">
        <f>IF(OR(INDEX(配置与结果!$K$15:$K$18,F594)=1,G594="RHI_BERRY"),1+配置与结果!$B$33+P594*方案参数!$AH$19,1)</f>
        <v>1.6500000000000001</v>
      </c>
      <c r="AJ594" s="1">
        <f>MIN(1,MAX(0,J594+方案参数!$AB$19-配置与结果!$B$27))</f>
        <v>0.55499999999999994</v>
      </c>
      <c r="AK594" s="1">
        <f>MAX(1,K594+IF(F594=2,0.15+方案参数!$CH$19,0)+BN594*方案参数!$X$19+R594*方案参数!$AA$19+0-配置与结果!$B$26+Z594*(方案参数!$AP$19+MIN(方案参数!$AQ$19,P594*0.03)))</f>
        <v>1.6300000000000001</v>
      </c>
      <c r="AL594" s="7">
        <f>ROUNDDOWN(MAX(AD594*配置与结果!$B$31,AD594-AE594)*AF594*AG594*AH594*AI594,0)</f>
        <v>278994</v>
      </c>
      <c r="AM594" s="7">
        <f>ROUNDDOWN(MAX(AD594*配置与结果!$B$31,AD594-AE594)*AF594*AG594*AH594*AI594*AK594,0)</f>
        <v>454760</v>
      </c>
      <c r="AN594" s="7">
        <f t="shared" si="812"/>
        <v>376544.13</v>
      </c>
      <c r="AO594" s="7">
        <f>0</f>
        <v>0</v>
      </c>
      <c r="AP594" s="7">
        <f>MAX(0,1+INDEX(配置与结果!$J$15:$J$18,F594)+IF(T594&gt;0,方案参数!$BY$19,0)-配置与结果!$B$30)</f>
        <v>1</v>
      </c>
      <c r="AQ594" s="7">
        <f t="shared" si="813"/>
        <v>0</v>
      </c>
      <c r="AR594" s="7">
        <f t="shared" si="814"/>
        <v>0</v>
      </c>
      <c r="AS594" s="7">
        <f t="shared" si="815"/>
        <v>0</v>
      </c>
      <c r="AT594" s="7">
        <f>0</f>
        <v>0</v>
      </c>
      <c r="AU594" s="7">
        <f t="shared" si="816"/>
        <v>376544.13</v>
      </c>
      <c r="AV594" s="1">
        <f t="shared" si="817"/>
        <v>1</v>
      </c>
      <c r="AW594" s="1">
        <f t="shared" si="847"/>
        <v>8</v>
      </c>
      <c r="AX594" s="1">
        <f t="shared" si="818"/>
        <v>0</v>
      </c>
      <c r="AY594" s="1">
        <f t="shared" si="841"/>
        <v>6</v>
      </c>
      <c r="AZ594" s="1">
        <f t="shared" si="819"/>
        <v>7</v>
      </c>
      <c r="BA594" s="1">
        <f>MIN(6,Q594+0)</f>
        <v>3</v>
      </c>
      <c r="BB594" s="1">
        <f t="shared" si="834"/>
        <v>5</v>
      </c>
      <c r="BC594" s="1">
        <f t="shared" si="848"/>
        <v>2</v>
      </c>
      <c r="BD594" s="1">
        <f t="shared" si="842"/>
        <v>0</v>
      </c>
      <c r="BE594" s="1">
        <f t="shared" si="835"/>
        <v>0</v>
      </c>
      <c r="BF594" s="1">
        <f>MIN(4,V594+0)</f>
        <v>2</v>
      </c>
      <c r="BG594" s="1">
        <f t="shared" si="839"/>
        <v>1</v>
      </c>
      <c r="BH594" s="1">
        <f t="shared" si="836"/>
        <v>1</v>
      </c>
      <c r="BI594" s="1">
        <f t="shared" si="840"/>
        <v>1</v>
      </c>
      <c r="BJ594" s="1">
        <f t="shared" si="846"/>
        <v>1</v>
      </c>
      <c r="BK594" s="1">
        <f t="shared" si="846"/>
        <v>1</v>
      </c>
      <c r="BL594" s="1">
        <f t="shared" si="808"/>
        <v>0</v>
      </c>
      <c r="BM594" s="1">
        <f t="shared" si="806"/>
        <v>0</v>
      </c>
      <c r="BN594" s="1">
        <f t="shared" si="837"/>
        <v>1</v>
      </c>
      <c r="BO594" s="1">
        <f t="shared" si="838"/>
        <v>1</v>
      </c>
    </row>
    <row r="595" spans="1:67" ht="30.95" customHeight="1">
      <c r="A595" s="1">
        <f>16</f>
        <v>16</v>
      </c>
      <c r="B595" s="1">
        <f>固定流程!A19</f>
        <v>14</v>
      </c>
      <c r="C595" s="1">
        <f>19</f>
        <v>19</v>
      </c>
      <c r="D595" s="1">
        <f>1</f>
        <v>1</v>
      </c>
      <c r="E595" s="1">
        <f>固定流程!C19</f>
        <v>3</v>
      </c>
      <c r="F595" s="1">
        <f>固定流程!G19</f>
        <v>3</v>
      </c>
      <c r="G595" s="1" t="str">
        <f>固定流程!H19</f>
        <v>RHI_BUFF</v>
      </c>
      <c r="H595" s="1">
        <f>固定流程!F19</f>
        <v>1</v>
      </c>
      <c r="I595" s="1">
        <f>INDEX(配置与结果!$B$15:$B$18,F595)</f>
        <v>2597</v>
      </c>
      <c r="J595" s="1">
        <f>INDEX(配置与结果!$D$15:$D$18,F595)</f>
        <v>0.255</v>
      </c>
      <c r="K595" s="1">
        <f>INDEX(配置与结果!$E$15:$E$18,F595)</f>
        <v>1.55</v>
      </c>
      <c r="L595" s="1">
        <f>IF(AV594=1,IF(M595&gt;=10,2,1),IF(AV594=2,IF(AX594&lt;=1,0,2),0))</f>
        <v>2</v>
      </c>
      <c r="M595" s="1">
        <f>IF(AND(AV594=2,AX594&lt;=1),0,MIN(10,AW594+IF(AV594=1,3,0)))</f>
        <v>10</v>
      </c>
      <c r="N595" s="1">
        <f>IF(AND(AV594=1,M595&gt;=10),2,IF(AV594=2,MAX(0,AX594-1),0))</f>
        <v>2</v>
      </c>
      <c r="O595" s="1">
        <f t="shared" si="843"/>
        <v>6</v>
      </c>
      <c r="P595" s="1">
        <f>MIN(方案参数!$AI$19,AZ594+方案参数!$AJ$19+方案参数!$AK$19)</f>
        <v>7</v>
      </c>
      <c r="Q595" s="1">
        <f t="shared" si="821"/>
        <v>3</v>
      </c>
      <c r="R595" s="1">
        <f t="shared" si="822"/>
        <v>5</v>
      </c>
      <c r="S595" s="1">
        <f t="shared" si="823"/>
        <v>2</v>
      </c>
      <c r="T595" s="1">
        <f t="shared" si="824"/>
        <v>0</v>
      </c>
      <c r="U595" s="1">
        <f t="shared" si="825"/>
        <v>0</v>
      </c>
      <c r="V595" s="1">
        <f t="shared" si="826"/>
        <v>2</v>
      </c>
      <c r="W595" s="1">
        <f t="shared" si="827"/>
        <v>1</v>
      </c>
      <c r="X595" s="1">
        <f t="shared" si="828"/>
        <v>1</v>
      </c>
      <c r="Y595" s="1">
        <f t="shared" si="829"/>
        <v>1</v>
      </c>
      <c r="Z595" s="1">
        <f t="shared" si="830"/>
        <v>1</v>
      </c>
      <c r="AA595" s="1">
        <f t="shared" si="845"/>
        <v>1</v>
      </c>
      <c r="AB595" s="1">
        <f t="shared" si="832"/>
        <v>0</v>
      </c>
      <c r="AC595" s="1">
        <f t="shared" si="833"/>
        <v>0</v>
      </c>
      <c r="AD595" s="1">
        <f>ROUNDDOWN(I595*(1+IF(F595=3,0.05+方案参数!$Y$19+AA595*0.12,IF(F595=4,方案参数!$BZ$19*方案参数!$AS$19,0)))+IF(AND(X595=1,F595&lt;&gt;3),方案参数!$CC$19,0)+AC595*方案参数!$CB$19,0)</f>
        <v>3298</v>
      </c>
      <c r="AE595" s="1">
        <f>IF(OR(F595=1,F595=4),配置与结果!$B$24,配置与结果!$B$25)*MAX(0,1-INDEX(配置与结果!$I$15:$I$18,F595))</f>
        <v>1000</v>
      </c>
      <c r="AF595" s="1">
        <f>0</f>
        <v>0</v>
      </c>
      <c r="AG595" s="1">
        <f>MAX(配置与结果!$B$32,1+INDEX(配置与结果!$F$15:$F$18,F595)+0+Q595*方案参数!$W$19+Y595*(方案参数!$AN$19+MIN(方案参数!$AO$19,P595*0.03))+AB595*方案参数!$BZ$19*0.025-配置与结果!$B$28)</f>
        <v>0.995</v>
      </c>
      <c r="AH595" s="1">
        <f>MAX(0,1+INDEX(配置与结果!$G$15:$G$18,F595)+W595*方案参数!$AG$19)</f>
        <v>1.45</v>
      </c>
      <c r="AI595" s="1">
        <f>IF(OR(INDEX(配置与结果!$K$15:$K$18,F595)=1,G595="RHI_BERRY"),1+配置与结果!$B$33+P595*方案参数!$AH$19,1)</f>
        <v>1</v>
      </c>
      <c r="AJ595" s="1">
        <f>MIN(1,MAX(0,J595+方案参数!$AB$19-配置与结果!$B$27))</f>
        <v>0.55499999999999994</v>
      </c>
      <c r="AK595" s="1">
        <f>MAX(1,K595+IF(F595=2,0.15+方案参数!$CH$19,0)+BN595*方案参数!$X$19+R595*方案参数!$AA$19+0-配置与结果!$B$26+Z595*(方案参数!$AP$19+MIN(方案参数!$AQ$19,P595*0.03)))</f>
        <v>1.6300000000000001</v>
      </c>
      <c r="AL595" s="7">
        <f>ROUNDDOWN(MAX(AD595*配置与结果!$B$31,AD595-AE595)*AF595*AG595*AH595*AI595,0)</f>
        <v>0</v>
      </c>
      <c r="AM595" s="7">
        <f>ROUNDDOWN(MAX(AD595*配置与结果!$B$31,AD595-AE595)*AF595*AG595*AH595*AI595*AK595,0)</f>
        <v>0</v>
      </c>
      <c r="AN595" s="7">
        <f t="shared" si="812"/>
        <v>0</v>
      </c>
      <c r="AO595" s="7">
        <f>0</f>
        <v>0</v>
      </c>
      <c r="AP595" s="7">
        <f>MAX(0,1+INDEX(配置与结果!$J$15:$J$18,F595)+IF(T595&gt;0,方案参数!$BY$19,0)-配置与结果!$B$30)</f>
        <v>1</v>
      </c>
      <c r="AQ595" s="7">
        <f t="shared" si="813"/>
        <v>0</v>
      </c>
      <c r="AR595" s="7">
        <f t="shared" si="814"/>
        <v>0</v>
      </c>
      <c r="AS595" s="7">
        <f t="shared" si="815"/>
        <v>0</v>
      </c>
      <c r="AT595" s="7">
        <f>0</f>
        <v>0</v>
      </c>
      <c r="AU595" s="7">
        <f t="shared" si="816"/>
        <v>0</v>
      </c>
      <c r="AV595" s="1">
        <f t="shared" si="817"/>
        <v>2</v>
      </c>
      <c r="AW595" s="1">
        <f t="shared" si="847"/>
        <v>10</v>
      </c>
      <c r="AX595" s="1">
        <f t="shared" si="818"/>
        <v>2</v>
      </c>
      <c r="AY595" s="1">
        <f t="shared" si="841"/>
        <v>6</v>
      </c>
      <c r="AZ595" s="1">
        <f t="shared" si="819"/>
        <v>7</v>
      </c>
      <c r="BA595" s="1">
        <f>MIN(6,Q595+1)</f>
        <v>4</v>
      </c>
      <c r="BB595" s="1">
        <f t="shared" si="834"/>
        <v>5</v>
      </c>
      <c r="BC595" s="1">
        <f t="shared" si="848"/>
        <v>2</v>
      </c>
      <c r="BD595" s="1">
        <f t="shared" si="842"/>
        <v>0</v>
      </c>
      <c r="BE595" s="1">
        <f t="shared" si="835"/>
        <v>0</v>
      </c>
      <c r="BF595" s="1">
        <f>MIN(4,V595+0)</f>
        <v>2</v>
      </c>
      <c r="BG595" s="1">
        <f>MAX(W595,1)</f>
        <v>1</v>
      </c>
      <c r="BH595" s="1">
        <f t="shared" si="836"/>
        <v>1</v>
      </c>
      <c r="BI595" s="1">
        <f>MAX(Y595,1)</f>
        <v>1</v>
      </c>
      <c r="BJ595" s="1">
        <f t="shared" si="846"/>
        <v>1</v>
      </c>
      <c r="BK595" s="1">
        <f t="shared" si="846"/>
        <v>1</v>
      </c>
      <c r="BL595" s="1">
        <f t="shared" si="808"/>
        <v>0</v>
      </c>
      <c r="BM595" s="1">
        <f t="shared" si="806"/>
        <v>0</v>
      </c>
      <c r="BN595" s="1">
        <f t="shared" si="837"/>
        <v>1</v>
      </c>
      <c r="BO595" s="1">
        <f t="shared" si="838"/>
        <v>1</v>
      </c>
    </row>
    <row r="596" spans="1:67" ht="30.95" customHeight="1">
      <c r="A596" s="1">
        <f>16</f>
        <v>16</v>
      </c>
      <c r="B596" s="1">
        <f>固定流程!A20</f>
        <v>15</v>
      </c>
      <c r="C596" s="1">
        <f>19</f>
        <v>19</v>
      </c>
      <c r="D596" s="1">
        <f>1</f>
        <v>1</v>
      </c>
      <c r="E596" s="1">
        <f>固定流程!C20</f>
        <v>3</v>
      </c>
      <c r="F596" s="1">
        <f>固定流程!G20</f>
        <v>3</v>
      </c>
      <c r="G596" s="1" t="str">
        <f>固定流程!H20</f>
        <v>RHI_ATTACK</v>
      </c>
      <c r="H596" s="1">
        <f>固定流程!F20</f>
        <v>1</v>
      </c>
      <c r="I596" s="1">
        <f>INDEX(配置与结果!$B$15:$B$18,F596)</f>
        <v>2597</v>
      </c>
      <c r="J596" s="1">
        <f>INDEX(配置与结果!$D$15:$D$18,F596)</f>
        <v>0.255</v>
      </c>
      <c r="K596" s="1">
        <f>INDEX(配置与结果!$E$15:$E$18,F596)</f>
        <v>1.55</v>
      </c>
      <c r="L596" s="1">
        <f t="shared" ref="L596:L617" si="849">AV595</f>
        <v>2</v>
      </c>
      <c r="M596" s="1">
        <f t="shared" ref="M596:M617" si="850">AW595</f>
        <v>10</v>
      </c>
      <c r="N596" s="1">
        <f t="shared" ref="N596:N617" si="851">AX595</f>
        <v>2</v>
      </c>
      <c r="O596" s="1">
        <f t="shared" si="843"/>
        <v>6</v>
      </c>
      <c r="P596" s="1">
        <f>MIN(方案参数!$AI$19,AZ595+0+方案参数!$AK$19)</f>
        <v>7</v>
      </c>
      <c r="Q596" s="1">
        <f t="shared" si="821"/>
        <v>4</v>
      </c>
      <c r="R596" s="1">
        <f t="shared" si="822"/>
        <v>5</v>
      </c>
      <c r="S596" s="1">
        <f t="shared" si="823"/>
        <v>2</v>
      </c>
      <c r="T596" s="1">
        <f t="shared" si="824"/>
        <v>0</v>
      </c>
      <c r="U596" s="1">
        <f t="shared" si="825"/>
        <v>0</v>
      </c>
      <c r="V596" s="1">
        <f t="shared" si="826"/>
        <v>2</v>
      </c>
      <c r="W596" s="1">
        <f t="shared" si="827"/>
        <v>1</v>
      </c>
      <c r="X596" s="1">
        <f t="shared" si="828"/>
        <v>1</v>
      </c>
      <c r="Y596" s="1">
        <f t="shared" si="829"/>
        <v>1</v>
      </c>
      <c r="Z596" s="1">
        <f t="shared" si="830"/>
        <v>1</v>
      </c>
      <c r="AA596" s="1">
        <f>MAX(BK595,1)</f>
        <v>1</v>
      </c>
      <c r="AB596" s="1">
        <f t="shared" si="832"/>
        <v>0</v>
      </c>
      <c r="AC596" s="1">
        <f t="shared" si="833"/>
        <v>0</v>
      </c>
      <c r="AD596" s="1">
        <f>ROUNDDOWN(I596*(1+IF(F596=3,0.05+方案参数!$Y$19+AA596*0.12,IF(F596=4,方案参数!$BZ$19*方案参数!$AS$19,0)))+IF(AND(X596=1,F596&lt;&gt;3),方案参数!$CC$19,0)+AC596*方案参数!$CB$19,0)</f>
        <v>3298</v>
      </c>
      <c r="AE596" s="1">
        <f>IF(OR(F596=1,F596=4),配置与结果!$B$24,配置与结果!$B$25)*MAX(0,1-INDEX(配置与结果!$I$15:$I$18,F596))</f>
        <v>1000</v>
      </c>
      <c r="AF596" s="1">
        <f>4</f>
        <v>4</v>
      </c>
      <c r="AG596" s="1">
        <f>MAX(配置与结果!$B$32,1+INDEX(配置与结果!$F$15:$F$18,F596)+0+Q596*方案参数!$W$19+Y596*(方案参数!$AN$19+MIN(方案参数!$AO$19,P596*0.03))+AB596*方案参数!$BZ$19*0.025-配置与结果!$B$28)</f>
        <v>1.0150000000000001</v>
      </c>
      <c r="AH596" s="1">
        <f>MAX(0,1+INDEX(配置与结果!$G$15:$G$18,F596)+W596*方案参数!$AG$19)</f>
        <v>1.45</v>
      </c>
      <c r="AI596" s="1">
        <f>IF(OR(INDEX(配置与结果!$K$15:$K$18,F596)=1,G596="RHI_BERRY"),1+配置与结果!$B$33+P596*方案参数!$AH$19,1)</f>
        <v>1</v>
      </c>
      <c r="AJ596" s="1">
        <f>MIN(1,MAX(0,J596+方案参数!$AB$19-配置与结果!$B$27))</f>
        <v>0.55499999999999994</v>
      </c>
      <c r="AK596" s="1">
        <f>MAX(1,K596+IF(F596=2,0.15+方案参数!$CH$19,0)+BN596*方案参数!$X$19+R596*方案参数!$AA$19+0-配置与结果!$B$26+Z596*(方案参数!$AP$19+MIN(方案参数!$AQ$19,P596*0.03)))</f>
        <v>1.6300000000000001</v>
      </c>
      <c r="AL596" s="7">
        <f>ROUNDDOWN(MAX(AD596*配置与结果!$B$31,AD596-AE596)*AF596*AG596*AH596*AI596,0)</f>
        <v>13528</v>
      </c>
      <c r="AM596" s="7">
        <f>ROUNDDOWN(MAX(AD596*配置与结果!$B$31,AD596-AE596)*AF596*AG596*AH596*AI596*AK596,0)</f>
        <v>22051</v>
      </c>
      <c r="AN596" s="7">
        <f t="shared" si="812"/>
        <v>18258.264999999999</v>
      </c>
      <c r="AO596" s="7">
        <f>0</f>
        <v>0</v>
      </c>
      <c r="AP596" s="7">
        <f>MAX(0,1+INDEX(配置与结果!$J$15:$J$18,F596)+IF(T596&gt;0,方案参数!$BY$19,0)-配置与结果!$B$30)</f>
        <v>1</v>
      </c>
      <c r="AQ596" s="7">
        <f t="shared" si="813"/>
        <v>0</v>
      </c>
      <c r="AR596" s="7">
        <f t="shared" si="814"/>
        <v>0</v>
      </c>
      <c r="AS596" s="7">
        <f t="shared" si="815"/>
        <v>0</v>
      </c>
      <c r="AT596" s="7">
        <f>0</f>
        <v>0</v>
      </c>
      <c r="AU596" s="7">
        <f t="shared" si="816"/>
        <v>18258.264999999999</v>
      </c>
      <c r="AV596" s="1">
        <f t="shared" si="817"/>
        <v>2</v>
      </c>
      <c r="AW596" s="1">
        <f t="shared" si="847"/>
        <v>10</v>
      </c>
      <c r="AX596" s="1">
        <f t="shared" si="818"/>
        <v>2</v>
      </c>
      <c r="AY596" s="1">
        <f t="shared" si="841"/>
        <v>6</v>
      </c>
      <c r="AZ596" s="1">
        <f t="shared" si="819"/>
        <v>7</v>
      </c>
      <c r="BA596" s="1">
        <f>MIN(6,Q596+1)</f>
        <v>5</v>
      </c>
      <c r="BB596" s="1">
        <f t="shared" si="834"/>
        <v>5</v>
      </c>
      <c r="BC596" s="1">
        <f t="shared" si="848"/>
        <v>2</v>
      </c>
      <c r="BD596" s="1">
        <f t="shared" si="842"/>
        <v>0</v>
      </c>
      <c r="BE596" s="1">
        <f t="shared" si="835"/>
        <v>0</v>
      </c>
      <c r="BF596" s="1">
        <f>MIN(4,V596+0)</f>
        <v>2</v>
      </c>
      <c r="BG596" s="1">
        <f t="shared" ref="BG596:BG618" si="852">MAX(W596,0)</f>
        <v>1</v>
      </c>
      <c r="BH596" s="1">
        <f t="shared" si="836"/>
        <v>1</v>
      </c>
      <c r="BI596" s="1">
        <f t="shared" ref="BI596:BI618" si="853">MAX(Y596,0)</f>
        <v>1</v>
      </c>
      <c r="BJ596" s="1">
        <f>MAX(Z596,1)</f>
        <v>1</v>
      </c>
      <c r="BK596" s="1">
        <f>MAX(AA596,1)</f>
        <v>1</v>
      </c>
      <c r="BL596" s="1">
        <f t="shared" si="808"/>
        <v>0</v>
      </c>
      <c r="BM596" s="1">
        <f t="shared" si="806"/>
        <v>0</v>
      </c>
      <c r="BN596" s="1">
        <f t="shared" si="837"/>
        <v>1</v>
      </c>
      <c r="BO596" s="1">
        <f t="shared" si="838"/>
        <v>1</v>
      </c>
    </row>
    <row r="597" spans="1:67" ht="30.95" customHeight="1">
      <c r="A597" s="1">
        <f>16</f>
        <v>16</v>
      </c>
      <c r="B597" s="1">
        <f>固定流程!A21</f>
        <v>16</v>
      </c>
      <c r="C597" s="1">
        <f>19</f>
        <v>19</v>
      </c>
      <c r="D597" s="1">
        <f>1</f>
        <v>1</v>
      </c>
      <c r="E597" s="1">
        <f>固定流程!C21</f>
        <v>3</v>
      </c>
      <c r="F597" s="1">
        <f>固定流程!G21</f>
        <v>2</v>
      </c>
      <c r="G597" s="1" t="str">
        <f>固定流程!H21</f>
        <v>37_ULT</v>
      </c>
      <c r="H597" s="1">
        <f>固定流程!F21</f>
        <v>1</v>
      </c>
      <c r="I597" s="1">
        <f>INDEX(配置与结果!$B$15:$B$18,F597)</f>
        <v>2306</v>
      </c>
      <c r="J597" s="1">
        <f>INDEX(配置与结果!$D$15:$D$18,F597)</f>
        <v>0.46</v>
      </c>
      <c r="K597" s="1">
        <f>INDEX(配置与结果!$E$15:$E$18,F597)</f>
        <v>1.9279999999999999</v>
      </c>
      <c r="L597" s="1">
        <f t="shared" si="849"/>
        <v>2</v>
      </c>
      <c r="M597" s="1">
        <f t="shared" si="850"/>
        <v>10</v>
      </c>
      <c r="N597" s="1">
        <f t="shared" si="851"/>
        <v>2</v>
      </c>
      <c r="O597" s="1">
        <f t="shared" si="843"/>
        <v>6</v>
      </c>
      <c r="P597" s="1">
        <f>MIN(方案参数!$AI$19,AZ596+0+0)</f>
        <v>7</v>
      </c>
      <c r="Q597" s="1">
        <f t="shared" si="821"/>
        <v>5</v>
      </c>
      <c r="R597" s="1">
        <f t="shared" si="822"/>
        <v>5</v>
      </c>
      <c r="S597" s="1">
        <f t="shared" si="823"/>
        <v>2</v>
      </c>
      <c r="T597" s="1">
        <f>BD596+方案参数!$BX$19</f>
        <v>2</v>
      </c>
      <c r="U597" s="1">
        <f t="shared" si="825"/>
        <v>0</v>
      </c>
      <c r="V597" s="1">
        <f t="shared" si="826"/>
        <v>2</v>
      </c>
      <c r="W597" s="1">
        <f t="shared" si="827"/>
        <v>1</v>
      </c>
      <c r="X597" s="1">
        <f t="shared" si="828"/>
        <v>1</v>
      </c>
      <c r="Y597" s="1">
        <f t="shared" si="829"/>
        <v>1</v>
      </c>
      <c r="Z597" s="1">
        <f t="shared" si="830"/>
        <v>1</v>
      </c>
      <c r="AA597" s="1">
        <f t="shared" ref="AA597:AA617" si="854">MAX(BK596,0)</f>
        <v>1</v>
      </c>
      <c r="AB597" s="1">
        <f t="shared" si="832"/>
        <v>0</v>
      </c>
      <c r="AC597" s="1">
        <f>MAX(BM596,1)</f>
        <v>1</v>
      </c>
      <c r="AD597" s="1">
        <f>ROUNDDOWN(I597*(1+IF(F597=3,0.05+方案参数!$Y$19+AA597*0.12,IF(F597=4,方案参数!$BZ$19*方案参数!$AS$19,0)))+IF(AND(X597=1,F597&lt;&gt;3),方案参数!$CC$19,0)+AC597*方案参数!$CB$19,0)</f>
        <v>3044</v>
      </c>
      <c r="AE597" s="1">
        <f>IF(OR(F597=1,F597=4),配置与结果!$B$24,配置与结果!$B$25)*MAX(0,1-INDEX(配置与结果!$I$15:$I$18,F597))</f>
        <v>1000</v>
      </c>
      <c r="AF597" s="1">
        <f>0</f>
        <v>0</v>
      </c>
      <c r="AG597" s="1">
        <f>MAX(配置与结果!$B$32,1+INDEX(配置与结果!$F$15:$F$18,F597)+0+Q597*方案参数!$W$19+Y597*(方案参数!$AN$19+MIN(方案参数!$AO$19,P597*0.03))+AB597*方案参数!$BZ$19*0.025-配置与结果!$B$28)</f>
        <v>1.0049999999999999</v>
      </c>
      <c r="AH597" s="1">
        <f>MAX(0,1+INDEX(配置与结果!$G$15:$G$18,F597)+W597*方案参数!$AG$19)</f>
        <v>1.45</v>
      </c>
      <c r="AI597" s="1">
        <f>IF(OR(INDEX(配置与结果!$K$15:$K$18,F597)=1,G597="RHI_BERRY"),1+配置与结果!$B$33+P597*方案参数!$AH$19,1)</f>
        <v>1</v>
      </c>
      <c r="AJ597" s="1">
        <f>MIN(1,MAX(0,J597+方案参数!$AB$19-配置与结果!$B$27))</f>
        <v>0.76</v>
      </c>
      <c r="AK597" s="1">
        <f>MAX(1,K597+IF(F597=2,0.15+方案参数!$CH$19,0)+BN597*方案参数!$X$19+R597*方案参数!$AA$19+0-配置与结果!$B$26+Z597*(方案参数!$AP$19+MIN(方案参数!$AQ$19,P597*0.03)))</f>
        <v>2.278</v>
      </c>
      <c r="AL597" s="7">
        <f>ROUNDDOWN(MAX(AD597*配置与结果!$B$31,AD597-AE597)*AF597*AG597*AH597*AI597,0)</f>
        <v>0</v>
      </c>
      <c r="AM597" s="7">
        <f>ROUNDDOWN(MAX(AD597*配置与结果!$B$31,AD597-AE597)*AF597*AG597*AH597*AI597*AK597,0)</f>
        <v>0</v>
      </c>
      <c r="AN597" s="7">
        <f t="shared" si="812"/>
        <v>0</v>
      </c>
      <c r="AO597" s="7">
        <f>0</f>
        <v>0</v>
      </c>
      <c r="AP597" s="7">
        <f>MAX(0,1+INDEX(配置与结果!$J$15:$J$18,F597)+IF(T597&gt;0,方案参数!$BY$19,0)-配置与结果!$B$30)</f>
        <v>2</v>
      </c>
      <c r="AQ597" s="7">
        <f t="shared" si="813"/>
        <v>0</v>
      </c>
      <c r="AR597" s="7">
        <f t="shared" si="814"/>
        <v>0</v>
      </c>
      <c r="AS597" s="7">
        <f t="shared" si="815"/>
        <v>0</v>
      </c>
      <c r="AT597" s="7">
        <f>0</f>
        <v>0</v>
      </c>
      <c r="AU597" s="7">
        <f t="shared" si="816"/>
        <v>0</v>
      </c>
      <c r="AV597" s="1">
        <f t="shared" si="817"/>
        <v>2</v>
      </c>
      <c r="AW597" s="1">
        <f t="shared" si="847"/>
        <v>10</v>
      </c>
      <c r="AX597" s="1">
        <f t="shared" si="818"/>
        <v>2</v>
      </c>
      <c r="AY597" s="1">
        <f t="shared" si="841"/>
        <v>6</v>
      </c>
      <c r="AZ597" s="1">
        <f t="shared" si="819"/>
        <v>7</v>
      </c>
      <c r="BA597" s="1">
        <f t="shared" ref="BA597:BA617" si="855">MIN(6,Q597+0)</f>
        <v>5</v>
      </c>
      <c r="BB597" s="1">
        <f>MIN(30,R597+5)</f>
        <v>10</v>
      </c>
      <c r="BC597" s="1">
        <f t="shared" si="848"/>
        <v>2</v>
      </c>
      <c r="BD597" s="1">
        <f t="shared" si="842"/>
        <v>2</v>
      </c>
      <c r="BE597" s="1">
        <f t="shared" si="835"/>
        <v>0</v>
      </c>
      <c r="BF597" s="1">
        <f>MIN(4,V597+0)</f>
        <v>2</v>
      </c>
      <c r="BG597" s="1">
        <f t="shared" si="852"/>
        <v>1</v>
      </c>
      <c r="BH597" s="1">
        <f t="shared" si="836"/>
        <v>1</v>
      </c>
      <c r="BI597" s="1">
        <f t="shared" si="853"/>
        <v>1</v>
      </c>
      <c r="BJ597" s="1">
        <f t="shared" ref="BJ597:BJ624" si="856">MAX(Z597,0)</f>
        <v>1</v>
      </c>
      <c r="BK597" s="1">
        <f t="shared" ref="BK597:BK624" si="857">MAX(AA597,0)</f>
        <v>1</v>
      </c>
      <c r="BL597" s="1">
        <f t="shared" si="808"/>
        <v>0</v>
      </c>
      <c r="BM597" s="1">
        <f>MAX(AC597,1)</f>
        <v>1</v>
      </c>
      <c r="BN597" s="1">
        <f t="shared" si="837"/>
        <v>1</v>
      </c>
      <c r="BO597" s="1">
        <f t="shared" si="838"/>
        <v>1</v>
      </c>
    </row>
    <row r="598" spans="1:67" ht="30.95" customHeight="1">
      <c r="A598" s="1">
        <f>16</f>
        <v>16</v>
      </c>
      <c r="B598" s="1">
        <f>固定流程!A22</f>
        <v>17</v>
      </c>
      <c r="C598" s="1">
        <f>19</f>
        <v>19</v>
      </c>
      <c r="D598" s="1">
        <f>1</f>
        <v>1</v>
      </c>
      <c r="E598" s="1">
        <f>固定流程!C22</f>
        <v>3</v>
      </c>
      <c r="F598" s="1">
        <f>固定流程!G22</f>
        <v>2</v>
      </c>
      <c r="G598" s="1" t="str">
        <f>固定流程!H22</f>
        <v>37_FOLLOW</v>
      </c>
      <c r="H598" s="1">
        <f>固定流程!F22</f>
        <v>1</v>
      </c>
      <c r="I598" s="1">
        <f>INDEX(配置与结果!$B$15:$B$18,F598)</f>
        <v>2306</v>
      </c>
      <c r="J598" s="1">
        <f>INDEX(配置与结果!$D$15:$D$18,F598)</f>
        <v>0.46</v>
      </c>
      <c r="K598" s="1">
        <f>INDEX(配置与结果!$E$15:$E$18,F598)</f>
        <v>1.9279999999999999</v>
      </c>
      <c r="L598" s="1">
        <f t="shared" si="849"/>
        <v>2</v>
      </c>
      <c r="M598" s="1">
        <f t="shared" si="850"/>
        <v>10</v>
      </c>
      <c r="N598" s="1">
        <f t="shared" si="851"/>
        <v>2</v>
      </c>
      <c r="O598" s="1">
        <f t="shared" si="843"/>
        <v>6</v>
      </c>
      <c r="P598" s="1">
        <f>MIN(方案参数!$AI$19,AZ597+0+0)</f>
        <v>7</v>
      </c>
      <c r="Q598" s="1">
        <f t="shared" si="821"/>
        <v>5</v>
      </c>
      <c r="R598" s="1">
        <f t="shared" si="822"/>
        <v>10</v>
      </c>
      <c r="S598" s="1">
        <f t="shared" si="823"/>
        <v>2</v>
      </c>
      <c r="T598" s="1">
        <f t="shared" ref="T598:T617" si="858">BD597+0</f>
        <v>2</v>
      </c>
      <c r="U598" s="1">
        <f t="shared" si="825"/>
        <v>0</v>
      </c>
      <c r="V598" s="1">
        <f t="shared" si="826"/>
        <v>2</v>
      </c>
      <c r="W598" s="1">
        <f t="shared" si="827"/>
        <v>1</v>
      </c>
      <c r="X598" s="1">
        <f t="shared" si="828"/>
        <v>1</v>
      </c>
      <c r="Y598" s="1">
        <f t="shared" si="829"/>
        <v>1</v>
      </c>
      <c r="Z598" s="1">
        <f t="shared" si="830"/>
        <v>1</v>
      </c>
      <c r="AA598" s="1">
        <f t="shared" si="854"/>
        <v>1</v>
      </c>
      <c r="AB598" s="1">
        <f t="shared" si="832"/>
        <v>0</v>
      </c>
      <c r="AC598" s="1">
        <f t="shared" ref="AC598:AC617" si="859">MAX(BM597,0)</f>
        <v>1</v>
      </c>
      <c r="AD598" s="1">
        <f>ROUNDDOWN(I598*(1+IF(F598=3,0.05+方案参数!$Y$19+AA598*0.12,IF(F598=4,方案参数!$BZ$19*方案参数!$AS$19,0)))+IF(AND(X598=1,F598&lt;&gt;3),方案参数!$CC$19,0)+AC598*方案参数!$CB$19,0)</f>
        <v>3044</v>
      </c>
      <c r="AE598" s="1">
        <f>IF(OR(F598=1,F598=4),配置与结果!$B$24,配置与结果!$B$25)*MAX(0,1-INDEX(配置与结果!$I$15:$I$18,F598))</f>
        <v>1000</v>
      </c>
      <c r="AF598" s="1">
        <f>方案参数!$BV$19</f>
        <v>3</v>
      </c>
      <c r="AG598" s="1">
        <f>MAX(配置与结果!$B$32,1+INDEX(配置与结果!$F$15:$F$18,F598)+0+Q598*方案参数!$W$19+Y598*(方案参数!$AN$19+MIN(方案参数!$AO$19,P598*0.03))+AB598*方案参数!$BZ$19*0.025-配置与结果!$B$28)</f>
        <v>1.0049999999999999</v>
      </c>
      <c r="AH598" s="1">
        <f>MAX(0,1+INDEX(配置与结果!$G$15:$G$18,F598)+W598*方案参数!$AG$19)</f>
        <v>1.45</v>
      </c>
      <c r="AI598" s="1">
        <f>IF(OR(INDEX(配置与结果!$K$15:$K$18,F598)=1,G598="RHI_BERRY"),1+配置与结果!$B$33+P598*方案参数!$AH$19,1)</f>
        <v>1</v>
      </c>
      <c r="AJ598" s="1">
        <f>MIN(1,MAX(0,J598+方案参数!$AB$19-配置与结果!$B$27))</f>
        <v>0.76</v>
      </c>
      <c r="AK598" s="1">
        <f>MAX(1,K598+IF(F598=2,0.15+方案参数!$CH$19,0)+BN598*方案参数!$X$19+R598*方案参数!$AA$19+0-配置与结果!$B$26+Z598*(方案参数!$AP$19+MIN(方案参数!$AQ$19,P598*0.03)))</f>
        <v>2.298</v>
      </c>
      <c r="AL598" s="7">
        <f>ROUNDDOWN(MAX(AD598*配置与结果!$B$31,AD598-AE598)*AF598*AG598*AH598*AI598,0)</f>
        <v>8935</v>
      </c>
      <c r="AM598" s="7">
        <f>ROUNDDOWN(MAX(AD598*配置与结果!$B$31,AD598-AE598)*AF598*AG598*AH598*AI598*AK598,0)</f>
        <v>20534</v>
      </c>
      <c r="AN598" s="7">
        <f t="shared" si="812"/>
        <v>17750.240000000002</v>
      </c>
      <c r="AO598" s="7">
        <f>方案参数!$BW$19</f>
        <v>1</v>
      </c>
      <c r="AP598" s="7">
        <f>MAX(0,1+INDEX(配置与结果!$J$15:$J$18,F598)+IF(T598&gt;0,方案参数!$BY$19,0)-配置与结果!$B$30)</f>
        <v>2</v>
      </c>
      <c r="AQ598" s="7">
        <f t="shared" si="813"/>
        <v>6088</v>
      </c>
      <c r="AR598" s="7">
        <f t="shared" si="814"/>
        <v>13990</v>
      </c>
      <c r="AS598" s="7">
        <f t="shared" si="815"/>
        <v>12093.52</v>
      </c>
      <c r="AT598" s="7">
        <f>0</f>
        <v>0</v>
      </c>
      <c r="AU598" s="7">
        <f t="shared" si="816"/>
        <v>29843.760000000002</v>
      </c>
      <c r="AV598" s="1">
        <f t="shared" si="817"/>
        <v>2</v>
      </c>
      <c r="AW598" s="1">
        <f t="shared" si="847"/>
        <v>10</v>
      </c>
      <c r="AX598" s="1">
        <f t="shared" si="818"/>
        <v>2</v>
      </c>
      <c r="AY598" s="1">
        <f t="shared" si="841"/>
        <v>6</v>
      </c>
      <c r="AZ598" s="1">
        <f t="shared" si="819"/>
        <v>7</v>
      </c>
      <c r="BA598" s="1">
        <f t="shared" si="855"/>
        <v>5</v>
      </c>
      <c r="BB598" s="1">
        <f>MIN(30,R598+0)</f>
        <v>10</v>
      </c>
      <c r="BC598" s="1">
        <f t="shared" si="848"/>
        <v>2</v>
      </c>
      <c r="BD598" s="1">
        <f t="shared" si="842"/>
        <v>1</v>
      </c>
      <c r="BE598" s="1">
        <f t="shared" si="835"/>
        <v>0</v>
      </c>
      <c r="BF598" s="1">
        <f>MIN(4,V598+1)</f>
        <v>3</v>
      </c>
      <c r="BG598" s="1">
        <f t="shared" si="852"/>
        <v>1</v>
      </c>
      <c r="BH598" s="1">
        <f t="shared" si="836"/>
        <v>1</v>
      </c>
      <c r="BI598" s="1">
        <f t="shared" si="853"/>
        <v>1</v>
      </c>
      <c r="BJ598" s="1">
        <f t="shared" si="856"/>
        <v>1</v>
      </c>
      <c r="BK598" s="1">
        <f t="shared" si="857"/>
        <v>1</v>
      </c>
      <c r="BL598" s="1">
        <f t="shared" si="808"/>
        <v>0</v>
      </c>
      <c r="BM598" s="1">
        <f t="shared" ref="BM598:BM632" si="860">MAX(AC598,0)</f>
        <v>1</v>
      </c>
      <c r="BN598" s="1">
        <f t="shared" si="837"/>
        <v>1</v>
      </c>
      <c r="BO598" s="1">
        <f t="shared" si="838"/>
        <v>1</v>
      </c>
    </row>
    <row r="599" spans="1:67" ht="30.95" customHeight="1">
      <c r="A599" s="1">
        <f>16</f>
        <v>16</v>
      </c>
      <c r="B599" s="1">
        <f>固定流程!A23</f>
        <v>18</v>
      </c>
      <c r="C599" s="1">
        <f>19</f>
        <v>19</v>
      </c>
      <c r="D599" s="1">
        <f>1</f>
        <v>1</v>
      </c>
      <c r="E599" s="1">
        <f>固定流程!C23</f>
        <v>3</v>
      </c>
      <c r="F599" s="1">
        <f>固定流程!G23</f>
        <v>4</v>
      </c>
      <c r="G599" s="1" t="str">
        <f>固定流程!H23</f>
        <v>J_HARD</v>
      </c>
      <c r="H599" s="1">
        <f>固定流程!F23</f>
        <v>1</v>
      </c>
      <c r="I599" s="1">
        <f>INDEX(配置与结果!$B$15:$B$18,F599)</f>
        <v>1906</v>
      </c>
      <c r="J599" s="1">
        <f>INDEX(配置与结果!$D$15:$D$18,F599)</f>
        <v>0.36699999999999999</v>
      </c>
      <c r="K599" s="1">
        <f>INDEX(配置与结果!$E$15:$E$18,F599)</f>
        <v>1.7170000000000001</v>
      </c>
      <c r="L599" s="1">
        <f t="shared" si="849"/>
        <v>2</v>
      </c>
      <c r="M599" s="1">
        <f t="shared" si="850"/>
        <v>10</v>
      </c>
      <c r="N599" s="1">
        <f t="shared" si="851"/>
        <v>2</v>
      </c>
      <c r="O599" s="1">
        <f t="shared" si="843"/>
        <v>6</v>
      </c>
      <c r="P599" s="1">
        <f>MIN(方案参数!$AI$19,AZ598+0+0)</f>
        <v>7</v>
      </c>
      <c r="Q599" s="1">
        <f t="shared" si="821"/>
        <v>5</v>
      </c>
      <c r="R599" s="1">
        <f t="shared" si="822"/>
        <v>10</v>
      </c>
      <c r="S599" s="1">
        <f t="shared" si="823"/>
        <v>2</v>
      </c>
      <c r="T599" s="1">
        <f t="shared" si="858"/>
        <v>1</v>
      </c>
      <c r="U599" s="1">
        <f t="shared" si="825"/>
        <v>0</v>
      </c>
      <c r="V599" s="1">
        <f t="shared" si="826"/>
        <v>3</v>
      </c>
      <c r="W599" s="1">
        <f t="shared" si="827"/>
        <v>1</v>
      </c>
      <c r="X599" s="1">
        <f t="shared" si="828"/>
        <v>1</v>
      </c>
      <c r="Y599" s="1">
        <f t="shared" si="829"/>
        <v>1</v>
      </c>
      <c r="Z599" s="1">
        <f t="shared" si="830"/>
        <v>1</v>
      </c>
      <c r="AA599" s="1">
        <f t="shared" si="854"/>
        <v>1</v>
      </c>
      <c r="AB599" s="1">
        <f t="shared" si="832"/>
        <v>0</v>
      </c>
      <c r="AC599" s="1">
        <f t="shared" si="859"/>
        <v>1</v>
      </c>
      <c r="AD599" s="1">
        <f>ROUNDDOWN(I599*(1+IF(F599=3,0.05+方案参数!$Y$19+AA599*0.12,IF(F599=4,方案参数!$BZ$19*方案参数!$AS$19,0)))+IF(AND(X599=1,F599&lt;&gt;3),方案参数!$CC$19,0)+AC599*方案参数!$CB$19,0)</f>
        <v>3311</v>
      </c>
      <c r="AE599" s="1">
        <f>IF(OR(F599=1,F599=4),配置与结果!$B$24,配置与结果!$B$25)*MAX(0,1-INDEX(配置与结果!$I$15:$I$18,F599))</f>
        <v>1200</v>
      </c>
      <c r="AF599" s="1">
        <f>3.6*IF(H599=1,1,IF(H599=2,1.5,2.5))</f>
        <v>3.6</v>
      </c>
      <c r="AG599" s="1">
        <f>MAX(配置与结果!$B$32,1+INDEX(配置与结果!$F$15:$F$18,F599)+0.08+Q599*方案参数!$W$19+Y599*(方案参数!$AN$19+MIN(方案参数!$AO$19,P599*0.03))+AB599*方案参数!$BZ$19*0.025+0.1+IF(方案参数!$BZ$19&gt;=30,方案参数!$BZ$19*0.01,0)-配置与结果!$B$28)</f>
        <v>1.5550000000000002</v>
      </c>
      <c r="AH599" s="1">
        <f>MAX(0,1+INDEX(配置与结果!$G$15:$G$18,F599)+W599*方案参数!$AG$19)</f>
        <v>1.45</v>
      </c>
      <c r="AI599" s="1">
        <f>IF(OR(INDEX(配置与结果!$K$15:$K$18,F599)=1,G599="RHI_BERRY"),1+配置与结果!$B$33+P599*方案参数!$AH$19,1)</f>
        <v>1</v>
      </c>
      <c r="AJ599" s="1">
        <f>MIN(1,MAX(0,J599+方案参数!$AB$19-配置与结果!$B$27))</f>
        <v>0.66700000000000004</v>
      </c>
      <c r="AK599" s="1">
        <f>MAX(1,K599+IF(F599=2,0.15+方案参数!$CH$19,0)+BN599*方案参数!$X$19+R599*方案参数!$AA$19+0-配置与结果!$B$26+Z599*(方案参数!$AP$19+MIN(方案参数!$AQ$19,P599*0.03)))</f>
        <v>1.8169999999999999</v>
      </c>
      <c r="AL599" s="7">
        <f>ROUNDDOWN(MAX(AD599*配置与结果!$B$31,AD599-AE599)*AF599*AG599*AH599*AI599,0)</f>
        <v>17135</v>
      </c>
      <c r="AM599" s="7">
        <f>ROUNDDOWN(MAX(AD599*配置与结果!$B$31,AD599-AE599)*AF599*AG599*AH599*AI599*AK599,0)</f>
        <v>31134</v>
      </c>
      <c r="AN599" s="7">
        <f t="shared" si="812"/>
        <v>26472.332999999999</v>
      </c>
      <c r="AO599" s="7">
        <f>0</f>
        <v>0</v>
      </c>
      <c r="AP599" s="7">
        <f>MAX(0,1+INDEX(配置与结果!$J$15:$J$18,F599)+IF(T599&gt;0,方案参数!$BY$19,0)-配置与结果!$B$30)</f>
        <v>2</v>
      </c>
      <c r="AQ599" s="7">
        <f t="shared" si="813"/>
        <v>0</v>
      </c>
      <c r="AR599" s="7">
        <f t="shared" si="814"/>
        <v>0</v>
      </c>
      <c r="AS599" s="7">
        <f t="shared" si="815"/>
        <v>0</v>
      </c>
      <c r="AT599" s="7">
        <f>0</f>
        <v>0</v>
      </c>
      <c r="AU599" s="7">
        <f t="shared" si="816"/>
        <v>26472.332999999999</v>
      </c>
      <c r="AV599" s="1">
        <f t="shared" si="817"/>
        <v>2</v>
      </c>
      <c r="AW599" s="1">
        <f t="shared" si="847"/>
        <v>10</v>
      </c>
      <c r="AX599" s="1">
        <f t="shared" si="818"/>
        <v>2</v>
      </c>
      <c r="AY599" s="1">
        <f t="shared" si="841"/>
        <v>6</v>
      </c>
      <c r="AZ599" s="1">
        <f t="shared" si="819"/>
        <v>7</v>
      </c>
      <c r="BA599" s="1">
        <f t="shared" si="855"/>
        <v>5</v>
      </c>
      <c r="BB599" s="1">
        <f>MIN(30,R599+0)</f>
        <v>10</v>
      </c>
      <c r="BC599" s="1">
        <f>MIN(3,S599+1)</f>
        <v>3</v>
      </c>
      <c r="BD599" s="1">
        <f t="shared" si="842"/>
        <v>1</v>
      </c>
      <c r="BE599" s="1">
        <f t="shared" si="835"/>
        <v>0</v>
      </c>
      <c r="BF599" s="1">
        <f>MIN(4,V599+0)</f>
        <v>3</v>
      </c>
      <c r="BG599" s="1">
        <f t="shared" si="852"/>
        <v>1</v>
      </c>
      <c r="BH599" s="1">
        <f t="shared" si="836"/>
        <v>1</v>
      </c>
      <c r="BI599" s="1">
        <f t="shared" si="853"/>
        <v>1</v>
      </c>
      <c r="BJ599" s="1">
        <f t="shared" si="856"/>
        <v>1</v>
      </c>
      <c r="BK599" s="1">
        <f t="shared" si="857"/>
        <v>1</v>
      </c>
      <c r="BL599" s="1">
        <f t="shared" si="808"/>
        <v>0</v>
      </c>
      <c r="BM599" s="1">
        <f t="shared" si="860"/>
        <v>1</v>
      </c>
      <c r="BN599" s="1">
        <f t="shared" si="837"/>
        <v>1</v>
      </c>
      <c r="BO599" s="1">
        <f t="shared" si="838"/>
        <v>1</v>
      </c>
    </row>
    <row r="600" spans="1:67" ht="30.95" customHeight="1">
      <c r="A600" s="1">
        <f>16</f>
        <v>16</v>
      </c>
      <c r="B600" s="1">
        <f>固定流程!A24</f>
        <v>19</v>
      </c>
      <c r="C600" s="1">
        <f>19</f>
        <v>19</v>
      </c>
      <c r="D600" s="1">
        <f>1</f>
        <v>1</v>
      </c>
      <c r="E600" s="1">
        <f>固定流程!C24</f>
        <v>3</v>
      </c>
      <c r="F600" s="1">
        <f>固定流程!G24</f>
        <v>4</v>
      </c>
      <c r="G600" s="1" t="str">
        <f>固定流程!H24</f>
        <v>J_ULT</v>
      </c>
      <c r="H600" s="1">
        <f>固定流程!F24</f>
        <v>1</v>
      </c>
      <c r="I600" s="1">
        <f>INDEX(配置与结果!$B$15:$B$18,F600)</f>
        <v>1906</v>
      </c>
      <c r="J600" s="1">
        <f>INDEX(配置与结果!$D$15:$D$18,F600)</f>
        <v>0.36699999999999999</v>
      </c>
      <c r="K600" s="1">
        <f>INDEX(配置与结果!$E$15:$E$18,F600)</f>
        <v>1.7170000000000001</v>
      </c>
      <c r="L600" s="1">
        <f t="shared" si="849"/>
        <v>2</v>
      </c>
      <c r="M600" s="1">
        <f t="shared" si="850"/>
        <v>10</v>
      </c>
      <c r="N600" s="1">
        <f t="shared" si="851"/>
        <v>2</v>
      </c>
      <c r="O600" s="1">
        <f t="shared" si="843"/>
        <v>6</v>
      </c>
      <c r="P600" s="1">
        <f>MIN(方案参数!$AI$19,AZ599+0+0)</f>
        <v>7</v>
      </c>
      <c r="Q600" s="1">
        <f t="shared" si="821"/>
        <v>5</v>
      </c>
      <c r="R600" s="1">
        <f t="shared" si="822"/>
        <v>10</v>
      </c>
      <c r="S600" s="1">
        <f t="shared" si="823"/>
        <v>3</v>
      </c>
      <c r="T600" s="1">
        <f t="shared" si="858"/>
        <v>1</v>
      </c>
      <c r="U600" s="1">
        <f t="shared" si="825"/>
        <v>0</v>
      </c>
      <c r="V600" s="1">
        <f t="shared" si="826"/>
        <v>3</v>
      </c>
      <c r="W600" s="1">
        <f t="shared" si="827"/>
        <v>1</v>
      </c>
      <c r="X600" s="1">
        <f t="shared" si="828"/>
        <v>1</v>
      </c>
      <c r="Y600" s="1">
        <f t="shared" si="829"/>
        <v>1</v>
      </c>
      <c r="Z600" s="1">
        <f t="shared" si="830"/>
        <v>1</v>
      </c>
      <c r="AA600" s="1">
        <f t="shared" si="854"/>
        <v>1</v>
      </c>
      <c r="AB600" s="1">
        <f t="shared" si="832"/>
        <v>0</v>
      </c>
      <c r="AC600" s="1">
        <f t="shared" si="859"/>
        <v>1</v>
      </c>
      <c r="AD600" s="1">
        <f>ROUNDDOWN(I600*(1+IF(F600=3,0.05+方案参数!$Y$19+AA600*0.12,IF(F600=4,方案参数!$BZ$19*方案参数!$AS$19,0)))+IF(AND(X600=1,F600&lt;&gt;3),方案参数!$CC$19,0)+AC600*方案参数!$CB$19,0)</f>
        <v>3311</v>
      </c>
      <c r="AE600" s="1">
        <f>IF(OR(F600=1,F600=4),配置与结果!$B$24,配置与结果!$B$25)*MAX(0,1-INDEX(配置与结果!$I$15:$I$18,F600))</f>
        <v>1200</v>
      </c>
      <c r="AF600" s="1">
        <f>方案参数!$AT$19+MAX(0,配置与结果!$H$26+方案参数!$BZ$19-30)*方案参数!$AU$19*配置与结果!$H$27</f>
        <v>42</v>
      </c>
      <c r="AG600" s="1">
        <f>MAX(配置与结果!$B$32,1+INDEX(配置与结果!$F$15:$F$18,F600)+0.08+Q600*方案参数!$W$19+Y600*(方案参数!$AN$19+MIN(方案参数!$AO$19,P600*0.03))+AB600*方案参数!$BZ$19*0.025-配置与结果!$B$28)</f>
        <v>1.105</v>
      </c>
      <c r="AH600" s="1">
        <f>MAX(0,1+INDEX(配置与结果!$H$15:$H$18,F600)+W600*方案参数!$AG$19+S600*方案参数!$Z$19)</f>
        <v>1.5699999999999998</v>
      </c>
      <c r="AI600" s="1">
        <f>IF(OR(INDEX(配置与结果!$K$15:$K$18,F600)=1,G600="RHI_BERRY"),1+配置与结果!$B$33+P600*方案参数!$AH$19,1)</f>
        <v>1</v>
      </c>
      <c r="AJ600" s="1">
        <f>MIN(1,MAX(0,J600+方案参数!$AB$19-配置与结果!$B$27))</f>
        <v>0.66700000000000004</v>
      </c>
      <c r="AK600" s="1">
        <f>MAX(1,K600+IF(F600=2,0.15+方案参数!$CH$19,0)+BN600*方案参数!$X$19+R600*方案参数!$AA$19+0-配置与结果!$B$26+Z600*(方案参数!$AP$19+MIN(方案参数!$AQ$19,P600*0.03)))</f>
        <v>1.8169999999999999</v>
      </c>
      <c r="AL600" s="7">
        <f>ROUNDDOWN(MAX(AD600*配置与结果!$B$31,AD600-AE600)*AF600*AG600*AH600*AI600,0)</f>
        <v>153815</v>
      </c>
      <c r="AM600" s="7">
        <f>ROUNDDOWN(MAX(AD600*配置与结果!$B$31,AD600-AE600)*AF600*AG600*AH600*AI600*AK600,0)</f>
        <v>279482</v>
      </c>
      <c r="AN600" s="7">
        <f t="shared" si="812"/>
        <v>237634.889</v>
      </c>
      <c r="AO600" s="7">
        <f>0</f>
        <v>0</v>
      </c>
      <c r="AP600" s="7">
        <f>MAX(0,1+INDEX(配置与结果!$J$15:$J$18,F600)+IF(T600&gt;0,方案参数!$BY$19,0)-配置与结果!$B$30)</f>
        <v>2</v>
      </c>
      <c r="AQ600" s="7">
        <f t="shared" si="813"/>
        <v>0</v>
      </c>
      <c r="AR600" s="7">
        <f t="shared" si="814"/>
        <v>0</v>
      </c>
      <c r="AS600" s="7">
        <f t="shared" si="815"/>
        <v>0</v>
      </c>
      <c r="AT600" s="7">
        <f>0</f>
        <v>0</v>
      </c>
      <c r="AU600" s="7">
        <f t="shared" si="816"/>
        <v>237634.889</v>
      </c>
      <c r="AV600" s="1">
        <f t="shared" si="817"/>
        <v>2</v>
      </c>
      <c r="AW600" s="1">
        <f t="shared" si="847"/>
        <v>10</v>
      </c>
      <c r="AX600" s="1">
        <f t="shared" si="818"/>
        <v>2</v>
      </c>
      <c r="AY600" s="1">
        <f t="shared" si="841"/>
        <v>6</v>
      </c>
      <c r="AZ600" s="1">
        <f t="shared" si="819"/>
        <v>7</v>
      </c>
      <c r="BA600" s="1">
        <f t="shared" si="855"/>
        <v>5</v>
      </c>
      <c r="BB600" s="1">
        <f>MIN(30,R600+5)</f>
        <v>15</v>
      </c>
      <c r="BC600" s="1">
        <f t="shared" ref="BC600:BC623" si="861">MIN(3,S600+0)</f>
        <v>3</v>
      </c>
      <c r="BD600" s="1">
        <f t="shared" si="842"/>
        <v>1</v>
      </c>
      <c r="BE600" s="1">
        <f t="shared" si="835"/>
        <v>0</v>
      </c>
      <c r="BF600" s="1">
        <f>MIN(4,V600+0)</f>
        <v>3</v>
      </c>
      <c r="BG600" s="1">
        <f t="shared" si="852"/>
        <v>1</v>
      </c>
      <c r="BH600" s="1">
        <f t="shared" si="836"/>
        <v>1</v>
      </c>
      <c r="BI600" s="1">
        <f t="shared" si="853"/>
        <v>1</v>
      </c>
      <c r="BJ600" s="1">
        <f t="shared" si="856"/>
        <v>1</v>
      </c>
      <c r="BK600" s="1">
        <f t="shared" si="857"/>
        <v>1</v>
      </c>
      <c r="BL600" s="1">
        <f>MAX(AB600,1)</f>
        <v>1</v>
      </c>
      <c r="BM600" s="1">
        <f t="shared" si="860"/>
        <v>1</v>
      </c>
      <c r="BN600" s="1">
        <f t="shared" si="837"/>
        <v>1</v>
      </c>
      <c r="BO600" s="1">
        <f t="shared" si="838"/>
        <v>1</v>
      </c>
    </row>
    <row r="601" spans="1:67" ht="30.95" customHeight="1">
      <c r="A601" s="1">
        <f>16</f>
        <v>16</v>
      </c>
      <c r="B601" s="1">
        <f>固定流程!A25</f>
        <v>20</v>
      </c>
      <c r="C601" s="1">
        <f>19</f>
        <v>19</v>
      </c>
      <c r="D601" s="1">
        <f>1</f>
        <v>1</v>
      </c>
      <c r="E601" s="1">
        <f>固定流程!C25</f>
        <v>3</v>
      </c>
      <c r="F601" s="1">
        <f>固定流程!G25</f>
        <v>1</v>
      </c>
      <c r="G601" s="1" t="str">
        <f>固定流程!H25</f>
        <v>LILYA_ULT</v>
      </c>
      <c r="H601" s="1">
        <f>固定流程!F25</f>
        <v>1</v>
      </c>
      <c r="I601" s="1">
        <f>INDEX(配置与结果!$B$15:$B$18,F601)</f>
        <v>2296</v>
      </c>
      <c r="J601" s="1">
        <f>INDEX(配置与结果!$D$15:$D$18,F601)</f>
        <v>0.7</v>
      </c>
      <c r="K601" s="1">
        <f>INDEX(配置与结果!$E$15:$E$18,F601)</f>
        <v>2.0249999999999999</v>
      </c>
      <c r="L601" s="1">
        <f t="shared" si="849"/>
        <v>2</v>
      </c>
      <c r="M601" s="1">
        <f t="shared" si="850"/>
        <v>10</v>
      </c>
      <c r="N601" s="1">
        <f t="shared" si="851"/>
        <v>2</v>
      </c>
      <c r="O601" s="1">
        <f t="shared" si="843"/>
        <v>6</v>
      </c>
      <c r="P601" s="1">
        <f>MIN(方案参数!$AI$19,AZ600+0+0)</f>
        <v>7</v>
      </c>
      <c r="Q601" s="1">
        <f t="shared" si="821"/>
        <v>5</v>
      </c>
      <c r="R601" s="1">
        <f t="shared" si="822"/>
        <v>15</v>
      </c>
      <c r="S601" s="1">
        <f t="shared" si="823"/>
        <v>3</v>
      </c>
      <c r="T601" s="1">
        <f t="shared" si="858"/>
        <v>1</v>
      </c>
      <c r="U601" s="1">
        <f t="shared" si="825"/>
        <v>0</v>
      </c>
      <c r="V601" s="1">
        <f t="shared" si="826"/>
        <v>3</v>
      </c>
      <c r="W601" s="1">
        <f t="shared" si="827"/>
        <v>1</v>
      </c>
      <c r="X601" s="1">
        <f t="shared" si="828"/>
        <v>1</v>
      </c>
      <c r="Y601" s="1">
        <f t="shared" si="829"/>
        <v>1</v>
      </c>
      <c r="Z601" s="1">
        <f t="shared" si="830"/>
        <v>1</v>
      </c>
      <c r="AA601" s="1">
        <f t="shared" si="854"/>
        <v>1</v>
      </c>
      <c r="AB601" s="1">
        <f t="shared" si="832"/>
        <v>1</v>
      </c>
      <c r="AC601" s="1">
        <f t="shared" si="859"/>
        <v>1</v>
      </c>
      <c r="AD601" s="1">
        <f>ROUNDDOWN(I601*(1+IF(F601=3,0.05+方案参数!$Y$19+AA601*0.12,IF(F601=4,方案参数!$BZ$19*方案参数!$AS$19,0)))+IF(AND(X601=1,F601&lt;&gt;3),方案参数!$CC$19,0)+AC601*方案参数!$CB$19,0)</f>
        <v>3034</v>
      </c>
      <c r="AE601" s="1">
        <f>IF(OR(F601=1,F601=4),配置与结果!$B$24,配置与结果!$B$25)*MAX(0,1-INDEX(配置与结果!$I$15:$I$18,F601)+IF(O601&gt;=6,方案参数!$BK$19,0))</f>
        <v>1440</v>
      </c>
      <c r="AF601" s="1">
        <f>方案参数!$BG$19+IF(O601&gt;=6,方案参数!$BH$19,0)</f>
        <v>36</v>
      </c>
      <c r="AG601" s="1">
        <f>MAX(配置与结果!$B$32,1+INDEX(配置与结果!$F$15:$F$18,F601)+0.08+方案参数!$CD$19+Q601*方案参数!$W$19+Y601*(方案参数!$AN$19+MIN(方案参数!$AO$19,P601*0.03))+AB601*方案参数!$BZ$19*0.025-配置与结果!$B$28)</f>
        <v>2.2150000000000003</v>
      </c>
      <c r="AH601" s="1">
        <f>MAX(0,1+INDEX(配置与结果!$H$15:$H$18,F601)+W601*方案参数!$AG$19+O601*方案参数!$BF$19+IF(O601&gt;=6,方案参数!$BI$19,0))</f>
        <v>2.6</v>
      </c>
      <c r="AI601" s="1">
        <f>IF(OR(INDEX(配置与结果!$K$15:$K$18,F601)=1,G601="RHI_BERRY"),1+配置与结果!$B$33+P601*方案参数!$AH$19,1)</f>
        <v>1</v>
      </c>
      <c r="AJ601" s="1">
        <f>MIN(1,MAX(0,J601+方案参数!$AB$19-配置与结果!$B$27))</f>
        <v>1</v>
      </c>
      <c r="AK601" s="1">
        <f>MAX(1,K601+IF(F601=2,0.15+方案参数!$CH$19,0)+BN601*方案参数!$X$19+R601*方案参数!$AA$19+IF(O601&gt;=6,方案参数!$BJ$19,0)-配置与结果!$B$26+Z601*(方案参数!$AP$19+MIN(方案参数!$AQ$19,P601*0.03)))</f>
        <v>3.145</v>
      </c>
      <c r="AL601" s="7">
        <f>ROUNDDOWN(MAX(AD601*配置与结果!$B$31,AD601-AE601)*AF601*AG601*AH601*AI601,0)</f>
        <v>330474</v>
      </c>
      <c r="AM601" s="7">
        <f>ROUNDDOWN(MAX(AD601*配置与结果!$B$31,AD601-AE601)*AF601*AG601*AH601*AI601*AK601,0)</f>
        <v>1039342</v>
      </c>
      <c r="AN601" s="7">
        <f t="shared" si="812"/>
        <v>1039342</v>
      </c>
      <c r="AO601" s="7">
        <f>0</f>
        <v>0</v>
      </c>
      <c r="AP601" s="7">
        <f>MAX(0,1+INDEX(配置与结果!$J$15:$J$18,F601)+IF(T601&gt;0,方案参数!$BY$19,0)-配置与结果!$B$30)</f>
        <v>2</v>
      </c>
      <c r="AQ601" s="7">
        <f t="shared" si="813"/>
        <v>0</v>
      </c>
      <c r="AR601" s="7">
        <f t="shared" si="814"/>
        <v>0</v>
      </c>
      <c r="AS601" s="7">
        <f t="shared" si="815"/>
        <v>0</v>
      </c>
      <c r="AT601" s="7">
        <f>0</f>
        <v>0</v>
      </c>
      <c r="AU601" s="7">
        <f t="shared" si="816"/>
        <v>1039342</v>
      </c>
      <c r="AV601" s="1">
        <f t="shared" si="817"/>
        <v>2</v>
      </c>
      <c r="AW601" s="1">
        <f t="shared" si="847"/>
        <v>10</v>
      </c>
      <c r="AX601" s="1">
        <f t="shared" si="818"/>
        <v>2</v>
      </c>
      <c r="AY601" s="1">
        <f>MIN(20,MAX(0,O601+0+0-IF(O601&gt;=6,6,0)))</f>
        <v>0</v>
      </c>
      <c r="AZ601" s="1">
        <f t="shared" si="819"/>
        <v>7</v>
      </c>
      <c r="BA601" s="1">
        <f t="shared" si="855"/>
        <v>5</v>
      </c>
      <c r="BB601" s="1">
        <f>MIN(30,R601+5)</f>
        <v>20</v>
      </c>
      <c r="BC601" s="1">
        <f t="shared" si="861"/>
        <v>3</v>
      </c>
      <c r="BD601" s="1">
        <f t="shared" si="842"/>
        <v>1</v>
      </c>
      <c r="BE601" s="1">
        <f t="shared" si="835"/>
        <v>0</v>
      </c>
      <c r="BF601" s="1">
        <f>MIN(4,V601+0)</f>
        <v>3</v>
      </c>
      <c r="BG601" s="1">
        <f t="shared" si="852"/>
        <v>1</v>
      </c>
      <c r="BH601" s="1">
        <f t="shared" si="836"/>
        <v>1</v>
      </c>
      <c r="BI601" s="1">
        <f t="shared" si="853"/>
        <v>1</v>
      </c>
      <c r="BJ601" s="1">
        <f t="shared" si="856"/>
        <v>1</v>
      </c>
      <c r="BK601" s="1">
        <f t="shared" si="857"/>
        <v>1</v>
      </c>
      <c r="BL601" s="1">
        <f t="shared" ref="BL601:BL635" si="862">MAX(AB601,0)</f>
        <v>1</v>
      </c>
      <c r="BM601" s="1">
        <f t="shared" si="860"/>
        <v>1</v>
      </c>
      <c r="BN601" s="1">
        <f t="shared" si="837"/>
        <v>1</v>
      </c>
      <c r="BO601" s="1">
        <f t="shared" si="838"/>
        <v>1</v>
      </c>
    </row>
    <row r="602" spans="1:67" ht="30.95" customHeight="1">
      <c r="A602" s="1">
        <f>16</f>
        <v>16</v>
      </c>
      <c r="B602" s="1">
        <f>固定流程!A26</f>
        <v>21</v>
      </c>
      <c r="C602" s="1">
        <f>19</f>
        <v>19</v>
      </c>
      <c r="D602" s="1">
        <f>1</f>
        <v>1</v>
      </c>
      <c r="E602" s="1">
        <f>固定流程!C26</f>
        <v>3</v>
      </c>
      <c r="F602" s="1">
        <f>固定流程!G26</f>
        <v>1</v>
      </c>
      <c r="G602" s="1" t="str">
        <f>固定流程!H26</f>
        <v>LILYA_DIVE</v>
      </c>
      <c r="H602" s="1">
        <f>固定流程!F26</f>
        <v>3</v>
      </c>
      <c r="I602" s="1">
        <f>INDEX(配置与结果!$B$15:$B$18,F602)</f>
        <v>2296</v>
      </c>
      <c r="J602" s="1">
        <f>INDEX(配置与结果!$D$15:$D$18,F602)</f>
        <v>0.7</v>
      </c>
      <c r="K602" s="1">
        <f>INDEX(配置与结果!$E$15:$E$18,F602)</f>
        <v>2.0249999999999999</v>
      </c>
      <c r="L602" s="1">
        <f t="shared" si="849"/>
        <v>2</v>
      </c>
      <c r="M602" s="1">
        <f t="shared" si="850"/>
        <v>10</v>
      </c>
      <c r="N602" s="1">
        <f t="shared" si="851"/>
        <v>2</v>
      </c>
      <c r="O602" s="1">
        <f t="shared" si="843"/>
        <v>0</v>
      </c>
      <c r="P602" s="1">
        <f>MIN(方案参数!$AI$19,AZ601+0+0)</f>
        <v>7</v>
      </c>
      <c r="Q602" s="1">
        <f t="shared" si="821"/>
        <v>5</v>
      </c>
      <c r="R602" s="1">
        <f t="shared" si="822"/>
        <v>20</v>
      </c>
      <c r="S602" s="1">
        <f t="shared" si="823"/>
        <v>3</v>
      </c>
      <c r="T602" s="1">
        <f t="shared" si="858"/>
        <v>1</v>
      </c>
      <c r="U602" s="1">
        <f t="shared" si="825"/>
        <v>0</v>
      </c>
      <c r="V602" s="1">
        <f t="shared" si="826"/>
        <v>3</v>
      </c>
      <c r="W602" s="1">
        <f t="shared" si="827"/>
        <v>1</v>
      </c>
      <c r="X602" s="1">
        <f t="shared" si="828"/>
        <v>1</v>
      </c>
      <c r="Y602" s="1">
        <f t="shared" si="829"/>
        <v>1</v>
      </c>
      <c r="Z602" s="1">
        <f t="shared" si="830"/>
        <v>1</v>
      </c>
      <c r="AA602" s="1">
        <f t="shared" si="854"/>
        <v>1</v>
      </c>
      <c r="AB602" s="1">
        <f t="shared" si="832"/>
        <v>1</v>
      </c>
      <c r="AC602" s="1">
        <f t="shared" si="859"/>
        <v>1</v>
      </c>
      <c r="AD602" s="1">
        <f>ROUNDDOWN(I602*(1+IF(F602=3,0.05+方案参数!$Y$19+AA602*0.12,IF(F602=4,方案参数!$BZ$19*方案参数!$AS$19,0)))+IF(AND(X602=1,F602&lt;&gt;3),方案参数!$CC$19,0)+AC602*方案参数!$CB$19,0)</f>
        <v>3034</v>
      </c>
      <c r="AE602" s="1">
        <f>IF(OR(F602=1,F602=4),配置与结果!$B$24,配置与结果!$B$25)*MAX(0,1-INDEX(配置与结果!$I$15:$I$18,F602))</f>
        <v>1200</v>
      </c>
      <c r="AF602" s="1">
        <f>(IF(L602=1,方案参数!$AW$19,IF(L602=2,方案参数!$AX$19,0))+方案参数!$AV$19)*H602</f>
        <v>30</v>
      </c>
      <c r="AG602" s="1">
        <f>MAX(配置与结果!$B$32,1+INDEX(配置与结果!$F$15:$F$18,F602)+0.08+方案参数!$CD$19+Q602*方案参数!$W$19+Y602*(方案参数!$AN$19+MIN(方案参数!$AO$19,P602*0.03))+AB602*方案参数!$BZ$19*0.025+IF(L602=1,方案参数!$AY$19+(H602-1)*0.1,IF(L602=2,方案参数!$AZ$19+(H602-1)*0.2,0))-配置与结果!$B$28)</f>
        <v>2.8150000000000004</v>
      </c>
      <c r="AH602" s="1">
        <f>MAX(0,1+INDEX(配置与结果!$G$15:$G$18,F602)+W602*方案参数!$AG$19+IF(L602=1,方案参数!$BA$19,IF(L602=2,方案参数!$BB$19,0))+M602*方案参数!$BC$19)</f>
        <v>3.25</v>
      </c>
      <c r="AI602" s="1">
        <f>IF(OR(INDEX(配置与结果!$K$15:$K$18,F602)=1,G602="RHI_BERRY"),1+配置与结果!$B$33+P602*方案参数!$AH$19,1)</f>
        <v>1</v>
      </c>
      <c r="AJ602" s="1">
        <f>MIN(1,MAX(0,J602+方案参数!$AB$19-配置与结果!$B$27))</f>
        <v>1</v>
      </c>
      <c r="AK602" s="1">
        <f>MAX(1,K602+IF(F602=2,0.15+方案参数!$CH$19,0)+BN602*方案参数!$X$19+R602*方案参数!$AA$19+0-配置与结果!$B$26+Z602*(方案参数!$AP$19+MIN(方案参数!$AQ$19,P602*0.03)))</f>
        <v>2.165</v>
      </c>
      <c r="AL602" s="7">
        <f>ROUNDDOWN(MAX(AD602*配置与结果!$B$31,AD602-AE602)*AF602*AG602*AH602*AI602,0)</f>
        <v>503364</v>
      </c>
      <c r="AM602" s="7">
        <f>ROUNDDOWN(MAX(AD602*配置与结果!$B$31,AD602-AE602)*AF602*AG602*AH602*AI602*AK602,0)</f>
        <v>1089783</v>
      </c>
      <c r="AN602" s="7">
        <f t="shared" si="812"/>
        <v>1089783</v>
      </c>
      <c r="AO602" s="7">
        <f>0</f>
        <v>0</v>
      </c>
      <c r="AP602" s="7">
        <f>MAX(0,1+INDEX(配置与结果!$J$15:$J$18,F602)+IF(T602&gt;0,方案参数!$BY$19,0)-配置与结果!$B$30)</f>
        <v>2</v>
      </c>
      <c r="AQ602" s="7">
        <f t="shared" si="813"/>
        <v>0</v>
      </c>
      <c r="AR602" s="7">
        <f t="shared" si="814"/>
        <v>0</v>
      </c>
      <c r="AS602" s="7">
        <f t="shared" si="815"/>
        <v>0</v>
      </c>
      <c r="AT602" s="7">
        <f>0</f>
        <v>0</v>
      </c>
      <c r="AU602" s="7">
        <f t="shared" si="816"/>
        <v>1089783</v>
      </c>
      <c r="AV602" s="1">
        <f t="shared" si="817"/>
        <v>2</v>
      </c>
      <c r="AW602" s="1">
        <f>MIN(10,M602+0+IF(L602=1,方案参数!$BE$19,0))</f>
        <v>10</v>
      </c>
      <c r="AX602" s="1">
        <f t="shared" si="818"/>
        <v>2</v>
      </c>
      <c r="AY602" s="1">
        <f>MIN(20,MAX(0,O602+0+0-0))</f>
        <v>0</v>
      </c>
      <c r="AZ602" s="1">
        <f t="shared" si="819"/>
        <v>7</v>
      </c>
      <c r="BA602" s="1">
        <f t="shared" si="855"/>
        <v>5</v>
      </c>
      <c r="BB602" s="1">
        <f t="shared" ref="BB602:BB617" si="863">MIN(30,R602+0)</f>
        <v>20</v>
      </c>
      <c r="BC602" s="1">
        <f t="shared" si="861"/>
        <v>3</v>
      </c>
      <c r="BD602" s="1">
        <f t="shared" si="842"/>
        <v>1</v>
      </c>
      <c r="BE602" s="1">
        <f t="shared" si="835"/>
        <v>0</v>
      </c>
      <c r="BF602" s="1">
        <f>MIN(4,V602+0)</f>
        <v>3</v>
      </c>
      <c r="BG602" s="1">
        <f t="shared" si="852"/>
        <v>1</v>
      </c>
      <c r="BH602" s="1">
        <f t="shared" si="836"/>
        <v>1</v>
      </c>
      <c r="BI602" s="1">
        <f t="shared" si="853"/>
        <v>1</v>
      </c>
      <c r="BJ602" s="1">
        <f t="shared" si="856"/>
        <v>1</v>
      </c>
      <c r="BK602" s="1">
        <f t="shared" si="857"/>
        <v>1</v>
      </c>
      <c r="BL602" s="1">
        <f t="shared" si="862"/>
        <v>1</v>
      </c>
      <c r="BM602" s="1">
        <f t="shared" si="860"/>
        <v>1</v>
      </c>
      <c r="BN602" s="1">
        <f t="shared" si="837"/>
        <v>1</v>
      </c>
      <c r="BO602" s="1">
        <f t="shared" si="838"/>
        <v>1</v>
      </c>
    </row>
    <row r="603" spans="1:67" ht="30.95" customHeight="1">
      <c r="A603" s="1">
        <f>16</f>
        <v>16</v>
      </c>
      <c r="B603" s="1">
        <f>固定流程!A27</f>
        <v>22</v>
      </c>
      <c r="C603" s="1">
        <f>19</f>
        <v>19</v>
      </c>
      <c r="D603" s="1">
        <f>1</f>
        <v>1</v>
      </c>
      <c r="E603" s="1">
        <f>固定流程!C27</f>
        <v>3</v>
      </c>
      <c r="F603" s="1">
        <f>固定流程!G27</f>
        <v>3</v>
      </c>
      <c r="G603" s="1" t="str">
        <f>固定流程!H27</f>
        <v>RHI_BERRY</v>
      </c>
      <c r="H603" s="1">
        <f>固定流程!F27</f>
        <v>1</v>
      </c>
      <c r="I603" s="1">
        <f>INDEX(配置与结果!$B$15:$B$18,F603)</f>
        <v>2597</v>
      </c>
      <c r="J603" s="1">
        <f>INDEX(配置与结果!$D$15:$D$18,F603)</f>
        <v>0.255</v>
      </c>
      <c r="K603" s="1">
        <f>INDEX(配置与结果!$E$15:$E$18,F603)</f>
        <v>1.55</v>
      </c>
      <c r="L603" s="1">
        <f t="shared" si="849"/>
        <v>2</v>
      </c>
      <c r="M603" s="1">
        <f t="shared" si="850"/>
        <v>10</v>
      </c>
      <c r="N603" s="1">
        <f t="shared" si="851"/>
        <v>2</v>
      </c>
      <c r="O603" s="1">
        <f t="shared" si="843"/>
        <v>0</v>
      </c>
      <c r="P603" s="1">
        <f>MIN(方案参数!$AI$19,AZ602+0+0)</f>
        <v>7</v>
      </c>
      <c r="Q603" s="1">
        <f t="shared" si="821"/>
        <v>5</v>
      </c>
      <c r="R603" s="1">
        <f t="shared" si="822"/>
        <v>20</v>
      </c>
      <c r="S603" s="1">
        <f t="shared" si="823"/>
        <v>3</v>
      </c>
      <c r="T603" s="1">
        <f t="shared" si="858"/>
        <v>1</v>
      </c>
      <c r="U603" s="1">
        <f t="shared" si="825"/>
        <v>0</v>
      </c>
      <c r="V603" s="1">
        <f t="shared" si="826"/>
        <v>3</v>
      </c>
      <c r="W603" s="1">
        <f t="shared" si="827"/>
        <v>1</v>
      </c>
      <c r="X603" s="1">
        <f t="shared" si="828"/>
        <v>1</v>
      </c>
      <c r="Y603" s="1">
        <f t="shared" si="829"/>
        <v>1</v>
      </c>
      <c r="Z603" s="1">
        <f t="shared" si="830"/>
        <v>1</v>
      </c>
      <c r="AA603" s="1">
        <f t="shared" si="854"/>
        <v>1</v>
      </c>
      <c r="AB603" s="1">
        <f t="shared" si="832"/>
        <v>1</v>
      </c>
      <c r="AC603" s="1">
        <f t="shared" si="859"/>
        <v>1</v>
      </c>
      <c r="AD603" s="1">
        <f>ROUNDDOWN(I603*(1+IF(F603=3,0.05+方案参数!$Y$19+AA603*0.12,IF(F603=4,方案参数!$BZ$19*方案参数!$AS$19,0)))+IF(AND(X603=1,F603&lt;&gt;3),方案参数!$CC$19,0)+AC603*方案参数!$CB$19,0)</f>
        <v>3798</v>
      </c>
      <c r="AE603" s="1">
        <f>IF(OR(F603=1,F603=4),配置与结果!$B$24,配置与结果!$B$25)*MAX(0,1-INDEX(配置与结果!$I$15:$I$18,F603))</f>
        <v>1000</v>
      </c>
      <c r="AF603" s="1">
        <f>方案参数!$CF$19+P603*方案参数!$CG$19</f>
        <v>51</v>
      </c>
      <c r="AG603" s="1">
        <f>MAX(配置与结果!$B$32,1+INDEX(配置与结果!$F$15:$F$18,F603)+0+Q603*方案参数!$W$19+Y603*(方案参数!$AN$19+MIN(方案参数!$AO$19,P603*0.03))+AB603*方案参数!$BZ$19*0.025-配置与结果!$B$28)</f>
        <v>1.9100000000000001</v>
      </c>
      <c r="AH603" s="1">
        <f>MAX(0,1+INDEX(配置与结果!$G$15:$G$18,F603)+W603*方案参数!$AG$19)</f>
        <v>1.45</v>
      </c>
      <c r="AI603" s="1">
        <f>IF(OR(INDEX(配置与结果!$K$15:$K$18,F603)=1,G603="RHI_BERRY"),1+配置与结果!$B$33+P603*方案参数!$AH$19,1)</f>
        <v>1.6500000000000001</v>
      </c>
      <c r="AJ603" s="1">
        <f>MIN(1,MAX(0,J603+方案参数!$AB$19-配置与结果!$B$27))</f>
        <v>0.55499999999999994</v>
      </c>
      <c r="AK603" s="1">
        <f>MAX(1,K603+IF(F603=2,0.15+方案参数!$CH$19,0)+BN603*方案参数!$X$19+R603*方案参数!$AA$19+0-配置与结果!$B$26+Z603*(方案参数!$AP$19+MIN(方案参数!$AQ$19,P603*0.03)))</f>
        <v>1.6900000000000002</v>
      </c>
      <c r="AL603" s="7">
        <f>ROUNDDOWN(MAX(AD603*配置与结果!$B$31,AD603-AE603)*AF603*AG603*AH603*AI603,0)</f>
        <v>652083</v>
      </c>
      <c r="AM603" s="7">
        <f>ROUNDDOWN(MAX(AD603*配置与结果!$B$31,AD603-AE603)*AF603*AG603*AH603*AI603*AK603,0)</f>
        <v>1102021</v>
      </c>
      <c r="AN603" s="7">
        <f t="shared" si="812"/>
        <v>901798.59</v>
      </c>
      <c r="AO603" s="7">
        <f>0</f>
        <v>0</v>
      </c>
      <c r="AP603" s="7">
        <f>MAX(0,1+INDEX(配置与结果!$J$15:$J$18,F603)+IF(T603&gt;0,方案参数!$BY$19,0)-配置与结果!$B$30)</f>
        <v>2</v>
      </c>
      <c r="AQ603" s="7">
        <f t="shared" si="813"/>
        <v>0</v>
      </c>
      <c r="AR603" s="7">
        <f t="shared" si="814"/>
        <v>0</v>
      </c>
      <c r="AS603" s="7">
        <f t="shared" si="815"/>
        <v>0</v>
      </c>
      <c r="AT603" s="7">
        <f>0</f>
        <v>0</v>
      </c>
      <c r="AU603" s="7">
        <f t="shared" si="816"/>
        <v>901798.59</v>
      </c>
      <c r="AV603" s="1">
        <f t="shared" si="817"/>
        <v>2</v>
      </c>
      <c r="AW603" s="1">
        <f t="shared" ref="AW603:AW619" si="864">MIN(10,M603+0+0)</f>
        <v>10</v>
      </c>
      <c r="AX603" s="1">
        <f t="shared" si="818"/>
        <v>2</v>
      </c>
      <c r="AY603" s="1">
        <f>MIN(20,MAX(0,O603+0+0-0))</f>
        <v>0</v>
      </c>
      <c r="AZ603" s="1">
        <f t="shared" si="819"/>
        <v>7</v>
      </c>
      <c r="BA603" s="1">
        <f t="shared" si="855"/>
        <v>5</v>
      </c>
      <c r="BB603" s="1">
        <f t="shared" si="863"/>
        <v>20</v>
      </c>
      <c r="BC603" s="1">
        <f t="shared" si="861"/>
        <v>3</v>
      </c>
      <c r="BD603" s="1">
        <f t="shared" si="842"/>
        <v>1</v>
      </c>
      <c r="BE603" s="1">
        <f t="shared" si="835"/>
        <v>0</v>
      </c>
      <c r="BF603" s="1">
        <f>MIN(4,V603+0)</f>
        <v>3</v>
      </c>
      <c r="BG603" s="1">
        <f t="shared" si="852"/>
        <v>1</v>
      </c>
      <c r="BH603" s="1">
        <f t="shared" si="836"/>
        <v>1</v>
      </c>
      <c r="BI603" s="1">
        <f t="shared" si="853"/>
        <v>1</v>
      </c>
      <c r="BJ603" s="1">
        <f t="shared" si="856"/>
        <v>1</v>
      </c>
      <c r="BK603" s="1">
        <f t="shared" si="857"/>
        <v>1</v>
      </c>
      <c r="BL603" s="1">
        <f t="shared" si="862"/>
        <v>1</v>
      </c>
      <c r="BM603" s="1">
        <f t="shared" si="860"/>
        <v>1</v>
      </c>
      <c r="BN603" s="1">
        <f t="shared" si="837"/>
        <v>1</v>
      </c>
      <c r="BO603" s="1">
        <f t="shared" si="838"/>
        <v>1</v>
      </c>
    </row>
    <row r="604" spans="1:67" ht="30.95" customHeight="1">
      <c r="A604" s="1">
        <f>16</f>
        <v>16</v>
      </c>
      <c r="B604" s="1">
        <f>固定流程!A28</f>
        <v>23</v>
      </c>
      <c r="C604" s="1">
        <f>19</f>
        <v>19</v>
      </c>
      <c r="D604" s="1">
        <f>1</f>
        <v>1</v>
      </c>
      <c r="E604" s="1">
        <f>固定流程!C28</f>
        <v>3</v>
      </c>
      <c r="F604" s="1">
        <f>固定流程!G28</f>
        <v>2</v>
      </c>
      <c r="G604" s="1" t="str">
        <f>固定流程!H28</f>
        <v>37_FOLLOW</v>
      </c>
      <c r="H604" s="1">
        <f>固定流程!F28</f>
        <v>1</v>
      </c>
      <c r="I604" s="1">
        <f>INDEX(配置与结果!$B$15:$B$18,F604)</f>
        <v>2306</v>
      </c>
      <c r="J604" s="1">
        <f>INDEX(配置与结果!$D$15:$D$18,F604)</f>
        <v>0.46</v>
      </c>
      <c r="K604" s="1">
        <f>INDEX(配置与结果!$E$15:$E$18,F604)</f>
        <v>1.9279999999999999</v>
      </c>
      <c r="L604" s="1">
        <f t="shared" si="849"/>
        <v>2</v>
      </c>
      <c r="M604" s="1">
        <f t="shared" si="850"/>
        <v>10</v>
      </c>
      <c r="N604" s="1">
        <f t="shared" si="851"/>
        <v>2</v>
      </c>
      <c r="O604" s="1">
        <f t="shared" si="843"/>
        <v>0</v>
      </c>
      <c r="P604" s="1">
        <f>MIN(方案参数!$AI$19,AZ603+0+0)</f>
        <v>7</v>
      </c>
      <c r="Q604" s="1">
        <f t="shared" si="821"/>
        <v>5</v>
      </c>
      <c r="R604" s="1">
        <f t="shared" si="822"/>
        <v>20</v>
      </c>
      <c r="S604" s="1">
        <f t="shared" si="823"/>
        <v>3</v>
      </c>
      <c r="T604" s="1">
        <f t="shared" si="858"/>
        <v>1</v>
      </c>
      <c r="U604" s="1">
        <f t="shared" si="825"/>
        <v>0</v>
      </c>
      <c r="V604" s="1">
        <f t="shared" si="826"/>
        <v>3</v>
      </c>
      <c r="W604" s="1">
        <f t="shared" si="827"/>
        <v>1</v>
      </c>
      <c r="X604" s="1">
        <f t="shared" si="828"/>
        <v>1</v>
      </c>
      <c r="Y604" s="1">
        <f t="shared" si="829"/>
        <v>1</v>
      </c>
      <c r="Z604" s="1">
        <f t="shared" si="830"/>
        <v>1</v>
      </c>
      <c r="AA604" s="1">
        <f t="shared" si="854"/>
        <v>1</v>
      </c>
      <c r="AB604" s="1">
        <f t="shared" si="832"/>
        <v>1</v>
      </c>
      <c r="AC604" s="1">
        <f t="shared" si="859"/>
        <v>1</v>
      </c>
      <c r="AD604" s="1">
        <f>ROUNDDOWN(I604*(1+IF(F604=3,0.05+方案参数!$Y$19+AA604*0.12,IF(F604=4,方案参数!$BZ$19*方案参数!$AS$19,0)))+IF(AND(X604=1,F604&lt;&gt;3),方案参数!$CC$19,0)+AC604*方案参数!$CB$19,0)</f>
        <v>3044</v>
      </c>
      <c r="AE604" s="1">
        <f>IF(OR(F604=1,F604=4),配置与结果!$B$24,配置与结果!$B$25)*MAX(0,1-INDEX(配置与结果!$I$15:$I$18,F604))</f>
        <v>1000</v>
      </c>
      <c r="AF604" s="1">
        <f>方案参数!$BV$19</f>
        <v>3</v>
      </c>
      <c r="AG604" s="1">
        <f>MAX(配置与结果!$B$32,1+INDEX(配置与结果!$F$15:$F$18,F604)+0+Q604*方案参数!$W$19+Y604*(方案参数!$AN$19+MIN(方案参数!$AO$19,P604*0.03))+AB604*方案参数!$BZ$19*0.025-配置与结果!$B$28)</f>
        <v>1.8800000000000003</v>
      </c>
      <c r="AH604" s="1">
        <f>MAX(0,1+INDEX(配置与结果!$G$15:$G$18,F604)+W604*方案参数!$AG$19)</f>
        <v>1.45</v>
      </c>
      <c r="AI604" s="1">
        <f>IF(OR(INDEX(配置与结果!$K$15:$K$18,F604)=1,G604="RHI_BERRY"),1+配置与结果!$B$33+P604*方案参数!$AH$19,1)</f>
        <v>1</v>
      </c>
      <c r="AJ604" s="1">
        <f>MIN(1,MAX(0,J604+方案参数!$AB$19-配置与结果!$B$27))</f>
        <v>0.76</v>
      </c>
      <c r="AK604" s="1">
        <f>MAX(1,K604+IF(F604=2,0.15+方案参数!$CH$19,0)+BN604*方案参数!$X$19+R604*方案参数!$AA$19+0-配置与结果!$B$26+Z604*(方案参数!$AP$19+MIN(方案参数!$AQ$19,P604*0.03)))</f>
        <v>2.3380000000000001</v>
      </c>
      <c r="AL604" s="7">
        <f>ROUNDDOWN(MAX(AD604*配置与结果!$B$31,AD604-AE604)*AF604*AG604*AH604*AI604,0)</f>
        <v>16715</v>
      </c>
      <c r="AM604" s="7">
        <f>ROUNDDOWN(MAX(AD604*配置与结果!$B$31,AD604-AE604)*AF604*AG604*AH604*AI604*AK604,0)</f>
        <v>39081</v>
      </c>
      <c r="AN604" s="7">
        <f t="shared" si="812"/>
        <v>33713.160000000003</v>
      </c>
      <c r="AO604" s="7">
        <f>方案参数!$BW$19</f>
        <v>1</v>
      </c>
      <c r="AP604" s="7">
        <f>MAX(0,1+INDEX(配置与结果!$J$15:$J$18,F604)+IF(T604&gt;0,方案参数!$BY$19,0)-配置与结果!$B$30)</f>
        <v>2</v>
      </c>
      <c r="AQ604" s="7">
        <f t="shared" si="813"/>
        <v>6088</v>
      </c>
      <c r="AR604" s="7">
        <f t="shared" si="814"/>
        <v>14233</v>
      </c>
      <c r="AS604" s="7">
        <f t="shared" si="815"/>
        <v>12278.2</v>
      </c>
      <c r="AT604" s="7">
        <f>0</f>
        <v>0</v>
      </c>
      <c r="AU604" s="7">
        <f t="shared" si="816"/>
        <v>45991.360000000001</v>
      </c>
      <c r="AV604" s="1">
        <f t="shared" si="817"/>
        <v>2</v>
      </c>
      <c r="AW604" s="1">
        <f t="shared" si="864"/>
        <v>10</v>
      </c>
      <c r="AX604" s="1">
        <f t="shared" si="818"/>
        <v>2</v>
      </c>
      <c r="AY604" s="1">
        <f>MIN(20,MAX(0,O604+0+0-0))</f>
        <v>0</v>
      </c>
      <c r="AZ604" s="1">
        <f t="shared" si="819"/>
        <v>7</v>
      </c>
      <c r="BA604" s="1">
        <f t="shared" si="855"/>
        <v>5</v>
      </c>
      <c r="BB604" s="1">
        <f t="shared" si="863"/>
        <v>20</v>
      </c>
      <c r="BC604" s="1">
        <f t="shared" si="861"/>
        <v>3</v>
      </c>
      <c r="BD604" s="1">
        <f t="shared" si="842"/>
        <v>0</v>
      </c>
      <c r="BE604" s="1">
        <f t="shared" si="835"/>
        <v>0</v>
      </c>
      <c r="BF604" s="1">
        <f>MIN(4,V604+1)</f>
        <v>4</v>
      </c>
      <c r="BG604" s="1">
        <f t="shared" si="852"/>
        <v>1</v>
      </c>
      <c r="BH604" s="1">
        <f t="shared" si="836"/>
        <v>1</v>
      </c>
      <c r="BI604" s="1">
        <f t="shared" si="853"/>
        <v>1</v>
      </c>
      <c r="BJ604" s="1">
        <f t="shared" si="856"/>
        <v>1</v>
      </c>
      <c r="BK604" s="1">
        <f t="shared" si="857"/>
        <v>1</v>
      </c>
      <c r="BL604" s="1">
        <f t="shared" si="862"/>
        <v>1</v>
      </c>
      <c r="BM604" s="1">
        <f t="shared" si="860"/>
        <v>1</v>
      </c>
      <c r="BN604" s="1">
        <f t="shared" si="837"/>
        <v>1</v>
      </c>
      <c r="BO604" s="1">
        <f t="shared" si="838"/>
        <v>1</v>
      </c>
    </row>
    <row r="605" spans="1:67" ht="30.95" customHeight="1">
      <c r="A605" s="1">
        <f>16</f>
        <v>16</v>
      </c>
      <c r="B605" s="1">
        <f>固定流程!A29</f>
        <v>24</v>
      </c>
      <c r="C605" s="1">
        <f>19</f>
        <v>19</v>
      </c>
      <c r="D605" s="1">
        <f>2</f>
        <v>2</v>
      </c>
      <c r="E605" s="1">
        <f>固定流程!C29</f>
        <v>3</v>
      </c>
      <c r="F605" s="1">
        <f>固定流程!G29</f>
        <v>1</v>
      </c>
      <c r="G605" s="1" t="str">
        <f>固定流程!H29</f>
        <v>LILYA_WEAK</v>
      </c>
      <c r="H605" s="1">
        <f>固定流程!F29</f>
        <v>1</v>
      </c>
      <c r="I605" s="1">
        <f>INDEX(配置与结果!$B$15:$B$18,F605)</f>
        <v>2296</v>
      </c>
      <c r="J605" s="1">
        <f>INDEX(配置与结果!$D$15:$D$18,F605)</f>
        <v>0.7</v>
      </c>
      <c r="K605" s="1">
        <f>INDEX(配置与结果!$E$15:$E$18,F605)</f>
        <v>2.0249999999999999</v>
      </c>
      <c r="L605" s="1">
        <f t="shared" si="849"/>
        <v>2</v>
      </c>
      <c r="M605" s="1">
        <f t="shared" si="850"/>
        <v>10</v>
      </c>
      <c r="N605" s="1">
        <f t="shared" si="851"/>
        <v>2</v>
      </c>
      <c r="O605" s="1">
        <f t="shared" si="843"/>
        <v>0</v>
      </c>
      <c r="P605" s="1">
        <f>MIN(方案参数!$AI$19,AZ604+0+0)</f>
        <v>7</v>
      </c>
      <c r="Q605" s="1">
        <f t="shared" si="821"/>
        <v>5</v>
      </c>
      <c r="R605" s="1">
        <f t="shared" si="822"/>
        <v>20</v>
      </c>
      <c r="S605" s="1">
        <f t="shared" si="823"/>
        <v>3</v>
      </c>
      <c r="T605" s="1">
        <f t="shared" si="858"/>
        <v>0</v>
      </c>
      <c r="U605" s="1">
        <f t="shared" si="825"/>
        <v>0</v>
      </c>
      <c r="V605" s="1">
        <f t="shared" si="826"/>
        <v>4</v>
      </c>
      <c r="W605" s="1">
        <f t="shared" si="827"/>
        <v>1</v>
      </c>
      <c r="X605" s="1">
        <f t="shared" si="828"/>
        <v>1</v>
      </c>
      <c r="Y605" s="1">
        <f t="shared" si="829"/>
        <v>1</v>
      </c>
      <c r="Z605" s="1">
        <f t="shared" si="830"/>
        <v>1</v>
      </c>
      <c r="AA605" s="1">
        <f t="shared" si="854"/>
        <v>1</v>
      </c>
      <c r="AB605" s="1">
        <f t="shared" si="832"/>
        <v>1</v>
      </c>
      <c r="AC605" s="1">
        <f t="shared" si="859"/>
        <v>1</v>
      </c>
      <c r="AD605" s="1">
        <f>ROUNDDOWN(I605*(1+IF(F605=3,0.05+方案参数!$Y$19+AA605*0.12,IF(F605=4,方案参数!$BZ$19*方案参数!$AS$19,0)))+IF(AND(X605=1,F605&lt;&gt;3),方案参数!$CC$19,0)+AC605*方案参数!$CB$19,0)</f>
        <v>3034</v>
      </c>
      <c r="AE605" s="1">
        <f>IF(OR(F605=1,F605=4),配置与结果!$B$24,配置与结果!$B$25)*MAX(0,1-INDEX(配置与结果!$I$15:$I$18,F605))</f>
        <v>1200</v>
      </c>
      <c r="AF605" s="1">
        <f>方案参数!$BL$19</f>
        <v>9</v>
      </c>
      <c r="AG605" s="1">
        <f>MAX(配置与结果!$B$32,1+INDEX(配置与结果!$F$15:$F$18,F605)+0.08+方案参数!$CD$19+Q605*方案参数!$W$19+Y605*(方案参数!$AN$19+MIN(方案参数!$AO$19,P605*0.03))+AB605*方案参数!$BZ$19*0.025-配置与结果!$B$28+方案参数!$AE$19)</f>
        <v>2.6150000000000002</v>
      </c>
      <c r="AH605" s="1">
        <f>MAX(0,1+V605*方案参数!$U$19+0*方案参数!$V$19+方案参数!$AE$19-配置与结果!$B$29)</f>
        <v>1.56</v>
      </c>
      <c r="AI605" s="1">
        <f>IF(OR(INDEX(配置与结果!$K$15:$K$18,F605)=1,G605="RHI_BERRY"),1+配置与结果!$B$33+P605*方案参数!$AH$19,1)</f>
        <v>1</v>
      </c>
      <c r="AJ605" s="1">
        <f>MIN(1,MAX(0,J605+方案参数!$AB$19-配置与结果!$B$27))</f>
        <v>1</v>
      </c>
      <c r="AK605" s="1">
        <f>MAX(1,K605+IF(F605=2,0.15+方案参数!$CH$19,0)+BN605*方案参数!$X$19+R605*方案参数!$AA$19+方案参数!$BP$19-配置与结果!$B$26+Z605*(方案参数!$AP$19+MIN(方案参数!$AQ$19,P605*0.03)))</f>
        <v>2.7650000000000001</v>
      </c>
      <c r="AL605" s="7">
        <f>ROUNDDOWN(MAX(AD605*配置与结果!$B$31,AD605-AE605)*AF605*AG605*AH605*AI605,0)</f>
        <v>67334</v>
      </c>
      <c r="AM605" s="7">
        <f>ROUNDDOWN(MAX(AD605*配置与结果!$B$31,AD605-AE605)*AF605*AG605*AH605*AI605*AK605,0)</f>
        <v>186180</v>
      </c>
      <c r="AN605" s="7">
        <f t="shared" si="812"/>
        <v>186180</v>
      </c>
      <c r="AO605" s="7">
        <f>0</f>
        <v>0</v>
      </c>
      <c r="AP605" s="7">
        <f>MAX(0,1+INDEX(配置与结果!$J$15:$J$18,F605)+IF(T605&gt;0,方案参数!$BY$19,0)-配置与结果!$B$30)</f>
        <v>1</v>
      </c>
      <c r="AQ605" s="7">
        <f t="shared" si="813"/>
        <v>0</v>
      </c>
      <c r="AR605" s="7">
        <f t="shared" si="814"/>
        <v>0</v>
      </c>
      <c r="AS605" s="7">
        <f t="shared" si="815"/>
        <v>0</v>
      </c>
      <c r="AT605" s="7">
        <f>IF(U605&gt;0,ROUNDDOWN(AL605*方案参数!$AF$19,0)*(1-AJ605)+ROUNDDOWN(AM605*方案参数!$AF$19,0)*AJ605,0)</f>
        <v>0</v>
      </c>
      <c r="AU605" s="7">
        <f t="shared" si="816"/>
        <v>186180</v>
      </c>
      <c r="AV605" s="1">
        <f t="shared" si="817"/>
        <v>2</v>
      </c>
      <c r="AW605" s="1">
        <f t="shared" si="864"/>
        <v>10</v>
      </c>
      <c r="AX605" s="1">
        <f t="shared" si="818"/>
        <v>2</v>
      </c>
      <c r="AY605" s="1">
        <f>MIN(20,MAX(0,O605+0+1-0))</f>
        <v>1</v>
      </c>
      <c r="AZ605" s="1">
        <f t="shared" si="819"/>
        <v>7</v>
      </c>
      <c r="BA605" s="1">
        <f t="shared" si="855"/>
        <v>5</v>
      </c>
      <c r="BB605" s="1">
        <f t="shared" si="863"/>
        <v>20</v>
      </c>
      <c r="BC605" s="1">
        <f t="shared" si="861"/>
        <v>3</v>
      </c>
      <c r="BD605" s="1">
        <f t="shared" si="842"/>
        <v>0</v>
      </c>
      <c r="BE605" s="1">
        <f>MAX(0,U605-IF(AF605&gt;0,1,0))+0</f>
        <v>0</v>
      </c>
      <c r="BF605" s="1">
        <f t="shared" ref="BF605:BF622" si="865">MIN(4,V605+0)</f>
        <v>4</v>
      </c>
      <c r="BG605" s="1">
        <f t="shared" si="852"/>
        <v>1</v>
      </c>
      <c r="BH605" s="1">
        <f t="shared" si="836"/>
        <v>1</v>
      </c>
      <c r="BI605" s="1">
        <f t="shared" si="853"/>
        <v>1</v>
      </c>
      <c r="BJ605" s="1">
        <f t="shared" si="856"/>
        <v>1</v>
      </c>
      <c r="BK605" s="1">
        <f t="shared" si="857"/>
        <v>1</v>
      </c>
      <c r="BL605" s="1">
        <f t="shared" si="862"/>
        <v>1</v>
      </c>
      <c r="BM605" s="1">
        <f t="shared" si="860"/>
        <v>1</v>
      </c>
      <c r="BN605" s="1">
        <f t="shared" si="837"/>
        <v>1</v>
      </c>
      <c r="BO605" s="1">
        <f t="shared" si="838"/>
        <v>1</v>
      </c>
    </row>
    <row r="606" spans="1:67" ht="30.95" customHeight="1">
      <c r="A606" s="1">
        <f>16</f>
        <v>16</v>
      </c>
      <c r="B606" s="1">
        <f>固定流程!A30</f>
        <v>25</v>
      </c>
      <c r="C606" s="1">
        <f>19</f>
        <v>19</v>
      </c>
      <c r="D606" s="1">
        <f>2</f>
        <v>2</v>
      </c>
      <c r="E606" s="1">
        <f>固定流程!C30</f>
        <v>3</v>
      </c>
      <c r="F606" s="1">
        <f>固定流程!G30</f>
        <v>1</v>
      </c>
      <c r="G606" s="1" t="str">
        <f>固定流程!H30</f>
        <v>LILYA_WEAK</v>
      </c>
      <c r="H606" s="1">
        <f>固定流程!F30</f>
        <v>1</v>
      </c>
      <c r="I606" s="1">
        <f>INDEX(配置与结果!$B$15:$B$18,F606)</f>
        <v>2296</v>
      </c>
      <c r="J606" s="1">
        <f>INDEX(配置与结果!$D$15:$D$18,F606)</f>
        <v>0.7</v>
      </c>
      <c r="K606" s="1">
        <f>INDEX(配置与结果!$E$15:$E$18,F606)</f>
        <v>2.0249999999999999</v>
      </c>
      <c r="L606" s="1">
        <f t="shared" si="849"/>
        <v>2</v>
      </c>
      <c r="M606" s="1">
        <f t="shared" si="850"/>
        <v>10</v>
      </c>
      <c r="N606" s="1">
        <f t="shared" si="851"/>
        <v>2</v>
      </c>
      <c r="O606" s="1">
        <f t="shared" si="843"/>
        <v>1</v>
      </c>
      <c r="P606" s="1">
        <f>MIN(方案参数!$AI$19,AZ605+0+0)</f>
        <v>7</v>
      </c>
      <c r="Q606" s="1">
        <f t="shared" si="821"/>
        <v>5</v>
      </c>
      <c r="R606" s="1">
        <f t="shared" si="822"/>
        <v>20</v>
      </c>
      <c r="S606" s="1">
        <f t="shared" si="823"/>
        <v>3</v>
      </c>
      <c r="T606" s="1">
        <f t="shared" si="858"/>
        <v>0</v>
      </c>
      <c r="U606" s="1">
        <f t="shared" si="825"/>
        <v>0</v>
      </c>
      <c r="V606" s="1">
        <f t="shared" si="826"/>
        <v>4</v>
      </c>
      <c r="W606" s="1">
        <f t="shared" si="827"/>
        <v>1</v>
      </c>
      <c r="X606" s="1">
        <f t="shared" si="828"/>
        <v>1</v>
      </c>
      <c r="Y606" s="1">
        <f t="shared" si="829"/>
        <v>1</v>
      </c>
      <c r="Z606" s="1">
        <f t="shared" si="830"/>
        <v>1</v>
      </c>
      <c r="AA606" s="1">
        <f t="shared" si="854"/>
        <v>1</v>
      </c>
      <c r="AB606" s="1">
        <f t="shared" si="832"/>
        <v>1</v>
      </c>
      <c r="AC606" s="1">
        <f t="shared" si="859"/>
        <v>1</v>
      </c>
      <c r="AD606" s="1">
        <f>ROUNDDOWN(I606*(1+IF(F606=3,0.05+方案参数!$Y$19+AA606*0.12,IF(F606=4,方案参数!$BZ$19*方案参数!$AS$19,0)))+IF(AND(X606=1,F606&lt;&gt;3),方案参数!$CC$19,0)+AC606*方案参数!$CB$19,0)</f>
        <v>3034</v>
      </c>
      <c r="AE606" s="1">
        <f>IF(OR(F606=1,F606=4),配置与结果!$B$24,配置与结果!$B$25)*MAX(0,1-INDEX(配置与结果!$I$15:$I$18,F606))</f>
        <v>1200</v>
      </c>
      <c r="AF606" s="1">
        <f>方案参数!$BL$19</f>
        <v>9</v>
      </c>
      <c r="AG606" s="1">
        <f>MAX(配置与结果!$B$32,1+INDEX(配置与结果!$F$15:$F$18,F606)+0.08+方案参数!$CD$19+Q606*方案参数!$W$19+Y606*(方案参数!$AN$19+MIN(方案参数!$AO$19,P606*0.03))+AB606*方案参数!$BZ$19*0.025-配置与结果!$B$28+方案参数!$AE$19)</f>
        <v>2.6150000000000002</v>
      </c>
      <c r="AH606" s="1">
        <f>MAX(0,1+V606*方案参数!$U$19+1*方案参数!$V$19+方案参数!$AE$19-配置与结果!$B$29)</f>
        <v>1.62</v>
      </c>
      <c r="AI606" s="1">
        <f>IF(OR(INDEX(配置与结果!$K$15:$K$18,F606)=1,G606="RHI_BERRY"),1+配置与结果!$B$33+P606*方案参数!$AH$19,1)</f>
        <v>1</v>
      </c>
      <c r="AJ606" s="1">
        <f>MIN(1,MAX(0,J606+方案参数!$AB$19-配置与结果!$B$27))</f>
        <v>1</v>
      </c>
      <c r="AK606" s="1">
        <f>MAX(1,K606+IF(F606=2,0.15+方案参数!$CH$19,0)+BN606*方案参数!$X$19+R606*方案参数!$AA$19+方案参数!$BP$19-配置与结果!$B$26+Z606*(方案参数!$AP$19+MIN(方案参数!$AQ$19,P606*0.03)))</f>
        <v>2.7650000000000001</v>
      </c>
      <c r="AL606" s="7">
        <f>ROUNDDOWN(MAX(AD606*配置与结果!$B$31,AD606-AE606)*AF606*AG606*AH606*AI606,0)</f>
        <v>69924</v>
      </c>
      <c r="AM606" s="7">
        <f>ROUNDDOWN(MAX(AD606*配置与结果!$B$31,AD606-AE606)*AF606*AG606*AH606*AI606*AK606,0)</f>
        <v>193340</v>
      </c>
      <c r="AN606" s="7">
        <f t="shared" si="812"/>
        <v>193340</v>
      </c>
      <c r="AO606" s="7">
        <f>0</f>
        <v>0</v>
      </c>
      <c r="AP606" s="7">
        <f>MAX(0,1+INDEX(配置与结果!$J$15:$J$18,F606)+IF(T606&gt;0,方案参数!$BY$19,0)-配置与结果!$B$30)</f>
        <v>1</v>
      </c>
      <c r="AQ606" s="7">
        <f t="shared" si="813"/>
        <v>0</v>
      </c>
      <c r="AR606" s="7">
        <f t="shared" si="814"/>
        <v>0</v>
      </c>
      <c r="AS606" s="7">
        <f t="shared" si="815"/>
        <v>0</v>
      </c>
      <c r="AT606" s="7">
        <f>IF(U606&gt;0,ROUNDDOWN(AL606*方案参数!$AF$19,0)*(1-AJ606)+ROUNDDOWN(AM606*方案参数!$AF$19,0)*AJ606,0)</f>
        <v>0</v>
      </c>
      <c r="AU606" s="7">
        <f t="shared" si="816"/>
        <v>193340</v>
      </c>
      <c r="AV606" s="1">
        <f t="shared" si="817"/>
        <v>2</v>
      </c>
      <c r="AW606" s="1">
        <f t="shared" si="864"/>
        <v>10</v>
      </c>
      <c r="AX606" s="1">
        <f t="shared" si="818"/>
        <v>2</v>
      </c>
      <c r="AY606" s="1">
        <f>MIN(20,MAX(0,O606+0+1-0))</f>
        <v>2</v>
      </c>
      <c r="AZ606" s="1">
        <f t="shared" si="819"/>
        <v>7</v>
      </c>
      <c r="BA606" s="1">
        <f t="shared" si="855"/>
        <v>5</v>
      </c>
      <c r="BB606" s="1">
        <f t="shared" si="863"/>
        <v>20</v>
      </c>
      <c r="BC606" s="1">
        <f t="shared" si="861"/>
        <v>3</v>
      </c>
      <c r="BD606" s="1">
        <f t="shared" si="842"/>
        <v>0</v>
      </c>
      <c r="BE606" s="1">
        <f>MAX(0,U606-IF(AF606&gt;0,1,0))+0</f>
        <v>0</v>
      </c>
      <c r="BF606" s="1">
        <f t="shared" si="865"/>
        <v>4</v>
      </c>
      <c r="BG606" s="1">
        <f t="shared" si="852"/>
        <v>1</v>
      </c>
      <c r="BH606" s="1">
        <f t="shared" si="836"/>
        <v>1</v>
      </c>
      <c r="BI606" s="1">
        <f t="shared" si="853"/>
        <v>1</v>
      </c>
      <c r="BJ606" s="1">
        <f t="shared" si="856"/>
        <v>1</v>
      </c>
      <c r="BK606" s="1">
        <f t="shared" si="857"/>
        <v>1</v>
      </c>
      <c r="BL606" s="1">
        <f t="shared" si="862"/>
        <v>1</v>
      </c>
      <c r="BM606" s="1">
        <f t="shared" si="860"/>
        <v>1</v>
      </c>
      <c r="BN606" s="1">
        <f t="shared" si="837"/>
        <v>1</v>
      </c>
      <c r="BO606" s="1">
        <f t="shared" si="838"/>
        <v>1</v>
      </c>
    </row>
    <row r="607" spans="1:67" ht="30.95" customHeight="1">
      <c r="A607" s="1">
        <f>16</f>
        <v>16</v>
      </c>
      <c r="B607" s="1">
        <f>固定流程!A31</f>
        <v>26</v>
      </c>
      <c r="C607" s="1">
        <f>19</f>
        <v>19</v>
      </c>
      <c r="D607" s="1">
        <f>2</f>
        <v>2</v>
      </c>
      <c r="E607" s="1">
        <f>固定流程!C31</f>
        <v>3</v>
      </c>
      <c r="F607" s="1">
        <f>固定流程!G31</f>
        <v>2</v>
      </c>
      <c r="G607" s="1" t="str">
        <f>固定流程!H31</f>
        <v>37_WEAK</v>
      </c>
      <c r="H607" s="1">
        <f>固定流程!F31</f>
        <v>1</v>
      </c>
      <c r="I607" s="1">
        <f>INDEX(配置与结果!$B$15:$B$18,F607)</f>
        <v>2306</v>
      </c>
      <c r="J607" s="1">
        <f>INDEX(配置与结果!$D$15:$D$18,F607)</f>
        <v>0.46</v>
      </c>
      <c r="K607" s="1">
        <f>INDEX(配置与结果!$E$15:$E$18,F607)</f>
        <v>1.9279999999999999</v>
      </c>
      <c r="L607" s="1">
        <f t="shared" si="849"/>
        <v>2</v>
      </c>
      <c r="M607" s="1">
        <f t="shared" si="850"/>
        <v>10</v>
      </c>
      <c r="N607" s="1">
        <f t="shared" si="851"/>
        <v>2</v>
      </c>
      <c r="O607" s="1">
        <f t="shared" si="843"/>
        <v>2</v>
      </c>
      <c r="P607" s="1">
        <f>MIN(方案参数!$AI$19,AZ606+0+0)</f>
        <v>7</v>
      </c>
      <c r="Q607" s="1">
        <f t="shared" si="821"/>
        <v>5</v>
      </c>
      <c r="R607" s="1">
        <f t="shared" si="822"/>
        <v>20</v>
      </c>
      <c r="S607" s="1">
        <f t="shared" si="823"/>
        <v>3</v>
      </c>
      <c r="T607" s="1">
        <f t="shared" si="858"/>
        <v>0</v>
      </c>
      <c r="U607" s="1">
        <f t="shared" si="825"/>
        <v>0</v>
      </c>
      <c r="V607" s="1">
        <f t="shared" si="826"/>
        <v>4</v>
      </c>
      <c r="W607" s="1">
        <f t="shared" si="827"/>
        <v>1</v>
      </c>
      <c r="X607" s="1">
        <f t="shared" si="828"/>
        <v>1</v>
      </c>
      <c r="Y607" s="1">
        <f t="shared" si="829"/>
        <v>1</v>
      </c>
      <c r="Z607" s="1">
        <f t="shared" si="830"/>
        <v>1</v>
      </c>
      <c r="AA607" s="1">
        <f t="shared" si="854"/>
        <v>1</v>
      </c>
      <c r="AB607" s="1">
        <f t="shared" si="832"/>
        <v>1</v>
      </c>
      <c r="AC607" s="1">
        <f t="shared" si="859"/>
        <v>1</v>
      </c>
      <c r="AD607" s="1">
        <f>ROUNDDOWN(I607*(1+IF(F607=3,0.05+方案参数!$Y$19+AA607*0.12,IF(F607=4,方案参数!$BZ$19*方案参数!$AS$19,0)))+IF(AND(X607=1,F607&lt;&gt;3),方案参数!$CC$19,0)+AC607*方案参数!$CB$19,0)</f>
        <v>3044</v>
      </c>
      <c r="AE607" s="1">
        <f>IF(OR(F607=1,F607=4),配置与结果!$B$24,配置与结果!$B$25)*MAX(0,1-INDEX(配置与结果!$I$15:$I$18,F607))</f>
        <v>1000</v>
      </c>
      <c r="AF607" s="1">
        <f>方案参数!$CE$19</f>
        <v>8</v>
      </c>
      <c r="AG607" s="1">
        <f>MAX(配置与结果!$B$32,1+INDEX(配置与结果!$F$15:$F$18,F607)+0+Q607*方案参数!$W$19+Y607*(方案参数!$AN$19+MIN(方案参数!$AO$19,P607*0.03))+AB607*方案参数!$BZ$19*0.025-配置与结果!$B$28+方案参数!$AE$19)</f>
        <v>2.2800000000000002</v>
      </c>
      <c r="AH607" s="1">
        <f>MAX(0,1+V607*方案参数!$U$19+方案参数!$AE$19-配置与结果!$B$29)</f>
        <v>1.56</v>
      </c>
      <c r="AI607" s="1">
        <f>IF(OR(INDEX(配置与结果!$K$15:$K$18,F607)=1,G607="RHI_BERRY"),1+配置与结果!$B$33+P607*方案参数!$AH$19,1)</f>
        <v>1</v>
      </c>
      <c r="AJ607" s="1">
        <f>MIN(1,MAX(0,J607+方案参数!$AB$19-配置与结果!$B$27))</f>
        <v>0.76</v>
      </c>
      <c r="AK607" s="1">
        <f>MAX(1,K607+IF(F607=2,0.15+方案参数!$CH$19,0)+BN607*方案参数!$X$19+R607*方案参数!$AA$19+0-配置与结果!$B$26+Z607*(方案参数!$AP$19+MIN(方案参数!$AQ$19,P607*0.03)))</f>
        <v>2.3380000000000001</v>
      </c>
      <c r="AL607" s="7">
        <f>ROUNDDOWN(MAX(AD607*配置与结果!$B$31,AD607-AE607)*AF607*AG607*AH607*AI607,0)</f>
        <v>58160</v>
      </c>
      <c r="AM607" s="7">
        <f>ROUNDDOWN(MAX(AD607*配置与结果!$B$31,AD607-AE607)*AF607*AG607*AH607*AI607*AK607,0)</f>
        <v>135979</v>
      </c>
      <c r="AN607" s="7">
        <f t="shared" si="812"/>
        <v>117302.44</v>
      </c>
      <c r="AO607" s="7">
        <f>0</f>
        <v>0</v>
      </c>
      <c r="AP607" s="7">
        <f>MAX(0,1+INDEX(配置与结果!$J$15:$J$18,F607)+IF(T607&gt;0,方案参数!$BY$19,0)-配置与结果!$B$30)</f>
        <v>1</v>
      </c>
      <c r="AQ607" s="7">
        <f t="shared" si="813"/>
        <v>0</v>
      </c>
      <c r="AR607" s="7">
        <f t="shared" si="814"/>
        <v>0</v>
      </c>
      <c r="AS607" s="7">
        <f t="shared" si="815"/>
        <v>0</v>
      </c>
      <c r="AT607" s="7">
        <f>IF(U607&gt;0,ROUNDDOWN(AL607*方案参数!$AF$19,0)*(1-AJ607)+ROUNDDOWN(AM607*方案参数!$AF$19,0)*AJ607,0)</f>
        <v>0</v>
      </c>
      <c r="AU607" s="7">
        <f t="shared" si="816"/>
        <v>117302.44</v>
      </c>
      <c r="AV607" s="1">
        <f t="shared" si="817"/>
        <v>2</v>
      </c>
      <c r="AW607" s="1">
        <f t="shared" si="864"/>
        <v>10</v>
      </c>
      <c r="AX607" s="1">
        <f t="shared" si="818"/>
        <v>2</v>
      </c>
      <c r="AY607" s="1">
        <f>MIN(20,MAX(0,O607+0+0-0))</f>
        <v>2</v>
      </c>
      <c r="AZ607" s="1">
        <f t="shared" si="819"/>
        <v>7</v>
      </c>
      <c r="BA607" s="1">
        <f t="shared" si="855"/>
        <v>5</v>
      </c>
      <c r="BB607" s="1">
        <f t="shared" si="863"/>
        <v>20</v>
      </c>
      <c r="BC607" s="1">
        <f t="shared" si="861"/>
        <v>3</v>
      </c>
      <c r="BD607" s="1">
        <f t="shared" si="842"/>
        <v>0</v>
      </c>
      <c r="BE607" s="1">
        <f>MAX(0,U607-IF(AF607&gt;0,1,0))+1</f>
        <v>1</v>
      </c>
      <c r="BF607" s="1">
        <f t="shared" si="865"/>
        <v>4</v>
      </c>
      <c r="BG607" s="1">
        <f t="shared" si="852"/>
        <v>1</v>
      </c>
      <c r="BH607" s="1">
        <f t="shared" si="836"/>
        <v>1</v>
      </c>
      <c r="BI607" s="1">
        <f t="shared" si="853"/>
        <v>1</v>
      </c>
      <c r="BJ607" s="1">
        <f t="shared" si="856"/>
        <v>1</v>
      </c>
      <c r="BK607" s="1">
        <f t="shared" si="857"/>
        <v>1</v>
      </c>
      <c r="BL607" s="1">
        <f t="shared" si="862"/>
        <v>1</v>
      </c>
      <c r="BM607" s="1">
        <f t="shared" si="860"/>
        <v>1</v>
      </c>
      <c r="BN607" s="1">
        <f t="shared" si="837"/>
        <v>1</v>
      </c>
      <c r="BO607" s="1">
        <f t="shared" si="838"/>
        <v>1</v>
      </c>
    </row>
    <row r="608" spans="1:67" ht="30.95" customHeight="1">
      <c r="A608" s="1">
        <f>16</f>
        <v>16</v>
      </c>
      <c r="B608" s="1">
        <f>固定流程!A32</f>
        <v>27</v>
      </c>
      <c r="C608" s="1">
        <f>19</f>
        <v>19</v>
      </c>
      <c r="D608" s="1">
        <f>2</f>
        <v>2</v>
      </c>
      <c r="E608" s="1">
        <f>固定流程!C32</f>
        <v>3</v>
      </c>
      <c r="F608" s="1">
        <f>固定流程!G32</f>
        <v>1</v>
      </c>
      <c r="G608" s="1" t="str">
        <f>固定流程!H32</f>
        <v>LILYA_THIRD</v>
      </c>
      <c r="H608" s="1">
        <f>固定流程!F32</f>
        <v>1</v>
      </c>
      <c r="I608" s="1">
        <f>INDEX(配置与结果!$B$15:$B$18,F608)</f>
        <v>2296</v>
      </c>
      <c r="J608" s="1">
        <f>INDEX(配置与结果!$D$15:$D$18,F608)</f>
        <v>0.7</v>
      </c>
      <c r="K608" s="1">
        <f>INDEX(配置与结果!$E$15:$E$18,F608)</f>
        <v>2.0249999999999999</v>
      </c>
      <c r="L608" s="1">
        <f t="shared" si="849"/>
        <v>2</v>
      </c>
      <c r="M608" s="1">
        <f t="shared" si="850"/>
        <v>10</v>
      </c>
      <c r="N608" s="1">
        <f t="shared" si="851"/>
        <v>2</v>
      </c>
      <c r="O608" s="1">
        <f t="shared" si="843"/>
        <v>2</v>
      </c>
      <c r="P608" s="1">
        <f>MIN(方案参数!$AI$19,AZ607+0+0)</f>
        <v>7</v>
      </c>
      <c r="Q608" s="1">
        <f t="shared" si="821"/>
        <v>5</v>
      </c>
      <c r="R608" s="1">
        <f t="shared" si="822"/>
        <v>20</v>
      </c>
      <c r="S608" s="1">
        <f t="shared" si="823"/>
        <v>3</v>
      </c>
      <c r="T608" s="1">
        <f t="shared" si="858"/>
        <v>0</v>
      </c>
      <c r="U608" s="1">
        <f t="shared" si="825"/>
        <v>1</v>
      </c>
      <c r="V608" s="1">
        <f t="shared" si="826"/>
        <v>4</v>
      </c>
      <c r="W608" s="1">
        <f t="shared" si="827"/>
        <v>1</v>
      </c>
      <c r="X608" s="1">
        <f t="shared" si="828"/>
        <v>1</v>
      </c>
      <c r="Y608" s="1">
        <f t="shared" si="829"/>
        <v>1</v>
      </c>
      <c r="Z608" s="1">
        <f t="shared" si="830"/>
        <v>1</v>
      </c>
      <c r="AA608" s="1">
        <f t="shared" si="854"/>
        <v>1</v>
      </c>
      <c r="AB608" s="1">
        <f t="shared" si="832"/>
        <v>1</v>
      </c>
      <c r="AC608" s="1">
        <f t="shared" si="859"/>
        <v>1</v>
      </c>
      <c r="AD608" s="1">
        <f>ROUNDDOWN(I608*(1+IF(F608=3,0.05+方案参数!$Y$19+AA608*0.12,IF(F608=4,方案参数!$BZ$19*方案参数!$AS$19,0)))+IF(AND(X608=1,F608&lt;&gt;3),方案参数!$CC$19,0)+AC608*方案参数!$CB$19,0)</f>
        <v>3034</v>
      </c>
      <c r="AE608" s="1">
        <f>IF(OR(F608=1,F608=4),配置与结果!$B$24,配置与结果!$B$25)*MAX(0,1-INDEX(配置与结果!$I$15:$I$18,F608))</f>
        <v>1200</v>
      </c>
      <c r="AF608" s="1">
        <f>方案参数!$BM$19</f>
        <v>20</v>
      </c>
      <c r="AG608" s="1">
        <f>MAX(配置与结果!$B$32,1+INDEX(配置与结果!$F$15:$F$18,F608)+0.08+方案参数!$CD$19+Q608*方案参数!$W$19+Y608*(方案参数!$AN$19+MIN(方案参数!$AO$19,P608*0.03))+AB608*方案参数!$BZ$19*0.025-配置与结果!$B$28+方案参数!$AE$19)</f>
        <v>2.6150000000000002</v>
      </c>
      <c r="AH608" s="1">
        <f>MAX(0,1+V608*方案参数!$U$19+3*方案参数!$V$19+方案参数!$AE$19-配置与结果!$B$29)</f>
        <v>1.7399999999999998</v>
      </c>
      <c r="AI608" s="1">
        <f>IF(OR(INDEX(配置与结果!$K$15:$K$18,F608)=1,G608="RHI_BERRY"),1+配置与结果!$B$33+P608*方案参数!$AH$19,1)</f>
        <v>1</v>
      </c>
      <c r="AJ608" s="1">
        <f>MIN(1,MAX(0,J608+方案参数!$AB$19-配置与结果!$B$27))</f>
        <v>1</v>
      </c>
      <c r="AK608" s="1">
        <f>MAX(1,K608+IF(F608=2,0.15+方案参数!$CH$19,0)+BN608*方案参数!$X$19+R608*方案参数!$AA$19+方案参数!$BQ$19-配置与结果!$B$26+Z608*(方案参数!$AP$19+MIN(方案参数!$AQ$19,P608*0.03)))</f>
        <v>2.9650000000000003</v>
      </c>
      <c r="AL608" s="7">
        <f>ROUNDDOWN(MAX(AD608*配置与结果!$B$31,AD608-AE608)*AF608*AG608*AH608*AI608,0)</f>
        <v>166897</v>
      </c>
      <c r="AM608" s="7">
        <f>ROUNDDOWN(MAX(AD608*配置与结果!$B$31,AD608-AE608)*AF608*AG608*AH608*AI608*AK608,0)</f>
        <v>494851</v>
      </c>
      <c r="AN608" s="7">
        <f t="shared" si="812"/>
        <v>494851</v>
      </c>
      <c r="AO608" s="7">
        <f>0</f>
        <v>0</v>
      </c>
      <c r="AP608" s="7">
        <f>MAX(0,1+INDEX(配置与结果!$J$15:$J$18,F608)+IF(T608&gt;0,方案参数!$BY$19,0)-配置与结果!$B$30)</f>
        <v>1</v>
      </c>
      <c r="AQ608" s="7">
        <f t="shared" si="813"/>
        <v>0</v>
      </c>
      <c r="AR608" s="7">
        <f t="shared" si="814"/>
        <v>0</v>
      </c>
      <c r="AS608" s="7">
        <f t="shared" si="815"/>
        <v>0</v>
      </c>
      <c r="AT608" s="7">
        <f>IF(U608&gt;0,ROUNDDOWN(AL608*方案参数!$AF$19,0)*(1-AJ608)+ROUNDDOWN(AM608*方案参数!$AF$19,0)*AJ608,0)</f>
        <v>197940</v>
      </c>
      <c r="AU608" s="7">
        <f t="shared" si="816"/>
        <v>692791</v>
      </c>
      <c r="AV608" s="1">
        <f t="shared" si="817"/>
        <v>2</v>
      </c>
      <c r="AW608" s="1">
        <f t="shared" si="864"/>
        <v>10</v>
      </c>
      <c r="AX608" s="1">
        <f t="shared" si="818"/>
        <v>2</v>
      </c>
      <c r="AY608" s="1">
        <f>MIN(20,MAX(0,O608+0+1-0))</f>
        <v>3</v>
      </c>
      <c r="AZ608" s="1">
        <f t="shared" si="819"/>
        <v>7</v>
      </c>
      <c r="BA608" s="1">
        <f t="shared" si="855"/>
        <v>5</v>
      </c>
      <c r="BB608" s="1">
        <f t="shared" si="863"/>
        <v>20</v>
      </c>
      <c r="BC608" s="1">
        <f t="shared" si="861"/>
        <v>3</v>
      </c>
      <c r="BD608" s="1">
        <f t="shared" si="842"/>
        <v>0</v>
      </c>
      <c r="BE608" s="1">
        <f>MAX(0,U608-IF(AF608&gt;0,1,0))+0</f>
        <v>0</v>
      </c>
      <c r="BF608" s="1">
        <f t="shared" si="865"/>
        <v>4</v>
      </c>
      <c r="BG608" s="1">
        <f t="shared" si="852"/>
        <v>1</v>
      </c>
      <c r="BH608" s="1">
        <f t="shared" si="836"/>
        <v>1</v>
      </c>
      <c r="BI608" s="1">
        <f t="shared" si="853"/>
        <v>1</v>
      </c>
      <c r="BJ608" s="1">
        <f t="shared" si="856"/>
        <v>1</v>
      </c>
      <c r="BK608" s="1">
        <f t="shared" si="857"/>
        <v>1</v>
      </c>
      <c r="BL608" s="1">
        <f t="shared" si="862"/>
        <v>1</v>
      </c>
      <c r="BM608" s="1">
        <f t="shared" si="860"/>
        <v>1</v>
      </c>
      <c r="BN608" s="1">
        <f t="shared" si="837"/>
        <v>1</v>
      </c>
      <c r="BO608" s="1">
        <f t="shared" si="838"/>
        <v>1</v>
      </c>
    </row>
    <row r="609" spans="1:67" ht="30.95" customHeight="1">
      <c r="A609" s="1">
        <f>16</f>
        <v>16</v>
      </c>
      <c r="B609" s="1">
        <f>固定流程!A33</f>
        <v>28</v>
      </c>
      <c r="C609" s="1">
        <f>19</f>
        <v>19</v>
      </c>
      <c r="D609" s="1">
        <f>2</f>
        <v>2</v>
      </c>
      <c r="E609" s="1">
        <f>固定流程!C33</f>
        <v>3</v>
      </c>
      <c r="F609" s="1">
        <f>固定流程!G33</f>
        <v>1</v>
      </c>
      <c r="G609" s="1" t="str">
        <f>固定流程!H33</f>
        <v>LILYA_WEAK</v>
      </c>
      <c r="H609" s="1">
        <f>固定流程!F33</f>
        <v>1</v>
      </c>
      <c r="I609" s="1">
        <f>INDEX(配置与结果!$B$15:$B$18,F609)</f>
        <v>2296</v>
      </c>
      <c r="J609" s="1">
        <f>INDEX(配置与结果!$D$15:$D$18,F609)</f>
        <v>0.7</v>
      </c>
      <c r="K609" s="1">
        <f>INDEX(配置与结果!$E$15:$E$18,F609)</f>
        <v>2.0249999999999999</v>
      </c>
      <c r="L609" s="1">
        <f t="shared" si="849"/>
        <v>2</v>
      </c>
      <c r="M609" s="1">
        <f t="shared" si="850"/>
        <v>10</v>
      </c>
      <c r="N609" s="1">
        <f t="shared" si="851"/>
        <v>2</v>
      </c>
      <c r="O609" s="1">
        <f t="shared" si="843"/>
        <v>3</v>
      </c>
      <c r="P609" s="1">
        <f>MIN(方案参数!$AI$19,AZ608+0+0)</f>
        <v>7</v>
      </c>
      <c r="Q609" s="1">
        <f t="shared" si="821"/>
        <v>5</v>
      </c>
      <c r="R609" s="1">
        <f t="shared" si="822"/>
        <v>20</v>
      </c>
      <c r="S609" s="1">
        <f t="shared" si="823"/>
        <v>3</v>
      </c>
      <c r="T609" s="1">
        <f t="shared" si="858"/>
        <v>0</v>
      </c>
      <c r="U609" s="1">
        <f t="shared" si="825"/>
        <v>0</v>
      </c>
      <c r="V609" s="1">
        <f t="shared" si="826"/>
        <v>4</v>
      </c>
      <c r="W609" s="1">
        <f t="shared" si="827"/>
        <v>1</v>
      </c>
      <c r="X609" s="1">
        <f t="shared" si="828"/>
        <v>1</v>
      </c>
      <c r="Y609" s="1">
        <f t="shared" si="829"/>
        <v>1</v>
      </c>
      <c r="Z609" s="1">
        <f t="shared" si="830"/>
        <v>1</v>
      </c>
      <c r="AA609" s="1">
        <f t="shared" si="854"/>
        <v>1</v>
      </c>
      <c r="AB609" s="1">
        <f t="shared" si="832"/>
        <v>1</v>
      </c>
      <c r="AC609" s="1">
        <f t="shared" si="859"/>
        <v>1</v>
      </c>
      <c r="AD609" s="1">
        <f>ROUNDDOWN(I609*(1+IF(F609=3,0.05+方案参数!$Y$19+AA609*0.12,IF(F609=4,方案参数!$BZ$19*方案参数!$AS$19,0)))+IF(AND(X609=1,F609&lt;&gt;3),方案参数!$CC$19,0)+AC609*方案参数!$CB$19,0)</f>
        <v>3034</v>
      </c>
      <c r="AE609" s="1">
        <f>IF(OR(F609=1,F609=4),配置与结果!$B$24,配置与结果!$B$25)*MAX(0,1-INDEX(配置与结果!$I$15:$I$18,F609))</f>
        <v>1200</v>
      </c>
      <c r="AF609" s="1">
        <f>方案参数!$BL$19</f>
        <v>9</v>
      </c>
      <c r="AG609" s="1">
        <f>MAX(配置与结果!$B$32,1+INDEX(配置与结果!$F$15:$F$18,F609)+0.08+方案参数!$CD$19+Q609*方案参数!$W$19+Y609*(方案参数!$AN$19+MIN(方案参数!$AO$19,P609*0.03))+AB609*方案参数!$BZ$19*0.025-配置与结果!$B$28+方案参数!$AE$19)</f>
        <v>2.6150000000000002</v>
      </c>
      <c r="AH609" s="1">
        <f>MAX(0,1+V609*方案参数!$U$19+4*方案参数!$V$19+方案参数!$AE$19-配置与结果!$B$29)</f>
        <v>1.7999999999999998</v>
      </c>
      <c r="AI609" s="1">
        <f>IF(OR(INDEX(配置与结果!$K$15:$K$18,F609)=1,G609="RHI_BERRY"),1+配置与结果!$B$33+P609*方案参数!$AH$19,1)</f>
        <v>1</v>
      </c>
      <c r="AJ609" s="1">
        <f>MIN(1,MAX(0,J609+方案参数!$AB$19-配置与结果!$B$27))</f>
        <v>1</v>
      </c>
      <c r="AK609" s="1">
        <f>MAX(1,K609+IF(F609=2,0.15+方案参数!$CH$19,0)+BN609*方案参数!$X$19+R609*方案参数!$AA$19+方案参数!$BP$19-配置与结果!$B$26+Z609*(方案参数!$AP$19+MIN(方案参数!$AQ$19,P609*0.03)))</f>
        <v>2.7650000000000001</v>
      </c>
      <c r="AL609" s="7">
        <f>ROUNDDOWN(MAX(AD609*配置与结果!$B$31,AD609-AE609)*AF609*AG609*AH609*AI609,0)</f>
        <v>77693</v>
      </c>
      <c r="AM609" s="7">
        <f>ROUNDDOWN(MAX(AD609*配置与结果!$B$31,AD609-AE609)*AF609*AG609*AH609*AI609*AK609,0)</f>
        <v>214823</v>
      </c>
      <c r="AN609" s="7">
        <f t="shared" si="812"/>
        <v>214823</v>
      </c>
      <c r="AO609" s="7">
        <f>0</f>
        <v>0</v>
      </c>
      <c r="AP609" s="7">
        <f>MAX(0,1+INDEX(配置与结果!$J$15:$J$18,F609)+IF(T609&gt;0,方案参数!$BY$19,0)-配置与结果!$B$30)</f>
        <v>1</v>
      </c>
      <c r="AQ609" s="7">
        <f t="shared" si="813"/>
        <v>0</v>
      </c>
      <c r="AR609" s="7">
        <f t="shared" si="814"/>
        <v>0</v>
      </c>
      <c r="AS609" s="7">
        <f t="shared" si="815"/>
        <v>0</v>
      </c>
      <c r="AT609" s="7">
        <f>IF(U609&gt;0,ROUNDDOWN(AL609*方案参数!$AF$19,0)*(1-AJ609)+ROUNDDOWN(AM609*方案参数!$AF$19,0)*AJ609,0)</f>
        <v>0</v>
      </c>
      <c r="AU609" s="7">
        <f t="shared" si="816"/>
        <v>214823</v>
      </c>
      <c r="AV609" s="1">
        <f t="shared" si="817"/>
        <v>2</v>
      </c>
      <c r="AW609" s="1">
        <f t="shared" si="864"/>
        <v>10</v>
      </c>
      <c r="AX609" s="1">
        <f t="shared" si="818"/>
        <v>2</v>
      </c>
      <c r="AY609" s="1">
        <f>MIN(20,MAX(0,O609+0+1-0))</f>
        <v>4</v>
      </c>
      <c r="AZ609" s="1">
        <f t="shared" si="819"/>
        <v>7</v>
      </c>
      <c r="BA609" s="1">
        <f t="shared" si="855"/>
        <v>5</v>
      </c>
      <c r="BB609" s="1">
        <f t="shared" si="863"/>
        <v>20</v>
      </c>
      <c r="BC609" s="1">
        <f t="shared" si="861"/>
        <v>3</v>
      </c>
      <c r="BD609" s="1">
        <f t="shared" si="842"/>
        <v>0</v>
      </c>
      <c r="BE609" s="1">
        <f>MAX(0,U609-IF(AF609&gt;0,1,0))+0</f>
        <v>0</v>
      </c>
      <c r="BF609" s="1">
        <f t="shared" si="865"/>
        <v>4</v>
      </c>
      <c r="BG609" s="1">
        <f t="shared" si="852"/>
        <v>1</v>
      </c>
      <c r="BH609" s="1">
        <f t="shared" si="836"/>
        <v>1</v>
      </c>
      <c r="BI609" s="1">
        <f t="shared" si="853"/>
        <v>1</v>
      </c>
      <c r="BJ609" s="1">
        <f t="shared" si="856"/>
        <v>1</v>
      </c>
      <c r="BK609" s="1">
        <f t="shared" si="857"/>
        <v>1</v>
      </c>
      <c r="BL609" s="1">
        <f t="shared" si="862"/>
        <v>1</v>
      </c>
      <c r="BM609" s="1">
        <f t="shared" si="860"/>
        <v>1</v>
      </c>
      <c r="BN609" s="1">
        <f t="shared" si="837"/>
        <v>1</v>
      </c>
      <c r="BO609" s="1">
        <f t="shared" si="838"/>
        <v>1</v>
      </c>
    </row>
    <row r="610" spans="1:67" ht="30.95" customHeight="1">
      <c r="A610" s="1">
        <f>16</f>
        <v>16</v>
      </c>
      <c r="B610" s="1">
        <f>固定流程!A34</f>
        <v>29</v>
      </c>
      <c r="C610" s="1">
        <f>19</f>
        <v>19</v>
      </c>
      <c r="D610" s="1">
        <f>2</f>
        <v>2</v>
      </c>
      <c r="E610" s="1">
        <f>固定流程!C34</f>
        <v>3</v>
      </c>
      <c r="F610" s="1">
        <f>固定流程!G34</f>
        <v>1</v>
      </c>
      <c r="G610" s="1" t="str">
        <f>固定流程!H34</f>
        <v>LILYA_WEAK</v>
      </c>
      <c r="H610" s="1">
        <f>固定流程!F34</f>
        <v>1</v>
      </c>
      <c r="I610" s="1">
        <f>INDEX(配置与结果!$B$15:$B$18,F610)</f>
        <v>2296</v>
      </c>
      <c r="J610" s="1">
        <f>INDEX(配置与结果!$D$15:$D$18,F610)</f>
        <v>0.7</v>
      </c>
      <c r="K610" s="1">
        <f>INDEX(配置与结果!$E$15:$E$18,F610)</f>
        <v>2.0249999999999999</v>
      </c>
      <c r="L610" s="1">
        <f t="shared" si="849"/>
        <v>2</v>
      </c>
      <c r="M610" s="1">
        <f t="shared" si="850"/>
        <v>10</v>
      </c>
      <c r="N610" s="1">
        <f t="shared" si="851"/>
        <v>2</v>
      </c>
      <c r="O610" s="1">
        <f t="shared" si="843"/>
        <v>4</v>
      </c>
      <c r="P610" s="1">
        <f>MIN(方案参数!$AI$19,AZ609+0+0)</f>
        <v>7</v>
      </c>
      <c r="Q610" s="1">
        <f t="shared" si="821"/>
        <v>5</v>
      </c>
      <c r="R610" s="1">
        <f t="shared" si="822"/>
        <v>20</v>
      </c>
      <c r="S610" s="1">
        <f t="shared" si="823"/>
        <v>3</v>
      </c>
      <c r="T610" s="1">
        <f t="shared" si="858"/>
        <v>0</v>
      </c>
      <c r="U610" s="1">
        <f t="shared" si="825"/>
        <v>0</v>
      </c>
      <c r="V610" s="1">
        <f t="shared" si="826"/>
        <v>4</v>
      </c>
      <c r="W610" s="1">
        <f t="shared" si="827"/>
        <v>1</v>
      </c>
      <c r="X610" s="1">
        <f t="shared" si="828"/>
        <v>1</v>
      </c>
      <c r="Y610" s="1">
        <f t="shared" si="829"/>
        <v>1</v>
      </c>
      <c r="Z610" s="1">
        <f t="shared" si="830"/>
        <v>1</v>
      </c>
      <c r="AA610" s="1">
        <f t="shared" si="854"/>
        <v>1</v>
      </c>
      <c r="AB610" s="1">
        <f t="shared" si="832"/>
        <v>1</v>
      </c>
      <c r="AC610" s="1">
        <f t="shared" si="859"/>
        <v>1</v>
      </c>
      <c r="AD610" s="1">
        <f>ROUNDDOWN(I610*(1+IF(F610=3,0.05+方案参数!$Y$19+AA610*0.12,IF(F610=4,方案参数!$BZ$19*方案参数!$AS$19,0)))+IF(AND(X610=1,F610&lt;&gt;3),方案参数!$CC$19,0)+AC610*方案参数!$CB$19,0)</f>
        <v>3034</v>
      </c>
      <c r="AE610" s="1">
        <f>IF(OR(F610=1,F610=4),配置与结果!$B$24,配置与结果!$B$25)*MAX(0,1-INDEX(配置与结果!$I$15:$I$18,F610))</f>
        <v>1200</v>
      </c>
      <c r="AF610" s="1">
        <f>方案参数!$BL$19</f>
        <v>9</v>
      </c>
      <c r="AG610" s="1">
        <f>MAX(配置与结果!$B$32,1+INDEX(配置与结果!$F$15:$F$18,F610)+0.08+方案参数!$CD$19+Q610*方案参数!$W$19+Y610*(方案参数!$AN$19+MIN(方案参数!$AO$19,P610*0.03))+AB610*方案参数!$BZ$19*0.025-配置与结果!$B$28+方案参数!$AE$19)</f>
        <v>2.6150000000000002</v>
      </c>
      <c r="AH610" s="1">
        <f>MAX(0,1+V610*方案参数!$U$19+5*方案参数!$V$19+方案参数!$AE$19-配置与结果!$B$29)</f>
        <v>1.8599999999999999</v>
      </c>
      <c r="AI610" s="1">
        <f>IF(OR(INDEX(配置与结果!$K$15:$K$18,F610)=1,G610="RHI_BERRY"),1+配置与结果!$B$33+P610*方案参数!$AH$19,1)</f>
        <v>1</v>
      </c>
      <c r="AJ610" s="1">
        <f>MIN(1,MAX(0,J610+方案参数!$AB$19-配置与结果!$B$27))</f>
        <v>1</v>
      </c>
      <c r="AK610" s="1">
        <f>MAX(1,K610+IF(F610=2,0.15+方案参数!$CH$19,0)+BN610*方案参数!$X$19+R610*方案参数!$AA$19+方案参数!$BP$19-配置与结果!$B$26+Z610*(方案参数!$AP$19+MIN(方案参数!$AQ$19,P610*0.03)))</f>
        <v>2.7650000000000001</v>
      </c>
      <c r="AL610" s="7">
        <f>ROUNDDOWN(MAX(AD610*配置与结果!$B$31,AD610-AE610)*AF610*AG610*AH610*AI610,0)</f>
        <v>80283</v>
      </c>
      <c r="AM610" s="7">
        <f>ROUNDDOWN(MAX(AD610*配置与结果!$B$31,AD610-AE610)*AF610*AG610*AH610*AI610*AK610,0)</f>
        <v>221983</v>
      </c>
      <c r="AN610" s="7">
        <f t="shared" si="812"/>
        <v>221983</v>
      </c>
      <c r="AO610" s="7">
        <f>0</f>
        <v>0</v>
      </c>
      <c r="AP610" s="7">
        <f>MAX(0,1+INDEX(配置与结果!$J$15:$J$18,F610)+IF(T610&gt;0,方案参数!$BY$19,0)-配置与结果!$B$30)</f>
        <v>1</v>
      </c>
      <c r="AQ610" s="7">
        <f t="shared" si="813"/>
        <v>0</v>
      </c>
      <c r="AR610" s="7">
        <f t="shared" si="814"/>
        <v>0</v>
      </c>
      <c r="AS610" s="7">
        <f t="shared" si="815"/>
        <v>0</v>
      </c>
      <c r="AT610" s="7">
        <f>IF(U610&gt;0,ROUNDDOWN(AL610*方案参数!$AF$19,0)*(1-AJ610)+ROUNDDOWN(AM610*方案参数!$AF$19,0)*AJ610,0)</f>
        <v>0</v>
      </c>
      <c r="AU610" s="7">
        <f t="shared" si="816"/>
        <v>221983</v>
      </c>
      <c r="AV610" s="1">
        <f t="shared" si="817"/>
        <v>2</v>
      </c>
      <c r="AW610" s="1">
        <f t="shared" si="864"/>
        <v>10</v>
      </c>
      <c r="AX610" s="1">
        <f t="shared" si="818"/>
        <v>2</v>
      </c>
      <c r="AY610" s="1">
        <f>MIN(20,MAX(0,O610+0+1-0))</f>
        <v>5</v>
      </c>
      <c r="AZ610" s="1">
        <f t="shared" si="819"/>
        <v>7</v>
      </c>
      <c r="BA610" s="1">
        <f t="shared" si="855"/>
        <v>5</v>
      </c>
      <c r="BB610" s="1">
        <f t="shared" si="863"/>
        <v>20</v>
      </c>
      <c r="BC610" s="1">
        <f t="shared" si="861"/>
        <v>3</v>
      </c>
      <c r="BD610" s="1">
        <f t="shared" si="842"/>
        <v>0</v>
      </c>
      <c r="BE610" s="1">
        <f>MAX(0,U610-IF(AF610&gt;0,1,0))+0</f>
        <v>0</v>
      </c>
      <c r="BF610" s="1">
        <f t="shared" si="865"/>
        <v>4</v>
      </c>
      <c r="BG610" s="1">
        <f t="shared" si="852"/>
        <v>1</v>
      </c>
      <c r="BH610" s="1">
        <f t="shared" si="836"/>
        <v>1</v>
      </c>
      <c r="BI610" s="1">
        <f t="shared" si="853"/>
        <v>1</v>
      </c>
      <c r="BJ610" s="1">
        <f t="shared" si="856"/>
        <v>1</v>
      </c>
      <c r="BK610" s="1">
        <f t="shared" si="857"/>
        <v>1</v>
      </c>
      <c r="BL610" s="1">
        <f t="shared" si="862"/>
        <v>1</v>
      </c>
      <c r="BM610" s="1">
        <f t="shared" si="860"/>
        <v>1</v>
      </c>
      <c r="BN610" s="1">
        <f t="shared" si="837"/>
        <v>1</v>
      </c>
      <c r="BO610" s="1">
        <f t="shared" si="838"/>
        <v>1</v>
      </c>
    </row>
    <row r="611" spans="1:67" ht="30.95" customHeight="1">
      <c r="A611" s="1">
        <f>16</f>
        <v>16</v>
      </c>
      <c r="B611" s="1">
        <f>固定流程!A35</f>
        <v>30</v>
      </c>
      <c r="C611" s="1">
        <f>19</f>
        <v>19</v>
      </c>
      <c r="D611" s="1">
        <f>2</f>
        <v>2</v>
      </c>
      <c r="E611" s="1">
        <f>固定流程!C35</f>
        <v>3</v>
      </c>
      <c r="F611" s="1">
        <f>固定流程!G35</f>
        <v>2</v>
      </c>
      <c r="G611" s="1" t="str">
        <f>固定流程!H35</f>
        <v>37_WEAK</v>
      </c>
      <c r="H611" s="1">
        <f>固定流程!F35</f>
        <v>1</v>
      </c>
      <c r="I611" s="1">
        <f>INDEX(配置与结果!$B$15:$B$18,F611)</f>
        <v>2306</v>
      </c>
      <c r="J611" s="1">
        <f>INDEX(配置与结果!$D$15:$D$18,F611)</f>
        <v>0.46</v>
      </c>
      <c r="K611" s="1">
        <f>INDEX(配置与结果!$E$15:$E$18,F611)</f>
        <v>1.9279999999999999</v>
      </c>
      <c r="L611" s="1">
        <f t="shared" si="849"/>
        <v>2</v>
      </c>
      <c r="M611" s="1">
        <f t="shared" si="850"/>
        <v>10</v>
      </c>
      <c r="N611" s="1">
        <f t="shared" si="851"/>
        <v>2</v>
      </c>
      <c r="O611" s="1">
        <f t="shared" si="843"/>
        <v>5</v>
      </c>
      <c r="P611" s="1">
        <f>MIN(方案参数!$AI$19,AZ610+0+0)</f>
        <v>7</v>
      </c>
      <c r="Q611" s="1">
        <f t="shared" si="821"/>
        <v>5</v>
      </c>
      <c r="R611" s="1">
        <f t="shared" si="822"/>
        <v>20</v>
      </c>
      <c r="S611" s="1">
        <f t="shared" si="823"/>
        <v>3</v>
      </c>
      <c r="T611" s="1">
        <f t="shared" si="858"/>
        <v>0</v>
      </c>
      <c r="U611" s="1">
        <f t="shared" si="825"/>
        <v>0</v>
      </c>
      <c r="V611" s="1">
        <f t="shared" si="826"/>
        <v>4</v>
      </c>
      <c r="W611" s="1">
        <f t="shared" si="827"/>
        <v>1</v>
      </c>
      <c r="X611" s="1">
        <f t="shared" si="828"/>
        <v>1</v>
      </c>
      <c r="Y611" s="1">
        <f t="shared" si="829"/>
        <v>1</v>
      </c>
      <c r="Z611" s="1">
        <f t="shared" si="830"/>
        <v>1</v>
      </c>
      <c r="AA611" s="1">
        <f t="shared" si="854"/>
        <v>1</v>
      </c>
      <c r="AB611" s="1">
        <f t="shared" si="832"/>
        <v>1</v>
      </c>
      <c r="AC611" s="1">
        <f t="shared" si="859"/>
        <v>1</v>
      </c>
      <c r="AD611" s="1">
        <f>ROUNDDOWN(I611*(1+IF(F611=3,0.05+方案参数!$Y$19+AA611*0.12,IF(F611=4,方案参数!$BZ$19*方案参数!$AS$19,0)))+IF(AND(X611=1,F611&lt;&gt;3),方案参数!$CC$19,0)+AC611*方案参数!$CB$19,0)</f>
        <v>3044</v>
      </c>
      <c r="AE611" s="1">
        <f>IF(OR(F611=1,F611=4),配置与结果!$B$24,配置与结果!$B$25)*MAX(0,1-INDEX(配置与结果!$I$15:$I$18,F611))</f>
        <v>1000</v>
      </c>
      <c r="AF611" s="1">
        <f>方案参数!$CE$19</f>
        <v>8</v>
      </c>
      <c r="AG611" s="1">
        <f>MAX(配置与结果!$B$32,1+INDEX(配置与结果!$F$15:$F$18,F611)+0+Q611*方案参数!$W$19+Y611*(方案参数!$AN$19+MIN(方案参数!$AO$19,P611*0.03))+AB611*方案参数!$BZ$19*0.025-配置与结果!$B$28+方案参数!$AE$19)</f>
        <v>2.2800000000000002</v>
      </c>
      <c r="AH611" s="1">
        <f>MAX(0,1+V611*方案参数!$U$19+方案参数!$AE$19-配置与结果!$B$29)</f>
        <v>1.56</v>
      </c>
      <c r="AI611" s="1">
        <f>IF(OR(INDEX(配置与结果!$K$15:$K$18,F611)=1,G611="RHI_BERRY"),1+配置与结果!$B$33+P611*方案参数!$AH$19,1)</f>
        <v>1</v>
      </c>
      <c r="AJ611" s="1">
        <f>MIN(1,MAX(0,J611+方案参数!$AB$19-配置与结果!$B$27))</f>
        <v>0.76</v>
      </c>
      <c r="AK611" s="1">
        <f>MAX(1,K611+IF(F611=2,0.15+方案参数!$CH$19,0)+BN611*方案参数!$X$19+R611*方案参数!$AA$19+0-配置与结果!$B$26+Z611*(方案参数!$AP$19+MIN(方案参数!$AQ$19,P611*0.03)))</f>
        <v>2.3380000000000001</v>
      </c>
      <c r="AL611" s="7">
        <f>ROUNDDOWN(MAX(AD611*配置与结果!$B$31,AD611-AE611)*AF611*AG611*AH611*AI611,0)</f>
        <v>58160</v>
      </c>
      <c r="AM611" s="7">
        <f>ROUNDDOWN(MAX(AD611*配置与结果!$B$31,AD611-AE611)*AF611*AG611*AH611*AI611*AK611,0)</f>
        <v>135979</v>
      </c>
      <c r="AN611" s="7">
        <f t="shared" si="812"/>
        <v>117302.44</v>
      </c>
      <c r="AO611" s="7">
        <f>0</f>
        <v>0</v>
      </c>
      <c r="AP611" s="7">
        <f>MAX(0,1+INDEX(配置与结果!$J$15:$J$18,F611)+IF(T611&gt;0,方案参数!$BY$19,0)-配置与结果!$B$30)</f>
        <v>1</v>
      </c>
      <c r="AQ611" s="7">
        <f t="shared" si="813"/>
        <v>0</v>
      </c>
      <c r="AR611" s="7">
        <f t="shared" si="814"/>
        <v>0</v>
      </c>
      <c r="AS611" s="7">
        <f t="shared" si="815"/>
        <v>0</v>
      </c>
      <c r="AT611" s="7">
        <f>IF(U611&gt;0,ROUNDDOWN(AL611*方案参数!$AF$19,0)*(1-AJ611)+ROUNDDOWN(AM611*方案参数!$AF$19,0)*AJ611,0)</f>
        <v>0</v>
      </c>
      <c r="AU611" s="7">
        <f t="shared" si="816"/>
        <v>117302.44</v>
      </c>
      <c r="AV611" s="1">
        <f t="shared" si="817"/>
        <v>2</v>
      </c>
      <c r="AW611" s="1">
        <f t="shared" si="864"/>
        <v>10</v>
      </c>
      <c r="AX611" s="1">
        <f t="shared" si="818"/>
        <v>2</v>
      </c>
      <c r="AY611" s="1">
        <f>MIN(20,MAX(0,O611+0+0-0))</f>
        <v>5</v>
      </c>
      <c r="AZ611" s="1">
        <f t="shared" si="819"/>
        <v>7</v>
      </c>
      <c r="BA611" s="1">
        <f t="shared" si="855"/>
        <v>5</v>
      </c>
      <c r="BB611" s="1">
        <f t="shared" si="863"/>
        <v>20</v>
      </c>
      <c r="BC611" s="1">
        <f t="shared" si="861"/>
        <v>3</v>
      </c>
      <c r="BD611" s="1">
        <f t="shared" si="842"/>
        <v>0</v>
      </c>
      <c r="BE611" s="1">
        <f>MAX(0,U611-IF(AF611&gt;0,1,0))+1</f>
        <v>1</v>
      </c>
      <c r="BF611" s="1">
        <f t="shared" si="865"/>
        <v>4</v>
      </c>
      <c r="BG611" s="1">
        <f t="shared" si="852"/>
        <v>1</v>
      </c>
      <c r="BH611" s="1">
        <f t="shared" si="836"/>
        <v>1</v>
      </c>
      <c r="BI611" s="1">
        <f t="shared" si="853"/>
        <v>1</v>
      </c>
      <c r="BJ611" s="1">
        <f t="shared" si="856"/>
        <v>1</v>
      </c>
      <c r="BK611" s="1">
        <f t="shared" si="857"/>
        <v>1</v>
      </c>
      <c r="BL611" s="1">
        <f t="shared" si="862"/>
        <v>1</v>
      </c>
      <c r="BM611" s="1">
        <f t="shared" si="860"/>
        <v>1</v>
      </c>
      <c r="BN611" s="1">
        <f t="shared" si="837"/>
        <v>1</v>
      </c>
      <c r="BO611" s="1">
        <f t="shared" si="838"/>
        <v>1</v>
      </c>
    </row>
    <row r="612" spans="1:67" ht="30.95" customHeight="1">
      <c r="A612" s="1">
        <f>16</f>
        <v>16</v>
      </c>
      <c r="B612" s="1">
        <f>固定流程!A36</f>
        <v>31</v>
      </c>
      <c r="C612" s="1">
        <f>19</f>
        <v>19</v>
      </c>
      <c r="D612" s="1">
        <f>2</f>
        <v>2</v>
      </c>
      <c r="E612" s="1">
        <f>固定流程!C36</f>
        <v>3</v>
      </c>
      <c r="F612" s="1">
        <f>固定流程!G36</f>
        <v>1</v>
      </c>
      <c r="G612" s="1" t="str">
        <f>固定流程!H36</f>
        <v>LILYA_THIRD</v>
      </c>
      <c r="H612" s="1">
        <f>固定流程!F36</f>
        <v>1</v>
      </c>
      <c r="I612" s="1">
        <f>INDEX(配置与结果!$B$15:$B$18,F612)</f>
        <v>2296</v>
      </c>
      <c r="J612" s="1">
        <f>INDEX(配置与结果!$D$15:$D$18,F612)</f>
        <v>0.7</v>
      </c>
      <c r="K612" s="1">
        <f>INDEX(配置与结果!$E$15:$E$18,F612)</f>
        <v>2.0249999999999999</v>
      </c>
      <c r="L612" s="1">
        <f t="shared" si="849"/>
        <v>2</v>
      </c>
      <c r="M612" s="1">
        <f t="shared" si="850"/>
        <v>10</v>
      </c>
      <c r="N612" s="1">
        <f t="shared" si="851"/>
        <v>2</v>
      </c>
      <c r="O612" s="1">
        <f t="shared" si="843"/>
        <v>5</v>
      </c>
      <c r="P612" s="1">
        <f>MIN(方案参数!$AI$19,AZ611+0+0)</f>
        <v>7</v>
      </c>
      <c r="Q612" s="1">
        <f t="shared" si="821"/>
        <v>5</v>
      </c>
      <c r="R612" s="1">
        <f t="shared" si="822"/>
        <v>20</v>
      </c>
      <c r="S612" s="1">
        <f t="shared" si="823"/>
        <v>3</v>
      </c>
      <c r="T612" s="1">
        <f t="shared" si="858"/>
        <v>0</v>
      </c>
      <c r="U612" s="1">
        <f t="shared" si="825"/>
        <v>1</v>
      </c>
      <c r="V612" s="1">
        <f t="shared" si="826"/>
        <v>4</v>
      </c>
      <c r="W612" s="1">
        <f t="shared" si="827"/>
        <v>1</v>
      </c>
      <c r="X612" s="1">
        <f t="shared" si="828"/>
        <v>1</v>
      </c>
      <c r="Y612" s="1">
        <f t="shared" si="829"/>
        <v>1</v>
      </c>
      <c r="Z612" s="1">
        <f t="shared" si="830"/>
        <v>1</v>
      </c>
      <c r="AA612" s="1">
        <f t="shared" si="854"/>
        <v>1</v>
      </c>
      <c r="AB612" s="1">
        <f t="shared" si="832"/>
        <v>1</v>
      </c>
      <c r="AC612" s="1">
        <f t="shared" si="859"/>
        <v>1</v>
      </c>
      <c r="AD612" s="1">
        <f>ROUNDDOWN(I612*(1+IF(F612=3,0.05+方案参数!$Y$19+AA612*0.12,IF(F612=4,方案参数!$BZ$19*方案参数!$AS$19,0)))+IF(AND(X612=1,F612&lt;&gt;3),方案参数!$CC$19,0)+AC612*方案参数!$CB$19,0)</f>
        <v>3034</v>
      </c>
      <c r="AE612" s="1">
        <f>IF(OR(F612=1,F612=4),配置与结果!$B$24,配置与结果!$B$25)*MAX(0,1-INDEX(配置与结果!$I$15:$I$18,F612))</f>
        <v>1200</v>
      </c>
      <c r="AF612" s="1">
        <f>方案参数!$BM$19</f>
        <v>20</v>
      </c>
      <c r="AG612" s="1">
        <f>MAX(配置与结果!$B$32,1+INDEX(配置与结果!$F$15:$F$18,F612)+0.08+方案参数!$CD$19+Q612*方案参数!$W$19+Y612*(方案参数!$AN$19+MIN(方案参数!$AO$19,P612*0.03))+AB612*方案参数!$BZ$19*0.025-配置与结果!$B$28+方案参数!$AE$19)</f>
        <v>2.6150000000000002</v>
      </c>
      <c r="AH612" s="1">
        <f>MAX(0,1+V612*方案参数!$U$19+7*方案参数!$V$19+方案参数!$AE$19-配置与结果!$B$29)</f>
        <v>1.98</v>
      </c>
      <c r="AI612" s="1">
        <f>IF(OR(INDEX(配置与结果!$K$15:$K$18,F612)=1,G612="RHI_BERRY"),1+配置与结果!$B$33+P612*方案参数!$AH$19,1)</f>
        <v>1</v>
      </c>
      <c r="AJ612" s="1">
        <f>MIN(1,MAX(0,J612+方案参数!$AB$19-配置与结果!$B$27))</f>
        <v>1</v>
      </c>
      <c r="AK612" s="1">
        <f>MAX(1,K612+IF(F612=2,0.15+方案参数!$CH$19,0)+BN612*方案参数!$X$19+R612*方案参数!$AA$19+方案参数!$BQ$19-配置与结果!$B$26+Z612*(方案参数!$AP$19+MIN(方案参数!$AQ$19,P612*0.03)))</f>
        <v>2.9650000000000003</v>
      </c>
      <c r="AL612" s="7">
        <f>ROUNDDOWN(MAX(AD612*配置与结果!$B$31,AD612-AE612)*AF612*AG612*AH612*AI612,0)</f>
        <v>189918</v>
      </c>
      <c r="AM612" s="7">
        <f>ROUNDDOWN(MAX(AD612*配置与结果!$B$31,AD612-AE612)*AF612*AG612*AH612*AI612*AK612,0)</f>
        <v>563106</v>
      </c>
      <c r="AN612" s="7">
        <f t="shared" si="812"/>
        <v>563106</v>
      </c>
      <c r="AO612" s="7">
        <f>0</f>
        <v>0</v>
      </c>
      <c r="AP612" s="7">
        <f>MAX(0,1+INDEX(配置与结果!$J$15:$J$18,F612)+IF(T612&gt;0,方案参数!$BY$19,0)-配置与结果!$B$30)</f>
        <v>1</v>
      </c>
      <c r="AQ612" s="7">
        <f t="shared" si="813"/>
        <v>0</v>
      </c>
      <c r="AR612" s="7">
        <f t="shared" si="814"/>
        <v>0</v>
      </c>
      <c r="AS612" s="7">
        <f t="shared" si="815"/>
        <v>0</v>
      </c>
      <c r="AT612" s="7">
        <f>IF(U612&gt;0,ROUNDDOWN(AL612*方案参数!$AF$19,0)*(1-AJ612)+ROUNDDOWN(AM612*方案参数!$AF$19,0)*AJ612,0)</f>
        <v>225242</v>
      </c>
      <c r="AU612" s="7">
        <f t="shared" si="816"/>
        <v>788348</v>
      </c>
      <c r="AV612" s="1">
        <f t="shared" si="817"/>
        <v>2</v>
      </c>
      <c r="AW612" s="1">
        <f t="shared" si="864"/>
        <v>10</v>
      </c>
      <c r="AX612" s="1">
        <f t="shared" si="818"/>
        <v>2</v>
      </c>
      <c r="AY612" s="1">
        <f>MIN(20,MAX(0,O612+0+1-0))</f>
        <v>6</v>
      </c>
      <c r="AZ612" s="1">
        <f t="shared" si="819"/>
        <v>7</v>
      </c>
      <c r="BA612" s="1">
        <f t="shared" si="855"/>
        <v>5</v>
      </c>
      <c r="BB612" s="1">
        <f t="shared" si="863"/>
        <v>20</v>
      </c>
      <c r="BC612" s="1">
        <f t="shared" si="861"/>
        <v>3</v>
      </c>
      <c r="BD612" s="1">
        <f t="shared" si="842"/>
        <v>0</v>
      </c>
      <c r="BE612" s="1">
        <f>MAX(0,U612-IF(AF612&gt;0,1,0))+0</f>
        <v>0</v>
      </c>
      <c r="BF612" s="1">
        <f t="shared" si="865"/>
        <v>4</v>
      </c>
      <c r="BG612" s="1">
        <f t="shared" si="852"/>
        <v>1</v>
      </c>
      <c r="BH612" s="1">
        <f t="shared" si="836"/>
        <v>1</v>
      </c>
      <c r="BI612" s="1">
        <f t="shared" si="853"/>
        <v>1</v>
      </c>
      <c r="BJ612" s="1">
        <f t="shared" si="856"/>
        <v>1</v>
      </c>
      <c r="BK612" s="1">
        <f t="shared" si="857"/>
        <v>1</v>
      </c>
      <c r="BL612" s="1">
        <f t="shared" si="862"/>
        <v>1</v>
      </c>
      <c r="BM612" s="1">
        <f t="shared" si="860"/>
        <v>1</v>
      </c>
      <c r="BN612" s="1">
        <f t="shared" si="837"/>
        <v>1</v>
      </c>
      <c r="BO612" s="1">
        <f t="shared" si="838"/>
        <v>1</v>
      </c>
    </row>
    <row r="613" spans="1:67" ht="30.95" customHeight="1">
      <c r="A613" s="1">
        <f>16</f>
        <v>16</v>
      </c>
      <c r="B613" s="1">
        <f>固定流程!A37</f>
        <v>32</v>
      </c>
      <c r="C613" s="1">
        <f>19</f>
        <v>19</v>
      </c>
      <c r="D613" s="1">
        <f>2</f>
        <v>2</v>
      </c>
      <c r="E613" s="1">
        <f>固定流程!C37</f>
        <v>3</v>
      </c>
      <c r="F613" s="1">
        <f>固定流程!G37</f>
        <v>1</v>
      </c>
      <c r="G613" s="1" t="str">
        <f>固定流程!H37</f>
        <v>LILYA_WEAK</v>
      </c>
      <c r="H613" s="1">
        <f>固定流程!F37</f>
        <v>1</v>
      </c>
      <c r="I613" s="1">
        <f>INDEX(配置与结果!$B$15:$B$18,F613)</f>
        <v>2296</v>
      </c>
      <c r="J613" s="1">
        <f>INDEX(配置与结果!$D$15:$D$18,F613)</f>
        <v>0.7</v>
      </c>
      <c r="K613" s="1">
        <f>INDEX(配置与结果!$E$15:$E$18,F613)</f>
        <v>2.0249999999999999</v>
      </c>
      <c r="L613" s="1">
        <f t="shared" si="849"/>
        <v>2</v>
      </c>
      <c r="M613" s="1">
        <f t="shared" si="850"/>
        <v>10</v>
      </c>
      <c r="N613" s="1">
        <f t="shared" si="851"/>
        <v>2</v>
      </c>
      <c r="O613" s="1">
        <f t="shared" si="843"/>
        <v>6</v>
      </c>
      <c r="P613" s="1">
        <f>MIN(方案参数!$AI$19,AZ612+0+0)</f>
        <v>7</v>
      </c>
      <c r="Q613" s="1">
        <f t="shared" si="821"/>
        <v>5</v>
      </c>
      <c r="R613" s="1">
        <f t="shared" si="822"/>
        <v>20</v>
      </c>
      <c r="S613" s="1">
        <f t="shared" si="823"/>
        <v>3</v>
      </c>
      <c r="T613" s="1">
        <f t="shared" si="858"/>
        <v>0</v>
      </c>
      <c r="U613" s="1">
        <f t="shared" si="825"/>
        <v>0</v>
      </c>
      <c r="V613" s="1">
        <f t="shared" si="826"/>
        <v>4</v>
      </c>
      <c r="W613" s="1">
        <f t="shared" si="827"/>
        <v>1</v>
      </c>
      <c r="X613" s="1">
        <f t="shared" si="828"/>
        <v>1</v>
      </c>
      <c r="Y613" s="1">
        <f t="shared" si="829"/>
        <v>1</v>
      </c>
      <c r="Z613" s="1">
        <f t="shared" si="830"/>
        <v>1</v>
      </c>
      <c r="AA613" s="1">
        <f t="shared" si="854"/>
        <v>1</v>
      </c>
      <c r="AB613" s="1">
        <f t="shared" si="832"/>
        <v>1</v>
      </c>
      <c r="AC613" s="1">
        <f t="shared" si="859"/>
        <v>1</v>
      </c>
      <c r="AD613" s="1">
        <f>ROUNDDOWN(I613*(1+IF(F613=3,0.05+方案参数!$Y$19+AA613*0.12,IF(F613=4,方案参数!$BZ$19*方案参数!$AS$19,0)))+IF(AND(X613=1,F613&lt;&gt;3),方案参数!$CC$19,0)+AC613*方案参数!$CB$19,0)</f>
        <v>3034</v>
      </c>
      <c r="AE613" s="1">
        <f>IF(OR(F613=1,F613=4),配置与结果!$B$24,配置与结果!$B$25)*MAX(0,1-INDEX(配置与结果!$I$15:$I$18,F613))</f>
        <v>1200</v>
      </c>
      <c r="AF613" s="1">
        <f>方案参数!$BL$19</f>
        <v>9</v>
      </c>
      <c r="AG613" s="1">
        <f>MAX(配置与结果!$B$32,1+INDEX(配置与结果!$F$15:$F$18,F613)+0.08+方案参数!$CD$19+Q613*方案参数!$W$19+Y613*(方案参数!$AN$19+MIN(方案参数!$AO$19,P613*0.03))+AB613*方案参数!$BZ$19*0.025-配置与结果!$B$28+方案参数!$AE$19)</f>
        <v>2.6150000000000002</v>
      </c>
      <c r="AH613" s="1">
        <f>MAX(0,1+V613*方案参数!$U$19+8*方案参数!$V$19+方案参数!$AE$19-配置与结果!$B$29)</f>
        <v>2.04</v>
      </c>
      <c r="AI613" s="1">
        <f>IF(OR(INDEX(配置与结果!$K$15:$K$18,F613)=1,G613="RHI_BERRY"),1+配置与结果!$B$33+P613*方案参数!$AH$19,1)</f>
        <v>1</v>
      </c>
      <c r="AJ613" s="1">
        <f>MIN(1,MAX(0,J613+方案参数!$AB$19-配置与结果!$B$27))</f>
        <v>1</v>
      </c>
      <c r="AK613" s="1">
        <f>MAX(1,K613+IF(F613=2,0.15+方案参数!$CH$19,0)+BN613*方案参数!$X$19+R613*方案参数!$AA$19+方案参数!$BP$19-配置与结果!$B$26+Z613*(方案参数!$AP$19+MIN(方案参数!$AQ$19,P613*0.03)))</f>
        <v>2.7650000000000001</v>
      </c>
      <c r="AL613" s="7">
        <f>ROUNDDOWN(MAX(AD613*配置与结果!$B$31,AD613-AE613)*AF613*AG613*AH613*AI613,0)</f>
        <v>88052</v>
      </c>
      <c r="AM613" s="7">
        <f>ROUNDDOWN(MAX(AD613*配置与结果!$B$31,AD613-AE613)*AF613*AG613*AH613*AI613*AK613,0)</f>
        <v>243466</v>
      </c>
      <c r="AN613" s="7">
        <f t="shared" si="812"/>
        <v>243466</v>
      </c>
      <c r="AO613" s="7">
        <f>0</f>
        <v>0</v>
      </c>
      <c r="AP613" s="7">
        <f>MAX(0,1+INDEX(配置与结果!$J$15:$J$18,F613)+IF(T613&gt;0,方案参数!$BY$19,0)-配置与结果!$B$30)</f>
        <v>1</v>
      </c>
      <c r="AQ613" s="7">
        <f t="shared" si="813"/>
        <v>0</v>
      </c>
      <c r="AR613" s="7">
        <f t="shared" si="814"/>
        <v>0</v>
      </c>
      <c r="AS613" s="7">
        <f t="shared" si="815"/>
        <v>0</v>
      </c>
      <c r="AT613" s="7">
        <f>IF(U613&gt;0,ROUNDDOWN(AL613*方案参数!$AF$19,0)*(1-AJ613)+ROUNDDOWN(AM613*方案参数!$AF$19,0)*AJ613,0)</f>
        <v>0</v>
      </c>
      <c r="AU613" s="7">
        <f t="shared" si="816"/>
        <v>243466</v>
      </c>
      <c r="AV613" s="1">
        <f t="shared" si="817"/>
        <v>2</v>
      </c>
      <c r="AW613" s="1">
        <f t="shared" si="864"/>
        <v>10</v>
      </c>
      <c r="AX613" s="1">
        <f t="shared" si="818"/>
        <v>2</v>
      </c>
      <c r="AY613" s="1">
        <f>MIN(20,MAX(0,O613+0+1-0))</f>
        <v>7</v>
      </c>
      <c r="AZ613" s="1">
        <f t="shared" si="819"/>
        <v>7</v>
      </c>
      <c r="BA613" s="1">
        <f t="shared" si="855"/>
        <v>5</v>
      </c>
      <c r="BB613" s="1">
        <f t="shared" si="863"/>
        <v>20</v>
      </c>
      <c r="BC613" s="1">
        <f t="shared" si="861"/>
        <v>3</v>
      </c>
      <c r="BD613" s="1">
        <f t="shared" si="842"/>
        <v>0</v>
      </c>
      <c r="BE613" s="1">
        <f>MAX(0,U613-IF(AF613&gt;0,1,0))+0</f>
        <v>0</v>
      </c>
      <c r="BF613" s="1">
        <f t="shared" si="865"/>
        <v>4</v>
      </c>
      <c r="BG613" s="1">
        <f t="shared" si="852"/>
        <v>1</v>
      </c>
      <c r="BH613" s="1">
        <f t="shared" si="836"/>
        <v>1</v>
      </c>
      <c r="BI613" s="1">
        <f t="shared" si="853"/>
        <v>1</v>
      </c>
      <c r="BJ613" s="1">
        <f t="shared" si="856"/>
        <v>1</v>
      </c>
      <c r="BK613" s="1">
        <f t="shared" si="857"/>
        <v>1</v>
      </c>
      <c r="BL613" s="1">
        <f t="shared" si="862"/>
        <v>1</v>
      </c>
      <c r="BM613" s="1">
        <f t="shared" si="860"/>
        <v>1</v>
      </c>
      <c r="BN613" s="1">
        <f t="shared" si="837"/>
        <v>1</v>
      </c>
      <c r="BO613" s="1">
        <f t="shared" si="838"/>
        <v>1</v>
      </c>
    </row>
    <row r="614" spans="1:67" ht="30.95" customHeight="1">
      <c r="A614" s="1">
        <f>16</f>
        <v>16</v>
      </c>
      <c r="B614" s="1">
        <f>固定流程!A38</f>
        <v>33</v>
      </c>
      <c r="C614" s="1">
        <f>19</f>
        <v>19</v>
      </c>
      <c r="D614" s="1">
        <f>2</f>
        <v>2</v>
      </c>
      <c r="E614" s="1">
        <f>固定流程!C38</f>
        <v>3</v>
      </c>
      <c r="F614" s="1">
        <f>固定流程!G38</f>
        <v>1</v>
      </c>
      <c r="G614" s="1" t="str">
        <f>固定流程!H38</f>
        <v>LILYA_WEAK</v>
      </c>
      <c r="H614" s="1">
        <f>固定流程!F38</f>
        <v>1</v>
      </c>
      <c r="I614" s="1">
        <f>INDEX(配置与结果!$B$15:$B$18,F614)</f>
        <v>2296</v>
      </c>
      <c r="J614" s="1">
        <f>INDEX(配置与结果!$D$15:$D$18,F614)</f>
        <v>0.7</v>
      </c>
      <c r="K614" s="1">
        <f>INDEX(配置与结果!$E$15:$E$18,F614)</f>
        <v>2.0249999999999999</v>
      </c>
      <c r="L614" s="1">
        <f t="shared" si="849"/>
        <v>2</v>
      </c>
      <c r="M614" s="1">
        <f t="shared" si="850"/>
        <v>10</v>
      </c>
      <c r="N614" s="1">
        <f t="shared" si="851"/>
        <v>2</v>
      </c>
      <c r="O614" s="1">
        <f t="shared" si="843"/>
        <v>7</v>
      </c>
      <c r="P614" s="1">
        <f>MIN(方案参数!$AI$19,AZ613+0+0)</f>
        <v>7</v>
      </c>
      <c r="Q614" s="1">
        <f t="shared" si="821"/>
        <v>5</v>
      </c>
      <c r="R614" s="1">
        <f t="shared" si="822"/>
        <v>20</v>
      </c>
      <c r="S614" s="1">
        <f t="shared" si="823"/>
        <v>3</v>
      </c>
      <c r="T614" s="1">
        <f t="shared" si="858"/>
        <v>0</v>
      </c>
      <c r="U614" s="1">
        <f t="shared" si="825"/>
        <v>0</v>
      </c>
      <c r="V614" s="1">
        <f t="shared" si="826"/>
        <v>4</v>
      </c>
      <c r="W614" s="1">
        <f t="shared" si="827"/>
        <v>1</v>
      </c>
      <c r="X614" s="1">
        <f t="shared" si="828"/>
        <v>1</v>
      </c>
      <c r="Y614" s="1">
        <f t="shared" si="829"/>
        <v>1</v>
      </c>
      <c r="Z614" s="1">
        <f t="shared" si="830"/>
        <v>1</v>
      </c>
      <c r="AA614" s="1">
        <f t="shared" si="854"/>
        <v>1</v>
      </c>
      <c r="AB614" s="1">
        <f t="shared" si="832"/>
        <v>1</v>
      </c>
      <c r="AC614" s="1">
        <f t="shared" si="859"/>
        <v>1</v>
      </c>
      <c r="AD614" s="1">
        <f>ROUNDDOWN(I614*(1+IF(F614=3,0.05+方案参数!$Y$19+AA614*0.12,IF(F614=4,方案参数!$BZ$19*方案参数!$AS$19,0)))+IF(AND(X614=1,F614&lt;&gt;3),方案参数!$CC$19,0)+AC614*方案参数!$CB$19,0)</f>
        <v>3034</v>
      </c>
      <c r="AE614" s="1">
        <f>IF(OR(F614=1,F614=4),配置与结果!$B$24,配置与结果!$B$25)*MAX(0,1-INDEX(配置与结果!$I$15:$I$18,F614))</f>
        <v>1200</v>
      </c>
      <c r="AF614" s="1">
        <f>方案参数!$BL$19</f>
        <v>9</v>
      </c>
      <c r="AG614" s="1">
        <f>MAX(配置与结果!$B$32,1+INDEX(配置与结果!$F$15:$F$18,F614)+0.08+方案参数!$CD$19+Q614*方案参数!$W$19+Y614*(方案参数!$AN$19+MIN(方案参数!$AO$19,P614*0.03))+AB614*方案参数!$BZ$19*0.025-配置与结果!$B$28+方案参数!$AE$19)</f>
        <v>2.6150000000000002</v>
      </c>
      <c r="AH614" s="1">
        <f>MAX(0,1+V614*方案参数!$U$19+9*方案参数!$V$19+方案参数!$AE$19-配置与结果!$B$29)</f>
        <v>2.1</v>
      </c>
      <c r="AI614" s="1">
        <f>IF(OR(INDEX(配置与结果!$K$15:$K$18,F614)=1,G614="RHI_BERRY"),1+配置与结果!$B$33+P614*方案参数!$AH$19,1)</f>
        <v>1</v>
      </c>
      <c r="AJ614" s="1">
        <f>MIN(1,MAX(0,J614+方案参数!$AB$19-配置与结果!$B$27))</f>
        <v>1</v>
      </c>
      <c r="AK614" s="1">
        <f>MAX(1,K614+IF(F614=2,0.15+方案参数!$CH$19,0)+BN614*方案参数!$X$19+R614*方案参数!$AA$19+方案参数!$BP$19-配置与结果!$B$26+Z614*(方案参数!$AP$19+MIN(方案参数!$AQ$19,P614*0.03)))</f>
        <v>2.7650000000000001</v>
      </c>
      <c r="AL614" s="7">
        <f>ROUNDDOWN(MAX(AD614*配置与结果!$B$31,AD614-AE614)*AF614*AG614*AH614*AI614,0)</f>
        <v>90642</v>
      </c>
      <c r="AM614" s="7">
        <f>ROUNDDOWN(MAX(AD614*配置与结果!$B$31,AD614-AE614)*AF614*AG614*AH614*AI614*AK614,0)</f>
        <v>250627</v>
      </c>
      <c r="AN614" s="7">
        <f t="shared" si="812"/>
        <v>250627</v>
      </c>
      <c r="AO614" s="7">
        <f>0</f>
        <v>0</v>
      </c>
      <c r="AP614" s="7">
        <f>MAX(0,1+INDEX(配置与结果!$J$15:$J$18,F614)+IF(T614&gt;0,方案参数!$BY$19,0)-配置与结果!$B$30)</f>
        <v>1</v>
      </c>
      <c r="AQ614" s="7">
        <f t="shared" si="813"/>
        <v>0</v>
      </c>
      <c r="AR614" s="7">
        <f t="shared" si="814"/>
        <v>0</v>
      </c>
      <c r="AS614" s="7">
        <f t="shared" si="815"/>
        <v>0</v>
      </c>
      <c r="AT614" s="7">
        <f>IF(U614&gt;0,ROUNDDOWN(AL614*方案参数!$AF$19,0)*(1-AJ614)+ROUNDDOWN(AM614*方案参数!$AF$19,0)*AJ614,0)</f>
        <v>0</v>
      </c>
      <c r="AU614" s="7">
        <f t="shared" si="816"/>
        <v>250627</v>
      </c>
      <c r="AV614" s="1">
        <f t="shared" si="817"/>
        <v>2</v>
      </c>
      <c r="AW614" s="1">
        <f t="shared" si="864"/>
        <v>10</v>
      </c>
      <c r="AX614" s="1">
        <f t="shared" si="818"/>
        <v>2</v>
      </c>
      <c r="AY614" s="1">
        <f>MIN(20,MAX(0,O614+0+1-0))</f>
        <v>8</v>
      </c>
      <c r="AZ614" s="1">
        <f t="shared" si="819"/>
        <v>7</v>
      </c>
      <c r="BA614" s="1">
        <f t="shared" si="855"/>
        <v>5</v>
      </c>
      <c r="BB614" s="1">
        <f t="shared" si="863"/>
        <v>20</v>
      </c>
      <c r="BC614" s="1">
        <f t="shared" si="861"/>
        <v>3</v>
      </c>
      <c r="BD614" s="1">
        <f t="shared" si="842"/>
        <v>0</v>
      </c>
      <c r="BE614" s="1">
        <f>MAX(0,U614-IF(AF614&gt;0,1,0))+0</f>
        <v>0</v>
      </c>
      <c r="BF614" s="1">
        <f t="shared" si="865"/>
        <v>4</v>
      </c>
      <c r="BG614" s="1">
        <f t="shared" si="852"/>
        <v>1</v>
      </c>
      <c r="BH614" s="1">
        <f t="shared" si="836"/>
        <v>1</v>
      </c>
      <c r="BI614" s="1">
        <f t="shared" si="853"/>
        <v>1</v>
      </c>
      <c r="BJ614" s="1">
        <f t="shared" si="856"/>
        <v>1</v>
      </c>
      <c r="BK614" s="1">
        <f t="shared" si="857"/>
        <v>1</v>
      </c>
      <c r="BL614" s="1">
        <f t="shared" si="862"/>
        <v>1</v>
      </c>
      <c r="BM614" s="1">
        <f t="shared" si="860"/>
        <v>1</v>
      </c>
      <c r="BN614" s="1">
        <f t="shared" si="837"/>
        <v>1</v>
      </c>
      <c r="BO614" s="1">
        <f t="shared" si="838"/>
        <v>1</v>
      </c>
    </row>
    <row r="615" spans="1:67" ht="30.95" customHeight="1">
      <c r="A615" s="1">
        <f>16</f>
        <v>16</v>
      </c>
      <c r="B615" s="1">
        <f>固定流程!A39</f>
        <v>34</v>
      </c>
      <c r="C615" s="1">
        <f>19</f>
        <v>19</v>
      </c>
      <c r="D615" s="1">
        <f>2</f>
        <v>2</v>
      </c>
      <c r="E615" s="1">
        <f>固定流程!C39</f>
        <v>3</v>
      </c>
      <c r="F615" s="1">
        <f>固定流程!G39</f>
        <v>2</v>
      </c>
      <c r="G615" s="1" t="str">
        <f>固定流程!H39</f>
        <v>37_WEAK</v>
      </c>
      <c r="H615" s="1">
        <f>固定流程!F39</f>
        <v>1</v>
      </c>
      <c r="I615" s="1">
        <f>INDEX(配置与结果!$B$15:$B$18,F615)</f>
        <v>2306</v>
      </c>
      <c r="J615" s="1">
        <f>INDEX(配置与结果!$D$15:$D$18,F615)</f>
        <v>0.46</v>
      </c>
      <c r="K615" s="1">
        <f>INDEX(配置与结果!$E$15:$E$18,F615)</f>
        <v>1.9279999999999999</v>
      </c>
      <c r="L615" s="1">
        <f t="shared" si="849"/>
        <v>2</v>
      </c>
      <c r="M615" s="1">
        <f t="shared" si="850"/>
        <v>10</v>
      </c>
      <c r="N615" s="1">
        <f t="shared" si="851"/>
        <v>2</v>
      </c>
      <c r="O615" s="1">
        <f t="shared" si="843"/>
        <v>8</v>
      </c>
      <c r="P615" s="1">
        <f>MIN(方案参数!$AI$19,AZ614+0+0)</f>
        <v>7</v>
      </c>
      <c r="Q615" s="1">
        <f t="shared" si="821"/>
        <v>5</v>
      </c>
      <c r="R615" s="1">
        <f t="shared" si="822"/>
        <v>20</v>
      </c>
      <c r="S615" s="1">
        <f t="shared" si="823"/>
        <v>3</v>
      </c>
      <c r="T615" s="1">
        <f t="shared" si="858"/>
        <v>0</v>
      </c>
      <c r="U615" s="1">
        <f t="shared" si="825"/>
        <v>0</v>
      </c>
      <c r="V615" s="1">
        <f t="shared" si="826"/>
        <v>4</v>
      </c>
      <c r="W615" s="1">
        <f t="shared" si="827"/>
        <v>1</v>
      </c>
      <c r="X615" s="1">
        <f t="shared" si="828"/>
        <v>1</v>
      </c>
      <c r="Y615" s="1">
        <f t="shared" si="829"/>
        <v>1</v>
      </c>
      <c r="Z615" s="1">
        <f t="shared" si="830"/>
        <v>1</v>
      </c>
      <c r="AA615" s="1">
        <f t="shared" si="854"/>
        <v>1</v>
      </c>
      <c r="AB615" s="1">
        <f t="shared" si="832"/>
        <v>1</v>
      </c>
      <c r="AC615" s="1">
        <f t="shared" si="859"/>
        <v>1</v>
      </c>
      <c r="AD615" s="1">
        <f>ROUNDDOWN(I615*(1+IF(F615=3,0.05+方案参数!$Y$19+AA615*0.12,IF(F615=4,方案参数!$BZ$19*方案参数!$AS$19,0)))+IF(AND(X615=1,F615&lt;&gt;3),方案参数!$CC$19,0)+AC615*方案参数!$CB$19,0)</f>
        <v>3044</v>
      </c>
      <c r="AE615" s="1">
        <f>IF(OR(F615=1,F615=4),配置与结果!$B$24,配置与结果!$B$25)*MAX(0,1-INDEX(配置与结果!$I$15:$I$18,F615))</f>
        <v>1000</v>
      </c>
      <c r="AF615" s="1">
        <f>方案参数!$CE$19</f>
        <v>8</v>
      </c>
      <c r="AG615" s="1">
        <f>MAX(配置与结果!$B$32,1+INDEX(配置与结果!$F$15:$F$18,F615)+0+Q615*方案参数!$W$19+Y615*(方案参数!$AN$19+MIN(方案参数!$AO$19,P615*0.03))+AB615*方案参数!$BZ$19*0.025-配置与结果!$B$28+方案参数!$AE$19)</f>
        <v>2.2800000000000002</v>
      </c>
      <c r="AH615" s="1">
        <f>MAX(0,1+V615*方案参数!$U$19+方案参数!$AE$19-配置与结果!$B$29)</f>
        <v>1.56</v>
      </c>
      <c r="AI615" s="1">
        <f>IF(OR(INDEX(配置与结果!$K$15:$K$18,F615)=1,G615="RHI_BERRY"),1+配置与结果!$B$33+P615*方案参数!$AH$19,1)</f>
        <v>1</v>
      </c>
      <c r="AJ615" s="1">
        <f>MIN(1,MAX(0,J615+方案参数!$AB$19-配置与结果!$B$27))</f>
        <v>0.76</v>
      </c>
      <c r="AK615" s="1">
        <f>MAX(1,K615+IF(F615=2,0.15+方案参数!$CH$19,0)+BN615*方案参数!$X$19+R615*方案参数!$AA$19+0-配置与结果!$B$26+Z615*(方案参数!$AP$19+MIN(方案参数!$AQ$19,P615*0.03)))</f>
        <v>2.3380000000000001</v>
      </c>
      <c r="AL615" s="7">
        <f>ROUNDDOWN(MAX(AD615*配置与结果!$B$31,AD615-AE615)*AF615*AG615*AH615*AI615,0)</f>
        <v>58160</v>
      </c>
      <c r="AM615" s="7">
        <f>ROUNDDOWN(MAX(AD615*配置与结果!$B$31,AD615-AE615)*AF615*AG615*AH615*AI615*AK615,0)</f>
        <v>135979</v>
      </c>
      <c r="AN615" s="7">
        <f t="shared" si="812"/>
        <v>117302.44</v>
      </c>
      <c r="AO615" s="7">
        <f>0</f>
        <v>0</v>
      </c>
      <c r="AP615" s="7">
        <f>MAX(0,1+INDEX(配置与结果!$J$15:$J$18,F615)+IF(T615&gt;0,方案参数!$BY$19,0)-配置与结果!$B$30)</f>
        <v>1</v>
      </c>
      <c r="AQ615" s="7">
        <f t="shared" si="813"/>
        <v>0</v>
      </c>
      <c r="AR615" s="7">
        <f t="shared" si="814"/>
        <v>0</v>
      </c>
      <c r="AS615" s="7">
        <f t="shared" si="815"/>
        <v>0</v>
      </c>
      <c r="AT615" s="7">
        <f>IF(U615&gt;0,ROUNDDOWN(AL615*方案参数!$AF$19,0)*(1-AJ615)+ROUNDDOWN(AM615*方案参数!$AF$19,0)*AJ615,0)</f>
        <v>0</v>
      </c>
      <c r="AU615" s="7">
        <f t="shared" si="816"/>
        <v>117302.44</v>
      </c>
      <c r="AV615" s="1">
        <f t="shared" si="817"/>
        <v>2</v>
      </c>
      <c r="AW615" s="1">
        <f t="shared" si="864"/>
        <v>10</v>
      </c>
      <c r="AX615" s="1">
        <f t="shared" si="818"/>
        <v>2</v>
      </c>
      <c r="AY615" s="1">
        <f>MIN(20,MAX(0,O615+0+0-0))</f>
        <v>8</v>
      </c>
      <c r="AZ615" s="1">
        <f t="shared" si="819"/>
        <v>7</v>
      </c>
      <c r="BA615" s="1">
        <f t="shared" si="855"/>
        <v>5</v>
      </c>
      <c r="BB615" s="1">
        <f t="shared" si="863"/>
        <v>20</v>
      </c>
      <c r="BC615" s="1">
        <f t="shared" si="861"/>
        <v>3</v>
      </c>
      <c r="BD615" s="1">
        <f t="shared" si="842"/>
        <v>0</v>
      </c>
      <c r="BE615" s="1">
        <f>MAX(0,U615-IF(AF615&gt;0,1,0))+1</f>
        <v>1</v>
      </c>
      <c r="BF615" s="1">
        <f t="shared" si="865"/>
        <v>4</v>
      </c>
      <c r="BG615" s="1">
        <f t="shared" si="852"/>
        <v>1</v>
      </c>
      <c r="BH615" s="1">
        <f t="shared" si="836"/>
        <v>1</v>
      </c>
      <c r="BI615" s="1">
        <f t="shared" si="853"/>
        <v>1</v>
      </c>
      <c r="BJ615" s="1">
        <f t="shared" si="856"/>
        <v>1</v>
      </c>
      <c r="BK615" s="1">
        <f t="shared" si="857"/>
        <v>1</v>
      </c>
      <c r="BL615" s="1">
        <f t="shared" si="862"/>
        <v>1</v>
      </c>
      <c r="BM615" s="1">
        <f t="shared" si="860"/>
        <v>1</v>
      </c>
      <c r="BN615" s="1">
        <f t="shared" si="837"/>
        <v>1</v>
      </c>
      <c r="BO615" s="1">
        <f t="shared" si="838"/>
        <v>1</v>
      </c>
    </row>
    <row r="616" spans="1:67" ht="30.95" customHeight="1">
      <c r="A616" s="1">
        <f>16</f>
        <v>16</v>
      </c>
      <c r="B616" s="1">
        <f>固定流程!A40</f>
        <v>35</v>
      </c>
      <c r="C616" s="1">
        <f>19</f>
        <v>19</v>
      </c>
      <c r="D616" s="1">
        <f>2</f>
        <v>2</v>
      </c>
      <c r="E616" s="1">
        <f>固定流程!C40</f>
        <v>3</v>
      </c>
      <c r="F616" s="1">
        <f>固定流程!G40</f>
        <v>2</v>
      </c>
      <c r="G616" s="1" t="str">
        <f>固定流程!H40</f>
        <v>37_WEAK</v>
      </c>
      <c r="H616" s="1">
        <f>固定流程!F40</f>
        <v>1</v>
      </c>
      <c r="I616" s="1">
        <f>INDEX(配置与结果!$B$15:$B$18,F616)</f>
        <v>2306</v>
      </c>
      <c r="J616" s="1">
        <f>INDEX(配置与结果!$D$15:$D$18,F616)</f>
        <v>0.46</v>
      </c>
      <c r="K616" s="1">
        <f>INDEX(配置与结果!$E$15:$E$18,F616)</f>
        <v>1.9279999999999999</v>
      </c>
      <c r="L616" s="1">
        <f t="shared" si="849"/>
        <v>2</v>
      </c>
      <c r="M616" s="1">
        <f t="shared" si="850"/>
        <v>10</v>
      </c>
      <c r="N616" s="1">
        <f t="shared" si="851"/>
        <v>2</v>
      </c>
      <c r="O616" s="1">
        <f t="shared" si="843"/>
        <v>8</v>
      </c>
      <c r="P616" s="1">
        <f>MIN(方案参数!$AI$19,AZ615+0+0)</f>
        <v>7</v>
      </c>
      <c r="Q616" s="1">
        <f t="shared" si="821"/>
        <v>5</v>
      </c>
      <c r="R616" s="1">
        <f t="shared" si="822"/>
        <v>20</v>
      </c>
      <c r="S616" s="1">
        <f t="shared" si="823"/>
        <v>3</v>
      </c>
      <c r="T616" s="1">
        <f t="shared" si="858"/>
        <v>0</v>
      </c>
      <c r="U616" s="1">
        <f t="shared" si="825"/>
        <v>1</v>
      </c>
      <c r="V616" s="1">
        <f t="shared" si="826"/>
        <v>4</v>
      </c>
      <c r="W616" s="1">
        <f t="shared" si="827"/>
        <v>1</v>
      </c>
      <c r="X616" s="1">
        <f t="shared" si="828"/>
        <v>1</v>
      </c>
      <c r="Y616" s="1">
        <f t="shared" si="829"/>
        <v>1</v>
      </c>
      <c r="Z616" s="1">
        <f t="shared" si="830"/>
        <v>1</v>
      </c>
      <c r="AA616" s="1">
        <f t="shared" si="854"/>
        <v>1</v>
      </c>
      <c r="AB616" s="1">
        <f t="shared" si="832"/>
        <v>1</v>
      </c>
      <c r="AC616" s="1">
        <f t="shared" si="859"/>
        <v>1</v>
      </c>
      <c r="AD616" s="1">
        <f>ROUNDDOWN(I616*(1+IF(F616=3,0.05+方案参数!$Y$19+AA616*0.12,IF(F616=4,方案参数!$BZ$19*方案参数!$AS$19,0)))+IF(AND(X616=1,F616&lt;&gt;3),方案参数!$CC$19,0)+AC616*方案参数!$CB$19,0)</f>
        <v>3044</v>
      </c>
      <c r="AE616" s="1">
        <f>IF(OR(F616=1,F616=4),配置与结果!$B$24,配置与结果!$B$25)*MAX(0,1-INDEX(配置与结果!$I$15:$I$18,F616))</f>
        <v>1000</v>
      </c>
      <c r="AF616" s="1">
        <f>方案参数!$CE$19</f>
        <v>8</v>
      </c>
      <c r="AG616" s="1">
        <f>MAX(配置与结果!$B$32,1+INDEX(配置与结果!$F$15:$F$18,F616)+0+Q616*方案参数!$W$19+Y616*(方案参数!$AN$19+MIN(方案参数!$AO$19,P616*0.03))+AB616*方案参数!$BZ$19*0.025-配置与结果!$B$28+方案参数!$AE$19)</f>
        <v>2.2800000000000002</v>
      </c>
      <c r="AH616" s="1">
        <f>MAX(0,1+V616*方案参数!$U$19+方案参数!$AE$19-配置与结果!$B$29)</f>
        <v>1.56</v>
      </c>
      <c r="AI616" s="1">
        <f>IF(OR(INDEX(配置与结果!$K$15:$K$18,F616)=1,G616="RHI_BERRY"),1+配置与结果!$B$33+P616*方案参数!$AH$19,1)</f>
        <v>1</v>
      </c>
      <c r="AJ616" s="1">
        <f>MIN(1,MAX(0,J616+方案参数!$AB$19-配置与结果!$B$27))</f>
        <v>0.76</v>
      </c>
      <c r="AK616" s="1">
        <f>MAX(1,K616+IF(F616=2,0.15+方案参数!$CH$19,0)+BN616*方案参数!$X$19+R616*方案参数!$AA$19+0-配置与结果!$B$26+Z616*(方案参数!$AP$19+MIN(方案参数!$AQ$19,P616*0.03)))</f>
        <v>2.3380000000000001</v>
      </c>
      <c r="AL616" s="7">
        <f>ROUNDDOWN(MAX(AD616*配置与结果!$B$31,AD616-AE616)*AF616*AG616*AH616*AI616,0)</f>
        <v>58160</v>
      </c>
      <c r="AM616" s="7">
        <f>ROUNDDOWN(MAX(AD616*配置与结果!$B$31,AD616-AE616)*AF616*AG616*AH616*AI616*AK616,0)</f>
        <v>135979</v>
      </c>
      <c r="AN616" s="7">
        <f t="shared" si="812"/>
        <v>117302.44</v>
      </c>
      <c r="AO616" s="7">
        <f>0</f>
        <v>0</v>
      </c>
      <c r="AP616" s="7">
        <f>MAX(0,1+INDEX(配置与结果!$J$15:$J$18,F616)+IF(T616&gt;0,方案参数!$BY$19,0)-配置与结果!$B$30)</f>
        <v>1</v>
      </c>
      <c r="AQ616" s="7">
        <f t="shared" si="813"/>
        <v>0</v>
      </c>
      <c r="AR616" s="7">
        <f t="shared" si="814"/>
        <v>0</v>
      </c>
      <c r="AS616" s="7">
        <f t="shared" si="815"/>
        <v>0</v>
      </c>
      <c r="AT616" s="7">
        <f>IF(U616&gt;0,ROUNDDOWN(AL616*方案参数!$AF$19,0)*(1-AJ616)+ROUNDDOWN(AM616*方案参数!$AF$19,0)*AJ616,0)</f>
        <v>46920.520000000004</v>
      </c>
      <c r="AU616" s="7">
        <f t="shared" si="816"/>
        <v>164222.96000000002</v>
      </c>
      <c r="AV616" s="1">
        <f t="shared" si="817"/>
        <v>2</v>
      </c>
      <c r="AW616" s="1">
        <f t="shared" si="864"/>
        <v>10</v>
      </c>
      <c r="AX616" s="1">
        <f t="shared" si="818"/>
        <v>2</v>
      </c>
      <c r="AY616" s="1">
        <f>MIN(20,MAX(0,O616+0+0-0))</f>
        <v>8</v>
      </c>
      <c r="AZ616" s="1">
        <f t="shared" si="819"/>
        <v>7</v>
      </c>
      <c r="BA616" s="1">
        <f t="shared" si="855"/>
        <v>5</v>
      </c>
      <c r="BB616" s="1">
        <f t="shared" si="863"/>
        <v>20</v>
      </c>
      <c r="BC616" s="1">
        <f t="shared" si="861"/>
        <v>3</v>
      </c>
      <c r="BD616" s="1">
        <f t="shared" si="842"/>
        <v>0</v>
      </c>
      <c r="BE616" s="1">
        <f>MAX(0,U616-IF(AF616&gt;0,1,0))+1</f>
        <v>1</v>
      </c>
      <c r="BF616" s="1">
        <f t="shared" si="865"/>
        <v>4</v>
      </c>
      <c r="BG616" s="1">
        <f t="shared" si="852"/>
        <v>1</v>
      </c>
      <c r="BH616" s="1">
        <f t="shared" si="836"/>
        <v>1</v>
      </c>
      <c r="BI616" s="1">
        <f t="shared" si="853"/>
        <v>1</v>
      </c>
      <c r="BJ616" s="1">
        <f t="shared" si="856"/>
        <v>1</v>
      </c>
      <c r="BK616" s="1">
        <f t="shared" si="857"/>
        <v>1</v>
      </c>
      <c r="BL616" s="1">
        <f t="shared" si="862"/>
        <v>1</v>
      </c>
      <c r="BM616" s="1">
        <f t="shared" si="860"/>
        <v>1</v>
      </c>
      <c r="BN616" s="1">
        <f t="shared" si="837"/>
        <v>1</v>
      </c>
      <c r="BO616" s="1">
        <f t="shared" si="838"/>
        <v>1</v>
      </c>
    </row>
    <row r="617" spans="1:67" ht="30.95" customHeight="1">
      <c r="A617" s="1">
        <f>16</f>
        <v>16</v>
      </c>
      <c r="B617" s="1">
        <f>固定流程!A41</f>
        <v>36</v>
      </c>
      <c r="C617" s="1">
        <f>19</f>
        <v>19</v>
      </c>
      <c r="D617" s="1">
        <f>2</f>
        <v>2</v>
      </c>
      <c r="E617" s="1">
        <f>固定流程!C41</f>
        <v>3</v>
      </c>
      <c r="F617" s="1">
        <f>固定流程!G41</f>
        <v>1</v>
      </c>
      <c r="G617" s="1" t="str">
        <f>固定流程!H41</f>
        <v>LILYA_FINISH</v>
      </c>
      <c r="H617" s="1">
        <f>固定流程!F41</f>
        <v>1</v>
      </c>
      <c r="I617" s="1">
        <f>INDEX(配置与结果!$B$15:$B$18,F617)</f>
        <v>2296</v>
      </c>
      <c r="J617" s="1">
        <f>INDEX(配置与结果!$D$15:$D$18,F617)</f>
        <v>0.7</v>
      </c>
      <c r="K617" s="1">
        <f>INDEX(配置与结果!$E$15:$E$18,F617)</f>
        <v>2.0249999999999999</v>
      </c>
      <c r="L617" s="1">
        <f t="shared" si="849"/>
        <v>2</v>
      </c>
      <c r="M617" s="1">
        <f t="shared" si="850"/>
        <v>10</v>
      </c>
      <c r="N617" s="1">
        <f t="shared" si="851"/>
        <v>2</v>
      </c>
      <c r="O617" s="1">
        <f t="shared" si="843"/>
        <v>8</v>
      </c>
      <c r="P617" s="1">
        <f>MIN(方案参数!$AI$19,AZ616+0+0)</f>
        <v>7</v>
      </c>
      <c r="Q617" s="1">
        <f t="shared" si="821"/>
        <v>5</v>
      </c>
      <c r="R617" s="1">
        <f t="shared" si="822"/>
        <v>20</v>
      </c>
      <c r="S617" s="1">
        <f t="shared" si="823"/>
        <v>3</v>
      </c>
      <c r="T617" s="1">
        <f t="shared" si="858"/>
        <v>0</v>
      </c>
      <c r="U617" s="1">
        <f t="shared" si="825"/>
        <v>1</v>
      </c>
      <c r="V617" s="1">
        <f t="shared" si="826"/>
        <v>4</v>
      </c>
      <c r="W617" s="1">
        <f t="shared" si="827"/>
        <v>1</v>
      </c>
      <c r="X617" s="1">
        <f t="shared" si="828"/>
        <v>1</v>
      </c>
      <c r="Y617" s="1">
        <f t="shared" si="829"/>
        <v>1</v>
      </c>
      <c r="Z617" s="1">
        <f t="shared" si="830"/>
        <v>1</v>
      </c>
      <c r="AA617" s="1">
        <f t="shared" si="854"/>
        <v>1</v>
      </c>
      <c r="AB617" s="1">
        <f t="shared" si="832"/>
        <v>1</v>
      </c>
      <c r="AC617" s="1">
        <f t="shared" si="859"/>
        <v>1</v>
      </c>
      <c r="AD617" s="1">
        <f>ROUNDDOWN(I617*(1+IF(F617=3,0.05+方案参数!$Y$19+AA617*0.12,IF(F617=4,方案参数!$BZ$19*方案参数!$AS$19,0)))+IF(AND(X617=1,F617&lt;&gt;3),方案参数!$CC$19,0)+AC617*方案参数!$CB$19,0)</f>
        <v>3034</v>
      </c>
      <c r="AE617" s="1">
        <f>IF(OR(F617=1,F617=4),配置与结果!$B$24,配置与结果!$B$25)*MAX(0,1-INDEX(配置与结果!$I$15:$I$18,F617))</f>
        <v>1200</v>
      </c>
      <c r="AF617" s="1">
        <f>方案参数!$BN$19+12*方案参数!$BO$19</f>
        <v>48</v>
      </c>
      <c r="AG617" s="1">
        <f>MAX(配置与结果!$B$32,1+INDEX(配置与结果!$F$15:$F$18,F617)+0.08+方案参数!$CD$19+Q617*方案参数!$W$19+Y617*(方案参数!$AN$19+MIN(方案参数!$AO$19,P617*0.03))+AB617*方案参数!$BZ$19*0.025-配置与结果!$B$28+方案参数!$AE$19)</f>
        <v>2.6150000000000002</v>
      </c>
      <c r="AH617" s="1">
        <f>MAX(0,1+V617*方案参数!$U$19+12*方案参数!$V$19+方案参数!$AE$19-配置与结果!$B$29)</f>
        <v>2.2799999999999998</v>
      </c>
      <c r="AI617" s="1">
        <f>IF(OR(INDEX(配置与结果!$K$15:$K$18,F617)=1,G617="RHI_BERRY"),1+配置与结果!$B$33+P617*方案参数!$AH$19,1)</f>
        <v>1</v>
      </c>
      <c r="AJ617" s="1">
        <f>MIN(1,MAX(0,J617+方案参数!$AB$19-配置与结果!$B$27))</f>
        <v>1</v>
      </c>
      <c r="AK617" s="1">
        <f>MAX(1,K617+IF(F617=2,0.15+方案参数!$CH$19,0)+BN617*方案参数!$X$19+R617*方案参数!$AA$19+方案参数!$BR$19-配置与结果!$B$26+Z617*(方案参数!$AP$19+MIN(方案参数!$AQ$19,P617*0.03)))</f>
        <v>3.165</v>
      </c>
      <c r="AL617" s="7">
        <f>ROUNDDOWN(MAX(AD617*配置与结果!$B$31,AD617-AE617)*AF617*AG617*AH617*AI617,0)</f>
        <v>524864</v>
      </c>
      <c r="AM617" s="7">
        <f>ROUNDDOWN(MAX(AD617*配置与结果!$B$31,AD617-AE617)*AF617*AG617*AH617*AI617*AK617,0)</f>
        <v>1661195</v>
      </c>
      <c r="AN617" s="7">
        <f t="shared" si="812"/>
        <v>1661195</v>
      </c>
      <c r="AO617" s="7">
        <f>0</f>
        <v>0</v>
      </c>
      <c r="AP617" s="7">
        <f>MAX(0,1+INDEX(配置与结果!$J$15:$J$18,F617)+IF(T617&gt;0,方案参数!$BY$19,0)-配置与结果!$B$30)</f>
        <v>1</v>
      </c>
      <c r="AQ617" s="7">
        <f t="shared" si="813"/>
        <v>0</v>
      </c>
      <c r="AR617" s="7">
        <f t="shared" si="814"/>
        <v>0</v>
      </c>
      <c r="AS617" s="7">
        <f t="shared" si="815"/>
        <v>0</v>
      </c>
      <c r="AT617" s="7">
        <f>IF(U617&gt;0,ROUNDDOWN(AL617*方案参数!$AF$19,0)*(1-AJ617)+ROUNDDOWN(AM617*方案参数!$AF$19,0)*AJ617,0)</f>
        <v>664478</v>
      </c>
      <c r="AU617" s="7">
        <f t="shared" si="816"/>
        <v>2325673</v>
      </c>
      <c r="AV617" s="1">
        <f t="shared" si="817"/>
        <v>2</v>
      </c>
      <c r="AW617" s="1">
        <f t="shared" si="864"/>
        <v>10</v>
      </c>
      <c r="AX617" s="1">
        <f t="shared" si="818"/>
        <v>2</v>
      </c>
      <c r="AY617" s="1">
        <f>MIN(20,MAX(0,O617+0+1-0))</f>
        <v>9</v>
      </c>
      <c r="AZ617" s="1">
        <f t="shared" si="819"/>
        <v>7</v>
      </c>
      <c r="BA617" s="1">
        <f t="shared" si="855"/>
        <v>5</v>
      </c>
      <c r="BB617" s="1">
        <f t="shared" si="863"/>
        <v>20</v>
      </c>
      <c r="BC617" s="1">
        <f t="shared" si="861"/>
        <v>3</v>
      </c>
      <c r="BD617" s="1">
        <f t="shared" si="842"/>
        <v>0</v>
      </c>
      <c r="BE617" s="1">
        <f>MAX(0,U617-IF(AF617&gt;0,1,0))+0</f>
        <v>0</v>
      </c>
      <c r="BF617" s="1">
        <f t="shared" si="865"/>
        <v>4</v>
      </c>
      <c r="BG617" s="1">
        <f t="shared" si="852"/>
        <v>1</v>
      </c>
      <c r="BH617" s="1">
        <f t="shared" si="836"/>
        <v>1</v>
      </c>
      <c r="BI617" s="1">
        <f t="shared" si="853"/>
        <v>1</v>
      </c>
      <c r="BJ617" s="1">
        <f t="shared" si="856"/>
        <v>1</v>
      </c>
      <c r="BK617" s="1">
        <f t="shared" si="857"/>
        <v>1</v>
      </c>
      <c r="BL617" s="1">
        <f t="shared" si="862"/>
        <v>1</v>
      </c>
      <c r="BM617" s="1">
        <f t="shared" si="860"/>
        <v>1</v>
      </c>
      <c r="BN617" s="1">
        <f t="shared" si="837"/>
        <v>1</v>
      </c>
      <c r="BO617" s="1">
        <f t="shared" si="838"/>
        <v>1</v>
      </c>
    </row>
    <row r="618" spans="1:67" ht="30.95" customHeight="1">
      <c r="A618" s="1">
        <f>17</f>
        <v>17</v>
      </c>
      <c r="B618" s="1">
        <f>固定流程!A6</f>
        <v>1</v>
      </c>
      <c r="C618" s="1">
        <f>20</f>
        <v>20</v>
      </c>
      <c r="D618" s="1">
        <f>1</f>
        <v>1</v>
      </c>
      <c r="E618" s="1">
        <f>固定流程!C6</f>
        <v>1</v>
      </c>
      <c r="F618" s="1">
        <f>固定流程!G6</f>
        <v>3</v>
      </c>
      <c r="G618" s="1" t="str">
        <f>固定流程!H6</f>
        <v>RHI_ULT</v>
      </c>
      <c r="H618" s="1">
        <f>固定流程!F6</f>
        <v>1</v>
      </c>
      <c r="I618" s="1">
        <f>INDEX(配置与结果!$B$15:$B$18,F618)</f>
        <v>2597</v>
      </c>
      <c r="J618" s="1">
        <f>INDEX(配置与结果!$D$15:$D$18,F618)</f>
        <v>0.255</v>
      </c>
      <c r="K618" s="1">
        <f>INDEX(配置与结果!$E$15:$E$18,F618)</f>
        <v>1.55</v>
      </c>
      <c r="L618" s="1">
        <f>0</f>
        <v>0</v>
      </c>
      <c r="M618" s="1">
        <f>0</f>
        <v>0</v>
      </c>
      <c r="N618" s="1">
        <f>0</f>
        <v>0</v>
      </c>
      <c r="O618" s="1">
        <f>0</f>
        <v>0</v>
      </c>
      <c r="P618" s="1">
        <f>MIN(方案参数!$AI$20,0+方案参数!$AJ$20+0)</f>
        <v>1</v>
      </c>
      <c r="Q618" s="1">
        <f>0</f>
        <v>0</v>
      </c>
      <c r="R618" s="1">
        <f>0</f>
        <v>0</v>
      </c>
      <c r="S618" s="1">
        <f>0</f>
        <v>0</v>
      </c>
      <c r="T618" s="1">
        <f>0+0</f>
        <v>0</v>
      </c>
      <c r="U618" s="1">
        <f>0</f>
        <v>0</v>
      </c>
      <c r="V618" s="1">
        <f>0</f>
        <v>0</v>
      </c>
      <c r="W618" s="1">
        <f>0</f>
        <v>0</v>
      </c>
      <c r="X618" s="1">
        <f>0</f>
        <v>0</v>
      </c>
      <c r="Y618" s="1">
        <f>0</f>
        <v>0</v>
      </c>
      <c r="Z618" s="1">
        <f>0</f>
        <v>0</v>
      </c>
      <c r="AA618" s="1">
        <f>MAX(0,0)</f>
        <v>0</v>
      </c>
      <c r="AB618" s="1">
        <f>0</f>
        <v>0</v>
      </c>
      <c r="AC618" s="1">
        <f>MAX(0,0)</f>
        <v>0</v>
      </c>
      <c r="AD618" s="1">
        <f>ROUNDDOWN(I618*(1+IF(F618=3,0.05+方案参数!$Y$20+AA618*0.12,IF(F618=4,方案参数!$BZ$20*方案参数!$AS$20,0)))+IF(AND(X618=1,F618&lt;&gt;3),方案参数!$CC$20,0)+AC618*方案参数!$CB$20,0)</f>
        <v>2986</v>
      </c>
      <c r="AE618" s="1">
        <f>IF(OR(F618=1,F618=4),配置与结果!$B$24,配置与结果!$B$25)*MAX(0,1-INDEX(配置与结果!$I$15:$I$18,F618))</f>
        <v>1000</v>
      </c>
      <c r="AF618" s="1">
        <f>0</f>
        <v>0</v>
      </c>
      <c r="AG618" s="1">
        <f>MAX(配置与结果!$B$32,1+INDEX(配置与结果!$F$15:$F$18,F618)+0+Q618*方案参数!$W$20+Y618*(方案参数!$AN$20+MIN(方案参数!$AO$20,P618*0.03))+AB618*方案参数!$BZ$20*0.025-配置与结果!$B$28)</f>
        <v>0.6349999999999999</v>
      </c>
      <c r="AH618" s="1">
        <f>MAX(0,1+INDEX(配置与结果!$G$15:$G$18,F618)+W618*方案参数!$AG$20)</f>
        <v>1</v>
      </c>
      <c r="AI618" s="1">
        <f>IF(OR(INDEX(配置与结果!$K$15:$K$18,F618)=1,G618="RHI_BERRY"),1+配置与结果!$B$33+P618*方案参数!$AH$20,1)</f>
        <v>1</v>
      </c>
      <c r="AJ618" s="1">
        <f>MIN(1,MAX(0,J618+方案参数!$AB$20-配置与结果!$B$27))</f>
        <v>0.55499999999999994</v>
      </c>
      <c r="AK618" s="1">
        <f>MAX(1,K618+IF(F618=2,0.15+方案参数!$CH$20,0)+BN618*方案参数!$X$20+R618*方案参数!$AA$20+0-配置与结果!$B$26+Z618*(方案参数!$AP$20+MIN(方案参数!$AQ$20,P618*0.03)))</f>
        <v>1.1499999999999999</v>
      </c>
      <c r="AL618" s="7">
        <f>ROUNDDOWN(MAX(AD618*配置与结果!$B$31,AD618-AE618)*AF618*AG618*AH618*AI618,0)</f>
        <v>0</v>
      </c>
      <c r="AM618" s="7">
        <f>ROUNDDOWN(MAX(AD618*配置与结果!$B$31,AD618-AE618)*AF618*AG618*AH618*AI618*AK618,0)</f>
        <v>0</v>
      </c>
      <c r="AN618" s="7">
        <f t="shared" si="812"/>
        <v>0</v>
      </c>
      <c r="AO618" s="7">
        <f>0</f>
        <v>0</v>
      </c>
      <c r="AP618" s="7">
        <f>MAX(0,1+INDEX(配置与结果!$J$15:$J$18,F618)+IF(T618&gt;0,方案参数!$BY$20,0)-配置与结果!$B$30)</f>
        <v>1</v>
      </c>
      <c r="AQ618" s="7">
        <f t="shared" si="813"/>
        <v>0</v>
      </c>
      <c r="AR618" s="7">
        <f t="shared" si="814"/>
        <v>0</v>
      </c>
      <c r="AS618" s="7">
        <f t="shared" si="815"/>
        <v>0</v>
      </c>
      <c r="AT618" s="7">
        <f>0</f>
        <v>0</v>
      </c>
      <c r="AU618" s="7">
        <f t="shared" si="816"/>
        <v>0</v>
      </c>
      <c r="AV618" s="1">
        <f t="shared" si="817"/>
        <v>0</v>
      </c>
      <c r="AW618" s="1">
        <f t="shared" si="864"/>
        <v>0</v>
      </c>
      <c r="AX618" s="1">
        <f t="shared" si="818"/>
        <v>0</v>
      </c>
      <c r="AY618" s="1">
        <f>MIN(20,MAX(0,O618+0+0-0))</f>
        <v>0</v>
      </c>
      <c r="AZ618" s="1">
        <f t="shared" si="819"/>
        <v>1</v>
      </c>
      <c r="BA618" s="1">
        <f>MIN(6,Q618+1)</f>
        <v>1</v>
      </c>
      <c r="BB618" s="1">
        <f>MIN(30,R618+5)</f>
        <v>5</v>
      </c>
      <c r="BC618" s="1">
        <f t="shared" si="861"/>
        <v>0</v>
      </c>
      <c r="BD618" s="1">
        <f t="shared" si="842"/>
        <v>0</v>
      </c>
      <c r="BE618" s="1">
        <f>0</f>
        <v>0</v>
      </c>
      <c r="BF618" s="1">
        <f t="shared" si="865"/>
        <v>0</v>
      </c>
      <c r="BG618" s="1">
        <f t="shared" si="852"/>
        <v>0</v>
      </c>
      <c r="BH618" s="1">
        <f>MAX(X618,1)</f>
        <v>1</v>
      </c>
      <c r="BI618" s="1">
        <f t="shared" si="853"/>
        <v>0</v>
      </c>
      <c r="BJ618" s="1">
        <f t="shared" si="856"/>
        <v>0</v>
      </c>
      <c r="BK618" s="1">
        <f t="shared" si="857"/>
        <v>0</v>
      </c>
      <c r="BL618" s="1">
        <f t="shared" si="862"/>
        <v>0</v>
      </c>
      <c r="BM618" s="1">
        <f t="shared" si="860"/>
        <v>0</v>
      </c>
      <c r="BN618" s="1">
        <f>0</f>
        <v>0</v>
      </c>
      <c r="BO618" s="1">
        <f>MAX(BN618,1)</f>
        <v>1</v>
      </c>
    </row>
    <row r="619" spans="1:67" ht="30.95" customHeight="1">
      <c r="A619" s="1">
        <f>17</f>
        <v>17</v>
      </c>
      <c r="B619" s="1">
        <f>固定流程!A7</f>
        <v>2</v>
      </c>
      <c r="C619" s="1">
        <f>20</f>
        <v>20</v>
      </c>
      <c r="D619" s="1">
        <f>1</f>
        <v>1</v>
      </c>
      <c r="E619" s="1">
        <f>固定流程!C7</f>
        <v>1</v>
      </c>
      <c r="F619" s="1">
        <f>固定流程!G7</f>
        <v>3</v>
      </c>
      <c r="G619" s="1" t="str">
        <f>固定流程!H7</f>
        <v>RHI_BUFF</v>
      </c>
      <c r="H619" s="1">
        <f>固定流程!F7</f>
        <v>1</v>
      </c>
      <c r="I619" s="1">
        <f>INDEX(配置与结果!$B$15:$B$18,F619)</f>
        <v>2597</v>
      </c>
      <c r="J619" s="1">
        <f>INDEX(配置与结果!$D$15:$D$18,F619)</f>
        <v>0.255</v>
      </c>
      <c r="K619" s="1">
        <f>INDEX(配置与结果!$E$15:$E$18,F619)</f>
        <v>1.55</v>
      </c>
      <c r="L619" s="1">
        <f t="shared" ref="L619:O624" si="866">AV618</f>
        <v>0</v>
      </c>
      <c r="M619" s="1">
        <f t="shared" si="866"/>
        <v>0</v>
      </c>
      <c r="N619" s="1">
        <f t="shared" si="866"/>
        <v>0</v>
      </c>
      <c r="O619" s="1">
        <f t="shared" si="866"/>
        <v>0</v>
      </c>
      <c r="P619" s="1">
        <f>MIN(方案参数!$AI$20,AZ618+0+方案参数!$AK$20)</f>
        <v>4</v>
      </c>
      <c r="Q619" s="1">
        <f t="shared" ref="Q619:Q653" si="867">BA618</f>
        <v>1</v>
      </c>
      <c r="R619" s="1">
        <f t="shared" ref="R619:R653" si="868">BB618</f>
        <v>5</v>
      </c>
      <c r="S619" s="1">
        <f t="shared" ref="S619:S653" si="869">BC618</f>
        <v>0</v>
      </c>
      <c r="T619" s="1">
        <f t="shared" ref="T619:T632" si="870">BD618+0</f>
        <v>0</v>
      </c>
      <c r="U619" s="1">
        <f t="shared" ref="U619:U653" si="871">BE618</f>
        <v>0</v>
      </c>
      <c r="V619" s="1">
        <f t="shared" ref="V619:V653" si="872">BF618</f>
        <v>0</v>
      </c>
      <c r="W619" s="1">
        <f t="shared" ref="W619:W653" si="873">BG618</f>
        <v>0</v>
      </c>
      <c r="X619" s="1">
        <f t="shared" ref="X619:X653" si="874">BH618</f>
        <v>1</v>
      </c>
      <c r="Y619" s="1">
        <f t="shared" ref="Y619:Y653" si="875">BI618</f>
        <v>0</v>
      </c>
      <c r="Z619" s="1">
        <f t="shared" ref="Z619:Z653" si="876">BJ618</f>
        <v>0</v>
      </c>
      <c r="AA619" s="1">
        <f t="shared" ref="AA619:AA624" si="877">MAX(BK618,0)</f>
        <v>0</v>
      </c>
      <c r="AB619" s="1">
        <f t="shared" ref="AB619:AB653" si="878">BL618</f>
        <v>0</v>
      </c>
      <c r="AC619" s="1">
        <f t="shared" ref="AC619:AC632" si="879">MAX(BM618,0)</f>
        <v>0</v>
      </c>
      <c r="AD619" s="1">
        <f>ROUNDDOWN(I619*(1+IF(F619=3,0.05+方案参数!$Y$20+AA619*0.12,IF(F619=4,方案参数!$BZ$20*方案参数!$AS$20,0)))+IF(AND(X619=1,F619&lt;&gt;3),方案参数!$CC$20,0)+AC619*方案参数!$CB$20,0)</f>
        <v>2986</v>
      </c>
      <c r="AE619" s="1">
        <f>IF(OR(F619=1,F619=4),配置与结果!$B$24,配置与结果!$B$25)*MAX(0,1-INDEX(配置与结果!$I$15:$I$18,F619))</f>
        <v>1000</v>
      </c>
      <c r="AF619" s="1">
        <f>0</f>
        <v>0</v>
      </c>
      <c r="AG619" s="1">
        <f>MAX(配置与结果!$B$32,1+INDEX(配置与结果!$F$15:$F$18,F619)+0+Q619*方案参数!$W$20+Y619*(方案参数!$AN$20+MIN(方案参数!$AO$20,P619*0.03))+AB619*方案参数!$BZ$20*0.025-配置与结果!$B$28)</f>
        <v>0.65499999999999992</v>
      </c>
      <c r="AH619" s="1">
        <f>MAX(0,1+INDEX(配置与结果!$G$15:$G$18,F619)+W619*方案参数!$AG$20)</f>
        <v>1</v>
      </c>
      <c r="AI619" s="1">
        <f>IF(OR(INDEX(配置与结果!$K$15:$K$18,F619)=1,G619="RHI_BERRY"),1+配置与结果!$B$33+P619*方案参数!$AH$20,1)</f>
        <v>1</v>
      </c>
      <c r="AJ619" s="1">
        <f>MIN(1,MAX(0,J619+方案参数!$AB$20-配置与结果!$B$27))</f>
        <v>0.55499999999999994</v>
      </c>
      <c r="AK619" s="1">
        <f>MAX(1,K619+IF(F619=2,0.15+方案参数!$CH$20,0)+BN619*方案参数!$X$20+R619*方案参数!$AA$20+0-配置与结果!$B$26+Z619*(方案参数!$AP$20+MIN(方案参数!$AQ$20,P619*0.03)))</f>
        <v>1.33</v>
      </c>
      <c r="AL619" s="7">
        <f>ROUNDDOWN(MAX(AD619*配置与结果!$B$31,AD619-AE619)*AF619*AG619*AH619*AI619,0)</f>
        <v>0</v>
      </c>
      <c r="AM619" s="7">
        <f>ROUNDDOWN(MAX(AD619*配置与结果!$B$31,AD619-AE619)*AF619*AG619*AH619*AI619*AK619,0)</f>
        <v>0</v>
      </c>
      <c r="AN619" s="7">
        <f t="shared" si="812"/>
        <v>0</v>
      </c>
      <c r="AO619" s="7">
        <f>0</f>
        <v>0</v>
      </c>
      <c r="AP619" s="7">
        <f>MAX(0,1+INDEX(配置与结果!$J$15:$J$18,F619)+IF(T619&gt;0,方案参数!$BY$20,0)-配置与结果!$B$30)</f>
        <v>1</v>
      </c>
      <c r="AQ619" s="7">
        <f t="shared" si="813"/>
        <v>0</v>
      </c>
      <c r="AR619" s="7">
        <f t="shared" si="814"/>
        <v>0</v>
      </c>
      <c r="AS619" s="7">
        <f t="shared" si="815"/>
        <v>0</v>
      </c>
      <c r="AT619" s="7">
        <f>0</f>
        <v>0</v>
      </c>
      <c r="AU619" s="7">
        <f t="shared" si="816"/>
        <v>0</v>
      </c>
      <c r="AV619" s="1">
        <f t="shared" si="817"/>
        <v>0</v>
      </c>
      <c r="AW619" s="1">
        <f t="shared" si="864"/>
        <v>0</v>
      </c>
      <c r="AX619" s="1">
        <f t="shared" si="818"/>
        <v>0</v>
      </c>
      <c r="AY619" s="1">
        <f>MIN(20,MAX(0,O619+0+0-0))</f>
        <v>0</v>
      </c>
      <c r="AZ619" s="1">
        <f t="shared" si="819"/>
        <v>4</v>
      </c>
      <c r="BA619" s="1">
        <f>MIN(6,Q619+1)</f>
        <v>2</v>
      </c>
      <c r="BB619" s="1">
        <f t="shared" ref="BB619:BB632" si="880">MIN(30,R619+0)</f>
        <v>5</v>
      </c>
      <c r="BC619" s="1">
        <f t="shared" si="861"/>
        <v>0</v>
      </c>
      <c r="BD619" s="1">
        <f t="shared" si="842"/>
        <v>0</v>
      </c>
      <c r="BE619" s="1">
        <f t="shared" ref="BE619:BE640" si="881">BE618</f>
        <v>0</v>
      </c>
      <c r="BF619" s="1">
        <f t="shared" si="865"/>
        <v>0</v>
      </c>
      <c r="BG619" s="1">
        <f>MAX(W619,1)</f>
        <v>1</v>
      </c>
      <c r="BH619" s="1">
        <f t="shared" ref="BH619:BH653" si="882">MAX(X619,0)</f>
        <v>1</v>
      </c>
      <c r="BI619" s="1">
        <f>MAX(Y619,1)</f>
        <v>1</v>
      </c>
      <c r="BJ619" s="1">
        <f t="shared" si="856"/>
        <v>0</v>
      </c>
      <c r="BK619" s="1">
        <f t="shared" si="857"/>
        <v>0</v>
      </c>
      <c r="BL619" s="1">
        <f t="shared" si="862"/>
        <v>0</v>
      </c>
      <c r="BM619" s="1">
        <f t="shared" si="860"/>
        <v>0</v>
      </c>
      <c r="BN619" s="1">
        <f t="shared" ref="BN619:BN653" si="883">BO618</f>
        <v>1</v>
      </c>
      <c r="BO619" s="1">
        <f t="shared" ref="BO619:BO653" si="884">MAX(BN619,0)</f>
        <v>1</v>
      </c>
    </row>
    <row r="620" spans="1:67" ht="30.95" customHeight="1">
      <c r="A620" s="1">
        <f>17</f>
        <v>17</v>
      </c>
      <c r="B620" s="1">
        <f>固定流程!A8</f>
        <v>3</v>
      </c>
      <c r="C620" s="1">
        <f>20</f>
        <v>20</v>
      </c>
      <c r="D620" s="1">
        <f>1</f>
        <v>1</v>
      </c>
      <c r="E620" s="1">
        <f>固定流程!C8</f>
        <v>1</v>
      </c>
      <c r="F620" s="1">
        <f>固定流程!G8</f>
        <v>1</v>
      </c>
      <c r="G620" s="1" t="str">
        <f>固定流程!H8</f>
        <v>LILYA_COBRA</v>
      </c>
      <c r="H620" s="1">
        <f>固定流程!F8</f>
        <v>1</v>
      </c>
      <c r="I620" s="1">
        <f>INDEX(配置与结果!$B$15:$B$18,F620)</f>
        <v>2296</v>
      </c>
      <c r="J620" s="1">
        <f>INDEX(配置与结果!$D$15:$D$18,F620)</f>
        <v>0.7</v>
      </c>
      <c r="K620" s="1">
        <f>INDEX(配置与结果!$E$15:$E$18,F620)</f>
        <v>2.0249999999999999</v>
      </c>
      <c r="L620" s="1">
        <f t="shared" si="866"/>
        <v>0</v>
      </c>
      <c r="M620" s="1">
        <f t="shared" si="866"/>
        <v>0</v>
      </c>
      <c r="N620" s="1">
        <f t="shared" si="866"/>
        <v>0</v>
      </c>
      <c r="O620" s="1">
        <f t="shared" si="866"/>
        <v>0</v>
      </c>
      <c r="P620" s="1">
        <f>MIN(方案参数!$AI$20,AZ619+0+0)</f>
        <v>4</v>
      </c>
      <c r="Q620" s="1">
        <f t="shared" si="867"/>
        <v>2</v>
      </c>
      <c r="R620" s="1">
        <f t="shared" si="868"/>
        <v>5</v>
      </c>
      <c r="S620" s="1">
        <f t="shared" si="869"/>
        <v>0</v>
      </c>
      <c r="T620" s="1">
        <f t="shared" si="870"/>
        <v>0</v>
      </c>
      <c r="U620" s="1">
        <f t="shared" si="871"/>
        <v>0</v>
      </c>
      <c r="V620" s="1">
        <f t="shared" si="872"/>
        <v>0</v>
      </c>
      <c r="W620" s="1">
        <f t="shared" si="873"/>
        <v>1</v>
      </c>
      <c r="X620" s="1">
        <f t="shared" si="874"/>
        <v>1</v>
      </c>
      <c r="Y620" s="1">
        <f t="shared" si="875"/>
        <v>1</v>
      </c>
      <c r="Z620" s="1">
        <f t="shared" si="876"/>
        <v>0</v>
      </c>
      <c r="AA620" s="1">
        <f t="shared" si="877"/>
        <v>0</v>
      </c>
      <c r="AB620" s="1">
        <f t="shared" si="878"/>
        <v>0</v>
      </c>
      <c r="AC620" s="1">
        <f t="shared" si="879"/>
        <v>0</v>
      </c>
      <c r="AD620" s="1">
        <f>ROUNDDOWN(I620*(1+IF(F620=3,0.05+方案参数!$Y$20+AA620*0.12,IF(F620=4,方案参数!$BZ$20*方案参数!$AS$20,0)))+IF(AND(X620=1,F620&lt;&gt;3),方案参数!$CC$20,0)+AC620*方案参数!$CB$20,0)</f>
        <v>2534</v>
      </c>
      <c r="AE620" s="1">
        <f>IF(OR(F620=1,F620=4),配置与结果!$B$24,配置与结果!$B$25)*MAX(0,1-INDEX(配置与结果!$I$15:$I$18,F620))</f>
        <v>1200</v>
      </c>
      <c r="AF620" s="1">
        <f>0</f>
        <v>0</v>
      </c>
      <c r="AG620" s="1">
        <f>MAX(配置与结果!$B$32,1+INDEX(配置与结果!$F$15:$F$18,F620)+0.08+方案参数!$CD$20+Q620*方案参数!$W$20+Y620*(方案参数!$AN$20+MIN(方案参数!$AO$20,P620*0.03))+AB620*方案参数!$BZ$20*0.025-配置与结果!$B$28)</f>
        <v>1.3000000000000003</v>
      </c>
      <c r="AH620" s="1">
        <f>MAX(0,1+INDEX(配置与结果!$G$15:$G$18,F620)+W620*方案参数!$AG$20)</f>
        <v>1.45</v>
      </c>
      <c r="AI620" s="1">
        <f>IF(OR(INDEX(配置与结果!$K$15:$K$18,F620)=1,G620="RHI_BERRY"),1+配置与结果!$B$33+P620*方案参数!$AH$20,1)</f>
        <v>1</v>
      </c>
      <c r="AJ620" s="1">
        <f>MIN(1,MAX(0,J620+方案参数!$AB$20-配置与结果!$B$27))</f>
        <v>1</v>
      </c>
      <c r="AK620" s="1">
        <f>MAX(1,K620+IF(F620=2,0.15+方案参数!$CH$20,0)+BN620*方案参数!$X$20+R620*方案参数!$AA$20+0-配置与结果!$B$26+Z620*(方案参数!$AP$20+MIN(方案参数!$AQ$20,P620*0.03)))</f>
        <v>1.8050000000000002</v>
      </c>
      <c r="AL620" s="7">
        <f>ROUNDDOWN(MAX(AD620*配置与结果!$B$31,AD620-AE620)*AF620*AG620*AH620*AI620,0)</f>
        <v>0</v>
      </c>
      <c r="AM620" s="7">
        <f>ROUNDDOWN(MAX(AD620*配置与结果!$B$31,AD620-AE620)*AF620*AG620*AH620*AI620*AK620,0)</f>
        <v>0</v>
      </c>
      <c r="AN620" s="7">
        <f t="shared" si="812"/>
        <v>0</v>
      </c>
      <c r="AO620" s="7">
        <f>0</f>
        <v>0</v>
      </c>
      <c r="AP620" s="7">
        <f>MAX(0,1+INDEX(配置与结果!$J$15:$J$18,F620)+IF(T620&gt;0,方案参数!$BY$20,0)-配置与结果!$B$30)</f>
        <v>1</v>
      </c>
      <c r="AQ620" s="7">
        <f t="shared" si="813"/>
        <v>0</v>
      </c>
      <c r="AR620" s="7">
        <f t="shared" si="814"/>
        <v>0</v>
      </c>
      <c r="AS620" s="7">
        <f t="shared" si="815"/>
        <v>0</v>
      </c>
      <c r="AT620" s="7">
        <f>0</f>
        <v>0</v>
      </c>
      <c r="AU620" s="7">
        <f t="shared" si="816"/>
        <v>0</v>
      </c>
      <c r="AV620" s="1">
        <f t="shared" si="817"/>
        <v>1</v>
      </c>
      <c r="AW620" s="1">
        <f>MIN(10,M620+方案参数!$BD$20+0)</f>
        <v>3</v>
      </c>
      <c r="AX620" s="1">
        <f t="shared" si="818"/>
        <v>0</v>
      </c>
      <c r="AY620" s="1">
        <f>MIN(20,MAX(0,O620+6+0-0))</f>
        <v>6</v>
      </c>
      <c r="AZ620" s="1">
        <f t="shared" si="819"/>
        <v>4</v>
      </c>
      <c r="BA620" s="1">
        <f>MIN(6,Q620+0)</f>
        <v>2</v>
      </c>
      <c r="BB620" s="1">
        <f t="shared" si="880"/>
        <v>5</v>
      </c>
      <c r="BC620" s="1">
        <f t="shared" si="861"/>
        <v>0</v>
      </c>
      <c r="BD620" s="1">
        <f t="shared" si="842"/>
        <v>0</v>
      </c>
      <c r="BE620" s="1">
        <f t="shared" si="881"/>
        <v>0</v>
      </c>
      <c r="BF620" s="1">
        <f t="shared" si="865"/>
        <v>0</v>
      </c>
      <c r="BG620" s="1">
        <f t="shared" ref="BG620:BG630" si="885">MAX(W620,0)</f>
        <v>1</v>
      </c>
      <c r="BH620" s="1">
        <f t="shared" si="882"/>
        <v>1</v>
      </c>
      <c r="BI620" s="1">
        <f t="shared" ref="BI620:BI630" si="886">MAX(Y620,0)</f>
        <v>1</v>
      </c>
      <c r="BJ620" s="1">
        <f t="shared" si="856"/>
        <v>0</v>
      </c>
      <c r="BK620" s="1">
        <f t="shared" si="857"/>
        <v>0</v>
      </c>
      <c r="BL620" s="1">
        <f t="shared" si="862"/>
        <v>0</v>
      </c>
      <c r="BM620" s="1">
        <f t="shared" si="860"/>
        <v>0</v>
      </c>
      <c r="BN620" s="1">
        <f t="shared" si="883"/>
        <v>1</v>
      </c>
      <c r="BO620" s="1">
        <f t="shared" si="884"/>
        <v>1</v>
      </c>
    </row>
    <row r="621" spans="1:67" ht="30.95" customHeight="1">
      <c r="A621" s="1">
        <f>17</f>
        <v>17</v>
      </c>
      <c r="B621" s="1">
        <f>固定流程!A9</f>
        <v>4</v>
      </c>
      <c r="C621" s="1">
        <f>20</f>
        <v>20</v>
      </c>
      <c r="D621" s="1">
        <f>1</f>
        <v>1</v>
      </c>
      <c r="E621" s="1">
        <f>固定流程!C9</f>
        <v>1</v>
      </c>
      <c r="F621" s="1">
        <f>固定流程!G9</f>
        <v>1</v>
      </c>
      <c r="G621" s="1" t="str">
        <f>固定流程!H9</f>
        <v>LILYA_DIVE</v>
      </c>
      <c r="H621" s="1">
        <f>固定流程!F9</f>
        <v>1</v>
      </c>
      <c r="I621" s="1">
        <f>INDEX(配置与结果!$B$15:$B$18,F621)</f>
        <v>2296</v>
      </c>
      <c r="J621" s="1">
        <f>INDEX(配置与结果!$D$15:$D$18,F621)</f>
        <v>0.7</v>
      </c>
      <c r="K621" s="1">
        <f>INDEX(配置与结果!$E$15:$E$18,F621)</f>
        <v>2.0249999999999999</v>
      </c>
      <c r="L621" s="1">
        <f t="shared" si="866"/>
        <v>1</v>
      </c>
      <c r="M621" s="1">
        <f t="shared" si="866"/>
        <v>3</v>
      </c>
      <c r="N621" s="1">
        <f t="shared" si="866"/>
        <v>0</v>
      </c>
      <c r="O621" s="1">
        <f t="shared" si="866"/>
        <v>6</v>
      </c>
      <c r="P621" s="1">
        <f>MIN(方案参数!$AI$20,AZ620+0+0)</f>
        <v>4</v>
      </c>
      <c r="Q621" s="1">
        <f t="shared" si="867"/>
        <v>2</v>
      </c>
      <c r="R621" s="1">
        <f t="shared" si="868"/>
        <v>5</v>
      </c>
      <c r="S621" s="1">
        <f t="shared" si="869"/>
        <v>0</v>
      </c>
      <c r="T621" s="1">
        <f t="shared" si="870"/>
        <v>0</v>
      </c>
      <c r="U621" s="1">
        <f t="shared" si="871"/>
        <v>0</v>
      </c>
      <c r="V621" s="1">
        <f t="shared" si="872"/>
        <v>0</v>
      </c>
      <c r="W621" s="1">
        <f t="shared" si="873"/>
        <v>1</v>
      </c>
      <c r="X621" s="1">
        <f t="shared" si="874"/>
        <v>1</v>
      </c>
      <c r="Y621" s="1">
        <f t="shared" si="875"/>
        <v>1</v>
      </c>
      <c r="Z621" s="1">
        <f t="shared" si="876"/>
        <v>0</v>
      </c>
      <c r="AA621" s="1">
        <f t="shared" si="877"/>
        <v>0</v>
      </c>
      <c r="AB621" s="1">
        <f t="shared" si="878"/>
        <v>0</v>
      </c>
      <c r="AC621" s="1">
        <f t="shared" si="879"/>
        <v>0</v>
      </c>
      <c r="AD621" s="1">
        <f>ROUNDDOWN(I621*(1+IF(F621=3,0.05+方案参数!$Y$20+AA621*0.12,IF(F621=4,方案参数!$BZ$20*方案参数!$AS$20,0)))+IF(AND(X621=1,F621&lt;&gt;3),方案参数!$CC$20,0)+AC621*方案参数!$CB$20,0)</f>
        <v>2534</v>
      </c>
      <c r="AE621" s="1">
        <f>IF(OR(F621=1,F621=4),配置与结果!$B$24,配置与结果!$B$25)*MAX(0,1-INDEX(配置与结果!$I$15:$I$18,F621))</f>
        <v>1200</v>
      </c>
      <c r="AF621" s="1">
        <f>(IF(L621=1,方案参数!$AW$20,IF(L621=2,方案参数!$AX$20,0))+方案参数!$AV$20)*H621</f>
        <v>6</v>
      </c>
      <c r="AG621" s="1">
        <f>MAX(配置与结果!$B$32,1+INDEX(配置与结果!$F$15:$F$18,F621)+0.08+方案参数!$CD$20+Q621*方案参数!$W$20+Y621*(方案参数!$AN$20+MIN(方案参数!$AO$20,P621*0.03))+AB621*方案参数!$BZ$20*0.025+IF(L621=1,方案参数!$AY$20+(H621-1)*0.1,IF(L621=2,方案参数!$AZ$20+(H621-1)*0.2,0))-配置与结果!$B$28)</f>
        <v>1.4000000000000004</v>
      </c>
      <c r="AH621" s="1">
        <f>MAX(0,1+INDEX(配置与结果!$G$15:$G$18,F621)+W621*方案参数!$AG$20+IF(L621=1,方案参数!$BA$20,IF(L621=2,方案参数!$BB$20,0))+M621*方案参数!$BC$20)</f>
        <v>2.23</v>
      </c>
      <c r="AI621" s="1">
        <f>IF(OR(INDEX(配置与结果!$K$15:$K$18,F621)=1,G621="RHI_BERRY"),1+配置与结果!$B$33+P621*方案参数!$AH$20,1)</f>
        <v>1</v>
      </c>
      <c r="AJ621" s="1">
        <f>MIN(1,MAX(0,J621+方案参数!$AB$20-配置与结果!$B$27))</f>
        <v>1</v>
      </c>
      <c r="AK621" s="1">
        <f>MAX(1,K621+IF(F621=2,0.15+方案参数!$CH$20,0)+BN621*方案参数!$X$20+R621*方案参数!$AA$20+0-配置与结果!$B$26+Z621*(方案参数!$AP$20+MIN(方案参数!$AQ$20,P621*0.03)))</f>
        <v>1.8050000000000002</v>
      </c>
      <c r="AL621" s="7">
        <f>ROUNDDOWN(MAX(AD621*配置与结果!$B$31,AD621-AE621)*AF621*AG621*AH621*AI621,0)</f>
        <v>24988</v>
      </c>
      <c r="AM621" s="7">
        <f>ROUNDDOWN(MAX(AD621*配置与结果!$B$31,AD621-AE621)*AF621*AG621*AH621*AI621*AK621,0)</f>
        <v>45104</v>
      </c>
      <c r="AN621" s="7">
        <f t="shared" si="812"/>
        <v>45104</v>
      </c>
      <c r="AO621" s="7">
        <f>0</f>
        <v>0</v>
      </c>
      <c r="AP621" s="7">
        <f>MAX(0,1+INDEX(配置与结果!$J$15:$J$18,F621)+IF(T621&gt;0,方案参数!$BY$20,0)-配置与结果!$B$30)</f>
        <v>1</v>
      </c>
      <c r="AQ621" s="7">
        <f t="shared" si="813"/>
        <v>0</v>
      </c>
      <c r="AR621" s="7">
        <f t="shared" si="814"/>
        <v>0</v>
      </c>
      <c r="AS621" s="7">
        <f t="shared" si="815"/>
        <v>0</v>
      </c>
      <c r="AT621" s="7">
        <f>0</f>
        <v>0</v>
      </c>
      <c r="AU621" s="7">
        <f t="shared" si="816"/>
        <v>45104</v>
      </c>
      <c r="AV621" s="1">
        <f t="shared" si="817"/>
        <v>1</v>
      </c>
      <c r="AW621" s="1">
        <f>MIN(10,M621+0+IF(L621=1,方案参数!$BE$20,0))</f>
        <v>4</v>
      </c>
      <c r="AX621" s="1">
        <f t="shared" si="818"/>
        <v>0</v>
      </c>
      <c r="AY621" s="1">
        <f t="shared" ref="AY621:AY636" si="887">MIN(20,MAX(0,O621+0+0-0))</f>
        <v>6</v>
      </c>
      <c r="AZ621" s="1">
        <f t="shared" si="819"/>
        <v>4</v>
      </c>
      <c r="BA621" s="1">
        <f>MIN(6,Q621+0)</f>
        <v>2</v>
      </c>
      <c r="BB621" s="1">
        <f t="shared" si="880"/>
        <v>5</v>
      </c>
      <c r="BC621" s="1">
        <f t="shared" si="861"/>
        <v>0</v>
      </c>
      <c r="BD621" s="1">
        <f t="shared" si="842"/>
        <v>0</v>
      </c>
      <c r="BE621" s="1">
        <f t="shared" si="881"/>
        <v>0</v>
      </c>
      <c r="BF621" s="1">
        <f t="shared" si="865"/>
        <v>0</v>
      </c>
      <c r="BG621" s="1">
        <f t="shared" si="885"/>
        <v>1</v>
      </c>
      <c r="BH621" s="1">
        <f t="shared" si="882"/>
        <v>1</v>
      </c>
      <c r="BI621" s="1">
        <f t="shared" si="886"/>
        <v>1</v>
      </c>
      <c r="BJ621" s="1">
        <f t="shared" si="856"/>
        <v>0</v>
      </c>
      <c r="BK621" s="1">
        <f t="shared" si="857"/>
        <v>0</v>
      </c>
      <c r="BL621" s="1">
        <f t="shared" si="862"/>
        <v>0</v>
      </c>
      <c r="BM621" s="1">
        <f t="shared" si="860"/>
        <v>0</v>
      </c>
      <c r="BN621" s="1">
        <f t="shared" si="883"/>
        <v>1</v>
      </c>
      <c r="BO621" s="1">
        <f t="shared" si="884"/>
        <v>1</v>
      </c>
    </row>
    <row r="622" spans="1:67" ht="30.95" customHeight="1">
      <c r="A622" s="1">
        <f>17</f>
        <v>17</v>
      </c>
      <c r="B622" s="1">
        <f>固定流程!A10</f>
        <v>5</v>
      </c>
      <c r="C622" s="1">
        <f>20</f>
        <v>20</v>
      </c>
      <c r="D622" s="1">
        <f>1</f>
        <v>1</v>
      </c>
      <c r="E622" s="1">
        <f>固定流程!C10</f>
        <v>1</v>
      </c>
      <c r="F622" s="1">
        <f>固定流程!G10</f>
        <v>2</v>
      </c>
      <c r="G622" s="1" t="str">
        <f>固定流程!H10</f>
        <v>37_TRIANGLE</v>
      </c>
      <c r="H622" s="1">
        <f>固定流程!F10</f>
        <v>1</v>
      </c>
      <c r="I622" s="1">
        <f>INDEX(配置与结果!$B$15:$B$18,F622)</f>
        <v>2306</v>
      </c>
      <c r="J622" s="1">
        <f>INDEX(配置与结果!$D$15:$D$18,F622)</f>
        <v>0.46</v>
      </c>
      <c r="K622" s="1">
        <f>INDEX(配置与结果!$E$15:$E$18,F622)</f>
        <v>1.9279999999999999</v>
      </c>
      <c r="L622" s="1">
        <f t="shared" si="866"/>
        <v>1</v>
      </c>
      <c r="M622" s="1">
        <f t="shared" si="866"/>
        <v>4</v>
      </c>
      <c r="N622" s="1">
        <f t="shared" si="866"/>
        <v>0</v>
      </c>
      <c r="O622" s="1">
        <f t="shared" si="866"/>
        <v>6</v>
      </c>
      <c r="P622" s="1">
        <f>MIN(方案参数!$AI$20,AZ621+0+0)</f>
        <v>4</v>
      </c>
      <c r="Q622" s="1">
        <f t="shared" si="867"/>
        <v>2</v>
      </c>
      <c r="R622" s="1">
        <f t="shared" si="868"/>
        <v>5</v>
      </c>
      <c r="S622" s="1">
        <f t="shared" si="869"/>
        <v>0</v>
      </c>
      <c r="T622" s="1">
        <f t="shared" si="870"/>
        <v>0</v>
      </c>
      <c r="U622" s="1">
        <f t="shared" si="871"/>
        <v>0</v>
      </c>
      <c r="V622" s="1">
        <f t="shared" si="872"/>
        <v>0</v>
      </c>
      <c r="W622" s="1">
        <f t="shared" si="873"/>
        <v>1</v>
      </c>
      <c r="X622" s="1">
        <f t="shared" si="874"/>
        <v>1</v>
      </c>
      <c r="Y622" s="1">
        <f t="shared" si="875"/>
        <v>1</v>
      </c>
      <c r="Z622" s="1">
        <f t="shared" si="876"/>
        <v>0</v>
      </c>
      <c r="AA622" s="1">
        <f t="shared" si="877"/>
        <v>0</v>
      </c>
      <c r="AB622" s="1">
        <f t="shared" si="878"/>
        <v>0</v>
      </c>
      <c r="AC622" s="1">
        <f t="shared" si="879"/>
        <v>0</v>
      </c>
      <c r="AD622" s="1">
        <f>ROUNDDOWN(I622*(1+IF(F622=3,0.05+方案参数!$Y$20+AA622*0.12,IF(F622=4,方案参数!$BZ$20*方案参数!$AS$20,0)))+IF(AND(X622=1,F622&lt;&gt;3),方案参数!$CC$20,0)+AC622*方案参数!$CB$20,0)</f>
        <v>2544</v>
      </c>
      <c r="AE622" s="1">
        <f>IF(OR(F622=1,F622=4),配置与结果!$B$24,配置与结果!$B$25)*MAX(0,1-INDEX(配置与结果!$I$15:$I$18,F622))</f>
        <v>1000</v>
      </c>
      <c r="AF622" s="1">
        <f>方案参数!$BS$20*IF(H622=1,1,IF(H622=2,1.5,2.5))</f>
        <v>2.8</v>
      </c>
      <c r="AG622" s="1">
        <f>MAX(配置与结果!$B$32,1+INDEX(配置与结果!$F$15:$F$18,F622)+0+Q622*方案参数!$W$20+Y622*(方案参数!$AN$20+MIN(方案参数!$AO$20,P622*0.03))+AB622*方案参数!$BZ$20*0.025-配置与结果!$B$28)</f>
        <v>0.96499999999999997</v>
      </c>
      <c r="AH622" s="1">
        <f>MAX(0,1+INDEX(配置与结果!$G$15:$G$18,F622)+W622*方案参数!$AG$20)</f>
        <v>1.45</v>
      </c>
      <c r="AI622" s="1">
        <f>IF(OR(INDEX(配置与结果!$K$15:$K$18,F622)=1,G622="RHI_BERRY"),1+配置与结果!$B$33+P622*方案参数!$AH$20,1)</f>
        <v>1</v>
      </c>
      <c r="AJ622" s="1">
        <f>MIN(1,MAX(0,J622+方案参数!$AB$20-配置与结果!$B$27))</f>
        <v>0.76</v>
      </c>
      <c r="AK622" s="1">
        <f>MAX(1,K622+IF(F622=2,0.15+方案参数!$CH$20,0)+BN622*方案参数!$X$20+R622*方案参数!$AA$20+0-配置与结果!$B$26+Z622*(方案参数!$AP$20+MIN(方案参数!$AQ$20,P622*0.03)))</f>
        <v>1.9780000000000002</v>
      </c>
      <c r="AL622" s="7">
        <f>ROUNDDOWN(MAX(AD622*配置与结果!$B$31,AD622-AE622)*AF622*AG622*AH622*AI622,0)</f>
        <v>6049</v>
      </c>
      <c r="AM622" s="7">
        <f>ROUNDDOWN(MAX(AD622*配置与结果!$B$31,AD622-AE622)*AF622*AG622*AH622*AI622*AK622,0)</f>
        <v>11965</v>
      </c>
      <c r="AN622" s="7">
        <f t="shared" si="812"/>
        <v>10545.16</v>
      </c>
      <c r="AO622" s="7">
        <f>方案参数!$BU$20*IF(H622=1,1,IF(H622=2,1.5,2.5))</f>
        <v>0.8</v>
      </c>
      <c r="AP622" s="7">
        <f>MAX(0,1+INDEX(配置与结果!$J$15:$J$18,F622)+IF(T622&gt;0,方案参数!$BY$20,0)-配置与结果!$B$30)</f>
        <v>1</v>
      </c>
      <c r="AQ622" s="7">
        <f t="shared" si="813"/>
        <v>2035</v>
      </c>
      <c r="AR622" s="7">
        <f t="shared" si="814"/>
        <v>4025</v>
      </c>
      <c r="AS622" s="7">
        <f t="shared" si="815"/>
        <v>3547.4</v>
      </c>
      <c r="AT622" s="7">
        <f>0</f>
        <v>0</v>
      </c>
      <c r="AU622" s="7">
        <f t="shared" si="816"/>
        <v>14092.56</v>
      </c>
      <c r="AV622" s="1">
        <f t="shared" si="817"/>
        <v>1</v>
      </c>
      <c r="AW622" s="1">
        <f>MIN(10,M622+0+0)</f>
        <v>4</v>
      </c>
      <c r="AX622" s="1">
        <f t="shared" si="818"/>
        <v>0</v>
      </c>
      <c r="AY622" s="1">
        <f t="shared" si="887"/>
        <v>6</v>
      </c>
      <c r="AZ622" s="1">
        <f t="shared" si="819"/>
        <v>4</v>
      </c>
      <c r="BA622" s="1">
        <f>MIN(6,Q622+0)</f>
        <v>2</v>
      </c>
      <c r="BB622" s="1">
        <f t="shared" si="880"/>
        <v>5</v>
      </c>
      <c r="BC622" s="1">
        <f t="shared" si="861"/>
        <v>0</v>
      </c>
      <c r="BD622" s="1">
        <f>MAX(0,T622-IF(AO622&gt;0,1,0))+1</f>
        <v>1</v>
      </c>
      <c r="BE622" s="1">
        <f t="shared" si="881"/>
        <v>0</v>
      </c>
      <c r="BF622" s="1">
        <f t="shared" si="865"/>
        <v>0</v>
      </c>
      <c r="BG622" s="1">
        <f t="shared" si="885"/>
        <v>1</v>
      </c>
      <c r="BH622" s="1">
        <f t="shared" si="882"/>
        <v>1</v>
      </c>
      <c r="BI622" s="1">
        <f t="shared" si="886"/>
        <v>1</v>
      </c>
      <c r="BJ622" s="1">
        <f t="shared" si="856"/>
        <v>0</v>
      </c>
      <c r="BK622" s="1">
        <f t="shared" si="857"/>
        <v>0</v>
      </c>
      <c r="BL622" s="1">
        <f t="shared" si="862"/>
        <v>0</v>
      </c>
      <c r="BM622" s="1">
        <f t="shared" si="860"/>
        <v>0</v>
      </c>
      <c r="BN622" s="1">
        <f t="shared" si="883"/>
        <v>1</v>
      </c>
      <c r="BO622" s="1">
        <f t="shared" si="884"/>
        <v>1</v>
      </c>
    </row>
    <row r="623" spans="1:67" ht="30.95" customHeight="1">
      <c r="A623" s="1">
        <f>17</f>
        <v>17</v>
      </c>
      <c r="B623" s="1">
        <f>固定流程!A11</f>
        <v>6</v>
      </c>
      <c r="C623" s="1">
        <f>20</f>
        <v>20</v>
      </c>
      <c r="D623" s="1">
        <f>1</f>
        <v>1</v>
      </c>
      <c r="E623" s="1">
        <f>固定流程!C11</f>
        <v>1</v>
      </c>
      <c r="F623" s="1">
        <f>固定流程!G11</f>
        <v>2</v>
      </c>
      <c r="G623" s="1" t="str">
        <f>固定流程!H11</f>
        <v>37_FOLLOW</v>
      </c>
      <c r="H623" s="1">
        <f>固定流程!F11</f>
        <v>1</v>
      </c>
      <c r="I623" s="1">
        <f>INDEX(配置与结果!$B$15:$B$18,F623)</f>
        <v>2306</v>
      </c>
      <c r="J623" s="1">
        <f>INDEX(配置与结果!$D$15:$D$18,F623)</f>
        <v>0.46</v>
      </c>
      <c r="K623" s="1">
        <f>INDEX(配置与结果!$E$15:$E$18,F623)</f>
        <v>1.9279999999999999</v>
      </c>
      <c r="L623" s="1">
        <f t="shared" si="866"/>
        <v>1</v>
      </c>
      <c r="M623" s="1">
        <f t="shared" si="866"/>
        <v>4</v>
      </c>
      <c r="N623" s="1">
        <f t="shared" si="866"/>
        <v>0</v>
      </c>
      <c r="O623" s="1">
        <f t="shared" si="866"/>
        <v>6</v>
      </c>
      <c r="P623" s="1">
        <f>MIN(方案参数!$AI$20,AZ622+0+0)</f>
        <v>4</v>
      </c>
      <c r="Q623" s="1">
        <f t="shared" si="867"/>
        <v>2</v>
      </c>
      <c r="R623" s="1">
        <f t="shared" si="868"/>
        <v>5</v>
      </c>
      <c r="S623" s="1">
        <f t="shared" si="869"/>
        <v>0</v>
      </c>
      <c r="T623" s="1">
        <f t="shared" si="870"/>
        <v>1</v>
      </c>
      <c r="U623" s="1">
        <f t="shared" si="871"/>
        <v>0</v>
      </c>
      <c r="V623" s="1">
        <f t="shared" si="872"/>
        <v>0</v>
      </c>
      <c r="W623" s="1">
        <f t="shared" si="873"/>
        <v>1</v>
      </c>
      <c r="X623" s="1">
        <f t="shared" si="874"/>
        <v>1</v>
      </c>
      <c r="Y623" s="1">
        <f t="shared" si="875"/>
        <v>1</v>
      </c>
      <c r="Z623" s="1">
        <f t="shared" si="876"/>
        <v>0</v>
      </c>
      <c r="AA623" s="1">
        <f t="shared" si="877"/>
        <v>0</v>
      </c>
      <c r="AB623" s="1">
        <f t="shared" si="878"/>
        <v>0</v>
      </c>
      <c r="AC623" s="1">
        <f t="shared" si="879"/>
        <v>0</v>
      </c>
      <c r="AD623" s="1">
        <f>ROUNDDOWN(I623*(1+IF(F623=3,0.05+方案参数!$Y$20+AA623*0.12,IF(F623=4,方案参数!$BZ$20*方案参数!$AS$20,0)))+IF(AND(X623=1,F623&lt;&gt;3),方案参数!$CC$20,0)+AC623*方案参数!$CB$20,0)</f>
        <v>2544</v>
      </c>
      <c r="AE623" s="1">
        <f>IF(OR(F623=1,F623=4),配置与结果!$B$24,配置与结果!$B$25)*MAX(0,1-INDEX(配置与结果!$I$15:$I$18,F623))</f>
        <v>1000</v>
      </c>
      <c r="AF623" s="1">
        <f>方案参数!$BV$20</f>
        <v>3</v>
      </c>
      <c r="AG623" s="1">
        <f>MAX(配置与结果!$B$32,1+INDEX(配置与结果!$F$15:$F$18,F623)+0+Q623*方案参数!$W$20+Y623*(方案参数!$AN$20+MIN(方案参数!$AO$20,P623*0.03))+AB623*方案参数!$BZ$20*0.025-配置与结果!$B$28)</f>
        <v>0.96499999999999997</v>
      </c>
      <c r="AH623" s="1">
        <f>MAX(0,1+INDEX(配置与结果!$G$15:$G$18,F623)+W623*方案参数!$AG$20)</f>
        <v>1.45</v>
      </c>
      <c r="AI623" s="1">
        <f>IF(OR(INDEX(配置与结果!$K$15:$K$18,F623)=1,G623="RHI_BERRY"),1+配置与结果!$B$33+P623*方案参数!$AH$20,1)</f>
        <v>1</v>
      </c>
      <c r="AJ623" s="1">
        <f>MIN(1,MAX(0,J623+方案参数!$AB$20-配置与结果!$B$27))</f>
        <v>0.76</v>
      </c>
      <c r="AK623" s="1">
        <f>MAX(1,K623+IF(F623=2,0.15+方案参数!$CH$20,0)+BN623*方案参数!$X$20+R623*方案参数!$AA$20+0-配置与结果!$B$26+Z623*(方案参数!$AP$20+MIN(方案参数!$AQ$20,P623*0.03)))</f>
        <v>1.9780000000000002</v>
      </c>
      <c r="AL623" s="7">
        <f>ROUNDDOWN(MAX(AD623*配置与结果!$B$31,AD623-AE623)*AF623*AG623*AH623*AI623,0)</f>
        <v>6481</v>
      </c>
      <c r="AM623" s="7">
        <f>ROUNDDOWN(MAX(AD623*配置与结果!$B$31,AD623-AE623)*AF623*AG623*AH623*AI623*AK623,0)</f>
        <v>12820</v>
      </c>
      <c r="AN623" s="7">
        <f t="shared" si="812"/>
        <v>11298.640000000001</v>
      </c>
      <c r="AO623" s="7">
        <f>方案参数!$BW$20</f>
        <v>1</v>
      </c>
      <c r="AP623" s="7">
        <f>MAX(0,1+INDEX(配置与结果!$J$15:$J$18,F623)+IF(T623&gt;0,方案参数!$BY$20,0)-配置与结果!$B$30)</f>
        <v>2</v>
      </c>
      <c r="AQ623" s="7">
        <f t="shared" si="813"/>
        <v>5088</v>
      </c>
      <c r="AR623" s="7">
        <f t="shared" si="814"/>
        <v>10064</v>
      </c>
      <c r="AS623" s="7">
        <f t="shared" si="815"/>
        <v>8869.76</v>
      </c>
      <c r="AT623" s="7">
        <f>0</f>
        <v>0</v>
      </c>
      <c r="AU623" s="7">
        <f t="shared" si="816"/>
        <v>20168.400000000001</v>
      </c>
      <c r="AV623" s="1">
        <f t="shared" si="817"/>
        <v>1</v>
      </c>
      <c r="AW623" s="1">
        <f>MIN(10,M623+0+0)</f>
        <v>4</v>
      </c>
      <c r="AX623" s="1">
        <f t="shared" si="818"/>
        <v>0</v>
      </c>
      <c r="AY623" s="1">
        <f t="shared" si="887"/>
        <v>6</v>
      </c>
      <c r="AZ623" s="1">
        <f t="shared" si="819"/>
        <v>4</v>
      </c>
      <c r="BA623" s="1">
        <f>MIN(6,Q623+0)</f>
        <v>2</v>
      </c>
      <c r="BB623" s="1">
        <f t="shared" si="880"/>
        <v>5</v>
      </c>
      <c r="BC623" s="1">
        <f t="shared" si="861"/>
        <v>0</v>
      </c>
      <c r="BD623" s="1">
        <f t="shared" ref="BD623:BD657" si="888">MAX(0,T623-IF(AO623&gt;0,1,0))+0</f>
        <v>0</v>
      </c>
      <c r="BE623" s="1">
        <f t="shared" si="881"/>
        <v>0</v>
      </c>
      <c r="BF623" s="1">
        <f>MIN(4,V623+1)</f>
        <v>1</v>
      </c>
      <c r="BG623" s="1">
        <f t="shared" si="885"/>
        <v>1</v>
      </c>
      <c r="BH623" s="1">
        <f t="shared" si="882"/>
        <v>1</v>
      </c>
      <c r="BI623" s="1">
        <f t="shared" si="886"/>
        <v>1</v>
      </c>
      <c r="BJ623" s="1">
        <f t="shared" si="856"/>
        <v>0</v>
      </c>
      <c r="BK623" s="1">
        <f t="shared" si="857"/>
        <v>0</v>
      </c>
      <c r="BL623" s="1">
        <f t="shared" si="862"/>
        <v>0</v>
      </c>
      <c r="BM623" s="1">
        <f t="shared" si="860"/>
        <v>0</v>
      </c>
      <c r="BN623" s="1">
        <f t="shared" si="883"/>
        <v>1</v>
      </c>
      <c r="BO623" s="1">
        <f t="shared" si="884"/>
        <v>1</v>
      </c>
    </row>
    <row r="624" spans="1:67" ht="30.95" customHeight="1">
      <c r="A624" s="1">
        <f>17</f>
        <v>17</v>
      </c>
      <c r="B624" s="1">
        <f>固定流程!A12</f>
        <v>7</v>
      </c>
      <c r="C624" s="1">
        <f>20</f>
        <v>20</v>
      </c>
      <c r="D624" s="1">
        <f>1</f>
        <v>1</v>
      </c>
      <c r="E624" s="1">
        <f>固定流程!C12</f>
        <v>1</v>
      </c>
      <c r="F624" s="1">
        <f>固定流程!G12</f>
        <v>4</v>
      </c>
      <c r="G624" s="1" t="str">
        <f>固定流程!H12</f>
        <v>J_HARD</v>
      </c>
      <c r="H624" s="1">
        <f>固定流程!F12</f>
        <v>1</v>
      </c>
      <c r="I624" s="1">
        <f>INDEX(配置与结果!$B$15:$B$18,F624)</f>
        <v>1906</v>
      </c>
      <c r="J624" s="1">
        <f>INDEX(配置与结果!$D$15:$D$18,F624)</f>
        <v>0.36699999999999999</v>
      </c>
      <c r="K624" s="1">
        <f>INDEX(配置与结果!$E$15:$E$18,F624)</f>
        <v>1.7170000000000001</v>
      </c>
      <c r="L624" s="1">
        <f t="shared" si="866"/>
        <v>1</v>
      </c>
      <c r="M624" s="1">
        <f t="shared" si="866"/>
        <v>4</v>
      </c>
      <c r="N624" s="1">
        <f t="shared" si="866"/>
        <v>0</v>
      </c>
      <c r="O624" s="1">
        <f t="shared" si="866"/>
        <v>6</v>
      </c>
      <c r="P624" s="1">
        <f>MIN(方案参数!$AI$20,AZ623+0+0)</f>
        <v>4</v>
      </c>
      <c r="Q624" s="1">
        <f t="shared" si="867"/>
        <v>2</v>
      </c>
      <c r="R624" s="1">
        <f t="shared" si="868"/>
        <v>5</v>
      </c>
      <c r="S624" s="1">
        <f t="shared" si="869"/>
        <v>0</v>
      </c>
      <c r="T624" s="1">
        <f t="shared" si="870"/>
        <v>0</v>
      </c>
      <c r="U624" s="1">
        <f t="shared" si="871"/>
        <v>0</v>
      </c>
      <c r="V624" s="1">
        <f t="shared" si="872"/>
        <v>1</v>
      </c>
      <c r="W624" s="1">
        <f t="shared" si="873"/>
        <v>1</v>
      </c>
      <c r="X624" s="1">
        <f t="shared" si="874"/>
        <v>1</v>
      </c>
      <c r="Y624" s="1">
        <f t="shared" si="875"/>
        <v>1</v>
      </c>
      <c r="Z624" s="1">
        <f t="shared" si="876"/>
        <v>0</v>
      </c>
      <c r="AA624" s="1">
        <f t="shared" si="877"/>
        <v>0</v>
      </c>
      <c r="AB624" s="1">
        <f t="shared" si="878"/>
        <v>0</v>
      </c>
      <c r="AC624" s="1">
        <f t="shared" si="879"/>
        <v>0</v>
      </c>
      <c r="AD624" s="1">
        <f>ROUNDDOWN(I624*(1+IF(F624=3,0.05+方案参数!$Y$20+AA624*0.12,IF(F624=4,方案参数!$BZ$20*方案参数!$AS$20,0)))+IF(AND(X624=1,F624&lt;&gt;3),方案参数!$CC$20,0)+AC624*方案参数!$CB$20,0)</f>
        <v>2811</v>
      </c>
      <c r="AE624" s="1">
        <f>IF(OR(F624=1,F624=4),配置与结果!$B$24,配置与结果!$B$25)*MAX(0,1-INDEX(配置与结果!$I$15:$I$18,F624))</f>
        <v>1200</v>
      </c>
      <c r="AF624" s="1">
        <f>3.6*IF(H624=1,1,IF(H624=2,1.5,2.5))</f>
        <v>3.6</v>
      </c>
      <c r="AG624" s="1">
        <f>MAX(配置与结果!$B$32,1+INDEX(配置与结果!$F$15:$F$18,F624)+0.08+Q624*方案参数!$W$20+Y624*(方案参数!$AN$20+MIN(方案参数!$AO$20,P624*0.03))+AB624*方案参数!$BZ$20*0.025+0.1+IF(方案参数!$BZ$20&gt;=30,方案参数!$BZ$20*0.01,0)-配置与结果!$B$28)</f>
        <v>1.5150000000000001</v>
      </c>
      <c r="AH624" s="1">
        <f>MAX(0,1+INDEX(配置与结果!$G$15:$G$18,F624)+W624*方案参数!$AG$20)</f>
        <v>1.45</v>
      </c>
      <c r="AI624" s="1">
        <f>IF(OR(INDEX(配置与结果!$K$15:$K$18,F624)=1,G624="RHI_BERRY"),1+配置与结果!$B$33+P624*方案参数!$AH$20,1)</f>
        <v>1</v>
      </c>
      <c r="AJ624" s="1">
        <f>MIN(1,MAX(0,J624+方案参数!$AB$20-配置与结果!$B$27))</f>
        <v>0.66700000000000004</v>
      </c>
      <c r="AK624" s="1">
        <f>MAX(1,K624+IF(F624=2,0.15+方案参数!$CH$20,0)+BN624*方案参数!$X$20+R624*方案参数!$AA$20+0-配置与结果!$B$26+Z624*(方案参数!$AP$20+MIN(方案参数!$AQ$20,P624*0.03)))</f>
        <v>1.4969999999999999</v>
      </c>
      <c r="AL624" s="7">
        <f>ROUNDDOWN(MAX(AD624*配置与结果!$B$31,AD624-AE624)*AF624*AG624*AH624*AI624,0)</f>
        <v>12740</v>
      </c>
      <c r="AM624" s="7">
        <f>ROUNDDOWN(MAX(AD624*配置与结果!$B$31,AD624-AE624)*AF624*AG624*AH624*AI624*AK624,0)</f>
        <v>19072</v>
      </c>
      <c r="AN624" s="7">
        <f t="shared" si="812"/>
        <v>16963.444</v>
      </c>
      <c r="AO624" s="7">
        <f>0</f>
        <v>0</v>
      </c>
      <c r="AP624" s="7">
        <f>MAX(0,1+INDEX(配置与结果!$J$15:$J$18,F624)+IF(T624&gt;0,方案参数!$BY$20,0)-配置与结果!$B$30)</f>
        <v>1</v>
      </c>
      <c r="AQ624" s="7">
        <f t="shared" si="813"/>
        <v>0</v>
      </c>
      <c r="AR624" s="7">
        <f t="shared" si="814"/>
        <v>0</v>
      </c>
      <c r="AS624" s="7">
        <f t="shared" si="815"/>
        <v>0</v>
      </c>
      <c r="AT624" s="7">
        <f>0</f>
        <v>0</v>
      </c>
      <c r="AU624" s="7">
        <f t="shared" si="816"/>
        <v>16963.444</v>
      </c>
      <c r="AV624" s="1">
        <f t="shared" si="817"/>
        <v>1</v>
      </c>
      <c r="AW624" s="1">
        <f>MIN(10,M624+0+0)</f>
        <v>4</v>
      </c>
      <c r="AX624" s="1">
        <f t="shared" si="818"/>
        <v>0</v>
      </c>
      <c r="AY624" s="1">
        <f t="shared" si="887"/>
        <v>6</v>
      </c>
      <c r="AZ624" s="1">
        <f t="shared" si="819"/>
        <v>4</v>
      </c>
      <c r="BA624" s="1">
        <f>MIN(6,Q624+0)</f>
        <v>2</v>
      </c>
      <c r="BB624" s="1">
        <f t="shared" si="880"/>
        <v>5</v>
      </c>
      <c r="BC624" s="1">
        <f>MIN(3,S624+1)</f>
        <v>1</v>
      </c>
      <c r="BD624" s="1">
        <f t="shared" si="888"/>
        <v>0</v>
      </c>
      <c r="BE624" s="1">
        <f t="shared" si="881"/>
        <v>0</v>
      </c>
      <c r="BF624" s="1">
        <f>MIN(4,V624+0)</f>
        <v>1</v>
      </c>
      <c r="BG624" s="1">
        <f t="shared" si="885"/>
        <v>1</v>
      </c>
      <c r="BH624" s="1">
        <f t="shared" si="882"/>
        <v>1</v>
      </c>
      <c r="BI624" s="1">
        <f t="shared" si="886"/>
        <v>1</v>
      </c>
      <c r="BJ624" s="1">
        <f t="shared" si="856"/>
        <v>0</v>
      </c>
      <c r="BK624" s="1">
        <f t="shared" si="857"/>
        <v>0</v>
      </c>
      <c r="BL624" s="1">
        <f t="shared" si="862"/>
        <v>0</v>
      </c>
      <c r="BM624" s="1">
        <f t="shared" si="860"/>
        <v>0</v>
      </c>
      <c r="BN624" s="1">
        <f t="shared" si="883"/>
        <v>1</v>
      </c>
      <c r="BO624" s="1">
        <f t="shared" si="884"/>
        <v>1</v>
      </c>
    </row>
    <row r="625" spans="1:67" ht="30.95" customHeight="1">
      <c r="A625" s="1">
        <f>17</f>
        <v>17</v>
      </c>
      <c r="B625" s="1">
        <f>固定流程!A13</f>
        <v>8</v>
      </c>
      <c r="C625" s="1">
        <f>20</f>
        <v>20</v>
      </c>
      <c r="D625" s="1">
        <f>1</f>
        <v>1</v>
      </c>
      <c r="E625" s="1">
        <f>固定流程!C13</f>
        <v>2</v>
      </c>
      <c r="F625" s="1">
        <f>固定流程!G13</f>
        <v>3</v>
      </c>
      <c r="G625" s="1" t="str">
        <f>固定流程!H13</f>
        <v>RHI_ATTACK</v>
      </c>
      <c r="H625" s="1">
        <f>固定流程!F13</f>
        <v>1</v>
      </c>
      <c r="I625" s="1">
        <f>INDEX(配置与结果!$B$15:$B$18,F625)</f>
        <v>2597</v>
      </c>
      <c r="J625" s="1">
        <f>INDEX(配置与结果!$D$15:$D$18,F625)</f>
        <v>0.255</v>
      </c>
      <c r="K625" s="1">
        <f>INDEX(配置与结果!$E$15:$E$18,F625)</f>
        <v>1.55</v>
      </c>
      <c r="L625" s="1">
        <f>IF(AV624=1,IF(M625&gt;=10,2,1),IF(AV624=2,IF(AX624&lt;=1,0,2),0))</f>
        <v>1</v>
      </c>
      <c r="M625" s="1">
        <f>IF(AND(AV624=2,AX624&lt;=1),0,MIN(10,AW624+IF(AV624=1,3,0)))</f>
        <v>7</v>
      </c>
      <c r="N625" s="1">
        <f>IF(AND(AV624=1,M625&gt;=10),2,IF(AV624=2,MAX(0,AX624-1),0))</f>
        <v>0</v>
      </c>
      <c r="O625" s="1">
        <f t="shared" ref="O625:O653" si="889">AY624</f>
        <v>6</v>
      </c>
      <c r="P625" s="1">
        <f>MIN(方案参数!$AI$20,AZ624+方案参数!$AJ$20+方案参数!$AK$20)</f>
        <v>7</v>
      </c>
      <c r="Q625" s="1">
        <f t="shared" si="867"/>
        <v>2</v>
      </c>
      <c r="R625" s="1">
        <f t="shared" si="868"/>
        <v>5</v>
      </c>
      <c r="S625" s="1">
        <f t="shared" si="869"/>
        <v>1</v>
      </c>
      <c r="T625" s="1">
        <f t="shared" si="870"/>
        <v>0</v>
      </c>
      <c r="U625" s="1">
        <f t="shared" si="871"/>
        <v>0</v>
      </c>
      <c r="V625" s="1">
        <f t="shared" si="872"/>
        <v>1</v>
      </c>
      <c r="W625" s="1">
        <f t="shared" si="873"/>
        <v>1</v>
      </c>
      <c r="X625" s="1">
        <f t="shared" si="874"/>
        <v>1</v>
      </c>
      <c r="Y625" s="1">
        <f t="shared" si="875"/>
        <v>1</v>
      </c>
      <c r="Z625" s="1">
        <f t="shared" si="876"/>
        <v>0</v>
      </c>
      <c r="AA625" s="1">
        <f>MAX(BK624,1)</f>
        <v>1</v>
      </c>
      <c r="AB625" s="1">
        <f t="shared" si="878"/>
        <v>0</v>
      </c>
      <c r="AC625" s="1">
        <f t="shared" si="879"/>
        <v>0</v>
      </c>
      <c r="AD625" s="1">
        <f>ROUNDDOWN(I625*(1+IF(F625=3,0.05+方案参数!$Y$20+AA625*0.12,IF(F625=4,方案参数!$BZ$20*方案参数!$AS$20,0)))+IF(AND(X625=1,F625&lt;&gt;3),方案参数!$CC$20,0)+AC625*方案参数!$CB$20,0)</f>
        <v>3298</v>
      </c>
      <c r="AE625" s="1">
        <f>IF(OR(F625=1,F625=4),配置与结果!$B$24,配置与结果!$B$25)*MAX(0,1-INDEX(配置与结果!$I$15:$I$18,F625))</f>
        <v>1000</v>
      </c>
      <c r="AF625" s="1">
        <f>4</f>
        <v>4</v>
      </c>
      <c r="AG625" s="1">
        <f>MAX(配置与结果!$B$32,1+INDEX(配置与结果!$F$15:$F$18,F625)+0+Q625*方案参数!$W$20+Y625*(方案参数!$AN$20+MIN(方案参数!$AO$20,P625*0.03))+AB625*方案参数!$BZ$20*0.025-配置与结果!$B$28)</f>
        <v>1.085</v>
      </c>
      <c r="AH625" s="1">
        <f>MAX(0,1+INDEX(配置与结果!$G$15:$G$18,F625)+W625*方案参数!$AG$20)</f>
        <v>1.45</v>
      </c>
      <c r="AI625" s="1">
        <f>IF(OR(INDEX(配置与结果!$K$15:$K$18,F625)=1,G625="RHI_BERRY"),1+配置与结果!$B$33+P625*方案参数!$AH$20,1)</f>
        <v>1</v>
      </c>
      <c r="AJ625" s="1">
        <f>MIN(1,MAX(0,J625+方案参数!$AB$20-配置与结果!$B$27))</f>
        <v>0.55499999999999994</v>
      </c>
      <c r="AK625" s="1">
        <f>MAX(1,K625+IF(F625=2,0.15+方案参数!$CH$20,0)+BN625*方案参数!$X$20+R625*方案参数!$AA$20+0-配置与结果!$B$26+Z625*(方案参数!$AP$20+MIN(方案参数!$AQ$20,P625*0.03)))</f>
        <v>1.33</v>
      </c>
      <c r="AL625" s="7">
        <f>ROUNDDOWN(MAX(AD625*配置与结果!$B$31,AD625-AE625)*AF625*AG625*AH625*AI625,0)</f>
        <v>14461</v>
      </c>
      <c r="AM625" s="7">
        <f>ROUNDDOWN(MAX(AD625*配置与结果!$B$31,AD625-AE625)*AF625*AG625*AH625*AI625*AK625,0)</f>
        <v>19233</v>
      </c>
      <c r="AN625" s="7">
        <f t="shared" si="812"/>
        <v>17109.46</v>
      </c>
      <c r="AO625" s="7">
        <f>0</f>
        <v>0</v>
      </c>
      <c r="AP625" s="7">
        <f>MAX(0,1+INDEX(配置与结果!$J$15:$J$18,F625)+IF(T625&gt;0,方案参数!$BY$20,0)-配置与结果!$B$30)</f>
        <v>1</v>
      </c>
      <c r="AQ625" s="7">
        <f t="shared" si="813"/>
        <v>0</v>
      </c>
      <c r="AR625" s="7">
        <f t="shared" si="814"/>
        <v>0</v>
      </c>
      <c r="AS625" s="7">
        <f t="shared" si="815"/>
        <v>0</v>
      </c>
      <c r="AT625" s="7">
        <f>0</f>
        <v>0</v>
      </c>
      <c r="AU625" s="7">
        <f t="shared" si="816"/>
        <v>17109.46</v>
      </c>
      <c r="AV625" s="1">
        <f t="shared" si="817"/>
        <v>1</v>
      </c>
      <c r="AW625" s="1">
        <f>MIN(10,M625+0+0)</f>
        <v>7</v>
      </c>
      <c r="AX625" s="1">
        <f t="shared" si="818"/>
        <v>0</v>
      </c>
      <c r="AY625" s="1">
        <f t="shared" si="887"/>
        <v>6</v>
      </c>
      <c r="AZ625" s="1">
        <f t="shared" si="819"/>
        <v>7</v>
      </c>
      <c r="BA625" s="1">
        <f>MIN(6,Q625+1)</f>
        <v>3</v>
      </c>
      <c r="BB625" s="1">
        <f t="shared" si="880"/>
        <v>5</v>
      </c>
      <c r="BC625" s="1">
        <f>MIN(3,S625+0)</f>
        <v>1</v>
      </c>
      <c r="BD625" s="1">
        <f t="shared" si="888"/>
        <v>0</v>
      </c>
      <c r="BE625" s="1">
        <f t="shared" si="881"/>
        <v>0</v>
      </c>
      <c r="BF625" s="1">
        <f>MIN(4,V625+0)</f>
        <v>1</v>
      </c>
      <c r="BG625" s="1">
        <f t="shared" si="885"/>
        <v>1</v>
      </c>
      <c r="BH625" s="1">
        <f t="shared" si="882"/>
        <v>1</v>
      </c>
      <c r="BI625" s="1">
        <f t="shared" si="886"/>
        <v>1</v>
      </c>
      <c r="BJ625" s="1">
        <f>MAX(Z625,1)</f>
        <v>1</v>
      </c>
      <c r="BK625" s="1">
        <f>MAX(AA625,1)</f>
        <v>1</v>
      </c>
      <c r="BL625" s="1">
        <f t="shared" si="862"/>
        <v>0</v>
      </c>
      <c r="BM625" s="1">
        <f t="shared" si="860"/>
        <v>0</v>
      </c>
      <c r="BN625" s="1">
        <f t="shared" si="883"/>
        <v>1</v>
      </c>
      <c r="BO625" s="1">
        <f t="shared" si="884"/>
        <v>1</v>
      </c>
    </row>
    <row r="626" spans="1:67" ht="30.95" customHeight="1">
      <c r="A626" s="1">
        <f>17</f>
        <v>17</v>
      </c>
      <c r="B626" s="1">
        <f>固定流程!A14</f>
        <v>9</v>
      </c>
      <c r="C626" s="1">
        <f>20</f>
        <v>20</v>
      </c>
      <c r="D626" s="1">
        <f>1</f>
        <v>1</v>
      </c>
      <c r="E626" s="1">
        <f>固定流程!C14</f>
        <v>2</v>
      </c>
      <c r="F626" s="1">
        <f>固定流程!G14</f>
        <v>1</v>
      </c>
      <c r="G626" s="1" t="str">
        <f>固定流程!H14</f>
        <v>LILYA_DIVE</v>
      </c>
      <c r="H626" s="1">
        <f>固定流程!F14</f>
        <v>3</v>
      </c>
      <c r="I626" s="1">
        <f>INDEX(配置与结果!$B$15:$B$18,F626)</f>
        <v>2296</v>
      </c>
      <c r="J626" s="1">
        <f>INDEX(配置与结果!$D$15:$D$18,F626)</f>
        <v>0.7</v>
      </c>
      <c r="K626" s="1">
        <f>INDEX(配置与结果!$E$15:$E$18,F626)</f>
        <v>2.0249999999999999</v>
      </c>
      <c r="L626" s="1">
        <f t="shared" ref="L626:N630" si="890">AV625</f>
        <v>1</v>
      </c>
      <c r="M626" s="1">
        <f t="shared" si="890"/>
        <v>7</v>
      </c>
      <c r="N626" s="1">
        <f t="shared" si="890"/>
        <v>0</v>
      </c>
      <c r="O626" s="1">
        <f t="shared" si="889"/>
        <v>6</v>
      </c>
      <c r="P626" s="1">
        <f>MIN(方案参数!$AI$20,AZ625+0+0)</f>
        <v>7</v>
      </c>
      <c r="Q626" s="1">
        <f t="shared" si="867"/>
        <v>3</v>
      </c>
      <c r="R626" s="1">
        <f t="shared" si="868"/>
        <v>5</v>
      </c>
      <c r="S626" s="1">
        <f t="shared" si="869"/>
        <v>1</v>
      </c>
      <c r="T626" s="1">
        <f t="shared" si="870"/>
        <v>0</v>
      </c>
      <c r="U626" s="1">
        <f t="shared" si="871"/>
        <v>0</v>
      </c>
      <c r="V626" s="1">
        <f t="shared" si="872"/>
        <v>1</v>
      </c>
      <c r="W626" s="1">
        <f t="shared" si="873"/>
        <v>1</v>
      </c>
      <c r="X626" s="1">
        <f t="shared" si="874"/>
        <v>1</v>
      </c>
      <c r="Y626" s="1">
        <f t="shared" si="875"/>
        <v>1</v>
      </c>
      <c r="Z626" s="1">
        <f t="shared" si="876"/>
        <v>1</v>
      </c>
      <c r="AA626" s="1">
        <f t="shared" ref="AA626:AA631" si="891">MAX(BK625,0)</f>
        <v>1</v>
      </c>
      <c r="AB626" s="1">
        <f t="shared" si="878"/>
        <v>0</v>
      </c>
      <c r="AC626" s="1">
        <f t="shared" si="879"/>
        <v>0</v>
      </c>
      <c r="AD626" s="1">
        <f>ROUNDDOWN(I626*(1+IF(F626=3,0.05+方案参数!$Y$20+AA626*0.12,IF(F626=4,方案参数!$BZ$20*方案参数!$AS$20,0)))+IF(AND(X626=1,F626&lt;&gt;3),方案参数!$CC$20,0)+AC626*方案参数!$CB$20,0)</f>
        <v>2534</v>
      </c>
      <c r="AE626" s="1">
        <f>IF(OR(F626=1,F626=4),配置与结果!$B$24,配置与结果!$B$25)*MAX(0,1-INDEX(配置与结果!$I$15:$I$18,F626))</f>
        <v>1200</v>
      </c>
      <c r="AF626" s="1">
        <f>(IF(L626=1,方案参数!$AW$20,IF(L626=2,方案参数!$AX$20,0))+方案参数!$AV$20)*H626</f>
        <v>18</v>
      </c>
      <c r="AG626" s="1">
        <f>MAX(配置与结果!$B$32,1+INDEX(配置与结果!$F$15:$F$18,F626)+0.08+方案参数!$CD$20+Q626*方案参数!$W$20+Y626*(方案参数!$AN$20+MIN(方案参数!$AO$20,P626*0.03))+AB626*方案参数!$BZ$20*0.025+IF(L626=1,方案参数!$AY$20+(H626-1)*0.1,IF(L626=2,方案参数!$AZ$20+(H626-1)*0.2,0))-配置与结果!$B$28)</f>
        <v>1.7100000000000004</v>
      </c>
      <c r="AH626" s="1">
        <f>MAX(0,1+INDEX(配置与结果!$G$15:$G$18,F626)+W626*方案参数!$AG$20+IF(L626=1,方案参数!$BA$20,IF(L626=2,方案参数!$BB$20,0))+M626*方案参数!$BC$20)</f>
        <v>2.4699999999999998</v>
      </c>
      <c r="AI626" s="1">
        <f>IF(OR(INDEX(配置与结果!$K$15:$K$18,F626)=1,G626="RHI_BERRY"),1+配置与结果!$B$33+P626*方案参数!$AH$20,1)</f>
        <v>1</v>
      </c>
      <c r="AJ626" s="1">
        <f>MIN(1,MAX(0,J626+方案参数!$AB$20-配置与结果!$B$27))</f>
        <v>1</v>
      </c>
      <c r="AK626" s="1">
        <f>MAX(1,K626+IF(F626=2,0.15+方案参数!$CH$20,0)+BN626*方案参数!$X$20+R626*方案参数!$AA$20+0-配置与结果!$B$26+Z626*(方案参数!$AP$20+MIN(方案参数!$AQ$20,P626*0.03)))</f>
        <v>2.2150000000000003</v>
      </c>
      <c r="AL626" s="7">
        <f>ROUNDDOWN(MAX(AD626*配置与结果!$B$31,AD626-AE626)*AF626*AG626*AH626*AI626,0)</f>
        <v>101419</v>
      </c>
      <c r="AM626" s="7">
        <f>ROUNDDOWN(MAX(AD626*配置与结果!$B$31,AD626-AE626)*AF626*AG626*AH626*AI626*AK626,0)</f>
        <v>224644</v>
      </c>
      <c r="AN626" s="7">
        <f t="shared" si="812"/>
        <v>224644</v>
      </c>
      <c r="AO626" s="7">
        <f>0</f>
        <v>0</v>
      </c>
      <c r="AP626" s="7">
        <f>MAX(0,1+INDEX(配置与结果!$J$15:$J$18,F626)+IF(T626&gt;0,方案参数!$BY$20,0)-配置与结果!$B$30)</f>
        <v>1</v>
      </c>
      <c r="AQ626" s="7">
        <f t="shared" si="813"/>
        <v>0</v>
      </c>
      <c r="AR626" s="7">
        <f t="shared" si="814"/>
        <v>0</v>
      </c>
      <c r="AS626" s="7">
        <f t="shared" si="815"/>
        <v>0</v>
      </c>
      <c r="AT626" s="7">
        <f>0</f>
        <v>0</v>
      </c>
      <c r="AU626" s="7">
        <f t="shared" si="816"/>
        <v>224644</v>
      </c>
      <c r="AV626" s="1">
        <f t="shared" si="817"/>
        <v>1</v>
      </c>
      <c r="AW626" s="1">
        <f>MIN(10,M626+0+IF(L626=1,方案参数!$BE$20,0))</f>
        <v>8</v>
      </c>
      <c r="AX626" s="1">
        <f t="shared" si="818"/>
        <v>0</v>
      </c>
      <c r="AY626" s="1">
        <f t="shared" si="887"/>
        <v>6</v>
      </c>
      <c r="AZ626" s="1">
        <f t="shared" si="819"/>
        <v>7</v>
      </c>
      <c r="BA626" s="1">
        <f>MIN(6,Q626+0)</f>
        <v>3</v>
      </c>
      <c r="BB626" s="1">
        <f t="shared" si="880"/>
        <v>5</v>
      </c>
      <c r="BC626" s="1">
        <f>MIN(3,S626+0)</f>
        <v>1</v>
      </c>
      <c r="BD626" s="1">
        <f t="shared" si="888"/>
        <v>0</v>
      </c>
      <c r="BE626" s="1">
        <f t="shared" si="881"/>
        <v>0</v>
      </c>
      <c r="BF626" s="1">
        <f>MIN(4,V626+0)</f>
        <v>1</v>
      </c>
      <c r="BG626" s="1">
        <f t="shared" si="885"/>
        <v>1</v>
      </c>
      <c r="BH626" s="1">
        <f t="shared" si="882"/>
        <v>1</v>
      </c>
      <c r="BI626" s="1">
        <f t="shared" si="886"/>
        <v>1</v>
      </c>
      <c r="BJ626" s="1">
        <f t="shared" ref="BJ626:BK631" si="892">MAX(Z626,0)</f>
        <v>1</v>
      </c>
      <c r="BK626" s="1">
        <f t="shared" si="892"/>
        <v>1</v>
      </c>
      <c r="BL626" s="1">
        <f t="shared" si="862"/>
        <v>0</v>
      </c>
      <c r="BM626" s="1">
        <f t="shared" si="860"/>
        <v>0</v>
      </c>
      <c r="BN626" s="1">
        <f t="shared" si="883"/>
        <v>1</v>
      </c>
      <c r="BO626" s="1">
        <f t="shared" si="884"/>
        <v>1</v>
      </c>
    </row>
    <row r="627" spans="1:67" ht="30.95" customHeight="1">
      <c r="A627" s="1">
        <f>17</f>
        <v>17</v>
      </c>
      <c r="B627" s="1">
        <f>固定流程!A15</f>
        <v>10</v>
      </c>
      <c r="C627" s="1">
        <f>20</f>
        <v>20</v>
      </c>
      <c r="D627" s="1">
        <f>1</f>
        <v>1</v>
      </c>
      <c r="E627" s="1">
        <f>固定流程!C15</f>
        <v>2</v>
      </c>
      <c r="F627" s="1">
        <f>固定流程!G15</f>
        <v>4</v>
      </c>
      <c r="G627" s="1" t="str">
        <f>固定流程!H15</f>
        <v>J_HARD</v>
      </c>
      <c r="H627" s="1">
        <f>固定流程!F15</f>
        <v>1</v>
      </c>
      <c r="I627" s="1">
        <f>INDEX(配置与结果!$B$15:$B$18,F627)</f>
        <v>1906</v>
      </c>
      <c r="J627" s="1">
        <f>INDEX(配置与结果!$D$15:$D$18,F627)</f>
        <v>0.36699999999999999</v>
      </c>
      <c r="K627" s="1">
        <f>INDEX(配置与结果!$E$15:$E$18,F627)</f>
        <v>1.7170000000000001</v>
      </c>
      <c r="L627" s="1">
        <f t="shared" si="890"/>
        <v>1</v>
      </c>
      <c r="M627" s="1">
        <f t="shared" si="890"/>
        <v>8</v>
      </c>
      <c r="N627" s="1">
        <f t="shared" si="890"/>
        <v>0</v>
      </c>
      <c r="O627" s="1">
        <f t="shared" si="889"/>
        <v>6</v>
      </c>
      <c r="P627" s="1">
        <f>MIN(方案参数!$AI$20,AZ626+0+0)</f>
        <v>7</v>
      </c>
      <c r="Q627" s="1">
        <f t="shared" si="867"/>
        <v>3</v>
      </c>
      <c r="R627" s="1">
        <f t="shared" si="868"/>
        <v>5</v>
      </c>
      <c r="S627" s="1">
        <f t="shared" si="869"/>
        <v>1</v>
      </c>
      <c r="T627" s="1">
        <f t="shared" si="870"/>
        <v>0</v>
      </c>
      <c r="U627" s="1">
        <f t="shared" si="871"/>
        <v>0</v>
      </c>
      <c r="V627" s="1">
        <f t="shared" si="872"/>
        <v>1</v>
      </c>
      <c r="W627" s="1">
        <f t="shared" si="873"/>
        <v>1</v>
      </c>
      <c r="X627" s="1">
        <f t="shared" si="874"/>
        <v>1</v>
      </c>
      <c r="Y627" s="1">
        <f t="shared" si="875"/>
        <v>1</v>
      </c>
      <c r="Z627" s="1">
        <f t="shared" si="876"/>
        <v>1</v>
      </c>
      <c r="AA627" s="1">
        <f t="shared" si="891"/>
        <v>1</v>
      </c>
      <c r="AB627" s="1">
        <f t="shared" si="878"/>
        <v>0</v>
      </c>
      <c r="AC627" s="1">
        <f t="shared" si="879"/>
        <v>0</v>
      </c>
      <c r="AD627" s="1">
        <f>ROUNDDOWN(I627*(1+IF(F627=3,0.05+方案参数!$Y$20+AA627*0.12,IF(F627=4,方案参数!$BZ$20*方案参数!$AS$20,0)))+IF(AND(X627=1,F627&lt;&gt;3),方案参数!$CC$20,0)+AC627*方案参数!$CB$20,0)</f>
        <v>2811</v>
      </c>
      <c r="AE627" s="1">
        <f>IF(OR(F627=1,F627=4),配置与结果!$B$24,配置与结果!$B$25)*MAX(0,1-INDEX(配置与结果!$I$15:$I$18,F627))</f>
        <v>1200</v>
      </c>
      <c r="AF627" s="1">
        <f>3.6*IF(H627=1,1,IF(H627=2,1.5,2.5))</f>
        <v>3.6</v>
      </c>
      <c r="AG627" s="1">
        <f>MAX(配置与结果!$B$32,1+INDEX(配置与结果!$F$15:$F$18,F627)+0.08+Q627*方案参数!$W$20+Y627*(方案参数!$AN$20+MIN(方案参数!$AO$20,P627*0.03))+AB627*方案参数!$BZ$20*0.025+0.1+IF(方案参数!$BZ$20&gt;=30,方案参数!$BZ$20*0.01,0)-配置与结果!$B$28)</f>
        <v>1.6250000000000004</v>
      </c>
      <c r="AH627" s="1">
        <f>MAX(0,1+INDEX(配置与结果!$G$15:$G$18,F627)+W627*方案参数!$AG$20)</f>
        <v>1.45</v>
      </c>
      <c r="AI627" s="1">
        <f>IF(OR(INDEX(配置与结果!$K$15:$K$18,F627)=1,G627="RHI_BERRY"),1+配置与结果!$B$33+P627*方案参数!$AH$20,1)</f>
        <v>1</v>
      </c>
      <c r="AJ627" s="1">
        <f>MIN(1,MAX(0,J627+方案参数!$AB$20-配置与结果!$B$27))</f>
        <v>0.66700000000000004</v>
      </c>
      <c r="AK627" s="1">
        <f>MAX(1,K627+IF(F627=2,0.15+方案参数!$CH$20,0)+BN627*方案参数!$X$20+R627*方案参数!$AA$20+0-配置与结果!$B$26+Z627*(方案参数!$AP$20+MIN(方案参数!$AQ$20,P627*0.03)))</f>
        <v>1.907</v>
      </c>
      <c r="AL627" s="7">
        <f>ROUNDDOWN(MAX(AD627*配置与结果!$B$31,AD627-AE627)*AF627*AG627*AH627*AI627,0)</f>
        <v>13665</v>
      </c>
      <c r="AM627" s="7">
        <f>ROUNDDOWN(MAX(AD627*配置与结果!$B$31,AD627-AE627)*AF627*AG627*AH627*AI627*AK627,0)</f>
        <v>26059</v>
      </c>
      <c r="AN627" s="7">
        <f t="shared" si="812"/>
        <v>21931.797999999999</v>
      </c>
      <c r="AO627" s="7">
        <f>0</f>
        <v>0</v>
      </c>
      <c r="AP627" s="7">
        <f>MAX(0,1+INDEX(配置与结果!$J$15:$J$18,F627)+IF(T627&gt;0,方案参数!$BY$20,0)-配置与结果!$B$30)</f>
        <v>1</v>
      </c>
      <c r="AQ627" s="7">
        <f t="shared" si="813"/>
        <v>0</v>
      </c>
      <c r="AR627" s="7">
        <f t="shared" si="814"/>
        <v>0</v>
      </c>
      <c r="AS627" s="7">
        <f t="shared" si="815"/>
        <v>0</v>
      </c>
      <c r="AT627" s="7">
        <f>0</f>
        <v>0</v>
      </c>
      <c r="AU627" s="7">
        <f t="shared" si="816"/>
        <v>21931.797999999999</v>
      </c>
      <c r="AV627" s="1">
        <f t="shared" si="817"/>
        <v>1</v>
      </c>
      <c r="AW627" s="1">
        <f t="shared" ref="AW627:AW637" si="893">MIN(10,M627+0+0)</f>
        <v>8</v>
      </c>
      <c r="AX627" s="1">
        <f t="shared" si="818"/>
        <v>0</v>
      </c>
      <c r="AY627" s="1">
        <f t="shared" si="887"/>
        <v>6</v>
      </c>
      <c r="AZ627" s="1">
        <f t="shared" si="819"/>
        <v>7</v>
      </c>
      <c r="BA627" s="1">
        <f>MIN(6,Q627+0)</f>
        <v>3</v>
      </c>
      <c r="BB627" s="1">
        <f t="shared" si="880"/>
        <v>5</v>
      </c>
      <c r="BC627" s="1">
        <f>MIN(3,S627+1)</f>
        <v>2</v>
      </c>
      <c r="BD627" s="1">
        <f t="shared" si="888"/>
        <v>0</v>
      </c>
      <c r="BE627" s="1">
        <f t="shared" si="881"/>
        <v>0</v>
      </c>
      <c r="BF627" s="1">
        <f>MIN(4,V627+0)</f>
        <v>1</v>
      </c>
      <c r="BG627" s="1">
        <f t="shared" si="885"/>
        <v>1</v>
      </c>
      <c r="BH627" s="1">
        <f t="shared" si="882"/>
        <v>1</v>
      </c>
      <c r="BI627" s="1">
        <f t="shared" si="886"/>
        <v>1</v>
      </c>
      <c r="BJ627" s="1">
        <f t="shared" si="892"/>
        <v>1</v>
      </c>
      <c r="BK627" s="1">
        <f t="shared" si="892"/>
        <v>1</v>
      </c>
      <c r="BL627" s="1">
        <f t="shared" si="862"/>
        <v>0</v>
      </c>
      <c r="BM627" s="1">
        <f t="shared" si="860"/>
        <v>0</v>
      </c>
      <c r="BN627" s="1">
        <f t="shared" si="883"/>
        <v>1</v>
      </c>
      <c r="BO627" s="1">
        <f t="shared" si="884"/>
        <v>1</v>
      </c>
    </row>
    <row r="628" spans="1:67" ht="30.95" customHeight="1">
      <c r="A628" s="1">
        <f>17</f>
        <v>17</v>
      </c>
      <c r="B628" s="1">
        <f>固定流程!A16</f>
        <v>11</v>
      </c>
      <c r="C628" s="1">
        <f>20</f>
        <v>20</v>
      </c>
      <c r="D628" s="1">
        <f>1</f>
        <v>1</v>
      </c>
      <c r="E628" s="1">
        <f>固定流程!C16</f>
        <v>2</v>
      </c>
      <c r="F628" s="1">
        <f>固定流程!G16</f>
        <v>2</v>
      </c>
      <c r="G628" s="1" t="str">
        <f>固定流程!H16</f>
        <v>37_CURVE</v>
      </c>
      <c r="H628" s="1">
        <f>固定流程!F16</f>
        <v>1</v>
      </c>
      <c r="I628" s="1">
        <f>INDEX(配置与结果!$B$15:$B$18,F628)</f>
        <v>2306</v>
      </c>
      <c r="J628" s="1">
        <f>INDEX(配置与结果!$D$15:$D$18,F628)</f>
        <v>0.46</v>
      </c>
      <c r="K628" s="1">
        <f>INDEX(配置与结果!$E$15:$E$18,F628)</f>
        <v>1.9279999999999999</v>
      </c>
      <c r="L628" s="1">
        <f t="shared" si="890"/>
        <v>1</v>
      </c>
      <c r="M628" s="1">
        <f t="shared" si="890"/>
        <v>8</v>
      </c>
      <c r="N628" s="1">
        <f t="shared" si="890"/>
        <v>0</v>
      </c>
      <c r="O628" s="1">
        <f t="shared" si="889"/>
        <v>6</v>
      </c>
      <c r="P628" s="1">
        <f>MIN(方案参数!$AI$20,AZ627+0+0)</f>
        <v>7</v>
      </c>
      <c r="Q628" s="1">
        <f t="shared" si="867"/>
        <v>3</v>
      </c>
      <c r="R628" s="1">
        <f t="shared" si="868"/>
        <v>5</v>
      </c>
      <c r="S628" s="1">
        <f t="shared" si="869"/>
        <v>2</v>
      </c>
      <c r="T628" s="1">
        <f t="shared" si="870"/>
        <v>0</v>
      </c>
      <c r="U628" s="1">
        <f t="shared" si="871"/>
        <v>0</v>
      </c>
      <c r="V628" s="1">
        <f t="shared" si="872"/>
        <v>1</v>
      </c>
      <c r="W628" s="1">
        <f t="shared" si="873"/>
        <v>1</v>
      </c>
      <c r="X628" s="1">
        <f t="shared" si="874"/>
        <v>1</v>
      </c>
      <c r="Y628" s="1">
        <f t="shared" si="875"/>
        <v>1</v>
      </c>
      <c r="Z628" s="1">
        <f t="shared" si="876"/>
        <v>1</v>
      </c>
      <c r="AA628" s="1">
        <f t="shared" si="891"/>
        <v>1</v>
      </c>
      <c r="AB628" s="1">
        <f t="shared" si="878"/>
        <v>0</v>
      </c>
      <c r="AC628" s="1">
        <f t="shared" si="879"/>
        <v>0</v>
      </c>
      <c r="AD628" s="1">
        <f>ROUNDDOWN(I628*(1+IF(F628=3,0.05+方案参数!$Y$20+AA628*0.12,IF(F628=4,方案参数!$BZ$20*方案参数!$AS$20,0)))+IF(AND(X628=1,F628&lt;&gt;3),方案参数!$CC$20,0)+AC628*方案参数!$CB$20,0)</f>
        <v>2544</v>
      </c>
      <c r="AE628" s="1">
        <f>IF(OR(F628=1,F628=4),配置与结果!$B$24,配置与结果!$B$25)*MAX(0,1-INDEX(配置与结果!$I$15:$I$18,F628))</f>
        <v>1000</v>
      </c>
      <c r="AF628" s="1">
        <f>方案参数!$BT$20*IF(H628=1,1,IF(H628=2,1.5,2.5))</f>
        <v>1.4</v>
      </c>
      <c r="AG628" s="1">
        <f>MAX(配置与结果!$B$32,1+INDEX(配置与结果!$F$15:$F$18,F628)+0+Q628*方案参数!$W$20+Y628*(方案参数!$AN$20+MIN(方案参数!$AO$20,P628*0.03))+AB628*方案参数!$BZ$20*0.025-配置与结果!$B$28)</f>
        <v>1.0750000000000002</v>
      </c>
      <c r="AH628" s="1">
        <f>MAX(0,1+INDEX(配置与结果!$G$15:$G$18,F628)+W628*方案参数!$AG$20)</f>
        <v>1.45</v>
      </c>
      <c r="AI628" s="1">
        <f>IF(OR(INDEX(配置与结果!$K$15:$K$18,F628)=1,G628="RHI_BERRY"),1+配置与结果!$B$33+P628*方案参数!$AH$20,1)</f>
        <v>1</v>
      </c>
      <c r="AJ628" s="1">
        <f>MIN(1,MAX(0,J628+方案参数!$AB$20-配置与结果!$B$27))</f>
        <v>0.76</v>
      </c>
      <c r="AK628" s="1">
        <f>MAX(1,K628+IF(F628=2,0.15+方案参数!$CH$20,0)+BN628*方案参数!$X$20+R628*方案参数!$AA$20+0-配置与结果!$B$26+Z628*(方案参数!$AP$20+MIN(方案参数!$AQ$20,P628*0.03)))</f>
        <v>2.3880000000000003</v>
      </c>
      <c r="AL628" s="7">
        <f>ROUNDDOWN(MAX(AD628*配置与结果!$B$31,AD628-AE628)*AF628*AG628*AH628*AI628,0)</f>
        <v>3369</v>
      </c>
      <c r="AM628" s="7">
        <f>ROUNDDOWN(MAX(AD628*配置与结果!$B$31,AD628-AE628)*AF628*AG628*AH628*AI628*AK628,0)</f>
        <v>8046</v>
      </c>
      <c r="AN628" s="7">
        <f t="shared" si="812"/>
        <v>6923.52</v>
      </c>
      <c r="AO628" s="7">
        <f>方案参数!$BU$20*IF(H628=1,1,IF(H628=2,1.5,2.5))</f>
        <v>0.8</v>
      </c>
      <c r="AP628" s="7">
        <f>MAX(0,1+INDEX(配置与结果!$J$15:$J$18,F628)+IF(T628&gt;0,方案参数!$BY$20,0)-配置与结果!$B$30)</f>
        <v>1</v>
      </c>
      <c r="AQ628" s="7">
        <f t="shared" si="813"/>
        <v>2035</v>
      </c>
      <c r="AR628" s="7">
        <f t="shared" si="814"/>
        <v>4859</v>
      </c>
      <c r="AS628" s="7">
        <f t="shared" si="815"/>
        <v>4181.24</v>
      </c>
      <c r="AT628" s="7">
        <f>0</f>
        <v>0</v>
      </c>
      <c r="AU628" s="7">
        <f t="shared" si="816"/>
        <v>11104.76</v>
      </c>
      <c r="AV628" s="1">
        <f t="shared" si="817"/>
        <v>1</v>
      </c>
      <c r="AW628" s="1">
        <f t="shared" si="893"/>
        <v>8</v>
      </c>
      <c r="AX628" s="1">
        <f t="shared" si="818"/>
        <v>0</v>
      </c>
      <c r="AY628" s="1">
        <f t="shared" si="887"/>
        <v>6</v>
      </c>
      <c r="AZ628" s="1">
        <f t="shared" si="819"/>
        <v>7</v>
      </c>
      <c r="BA628" s="1">
        <f>MIN(6,Q628+0)</f>
        <v>3</v>
      </c>
      <c r="BB628" s="1">
        <f t="shared" si="880"/>
        <v>5</v>
      </c>
      <c r="BC628" s="1">
        <f t="shared" ref="BC628:BC634" si="894">MIN(3,S628+0)</f>
        <v>2</v>
      </c>
      <c r="BD628" s="1">
        <f t="shared" si="888"/>
        <v>0</v>
      </c>
      <c r="BE628" s="1">
        <f t="shared" si="881"/>
        <v>0</v>
      </c>
      <c r="BF628" s="1">
        <f>MIN(4,V628+0)</f>
        <v>1</v>
      </c>
      <c r="BG628" s="1">
        <f t="shared" si="885"/>
        <v>1</v>
      </c>
      <c r="BH628" s="1">
        <f t="shared" si="882"/>
        <v>1</v>
      </c>
      <c r="BI628" s="1">
        <f t="shared" si="886"/>
        <v>1</v>
      </c>
      <c r="BJ628" s="1">
        <f t="shared" si="892"/>
        <v>1</v>
      </c>
      <c r="BK628" s="1">
        <f t="shared" si="892"/>
        <v>1</v>
      </c>
      <c r="BL628" s="1">
        <f t="shared" si="862"/>
        <v>0</v>
      </c>
      <c r="BM628" s="1">
        <f t="shared" si="860"/>
        <v>0</v>
      </c>
      <c r="BN628" s="1">
        <f t="shared" si="883"/>
        <v>1</v>
      </c>
      <c r="BO628" s="1">
        <f t="shared" si="884"/>
        <v>1</v>
      </c>
    </row>
    <row r="629" spans="1:67" ht="30.95" customHeight="1">
      <c r="A629" s="1">
        <f>17</f>
        <v>17</v>
      </c>
      <c r="B629" s="1">
        <f>固定流程!A17</f>
        <v>12</v>
      </c>
      <c r="C629" s="1">
        <f>20</f>
        <v>20</v>
      </c>
      <c r="D629" s="1">
        <f>1</f>
        <v>1</v>
      </c>
      <c r="E629" s="1">
        <f>固定流程!C17</f>
        <v>2</v>
      </c>
      <c r="F629" s="1">
        <f>固定流程!G17</f>
        <v>2</v>
      </c>
      <c r="G629" s="1" t="str">
        <f>固定流程!H17</f>
        <v>37_FOLLOW</v>
      </c>
      <c r="H629" s="1">
        <f>固定流程!F17</f>
        <v>1</v>
      </c>
      <c r="I629" s="1">
        <f>INDEX(配置与结果!$B$15:$B$18,F629)</f>
        <v>2306</v>
      </c>
      <c r="J629" s="1">
        <f>INDEX(配置与结果!$D$15:$D$18,F629)</f>
        <v>0.46</v>
      </c>
      <c r="K629" s="1">
        <f>INDEX(配置与结果!$E$15:$E$18,F629)</f>
        <v>1.9279999999999999</v>
      </c>
      <c r="L629" s="1">
        <f t="shared" si="890"/>
        <v>1</v>
      </c>
      <c r="M629" s="1">
        <f t="shared" si="890"/>
        <v>8</v>
      </c>
      <c r="N629" s="1">
        <f t="shared" si="890"/>
        <v>0</v>
      </c>
      <c r="O629" s="1">
        <f t="shared" si="889"/>
        <v>6</v>
      </c>
      <c r="P629" s="1">
        <f>MIN(方案参数!$AI$20,AZ628+0+0)</f>
        <v>7</v>
      </c>
      <c r="Q629" s="1">
        <f t="shared" si="867"/>
        <v>3</v>
      </c>
      <c r="R629" s="1">
        <f t="shared" si="868"/>
        <v>5</v>
      </c>
      <c r="S629" s="1">
        <f t="shared" si="869"/>
        <v>2</v>
      </c>
      <c r="T629" s="1">
        <f t="shared" si="870"/>
        <v>0</v>
      </c>
      <c r="U629" s="1">
        <f t="shared" si="871"/>
        <v>0</v>
      </c>
      <c r="V629" s="1">
        <f t="shared" si="872"/>
        <v>1</v>
      </c>
      <c r="W629" s="1">
        <f t="shared" si="873"/>
        <v>1</v>
      </c>
      <c r="X629" s="1">
        <f t="shared" si="874"/>
        <v>1</v>
      </c>
      <c r="Y629" s="1">
        <f t="shared" si="875"/>
        <v>1</v>
      </c>
      <c r="Z629" s="1">
        <f t="shared" si="876"/>
        <v>1</v>
      </c>
      <c r="AA629" s="1">
        <f t="shared" si="891"/>
        <v>1</v>
      </c>
      <c r="AB629" s="1">
        <f t="shared" si="878"/>
        <v>0</v>
      </c>
      <c r="AC629" s="1">
        <f t="shared" si="879"/>
        <v>0</v>
      </c>
      <c r="AD629" s="1">
        <f>ROUNDDOWN(I629*(1+IF(F629=3,0.05+方案参数!$Y$20+AA629*0.12,IF(F629=4,方案参数!$BZ$20*方案参数!$AS$20,0)))+IF(AND(X629=1,F629&lt;&gt;3),方案参数!$CC$20,0)+AC629*方案参数!$CB$20,0)</f>
        <v>2544</v>
      </c>
      <c r="AE629" s="1">
        <f>IF(OR(F629=1,F629=4),配置与结果!$B$24,配置与结果!$B$25)*MAX(0,1-INDEX(配置与结果!$I$15:$I$18,F629))</f>
        <v>1000</v>
      </c>
      <c r="AF629" s="1">
        <f>方案参数!$BV$20</f>
        <v>3</v>
      </c>
      <c r="AG629" s="1">
        <f>MAX(配置与结果!$B$32,1+INDEX(配置与结果!$F$15:$F$18,F629)+0+Q629*方案参数!$W$20+Y629*(方案参数!$AN$20+MIN(方案参数!$AO$20,P629*0.03))+AB629*方案参数!$BZ$20*0.025-配置与结果!$B$28)</f>
        <v>1.0750000000000002</v>
      </c>
      <c r="AH629" s="1">
        <f>MAX(0,1+INDEX(配置与结果!$G$15:$G$18,F629)+W629*方案参数!$AG$20)</f>
        <v>1.45</v>
      </c>
      <c r="AI629" s="1">
        <f>IF(OR(INDEX(配置与结果!$K$15:$K$18,F629)=1,G629="RHI_BERRY"),1+配置与结果!$B$33+P629*方案参数!$AH$20,1)</f>
        <v>1</v>
      </c>
      <c r="AJ629" s="1">
        <f>MIN(1,MAX(0,J629+方案参数!$AB$20-配置与结果!$B$27))</f>
        <v>0.76</v>
      </c>
      <c r="AK629" s="1">
        <f>MAX(1,K629+IF(F629=2,0.15+方案参数!$CH$20,0)+BN629*方案参数!$X$20+R629*方案参数!$AA$20+0-配置与结果!$B$26+Z629*(方案参数!$AP$20+MIN(方案参数!$AQ$20,P629*0.03)))</f>
        <v>2.3880000000000003</v>
      </c>
      <c r="AL629" s="7">
        <f>ROUNDDOWN(MAX(AD629*配置与结果!$B$31,AD629-AE629)*AF629*AG629*AH629*AI629,0)</f>
        <v>7220</v>
      </c>
      <c r="AM629" s="7">
        <f>ROUNDDOWN(MAX(AD629*配置与结果!$B$31,AD629-AE629)*AF629*AG629*AH629*AI629*AK629,0)</f>
        <v>17241</v>
      </c>
      <c r="AN629" s="7">
        <f t="shared" si="812"/>
        <v>14835.96</v>
      </c>
      <c r="AO629" s="7">
        <f>方案参数!$BW$20</f>
        <v>1</v>
      </c>
      <c r="AP629" s="7">
        <f>MAX(0,1+INDEX(配置与结果!$J$15:$J$18,F629)+IF(T629&gt;0,方案参数!$BY$20,0)-配置与结果!$B$30)</f>
        <v>1</v>
      </c>
      <c r="AQ629" s="7">
        <f t="shared" si="813"/>
        <v>2544</v>
      </c>
      <c r="AR629" s="7">
        <f t="shared" si="814"/>
        <v>6075</v>
      </c>
      <c r="AS629" s="7">
        <f t="shared" si="815"/>
        <v>5227.5599999999995</v>
      </c>
      <c r="AT629" s="7">
        <f>0</f>
        <v>0</v>
      </c>
      <c r="AU629" s="7">
        <f t="shared" si="816"/>
        <v>20063.519999999997</v>
      </c>
      <c r="AV629" s="1">
        <f t="shared" si="817"/>
        <v>1</v>
      </c>
      <c r="AW629" s="1">
        <f t="shared" si="893"/>
        <v>8</v>
      </c>
      <c r="AX629" s="1">
        <f t="shared" si="818"/>
        <v>0</v>
      </c>
      <c r="AY629" s="1">
        <f t="shared" si="887"/>
        <v>6</v>
      </c>
      <c r="AZ629" s="1">
        <f t="shared" si="819"/>
        <v>7</v>
      </c>
      <c r="BA629" s="1">
        <f>MIN(6,Q629+0)</f>
        <v>3</v>
      </c>
      <c r="BB629" s="1">
        <f t="shared" si="880"/>
        <v>5</v>
      </c>
      <c r="BC629" s="1">
        <f t="shared" si="894"/>
        <v>2</v>
      </c>
      <c r="BD629" s="1">
        <f t="shared" si="888"/>
        <v>0</v>
      </c>
      <c r="BE629" s="1">
        <f t="shared" si="881"/>
        <v>0</v>
      </c>
      <c r="BF629" s="1">
        <f>MIN(4,V629+1)</f>
        <v>2</v>
      </c>
      <c r="BG629" s="1">
        <f t="shared" si="885"/>
        <v>1</v>
      </c>
      <c r="BH629" s="1">
        <f t="shared" si="882"/>
        <v>1</v>
      </c>
      <c r="BI629" s="1">
        <f t="shared" si="886"/>
        <v>1</v>
      </c>
      <c r="BJ629" s="1">
        <f t="shared" si="892"/>
        <v>1</v>
      </c>
      <c r="BK629" s="1">
        <f t="shared" si="892"/>
        <v>1</v>
      </c>
      <c r="BL629" s="1">
        <f t="shared" si="862"/>
        <v>0</v>
      </c>
      <c r="BM629" s="1">
        <f t="shared" si="860"/>
        <v>0</v>
      </c>
      <c r="BN629" s="1">
        <f t="shared" si="883"/>
        <v>1</v>
      </c>
      <c r="BO629" s="1">
        <f t="shared" si="884"/>
        <v>1</v>
      </c>
    </row>
    <row r="630" spans="1:67" ht="30.95" customHeight="1">
      <c r="A630" s="1">
        <f>17</f>
        <v>17</v>
      </c>
      <c r="B630" s="1">
        <f>固定流程!A18</f>
        <v>13</v>
      </c>
      <c r="C630" s="1">
        <f>20</f>
        <v>20</v>
      </c>
      <c r="D630" s="1">
        <f>1</f>
        <v>1</v>
      </c>
      <c r="E630" s="1">
        <f>固定流程!C18</f>
        <v>2</v>
      </c>
      <c r="F630" s="1">
        <f>固定流程!G18</f>
        <v>3</v>
      </c>
      <c r="G630" s="1" t="str">
        <f>固定流程!H18</f>
        <v>RHI_BERRY</v>
      </c>
      <c r="H630" s="1">
        <f>固定流程!F18</f>
        <v>1</v>
      </c>
      <c r="I630" s="1">
        <f>INDEX(配置与结果!$B$15:$B$18,F630)</f>
        <v>2597</v>
      </c>
      <c r="J630" s="1">
        <f>INDEX(配置与结果!$D$15:$D$18,F630)</f>
        <v>0.255</v>
      </c>
      <c r="K630" s="1">
        <f>INDEX(配置与结果!$E$15:$E$18,F630)</f>
        <v>1.55</v>
      </c>
      <c r="L630" s="1">
        <f t="shared" si="890"/>
        <v>1</v>
      </c>
      <c r="M630" s="1">
        <f t="shared" si="890"/>
        <v>8</v>
      </c>
      <c r="N630" s="1">
        <f t="shared" si="890"/>
        <v>0</v>
      </c>
      <c r="O630" s="1">
        <f t="shared" si="889"/>
        <v>6</v>
      </c>
      <c r="P630" s="1">
        <f>MIN(方案参数!$AI$20,AZ629+0+0)</f>
        <v>7</v>
      </c>
      <c r="Q630" s="1">
        <f t="shared" si="867"/>
        <v>3</v>
      </c>
      <c r="R630" s="1">
        <f t="shared" si="868"/>
        <v>5</v>
      </c>
      <c r="S630" s="1">
        <f t="shared" si="869"/>
        <v>2</v>
      </c>
      <c r="T630" s="1">
        <f t="shared" si="870"/>
        <v>0</v>
      </c>
      <c r="U630" s="1">
        <f t="shared" si="871"/>
        <v>0</v>
      </c>
      <c r="V630" s="1">
        <f t="shared" si="872"/>
        <v>2</v>
      </c>
      <c r="W630" s="1">
        <f t="shared" si="873"/>
        <v>1</v>
      </c>
      <c r="X630" s="1">
        <f t="shared" si="874"/>
        <v>1</v>
      </c>
      <c r="Y630" s="1">
        <f t="shared" si="875"/>
        <v>1</v>
      </c>
      <c r="Z630" s="1">
        <f t="shared" si="876"/>
        <v>1</v>
      </c>
      <c r="AA630" s="1">
        <f t="shared" si="891"/>
        <v>1</v>
      </c>
      <c r="AB630" s="1">
        <f t="shared" si="878"/>
        <v>0</v>
      </c>
      <c r="AC630" s="1">
        <f t="shared" si="879"/>
        <v>0</v>
      </c>
      <c r="AD630" s="1">
        <f>ROUNDDOWN(I630*(1+IF(F630=3,0.05+方案参数!$Y$20+AA630*0.12,IF(F630=4,方案参数!$BZ$20*方案参数!$AS$20,0)))+IF(AND(X630=1,F630&lt;&gt;3),方案参数!$CC$20,0)+AC630*方案参数!$CB$20,0)</f>
        <v>3298</v>
      </c>
      <c r="AE630" s="1">
        <f>IF(OR(F630=1,F630=4),配置与结果!$B$24,配置与结果!$B$25)*MAX(0,1-INDEX(配置与结果!$I$15:$I$18,F630))</f>
        <v>1000</v>
      </c>
      <c r="AF630" s="1">
        <f>方案参数!$CF$20+P630*方案参数!$CG$20</f>
        <v>51</v>
      </c>
      <c r="AG630" s="1">
        <f>MAX(配置与结果!$B$32,1+INDEX(配置与结果!$F$15:$F$18,F630)+0+Q630*方案参数!$W$20+Y630*(方案参数!$AN$20+MIN(方案参数!$AO$20,P630*0.03))+AB630*方案参数!$BZ$20*0.025-配置与结果!$B$28)</f>
        <v>1.105</v>
      </c>
      <c r="AH630" s="1">
        <f>MAX(0,1+INDEX(配置与结果!$G$15:$G$18,F630)+W630*方案参数!$AG$20)</f>
        <v>1.45</v>
      </c>
      <c r="AI630" s="1">
        <f>IF(OR(INDEX(配置与结果!$K$15:$K$18,F630)=1,G630="RHI_BERRY"),1+配置与结果!$B$33+P630*方案参数!$AH$20,1)</f>
        <v>1.6500000000000001</v>
      </c>
      <c r="AJ630" s="1">
        <f>MIN(1,MAX(0,J630+方案参数!$AB$20-配置与结果!$B$27))</f>
        <v>0.55499999999999994</v>
      </c>
      <c r="AK630" s="1">
        <f>MAX(1,K630+IF(F630=2,0.15+方案参数!$CH$20,0)+BN630*方案参数!$X$20+R630*方案参数!$AA$20+0-配置与结果!$B$26+Z630*(方案参数!$AP$20+MIN(方案参数!$AQ$20,P630*0.03)))</f>
        <v>1.7400000000000002</v>
      </c>
      <c r="AL630" s="7">
        <f>ROUNDDOWN(MAX(AD630*配置与结果!$B$31,AD630-AE630)*AF630*AG630*AH630*AI630,0)</f>
        <v>309837</v>
      </c>
      <c r="AM630" s="7">
        <f>ROUNDDOWN(MAX(AD630*配置与结果!$B$31,AD630-AE630)*AF630*AG630*AH630*AI630*AK630,0)</f>
        <v>539117</v>
      </c>
      <c r="AN630" s="7">
        <f t="shared" si="812"/>
        <v>437087.39999999997</v>
      </c>
      <c r="AO630" s="7">
        <f>0</f>
        <v>0</v>
      </c>
      <c r="AP630" s="7">
        <f>MAX(0,1+INDEX(配置与结果!$J$15:$J$18,F630)+IF(T630&gt;0,方案参数!$BY$20,0)-配置与结果!$B$30)</f>
        <v>1</v>
      </c>
      <c r="AQ630" s="7">
        <f t="shared" si="813"/>
        <v>0</v>
      </c>
      <c r="AR630" s="7">
        <f t="shared" si="814"/>
        <v>0</v>
      </c>
      <c r="AS630" s="7">
        <f t="shared" si="815"/>
        <v>0</v>
      </c>
      <c r="AT630" s="7">
        <f>0</f>
        <v>0</v>
      </c>
      <c r="AU630" s="7">
        <f t="shared" si="816"/>
        <v>437087.39999999997</v>
      </c>
      <c r="AV630" s="1">
        <f t="shared" si="817"/>
        <v>1</v>
      </c>
      <c r="AW630" s="1">
        <f t="shared" si="893"/>
        <v>8</v>
      </c>
      <c r="AX630" s="1">
        <f t="shared" si="818"/>
        <v>0</v>
      </c>
      <c r="AY630" s="1">
        <f t="shared" si="887"/>
        <v>6</v>
      </c>
      <c r="AZ630" s="1">
        <f t="shared" si="819"/>
        <v>7</v>
      </c>
      <c r="BA630" s="1">
        <f>MIN(6,Q630+0)</f>
        <v>3</v>
      </c>
      <c r="BB630" s="1">
        <f t="shared" si="880"/>
        <v>5</v>
      </c>
      <c r="BC630" s="1">
        <f t="shared" si="894"/>
        <v>2</v>
      </c>
      <c r="BD630" s="1">
        <f t="shared" si="888"/>
        <v>0</v>
      </c>
      <c r="BE630" s="1">
        <f t="shared" si="881"/>
        <v>0</v>
      </c>
      <c r="BF630" s="1">
        <f>MIN(4,V630+0)</f>
        <v>2</v>
      </c>
      <c r="BG630" s="1">
        <f t="shared" si="885"/>
        <v>1</v>
      </c>
      <c r="BH630" s="1">
        <f t="shared" si="882"/>
        <v>1</v>
      </c>
      <c r="BI630" s="1">
        <f t="shared" si="886"/>
        <v>1</v>
      </c>
      <c r="BJ630" s="1">
        <f t="shared" si="892"/>
        <v>1</v>
      </c>
      <c r="BK630" s="1">
        <f t="shared" si="892"/>
        <v>1</v>
      </c>
      <c r="BL630" s="1">
        <f t="shared" si="862"/>
        <v>0</v>
      </c>
      <c r="BM630" s="1">
        <f t="shared" si="860"/>
        <v>0</v>
      </c>
      <c r="BN630" s="1">
        <f t="shared" si="883"/>
        <v>1</v>
      </c>
      <c r="BO630" s="1">
        <f t="shared" si="884"/>
        <v>1</v>
      </c>
    </row>
    <row r="631" spans="1:67" ht="30.95" customHeight="1">
      <c r="A631" s="1">
        <f>17</f>
        <v>17</v>
      </c>
      <c r="B631" s="1">
        <f>固定流程!A19</f>
        <v>14</v>
      </c>
      <c r="C631" s="1">
        <f>20</f>
        <v>20</v>
      </c>
      <c r="D631" s="1">
        <f>1</f>
        <v>1</v>
      </c>
      <c r="E631" s="1">
        <f>固定流程!C19</f>
        <v>3</v>
      </c>
      <c r="F631" s="1">
        <f>固定流程!G19</f>
        <v>3</v>
      </c>
      <c r="G631" s="1" t="str">
        <f>固定流程!H19</f>
        <v>RHI_BUFF</v>
      </c>
      <c r="H631" s="1">
        <f>固定流程!F19</f>
        <v>1</v>
      </c>
      <c r="I631" s="1">
        <f>INDEX(配置与结果!$B$15:$B$18,F631)</f>
        <v>2597</v>
      </c>
      <c r="J631" s="1">
        <f>INDEX(配置与结果!$D$15:$D$18,F631)</f>
        <v>0.255</v>
      </c>
      <c r="K631" s="1">
        <f>INDEX(配置与结果!$E$15:$E$18,F631)</f>
        <v>1.55</v>
      </c>
      <c r="L631" s="1">
        <f>IF(AV630=1,IF(M631&gt;=10,2,1),IF(AV630=2,IF(AX630&lt;=1,0,2),0))</f>
        <v>2</v>
      </c>
      <c r="M631" s="1">
        <f>IF(AND(AV630=2,AX630&lt;=1),0,MIN(10,AW630+IF(AV630=1,3,0)))</f>
        <v>10</v>
      </c>
      <c r="N631" s="1">
        <f>IF(AND(AV630=1,M631&gt;=10),2,IF(AV630=2,MAX(0,AX630-1),0))</f>
        <v>2</v>
      </c>
      <c r="O631" s="1">
        <f t="shared" si="889"/>
        <v>6</v>
      </c>
      <c r="P631" s="1">
        <f>MIN(方案参数!$AI$20,AZ630+方案参数!$AJ$20+方案参数!$AK$20)</f>
        <v>7</v>
      </c>
      <c r="Q631" s="1">
        <f t="shared" si="867"/>
        <v>3</v>
      </c>
      <c r="R631" s="1">
        <f t="shared" si="868"/>
        <v>5</v>
      </c>
      <c r="S631" s="1">
        <f t="shared" si="869"/>
        <v>2</v>
      </c>
      <c r="T631" s="1">
        <f t="shared" si="870"/>
        <v>0</v>
      </c>
      <c r="U631" s="1">
        <f t="shared" si="871"/>
        <v>0</v>
      </c>
      <c r="V631" s="1">
        <f t="shared" si="872"/>
        <v>2</v>
      </c>
      <c r="W631" s="1">
        <f t="shared" si="873"/>
        <v>1</v>
      </c>
      <c r="X631" s="1">
        <f t="shared" si="874"/>
        <v>1</v>
      </c>
      <c r="Y631" s="1">
        <f t="shared" si="875"/>
        <v>1</v>
      </c>
      <c r="Z631" s="1">
        <f t="shared" si="876"/>
        <v>1</v>
      </c>
      <c r="AA631" s="1">
        <f t="shared" si="891"/>
        <v>1</v>
      </c>
      <c r="AB631" s="1">
        <f t="shared" si="878"/>
        <v>0</v>
      </c>
      <c r="AC631" s="1">
        <f t="shared" si="879"/>
        <v>0</v>
      </c>
      <c r="AD631" s="1">
        <f>ROUNDDOWN(I631*(1+IF(F631=3,0.05+方案参数!$Y$20+AA631*0.12,IF(F631=4,方案参数!$BZ$20*方案参数!$AS$20,0)))+IF(AND(X631=1,F631&lt;&gt;3),方案参数!$CC$20,0)+AC631*方案参数!$CB$20,0)</f>
        <v>3298</v>
      </c>
      <c r="AE631" s="1">
        <f>IF(OR(F631=1,F631=4),配置与结果!$B$24,配置与结果!$B$25)*MAX(0,1-INDEX(配置与结果!$I$15:$I$18,F631))</f>
        <v>1000</v>
      </c>
      <c r="AF631" s="1">
        <f>0</f>
        <v>0</v>
      </c>
      <c r="AG631" s="1">
        <f>MAX(配置与结果!$B$32,1+INDEX(配置与结果!$F$15:$F$18,F631)+0+Q631*方案参数!$W$20+Y631*(方案参数!$AN$20+MIN(方案参数!$AO$20,P631*0.03))+AB631*方案参数!$BZ$20*0.025-配置与结果!$B$28)</f>
        <v>1.105</v>
      </c>
      <c r="AH631" s="1">
        <f>MAX(0,1+INDEX(配置与结果!$G$15:$G$18,F631)+W631*方案参数!$AG$20)</f>
        <v>1.45</v>
      </c>
      <c r="AI631" s="1">
        <f>IF(OR(INDEX(配置与结果!$K$15:$K$18,F631)=1,G631="RHI_BERRY"),1+配置与结果!$B$33+P631*方案参数!$AH$20,1)</f>
        <v>1</v>
      </c>
      <c r="AJ631" s="1">
        <f>MIN(1,MAX(0,J631+方案参数!$AB$20-配置与结果!$B$27))</f>
        <v>0.55499999999999994</v>
      </c>
      <c r="AK631" s="1">
        <f>MAX(1,K631+IF(F631=2,0.15+方案参数!$CH$20,0)+BN631*方案参数!$X$20+R631*方案参数!$AA$20+0-配置与结果!$B$26+Z631*(方案参数!$AP$20+MIN(方案参数!$AQ$20,P631*0.03)))</f>
        <v>1.7400000000000002</v>
      </c>
      <c r="AL631" s="7">
        <f>ROUNDDOWN(MAX(AD631*配置与结果!$B$31,AD631-AE631)*AF631*AG631*AH631*AI631,0)</f>
        <v>0</v>
      </c>
      <c r="AM631" s="7">
        <f>ROUNDDOWN(MAX(AD631*配置与结果!$B$31,AD631-AE631)*AF631*AG631*AH631*AI631*AK631,0)</f>
        <v>0</v>
      </c>
      <c r="AN631" s="7">
        <f t="shared" si="812"/>
        <v>0</v>
      </c>
      <c r="AO631" s="7">
        <f>0</f>
        <v>0</v>
      </c>
      <c r="AP631" s="7">
        <f>MAX(0,1+INDEX(配置与结果!$J$15:$J$18,F631)+IF(T631&gt;0,方案参数!$BY$20,0)-配置与结果!$B$30)</f>
        <v>1</v>
      </c>
      <c r="AQ631" s="7">
        <f t="shared" si="813"/>
        <v>0</v>
      </c>
      <c r="AR631" s="7">
        <f t="shared" si="814"/>
        <v>0</v>
      </c>
      <c r="AS631" s="7">
        <f t="shared" si="815"/>
        <v>0</v>
      </c>
      <c r="AT631" s="7">
        <f>0</f>
        <v>0</v>
      </c>
      <c r="AU631" s="7">
        <f t="shared" si="816"/>
        <v>0</v>
      </c>
      <c r="AV631" s="1">
        <f t="shared" si="817"/>
        <v>2</v>
      </c>
      <c r="AW631" s="1">
        <f t="shared" si="893"/>
        <v>10</v>
      </c>
      <c r="AX631" s="1">
        <f t="shared" si="818"/>
        <v>2</v>
      </c>
      <c r="AY631" s="1">
        <f t="shared" si="887"/>
        <v>6</v>
      </c>
      <c r="AZ631" s="1">
        <f t="shared" si="819"/>
        <v>7</v>
      </c>
      <c r="BA631" s="1">
        <f>MIN(6,Q631+1)</f>
        <v>4</v>
      </c>
      <c r="BB631" s="1">
        <f t="shared" si="880"/>
        <v>5</v>
      </c>
      <c r="BC631" s="1">
        <f t="shared" si="894"/>
        <v>2</v>
      </c>
      <c r="BD631" s="1">
        <f t="shared" si="888"/>
        <v>0</v>
      </c>
      <c r="BE631" s="1">
        <f t="shared" si="881"/>
        <v>0</v>
      </c>
      <c r="BF631" s="1">
        <f>MIN(4,V631+0)</f>
        <v>2</v>
      </c>
      <c r="BG631" s="1">
        <f>MAX(W631,1)</f>
        <v>1</v>
      </c>
      <c r="BH631" s="1">
        <f t="shared" si="882"/>
        <v>1</v>
      </c>
      <c r="BI631" s="1">
        <f>MAX(Y631,1)</f>
        <v>1</v>
      </c>
      <c r="BJ631" s="1">
        <f t="shared" si="892"/>
        <v>1</v>
      </c>
      <c r="BK631" s="1">
        <f t="shared" si="892"/>
        <v>1</v>
      </c>
      <c r="BL631" s="1">
        <f t="shared" si="862"/>
        <v>0</v>
      </c>
      <c r="BM631" s="1">
        <f t="shared" si="860"/>
        <v>0</v>
      </c>
      <c r="BN631" s="1">
        <f t="shared" si="883"/>
        <v>1</v>
      </c>
      <c r="BO631" s="1">
        <f t="shared" si="884"/>
        <v>1</v>
      </c>
    </row>
    <row r="632" spans="1:67" ht="30.95" customHeight="1">
      <c r="A632" s="1">
        <f>17</f>
        <v>17</v>
      </c>
      <c r="B632" s="1">
        <f>固定流程!A20</f>
        <v>15</v>
      </c>
      <c r="C632" s="1">
        <f>20</f>
        <v>20</v>
      </c>
      <c r="D632" s="1">
        <f>1</f>
        <v>1</v>
      </c>
      <c r="E632" s="1">
        <f>固定流程!C20</f>
        <v>3</v>
      </c>
      <c r="F632" s="1">
        <f>固定流程!G20</f>
        <v>3</v>
      </c>
      <c r="G632" s="1" t="str">
        <f>固定流程!H20</f>
        <v>RHI_ATTACK</v>
      </c>
      <c r="H632" s="1">
        <f>固定流程!F20</f>
        <v>1</v>
      </c>
      <c r="I632" s="1">
        <f>INDEX(配置与结果!$B$15:$B$18,F632)</f>
        <v>2597</v>
      </c>
      <c r="J632" s="1">
        <f>INDEX(配置与结果!$D$15:$D$18,F632)</f>
        <v>0.255</v>
      </c>
      <c r="K632" s="1">
        <f>INDEX(配置与结果!$E$15:$E$18,F632)</f>
        <v>1.55</v>
      </c>
      <c r="L632" s="1">
        <f t="shared" ref="L632:L653" si="895">AV631</f>
        <v>2</v>
      </c>
      <c r="M632" s="1">
        <f t="shared" ref="M632:M653" si="896">AW631</f>
        <v>10</v>
      </c>
      <c r="N632" s="1">
        <f t="shared" ref="N632:N653" si="897">AX631</f>
        <v>2</v>
      </c>
      <c r="O632" s="1">
        <f t="shared" si="889"/>
        <v>6</v>
      </c>
      <c r="P632" s="1">
        <f>MIN(方案参数!$AI$20,AZ631+0+方案参数!$AK$20)</f>
        <v>7</v>
      </c>
      <c r="Q632" s="1">
        <f t="shared" si="867"/>
        <v>4</v>
      </c>
      <c r="R632" s="1">
        <f t="shared" si="868"/>
        <v>5</v>
      </c>
      <c r="S632" s="1">
        <f t="shared" si="869"/>
        <v>2</v>
      </c>
      <c r="T632" s="1">
        <f t="shared" si="870"/>
        <v>0</v>
      </c>
      <c r="U632" s="1">
        <f t="shared" si="871"/>
        <v>0</v>
      </c>
      <c r="V632" s="1">
        <f t="shared" si="872"/>
        <v>2</v>
      </c>
      <c r="W632" s="1">
        <f t="shared" si="873"/>
        <v>1</v>
      </c>
      <c r="X632" s="1">
        <f t="shared" si="874"/>
        <v>1</v>
      </c>
      <c r="Y632" s="1">
        <f t="shared" si="875"/>
        <v>1</v>
      </c>
      <c r="Z632" s="1">
        <f t="shared" si="876"/>
        <v>1</v>
      </c>
      <c r="AA632" s="1">
        <f>MAX(BK631,1)</f>
        <v>1</v>
      </c>
      <c r="AB632" s="1">
        <f t="shared" si="878"/>
        <v>0</v>
      </c>
      <c r="AC632" s="1">
        <f t="shared" si="879"/>
        <v>0</v>
      </c>
      <c r="AD632" s="1">
        <f>ROUNDDOWN(I632*(1+IF(F632=3,0.05+方案参数!$Y$20+AA632*0.12,IF(F632=4,方案参数!$BZ$20*方案参数!$AS$20,0)))+IF(AND(X632=1,F632&lt;&gt;3),方案参数!$CC$20,0)+AC632*方案参数!$CB$20,0)</f>
        <v>3298</v>
      </c>
      <c r="AE632" s="1">
        <f>IF(OR(F632=1,F632=4),配置与结果!$B$24,配置与结果!$B$25)*MAX(0,1-INDEX(配置与结果!$I$15:$I$18,F632))</f>
        <v>1000</v>
      </c>
      <c r="AF632" s="1">
        <f>4</f>
        <v>4</v>
      </c>
      <c r="AG632" s="1">
        <f>MAX(配置与结果!$B$32,1+INDEX(配置与结果!$F$15:$F$18,F632)+0+Q632*方案参数!$W$20+Y632*(方案参数!$AN$20+MIN(方案参数!$AO$20,P632*0.03))+AB632*方案参数!$BZ$20*0.025-配置与结果!$B$28)</f>
        <v>1.125</v>
      </c>
      <c r="AH632" s="1">
        <f>MAX(0,1+INDEX(配置与结果!$G$15:$G$18,F632)+W632*方案参数!$AG$20)</f>
        <v>1.45</v>
      </c>
      <c r="AI632" s="1">
        <f>IF(OR(INDEX(配置与结果!$K$15:$K$18,F632)=1,G632="RHI_BERRY"),1+配置与结果!$B$33+P632*方案参数!$AH$20,1)</f>
        <v>1</v>
      </c>
      <c r="AJ632" s="1">
        <f>MIN(1,MAX(0,J632+方案参数!$AB$20-配置与结果!$B$27))</f>
        <v>0.55499999999999994</v>
      </c>
      <c r="AK632" s="1">
        <f>MAX(1,K632+IF(F632=2,0.15+方案参数!$CH$20,0)+BN632*方案参数!$X$20+R632*方案参数!$AA$20+0-配置与结果!$B$26+Z632*(方案参数!$AP$20+MIN(方案参数!$AQ$20,P632*0.03)))</f>
        <v>1.7400000000000002</v>
      </c>
      <c r="AL632" s="7">
        <f>ROUNDDOWN(MAX(AD632*配置与结果!$B$31,AD632-AE632)*AF632*AG632*AH632*AI632,0)</f>
        <v>14994</v>
      </c>
      <c r="AM632" s="7">
        <f>ROUNDDOWN(MAX(AD632*配置与结果!$B$31,AD632-AE632)*AF632*AG632*AH632*AI632*AK632,0)</f>
        <v>26090</v>
      </c>
      <c r="AN632" s="7">
        <f t="shared" si="812"/>
        <v>21152.28</v>
      </c>
      <c r="AO632" s="7">
        <f>0</f>
        <v>0</v>
      </c>
      <c r="AP632" s="7">
        <f>MAX(0,1+INDEX(配置与结果!$J$15:$J$18,F632)+IF(T632&gt;0,方案参数!$BY$20,0)-配置与结果!$B$30)</f>
        <v>1</v>
      </c>
      <c r="AQ632" s="7">
        <f t="shared" si="813"/>
        <v>0</v>
      </c>
      <c r="AR632" s="7">
        <f t="shared" si="814"/>
        <v>0</v>
      </c>
      <c r="AS632" s="7">
        <f t="shared" si="815"/>
        <v>0</v>
      </c>
      <c r="AT632" s="7">
        <f>0</f>
        <v>0</v>
      </c>
      <c r="AU632" s="7">
        <f t="shared" si="816"/>
        <v>21152.28</v>
      </c>
      <c r="AV632" s="1">
        <f t="shared" si="817"/>
        <v>2</v>
      </c>
      <c r="AW632" s="1">
        <f t="shared" si="893"/>
        <v>10</v>
      </c>
      <c r="AX632" s="1">
        <f t="shared" si="818"/>
        <v>2</v>
      </c>
      <c r="AY632" s="1">
        <f t="shared" si="887"/>
        <v>6</v>
      </c>
      <c r="AZ632" s="1">
        <f t="shared" si="819"/>
        <v>7</v>
      </c>
      <c r="BA632" s="1">
        <f>MIN(6,Q632+1)</f>
        <v>5</v>
      </c>
      <c r="BB632" s="1">
        <f t="shared" si="880"/>
        <v>5</v>
      </c>
      <c r="BC632" s="1">
        <f t="shared" si="894"/>
        <v>2</v>
      </c>
      <c r="BD632" s="1">
        <f t="shared" si="888"/>
        <v>0</v>
      </c>
      <c r="BE632" s="1">
        <f t="shared" si="881"/>
        <v>0</v>
      </c>
      <c r="BF632" s="1">
        <f>MIN(4,V632+0)</f>
        <v>2</v>
      </c>
      <c r="BG632" s="1">
        <f t="shared" ref="BG632:BG654" si="898">MAX(W632,0)</f>
        <v>1</v>
      </c>
      <c r="BH632" s="1">
        <f t="shared" si="882"/>
        <v>1</v>
      </c>
      <c r="BI632" s="1">
        <f t="shared" ref="BI632:BI654" si="899">MAX(Y632,0)</f>
        <v>1</v>
      </c>
      <c r="BJ632" s="1">
        <f>MAX(Z632,1)</f>
        <v>1</v>
      </c>
      <c r="BK632" s="1">
        <f>MAX(AA632,1)</f>
        <v>1</v>
      </c>
      <c r="BL632" s="1">
        <f t="shared" si="862"/>
        <v>0</v>
      </c>
      <c r="BM632" s="1">
        <f t="shared" si="860"/>
        <v>0</v>
      </c>
      <c r="BN632" s="1">
        <f t="shared" si="883"/>
        <v>1</v>
      </c>
      <c r="BO632" s="1">
        <f t="shared" si="884"/>
        <v>1</v>
      </c>
    </row>
    <row r="633" spans="1:67" ht="30.95" customHeight="1">
      <c r="A633" s="1">
        <f>17</f>
        <v>17</v>
      </c>
      <c r="B633" s="1">
        <f>固定流程!A21</f>
        <v>16</v>
      </c>
      <c r="C633" s="1">
        <f>20</f>
        <v>20</v>
      </c>
      <c r="D633" s="1">
        <f>1</f>
        <v>1</v>
      </c>
      <c r="E633" s="1">
        <f>固定流程!C21</f>
        <v>3</v>
      </c>
      <c r="F633" s="1">
        <f>固定流程!G21</f>
        <v>2</v>
      </c>
      <c r="G633" s="1" t="str">
        <f>固定流程!H21</f>
        <v>37_ULT</v>
      </c>
      <c r="H633" s="1">
        <f>固定流程!F21</f>
        <v>1</v>
      </c>
      <c r="I633" s="1">
        <f>INDEX(配置与结果!$B$15:$B$18,F633)</f>
        <v>2306</v>
      </c>
      <c r="J633" s="1">
        <f>INDEX(配置与结果!$D$15:$D$18,F633)</f>
        <v>0.46</v>
      </c>
      <c r="K633" s="1">
        <f>INDEX(配置与结果!$E$15:$E$18,F633)</f>
        <v>1.9279999999999999</v>
      </c>
      <c r="L633" s="1">
        <f t="shared" si="895"/>
        <v>2</v>
      </c>
      <c r="M633" s="1">
        <f t="shared" si="896"/>
        <v>10</v>
      </c>
      <c r="N633" s="1">
        <f t="shared" si="897"/>
        <v>2</v>
      </c>
      <c r="O633" s="1">
        <f t="shared" si="889"/>
        <v>6</v>
      </c>
      <c r="P633" s="1">
        <f>MIN(方案参数!$AI$20,AZ632+0+0)</f>
        <v>7</v>
      </c>
      <c r="Q633" s="1">
        <f t="shared" si="867"/>
        <v>5</v>
      </c>
      <c r="R633" s="1">
        <f t="shared" si="868"/>
        <v>5</v>
      </c>
      <c r="S633" s="1">
        <f t="shared" si="869"/>
        <v>2</v>
      </c>
      <c r="T633" s="1">
        <f>BD632+方案参数!$BX$20</f>
        <v>2</v>
      </c>
      <c r="U633" s="1">
        <f t="shared" si="871"/>
        <v>0</v>
      </c>
      <c r="V633" s="1">
        <f t="shared" si="872"/>
        <v>2</v>
      </c>
      <c r="W633" s="1">
        <f t="shared" si="873"/>
        <v>1</v>
      </c>
      <c r="X633" s="1">
        <f t="shared" si="874"/>
        <v>1</v>
      </c>
      <c r="Y633" s="1">
        <f t="shared" si="875"/>
        <v>1</v>
      </c>
      <c r="Z633" s="1">
        <f t="shared" si="876"/>
        <v>1</v>
      </c>
      <c r="AA633" s="1">
        <f t="shared" ref="AA633:AA653" si="900">MAX(BK632,0)</f>
        <v>1</v>
      </c>
      <c r="AB633" s="1">
        <f t="shared" si="878"/>
        <v>0</v>
      </c>
      <c r="AC633" s="1">
        <f>MAX(BM632,1)</f>
        <v>1</v>
      </c>
      <c r="AD633" s="1">
        <f>ROUNDDOWN(I633*(1+IF(F633=3,0.05+方案参数!$Y$20+AA633*0.12,IF(F633=4,方案参数!$BZ$20*方案参数!$AS$20,0)))+IF(AND(X633=1,F633&lt;&gt;3),方案参数!$CC$20,0)+AC633*方案参数!$CB$20,0)</f>
        <v>3044</v>
      </c>
      <c r="AE633" s="1">
        <f>IF(OR(F633=1,F633=4),配置与结果!$B$24,配置与结果!$B$25)*MAX(0,1-INDEX(配置与结果!$I$15:$I$18,F633))</f>
        <v>1000</v>
      </c>
      <c r="AF633" s="1">
        <f>0</f>
        <v>0</v>
      </c>
      <c r="AG633" s="1">
        <f>MAX(配置与结果!$B$32,1+INDEX(配置与结果!$F$15:$F$18,F633)+0+Q633*方案参数!$W$20+Y633*(方案参数!$AN$20+MIN(方案参数!$AO$20,P633*0.03))+AB633*方案参数!$BZ$20*0.025-配置与结果!$B$28)</f>
        <v>1.1150000000000002</v>
      </c>
      <c r="AH633" s="1">
        <f>MAX(0,1+INDEX(配置与结果!$G$15:$G$18,F633)+W633*方案参数!$AG$20)</f>
        <v>1.45</v>
      </c>
      <c r="AI633" s="1">
        <f>IF(OR(INDEX(配置与结果!$K$15:$K$18,F633)=1,G633="RHI_BERRY"),1+配置与结果!$B$33+P633*方案参数!$AH$20,1)</f>
        <v>1</v>
      </c>
      <c r="AJ633" s="1">
        <f>MIN(1,MAX(0,J633+方案参数!$AB$20-配置与结果!$B$27))</f>
        <v>0.76</v>
      </c>
      <c r="AK633" s="1">
        <f>MAX(1,K633+IF(F633=2,0.15+方案参数!$CH$20,0)+BN633*方案参数!$X$20+R633*方案参数!$AA$20+0-配置与结果!$B$26+Z633*(方案参数!$AP$20+MIN(方案参数!$AQ$20,P633*0.03)))</f>
        <v>2.3880000000000003</v>
      </c>
      <c r="AL633" s="7">
        <f>ROUNDDOWN(MAX(AD633*配置与结果!$B$31,AD633-AE633)*AF633*AG633*AH633*AI633,0)</f>
        <v>0</v>
      </c>
      <c r="AM633" s="7">
        <f>ROUNDDOWN(MAX(AD633*配置与结果!$B$31,AD633-AE633)*AF633*AG633*AH633*AI633*AK633,0)</f>
        <v>0</v>
      </c>
      <c r="AN633" s="7">
        <f t="shared" si="812"/>
        <v>0</v>
      </c>
      <c r="AO633" s="7">
        <f>0</f>
        <v>0</v>
      </c>
      <c r="AP633" s="7">
        <f>MAX(0,1+INDEX(配置与结果!$J$15:$J$18,F633)+IF(T633&gt;0,方案参数!$BY$20,0)-配置与结果!$B$30)</f>
        <v>2</v>
      </c>
      <c r="AQ633" s="7">
        <f t="shared" si="813"/>
        <v>0</v>
      </c>
      <c r="AR633" s="7">
        <f t="shared" si="814"/>
        <v>0</v>
      </c>
      <c r="AS633" s="7">
        <f t="shared" si="815"/>
        <v>0</v>
      </c>
      <c r="AT633" s="7">
        <f>0</f>
        <v>0</v>
      </c>
      <c r="AU633" s="7">
        <f t="shared" si="816"/>
        <v>0</v>
      </c>
      <c r="AV633" s="1">
        <f t="shared" si="817"/>
        <v>2</v>
      </c>
      <c r="AW633" s="1">
        <f t="shared" si="893"/>
        <v>10</v>
      </c>
      <c r="AX633" s="1">
        <f t="shared" si="818"/>
        <v>2</v>
      </c>
      <c r="AY633" s="1">
        <f t="shared" si="887"/>
        <v>6</v>
      </c>
      <c r="AZ633" s="1">
        <f t="shared" si="819"/>
        <v>7</v>
      </c>
      <c r="BA633" s="1">
        <f t="shared" ref="BA633:BA653" si="901">MIN(6,Q633+0)</f>
        <v>5</v>
      </c>
      <c r="BB633" s="1">
        <f>MIN(30,R633+5)</f>
        <v>10</v>
      </c>
      <c r="BC633" s="1">
        <f t="shared" si="894"/>
        <v>2</v>
      </c>
      <c r="BD633" s="1">
        <f t="shared" si="888"/>
        <v>2</v>
      </c>
      <c r="BE633" s="1">
        <f t="shared" si="881"/>
        <v>0</v>
      </c>
      <c r="BF633" s="1">
        <f>MIN(4,V633+0)</f>
        <v>2</v>
      </c>
      <c r="BG633" s="1">
        <f t="shared" si="898"/>
        <v>1</v>
      </c>
      <c r="BH633" s="1">
        <f t="shared" si="882"/>
        <v>1</v>
      </c>
      <c r="BI633" s="1">
        <f t="shared" si="899"/>
        <v>1</v>
      </c>
      <c r="BJ633" s="1">
        <f t="shared" ref="BJ633:BJ660" si="902">MAX(Z633,0)</f>
        <v>1</v>
      </c>
      <c r="BK633" s="1">
        <f t="shared" ref="BK633:BK660" si="903">MAX(AA633,0)</f>
        <v>1</v>
      </c>
      <c r="BL633" s="1">
        <f t="shared" si="862"/>
        <v>0</v>
      </c>
      <c r="BM633" s="1">
        <f>MAX(AC633,1)</f>
        <v>1</v>
      </c>
      <c r="BN633" s="1">
        <f t="shared" si="883"/>
        <v>1</v>
      </c>
      <c r="BO633" s="1">
        <f t="shared" si="884"/>
        <v>1</v>
      </c>
    </row>
    <row r="634" spans="1:67" ht="30.95" customHeight="1">
      <c r="A634" s="1">
        <f>17</f>
        <v>17</v>
      </c>
      <c r="B634" s="1">
        <f>固定流程!A22</f>
        <v>17</v>
      </c>
      <c r="C634" s="1">
        <f>20</f>
        <v>20</v>
      </c>
      <c r="D634" s="1">
        <f>1</f>
        <v>1</v>
      </c>
      <c r="E634" s="1">
        <f>固定流程!C22</f>
        <v>3</v>
      </c>
      <c r="F634" s="1">
        <f>固定流程!G22</f>
        <v>2</v>
      </c>
      <c r="G634" s="1" t="str">
        <f>固定流程!H22</f>
        <v>37_FOLLOW</v>
      </c>
      <c r="H634" s="1">
        <f>固定流程!F22</f>
        <v>1</v>
      </c>
      <c r="I634" s="1">
        <f>INDEX(配置与结果!$B$15:$B$18,F634)</f>
        <v>2306</v>
      </c>
      <c r="J634" s="1">
        <f>INDEX(配置与结果!$D$15:$D$18,F634)</f>
        <v>0.46</v>
      </c>
      <c r="K634" s="1">
        <f>INDEX(配置与结果!$E$15:$E$18,F634)</f>
        <v>1.9279999999999999</v>
      </c>
      <c r="L634" s="1">
        <f t="shared" si="895"/>
        <v>2</v>
      </c>
      <c r="M634" s="1">
        <f t="shared" si="896"/>
        <v>10</v>
      </c>
      <c r="N634" s="1">
        <f t="shared" si="897"/>
        <v>2</v>
      </c>
      <c r="O634" s="1">
        <f t="shared" si="889"/>
        <v>6</v>
      </c>
      <c r="P634" s="1">
        <f>MIN(方案参数!$AI$20,AZ633+0+0)</f>
        <v>7</v>
      </c>
      <c r="Q634" s="1">
        <f t="shared" si="867"/>
        <v>5</v>
      </c>
      <c r="R634" s="1">
        <f t="shared" si="868"/>
        <v>10</v>
      </c>
      <c r="S634" s="1">
        <f t="shared" si="869"/>
        <v>2</v>
      </c>
      <c r="T634" s="1">
        <f t="shared" ref="T634:T653" si="904">BD633+0</f>
        <v>2</v>
      </c>
      <c r="U634" s="1">
        <f t="shared" si="871"/>
        <v>0</v>
      </c>
      <c r="V634" s="1">
        <f t="shared" si="872"/>
        <v>2</v>
      </c>
      <c r="W634" s="1">
        <f t="shared" si="873"/>
        <v>1</v>
      </c>
      <c r="X634" s="1">
        <f t="shared" si="874"/>
        <v>1</v>
      </c>
      <c r="Y634" s="1">
        <f t="shared" si="875"/>
        <v>1</v>
      </c>
      <c r="Z634" s="1">
        <f t="shared" si="876"/>
        <v>1</v>
      </c>
      <c r="AA634" s="1">
        <f t="shared" si="900"/>
        <v>1</v>
      </c>
      <c r="AB634" s="1">
        <f t="shared" si="878"/>
        <v>0</v>
      </c>
      <c r="AC634" s="1">
        <f t="shared" ref="AC634:AC653" si="905">MAX(BM633,0)</f>
        <v>1</v>
      </c>
      <c r="AD634" s="1">
        <f>ROUNDDOWN(I634*(1+IF(F634=3,0.05+方案参数!$Y$20+AA634*0.12,IF(F634=4,方案参数!$BZ$20*方案参数!$AS$20,0)))+IF(AND(X634=1,F634&lt;&gt;3),方案参数!$CC$20,0)+AC634*方案参数!$CB$20,0)</f>
        <v>3044</v>
      </c>
      <c r="AE634" s="1">
        <f>IF(OR(F634=1,F634=4),配置与结果!$B$24,配置与结果!$B$25)*MAX(0,1-INDEX(配置与结果!$I$15:$I$18,F634))</f>
        <v>1000</v>
      </c>
      <c r="AF634" s="1">
        <f>方案参数!$BV$20</f>
        <v>3</v>
      </c>
      <c r="AG634" s="1">
        <f>MAX(配置与结果!$B$32,1+INDEX(配置与结果!$F$15:$F$18,F634)+0+Q634*方案参数!$W$20+Y634*(方案参数!$AN$20+MIN(方案参数!$AO$20,P634*0.03))+AB634*方案参数!$BZ$20*0.025-配置与结果!$B$28)</f>
        <v>1.1150000000000002</v>
      </c>
      <c r="AH634" s="1">
        <f>MAX(0,1+INDEX(配置与结果!$G$15:$G$18,F634)+W634*方案参数!$AG$20)</f>
        <v>1.45</v>
      </c>
      <c r="AI634" s="1">
        <f>IF(OR(INDEX(配置与结果!$K$15:$K$18,F634)=1,G634="RHI_BERRY"),1+配置与结果!$B$33+P634*方案参数!$AH$20,1)</f>
        <v>1</v>
      </c>
      <c r="AJ634" s="1">
        <f>MIN(1,MAX(0,J634+方案参数!$AB$20-配置与结果!$B$27))</f>
        <v>0.76</v>
      </c>
      <c r="AK634" s="1">
        <f>MAX(1,K634+IF(F634=2,0.15+方案参数!$CH$20,0)+BN634*方案参数!$X$20+R634*方案参数!$AA$20+0-配置与结果!$B$26+Z634*(方案参数!$AP$20+MIN(方案参数!$AQ$20,P634*0.03)))</f>
        <v>2.4080000000000004</v>
      </c>
      <c r="AL634" s="7">
        <f>ROUNDDOWN(MAX(AD634*配置与结果!$B$31,AD634-AE634)*AF634*AG634*AH634*AI634,0)</f>
        <v>9913</v>
      </c>
      <c r="AM634" s="7">
        <f>ROUNDDOWN(MAX(AD634*配置与结果!$B$31,AD634-AE634)*AF634*AG634*AH634*AI634*AK634,0)</f>
        <v>23872</v>
      </c>
      <c r="AN634" s="7">
        <f t="shared" si="812"/>
        <v>20521.84</v>
      </c>
      <c r="AO634" s="7">
        <f>方案参数!$BW$20</f>
        <v>1</v>
      </c>
      <c r="AP634" s="7">
        <f>MAX(0,1+INDEX(配置与结果!$J$15:$J$18,F634)+IF(T634&gt;0,方案参数!$BY$20,0)-配置与结果!$B$30)</f>
        <v>2</v>
      </c>
      <c r="AQ634" s="7">
        <f t="shared" si="813"/>
        <v>6088</v>
      </c>
      <c r="AR634" s="7">
        <f t="shared" si="814"/>
        <v>14659</v>
      </c>
      <c r="AS634" s="7">
        <f t="shared" si="815"/>
        <v>12601.96</v>
      </c>
      <c r="AT634" s="7">
        <f>0</f>
        <v>0</v>
      </c>
      <c r="AU634" s="7">
        <f t="shared" si="816"/>
        <v>33123.800000000003</v>
      </c>
      <c r="AV634" s="1">
        <f t="shared" si="817"/>
        <v>2</v>
      </c>
      <c r="AW634" s="1">
        <f t="shared" si="893"/>
        <v>10</v>
      </c>
      <c r="AX634" s="1">
        <f t="shared" si="818"/>
        <v>2</v>
      </c>
      <c r="AY634" s="1">
        <f t="shared" si="887"/>
        <v>6</v>
      </c>
      <c r="AZ634" s="1">
        <f t="shared" si="819"/>
        <v>7</v>
      </c>
      <c r="BA634" s="1">
        <f t="shared" si="901"/>
        <v>5</v>
      </c>
      <c r="BB634" s="1">
        <f>MIN(30,R634+0)</f>
        <v>10</v>
      </c>
      <c r="BC634" s="1">
        <f t="shared" si="894"/>
        <v>2</v>
      </c>
      <c r="BD634" s="1">
        <f t="shared" si="888"/>
        <v>1</v>
      </c>
      <c r="BE634" s="1">
        <f t="shared" si="881"/>
        <v>0</v>
      </c>
      <c r="BF634" s="1">
        <f>MIN(4,V634+1)</f>
        <v>3</v>
      </c>
      <c r="BG634" s="1">
        <f t="shared" si="898"/>
        <v>1</v>
      </c>
      <c r="BH634" s="1">
        <f t="shared" si="882"/>
        <v>1</v>
      </c>
      <c r="BI634" s="1">
        <f t="shared" si="899"/>
        <v>1</v>
      </c>
      <c r="BJ634" s="1">
        <f t="shared" si="902"/>
        <v>1</v>
      </c>
      <c r="BK634" s="1">
        <f t="shared" si="903"/>
        <v>1</v>
      </c>
      <c r="BL634" s="1">
        <f t="shared" si="862"/>
        <v>0</v>
      </c>
      <c r="BM634" s="1">
        <f t="shared" ref="BM634:BM668" si="906">MAX(AC634,0)</f>
        <v>1</v>
      </c>
      <c r="BN634" s="1">
        <f t="shared" si="883"/>
        <v>1</v>
      </c>
      <c r="BO634" s="1">
        <f t="shared" si="884"/>
        <v>1</v>
      </c>
    </row>
    <row r="635" spans="1:67" ht="30.95" customHeight="1">
      <c r="A635" s="1">
        <f>17</f>
        <v>17</v>
      </c>
      <c r="B635" s="1">
        <f>固定流程!A23</f>
        <v>18</v>
      </c>
      <c r="C635" s="1">
        <f>20</f>
        <v>20</v>
      </c>
      <c r="D635" s="1">
        <f>1</f>
        <v>1</v>
      </c>
      <c r="E635" s="1">
        <f>固定流程!C23</f>
        <v>3</v>
      </c>
      <c r="F635" s="1">
        <f>固定流程!G23</f>
        <v>4</v>
      </c>
      <c r="G635" s="1" t="str">
        <f>固定流程!H23</f>
        <v>J_HARD</v>
      </c>
      <c r="H635" s="1">
        <f>固定流程!F23</f>
        <v>1</v>
      </c>
      <c r="I635" s="1">
        <f>INDEX(配置与结果!$B$15:$B$18,F635)</f>
        <v>1906</v>
      </c>
      <c r="J635" s="1">
        <f>INDEX(配置与结果!$D$15:$D$18,F635)</f>
        <v>0.36699999999999999</v>
      </c>
      <c r="K635" s="1">
        <f>INDEX(配置与结果!$E$15:$E$18,F635)</f>
        <v>1.7170000000000001</v>
      </c>
      <c r="L635" s="1">
        <f t="shared" si="895"/>
        <v>2</v>
      </c>
      <c r="M635" s="1">
        <f t="shared" si="896"/>
        <v>10</v>
      </c>
      <c r="N635" s="1">
        <f t="shared" si="897"/>
        <v>2</v>
      </c>
      <c r="O635" s="1">
        <f t="shared" si="889"/>
        <v>6</v>
      </c>
      <c r="P635" s="1">
        <f>MIN(方案参数!$AI$20,AZ634+0+0)</f>
        <v>7</v>
      </c>
      <c r="Q635" s="1">
        <f t="shared" si="867"/>
        <v>5</v>
      </c>
      <c r="R635" s="1">
        <f t="shared" si="868"/>
        <v>10</v>
      </c>
      <c r="S635" s="1">
        <f t="shared" si="869"/>
        <v>2</v>
      </c>
      <c r="T635" s="1">
        <f t="shared" si="904"/>
        <v>1</v>
      </c>
      <c r="U635" s="1">
        <f t="shared" si="871"/>
        <v>0</v>
      </c>
      <c r="V635" s="1">
        <f t="shared" si="872"/>
        <v>3</v>
      </c>
      <c r="W635" s="1">
        <f t="shared" si="873"/>
        <v>1</v>
      </c>
      <c r="X635" s="1">
        <f t="shared" si="874"/>
        <v>1</v>
      </c>
      <c r="Y635" s="1">
        <f t="shared" si="875"/>
        <v>1</v>
      </c>
      <c r="Z635" s="1">
        <f t="shared" si="876"/>
        <v>1</v>
      </c>
      <c r="AA635" s="1">
        <f t="shared" si="900"/>
        <v>1</v>
      </c>
      <c r="AB635" s="1">
        <f t="shared" si="878"/>
        <v>0</v>
      </c>
      <c r="AC635" s="1">
        <f t="shared" si="905"/>
        <v>1</v>
      </c>
      <c r="AD635" s="1">
        <f>ROUNDDOWN(I635*(1+IF(F635=3,0.05+方案参数!$Y$20+AA635*0.12,IF(F635=4,方案参数!$BZ$20*方案参数!$AS$20,0)))+IF(AND(X635=1,F635&lt;&gt;3),方案参数!$CC$20,0)+AC635*方案参数!$CB$20,0)</f>
        <v>3311</v>
      </c>
      <c r="AE635" s="1">
        <f>IF(OR(F635=1,F635=4),配置与结果!$B$24,配置与结果!$B$25)*MAX(0,1-INDEX(配置与结果!$I$15:$I$18,F635))</f>
        <v>1200</v>
      </c>
      <c r="AF635" s="1">
        <f>3.6*IF(H635=1,1,IF(H635=2,1.5,2.5))</f>
        <v>3.6</v>
      </c>
      <c r="AG635" s="1">
        <f>MAX(配置与结果!$B$32,1+INDEX(配置与结果!$F$15:$F$18,F635)+0.08+Q635*方案参数!$W$20+Y635*(方案参数!$AN$20+MIN(方案参数!$AO$20,P635*0.03))+AB635*方案参数!$BZ$20*0.025+0.1+IF(方案参数!$BZ$20&gt;=30,方案参数!$BZ$20*0.01,0)-配置与结果!$B$28)</f>
        <v>1.6650000000000005</v>
      </c>
      <c r="AH635" s="1">
        <f>MAX(0,1+INDEX(配置与结果!$G$15:$G$18,F635)+W635*方案参数!$AG$20)</f>
        <v>1.45</v>
      </c>
      <c r="AI635" s="1">
        <f>IF(OR(INDEX(配置与结果!$K$15:$K$18,F635)=1,G635="RHI_BERRY"),1+配置与结果!$B$33+P635*方案参数!$AH$20,1)</f>
        <v>1</v>
      </c>
      <c r="AJ635" s="1">
        <f>MIN(1,MAX(0,J635+方案参数!$AB$20-配置与结果!$B$27))</f>
        <v>0.66700000000000004</v>
      </c>
      <c r="AK635" s="1">
        <f>MAX(1,K635+IF(F635=2,0.15+方案参数!$CH$20,0)+BN635*方案参数!$X$20+R635*方案参数!$AA$20+0-配置与结果!$B$26+Z635*(方案参数!$AP$20+MIN(方案参数!$AQ$20,P635*0.03)))</f>
        <v>1.927</v>
      </c>
      <c r="AL635" s="7">
        <f>ROUNDDOWN(MAX(AD635*配置与结果!$B$31,AD635-AE635)*AF635*AG635*AH635*AI635,0)</f>
        <v>18347</v>
      </c>
      <c r="AM635" s="7">
        <f>ROUNDDOWN(MAX(AD635*配置与结果!$B$31,AD635-AE635)*AF635*AG635*AH635*AI635*AK635,0)</f>
        <v>35355</v>
      </c>
      <c r="AN635" s="7">
        <f t="shared" si="812"/>
        <v>29691.335999999999</v>
      </c>
      <c r="AO635" s="7">
        <f>0</f>
        <v>0</v>
      </c>
      <c r="AP635" s="7">
        <f>MAX(0,1+INDEX(配置与结果!$J$15:$J$18,F635)+IF(T635&gt;0,方案参数!$BY$20,0)-配置与结果!$B$30)</f>
        <v>2</v>
      </c>
      <c r="AQ635" s="7">
        <f t="shared" si="813"/>
        <v>0</v>
      </c>
      <c r="AR635" s="7">
        <f t="shared" si="814"/>
        <v>0</v>
      </c>
      <c r="AS635" s="7">
        <f t="shared" si="815"/>
        <v>0</v>
      </c>
      <c r="AT635" s="7">
        <f>0</f>
        <v>0</v>
      </c>
      <c r="AU635" s="7">
        <f t="shared" si="816"/>
        <v>29691.335999999999</v>
      </c>
      <c r="AV635" s="1">
        <f t="shared" si="817"/>
        <v>2</v>
      </c>
      <c r="AW635" s="1">
        <f t="shared" si="893"/>
        <v>10</v>
      </c>
      <c r="AX635" s="1">
        <f t="shared" si="818"/>
        <v>2</v>
      </c>
      <c r="AY635" s="1">
        <f t="shared" si="887"/>
        <v>6</v>
      </c>
      <c r="AZ635" s="1">
        <f t="shared" si="819"/>
        <v>7</v>
      </c>
      <c r="BA635" s="1">
        <f t="shared" si="901"/>
        <v>5</v>
      </c>
      <c r="BB635" s="1">
        <f>MIN(30,R635+0)</f>
        <v>10</v>
      </c>
      <c r="BC635" s="1">
        <f>MIN(3,S635+1)</f>
        <v>3</v>
      </c>
      <c r="BD635" s="1">
        <f t="shared" si="888"/>
        <v>1</v>
      </c>
      <c r="BE635" s="1">
        <f t="shared" si="881"/>
        <v>0</v>
      </c>
      <c r="BF635" s="1">
        <f>MIN(4,V635+0)</f>
        <v>3</v>
      </c>
      <c r="BG635" s="1">
        <f t="shared" si="898"/>
        <v>1</v>
      </c>
      <c r="BH635" s="1">
        <f t="shared" si="882"/>
        <v>1</v>
      </c>
      <c r="BI635" s="1">
        <f t="shared" si="899"/>
        <v>1</v>
      </c>
      <c r="BJ635" s="1">
        <f t="shared" si="902"/>
        <v>1</v>
      </c>
      <c r="BK635" s="1">
        <f t="shared" si="903"/>
        <v>1</v>
      </c>
      <c r="BL635" s="1">
        <f t="shared" si="862"/>
        <v>0</v>
      </c>
      <c r="BM635" s="1">
        <f t="shared" si="906"/>
        <v>1</v>
      </c>
      <c r="BN635" s="1">
        <f t="shared" si="883"/>
        <v>1</v>
      </c>
      <c r="BO635" s="1">
        <f t="shared" si="884"/>
        <v>1</v>
      </c>
    </row>
    <row r="636" spans="1:67" ht="30.95" customHeight="1">
      <c r="A636" s="1">
        <f>17</f>
        <v>17</v>
      </c>
      <c r="B636" s="1">
        <f>固定流程!A24</f>
        <v>19</v>
      </c>
      <c r="C636" s="1">
        <f>20</f>
        <v>20</v>
      </c>
      <c r="D636" s="1">
        <f>1</f>
        <v>1</v>
      </c>
      <c r="E636" s="1">
        <f>固定流程!C24</f>
        <v>3</v>
      </c>
      <c r="F636" s="1">
        <f>固定流程!G24</f>
        <v>4</v>
      </c>
      <c r="G636" s="1" t="str">
        <f>固定流程!H24</f>
        <v>J_ULT</v>
      </c>
      <c r="H636" s="1">
        <f>固定流程!F24</f>
        <v>1</v>
      </c>
      <c r="I636" s="1">
        <f>INDEX(配置与结果!$B$15:$B$18,F636)</f>
        <v>1906</v>
      </c>
      <c r="J636" s="1">
        <f>INDEX(配置与结果!$D$15:$D$18,F636)</f>
        <v>0.36699999999999999</v>
      </c>
      <c r="K636" s="1">
        <f>INDEX(配置与结果!$E$15:$E$18,F636)</f>
        <v>1.7170000000000001</v>
      </c>
      <c r="L636" s="1">
        <f t="shared" si="895"/>
        <v>2</v>
      </c>
      <c r="M636" s="1">
        <f t="shared" si="896"/>
        <v>10</v>
      </c>
      <c r="N636" s="1">
        <f t="shared" si="897"/>
        <v>2</v>
      </c>
      <c r="O636" s="1">
        <f t="shared" si="889"/>
        <v>6</v>
      </c>
      <c r="P636" s="1">
        <f>MIN(方案参数!$AI$20,AZ635+0+0)</f>
        <v>7</v>
      </c>
      <c r="Q636" s="1">
        <f t="shared" si="867"/>
        <v>5</v>
      </c>
      <c r="R636" s="1">
        <f t="shared" si="868"/>
        <v>10</v>
      </c>
      <c r="S636" s="1">
        <f t="shared" si="869"/>
        <v>3</v>
      </c>
      <c r="T636" s="1">
        <f t="shared" si="904"/>
        <v>1</v>
      </c>
      <c r="U636" s="1">
        <f t="shared" si="871"/>
        <v>0</v>
      </c>
      <c r="V636" s="1">
        <f t="shared" si="872"/>
        <v>3</v>
      </c>
      <c r="W636" s="1">
        <f t="shared" si="873"/>
        <v>1</v>
      </c>
      <c r="X636" s="1">
        <f t="shared" si="874"/>
        <v>1</v>
      </c>
      <c r="Y636" s="1">
        <f t="shared" si="875"/>
        <v>1</v>
      </c>
      <c r="Z636" s="1">
        <f t="shared" si="876"/>
        <v>1</v>
      </c>
      <c r="AA636" s="1">
        <f t="shared" si="900"/>
        <v>1</v>
      </c>
      <c r="AB636" s="1">
        <f t="shared" si="878"/>
        <v>0</v>
      </c>
      <c r="AC636" s="1">
        <f t="shared" si="905"/>
        <v>1</v>
      </c>
      <c r="AD636" s="1">
        <f>ROUNDDOWN(I636*(1+IF(F636=3,0.05+方案参数!$Y$20+AA636*0.12,IF(F636=4,方案参数!$BZ$20*方案参数!$AS$20,0)))+IF(AND(X636=1,F636&lt;&gt;3),方案参数!$CC$20,0)+AC636*方案参数!$CB$20,0)</f>
        <v>3311</v>
      </c>
      <c r="AE636" s="1">
        <f>IF(OR(F636=1,F636=4),配置与结果!$B$24,配置与结果!$B$25)*MAX(0,1-INDEX(配置与结果!$I$15:$I$18,F636))</f>
        <v>1200</v>
      </c>
      <c r="AF636" s="1">
        <f>方案参数!$AT$20+MAX(0,配置与结果!$H$26+方案参数!$BZ$20-30)*方案参数!$AU$20*配置与结果!$H$27</f>
        <v>42</v>
      </c>
      <c r="AG636" s="1">
        <f>MAX(配置与结果!$B$32,1+INDEX(配置与结果!$F$15:$F$18,F636)+0.08+Q636*方案参数!$W$20+Y636*(方案参数!$AN$20+MIN(方案参数!$AO$20,P636*0.03))+AB636*方案参数!$BZ$20*0.025-配置与结果!$B$28)</f>
        <v>1.2150000000000003</v>
      </c>
      <c r="AH636" s="1">
        <f>MAX(0,1+INDEX(配置与结果!$H$15:$H$18,F636)+W636*方案参数!$AG$20+S636*方案参数!$Z$20)</f>
        <v>1.5699999999999998</v>
      </c>
      <c r="AI636" s="1">
        <f>IF(OR(INDEX(配置与结果!$K$15:$K$18,F636)=1,G636="RHI_BERRY"),1+配置与结果!$B$33+P636*方案参数!$AH$20,1)</f>
        <v>1</v>
      </c>
      <c r="AJ636" s="1">
        <f>MIN(1,MAX(0,J636+方案参数!$AB$20-配置与结果!$B$27))</f>
        <v>0.66700000000000004</v>
      </c>
      <c r="AK636" s="1">
        <f>MAX(1,K636+IF(F636=2,0.15+方案参数!$CH$20,0)+BN636*方案参数!$X$20+R636*方案参数!$AA$20+0-配置与结果!$B$26+Z636*(方案参数!$AP$20+MIN(方案参数!$AQ$20,P636*0.03)))</f>
        <v>1.927</v>
      </c>
      <c r="AL636" s="7">
        <f>ROUNDDOWN(MAX(AD636*配置与结果!$B$31,AD636-AE636)*AF636*AG636*AH636*AI636,0)</f>
        <v>169127</v>
      </c>
      <c r="AM636" s="7">
        <f>ROUNDDOWN(MAX(AD636*配置与结果!$B$31,AD636-AE636)*AF636*AG636*AH636*AI636*AK636,0)</f>
        <v>325908</v>
      </c>
      <c r="AN636" s="7">
        <f t="shared" si="812"/>
        <v>273699.92699999997</v>
      </c>
      <c r="AO636" s="7">
        <f>0</f>
        <v>0</v>
      </c>
      <c r="AP636" s="7">
        <f>MAX(0,1+INDEX(配置与结果!$J$15:$J$18,F636)+IF(T636&gt;0,方案参数!$BY$20,0)-配置与结果!$B$30)</f>
        <v>2</v>
      </c>
      <c r="AQ636" s="7">
        <f t="shared" si="813"/>
        <v>0</v>
      </c>
      <c r="AR636" s="7">
        <f t="shared" si="814"/>
        <v>0</v>
      </c>
      <c r="AS636" s="7">
        <f t="shared" si="815"/>
        <v>0</v>
      </c>
      <c r="AT636" s="7">
        <f>0</f>
        <v>0</v>
      </c>
      <c r="AU636" s="7">
        <f t="shared" si="816"/>
        <v>273699.92699999997</v>
      </c>
      <c r="AV636" s="1">
        <f t="shared" si="817"/>
        <v>2</v>
      </c>
      <c r="AW636" s="1">
        <f t="shared" si="893"/>
        <v>10</v>
      </c>
      <c r="AX636" s="1">
        <f t="shared" si="818"/>
        <v>2</v>
      </c>
      <c r="AY636" s="1">
        <f t="shared" si="887"/>
        <v>6</v>
      </c>
      <c r="AZ636" s="1">
        <f t="shared" si="819"/>
        <v>7</v>
      </c>
      <c r="BA636" s="1">
        <f t="shared" si="901"/>
        <v>5</v>
      </c>
      <c r="BB636" s="1">
        <f>MIN(30,R636+5)</f>
        <v>15</v>
      </c>
      <c r="BC636" s="1">
        <f t="shared" ref="BC636:BC659" si="907">MIN(3,S636+0)</f>
        <v>3</v>
      </c>
      <c r="BD636" s="1">
        <f t="shared" si="888"/>
        <v>1</v>
      </c>
      <c r="BE636" s="1">
        <f t="shared" si="881"/>
        <v>0</v>
      </c>
      <c r="BF636" s="1">
        <f>MIN(4,V636+0)</f>
        <v>3</v>
      </c>
      <c r="BG636" s="1">
        <f t="shared" si="898"/>
        <v>1</v>
      </c>
      <c r="BH636" s="1">
        <f t="shared" si="882"/>
        <v>1</v>
      </c>
      <c r="BI636" s="1">
        <f t="shared" si="899"/>
        <v>1</v>
      </c>
      <c r="BJ636" s="1">
        <f t="shared" si="902"/>
        <v>1</v>
      </c>
      <c r="BK636" s="1">
        <f t="shared" si="903"/>
        <v>1</v>
      </c>
      <c r="BL636" s="1">
        <f>MAX(AB636,1)</f>
        <v>1</v>
      </c>
      <c r="BM636" s="1">
        <f t="shared" si="906"/>
        <v>1</v>
      </c>
      <c r="BN636" s="1">
        <f t="shared" si="883"/>
        <v>1</v>
      </c>
      <c r="BO636" s="1">
        <f t="shared" si="884"/>
        <v>1</v>
      </c>
    </row>
    <row r="637" spans="1:67" ht="30.95" customHeight="1">
      <c r="A637" s="1">
        <f>17</f>
        <v>17</v>
      </c>
      <c r="B637" s="1">
        <f>固定流程!A25</f>
        <v>20</v>
      </c>
      <c r="C637" s="1">
        <f>20</f>
        <v>20</v>
      </c>
      <c r="D637" s="1">
        <f>1</f>
        <v>1</v>
      </c>
      <c r="E637" s="1">
        <f>固定流程!C25</f>
        <v>3</v>
      </c>
      <c r="F637" s="1">
        <f>固定流程!G25</f>
        <v>1</v>
      </c>
      <c r="G637" s="1" t="str">
        <f>固定流程!H25</f>
        <v>LILYA_ULT</v>
      </c>
      <c r="H637" s="1">
        <f>固定流程!F25</f>
        <v>1</v>
      </c>
      <c r="I637" s="1">
        <f>INDEX(配置与结果!$B$15:$B$18,F637)</f>
        <v>2296</v>
      </c>
      <c r="J637" s="1">
        <f>INDEX(配置与结果!$D$15:$D$18,F637)</f>
        <v>0.7</v>
      </c>
      <c r="K637" s="1">
        <f>INDEX(配置与结果!$E$15:$E$18,F637)</f>
        <v>2.0249999999999999</v>
      </c>
      <c r="L637" s="1">
        <f t="shared" si="895"/>
        <v>2</v>
      </c>
      <c r="M637" s="1">
        <f t="shared" si="896"/>
        <v>10</v>
      </c>
      <c r="N637" s="1">
        <f t="shared" si="897"/>
        <v>2</v>
      </c>
      <c r="O637" s="1">
        <f t="shared" si="889"/>
        <v>6</v>
      </c>
      <c r="P637" s="1">
        <f>MIN(方案参数!$AI$20,AZ636+0+0)</f>
        <v>7</v>
      </c>
      <c r="Q637" s="1">
        <f t="shared" si="867"/>
        <v>5</v>
      </c>
      <c r="R637" s="1">
        <f t="shared" si="868"/>
        <v>15</v>
      </c>
      <c r="S637" s="1">
        <f t="shared" si="869"/>
        <v>3</v>
      </c>
      <c r="T637" s="1">
        <f t="shared" si="904"/>
        <v>1</v>
      </c>
      <c r="U637" s="1">
        <f t="shared" si="871"/>
        <v>0</v>
      </c>
      <c r="V637" s="1">
        <f t="shared" si="872"/>
        <v>3</v>
      </c>
      <c r="W637" s="1">
        <f t="shared" si="873"/>
        <v>1</v>
      </c>
      <c r="X637" s="1">
        <f t="shared" si="874"/>
        <v>1</v>
      </c>
      <c r="Y637" s="1">
        <f t="shared" si="875"/>
        <v>1</v>
      </c>
      <c r="Z637" s="1">
        <f t="shared" si="876"/>
        <v>1</v>
      </c>
      <c r="AA637" s="1">
        <f t="shared" si="900"/>
        <v>1</v>
      </c>
      <c r="AB637" s="1">
        <f t="shared" si="878"/>
        <v>1</v>
      </c>
      <c r="AC637" s="1">
        <f t="shared" si="905"/>
        <v>1</v>
      </c>
      <c r="AD637" s="1">
        <f>ROUNDDOWN(I637*(1+IF(F637=3,0.05+方案参数!$Y$20+AA637*0.12,IF(F637=4,方案参数!$BZ$20*方案参数!$AS$20,0)))+IF(AND(X637=1,F637&lt;&gt;3),方案参数!$CC$20,0)+AC637*方案参数!$CB$20,0)</f>
        <v>3034</v>
      </c>
      <c r="AE637" s="1">
        <f>IF(OR(F637=1,F637=4),配置与结果!$B$24,配置与结果!$B$25)*MAX(0,1-INDEX(配置与结果!$I$15:$I$18,F637)+IF(O637&gt;=6,方案参数!$BK$20,0))</f>
        <v>1440</v>
      </c>
      <c r="AF637" s="1">
        <f>方案参数!$BG$20+IF(O637&gt;=6,方案参数!$BH$20,0)</f>
        <v>36</v>
      </c>
      <c r="AG637" s="1">
        <f>MAX(配置与结果!$B$32,1+INDEX(配置与结果!$F$15:$F$18,F637)+0.08+方案参数!$CD$20+Q637*方案参数!$W$20+Y637*(方案参数!$AN$20+MIN(方案参数!$AO$20,P637*0.03))+AB637*方案参数!$BZ$20*0.025-配置与结果!$B$28)</f>
        <v>2.3250000000000002</v>
      </c>
      <c r="AH637" s="1">
        <f>MAX(0,1+INDEX(配置与结果!$H$15:$H$18,F637)+W637*方案参数!$AG$20+O637*方案参数!$BF$20+IF(O637&gt;=6,方案参数!$BI$20,0))</f>
        <v>2.6</v>
      </c>
      <c r="AI637" s="1">
        <f>IF(OR(INDEX(配置与结果!$K$15:$K$18,F637)=1,G637="RHI_BERRY"),1+配置与结果!$B$33+P637*方案参数!$AH$20,1)</f>
        <v>1</v>
      </c>
      <c r="AJ637" s="1">
        <f>MIN(1,MAX(0,J637+方案参数!$AB$20-配置与结果!$B$27))</f>
        <v>1</v>
      </c>
      <c r="AK637" s="1">
        <f>MAX(1,K637+IF(F637=2,0.15+方案参数!$CH$20,0)+BN637*方案参数!$X$20+R637*方案参数!$AA$20+IF(O637&gt;=6,方案参数!$BJ$20,0)-配置与结果!$B$26+Z637*(方案参数!$AP$20+MIN(方案参数!$AQ$20,P637*0.03)))</f>
        <v>3.2550000000000003</v>
      </c>
      <c r="AL637" s="7">
        <f>ROUNDDOWN(MAX(AD637*配置与结果!$B$31,AD637-AE637)*AF637*AG637*AH637*AI637,0)</f>
        <v>346886</v>
      </c>
      <c r="AM637" s="7">
        <f>ROUNDDOWN(MAX(AD637*配置与结果!$B$31,AD637-AE637)*AF637*AG637*AH637*AI637*AK637,0)</f>
        <v>1129114</v>
      </c>
      <c r="AN637" s="7">
        <f t="shared" si="812"/>
        <v>1129114</v>
      </c>
      <c r="AO637" s="7">
        <f>0</f>
        <v>0</v>
      </c>
      <c r="AP637" s="7">
        <f>MAX(0,1+INDEX(配置与结果!$J$15:$J$18,F637)+IF(T637&gt;0,方案参数!$BY$20,0)-配置与结果!$B$30)</f>
        <v>2</v>
      </c>
      <c r="AQ637" s="7">
        <f t="shared" si="813"/>
        <v>0</v>
      </c>
      <c r="AR637" s="7">
        <f t="shared" si="814"/>
        <v>0</v>
      </c>
      <c r="AS637" s="7">
        <f t="shared" si="815"/>
        <v>0</v>
      </c>
      <c r="AT637" s="7">
        <f>0</f>
        <v>0</v>
      </c>
      <c r="AU637" s="7">
        <f t="shared" si="816"/>
        <v>1129114</v>
      </c>
      <c r="AV637" s="1">
        <f t="shared" si="817"/>
        <v>2</v>
      </c>
      <c r="AW637" s="1">
        <f t="shared" si="893"/>
        <v>10</v>
      </c>
      <c r="AX637" s="1">
        <f t="shared" si="818"/>
        <v>2</v>
      </c>
      <c r="AY637" s="1">
        <f>MIN(20,MAX(0,O637+0+0-IF(O637&gt;=6,6,0)))</f>
        <v>0</v>
      </c>
      <c r="AZ637" s="1">
        <f t="shared" si="819"/>
        <v>7</v>
      </c>
      <c r="BA637" s="1">
        <f t="shared" si="901"/>
        <v>5</v>
      </c>
      <c r="BB637" s="1">
        <f>MIN(30,R637+5)</f>
        <v>20</v>
      </c>
      <c r="BC637" s="1">
        <f t="shared" si="907"/>
        <v>3</v>
      </c>
      <c r="BD637" s="1">
        <f t="shared" si="888"/>
        <v>1</v>
      </c>
      <c r="BE637" s="1">
        <f t="shared" si="881"/>
        <v>0</v>
      </c>
      <c r="BF637" s="1">
        <f>MIN(4,V637+0)</f>
        <v>3</v>
      </c>
      <c r="BG637" s="1">
        <f t="shared" si="898"/>
        <v>1</v>
      </c>
      <c r="BH637" s="1">
        <f t="shared" si="882"/>
        <v>1</v>
      </c>
      <c r="BI637" s="1">
        <f t="shared" si="899"/>
        <v>1</v>
      </c>
      <c r="BJ637" s="1">
        <f t="shared" si="902"/>
        <v>1</v>
      </c>
      <c r="BK637" s="1">
        <f t="shared" si="903"/>
        <v>1</v>
      </c>
      <c r="BL637" s="1">
        <f t="shared" ref="BL637:BL671" si="908">MAX(AB637,0)</f>
        <v>1</v>
      </c>
      <c r="BM637" s="1">
        <f t="shared" si="906"/>
        <v>1</v>
      </c>
      <c r="BN637" s="1">
        <f t="shared" si="883"/>
        <v>1</v>
      </c>
      <c r="BO637" s="1">
        <f t="shared" si="884"/>
        <v>1</v>
      </c>
    </row>
    <row r="638" spans="1:67" ht="30.95" customHeight="1">
      <c r="A638" s="1">
        <f>17</f>
        <v>17</v>
      </c>
      <c r="B638" s="1">
        <f>固定流程!A26</f>
        <v>21</v>
      </c>
      <c r="C638" s="1">
        <f>20</f>
        <v>20</v>
      </c>
      <c r="D638" s="1">
        <f>1</f>
        <v>1</v>
      </c>
      <c r="E638" s="1">
        <f>固定流程!C26</f>
        <v>3</v>
      </c>
      <c r="F638" s="1">
        <f>固定流程!G26</f>
        <v>1</v>
      </c>
      <c r="G638" s="1" t="str">
        <f>固定流程!H26</f>
        <v>LILYA_DIVE</v>
      </c>
      <c r="H638" s="1">
        <f>固定流程!F26</f>
        <v>3</v>
      </c>
      <c r="I638" s="1">
        <f>INDEX(配置与结果!$B$15:$B$18,F638)</f>
        <v>2296</v>
      </c>
      <c r="J638" s="1">
        <f>INDEX(配置与结果!$D$15:$D$18,F638)</f>
        <v>0.7</v>
      </c>
      <c r="K638" s="1">
        <f>INDEX(配置与结果!$E$15:$E$18,F638)</f>
        <v>2.0249999999999999</v>
      </c>
      <c r="L638" s="1">
        <f t="shared" si="895"/>
        <v>2</v>
      </c>
      <c r="M638" s="1">
        <f t="shared" si="896"/>
        <v>10</v>
      </c>
      <c r="N638" s="1">
        <f t="shared" si="897"/>
        <v>2</v>
      </c>
      <c r="O638" s="1">
        <f t="shared" si="889"/>
        <v>0</v>
      </c>
      <c r="P638" s="1">
        <f>MIN(方案参数!$AI$20,AZ637+0+0)</f>
        <v>7</v>
      </c>
      <c r="Q638" s="1">
        <f t="shared" si="867"/>
        <v>5</v>
      </c>
      <c r="R638" s="1">
        <f t="shared" si="868"/>
        <v>20</v>
      </c>
      <c r="S638" s="1">
        <f t="shared" si="869"/>
        <v>3</v>
      </c>
      <c r="T638" s="1">
        <f t="shared" si="904"/>
        <v>1</v>
      </c>
      <c r="U638" s="1">
        <f t="shared" si="871"/>
        <v>0</v>
      </c>
      <c r="V638" s="1">
        <f t="shared" si="872"/>
        <v>3</v>
      </c>
      <c r="W638" s="1">
        <f t="shared" si="873"/>
        <v>1</v>
      </c>
      <c r="X638" s="1">
        <f t="shared" si="874"/>
        <v>1</v>
      </c>
      <c r="Y638" s="1">
        <f t="shared" si="875"/>
        <v>1</v>
      </c>
      <c r="Z638" s="1">
        <f t="shared" si="876"/>
        <v>1</v>
      </c>
      <c r="AA638" s="1">
        <f t="shared" si="900"/>
        <v>1</v>
      </c>
      <c r="AB638" s="1">
        <f t="shared" si="878"/>
        <v>1</v>
      </c>
      <c r="AC638" s="1">
        <f t="shared" si="905"/>
        <v>1</v>
      </c>
      <c r="AD638" s="1">
        <f>ROUNDDOWN(I638*(1+IF(F638=3,0.05+方案参数!$Y$20+AA638*0.12,IF(F638=4,方案参数!$BZ$20*方案参数!$AS$20,0)))+IF(AND(X638=1,F638&lt;&gt;3),方案参数!$CC$20,0)+AC638*方案参数!$CB$20,0)</f>
        <v>3034</v>
      </c>
      <c r="AE638" s="1">
        <f>IF(OR(F638=1,F638=4),配置与结果!$B$24,配置与结果!$B$25)*MAX(0,1-INDEX(配置与结果!$I$15:$I$18,F638))</f>
        <v>1200</v>
      </c>
      <c r="AF638" s="1">
        <f>(IF(L638=1,方案参数!$AW$20,IF(L638=2,方案参数!$AX$20,0))+方案参数!$AV$20)*H638</f>
        <v>30</v>
      </c>
      <c r="AG638" s="1">
        <f>MAX(配置与结果!$B$32,1+INDEX(配置与结果!$F$15:$F$18,F638)+0.08+方案参数!$CD$20+Q638*方案参数!$W$20+Y638*(方案参数!$AN$20+MIN(方案参数!$AO$20,P638*0.03))+AB638*方案参数!$BZ$20*0.025+IF(L638=1,方案参数!$AY$20+(H638-1)*0.1,IF(L638=2,方案参数!$AZ$20+(H638-1)*0.2,0))-配置与结果!$B$28)</f>
        <v>2.9250000000000003</v>
      </c>
      <c r="AH638" s="1">
        <f>MAX(0,1+INDEX(配置与结果!$G$15:$G$18,F638)+W638*方案参数!$AG$20+IF(L638=1,方案参数!$BA$20,IF(L638=2,方案参数!$BB$20,0))+M638*方案参数!$BC$20)</f>
        <v>3.25</v>
      </c>
      <c r="AI638" s="1">
        <f>IF(OR(INDEX(配置与结果!$K$15:$K$18,F638)=1,G638="RHI_BERRY"),1+配置与结果!$B$33+P638*方案参数!$AH$20,1)</f>
        <v>1</v>
      </c>
      <c r="AJ638" s="1">
        <f>MIN(1,MAX(0,J638+方案参数!$AB$20-配置与结果!$B$27))</f>
        <v>1</v>
      </c>
      <c r="AK638" s="1">
        <f>MAX(1,K638+IF(F638=2,0.15+方案参数!$CH$20,0)+BN638*方案参数!$X$20+R638*方案参数!$AA$20+0-配置与结果!$B$26+Z638*(方案参数!$AP$20+MIN(方案参数!$AQ$20,P638*0.03)))</f>
        <v>2.2750000000000004</v>
      </c>
      <c r="AL638" s="7">
        <f>ROUNDDOWN(MAX(AD638*配置与结果!$B$31,AD638-AE638)*AF638*AG638*AH638*AI638,0)</f>
        <v>523033</v>
      </c>
      <c r="AM638" s="7">
        <f>ROUNDDOWN(MAX(AD638*配置与结果!$B$31,AD638-AE638)*AF638*AG638*AH638*AI638*AK638,0)</f>
        <v>1189902</v>
      </c>
      <c r="AN638" s="7">
        <f t="shared" si="812"/>
        <v>1189902</v>
      </c>
      <c r="AO638" s="7">
        <f>0</f>
        <v>0</v>
      </c>
      <c r="AP638" s="7">
        <f>MAX(0,1+INDEX(配置与结果!$J$15:$J$18,F638)+IF(T638&gt;0,方案参数!$BY$20,0)-配置与结果!$B$30)</f>
        <v>2</v>
      </c>
      <c r="AQ638" s="7">
        <f t="shared" si="813"/>
        <v>0</v>
      </c>
      <c r="AR638" s="7">
        <f t="shared" si="814"/>
        <v>0</v>
      </c>
      <c r="AS638" s="7">
        <f t="shared" si="815"/>
        <v>0</v>
      </c>
      <c r="AT638" s="7">
        <f>0</f>
        <v>0</v>
      </c>
      <c r="AU638" s="7">
        <f t="shared" si="816"/>
        <v>1189902</v>
      </c>
      <c r="AV638" s="1">
        <f t="shared" si="817"/>
        <v>2</v>
      </c>
      <c r="AW638" s="1">
        <f>MIN(10,M638+0+IF(L638=1,方案参数!$BE$20,0))</f>
        <v>10</v>
      </c>
      <c r="AX638" s="1">
        <f t="shared" si="818"/>
        <v>2</v>
      </c>
      <c r="AY638" s="1">
        <f>MIN(20,MAX(0,O638+0+0-0))</f>
        <v>0</v>
      </c>
      <c r="AZ638" s="1">
        <f t="shared" si="819"/>
        <v>7</v>
      </c>
      <c r="BA638" s="1">
        <f t="shared" si="901"/>
        <v>5</v>
      </c>
      <c r="BB638" s="1">
        <f t="shared" ref="BB638:BB653" si="909">MIN(30,R638+0)</f>
        <v>20</v>
      </c>
      <c r="BC638" s="1">
        <f t="shared" si="907"/>
        <v>3</v>
      </c>
      <c r="BD638" s="1">
        <f t="shared" si="888"/>
        <v>1</v>
      </c>
      <c r="BE638" s="1">
        <f t="shared" si="881"/>
        <v>0</v>
      </c>
      <c r="BF638" s="1">
        <f>MIN(4,V638+0)</f>
        <v>3</v>
      </c>
      <c r="BG638" s="1">
        <f t="shared" si="898"/>
        <v>1</v>
      </c>
      <c r="BH638" s="1">
        <f t="shared" si="882"/>
        <v>1</v>
      </c>
      <c r="BI638" s="1">
        <f t="shared" si="899"/>
        <v>1</v>
      </c>
      <c r="BJ638" s="1">
        <f t="shared" si="902"/>
        <v>1</v>
      </c>
      <c r="BK638" s="1">
        <f t="shared" si="903"/>
        <v>1</v>
      </c>
      <c r="BL638" s="1">
        <f t="shared" si="908"/>
        <v>1</v>
      </c>
      <c r="BM638" s="1">
        <f t="shared" si="906"/>
        <v>1</v>
      </c>
      <c r="BN638" s="1">
        <f t="shared" si="883"/>
        <v>1</v>
      </c>
      <c r="BO638" s="1">
        <f t="shared" si="884"/>
        <v>1</v>
      </c>
    </row>
    <row r="639" spans="1:67" ht="30.95" customHeight="1">
      <c r="A639" s="1">
        <f>17</f>
        <v>17</v>
      </c>
      <c r="B639" s="1">
        <f>固定流程!A27</f>
        <v>22</v>
      </c>
      <c r="C639" s="1">
        <f>20</f>
        <v>20</v>
      </c>
      <c r="D639" s="1">
        <f>1</f>
        <v>1</v>
      </c>
      <c r="E639" s="1">
        <f>固定流程!C27</f>
        <v>3</v>
      </c>
      <c r="F639" s="1">
        <f>固定流程!G27</f>
        <v>3</v>
      </c>
      <c r="G639" s="1" t="str">
        <f>固定流程!H27</f>
        <v>RHI_BERRY</v>
      </c>
      <c r="H639" s="1">
        <f>固定流程!F27</f>
        <v>1</v>
      </c>
      <c r="I639" s="1">
        <f>INDEX(配置与结果!$B$15:$B$18,F639)</f>
        <v>2597</v>
      </c>
      <c r="J639" s="1">
        <f>INDEX(配置与结果!$D$15:$D$18,F639)</f>
        <v>0.255</v>
      </c>
      <c r="K639" s="1">
        <f>INDEX(配置与结果!$E$15:$E$18,F639)</f>
        <v>1.55</v>
      </c>
      <c r="L639" s="1">
        <f t="shared" si="895"/>
        <v>2</v>
      </c>
      <c r="M639" s="1">
        <f t="shared" si="896"/>
        <v>10</v>
      </c>
      <c r="N639" s="1">
        <f t="shared" si="897"/>
        <v>2</v>
      </c>
      <c r="O639" s="1">
        <f t="shared" si="889"/>
        <v>0</v>
      </c>
      <c r="P639" s="1">
        <f>MIN(方案参数!$AI$20,AZ638+0+0)</f>
        <v>7</v>
      </c>
      <c r="Q639" s="1">
        <f t="shared" si="867"/>
        <v>5</v>
      </c>
      <c r="R639" s="1">
        <f t="shared" si="868"/>
        <v>20</v>
      </c>
      <c r="S639" s="1">
        <f t="shared" si="869"/>
        <v>3</v>
      </c>
      <c r="T639" s="1">
        <f t="shared" si="904"/>
        <v>1</v>
      </c>
      <c r="U639" s="1">
        <f t="shared" si="871"/>
        <v>0</v>
      </c>
      <c r="V639" s="1">
        <f t="shared" si="872"/>
        <v>3</v>
      </c>
      <c r="W639" s="1">
        <f t="shared" si="873"/>
        <v>1</v>
      </c>
      <c r="X639" s="1">
        <f t="shared" si="874"/>
        <v>1</v>
      </c>
      <c r="Y639" s="1">
        <f t="shared" si="875"/>
        <v>1</v>
      </c>
      <c r="Z639" s="1">
        <f t="shared" si="876"/>
        <v>1</v>
      </c>
      <c r="AA639" s="1">
        <f t="shared" si="900"/>
        <v>1</v>
      </c>
      <c r="AB639" s="1">
        <f t="shared" si="878"/>
        <v>1</v>
      </c>
      <c r="AC639" s="1">
        <f t="shared" si="905"/>
        <v>1</v>
      </c>
      <c r="AD639" s="1">
        <f>ROUNDDOWN(I639*(1+IF(F639=3,0.05+方案参数!$Y$20+AA639*0.12,IF(F639=4,方案参数!$BZ$20*方案参数!$AS$20,0)))+IF(AND(X639=1,F639&lt;&gt;3),方案参数!$CC$20,0)+AC639*方案参数!$CB$20,0)</f>
        <v>3798</v>
      </c>
      <c r="AE639" s="1">
        <f>IF(OR(F639=1,F639=4),配置与结果!$B$24,配置与结果!$B$25)*MAX(0,1-INDEX(配置与结果!$I$15:$I$18,F639))</f>
        <v>1000</v>
      </c>
      <c r="AF639" s="1">
        <f>方案参数!$CF$20+P639*方案参数!$CG$20</f>
        <v>51</v>
      </c>
      <c r="AG639" s="1">
        <f>MAX(配置与结果!$B$32,1+INDEX(配置与结果!$F$15:$F$18,F639)+0+Q639*方案参数!$W$20+Y639*(方案参数!$AN$20+MIN(方案参数!$AO$20,P639*0.03))+AB639*方案参数!$BZ$20*0.025-配置与结果!$B$28)</f>
        <v>2.02</v>
      </c>
      <c r="AH639" s="1">
        <f>MAX(0,1+INDEX(配置与结果!$G$15:$G$18,F639)+W639*方案参数!$AG$20)</f>
        <v>1.45</v>
      </c>
      <c r="AI639" s="1">
        <f>IF(OR(INDEX(配置与结果!$K$15:$K$18,F639)=1,G639="RHI_BERRY"),1+配置与结果!$B$33+P639*方案参数!$AH$20,1)</f>
        <v>1.6500000000000001</v>
      </c>
      <c r="AJ639" s="1">
        <f>MIN(1,MAX(0,J639+方案参数!$AB$20-配置与结果!$B$27))</f>
        <v>0.55499999999999994</v>
      </c>
      <c r="AK639" s="1">
        <f>MAX(1,K639+IF(F639=2,0.15+方案参数!$CH$20,0)+BN639*方案参数!$X$20+R639*方案参数!$AA$20+0-配置与结果!$B$26+Z639*(方案参数!$AP$20+MIN(方案参数!$AQ$20,P639*0.03)))</f>
        <v>1.8000000000000003</v>
      </c>
      <c r="AL639" s="7">
        <f>ROUNDDOWN(MAX(AD639*配置与结果!$B$31,AD639-AE639)*AF639*AG639*AH639*AI639,0)</f>
        <v>689638</v>
      </c>
      <c r="AM639" s="7">
        <f>ROUNDDOWN(MAX(AD639*配置与结果!$B$31,AD639-AE639)*AF639*AG639*AH639*AI639*AK639,0)</f>
        <v>1241348</v>
      </c>
      <c r="AN639" s="7">
        <f t="shared" si="812"/>
        <v>995837.04999999993</v>
      </c>
      <c r="AO639" s="7">
        <f>0</f>
        <v>0</v>
      </c>
      <c r="AP639" s="7">
        <f>MAX(0,1+INDEX(配置与结果!$J$15:$J$18,F639)+IF(T639&gt;0,方案参数!$BY$20,0)-配置与结果!$B$30)</f>
        <v>2</v>
      </c>
      <c r="AQ639" s="7">
        <f t="shared" si="813"/>
        <v>0</v>
      </c>
      <c r="AR639" s="7">
        <f t="shared" si="814"/>
        <v>0</v>
      </c>
      <c r="AS639" s="7">
        <f t="shared" si="815"/>
        <v>0</v>
      </c>
      <c r="AT639" s="7">
        <f>0</f>
        <v>0</v>
      </c>
      <c r="AU639" s="7">
        <f t="shared" si="816"/>
        <v>995837.04999999993</v>
      </c>
      <c r="AV639" s="1">
        <f t="shared" si="817"/>
        <v>2</v>
      </c>
      <c r="AW639" s="1">
        <f t="shared" ref="AW639:AW655" si="910">MIN(10,M639+0+0)</f>
        <v>10</v>
      </c>
      <c r="AX639" s="1">
        <f t="shared" si="818"/>
        <v>2</v>
      </c>
      <c r="AY639" s="1">
        <f>MIN(20,MAX(0,O639+0+0-0))</f>
        <v>0</v>
      </c>
      <c r="AZ639" s="1">
        <f t="shared" si="819"/>
        <v>7</v>
      </c>
      <c r="BA639" s="1">
        <f t="shared" si="901"/>
        <v>5</v>
      </c>
      <c r="BB639" s="1">
        <f t="shared" si="909"/>
        <v>20</v>
      </c>
      <c r="BC639" s="1">
        <f t="shared" si="907"/>
        <v>3</v>
      </c>
      <c r="BD639" s="1">
        <f t="shared" si="888"/>
        <v>1</v>
      </c>
      <c r="BE639" s="1">
        <f t="shared" si="881"/>
        <v>0</v>
      </c>
      <c r="BF639" s="1">
        <f>MIN(4,V639+0)</f>
        <v>3</v>
      </c>
      <c r="BG639" s="1">
        <f t="shared" si="898"/>
        <v>1</v>
      </c>
      <c r="BH639" s="1">
        <f t="shared" si="882"/>
        <v>1</v>
      </c>
      <c r="BI639" s="1">
        <f t="shared" si="899"/>
        <v>1</v>
      </c>
      <c r="BJ639" s="1">
        <f t="shared" si="902"/>
        <v>1</v>
      </c>
      <c r="BK639" s="1">
        <f t="shared" si="903"/>
        <v>1</v>
      </c>
      <c r="BL639" s="1">
        <f t="shared" si="908"/>
        <v>1</v>
      </c>
      <c r="BM639" s="1">
        <f t="shared" si="906"/>
        <v>1</v>
      </c>
      <c r="BN639" s="1">
        <f t="shared" si="883"/>
        <v>1</v>
      </c>
      <c r="BO639" s="1">
        <f t="shared" si="884"/>
        <v>1</v>
      </c>
    </row>
    <row r="640" spans="1:67" ht="30.95" customHeight="1">
      <c r="A640" s="1">
        <f>17</f>
        <v>17</v>
      </c>
      <c r="B640" s="1">
        <f>固定流程!A28</f>
        <v>23</v>
      </c>
      <c r="C640" s="1">
        <f>20</f>
        <v>20</v>
      </c>
      <c r="D640" s="1">
        <f>1</f>
        <v>1</v>
      </c>
      <c r="E640" s="1">
        <f>固定流程!C28</f>
        <v>3</v>
      </c>
      <c r="F640" s="1">
        <f>固定流程!G28</f>
        <v>2</v>
      </c>
      <c r="G640" s="1" t="str">
        <f>固定流程!H28</f>
        <v>37_FOLLOW</v>
      </c>
      <c r="H640" s="1">
        <f>固定流程!F28</f>
        <v>1</v>
      </c>
      <c r="I640" s="1">
        <f>INDEX(配置与结果!$B$15:$B$18,F640)</f>
        <v>2306</v>
      </c>
      <c r="J640" s="1">
        <f>INDEX(配置与结果!$D$15:$D$18,F640)</f>
        <v>0.46</v>
      </c>
      <c r="K640" s="1">
        <f>INDEX(配置与结果!$E$15:$E$18,F640)</f>
        <v>1.9279999999999999</v>
      </c>
      <c r="L640" s="1">
        <f t="shared" si="895"/>
        <v>2</v>
      </c>
      <c r="M640" s="1">
        <f t="shared" si="896"/>
        <v>10</v>
      </c>
      <c r="N640" s="1">
        <f t="shared" si="897"/>
        <v>2</v>
      </c>
      <c r="O640" s="1">
        <f t="shared" si="889"/>
        <v>0</v>
      </c>
      <c r="P640" s="1">
        <f>MIN(方案参数!$AI$20,AZ639+0+0)</f>
        <v>7</v>
      </c>
      <c r="Q640" s="1">
        <f t="shared" si="867"/>
        <v>5</v>
      </c>
      <c r="R640" s="1">
        <f t="shared" si="868"/>
        <v>20</v>
      </c>
      <c r="S640" s="1">
        <f t="shared" si="869"/>
        <v>3</v>
      </c>
      <c r="T640" s="1">
        <f t="shared" si="904"/>
        <v>1</v>
      </c>
      <c r="U640" s="1">
        <f t="shared" si="871"/>
        <v>0</v>
      </c>
      <c r="V640" s="1">
        <f t="shared" si="872"/>
        <v>3</v>
      </c>
      <c r="W640" s="1">
        <f t="shared" si="873"/>
        <v>1</v>
      </c>
      <c r="X640" s="1">
        <f t="shared" si="874"/>
        <v>1</v>
      </c>
      <c r="Y640" s="1">
        <f t="shared" si="875"/>
        <v>1</v>
      </c>
      <c r="Z640" s="1">
        <f t="shared" si="876"/>
        <v>1</v>
      </c>
      <c r="AA640" s="1">
        <f t="shared" si="900"/>
        <v>1</v>
      </c>
      <c r="AB640" s="1">
        <f t="shared" si="878"/>
        <v>1</v>
      </c>
      <c r="AC640" s="1">
        <f t="shared" si="905"/>
        <v>1</v>
      </c>
      <c r="AD640" s="1">
        <f>ROUNDDOWN(I640*(1+IF(F640=3,0.05+方案参数!$Y$20+AA640*0.12,IF(F640=4,方案参数!$BZ$20*方案参数!$AS$20,0)))+IF(AND(X640=1,F640&lt;&gt;3),方案参数!$CC$20,0)+AC640*方案参数!$CB$20,0)</f>
        <v>3044</v>
      </c>
      <c r="AE640" s="1">
        <f>IF(OR(F640=1,F640=4),配置与结果!$B$24,配置与结果!$B$25)*MAX(0,1-INDEX(配置与结果!$I$15:$I$18,F640))</f>
        <v>1000</v>
      </c>
      <c r="AF640" s="1">
        <f>方案参数!$BV$20</f>
        <v>3</v>
      </c>
      <c r="AG640" s="1">
        <f>MAX(配置与结果!$B$32,1+INDEX(配置与结果!$F$15:$F$18,F640)+0+Q640*方案参数!$W$20+Y640*(方案参数!$AN$20+MIN(方案参数!$AO$20,P640*0.03))+AB640*方案参数!$BZ$20*0.025-配置与结果!$B$28)</f>
        <v>1.9900000000000002</v>
      </c>
      <c r="AH640" s="1">
        <f>MAX(0,1+INDEX(配置与结果!$G$15:$G$18,F640)+W640*方案参数!$AG$20)</f>
        <v>1.45</v>
      </c>
      <c r="AI640" s="1">
        <f>IF(OR(INDEX(配置与结果!$K$15:$K$18,F640)=1,G640="RHI_BERRY"),1+配置与结果!$B$33+P640*方案参数!$AH$20,1)</f>
        <v>1</v>
      </c>
      <c r="AJ640" s="1">
        <f>MIN(1,MAX(0,J640+方案参数!$AB$20-配置与结果!$B$27))</f>
        <v>0.76</v>
      </c>
      <c r="AK640" s="1">
        <f>MAX(1,K640+IF(F640=2,0.15+方案参数!$CH$20,0)+BN640*方案参数!$X$20+R640*方案参数!$AA$20+0-配置与结果!$B$26+Z640*(方案参数!$AP$20+MIN(方案参数!$AQ$20,P640*0.03)))</f>
        <v>2.4480000000000004</v>
      </c>
      <c r="AL640" s="7">
        <f>ROUNDDOWN(MAX(AD640*配置与结果!$B$31,AD640-AE640)*AF640*AG640*AH640*AI640,0)</f>
        <v>17693</v>
      </c>
      <c r="AM640" s="7">
        <f>ROUNDDOWN(MAX(AD640*配置与结果!$B$31,AD640-AE640)*AF640*AG640*AH640*AI640*AK640,0)</f>
        <v>43314</v>
      </c>
      <c r="AN640" s="7">
        <f t="shared" si="812"/>
        <v>37164.959999999999</v>
      </c>
      <c r="AO640" s="7">
        <f>方案参数!$BW$20</f>
        <v>1</v>
      </c>
      <c r="AP640" s="7">
        <f>MAX(0,1+INDEX(配置与结果!$J$15:$J$18,F640)+IF(T640&gt;0,方案参数!$BY$20,0)-配置与结果!$B$30)</f>
        <v>2</v>
      </c>
      <c r="AQ640" s="7">
        <f t="shared" si="813"/>
        <v>6088</v>
      </c>
      <c r="AR640" s="7">
        <f t="shared" si="814"/>
        <v>14903</v>
      </c>
      <c r="AS640" s="7">
        <f t="shared" si="815"/>
        <v>12787.400000000001</v>
      </c>
      <c r="AT640" s="7">
        <f>0</f>
        <v>0</v>
      </c>
      <c r="AU640" s="7">
        <f t="shared" si="816"/>
        <v>49952.36</v>
      </c>
      <c r="AV640" s="1">
        <f t="shared" si="817"/>
        <v>2</v>
      </c>
      <c r="AW640" s="1">
        <f t="shared" si="910"/>
        <v>10</v>
      </c>
      <c r="AX640" s="1">
        <f t="shared" si="818"/>
        <v>2</v>
      </c>
      <c r="AY640" s="1">
        <f>MIN(20,MAX(0,O640+0+0-0))</f>
        <v>0</v>
      </c>
      <c r="AZ640" s="1">
        <f t="shared" si="819"/>
        <v>7</v>
      </c>
      <c r="BA640" s="1">
        <f t="shared" si="901"/>
        <v>5</v>
      </c>
      <c r="BB640" s="1">
        <f t="shared" si="909"/>
        <v>20</v>
      </c>
      <c r="BC640" s="1">
        <f t="shared" si="907"/>
        <v>3</v>
      </c>
      <c r="BD640" s="1">
        <f t="shared" si="888"/>
        <v>0</v>
      </c>
      <c r="BE640" s="1">
        <f t="shared" si="881"/>
        <v>0</v>
      </c>
      <c r="BF640" s="1">
        <f>MIN(4,V640+1)</f>
        <v>4</v>
      </c>
      <c r="BG640" s="1">
        <f t="shared" si="898"/>
        <v>1</v>
      </c>
      <c r="BH640" s="1">
        <f t="shared" si="882"/>
        <v>1</v>
      </c>
      <c r="BI640" s="1">
        <f t="shared" si="899"/>
        <v>1</v>
      </c>
      <c r="BJ640" s="1">
        <f t="shared" si="902"/>
        <v>1</v>
      </c>
      <c r="BK640" s="1">
        <f t="shared" si="903"/>
        <v>1</v>
      </c>
      <c r="BL640" s="1">
        <f t="shared" si="908"/>
        <v>1</v>
      </c>
      <c r="BM640" s="1">
        <f t="shared" si="906"/>
        <v>1</v>
      </c>
      <c r="BN640" s="1">
        <f t="shared" si="883"/>
        <v>1</v>
      </c>
      <c r="BO640" s="1">
        <f t="shared" si="884"/>
        <v>1</v>
      </c>
    </row>
    <row r="641" spans="1:67" ht="30.95" customHeight="1">
      <c r="A641" s="1">
        <f>17</f>
        <v>17</v>
      </c>
      <c r="B641" s="1">
        <f>固定流程!A29</f>
        <v>24</v>
      </c>
      <c r="C641" s="1">
        <f>20</f>
        <v>20</v>
      </c>
      <c r="D641" s="1">
        <f>2</f>
        <v>2</v>
      </c>
      <c r="E641" s="1">
        <f>固定流程!C29</f>
        <v>3</v>
      </c>
      <c r="F641" s="1">
        <f>固定流程!G29</f>
        <v>1</v>
      </c>
      <c r="G641" s="1" t="str">
        <f>固定流程!H29</f>
        <v>LILYA_WEAK</v>
      </c>
      <c r="H641" s="1">
        <f>固定流程!F29</f>
        <v>1</v>
      </c>
      <c r="I641" s="1">
        <f>INDEX(配置与结果!$B$15:$B$18,F641)</f>
        <v>2296</v>
      </c>
      <c r="J641" s="1">
        <f>INDEX(配置与结果!$D$15:$D$18,F641)</f>
        <v>0.7</v>
      </c>
      <c r="K641" s="1">
        <f>INDEX(配置与结果!$E$15:$E$18,F641)</f>
        <v>2.0249999999999999</v>
      </c>
      <c r="L641" s="1">
        <f t="shared" si="895"/>
        <v>2</v>
      </c>
      <c r="M641" s="1">
        <f t="shared" si="896"/>
        <v>10</v>
      </c>
      <c r="N641" s="1">
        <f t="shared" si="897"/>
        <v>2</v>
      </c>
      <c r="O641" s="1">
        <f t="shared" si="889"/>
        <v>0</v>
      </c>
      <c r="P641" s="1">
        <f>MIN(方案参数!$AI$20,AZ640+0+0)</f>
        <v>7</v>
      </c>
      <c r="Q641" s="1">
        <f t="shared" si="867"/>
        <v>5</v>
      </c>
      <c r="R641" s="1">
        <f t="shared" si="868"/>
        <v>20</v>
      </c>
      <c r="S641" s="1">
        <f t="shared" si="869"/>
        <v>3</v>
      </c>
      <c r="T641" s="1">
        <f t="shared" si="904"/>
        <v>0</v>
      </c>
      <c r="U641" s="1">
        <f t="shared" si="871"/>
        <v>0</v>
      </c>
      <c r="V641" s="1">
        <f t="shared" si="872"/>
        <v>4</v>
      </c>
      <c r="W641" s="1">
        <f t="shared" si="873"/>
        <v>1</v>
      </c>
      <c r="X641" s="1">
        <f t="shared" si="874"/>
        <v>1</v>
      </c>
      <c r="Y641" s="1">
        <f t="shared" si="875"/>
        <v>1</v>
      </c>
      <c r="Z641" s="1">
        <f t="shared" si="876"/>
        <v>1</v>
      </c>
      <c r="AA641" s="1">
        <f t="shared" si="900"/>
        <v>1</v>
      </c>
      <c r="AB641" s="1">
        <f t="shared" si="878"/>
        <v>1</v>
      </c>
      <c r="AC641" s="1">
        <f t="shared" si="905"/>
        <v>1</v>
      </c>
      <c r="AD641" s="1">
        <f>ROUNDDOWN(I641*(1+IF(F641=3,0.05+方案参数!$Y$20+AA641*0.12,IF(F641=4,方案参数!$BZ$20*方案参数!$AS$20,0)))+IF(AND(X641=1,F641&lt;&gt;3),方案参数!$CC$20,0)+AC641*方案参数!$CB$20,0)</f>
        <v>3034</v>
      </c>
      <c r="AE641" s="1">
        <f>IF(OR(F641=1,F641=4),配置与结果!$B$24,配置与结果!$B$25)*MAX(0,1-INDEX(配置与结果!$I$15:$I$18,F641))</f>
        <v>1200</v>
      </c>
      <c r="AF641" s="1">
        <f>方案参数!$BL$20</f>
        <v>9</v>
      </c>
      <c r="AG641" s="1">
        <f>MAX(配置与结果!$B$32,1+INDEX(配置与结果!$F$15:$F$18,F641)+0.08+方案参数!$CD$20+Q641*方案参数!$W$20+Y641*(方案参数!$AN$20+MIN(方案参数!$AO$20,P641*0.03))+AB641*方案参数!$BZ$20*0.025-配置与结果!$B$28+方案参数!$AE$20)</f>
        <v>2.7250000000000001</v>
      </c>
      <c r="AH641" s="1">
        <f>MAX(0,1+V641*方案参数!$U$20+0*方案参数!$V$20+方案参数!$AE$20-配置与结果!$B$29)</f>
        <v>1.56</v>
      </c>
      <c r="AI641" s="1">
        <f>IF(OR(INDEX(配置与结果!$K$15:$K$18,F641)=1,G641="RHI_BERRY"),1+配置与结果!$B$33+P641*方案参数!$AH$20,1)</f>
        <v>1</v>
      </c>
      <c r="AJ641" s="1">
        <f>MIN(1,MAX(0,J641+方案参数!$AB$20-配置与结果!$B$27))</f>
        <v>1</v>
      </c>
      <c r="AK641" s="1">
        <f>MAX(1,K641+IF(F641=2,0.15+方案参数!$CH$20,0)+BN641*方案参数!$X$20+R641*方案参数!$AA$20+方案参数!$BP$20-配置与结果!$B$26+Z641*(方案参数!$AP$20+MIN(方案参数!$AQ$20,P641*0.03)))</f>
        <v>2.8750000000000004</v>
      </c>
      <c r="AL641" s="7">
        <f>ROUNDDOWN(MAX(AD641*配置与结果!$B$31,AD641-AE641)*AF641*AG641*AH641*AI641,0)</f>
        <v>70167</v>
      </c>
      <c r="AM641" s="7">
        <f>ROUNDDOWN(MAX(AD641*配置与结果!$B$31,AD641-AE641)*AF641*AG641*AH641*AI641*AK641,0)</f>
        <v>201730</v>
      </c>
      <c r="AN641" s="7">
        <f t="shared" si="812"/>
        <v>201730</v>
      </c>
      <c r="AO641" s="7">
        <f>0</f>
        <v>0</v>
      </c>
      <c r="AP641" s="7">
        <f>MAX(0,1+INDEX(配置与结果!$J$15:$J$18,F641)+IF(T641&gt;0,方案参数!$BY$20,0)-配置与结果!$B$30)</f>
        <v>1</v>
      </c>
      <c r="AQ641" s="7">
        <f t="shared" si="813"/>
        <v>0</v>
      </c>
      <c r="AR641" s="7">
        <f t="shared" si="814"/>
        <v>0</v>
      </c>
      <c r="AS641" s="7">
        <f t="shared" si="815"/>
        <v>0</v>
      </c>
      <c r="AT641" s="7">
        <f>IF(U641&gt;0,ROUNDDOWN(AL641*方案参数!$AF$20,0)*(1-AJ641)+ROUNDDOWN(AM641*方案参数!$AF$20,0)*AJ641,0)</f>
        <v>0</v>
      </c>
      <c r="AU641" s="7">
        <f t="shared" si="816"/>
        <v>201730</v>
      </c>
      <c r="AV641" s="1">
        <f t="shared" si="817"/>
        <v>2</v>
      </c>
      <c r="AW641" s="1">
        <f t="shared" si="910"/>
        <v>10</v>
      </c>
      <c r="AX641" s="1">
        <f t="shared" si="818"/>
        <v>2</v>
      </c>
      <c r="AY641" s="1">
        <f>MIN(20,MAX(0,O641+0+1-0))</f>
        <v>1</v>
      </c>
      <c r="AZ641" s="1">
        <f t="shared" si="819"/>
        <v>7</v>
      </c>
      <c r="BA641" s="1">
        <f t="shared" si="901"/>
        <v>5</v>
      </c>
      <c r="BB641" s="1">
        <f t="shared" si="909"/>
        <v>20</v>
      </c>
      <c r="BC641" s="1">
        <f t="shared" si="907"/>
        <v>3</v>
      </c>
      <c r="BD641" s="1">
        <f t="shared" si="888"/>
        <v>0</v>
      </c>
      <c r="BE641" s="1">
        <f>MAX(0,U641-IF(AF641&gt;0,1,0))+0</f>
        <v>0</v>
      </c>
      <c r="BF641" s="1">
        <f t="shared" ref="BF641:BF658" si="911">MIN(4,V641+0)</f>
        <v>4</v>
      </c>
      <c r="BG641" s="1">
        <f t="shared" si="898"/>
        <v>1</v>
      </c>
      <c r="BH641" s="1">
        <f t="shared" si="882"/>
        <v>1</v>
      </c>
      <c r="BI641" s="1">
        <f t="shared" si="899"/>
        <v>1</v>
      </c>
      <c r="BJ641" s="1">
        <f t="shared" si="902"/>
        <v>1</v>
      </c>
      <c r="BK641" s="1">
        <f t="shared" si="903"/>
        <v>1</v>
      </c>
      <c r="BL641" s="1">
        <f t="shared" si="908"/>
        <v>1</v>
      </c>
      <c r="BM641" s="1">
        <f t="shared" si="906"/>
        <v>1</v>
      </c>
      <c r="BN641" s="1">
        <f t="shared" si="883"/>
        <v>1</v>
      </c>
      <c r="BO641" s="1">
        <f t="shared" si="884"/>
        <v>1</v>
      </c>
    </row>
    <row r="642" spans="1:67" ht="30.95" customHeight="1">
      <c r="A642" s="1">
        <f>17</f>
        <v>17</v>
      </c>
      <c r="B642" s="1">
        <f>固定流程!A30</f>
        <v>25</v>
      </c>
      <c r="C642" s="1">
        <f>20</f>
        <v>20</v>
      </c>
      <c r="D642" s="1">
        <f>2</f>
        <v>2</v>
      </c>
      <c r="E642" s="1">
        <f>固定流程!C30</f>
        <v>3</v>
      </c>
      <c r="F642" s="1">
        <f>固定流程!G30</f>
        <v>1</v>
      </c>
      <c r="G642" s="1" t="str">
        <f>固定流程!H30</f>
        <v>LILYA_WEAK</v>
      </c>
      <c r="H642" s="1">
        <f>固定流程!F30</f>
        <v>1</v>
      </c>
      <c r="I642" s="1">
        <f>INDEX(配置与结果!$B$15:$B$18,F642)</f>
        <v>2296</v>
      </c>
      <c r="J642" s="1">
        <f>INDEX(配置与结果!$D$15:$D$18,F642)</f>
        <v>0.7</v>
      </c>
      <c r="K642" s="1">
        <f>INDEX(配置与结果!$E$15:$E$18,F642)</f>
        <v>2.0249999999999999</v>
      </c>
      <c r="L642" s="1">
        <f t="shared" si="895"/>
        <v>2</v>
      </c>
      <c r="M642" s="1">
        <f t="shared" si="896"/>
        <v>10</v>
      </c>
      <c r="N642" s="1">
        <f t="shared" si="897"/>
        <v>2</v>
      </c>
      <c r="O642" s="1">
        <f t="shared" si="889"/>
        <v>1</v>
      </c>
      <c r="P642" s="1">
        <f>MIN(方案参数!$AI$20,AZ641+0+0)</f>
        <v>7</v>
      </c>
      <c r="Q642" s="1">
        <f t="shared" si="867"/>
        <v>5</v>
      </c>
      <c r="R642" s="1">
        <f t="shared" si="868"/>
        <v>20</v>
      </c>
      <c r="S642" s="1">
        <f t="shared" si="869"/>
        <v>3</v>
      </c>
      <c r="T642" s="1">
        <f t="shared" si="904"/>
        <v>0</v>
      </c>
      <c r="U642" s="1">
        <f t="shared" si="871"/>
        <v>0</v>
      </c>
      <c r="V642" s="1">
        <f t="shared" si="872"/>
        <v>4</v>
      </c>
      <c r="W642" s="1">
        <f t="shared" si="873"/>
        <v>1</v>
      </c>
      <c r="X642" s="1">
        <f t="shared" si="874"/>
        <v>1</v>
      </c>
      <c r="Y642" s="1">
        <f t="shared" si="875"/>
        <v>1</v>
      </c>
      <c r="Z642" s="1">
        <f t="shared" si="876"/>
        <v>1</v>
      </c>
      <c r="AA642" s="1">
        <f t="shared" si="900"/>
        <v>1</v>
      </c>
      <c r="AB642" s="1">
        <f t="shared" si="878"/>
        <v>1</v>
      </c>
      <c r="AC642" s="1">
        <f t="shared" si="905"/>
        <v>1</v>
      </c>
      <c r="AD642" s="1">
        <f>ROUNDDOWN(I642*(1+IF(F642=3,0.05+方案参数!$Y$20+AA642*0.12,IF(F642=4,方案参数!$BZ$20*方案参数!$AS$20,0)))+IF(AND(X642=1,F642&lt;&gt;3),方案参数!$CC$20,0)+AC642*方案参数!$CB$20,0)</f>
        <v>3034</v>
      </c>
      <c r="AE642" s="1">
        <f>IF(OR(F642=1,F642=4),配置与结果!$B$24,配置与结果!$B$25)*MAX(0,1-INDEX(配置与结果!$I$15:$I$18,F642))</f>
        <v>1200</v>
      </c>
      <c r="AF642" s="1">
        <f>方案参数!$BL$20</f>
        <v>9</v>
      </c>
      <c r="AG642" s="1">
        <f>MAX(配置与结果!$B$32,1+INDEX(配置与结果!$F$15:$F$18,F642)+0.08+方案参数!$CD$20+Q642*方案参数!$W$20+Y642*(方案参数!$AN$20+MIN(方案参数!$AO$20,P642*0.03))+AB642*方案参数!$BZ$20*0.025-配置与结果!$B$28+方案参数!$AE$20)</f>
        <v>2.7250000000000001</v>
      </c>
      <c r="AH642" s="1">
        <f>MAX(0,1+V642*方案参数!$U$20+1*方案参数!$V$20+方案参数!$AE$20-配置与结果!$B$29)</f>
        <v>1.62</v>
      </c>
      <c r="AI642" s="1">
        <f>IF(OR(INDEX(配置与结果!$K$15:$K$18,F642)=1,G642="RHI_BERRY"),1+配置与结果!$B$33+P642*方案参数!$AH$20,1)</f>
        <v>1</v>
      </c>
      <c r="AJ642" s="1">
        <f>MIN(1,MAX(0,J642+方案参数!$AB$20-配置与结果!$B$27))</f>
        <v>1</v>
      </c>
      <c r="AK642" s="1">
        <f>MAX(1,K642+IF(F642=2,0.15+方案参数!$CH$20,0)+BN642*方案参数!$X$20+R642*方案参数!$AA$20+方案参数!$BP$20-配置与结果!$B$26+Z642*(方案参数!$AP$20+MIN(方案参数!$AQ$20,P642*0.03)))</f>
        <v>2.8750000000000004</v>
      </c>
      <c r="AL642" s="7">
        <f>ROUNDDOWN(MAX(AD642*配置与结果!$B$31,AD642-AE642)*AF642*AG642*AH642*AI642,0)</f>
        <v>72865</v>
      </c>
      <c r="AM642" s="7">
        <f>ROUNDDOWN(MAX(AD642*配置与结果!$B$31,AD642-AE642)*AF642*AG642*AH642*AI642*AK642,0)</f>
        <v>209488</v>
      </c>
      <c r="AN642" s="7">
        <f t="shared" si="812"/>
        <v>209488</v>
      </c>
      <c r="AO642" s="7">
        <f>0</f>
        <v>0</v>
      </c>
      <c r="AP642" s="7">
        <f>MAX(0,1+INDEX(配置与结果!$J$15:$J$18,F642)+IF(T642&gt;0,方案参数!$BY$20,0)-配置与结果!$B$30)</f>
        <v>1</v>
      </c>
      <c r="AQ642" s="7">
        <f t="shared" si="813"/>
        <v>0</v>
      </c>
      <c r="AR642" s="7">
        <f t="shared" si="814"/>
        <v>0</v>
      </c>
      <c r="AS642" s="7">
        <f t="shared" si="815"/>
        <v>0</v>
      </c>
      <c r="AT642" s="7">
        <f>IF(U642&gt;0,ROUNDDOWN(AL642*方案参数!$AF$20,0)*(1-AJ642)+ROUNDDOWN(AM642*方案参数!$AF$20,0)*AJ642,0)</f>
        <v>0</v>
      </c>
      <c r="AU642" s="7">
        <f t="shared" si="816"/>
        <v>209488</v>
      </c>
      <c r="AV642" s="1">
        <f t="shared" si="817"/>
        <v>2</v>
      </c>
      <c r="AW642" s="1">
        <f t="shared" si="910"/>
        <v>10</v>
      </c>
      <c r="AX642" s="1">
        <f t="shared" si="818"/>
        <v>2</v>
      </c>
      <c r="AY642" s="1">
        <f>MIN(20,MAX(0,O642+0+1-0))</f>
        <v>2</v>
      </c>
      <c r="AZ642" s="1">
        <f t="shared" si="819"/>
        <v>7</v>
      </c>
      <c r="BA642" s="1">
        <f t="shared" si="901"/>
        <v>5</v>
      </c>
      <c r="BB642" s="1">
        <f t="shared" si="909"/>
        <v>20</v>
      </c>
      <c r="BC642" s="1">
        <f t="shared" si="907"/>
        <v>3</v>
      </c>
      <c r="BD642" s="1">
        <f t="shared" si="888"/>
        <v>0</v>
      </c>
      <c r="BE642" s="1">
        <f>MAX(0,U642-IF(AF642&gt;0,1,0))+0</f>
        <v>0</v>
      </c>
      <c r="BF642" s="1">
        <f t="shared" si="911"/>
        <v>4</v>
      </c>
      <c r="BG642" s="1">
        <f t="shared" si="898"/>
        <v>1</v>
      </c>
      <c r="BH642" s="1">
        <f t="shared" si="882"/>
        <v>1</v>
      </c>
      <c r="BI642" s="1">
        <f t="shared" si="899"/>
        <v>1</v>
      </c>
      <c r="BJ642" s="1">
        <f t="shared" si="902"/>
        <v>1</v>
      </c>
      <c r="BK642" s="1">
        <f t="shared" si="903"/>
        <v>1</v>
      </c>
      <c r="BL642" s="1">
        <f t="shared" si="908"/>
        <v>1</v>
      </c>
      <c r="BM642" s="1">
        <f t="shared" si="906"/>
        <v>1</v>
      </c>
      <c r="BN642" s="1">
        <f t="shared" si="883"/>
        <v>1</v>
      </c>
      <c r="BO642" s="1">
        <f t="shared" si="884"/>
        <v>1</v>
      </c>
    </row>
    <row r="643" spans="1:67" ht="30.95" customHeight="1">
      <c r="A643" s="1">
        <f>17</f>
        <v>17</v>
      </c>
      <c r="B643" s="1">
        <f>固定流程!A31</f>
        <v>26</v>
      </c>
      <c r="C643" s="1">
        <f>20</f>
        <v>20</v>
      </c>
      <c r="D643" s="1">
        <f>2</f>
        <v>2</v>
      </c>
      <c r="E643" s="1">
        <f>固定流程!C31</f>
        <v>3</v>
      </c>
      <c r="F643" s="1">
        <f>固定流程!G31</f>
        <v>2</v>
      </c>
      <c r="G643" s="1" t="str">
        <f>固定流程!H31</f>
        <v>37_WEAK</v>
      </c>
      <c r="H643" s="1">
        <f>固定流程!F31</f>
        <v>1</v>
      </c>
      <c r="I643" s="1">
        <f>INDEX(配置与结果!$B$15:$B$18,F643)</f>
        <v>2306</v>
      </c>
      <c r="J643" s="1">
        <f>INDEX(配置与结果!$D$15:$D$18,F643)</f>
        <v>0.46</v>
      </c>
      <c r="K643" s="1">
        <f>INDEX(配置与结果!$E$15:$E$18,F643)</f>
        <v>1.9279999999999999</v>
      </c>
      <c r="L643" s="1">
        <f t="shared" si="895"/>
        <v>2</v>
      </c>
      <c r="M643" s="1">
        <f t="shared" si="896"/>
        <v>10</v>
      </c>
      <c r="N643" s="1">
        <f t="shared" si="897"/>
        <v>2</v>
      </c>
      <c r="O643" s="1">
        <f t="shared" si="889"/>
        <v>2</v>
      </c>
      <c r="P643" s="1">
        <f>MIN(方案参数!$AI$20,AZ642+0+0)</f>
        <v>7</v>
      </c>
      <c r="Q643" s="1">
        <f t="shared" si="867"/>
        <v>5</v>
      </c>
      <c r="R643" s="1">
        <f t="shared" si="868"/>
        <v>20</v>
      </c>
      <c r="S643" s="1">
        <f t="shared" si="869"/>
        <v>3</v>
      </c>
      <c r="T643" s="1">
        <f t="shared" si="904"/>
        <v>0</v>
      </c>
      <c r="U643" s="1">
        <f t="shared" si="871"/>
        <v>0</v>
      </c>
      <c r="V643" s="1">
        <f t="shared" si="872"/>
        <v>4</v>
      </c>
      <c r="W643" s="1">
        <f t="shared" si="873"/>
        <v>1</v>
      </c>
      <c r="X643" s="1">
        <f t="shared" si="874"/>
        <v>1</v>
      </c>
      <c r="Y643" s="1">
        <f t="shared" si="875"/>
        <v>1</v>
      </c>
      <c r="Z643" s="1">
        <f t="shared" si="876"/>
        <v>1</v>
      </c>
      <c r="AA643" s="1">
        <f t="shared" si="900"/>
        <v>1</v>
      </c>
      <c r="AB643" s="1">
        <f t="shared" si="878"/>
        <v>1</v>
      </c>
      <c r="AC643" s="1">
        <f t="shared" si="905"/>
        <v>1</v>
      </c>
      <c r="AD643" s="1">
        <f>ROUNDDOWN(I643*(1+IF(F643=3,0.05+方案参数!$Y$20+AA643*0.12,IF(F643=4,方案参数!$BZ$20*方案参数!$AS$20,0)))+IF(AND(X643=1,F643&lt;&gt;3),方案参数!$CC$20,0)+AC643*方案参数!$CB$20,0)</f>
        <v>3044</v>
      </c>
      <c r="AE643" s="1">
        <f>IF(OR(F643=1,F643=4),配置与结果!$B$24,配置与结果!$B$25)*MAX(0,1-INDEX(配置与结果!$I$15:$I$18,F643))</f>
        <v>1000</v>
      </c>
      <c r="AF643" s="1">
        <f>方案参数!$CE$20</f>
        <v>8</v>
      </c>
      <c r="AG643" s="1">
        <f>MAX(配置与结果!$B$32,1+INDEX(配置与结果!$F$15:$F$18,F643)+0+Q643*方案参数!$W$20+Y643*(方案参数!$AN$20+MIN(方案参数!$AO$20,P643*0.03))+AB643*方案参数!$BZ$20*0.025-配置与结果!$B$28+方案参数!$AE$20)</f>
        <v>2.39</v>
      </c>
      <c r="AH643" s="1">
        <f>MAX(0,1+V643*方案参数!$U$20+方案参数!$AE$20-配置与结果!$B$29)</f>
        <v>1.56</v>
      </c>
      <c r="AI643" s="1">
        <f>IF(OR(INDEX(配置与结果!$K$15:$K$18,F643)=1,G643="RHI_BERRY"),1+配置与结果!$B$33+P643*方案参数!$AH$20,1)</f>
        <v>1</v>
      </c>
      <c r="AJ643" s="1">
        <f>MIN(1,MAX(0,J643+方案参数!$AB$20-配置与结果!$B$27))</f>
        <v>0.76</v>
      </c>
      <c r="AK643" s="1">
        <f>MAX(1,K643+IF(F643=2,0.15+方案参数!$CH$20,0)+BN643*方案参数!$X$20+R643*方案参数!$AA$20+0-配置与结果!$B$26+Z643*(方案参数!$AP$20+MIN(方案参数!$AQ$20,P643*0.03)))</f>
        <v>2.4480000000000004</v>
      </c>
      <c r="AL643" s="7">
        <f>ROUNDDOWN(MAX(AD643*配置与结果!$B$31,AD643-AE643)*AF643*AG643*AH643*AI643,0)</f>
        <v>60966</v>
      </c>
      <c r="AM643" s="7">
        <f>ROUNDDOWN(MAX(AD643*配置与结果!$B$31,AD643-AE643)*AF643*AG643*AH643*AI643*AK643,0)</f>
        <v>149246</v>
      </c>
      <c r="AN643" s="7">
        <f t="shared" si="812"/>
        <v>128058.8</v>
      </c>
      <c r="AO643" s="7">
        <f>0</f>
        <v>0</v>
      </c>
      <c r="AP643" s="7">
        <f>MAX(0,1+INDEX(配置与结果!$J$15:$J$18,F643)+IF(T643&gt;0,方案参数!$BY$20,0)-配置与结果!$B$30)</f>
        <v>1</v>
      </c>
      <c r="AQ643" s="7">
        <f t="shared" si="813"/>
        <v>0</v>
      </c>
      <c r="AR643" s="7">
        <f t="shared" si="814"/>
        <v>0</v>
      </c>
      <c r="AS643" s="7">
        <f t="shared" si="815"/>
        <v>0</v>
      </c>
      <c r="AT643" s="7">
        <f>IF(U643&gt;0,ROUNDDOWN(AL643*方案参数!$AF$20,0)*(1-AJ643)+ROUNDDOWN(AM643*方案参数!$AF$20,0)*AJ643,0)</f>
        <v>0</v>
      </c>
      <c r="AU643" s="7">
        <f t="shared" si="816"/>
        <v>128058.8</v>
      </c>
      <c r="AV643" s="1">
        <f t="shared" si="817"/>
        <v>2</v>
      </c>
      <c r="AW643" s="1">
        <f t="shared" si="910"/>
        <v>10</v>
      </c>
      <c r="AX643" s="1">
        <f t="shared" si="818"/>
        <v>2</v>
      </c>
      <c r="AY643" s="1">
        <f>MIN(20,MAX(0,O643+0+0-0))</f>
        <v>2</v>
      </c>
      <c r="AZ643" s="1">
        <f t="shared" si="819"/>
        <v>7</v>
      </c>
      <c r="BA643" s="1">
        <f t="shared" si="901"/>
        <v>5</v>
      </c>
      <c r="BB643" s="1">
        <f t="shared" si="909"/>
        <v>20</v>
      </c>
      <c r="BC643" s="1">
        <f t="shared" si="907"/>
        <v>3</v>
      </c>
      <c r="BD643" s="1">
        <f t="shared" si="888"/>
        <v>0</v>
      </c>
      <c r="BE643" s="1">
        <f>MAX(0,U643-IF(AF643&gt;0,1,0))+1</f>
        <v>1</v>
      </c>
      <c r="BF643" s="1">
        <f t="shared" si="911"/>
        <v>4</v>
      </c>
      <c r="BG643" s="1">
        <f t="shared" si="898"/>
        <v>1</v>
      </c>
      <c r="BH643" s="1">
        <f t="shared" si="882"/>
        <v>1</v>
      </c>
      <c r="BI643" s="1">
        <f t="shared" si="899"/>
        <v>1</v>
      </c>
      <c r="BJ643" s="1">
        <f t="shared" si="902"/>
        <v>1</v>
      </c>
      <c r="BK643" s="1">
        <f t="shared" si="903"/>
        <v>1</v>
      </c>
      <c r="BL643" s="1">
        <f t="shared" si="908"/>
        <v>1</v>
      </c>
      <c r="BM643" s="1">
        <f t="shared" si="906"/>
        <v>1</v>
      </c>
      <c r="BN643" s="1">
        <f t="shared" si="883"/>
        <v>1</v>
      </c>
      <c r="BO643" s="1">
        <f t="shared" si="884"/>
        <v>1</v>
      </c>
    </row>
    <row r="644" spans="1:67" ht="30.95" customHeight="1">
      <c r="A644" s="1">
        <f>17</f>
        <v>17</v>
      </c>
      <c r="B644" s="1">
        <f>固定流程!A32</f>
        <v>27</v>
      </c>
      <c r="C644" s="1">
        <f>20</f>
        <v>20</v>
      </c>
      <c r="D644" s="1">
        <f>2</f>
        <v>2</v>
      </c>
      <c r="E644" s="1">
        <f>固定流程!C32</f>
        <v>3</v>
      </c>
      <c r="F644" s="1">
        <f>固定流程!G32</f>
        <v>1</v>
      </c>
      <c r="G644" s="1" t="str">
        <f>固定流程!H32</f>
        <v>LILYA_THIRD</v>
      </c>
      <c r="H644" s="1">
        <f>固定流程!F32</f>
        <v>1</v>
      </c>
      <c r="I644" s="1">
        <f>INDEX(配置与结果!$B$15:$B$18,F644)</f>
        <v>2296</v>
      </c>
      <c r="J644" s="1">
        <f>INDEX(配置与结果!$D$15:$D$18,F644)</f>
        <v>0.7</v>
      </c>
      <c r="K644" s="1">
        <f>INDEX(配置与结果!$E$15:$E$18,F644)</f>
        <v>2.0249999999999999</v>
      </c>
      <c r="L644" s="1">
        <f t="shared" si="895"/>
        <v>2</v>
      </c>
      <c r="M644" s="1">
        <f t="shared" si="896"/>
        <v>10</v>
      </c>
      <c r="N644" s="1">
        <f t="shared" si="897"/>
        <v>2</v>
      </c>
      <c r="O644" s="1">
        <f t="shared" si="889"/>
        <v>2</v>
      </c>
      <c r="P644" s="1">
        <f>MIN(方案参数!$AI$20,AZ643+0+0)</f>
        <v>7</v>
      </c>
      <c r="Q644" s="1">
        <f t="shared" si="867"/>
        <v>5</v>
      </c>
      <c r="R644" s="1">
        <f t="shared" si="868"/>
        <v>20</v>
      </c>
      <c r="S644" s="1">
        <f t="shared" si="869"/>
        <v>3</v>
      </c>
      <c r="T644" s="1">
        <f t="shared" si="904"/>
        <v>0</v>
      </c>
      <c r="U644" s="1">
        <f t="shared" si="871"/>
        <v>1</v>
      </c>
      <c r="V644" s="1">
        <f t="shared" si="872"/>
        <v>4</v>
      </c>
      <c r="W644" s="1">
        <f t="shared" si="873"/>
        <v>1</v>
      </c>
      <c r="X644" s="1">
        <f t="shared" si="874"/>
        <v>1</v>
      </c>
      <c r="Y644" s="1">
        <f t="shared" si="875"/>
        <v>1</v>
      </c>
      <c r="Z644" s="1">
        <f t="shared" si="876"/>
        <v>1</v>
      </c>
      <c r="AA644" s="1">
        <f t="shared" si="900"/>
        <v>1</v>
      </c>
      <c r="AB644" s="1">
        <f t="shared" si="878"/>
        <v>1</v>
      </c>
      <c r="AC644" s="1">
        <f t="shared" si="905"/>
        <v>1</v>
      </c>
      <c r="AD644" s="1">
        <f>ROUNDDOWN(I644*(1+IF(F644=3,0.05+方案参数!$Y$20+AA644*0.12,IF(F644=4,方案参数!$BZ$20*方案参数!$AS$20,0)))+IF(AND(X644=1,F644&lt;&gt;3),方案参数!$CC$20,0)+AC644*方案参数!$CB$20,0)</f>
        <v>3034</v>
      </c>
      <c r="AE644" s="1">
        <f>IF(OR(F644=1,F644=4),配置与结果!$B$24,配置与结果!$B$25)*MAX(0,1-INDEX(配置与结果!$I$15:$I$18,F644))</f>
        <v>1200</v>
      </c>
      <c r="AF644" s="1">
        <f>方案参数!$BM$20</f>
        <v>20</v>
      </c>
      <c r="AG644" s="1">
        <f>MAX(配置与结果!$B$32,1+INDEX(配置与结果!$F$15:$F$18,F644)+0.08+方案参数!$CD$20+Q644*方案参数!$W$20+Y644*(方案参数!$AN$20+MIN(方案参数!$AO$20,P644*0.03))+AB644*方案参数!$BZ$20*0.025-配置与结果!$B$28+方案参数!$AE$20)</f>
        <v>2.7250000000000001</v>
      </c>
      <c r="AH644" s="1">
        <f>MAX(0,1+V644*方案参数!$U$20+3*方案参数!$V$20+方案参数!$AE$20-配置与结果!$B$29)</f>
        <v>1.7399999999999998</v>
      </c>
      <c r="AI644" s="1">
        <f>IF(OR(INDEX(配置与结果!$K$15:$K$18,F644)=1,G644="RHI_BERRY"),1+配置与结果!$B$33+P644*方案参数!$AH$20,1)</f>
        <v>1</v>
      </c>
      <c r="AJ644" s="1">
        <f>MIN(1,MAX(0,J644+方案参数!$AB$20-配置与结果!$B$27))</f>
        <v>1</v>
      </c>
      <c r="AK644" s="1">
        <f>MAX(1,K644+IF(F644=2,0.15+方案参数!$CH$20,0)+BN644*方案参数!$X$20+R644*方案参数!$AA$20+方案参数!$BQ$20-配置与结果!$B$26+Z644*(方案参数!$AP$20+MIN(方案参数!$AQ$20,P644*0.03)))</f>
        <v>3.0750000000000006</v>
      </c>
      <c r="AL644" s="7">
        <f>ROUNDDOWN(MAX(AD644*配置与结果!$B$31,AD644-AE644)*AF644*AG644*AH644*AI644,0)</f>
        <v>173918</v>
      </c>
      <c r="AM644" s="7">
        <f>ROUNDDOWN(MAX(AD644*配置与结果!$B$31,AD644-AE644)*AF644*AG644*AH644*AI644*AK644,0)</f>
        <v>534798</v>
      </c>
      <c r="AN644" s="7">
        <f t="shared" si="812"/>
        <v>534798</v>
      </c>
      <c r="AO644" s="7">
        <f>0</f>
        <v>0</v>
      </c>
      <c r="AP644" s="7">
        <f>MAX(0,1+INDEX(配置与结果!$J$15:$J$18,F644)+IF(T644&gt;0,方案参数!$BY$20,0)-配置与结果!$B$30)</f>
        <v>1</v>
      </c>
      <c r="AQ644" s="7">
        <f t="shared" si="813"/>
        <v>0</v>
      </c>
      <c r="AR644" s="7">
        <f t="shared" si="814"/>
        <v>0</v>
      </c>
      <c r="AS644" s="7">
        <f t="shared" si="815"/>
        <v>0</v>
      </c>
      <c r="AT644" s="7">
        <f>IF(U644&gt;0,ROUNDDOWN(AL644*方案参数!$AF$20,0)*(1-AJ644)+ROUNDDOWN(AM644*方案参数!$AF$20,0)*AJ644,0)</f>
        <v>213919</v>
      </c>
      <c r="AU644" s="7">
        <f t="shared" si="816"/>
        <v>748717</v>
      </c>
      <c r="AV644" s="1">
        <f t="shared" si="817"/>
        <v>2</v>
      </c>
      <c r="AW644" s="1">
        <f t="shared" si="910"/>
        <v>10</v>
      </c>
      <c r="AX644" s="1">
        <f t="shared" si="818"/>
        <v>2</v>
      </c>
      <c r="AY644" s="1">
        <f>MIN(20,MAX(0,O644+0+1-0))</f>
        <v>3</v>
      </c>
      <c r="AZ644" s="1">
        <f t="shared" si="819"/>
        <v>7</v>
      </c>
      <c r="BA644" s="1">
        <f t="shared" si="901"/>
        <v>5</v>
      </c>
      <c r="BB644" s="1">
        <f t="shared" si="909"/>
        <v>20</v>
      </c>
      <c r="BC644" s="1">
        <f t="shared" si="907"/>
        <v>3</v>
      </c>
      <c r="BD644" s="1">
        <f t="shared" si="888"/>
        <v>0</v>
      </c>
      <c r="BE644" s="1">
        <f>MAX(0,U644-IF(AF644&gt;0,1,0))+0</f>
        <v>0</v>
      </c>
      <c r="BF644" s="1">
        <f t="shared" si="911"/>
        <v>4</v>
      </c>
      <c r="BG644" s="1">
        <f t="shared" si="898"/>
        <v>1</v>
      </c>
      <c r="BH644" s="1">
        <f t="shared" si="882"/>
        <v>1</v>
      </c>
      <c r="BI644" s="1">
        <f t="shared" si="899"/>
        <v>1</v>
      </c>
      <c r="BJ644" s="1">
        <f t="shared" si="902"/>
        <v>1</v>
      </c>
      <c r="BK644" s="1">
        <f t="shared" si="903"/>
        <v>1</v>
      </c>
      <c r="BL644" s="1">
        <f t="shared" si="908"/>
        <v>1</v>
      </c>
      <c r="BM644" s="1">
        <f t="shared" si="906"/>
        <v>1</v>
      </c>
      <c r="BN644" s="1">
        <f t="shared" si="883"/>
        <v>1</v>
      </c>
      <c r="BO644" s="1">
        <f t="shared" si="884"/>
        <v>1</v>
      </c>
    </row>
    <row r="645" spans="1:67" ht="30.95" customHeight="1">
      <c r="A645" s="1">
        <f>17</f>
        <v>17</v>
      </c>
      <c r="B645" s="1">
        <f>固定流程!A33</f>
        <v>28</v>
      </c>
      <c r="C645" s="1">
        <f>20</f>
        <v>20</v>
      </c>
      <c r="D645" s="1">
        <f>2</f>
        <v>2</v>
      </c>
      <c r="E645" s="1">
        <f>固定流程!C33</f>
        <v>3</v>
      </c>
      <c r="F645" s="1">
        <f>固定流程!G33</f>
        <v>1</v>
      </c>
      <c r="G645" s="1" t="str">
        <f>固定流程!H33</f>
        <v>LILYA_WEAK</v>
      </c>
      <c r="H645" s="1">
        <f>固定流程!F33</f>
        <v>1</v>
      </c>
      <c r="I645" s="1">
        <f>INDEX(配置与结果!$B$15:$B$18,F645)</f>
        <v>2296</v>
      </c>
      <c r="J645" s="1">
        <f>INDEX(配置与结果!$D$15:$D$18,F645)</f>
        <v>0.7</v>
      </c>
      <c r="K645" s="1">
        <f>INDEX(配置与结果!$E$15:$E$18,F645)</f>
        <v>2.0249999999999999</v>
      </c>
      <c r="L645" s="1">
        <f t="shared" si="895"/>
        <v>2</v>
      </c>
      <c r="M645" s="1">
        <f t="shared" si="896"/>
        <v>10</v>
      </c>
      <c r="N645" s="1">
        <f t="shared" si="897"/>
        <v>2</v>
      </c>
      <c r="O645" s="1">
        <f t="shared" si="889"/>
        <v>3</v>
      </c>
      <c r="P645" s="1">
        <f>MIN(方案参数!$AI$20,AZ644+0+0)</f>
        <v>7</v>
      </c>
      <c r="Q645" s="1">
        <f t="shared" si="867"/>
        <v>5</v>
      </c>
      <c r="R645" s="1">
        <f t="shared" si="868"/>
        <v>20</v>
      </c>
      <c r="S645" s="1">
        <f t="shared" si="869"/>
        <v>3</v>
      </c>
      <c r="T645" s="1">
        <f t="shared" si="904"/>
        <v>0</v>
      </c>
      <c r="U645" s="1">
        <f t="shared" si="871"/>
        <v>0</v>
      </c>
      <c r="V645" s="1">
        <f t="shared" si="872"/>
        <v>4</v>
      </c>
      <c r="W645" s="1">
        <f t="shared" si="873"/>
        <v>1</v>
      </c>
      <c r="X645" s="1">
        <f t="shared" si="874"/>
        <v>1</v>
      </c>
      <c r="Y645" s="1">
        <f t="shared" si="875"/>
        <v>1</v>
      </c>
      <c r="Z645" s="1">
        <f t="shared" si="876"/>
        <v>1</v>
      </c>
      <c r="AA645" s="1">
        <f t="shared" si="900"/>
        <v>1</v>
      </c>
      <c r="AB645" s="1">
        <f t="shared" si="878"/>
        <v>1</v>
      </c>
      <c r="AC645" s="1">
        <f t="shared" si="905"/>
        <v>1</v>
      </c>
      <c r="AD645" s="1">
        <f>ROUNDDOWN(I645*(1+IF(F645=3,0.05+方案参数!$Y$20+AA645*0.12,IF(F645=4,方案参数!$BZ$20*方案参数!$AS$20,0)))+IF(AND(X645=1,F645&lt;&gt;3),方案参数!$CC$20,0)+AC645*方案参数!$CB$20,0)</f>
        <v>3034</v>
      </c>
      <c r="AE645" s="1">
        <f>IF(OR(F645=1,F645=4),配置与结果!$B$24,配置与结果!$B$25)*MAX(0,1-INDEX(配置与结果!$I$15:$I$18,F645))</f>
        <v>1200</v>
      </c>
      <c r="AF645" s="1">
        <f>方案参数!$BL$20</f>
        <v>9</v>
      </c>
      <c r="AG645" s="1">
        <f>MAX(配置与结果!$B$32,1+INDEX(配置与结果!$F$15:$F$18,F645)+0.08+方案参数!$CD$20+Q645*方案参数!$W$20+Y645*(方案参数!$AN$20+MIN(方案参数!$AO$20,P645*0.03))+AB645*方案参数!$BZ$20*0.025-配置与结果!$B$28+方案参数!$AE$20)</f>
        <v>2.7250000000000001</v>
      </c>
      <c r="AH645" s="1">
        <f>MAX(0,1+V645*方案参数!$U$20+4*方案参数!$V$20+方案参数!$AE$20-配置与结果!$B$29)</f>
        <v>1.7999999999999998</v>
      </c>
      <c r="AI645" s="1">
        <f>IF(OR(INDEX(配置与结果!$K$15:$K$18,F645)=1,G645="RHI_BERRY"),1+配置与结果!$B$33+P645*方案参数!$AH$20,1)</f>
        <v>1</v>
      </c>
      <c r="AJ645" s="1">
        <f>MIN(1,MAX(0,J645+方案参数!$AB$20-配置与结果!$B$27))</f>
        <v>1</v>
      </c>
      <c r="AK645" s="1">
        <f>MAX(1,K645+IF(F645=2,0.15+方案参数!$CH$20,0)+BN645*方案参数!$X$20+R645*方案参数!$AA$20+方案参数!$BP$20-配置与结果!$B$26+Z645*(方案参数!$AP$20+MIN(方案参数!$AQ$20,P645*0.03)))</f>
        <v>2.8750000000000004</v>
      </c>
      <c r="AL645" s="7">
        <f>ROUNDDOWN(MAX(AD645*配置与结果!$B$31,AD645-AE645)*AF645*AG645*AH645*AI645,0)</f>
        <v>80961</v>
      </c>
      <c r="AM645" s="7">
        <f>ROUNDDOWN(MAX(AD645*配置与结果!$B$31,AD645-AE645)*AF645*AG645*AH645*AI645*AK645,0)</f>
        <v>232765</v>
      </c>
      <c r="AN645" s="7">
        <f t="shared" si="812"/>
        <v>232765</v>
      </c>
      <c r="AO645" s="7">
        <f>0</f>
        <v>0</v>
      </c>
      <c r="AP645" s="7">
        <f>MAX(0,1+INDEX(配置与结果!$J$15:$J$18,F645)+IF(T645&gt;0,方案参数!$BY$20,0)-配置与结果!$B$30)</f>
        <v>1</v>
      </c>
      <c r="AQ645" s="7">
        <f t="shared" si="813"/>
        <v>0</v>
      </c>
      <c r="AR645" s="7">
        <f t="shared" si="814"/>
        <v>0</v>
      </c>
      <c r="AS645" s="7">
        <f t="shared" si="815"/>
        <v>0</v>
      </c>
      <c r="AT645" s="7">
        <f>IF(U645&gt;0,ROUNDDOWN(AL645*方案参数!$AF$20,0)*(1-AJ645)+ROUNDDOWN(AM645*方案参数!$AF$20,0)*AJ645,0)</f>
        <v>0</v>
      </c>
      <c r="AU645" s="7">
        <f t="shared" si="816"/>
        <v>232765</v>
      </c>
      <c r="AV645" s="1">
        <f t="shared" si="817"/>
        <v>2</v>
      </c>
      <c r="AW645" s="1">
        <f t="shared" si="910"/>
        <v>10</v>
      </c>
      <c r="AX645" s="1">
        <f t="shared" si="818"/>
        <v>2</v>
      </c>
      <c r="AY645" s="1">
        <f>MIN(20,MAX(0,O645+0+1-0))</f>
        <v>4</v>
      </c>
      <c r="AZ645" s="1">
        <f t="shared" si="819"/>
        <v>7</v>
      </c>
      <c r="BA645" s="1">
        <f t="shared" si="901"/>
        <v>5</v>
      </c>
      <c r="BB645" s="1">
        <f t="shared" si="909"/>
        <v>20</v>
      </c>
      <c r="BC645" s="1">
        <f t="shared" si="907"/>
        <v>3</v>
      </c>
      <c r="BD645" s="1">
        <f t="shared" si="888"/>
        <v>0</v>
      </c>
      <c r="BE645" s="1">
        <f>MAX(0,U645-IF(AF645&gt;0,1,0))+0</f>
        <v>0</v>
      </c>
      <c r="BF645" s="1">
        <f t="shared" si="911"/>
        <v>4</v>
      </c>
      <c r="BG645" s="1">
        <f t="shared" si="898"/>
        <v>1</v>
      </c>
      <c r="BH645" s="1">
        <f t="shared" si="882"/>
        <v>1</v>
      </c>
      <c r="BI645" s="1">
        <f t="shared" si="899"/>
        <v>1</v>
      </c>
      <c r="BJ645" s="1">
        <f t="shared" si="902"/>
        <v>1</v>
      </c>
      <c r="BK645" s="1">
        <f t="shared" si="903"/>
        <v>1</v>
      </c>
      <c r="BL645" s="1">
        <f t="shared" si="908"/>
        <v>1</v>
      </c>
      <c r="BM645" s="1">
        <f t="shared" si="906"/>
        <v>1</v>
      </c>
      <c r="BN645" s="1">
        <f t="shared" si="883"/>
        <v>1</v>
      </c>
      <c r="BO645" s="1">
        <f t="shared" si="884"/>
        <v>1</v>
      </c>
    </row>
    <row r="646" spans="1:67" ht="30.95" customHeight="1">
      <c r="A646" s="1">
        <f>17</f>
        <v>17</v>
      </c>
      <c r="B646" s="1">
        <f>固定流程!A34</f>
        <v>29</v>
      </c>
      <c r="C646" s="1">
        <f>20</f>
        <v>20</v>
      </c>
      <c r="D646" s="1">
        <f>2</f>
        <v>2</v>
      </c>
      <c r="E646" s="1">
        <f>固定流程!C34</f>
        <v>3</v>
      </c>
      <c r="F646" s="1">
        <f>固定流程!G34</f>
        <v>1</v>
      </c>
      <c r="G646" s="1" t="str">
        <f>固定流程!H34</f>
        <v>LILYA_WEAK</v>
      </c>
      <c r="H646" s="1">
        <f>固定流程!F34</f>
        <v>1</v>
      </c>
      <c r="I646" s="1">
        <f>INDEX(配置与结果!$B$15:$B$18,F646)</f>
        <v>2296</v>
      </c>
      <c r="J646" s="1">
        <f>INDEX(配置与结果!$D$15:$D$18,F646)</f>
        <v>0.7</v>
      </c>
      <c r="K646" s="1">
        <f>INDEX(配置与结果!$E$15:$E$18,F646)</f>
        <v>2.0249999999999999</v>
      </c>
      <c r="L646" s="1">
        <f t="shared" si="895"/>
        <v>2</v>
      </c>
      <c r="M646" s="1">
        <f t="shared" si="896"/>
        <v>10</v>
      </c>
      <c r="N646" s="1">
        <f t="shared" si="897"/>
        <v>2</v>
      </c>
      <c r="O646" s="1">
        <f t="shared" si="889"/>
        <v>4</v>
      </c>
      <c r="P646" s="1">
        <f>MIN(方案参数!$AI$20,AZ645+0+0)</f>
        <v>7</v>
      </c>
      <c r="Q646" s="1">
        <f t="shared" si="867"/>
        <v>5</v>
      </c>
      <c r="R646" s="1">
        <f t="shared" si="868"/>
        <v>20</v>
      </c>
      <c r="S646" s="1">
        <f t="shared" si="869"/>
        <v>3</v>
      </c>
      <c r="T646" s="1">
        <f t="shared" si="904"/>
        <v>0</v>
      </c>
      <c r="U646" s="1">
        <f t="shared" si="871"/>
        <v>0</v>
      </c>
      <c r="V646" s="1">
        <f t="shared" si="872"/>
        <v>4</v>
      </c>
      <c r="W646" s="1">
        <f t="shared" si="873"/>
        <v>1</v>
      </c>
      <c r="X646" s="1">
        <f t="shared" si="874"/>
        <v>1</v>
      </c>
      <c r="Y646" s="1">
        <f t="shared" si="875"/>
        <v>1</v>
      </c>
      <c r="Z646" s="1">
        <f t="shared" si="876"/>
        <v>1</v>
      </c>
      <c r="AA646" s="1">
        <f t="shared" si="900"/>
        <v>1</v>
      </c>
      <c r="AB646" s="1">
        <f t="shared" si="878"/>
        <v>1</v>
      </c>
      <c r="AC646" s="1">
        <f t="shared" si="905"/>
        <v>1</v>
      </c>
      <c r="AD646" s="1">
        <f>ROUNDDOWN(I646*(1+IF(F646=3,0.05+方案参数!$Y$20+AA646*0.12,IF(F646=4,方案参数!$BZ$20*方案参数!$AS$20,0)))+IF(AND(X646=1,F646&lt;&gt;3),方案参数!$CC$20,0)+AC646*方案参数!$CB$20,0)</f>
        <v>3034</v>
      </c>
      <c r="AE646" s="1">
        <f>IF(OR(F646=1,F646=4),配置与结果!$B$24,配置与结果!$B$25)*MAX(0,1-INDEX(配置与结果!$I$15:$I$18,F646))</f>
        <v>1200</v>
      </c>
      <c r="AF646" s="1">
        <f>方案参数!$BL$20</f>
        <v>9</v>
      </c>
      <c r="AG646" s="1">
        <f>MAX(配置与结果!$B$32,1+INDEX(配置与结果!$F$15:$F$18,F646)+0.08+方案参数!$CD$20+Q646*方案参数!$W$20+Y646*(方案参数!$AN$20+MIN(方案参数!$AO$20,P646*0.03))+AB646*方案参数!$BZ$20*0.025-配置与结果!$B$28+方案参数!$AE$20)</f>
        <v>2.7250000000000001</v>
      </c>
      <c r="AH646" s="1">
        <f>MAX(0,1+V646*方案参数!$U$20+5*方案参数!$V$20+方案参数!$AE$20-配置与结果!$B$29)</f>
        <v>1.8599999999999999</v>
      </c>
      <c r="AI646" s="1">
        <f>IF(OR(INDEX(配置与结果!$K$15:$K$18,F646)=1,G646="RHI_BERRY"),1+配置与结果!$B$33+P646*方案参数!$AH$20,1)</f>
        <v>1</v>
      </c>
      <c r="AJ646" s="1">
        <f>MIN(1,MAX(0,J646+方案参数!$AB$20-配置与结果!$B$27))</f>
        <v>1</v>
      </c>
      <c r="AK646" s="1">
        <f>MAX(1,K646+IF(F646=2,0.15+方案参数!$CH$20,0)+BN646*方案参数!$X$20+R646*方案参数!$AA$20+方案参数!$BP$20-配置与结果!$B$26+Z646*(方案参数!$AP$20+MIN(方案参数!$AQ$20,P646*0.03)))</f>
        <v>2.8750000000000004</v>
      </c>
      <c r="AL646" s="7">
        <f>ROUNDDOWN(MAX(AD646*配置与结果!$B$31,AD646-AE646)*AF646*AG646*AH646*AI646,0)</f>
        <v>83660</v>
      </c>
      <c r="AM646" s="7">
        <f>ROUNDDOWN(MAX(AD646*配置与结果!$B$31,AD646-AE646)*AF646*AG646*AH646*AI646*AK646,0)</f>
        <v>240524</v>
      </c>
      <c r="AN646" s="7">
        <f t="shared" ref="AN646:AN709" si="912">AL646*(1-AJ646)+AM646*AJ646</f>
        <v>240524</v>
      </c>
      <c r="AO646" s="7">
        <f>0</f>
        <v>0</v>
      </c>
      <c r="AP646" s="7">
        <f>MAX(0,1+INDEX(配置与结果!$J$15:$J$18,F646)+IF(T646&gt;0,方案参数!$BY$20,0)-配置与结果!$B$30)</f>
        <v>1</v>
      </c>
      <c r="AQ646" s="7">
        <f t="shared" ref="AQ646:AQ709" si="913">ROUNDDOWN(ROUNDDOWN(AD646*AO646,0)*AP646,0)</f>
        <v>0</v>
      </c>
      <c r="AR646" s="7">
        <f t="shared" ref="AR646:AR709" si="914">ROUNDDOWN(ROUNDDOWN(AD646*AO646,0)*AP646*AK646,0)</f>
        <v>0</v>
      </c>
      <c r="AS646" s="7">
        <f t="shared" ref="AS646:AS709" si="915">AQ646*(1-AJ646)+AR646*AJ646</f>
        <v>0</v>
      </c>
      <c r="AT646" s="7">
        <f>IF(U646&gt;0,ROUNDDOWN(AL646*方案参数!$AF$20,0)*(1-AJ646)+ROUNDDOWN(AM646*方案参数!$AF$20,0)*AJ646,0)</f>
        <v>0</v>
      </c>
      <c r="AU646" s="7">
        <f t="shared" ref="AU646:AU709" si="916">AN646+AS646+AT646</f>
        <v>240524</v>
      </c>
      <c r="AV646" s="1">
        <f t="shared" ref="AV646:AV709" si="917">IF(G646="LILYA_COBRA",IF(L646=0,1,L646),L646)</f>
        <v>2</v>
      </c>
      <c r="AW646" s="1">
        <f t="shared" si="910"/>
        <v>10</v>
      </c>
      <c r="AX646" s="1">
        <f t="shared" ref="AX646:AX709" si="918">N646</f>
        <v>2</v>
      </c>
      <c r="AY646" s="1">
        <f>MIN(20,MAX(0,O646+0+1-0))</f>
        <v>5</v>
      </c>
      <c r="AZ646" s="1">
        <f t="shared" ref="AZ646:AZ709" si="919">P646</f>
        <v>7</v>
      </c>
      <c r="BA646" s="1">
        <f t="shared" si="901"/>
        <v>5</v>
      </c>
      <c r="BB646" s="1">
        <f t="shared" si="909"/>
        <v>20</v>
      </c>
      <c r="BC646" s="1">
        <f t="shared" si="907"/>
        <v>3</v>
      </c>
      <c r="BD646" s="1">
        <f t="shared" si="888"/>
        <v>0</v>
      </c>
      <c r="BE646" s="1">
        <f>MAX(0,U646-IF(AF646&gt;0,1,0))+0</f>
        <v>0</v>
      </c>
      <c r="BF646" s="1">
        <f t="shared" si="911"/>
        <v>4</v>
      </c>
      <c r="BG646" s="1">
        <f t="shared" si="898"/>
        <v>1</v>
      </c>
      <c r="BH646" s="1">
        <f t="shared" si="882"/>
        <v>1</v>
      </c>
      <c r="BI646" s="1">
        <f t="shared" si="899"/>
        <v>1</v>
      </c>
      <c r="BJ646" s="1">
        <f t="shared" si="902"/>
        <v>1</v>
      </c>
      <c r="BK646" s="1">
        <f t="shared" si="903"/>
        <v>1</v>
      </c>
      <c r="BL646" s="1">
        <f t="shared" si="908"/>
        <v>1</v>
      </c>
      <c r="BM646" s="1">
        <f t="shared" si="906"/>
        <v>1</v>
      </c>
      <c r="BN646" s="1">
        <f t="shared" si="883"/>
        <v>1</v>
      </c>
      <c r="BO646" s="1">
        <f t="shared" si="884"/>
        <v>1</v>
      </c>
    </row>
    <row r="647" spans="1:67" ht="30.95" customHeight="1">
      <c r="A647" s="1">
        <f>17</f>
        <v>17</v>
      </c>
      <c r="B647" s="1">
        <f>固定流程!A35</f>
        <v>30</v>
      </c>
      <c r="C647" s="1">
        <f>20</f>
        <v>20</v>
      </c>
      <c r="D647" s="1">
        <f>2</f>
        <v>2</v>
      </c>
      <c r="E647" s="1">
        <f>固定流程!C35</f>
        <v>3</v>
      </c>
      <c r="F647" s="1">
        <f>固定流程!G35</f>
        <v>2</v>
      </c>
      <c r="G647" s="1" t="str">
        <f>固定流程!H35</f>
        <v>37_WEAK</v>
      </c>
      <c r="H647" s="1">
        <f>固定流程!F35</f>
        <v>1</v>
      </c>
      <c r="I647" s="1">
        <f>INDEX(配置与结果!$B$15:$B$18,F647)</f>
        <v>2306</v>
      </c>
      <c r="J647" s="1">
        <f>INDEX(配置与结果!$D$15:$D$18,F647)</f>
        <v>0.46</v>
      </c>
      <c r="K647" s="1">
        <f>INDEX(配置与结果!$E$15:$E$18,F647)</f>
        <v>1.9279999999999999</v>
      </c>
      <c r="L647" s="1">
        <f t="shared" si="895"/>
        <v>2</v>
      </c>
      <c r="M647" s="1">
        <f t="shared" si="896"/>
        <v>10</v>
      </c>
      <c r="N647" s="1">
        <f t="shared" si="897"/>
        <v>2</v>
      </c>
      <c r="O647" s="1">
        <f t="shared" si="889"/>
        <v>5</v>
      </c>
      <c r="P647" s="1">
        <f>MIN(方案参数!$AI$20,AZ646+0+0)</f>
        <v>7</v>
      </c>
      <c r="Q647" s="1">
        <f t="shared" si="867"/>
        <v>5</v>
      </c>
      <c r="R647" s="1">
        <f t="shared" si="868"/>
        <v>20</v>
      </c>
      <c r="S647" s="1">
        <f t="shared" si="869"/>
        <v>3</v>
      </c>
      <c r="T647" s="1">
        <f t="shared" si="904"/>
        <v>0</v>
      </c>
      <c r="U647" s="1">
        <f t="shared" si="871"/>
        <v>0</v>
      </c>
      <c r="V647" s="1">
        <f t="shared" si="872"/>
        <v>4</v>
      </c>
      <c r="W647" s="1">
        <f t="shared" si="873"/>
        <v>1</v>
      </c>
      <c r="X647" s="1">
        <f t="shared" si="874"/>
        <v>1</v>
      </c>
      <c r="Y647" s="1">
        <f t="shared" si="875"/>
        <v>1</v>
      </c>
      <c r="Z647" s="1">
        <f t="shared" si="876"/>
        <v>1</v>
      </c>
      <c r="AA647" s="1">
        <f t="shared" si="900"/>
        <v>1</v>
      </c>
      <c r="AB647" s="1">
        <f t="shared" si="878"/>
        <v>1</v>
      </c>
      <c r="AC647" s="1">
        <f t="shared" si="905"/>
        <v>1</v>
      </c>
      <c r="AD647" s="1">
        <f>ROUNDDOWN(I647*(1+IF(F647=3,0.05+方案参数!$Y$20+AA647*0.12,IF(F647=4,方案参数!$BZ$20*方案参数!$AS$20,0)))+IF(AND(X647=1,F647&lt;&gt;3),方案参数!$CC$20,0)+AC647*方案参数!$CB$20,0)</f>
        <v>3044</v>
      </c>
      <c r="AE647" s="1">
        <f>IF(OR(F647=1,F647=4),配置与结果!$B$24,配置与结果!$B$25)*MAX(0,1-INDEX(配置与结果!$I$15:$I$18,F647))</f>
        <v>1000</v>
      </c>
      <c r="AF647" s="1">
        <f>方案参数!$CE$20</f>
        <v>8</v>
      </c>
      <c r="AG647" s="1">
        <f>MAX(配置与结果!$B$32,1+INDEX(配置与结果!$F$15:$F$18,F647)+0+Q647*方案参数!$W$20+Y647*(方案参数!$AN$20+MIN(方案参数!$AO$20,P647*0.03))+AB647*方案参数!$BZ$20*0.025-配置与结果!$B$28+方案参数!$AE$20)</f>
        <v>2.39</v>
      </c>
      <c r="AH647" s="1">
        <f>MAX(0,1+V647*方案参数!$U$20+方案参数!$AE$20-配置与结果!$B$29)</f>
        <v>1.56</v>
      </c>
      <c r="AI647" s="1">
        <f>IF(OR(INDEX(配置与结果!$K$15:$K$18,F647)=1,G647="RHI_BERRY"),1+配置与结果!$B$33+P647*方案参数!$AH$20,1)</f>
        <v>1</v>
      </c>
      <c r="AJ647" s="1">
        <f>MIN(1,MAX(0,J647+方案参数!$AB$20-配置与结果!$B$27))</f>
        <v>0.76</v>
      </c>
      <c r="AK647" s="1">
        <f>MAX(1,K647+IF(F647=2,0.15+方案参数!$CH$20,0)+BN647*方案参数!$X$20+R647*方案参数!$AA$20+0-配置与结果!$B$26+Z647*(方案参数!$AP$20+MIN(方案参数!$AQ$20,P647*0.03)))</f>
        <v>2.4480000000000004</v>
      </c>
      <c r="AL647" s="7">
        <f>ROUNDDOWN(MAX(AD647*配置与结果!$B$31,AD647-AE647)*AF647*AG647*AH647*AI647,0)</f>
        <v>60966</v>
      </c>
      <c r="AM647" s="7">
        <f>ROUNDDOWN(MAX(AD647*配置与结果!$B$31,AD647-AE647)*AF647*AG647*AH647*AI647*AK647,0)</f>
        <v>149246</v>
      </c>
      <c r="AN647" s="7">
        <f t="shared" si="912"/>
        <v>128058.8</v>
      </c>
      <c r="AO647" s="7">
        <f>0</f>
        <v>0</v>
      </c>
      <c r="AP647" s="7">
        <f>MAX(0,1+INDEX(配置与结果!$J$15:$J$18,F647)+IF(T647&gt;0,方案参数!$BY$20,0)-配置与结果!$B$30)</f>
        <v>1</v>
      </c>
      <c r="AQ647" s="7">
        <f t="shared" si="913"/>
        <v>0</v>
      </c>
      <c r="AR647" s="7">
        <f t="shared" si="914"/>
        <v>0</v>
      </c>
      <c r="AS647" s="7">
        <f t="shared" si="915"/>
        <v>0</v>
      </c>
      <c r="AT647" s="7">
        <f>IF(U647&gt;0,ROUNDDOWN(AL647*方案参数!$AF$20,0)*(1-AJ647)+ROUNDDOWN(AM647*方案参数!$AF$20,0)*AJ647,0)</f>
        <v>0</v>
      </c>
      <c r="AU647" s="7">
        <f t="shared" si="916"/>
        <v>128058.8</v>
      </c>
      <c r="AV647" s="1">
        <f t="shared" si="917"/>
        <v>2</v>
      </c>
      <c r="AW647" s="1">
        <f t="shared" si="910"/>
        <v>10</v>
      </c>
      <c r="AX647" s="1">
        <f t="shared" si="918"/>
        <v>2</v>
      </c>
      <c r="AY647" s="1">
        <f>MIN(20,MAX(0,O647+0+0-0))</f>
        <v>5</v>
      </c>
      <c r="AZ647" s="1">
        <f t="shared" si="919"/>
        <v>7</v>
      </c>
      <c r="BA647" s="1">
        <f t="shared" si="901"/>
        <v>5</v>
      </c>
      <c r="BB647" s="1">
        <f t="shared" si="909"/>
        <v>20</v>
      </c>
      <c r="BC647" s="1">
        <f t="shared" si="907"/>
        <v>3</v>
      </c>
      <c r="BD647" s="1">
        <f t="shared" si="888"/>
        <v>0</v>
      </c>
      <c r="BE647" s="1">
        <f>MAX(0,U647-IF(AF647&gt;0,1,0))+1</f>
        <v>1</v>
      </c>
      <c r="BF647" s="1">
        <f t="shared" si="911"/>
        <v>4</v>
      </c>
      <c r="BG647" s="1">
        <f t="shared" si="898"/>
        <v>1</v>
      </c>
      <c r="BH647" s="1">
        <f t="shared" si="882"/>
        <v>1</v>
      </c>
      <c r="BI647" s="1">
        <f t="shared" si="899"/>
        <v>1</v>
      </c>
      <c r="BJ647" s="1">
        <f t="shared" si="902"/>
        <v>1</v>
      </c>
      <c r="BK647" s="1">
        <f t="shared" si="903"/>
        <v>1</v>
      </c>
      <c r="BL647" s="1">
        <f t="shared" si="908"/>
        <v>1</v>
      </c>
      <c r="BM647" s="1">
        <f t="shared" si="906"/>
        <v>1</v>
      </c>
      <c r="BN647" s="1">
        <f t="shared" si="883"/>
        <v>1</v>
      </c>
      <c r="BO647" s="1">
        <f t="shared" si="884"/>
        <v>1</v>
      </c>
    </row>
    <row r="648" spans="1:67" ht="30.95" customHeight="1">
      <c r="A648" s="1">
        <f>17</f>
        <v>17</v>
      </c>
      <c r="B648" s="1">
        <f>固定流程!A36</f>
        <v>31</v>
      </c>
      <c r="C648" s="1">
        <f>20</f>
        <v>20</v>
      </c>
      <c r="D648" s="1">
        <f>2</f>
        <v>2</v>
      </c>
      <c r="E648" s="1">
        <f>固定流程!C36</f>
        <v>3</v>
      </c>
      <c r="F648" s="1">
        <f>固定流程!G36</f>
        <v>1</v>
      </c>
      <c r="G648" s="1" t="str">
        <f>固定流程!H36</f>
        <v>LILYA_THIRD</v>
      </c>
      <c r="H648" s="1">
        <f>固定流程!F36</f>
        <v>1</v>
      </c>
      <c r="I648" s="1">
        <f>INDEX(配置与结果!$B$15:$B$18,F648)</f>
        <v>2296</v>
      </c>
      <c r="J648" s="1">
        <f>INDEX(配置与结果!$D$15:$D$18,F648)</f>
        <v>0.7</v>
      </c>
      <c r="K648" s="1">
        <f>INDEX(配置与结果!$E$15:$E$18,F648)</f>
        <v>2.0249999999999999</v>
      </c>
      <c r="L648" s="1">
        <f t="shared" si="895"/>
        <v>2</v>
      </c>
      <c r="M648" s="1">
        <f t="shared" si="896"/>
        <v>10</v>
      </c>
      <c r="N648" s="1">
        <f t="shared" si="897"/>
        <v>2</v>
      </c>
      <c r="O648" s="1">
        <f t="shared" si="889"/>
        <v>5</v>
      </c>
      <c r="P648" s="1">
        <f>MIN(方案参数!$AI$20,AZ647+0+0)</f>
        <v>7</v>
      </c>
      <c r="Q648" s="1">
        <f t="shared" si="867"/>
        <v>5</v>
      </c>
      <c r="R648" s="1">
        <f t="shared" si="868"/>
        <v>20</v>
      </c>
      <c r="S648" s="1">
        <f t="shared" si="869"/>
        <v>3</v>
      </c>
      <c r="T648" s="1">
        <f t="shared" si="904"/>
        <v>0</v>
      </c>
      <c r="U648" s="1">
        <f t="shared" si="871"/>
        <v>1</v>
      </c>
      <c r="V648" s="1">
        <f t="shared" si="872"/>
        <v>4</v>
      </c>
      <c r="W648" s="1">
        <f t="shared" si="873"/>
        <v>1</v>
      </c>
      <c r="X648" s="1">
        <f t="shared" si="874"/>
        <v>1</v>
      </c>
      <c r="Y648" s="1">
        <f t="shared" si="875"/>
        <v>1</v>
      </c>
      <c r="Z648" s="1">
        <f t="shared" si="876"/>
        <v>1</v>
      </c>
      <c r="AA648" s="1">
        <f t="shared" si="900"/>
        <v>1</v>
      </c>
      <c r="AB648" s="1">
        <f t="shared" si="878"/>
        <v>1</v>
      </c>
      <c r="AC648" s="1">
        <f t="shared" si="905"/>
        <v>1</v>
      </c>
      <c r="AD648" s="1">
        <f>ROUNDDOWN(I648*(1+IF(F648=3,0.05+方案参数!$Y$20+AA648*0.12,IF(F648=4,方案参数!$BZ$20*方案参数!$AS$20,0)))+IF(AND(X648=1,F648&lt;&gt;3),方案参数!$CC$20,0)+AC648*方案参数!$CB$20,0)</f>
        <v>3034</v>
      </c>
      <c r="AE648" s="1">
        <f>IF(OR(F648=1,F648=4),配置与结果!$B$24,配置与结果!$B$25)*MAX(0,1-INDEX(配置与结果!$I$15:$I$18,F648))</f>
        <v>1200</v>
      </c>
      <c r="AF648" s="1">
        <f>方案参数!$BM$20</f>
        <v>20</v>
      </c>
      <c r="AG648" s="1">
        <f>MAX(配置与结果!$B$32,1+INDEX(配置与结果!$F$15:$F$18,F648)+0.08+方案参数!$CD$20+Q648*方案参数!$W$20+Y648*(方案参数!$AN$20+MIN(方案参数!$AO$20,P648*0.03))+AB648*方案参数!$BZ$20*0.025-配置与结果!$B$28+方案参数!$AE$20)</f>
        <v>2.7250000000000001</v>
      </c>
      <c r="AH648" s="1">
        <f>MAX(0,1+V648*方案参数!$U$20+7*方案参数!$V$20+方案参数!$AE$20-配置与结果!$B$29)</f>
        <v>1.98</v>
      </c>
      <c r="AI648" s="1">
        <f>IF(OR(INDEX(配置与结果!$K$15:$K$18,F648)=1,G648="RHI_BERRY"),1+配置与结果!$B$33+P648*方案参数!$AH$20,1)</f>
        <v>1</v>
      </c>
      <c r="AJ648" s="1">
        <f>MIN(1,MAX(0,J648+方案参数!$AB$20-配置与结果!$B$27))</f>
        <v>1</v>
      </c>
      <c r="AK648" s="1">
        <f>MAX(1,K648+IF(F648=2,0.15+方案参数!$CH$20,0)+BN648*方案参数!$X$20+R648*方案参数!$AA$20+方案参数!$BQ$20-配置与结果!$B$26+Z648*(方案参数!$AP$20+MIN(方案参数!$AQ$20,P648*0.03)))</f>
        <v>3.0750000000000006</v>
      </c>
      <c r="AL648" s="7">
        <f>ROUNDDOWN(MAX(AD648*配置与结果!$B$31,AD648-AE648)*AF648*AG648*AH648*AI648,0)</f>
        <v>197906</v>
      </c>
      <c r="AM648" s="7">
        <f>ROUNDDOWN(MAX(AD648*配置与结果!$B$31,AD648-AE648)*AF648*AG648*AH648*AI648*AK648,0)</f>
        <v>608563</v>
      </c>
      <c r="AN648" s="7">
        <f t="shared" si="912"/>
        <v>608563</v>
      </c>
      <c r="AO648" s="7">
        <f>0</f>
        <v>0</v>
      </c>
      <c r="AP648" s="7">
        <f>MAX(0,1+INDEX(配置与结果!$J$15:$J$18,F648)+IF(T648&gt;0,方案参数!$BY$20,0)-配置与结果!$B$30)</f>
        <v>1</v>
      </c>
      <c r="AQ648" s="7">
        <f t="shared" si="913"/>
        <v>0</v>
      </c>
      <c r="AR648" s="7">
        <f t="shared" si="914"/>
        <v>0</v>
      </c>
      <c r="AS648" s="7">
        <f t="shared" si="915"/>
        <v>0</v>
      </c>
      <c r="AT648" s="7">
        <f>IF(U648&gt;0,ROUNDDOWN(AL648*方案参数!$AF$20,0)*(1-AJ648)+ROUNDDOWN(AM648*方案参数!$AF$20,0)*AJ648,0)</f>
        <v>243425</v>
      </c>
      <c r="AU648" s="7">
        <f t="shared" si="916"/>
        <v>851988</v>
      </c>
      <c r="AV648" s="1">
        <f t="shared" si="917"/>
        <v>2</v>
      </c>
      <c r="AW648" s="1">
        <f t="shared" si="910"/>
        <v>10</v>
      </c>
      <c r="AX648" s="1">
        <f t="shared" si="918"/>
        <v>2</v>
      </c>
      <c r="AY648" s="1">
        <f>MIN(20,MAX(0,O648+0+1-0))</f>
        <v>6</v>
      </c>
      <c r="AZ648" s="1">
        <f t="shared" si="919"/>
        <v>7</v>
      </c>
      <c r="BA648" s="1">
        <f t="shared" si="901"/>
        <v>5</v>
      </c>
      <c r="BB648" s="1">
        <f t="shared" si="909"/>
        <v>20</v>
      </c>
      <c r="BC648" s="1">
        <f t="shared" si="907"/>
        <v>3</v>
      </c>
      <c r="BD648" s="1">
        <f t="shared" si="888"/>
        <v>0</v>
      </c>
      <c r="BE648" s="1">
        <f>MAX(0,U648-IF(AF648&gt;0,1,0))+0</f>
        <v>0</v>
      </c>
      <c r="BF648" s="1">
        <f t="shared" si="911"/>
        <v>4</v>
      </c>
      <c r="BG648" s="1">
        <f t="shared" si="898"/>
        <v>1</v>
      </c>
      <c r="BH648" s="1">
        <f t="shared" si="882"/>
        <v>1</v>
      </c>
      <c r="BI648" s="1">
        <f t="shared" si="899"/>
        <v>1</v>
      </c>
      <c r="BJ648" s="1">
        <f t="shared" si="902"/>
        <v>1</v>
      </c>
      <c r="BK648" s="1">
        <f t="shared" si="903"/>
        <v>1</v>
      </c>
      <c r="BL648" s="1">
        <f t="shared" si="908"/>
        <v>1</v>
      </c>
      <c r="BM648" s="1">
        <f t="shared" si="906"/>
        <v>1</v>
      </c>
      <c r="BN648" s="1">
        <f t="shared" si="883"/>
        <v>1</v>
      </c>
      <c r="BO648" s="1">
        <f t="shared" si="884"/>
        <v>1</v>
      </c>
    </row>
    <row r="649" spans="1:67" ht="30.95" customHeight="1">
      <c r="A649" s="1">
        <f>17</f>
        <v>17</v>
      </c>
      <c r="B649" s="1">
        <f>固定流程!A37</f>
        <v>32</v>
      </c>
      <c r="C649" s="1">
        <f>20</f>
        <v>20</v>
      </c>
      <c r="D649" s="1">
        <f>2</f>
        <v>2</v>
      </c>
      <c r="E649" s="1">
        <f>固定流程!C37</f>
        <v>3</v>
      </c>
      <c r="F649" s="1">
        <f>固定流程!G37</f>
        <v>1</v>
      </c>
      <c r="G649" s="1" t="str">
        <f>固定流程!H37</f>
        <v>LILYA_WEAK</v>
      </c>
      <c r="H649" s="1">
        <f>固定流程!F37</f>
        <v>1</v>
      </c>
      <c r="I649" s="1">
        <f>INDEX(配置与结果!$B$15:$B$18,F649)</f>
        <v>2296</v>
      </c>
      <c r="J649" s="1">
        <f>INDEX(配置与结果!$D$15:$D$18,F649)</f>
        <v>0.7</v>
      </c>
      <c r="K649" s="1">
        <f>INDEX(配置与结果!$E$15:$E$18,F649)</f>
        <v>2.0249999999999999</v>
      </c>
      <c r="L649" s="1">
        <f t="shared" si="895"/>
        <v>2</v>
      </c>
      <c r="M649" s="1">
        <f t="shared" si="896"/>
        <v>10</v>
      </c>
      <c r="N649" s="1">
        <f t="shared" si="897"/>
        <v>2</v>
      </c>
      <c r="O649" s="1">
        <f t="shared" si="889"/>
        <v>6</v>
      </c>
      <c r="P649" s="1">
        <f>MIN(方案参数!$AI$20,AZ648+0+0)</f>
        <v>7</v>
      </c>
      <c r="Q649" s="1">
        <f t="shared" si="867"/>
        <v>5</v>
      </c>
      <c r="R649" s="1">
        <f t="shared" si="868"/>
        <v>20</v>
      </c>
      <c r="S649" s="1">
        <f t="shared" si="869"/>
        <v>3</v>
      </c>
      <c r="T649" s="1">
        <f t="shared" si="904"/>
        <v>0</v>
      </c>
      <c r="U649" s="1">
        <f t="shared" si="871"/>
        <v>0</v>
      </c>
      <c r="V649" s="1">
        <f t="shared" si="872"/>
        <v>4</v>
      </c>
      <c r="W649" s="1">
        <f t="shared" si="873"/>
        <v>1</v>
      </c>
      <c r="X649" s="1">
        <f t="shared" si="874"/>
        <v>1</v>
      </c>
      <c r="Y649" s="1">
        <f t="shared" si="875"/>
        <v>1</v>
      </c>
      <c r="Z649" s="1">
        <f t="shared" si="876"/>
        <v>1</v>
      </c>
      <c r="AA649" s="1">
        <f t="shared" si="900"/>
        <v>1</v>
      </c>
      <c r="AB649" s="1">
        <f t="shared" si="878"/>
        <v>1</v>
      </c>
      <c r="AC649" s="1">
        <f t="shared" si="905"/>
        <v>1</v>
      </c>
      <c r="AD649" s="1">
        <f>ROUNDDOWN(I649*(1+IF(F649=3,0.05+方案参数!$Y$20+AA649*0.12,IF(F649=4,方案参数!$BZ$20*方案参数!$AS$20,0)))+IF(AND(X649=1,F649&lt;&gt;3),方案参数!$CC$20,0)+AC649*方案参数!$CB$20,0)</f>
        <v>3034</v>
      </c>
      <c r="AE649" s="1">
        <f>IF(OR(F649=1,F649=4),配置与结果!$B$24,配置与结果!$B$25)*MAX(0,1-INDEX(配置与结果!$I$15:$I$18,F649))</f>
        <v>1200</v>
      </c>
      <c r="AF649" s="1">
        <f>方案参数!$BL$20</f>
        <v>9</v>
      </c>
      <c r="AG649" s="1">
        <f>MAX(配置与结果!$B$32,1+INDEX(配置与结果!$F$15:$F$18,F649)+0.08+方案参数!$CD$20+Q649*方案参数!$W$20+Y649*(方案参数!$AN$20+MIN(方案参数!$AO$20,P649*0.03))+AB649*方案参数!$BZ$20*0.025-配置与结果!$B$28+方案参数!$AE$20)</f>
        <v>2.7250000000000001</v>
      </c>
      <c r="AH649" s="1">
        <f>MAX(0,1+V649*方案参数!$U$20+8*方案参数!$V$20+方案参数!$AE$20-配置与结果!$B$29)</f>
        <v>2.04</v>
      </c>
      <c r="AI649" s="1">
        <f>IF(OR(INDEX(配置与结果!$K$15:$K$18,F649)=1,G649="RHI_BERRY"),1+配置与结果!$B$33+P649*方案参数!$AH$20,1)</f>
        <v>1</v>
      </c>
      <c r="AJ649" s="1">
        <f>MIN(1,MAX(0,J649+方案参数!$AB$20-配置与结果!$B$27))</f>
        <v>1</v>
      </c>
      <c r="AK649" s="1">
        <f>MAX(1,K649+IF(F649=2,0.15+方案参数!$CH$20,0)+BN649*方案参数!$X$20+R649*方案参数!$AA$20+方案参数!$BP$20-配置与结果!$B$26+Z649*(方案参数!$AP$20+MIN(方案参数!$AQ$20,P649*0.03)))</f>
        <v>2.8750000000000004</v>
      </c>
      <c r="AL649" s="7">
        <f>ROUNDDOWN(MAX(AD649*配置与结果!$B$31,AD649-AE649)*AF649*AG649*AH649*AI649,0)</f>
        <v>91756</v>
      </c>
      <c r="AM649" s="7">
        <f>ROUNDDOWN(MAX(AD649*配置与结果!$B$31,AD649-AE649)*AF649*AG649*AH649*AI649*AK649,0)</f>
        <v>263800</v>
      </c>
      <c r="AN649" s="7">
        <f t="shared" si="912"/>
        <v>263800</v>
      </c>
      <c r="AO649" s="7">
        <f>0</f>
        <v>0</v>
      </c>
      <c r="AP649" s="7">
        <f>MAX(0,1+INDEX(配置与结果!$J$15:$J$18,F649)+IF(T649&gt;0,方案参数!$BY$20,0)-配置与结果!$B$30)</f>
        <v>1</v>
      </c>
      <c r="AQ649" s="7">
        <f t="shared" si="913"/>
        <v>0</v>
      </c>
      <c r="AR649" s="7">
        <f t="shared" si="914"/>
        <v>0</v>
      </c>
      <c r="AS649" s="7">
        <f t="shared" si="915"/>
        <v>0</v>
      </c>
      <c r="AT649" s="7">
        <f>IF(U649&gt;0,ROUNDDOWN(AL649*方案参数!$AF$20,0)*(1-AJ649)+ROUNDDOWN(AM649*方案参数!$AF$20,0)*AJ649,0)</f>
        <v>0</v>
      </c>
      <c r="AU649" s="7">
        <f t="shared" si="916"/>
        <v>263800</v>
      </c>
      <c r="AV649" s="1">
        <f t="shared" si="917"/>
        <v>2</v>
      </c>
      <c r="AW649" s="1">
        <f t="shared" si="910"/>
        <v>10</v>
      </c>
      <c r="AX649" s="1">
        <f t="shared" si="918"/>
        <v>2</v>
      </c>
      <c r="AY649" s="1">
        <f>MIN(20,MAX(0,O649+0+1-0))</f>
        <v>7</v>
      </c>
      <c r="AZ649" s="1">
        <f t="shared" si="919"/>
        <v>7</v>
      </c>
      <c r="BA649" s="1">
        <f t="shared" si="901"/>
        <v>5</v>
      </c>
      <c r="BB649" s="1">
        <f t="shared" si="909"/>
        <v>20</v>
      </c>
      <c r="BC649" s="1">
        <f t="shared" si="907"/>
        <v>3</v>
      </c>
      <c r="BD649" s="1">
        <f t="shared" si="888"/>
        <v>0</v>
      </c>
      <c r="BE649" s="1">
        <f>MAX(0,U649-IF(AF649&gt;0,1,0))+0</f>
        <v>0</v>
      </c>
      <c r="BF649" s="1">
        <f t="shared" si="911"/>
        <v>4</v>
      </c>
      <c r="BG649" s="1">
        <f t="shared" si="898"/>
        <v>1</v>
      </c>
      <c r="BH649" s="1">
        <f t="shared" si="882"/>
        <v>1</v>
      </c>
      <c r="BI649" s="1">
        <f t="shared" si="899"/>
        <v>1</v>
      </c>
      <c r="BJ649" s="1">
        <f t="shared" si="902"/>
        <v>1</v>
      </c>
      <c r="BK649" s="1">
        <f t="shared" si="903"/>
        <v>1</v>
      </c>
      <c r="BL649" s="1">
        <f t="shared" si="908"/>
        <v>1</v>
      </c>
      <c r="BM649" s="1">
        <f t="shared" si="906"/>
        <v>1</v>
      </c>
      <c r="BN649" s="1">
        <f t="shared" si="883"/>
        <v>1</v>
      </c>
      <c r="BO649" s="1">
        <f t="shared" si="884"/>
        <v>1</v>
      </c>
    </row>
    <row r="650" spans="1:67" ht="30.95" customHeight="1">
      <c r="A650" s="1">
        <f>17</f>
        <v>17</v>
      </c>
      <c r="B650" s="1">
        <f>固定流程!A38</f>
        <v>33</v>
      </c>
      <c r="C650" s="1">
        <f>20</f>
        <v>20</v>
      </c>
      <c r="D650" s="1">
        <f>2</f>
        <v>2</v>
      </c>
      <c r="E650" s="1">
        <f>固定流程!C38</f>
        <v>3</v>
      </c>
      <c r="F650" s="1">
        <f>固定流程!G38</f>
        <v>1</v>
      </c>
      <c r="G650" s="1" t="str">
        <f>固定流程!H38</f>
        <v>LILYA_WEAK</v>
      </c>
      <c r="H650" s="1">
        <f>固定流程!F38</f>
        <v>1</v>
      </c>
      <c r="I650" s="1">
        <f>INDEX(配置与结果!$B$15:$B$18,F650)</f>
        <v>2296</v>
      </c>
      <c r="J650" s="1">
        <f>INDEX(配置与结果!$D$15:$D$18,F650)</f>
        <v>0.7</v>
      </c>
      <c r="K650" s="1">
        <f>INDEX(配置与结果!$E$15:$E$18,F650)</f>
        <v>2.0249999999999999</v>
      </c>
      <c r="L650" s="1">
        <f t="shared" si="895"/>
        <v>2</v>
      </c>
      <c r="M650" s="1">
        <f t="shared" si="896"/>
        <v>10</v>
      </c>
      <c r="N650" s="1">
        <f t="shared" si="897"/>
        <v>2</v>
      </c>
      <c r="O650" s="1">
        <f t="shared" si="889"/>
        <v>7</v>
      </c>
      <c r="P650" s="1">
        <f>MIN(方案参数!$AI$20,AZ649+0+0)</f>
        <v>7</v>
      </c>
      <c r="Q650" s="1">
        <f t="shared" si="867"/>
        <v>5</v>
      </c>
      <c r="R650" s="1">
        <f t="shared" si="868"/>
        <v>20</v>
      </c>
      <c r="S650" s="1">
        <f t="shared" si="869"/>
        <v>3</v>
      </c>
      <c r="T650" s="1">
        <f t="shared" si="904"/>
        <v>0</v>
      </c>
      <c r="U650" s="1">
        <f t="shared" si="871"/>
        <v>0</v>
      </c>
      <c r="V650" s="1">
        <f t="shared" si="872"/>
        <v>4</v>
      </c>
      <c r="W650" s="1">
        <f t="shared" si="873"/>
        <v>1</v>
      </c>
      <c r="X650" s="1">
        <f t="shared" si="874"/>
        <v>1</v>
      </c>
      <c r="Y650" s="1">
        <f t="shared" si="875"/>
        <v>1</v>
      </c>
      <c r="Z650" s="1">
        <f t="shared" si="876"/>
        <v>1</v>
      </c>
      <c r="AA650" s="1">
        <f t="shared" si="900"/>
        <v>1</v>
      </c>
      <c r="AB650" s="1">
        <f t="shared" si="878"/>
        <v>1</v>
      </c>
      <c r="AC650" s="1">
        <f t="shared" si="905"/>
        <v>1</v>
      </c>
      <c r="AD650" s="1">
        <f>ROUNDDOWN(I650*(1+IF(F650=3,0.05+方案参数!$Y$20+AA650*0.12,IF(F650=4,方案参数!$BZ$20*方案参数!$AS$20,0)))+IF(AND(X650=1,F650&lt;&gt;3),方案参数!$CC$20,0)+AC650*方案参数!$CB$20,0)</f>
        <v>3034</v>
      </c>
      <c r="AE650" s="1">
        <f>IF(OR(F650=1,F650=4),配置与结果!$B$24,配置与结果!$B$25)*MAX(0,1-INDEX(配置与结果!$I$15:$I$18,F650))</f>
        <v>1200</v>
      </c>
      <c r="AF650" s="1">
        <f>方案参数!$BL$20</f>
        <v>9</v>
      </c>
      <c r="AG650" s="1">
        <f>MAX(配置与结果!$B$32,1+INDEX(配置与结果!$F$15:$F$18,F650)+0.08+方案参数!$CD$20+Q650*方案参数!$W$20+Y650*(方案参数!$AN$20+MIN(方案参数!$AO$20,P650*0.03))+AB650*方案参数!$BZ$20*0.025-配置与结果!$B$28+方案参数!$AE$20)</f>
        <v>2.7250000000000001</v>
      </c>
      <c r="AH650" s="1">
        <f>MAX(0,1+V650*方案参数!$U$20+9*方案参数!$V$20+方案参数!$AE$20-配置与结果!$B$29)</f>
        <v>2.1</v>
      </c>
      <c r="AI650" s="1">
        <f>IF(OR(INDEX(配置与结果!$K$15:$K$18,F650)=1,G650="RHI_BERRY"),1+配置与结果!$B$33+P650*方案参数!$AH$20,1)</f>
        <v>1</v>
      </c>
      <c r="AJ650" s="1">
        <f>MIN(1,MAX(0,J650+方案参数!$AB$20-配置与结果!$B$27))</f>
        <v>1</v>
      </c>
      <c r="AK650" s="1">
        <f>MAX(1,K650+IF(F650=2,0.15+方案参数!$CH$20,0)+BN650*方案参数!$X$20+R650*方案参数!$AA$20+方案参数!$BP$20-配置与结果!$B$26+Z650*(方案参数!$AP$20+MIN(方案参数!$AQ$20,P650*0.03)))</f>
        <v>2.8750000000000004</v>
      </c>
      <c r="AL650" s="7">
        <f>ROUNDDOWN(MAX(AD650*配置与结果!$B$31,AD650-AE650)*AF650*AG650*AH650*AI650,0)</f>
        <v>94455</v>
      </c>
      <c r="AM650" s="7">
        <f>ROUNDDOWN(MAX(AD650*配置与结果!$B$31,AD650-AE650)*AF650*AG650*AH650*AI650*AK650,0)</f>
        <v>271559</v>
      </c>
      <c r="AN650" s="7">
        <f t="shared" si="912"/>
        <v>271559</v>
      </c>
      <c r="AO650" s="7">
        <f>0</f>
        <v>0</v>
      </c>
      <c r="AP650" s="7">
        <f>MAX(0,1+INDEX(配置与结果!$J$15:$J$18,F650)+IF(T650&gt;0,方案参数!$BY$20,0)-配置与结果!$B$30)</f>
        <v>1</v>
      </c>
      <c r="AQ650" s="7">
        <f t="shared" si="913"/>
        <v>0</v>
      </c>
      <c r="AR650" s="7">
        <f t="shared" si="914"/>
        <v>0</v>
      </c>
      <c r="AS650" s="7">
        <f t="shared" si="915"/>
        <v>0</v>
      </c>
      <c r="AT650" s="7">
        <f>IF(U650&gt;0,ROUNDDOWN(AL650*方案参数!$AF$20,0)*(1-AJ650)+ROUNDDOWN(AM650*方案参数!$AF$20,0)*AJ650,0)</f>
        <v>0</v>
      </c>
      <c r="AU650" s="7">
        <f t="shared" si="916"/>
        <v>271559</v>
      </c>
      <c r="AV650" s="1">
        <f t="shared" si="917"/>
        <v>2</v>
      </c>
      <c r="AW650" s="1">
        <f t="shared" si="910"/>
        <v>10</v>
      </c>
      <c r="AX650" s="1">
        <f t="shared" si="918"/>
        <v>2</v>
      </c>
      <c r="AY650" s="1">
        <f>MIN(20,MAX(0,O650+0+1-0))</f>
        <v>8</v>
      </c>
      <c r="AZ650" s="1">
        <f t="shared" si="919"/>
        <v>7</v>
      </c>
      <c r="BA650" s="1">
        <f t="shared" si="901"/>
        <v>5</v>
      </c>
      <c r="BB650" s="1">
        <f t="shared" si="909"/>
        <v>20</v>
      </c>
      <c r="BC650" s="1">
        <f t="shared" si="907"/>
        <v>3</v>
      </c>
      <c r="BD650" s="1">
        <f t="shared" si="888"/>
        <v>0</v>
      </c>
      <c r="BE650" s="1">
        <f>MAX(0,U650-IF(AF650&gt;0,1,0))+0</f>
        <v>0</v>
      </c>
      <c r="BF650" s="1">
        <f t="shared" si="911"/>
        <v>4</v>
      </c>
      <c r="BG650" s="1">
        <f t="shared" si="898"/>
        <v>1</v>
      </c>
      <c r="BH650" s="1">
        <f t="shared" si="882"/>
        <v>1</v>
      </c>
      <c r="BI650" s="1">
        <f t="shared" si="899"/>
        <v>1</v>
      </c>
      <c r="BJ650" s="1">
        <f t="shared" si="902"/>
        <v>1</v>
      </c>
      <c r="BK650" s="1">
        <f t="shared" si="903"/>
        <v>1</v>
      </c>
      <c r="BL650" s="1">
        <f t="shared" si="908"/>
        <v>1</v>
      </c>
      <c r="BM650" s="1">
        <f t="shared" si="906"/>
        <v>1</v>
      </c>
      <c r="BN650" s="1">
        <f t="shared" si="883"/>
        <v>1</v>
      </c>
      <c r="BO650" s="1">
        <f t="shared" si="884"/>
        <v>1</v>
      </c>
    </row>
    <row r="651" spans="1:67" ht="30.95" customHeight="1">
      <c r="A651" s="1">
        <f>17</f>
        <v>17</v>
      </c>
      <c r="B651" s="1">
        <f>固定流程!A39</f>
        <v>34</v>
      </c>
      <c r="C651" s="1">
        <f>20</f>
        <v>20</v>
      </c>
      <c r="D651" s="1">
        <f>2</f>
        <v>2</v>
      </c>
      <c r="E651" s="1">
        <f>固定流程!C39</f>
        <v>3</v>
      </c>
      <c r="F651" s="1">
        <f>固定流程!G39</f>
        <v>2</v>
      </c>
      <c r="G651" s="1" t="str">
        <f>固定流程!H39</f>
        <v>37_WEAK</v>
      </c>
      <c r="H651" s="1">
        <f>固定流程!F39</f>
        <v>1</v>
      </c>
      <c r="I651" s="1">
        <f>INDEX(配置与结果!$B$15:$B$18,F651)</f>
        <v>2306</v>
      </c>
      <c r="J651" s="1">
        <f>INDEX(配置与结果!$D$15:$D$18,F651)</f>
        <v>0.46</v>
      </c>
      <c r="K651" s="1">
        <f>INDEX(配置与结果!$E$15:$E$18,F651)</f>
        <v>1.9279999999999999</v>
      </c>
      <c r="L651" s="1">
        <f t="shared" si="895"/>
        <v>2</v>
      </c>
      <c r="M651" s="1">
        <f t="shared" si="896"/>
        <v>10</v>
      </c>
      <c r="N651" s="1">
        <f t="shared" si="897"/>
        <v>2</v>
      </c>
      <c r="O651" s="1">
        <f t="shared" si="889"/>
        <v>8</v>
      </c>
      <c r="P651" s="1">
        <f>MIN(方案参数!$AI$20,AZ650+0+0)</f>
        <v>7</v>
      </c>
      <c r="Q651" s="1">
        <f t="shared" si="867"/>
        <v>5</v>
      </c>
      <c r="R651" s="1">
        <f t="shared" si="868"/>
        <v>20</v>
      </c>
      <c r="S651" s="1">
        <f t="shared" si="869"/>
        <v>3</v>
      </c>
      <c r="T651" s="1">
        <f t="shared" si="904"/>
        <v>0</v>
      </c>
      <c r="U651" s="1">
        <f t="shared" si="871"/>
        <v>0</v>
      </c>
      <c r="V651" s="1">
        <f t="shared" si="872"/>
        <v>4</v>
      </c>
      <c r="W651" s="1">
        <f t="shared" si="873"/>
        <v>1</v>
      </c>
      <c r="X651" s="1">
        <f t="shared" si="874"/>
        <v>1</v>
      </c>
      <c r="Y651" s="1">
        <f t="shared" si="875"/>
        <v>1</v>
      </c>
      <c r="Z651" s="1">
        <f t="shared" si="876"/>
        <v>1</v>
      </c>
      <c r="AA651" s="1">
        <f t="shared" si="900"/>
        <v>1</v>
      </c>
      <c r="AB651" s="1">
        <f t="shared" si="878"/>
        <v>1</v>
      </c>
      <c r="AC651" s="1">
        <f t="shared" si="905"/>
        <v>1</v>
      </c>
      <c r="AD651" s="1">
        <f>ROUNDDOWN(I651*(1+IF(F651=3,0.05+方案参数!$Y$20+AA651*0.12,IF(F651=4,方案参数!$BZ$20*方案参数!$AS$20,0)))+IF(AND(X651=1,F651&lt;&gt;3),方案参数!$CC$20,0)+AC651*方案参数!$CB$20,0)</f>
        <v>3044</v>
      </c>
      <c r="AE651" s="1">
        <f>IF(OR(F651=1,F651=4),配置与结果!$B$24,配置与结果!$B$25)*MAX(0,1-INDEX(配置与结果!$I$15:$I$18,F651))</f>
        <v>1000</v>
      </c>
      <c r="AF651" s="1">
        <f>方案参数!$CE$20</f>
        <v>8</v>
      </c>
      <c r="AG651" s="1">
        <f>MAX(配置与结果!$B$32,1+INDEX(配置与结果!$F$15:$F$18,F651)+0+Q651*方案参数!$W$20+Y651*(方案参数!$AN$20+MIN(方案参数!$AO$20,P651*0.03))+AB651*方案参数!$BZ$20*0.025-配置与结果!$B$28+方案参数!$AE$20)</f>
        <v>2.39</v>
      </c>
      <c r="AH651" s="1">
        <f>MAX(0,1+V651*方案参数!$U$20+方案参数!$AE$20-配置与结果!$B$29)</f>
        <v>1.56</v>
      </c>
      <c r="AI651" s="1">
        <f>IF(OR(INDEX(配置与结果!$K$15:$K$18,F651)=1,G651="RHI_BERRY"),1+配置与结果!$B$33+P651*方案参数!$AH$20,1)</f>
        <v>1</v>
      </c>
      <c r="AJ651" s="1">
        <f>MIN(1,MAX(0,J651+方案参数!$AB$20-配置与结果!$B$27))</f>
        <v>0.76</v>
      </c>
      <c r="AK651" s="1">
        <f>MAX(1,K651+IF(F651=2,0.15+方案参数!$CH$20,0)+BN651*方案参数!$X$20+R651*方案参数!$AA$20+0-配置与结果!$B$26+Z651*(方案参数!$AP$20+MIN(方案参数!$AQ$20,P651*0.03)))</f>
        <v>2.4480000000000004</v>
      </c>
      <c r="AL651" s="7">
        <f>ROUNDDOWN(MAX(AD651*配置与结果!$B$31,AD651-AE651)*AF651*AG651*AH651*AI651,0)</f>
        <v>60966</v>
      </c>
      <c r="AM651" s="7">
        <f>ROUNDDOWN(MAX(AD651*配置与结果!$B$31,AD651-AE651)*AF651*AG651*AH651*AI651*AK651,0)</f>
        <v>149246</v>
      </c>
      <c r="AN651" s="7">
        <f t="shared" si="912"/>
        <v>128058.8</v>
      </c>
      <c r="AO651" s="7">
        <f>0</f>
        <v>0</v>
      </c>
      <c r="AP651" s="7">
        <f>MAX(0,1+INDEX(配置与结果!$J$15:$J$18,F651)+IF(T651&gt;0,方案参数!$BY$20,0)-配置与结果!$B$30)</f>
        <v>1</v>
      </c>
      <c r="AQ651" s="7">
        <f t="shared" si="913"/>
        <v>0</v>
      </c>
      <c r="AR651" s="7">
        <f t="shared" si="914"/>
        <v>0</v>
      </c>
      <c r="AS651" s="7">
        <f t="shared" si="915"/>
        <v>0</v>
      </c>
      <c r="AT651" s="7">
        <f>IF(U651&gt;0,ROUNDDOWN(AL651*方案参数!$AF$20,0)*(1-AJ651)+ROUNDDOWN(AM651*方案参数!$AF$20,0)*AJ651,0)</f>
        <v>0</v>
      </c>
      <c r="AU651" s="7">
        <f t="shared" si="916"/>
        <v>128058.8</v>
      </c>
      <c r="AV651" s="1">
        <f t="shared" si="917"/>
        <v>2</v>
      </c>
      <c r="AW651" s="1">
        <f t="shared" si="910"/>
        <v>10</v>
      </c>
      <c r="AX651" s="1">
        <f t="shared" si="918"/>
        <v>2</v>
      </c>
      <c r="AY651" s="1">
        <f>MIN(20,MAX(0,O651+0+0-0))</f>
        <v>8</v>
      </c>
      <c r="AZ651" s="1">
        <f t="shared" si="919"/>
        <v>7</v>
      </c>
      <c r="BA651" s="1">
        <f t="shared" si="901"/>
        <v>5</v>
      </c>
      <c r="BB651" s="1">
        <f t="shared" si="909"/>
        <v>20</v>
      </c>
      <c r="BC651" s="1">
        <f t="shared" si="907"/>
        <v>3</v>
      </c>
      <c r="BD651" s="1">
        <f t="shared" si="888"/>
        <v>0</v>
      </c>
      <c r="BE651" s="1">
        <f>MAX(0,U651-IF(AF651&gt;0,1,0))+1</f>
        <v>1</v>
      </c>
      <c r="BF651" s="1">
        <f t="shared" si="911"/>
        <v>4</v>
      </c>
      <c r="BG651" s="1">
        <f t="shared" si="898"/>
        <v>1</v>
      </c>
      <c r="BH651" s="1">
        <f t="shared" si="882"/>
        <v>1</v>
      </c>
      <c r="BI651" s="1">
        <f t="shared" si="899"/>
        <v>1</v>
      </c>
      <c r="BJ651" s="1">
        <f t="shared" si="902"/>
        <v>1</v>
      </c>
      <c r="BK651" s="1">
        <f t="shared" si="903"/>
        <v>1</v>
      </c>
      <c r="BL651" s="1">
        <f t="shared" si="908"/>
        <v>1</v>
      </c>
      <c r="BM651" s="1">
        <f t="shared" si="906"/>
        <v>1</v>
      </c>
      <c r="BN651" s="1">
        <f t="shared" si="883"/>
        <v>1</v>
      </c>
      <c r="BO651" s="1">
        <f t="shared" si="884"/>
        <v>1</v>
      </c>
    </row>
    <row r="652" spans="1:67" ht="30.95" customHeight="1">
      <c r="A652" s="1">
        <f>17</f>
        <v>17</v>
      </c>
      <c r="B652" s="1">
        <f>固定流程!A40</f>
        <v>35</v>
      </c>
      <c r="C652" s="1">
        <f>20</f>
        <v>20</v>
      </c>
      <c r="D652" s="1">
        <f>2</f>
        <v>2</v>
      </c>
      <c r="E652" s="1">
        <f>固定流程!C40</f>
        <v>3</v>
      </c>
      <c r="F652" s="1">
        <f>固定流程!G40</f>
        <v>2</v>
      </c>
      <c r="G652" s="1" t="str">
        <f>固定流程!H40</f>
        <v>37_WEAK</v>
      </c>
      <c r="H652" s="1">
        <f>固定流程!F40</f>
        <v>1</v>
      </c>
      <c r="I652" s="1">
        <f>INDEX(配置与结果!$B$15:$B$18,F652)</f>
        <v>2306</v>
      </c>
      <c r="J652" s="1">
        <f>INDEX(配置与结果!$D$15:$D$18,F652)</f>
        <v>0.46</v>
      </c>
      <c r="K652" s="1">
        <f>INDEX(配置与结果!$E$15:$E$18,F652)</f>
        <v>1.9279999999999999</v>
      </c>
      <c r="L652" s="1">
        <f t="shared" si="895"/>
        <v>2</v>
      </c>
      <c r="M652" s="1">
        <f t="shared" si="896"/>
        <v>10</v>
      </c>
      <c r="N652" s="1">
        <f t="shared" si="897"/>
        <v>2</v>
      </c>
      <c r="O652" s="1">
        <f t="shared" si="889"/>
        <v>8</v>
      </c>
      <c r="P652" s="1">
        <f>MIN(方案参数!$AI$20,AZ651+0+0)</f>
        <v>7</v>
      </c>
      <c r="Q652" s="1">
        <f t="shared" si="867"/>
        <v>5</v>
      </c>
      <c r="R652" s="1">
        <f t="shared" si="868"/>
        <v>20</v>
      </c>
      <c r="S652" s="1">
        <f t="shared" si="869"/>
        <v>3</v>
      </c>
      <c r="T652" s="1">
        <f t="shared" si="904"/>
        <v>0</v>
      </c>
      <c r="U652" s="1">
        <f t="shared" si="871"/>
        <v>1</v>
      </c>
      <c r="V652" s="1">
        <f t="shared" si="872"/>
        <v>4</v>
      </c>
      <c r="W652" s="1">
        <f t="shared" si="873"/>
        <v>1</v>
      </c>
      <c r="X652" s="1">
        <f t="shared" si="874"/>
        <v>1</v>
      </c>
      <c r="Y652" s="1">
        <f t="shared" si="875"/>
        <v>1</v>
      </c>
      <c r="Z652" s="1">
        <f t="shared" si="876"/>
        <v>1</v>
      </c>
      <c r="AA652" s="1">
        <f t="shared" si="900"/>
        <v>1</v>
      </c>
      <c r="AB652" s="1">
        <f t="shared" si="878"/>
        <v>1</v>
      </c>
      <c r="AC652" s="1">
        <f t="shared" si="905"/>
        <v>1</v>
      </c>
      <c r="AD652" s="1">
        <f>ROUNDDOWN(I652*(1+IF(F652=3,0.05+方案参数!$Y$20+AA652*0.12,IF(F652=4,方案参数!$BZ$20*方案参数!$AS$20,0)))+IF(AND(X652=1,F652&lt;&gt;3),方案参数!$CC$20,0)+AC652*方案参数!$CB$20,0)</f>
        <v>3044</v>
      </c>
      <c r="AE652" s="1">
        <f>IF(OR(F652=1,F652=4),配置与结果!$B$24,配置与结果!$B$25)*MAX(0,1-INDEX(配置与结果!$I$15:$I$18,F652))</f>
        <v>1000</v>
      </c>
      <c r="AF652" s="1">
        <f>方案参数!$CE$20</f>
        <v>8</v>
      </c>
      <c r="AG652" s="1">
        <f>MAX(配置与结果!$B$32,1+INDEX(配置与结果!$F$15:$F$18,F652)+0+Q652*方案参数!$W$20+Y652*(方案参数!$AN$20+MIN(方案参数!$AO$20,P652*0.03))+AB652*方案参数!$BZ$20*0.025-配置与结果!$B$28+方案参数!$AE$20)</f>
        <v>2.39</v>
      </c>
      <c r="AH652" s="1">
        <f>MAX(0,1+V652*方案参数!$U$20+方案参数!$AE$20-配置与结果!$B$29)</f>
        <v>1.56</v>
      </c>
      <c r="AI652" s="1">
        <f>IF(OR(INDEX(配置与结果!$K$15:$K$18,F652)=1,G652="RHI_BERRY"),1+配置与结果!$B$33+P652*方案参数!$AH$20,1)</f>
        <v>1</v>
      </c>
      <c r="AJ652" s="1">
        <f>MIN(1,MAX(0,J652+方案参数!$AB$20-配置与结果!$B$27))</f>
        <v>0.76</v>
      </c>
      <c r="AK652" s="1">
        <f>MAX(1,K652+IF(F652=2,0.15+方案参数!$CH$20,0)+BN652*方案参数!$X$20+R652*方案参数!$AA$20+0-配置与结果!$B$26+Z652*(方案参数!$AP$20+MIN(方案参数!$AQ$20,P652*0.03)))</f>
        <v>2.4480000000000004</v>
      </c>
      <c r="AL652" s="7">
        <f>ROUNDDOWN(MAX(AD652*配置与结果!$B$31,AD652-AE652)*AF652*AG652*AH652*AI652,0)</f>
        <v>60966</v>
      </c>
      <c r="AM652" s="7">
        <f>ROUNDDOWN(MAX(AD652*配置与结果!$B$31,AD652-AE652)*AF652*AG652*AH652*AI652*AK652,0)</f>
        <v>149246</v>
      </c>
      <c r="AN652" s="7">
        <f t="shared" si="912"/>
        <v>128058.8</v>
      </c>
      <c r="AO652" s="7">
        <f>0</f>
        <v>0</v>
      </c>
      <c r="AP652" s="7">
        <f>MAX(0,1+INDEX(配置与结果!$J$15:$J$18,F652)+IF(T652&gt;0,方案参数!$BY$20,0)-配置与结果!$B$30)</f>
        <v>1</v>
      </c>
      <c r="AQ652" s="7">
        <f t="shared" si="913"/>
        <v>0</v>
      </c>
      <c r="AR652" s="7">
        <f t="shared" si="914"/>
        <v>0</v>
      </c>
      <c r="AS652" s="7">
        <f t="shared" si="915"/>
        <v>0</v>
      </c>
      <c r="AT652" s="7">
        <f>IF(U652&gt;0,ROUNDDOWN(AL652*方案参数!$AF$20,0)*(1-AJ652)+ROUNDDOWN(AM652*方案参数!$AF$20,0)*AJ652,0)</f>
        <v>51223.12</v>
      </c>
      <c r="AU652" s="7">
        <f t="shared" si="916"/>
        <v>179281.92000000001</v>
      </c>
      <c r="AV652" s="1">
        <f t="shared" si="917"/>
        <v>2</v>
      </c>
      <c r="AW652" s="1">
        <f t="shared" si="910"/>
        <v>10</v>
      </c>
      <c r="AX652" s="1">
        <f t="shared" si="918"/>
        <v>2</v>
      </c>
      <c r="AY652" s="1">
        <f>MIN(20,MAX(0,O652+0+0-0))</f>
        <v>8</v>
      </c>
      <c r="AZ652" s="1">
        <f t="shared" si="919"/>
        <v>7</v>
      </c>
      <c r="BA652" s="1">
        <f t="shared" si="901"/>
        <v>5</v>
      </c>
      <c r="BB652" s="1">
        <f t="shared" si="909"/>
        <v>20</v>
      </c>
      <c r="BC652" s="1">
        <f t="shared" si="907"/>
        <v>3</v>
      </c>
      <c r="BD652" s="1">
        <f t="shared" si="888"/>
        <v>0</v>
      </c>
      <c r="BE652" s="1">
        <f>MAX(0,U652-IF(AF652&gt;0,1,0))+1</f>
        <v>1</v>
      </c>
      <c r="BF652" s="1">
        <f t="shared" si="911"/>
        <v>4</v>
      </c>
      <c r="BG652" s="1">
        <f t="shared" si="898"/>
        <v>1</v>
      </c>
      <c r="BH652" s="1">
        <f t="shared" si="882"/>
        <v>1</v>
      </c>
      <c r="BI652" s="1">
        <f t="shared" si="899"/>
        <v>1</v>
      </c>
      <c r="BJ652" s="1">
        <f t="shared" si="902"/>
        <v>1</v>
      </c>
      <c r="BK652" s="1">
        <f t="shared" si="903"/>
        <v>1</v>
      </c>
      <c r="BL652" s="1">
        <f t="shared" si="908"/>
        <v>1</v>
      </c>
      <c r="BM652" s="1">
        <f t="shared" si="906"/>
        <v>1</v>
      </c>
      <c r="BN652" s="1">
        <f t="shared" si="883"/>
        <v>1</v>
      </c>
      <c r="BO652" s="1">
        <f t="shared" si="884"/>
        <v>1</v>
      </c>
    </row>
    <row r="653" spans="1:67" ht="30.95" customHeight="1">
      <c r="A653" s="1">
        <f>17</f>
        <v>17</v>
      </c>
      <c r="B653" s="1">
        <f>固定流程!A41</f>
        <v>36</v>
      </c>
      <c r="C653" s="1">
        <f>20</f>
        <v>20</v>
      </c>
      <c r="D653" s="1">
        <f>2</f>
        <v>2</v>
      </c>
      <c r="E653" s="1">
        <f>固定流程!C41</f>
        <v>3</v>
      </c>
      <c r="F653" s="1">
        <f>固定流程!G41</f>
        <v>1</v>
      </c>
      <c r="G653" s="1" t="str">
        <f>固定流程!H41</f>
        <v>LILYA_FINISH</v>
      </c>
      <c r="H653" s="1">
        <f>固定流程!F41</f>
        <v>1</v>
      </c>
      <c r="I653" s="1">
        <f>INDEX(配置与结果!$B$15:$B$18,F653)</f>
        <v>2296</v>
      </c>
      <c r="J653" s="1">
        <f>INDEX(配置与结果!$D$15:$D$18,F653)</f>
        <v>0.7</v>
      </c>
      <c r="K653" s="1">
        <f>INDEX(配置与结果!$E$15:$E$18,F653)</f>
        <v>2.0249999999999999</v>
      </c>
      <c r="L653" s="1">
        <f t="shared" si="895"/>
        <v>2</v>
      </c>
      <c r="M653" s="1">
        <f t="shared" si="896"/>
        <v>10</v>
      </c>
      <c r="N653" s="1">
        <f t="shared" si="897"/>
        <v>2</v>
      </c>
      <c r="O653" s="1">
        <f t="shared" si="889"/>
        <v>8</v>
      </c>
      <c r="P653" s="1">
        <f>MIN(方案参数!$AI$20,AZ652+0+0)</f>
        <v>7</v>
      </c>
      <c r="Q653" s="1">
        <f t="shared" si="867"/>
        <v>5</v>
      </c>
      <c r="R653" s="1">
        <f t="shared" si="868"/>
        <v>20</v>
      </c>
      <c r="S653" s="1">
        <f t="shared" si="869"/>
        <v>3</v>
      </c>
      <c r="T653" s="1">
        <f t="shared" si="904"/>
        <v>0</v>
      </c>
      <c r="U653" s="1">
        <f t="shared" si="871"/>
        <v>1</v>
      </c>
      <c r="V653" s="1">
        <f t="shared" si="872"/>
        <v>4</v>
      </c>
      <c r="W653" s="1">
        <f t="shared" si="873"/>
        <v>1</v>
      </c>
      <c r="X653" s="1">
        <f t="shared" si="874"/>
        <v>1</v>
      </c>
      <c r="Y653" s="1">
        <f t="shared" si="875"/>
        <v>1</v>
      </c>
      <c r="Z653" s="1">
        <f t="shared" si="876"/>
        <v>1</v>
      </c>
      <c r="AA653" s="1">
        <f t="shared" si="900"/>
        <v>1</v>
      </c>
      <c r="AB653" s="1">
        <f t="shared" si="878"/>
        <v>1</v>
      </c>
      <c r="AC653" s="1">
        <f t="shared" si="905"/>
        <v>1</v>
      </c>
      <c r="AD653" s="1">
        <f>ROUNDDOWN(I653*(1+IF(F653=3,0.05+方案参数!$Y$20+AA653*0.12,IF(F653=4,方案参数!$BZ$20*方案参数!$AS$20,0)))+IF(AND(X653=1,F653&lt;&gt;3),方案参数!$CC$20,0)+AC653*方案参数!$CB$20,0)</f>
        <v>3034</v>
      </c>
      <c r="AE653" s="1">
        <f>IF(OR(F653=1,F653=4),配置与结果!$B$24,配置与结果!$B$25)*MAX(0,1-INDEX(配置与结果!$I$15:$I$18,F653))</f>
        <v>1200</v>
      </c>
      <c r="AF653" s="1">
        <f>方案参数!$BN$20+12*方案参数!$BO$20</f>
        <v>48</v>
      </c>
      <c r="AG653" s="1">
        <f>MAX(配置与结果!$B$32,1+INDEX(配置与结果!$F$15:$F$18,F653)+0.08+方案参数!$CD$20+Q653*方案参数!$W$20+Y653*(方案参数!$AN$20+MIN(方案参数!$AO$20,P653*0.03))+AB653*方案参数!$BZ$20*0.025-配置与结果!$B$28+方案参数!$AE$20)</f>
        <v>2.7250000000000001</v>
      </c>
      <c r="AH653" s="1">
        <f>MAX(0,1+V653*方案参数!$U$20+12*方案参数!$V$20+方案参数!$AE$20-配置与结果!$B$29)</f>
        <v>2.2799999999999998</v>
      </c>
      <c r="AI653" s="1">
        <f>IF(OR(INDEX(配置与结果!$K$15:$K$18,F653)=1,G653="RHI_BERRY"),1+配置与结果!$B$33+P653*方案参数!$AH$20,1)</f>
        <v>1</v>
      </c>
      <c r="AJ653" s="1">
        <f>MIN(1,MAX(0,J653+方案参数!$AB$20-配置与结果!$B$27))</f>
        <v>1</v>
      </c>
      <c r="AK653" s="1">
        <f>MAX(1,K653+IF(F653=2,0.15+方案参数!$CH$20,0)+BN653*方案参数!$X$20+R653*方案参数!$AA$20+方案参数!$BR$20-配置与结果!$B$26+Z653*(方案参数!$AP$20+MIN(方案参数!$AQ$20,P653*0.03)))</f>
        <v>3.2750000000000004</v>
      </c>
      <c r="AL653" s="7">
        <f>ROUNDDOWN(MAX(AD653*配置与结果!$B$31,AD653-AE653)*AF653*AG653*AH653*AI653,0)</f>
        <v>546942</v>
      </c>
      <c r="AM653" s="7">
        <f>ROUNDDOWN(MAX(AD653*配置与结果!$B$31,AD653-AE653)*AF653*AG653*AH653*AI653*AK653,0)</f>
        <v>1791237</v>
      </c>
      <c r="AN653" s="7">
        <f t="shared" si="912"/>
        <v>1791237</v>
      </c>
      <c r="AO653" s="7">
        <f>0</f>
        <v>0</v>
      </c>
      <c r="AP653" s="7">
        <f>MAX(0,1+INDEX(配置与结果!$J$15:$J$18,F653)+IF(T653&gt;0,方案参数!$BY$20,0)-配置与结果!$B$30)</f>
        <v>1</v>
      </c>
      <c r="AQ653" s="7">
        <f t="shared" si="913"/>
        <v>0</v>
      </c>
      <c r="AR653" s="7">
        <f t="shared" si="914"/>
        <v>0</v>
      </c>
      <c r="AS653" s="7">
        <f t="shared" si="915"/>
        <v>0</v>
      </c>
      <c r="AT653" s="7">
        <f>IF(U653&gt;0,ROUNDDOWN(AL653*方案参数!$AF$20,0)*(1-AJ653)+ROUNDDOWN(AM653*方案参数!$AF$20,0)*AJ653,0)</f>
        <v>716494</v>
      </c>
      <c r="AU653" s="7">
        <f t="shared" si="916"/>
        <v>2507731</v>
      </c>
      <c r="AV653" s="1">
        <f t="shared" si="917"/>
        <v>2</v>
      </c>
      <c r="AW653" s="1">
        <f t="shared" si="910"/>
        <v>10</v>
      </c>
      <c r="AX653" s="1">
        <f t="shared" si="918"/>
        <v>2</v>
      </c>
      <c r="AY653" s="1">
        <f>MIN(20,MAX(0,O653+0+1-0))</f>
        <v>9</v>
      </c>
      <c r="AZ653" s="1">
        <f t="shared" si="919"/>
        <v>7</v>
      </c>
      <c r="BA653" s="1">
        <f t="shared" si="901"/>
        <v>5</v>
      </c>
      <c r="BB653" s="1">
        <f t="shared" si="909"/>
        <v>20</v>
      </c>
      <c r="BC653" s="1">
        <f t="shared" si="907"/>
        <v>3</v>
      </c>
      <c r="BD653" s="1">
        <f t="shared" si="888"/>
        <v>0</v>
      </c>
      <c r="BE653" s="1">
        <f>MAX(0,U653-IF(AF653&gt;0,1,0))+0</f>
        <v>0</v>
      </c>
      <c r="BF653" s="1">
        <f t="shared" si="911"/>
        <v>4</v>
      </c>
      <c r="BG653" s="1">
        <f t="shared" si="898"/>
        <v>1</v>
      </c>
      <c r="BH653" s="1">
        <f t="shared" si="882"/>
        <v>1</v>
      </c>
      <c r="BI653" s="1">
        <f t="shared" si="899"/>
        <v>1</v>
      </c>
      <c r="BJ653" s="1">
        <f t="shared" si="902"/>
        <v>1</v>
      </c>
      <c r="BK653" s="1">
        <f t="shared" si="903"/>
        <v>1</v>
      </c>
      <c r="BL653" s="1">
        <f t="shared" si="908"/>
        <v>1</v>
      </c>
      <c r="BM653" s="1">
        <f t="shared" si="906"/>
        <v>1</v>
      </c>
      <c r="BN653" s="1">
        <f t="shared" si="883"/>
        <v>1</v>
      </c>
      <c r="BO653" s="1">
        <f t="shared" si="884"/>
        <v>1</v>
      </c>
    </row>
    <row r="654" spans="1:67" ht="30.95" customHeight="1">
      <c r="A654" s="1">
        <f>18</f>
        <v>18</v>
      </c>
      <c r="B654" s="1">
        <f>固定流程!A6</f>
        <v>1</v>
      </c>
      <c r="C654" s="1">
        <f>21</f>
        <v>21</v>
      </c>
      <c r="D654" s="1">
        <f>1</f>
        <v>1</v>
      </c>
      <c r="E654" s="1">
        <f>固定流程!C6</f>
        <v>1</v>
      </c>
      <c r="F654" s="1">
        <f>固定流程!G6</f>
        <v>3</v>
      </c>
      <c r="G654" s="1" t="str">
        <f>固定流程!H6</f>
        <v>RHI_ULT</v>
      </c>
      <c r="H654" s="1">
        <f>固定流程!F6</f>
        <v>1</v>
      </c>
      <c r="I654" s="1">
        <f>INDEX(配置与结果!$B$15:$B$18,F654)</f>
        <v>2597</v>
      </c>
      <c r="J654" s="1">
        <f>INDEX(配置与结果!$D$15:$D$18,F654)</f>
        <v>0.255</v>
      </c>
      <c r="K654" s="1">
        <f>INDEX(配置与结果!$E$15:$E$18,F654)</f>
        <v>1.55</v>
      </c>
      <c r="L654" s="1">
        <f>0</f>
        <v>0</v>
      </c>
      <c r="M654" s="1">
        <f>0</f>
        <v>0</v>
      </c>
      <c r="N654" s="1">
        <f>0</f>
        <v>0</v>
      </c>
      <c r="O654" s="1">
        <f>0</f>
        <v>0</v>
      </c>
      <c r="P654" s="1">
        <f>MIN(方案参数!$AI$21,0+方案参数!$AJ$21+0)</f>
        <v>1</v>
      </c>
      <c r="Q654" s="1">
        <f>0</f>
        <v>0</v>
      </c>
      <c r="R654" s="1">
        <f>0</f>
        <v>0</v>
      </c>
      <c r="S654" s="1">
        <f>0</f>
        <v>0</v>
      </c>
      <c r="T654" s="1">
        <f>0+0</f>
        <v>0</v>
      </c>
      <c r="U654" s="1">
        <f>0</f>
        <v>0</v>
      </c>
      <c r="V654" s="1">
        <f>0</f>
        <v>0</v>
      </c>
      <c r="W654" s="1">
        <f>0</f>
        <v>0</v>
      </c>
      <c r="X654" s="1">
        <f>0</f>
        <v>0</v>
      </c>
      <c r="Y654" s="1">
        <f>0</f>
        <v>0</v>
      </c>
      <c r="Z654" s="1">
        <f>0</f>
        <v>0</v>
      </c>
      <c r="AA654" s="1">
        <f>MAX(0,0)</f>
        <v>0</v>
      </c>
      <c r="AB654" s="1">
        <f>0</f>
        <v>0</v>
      </c>
      <c r="AC654" s="1">
        <f>MAX(0,0)</f>
        <v>0</v>
      </c>
      <c r="AD654" s="1">
        <f>ROUNDDOWN(I654*(1+IF(F654=3,0.05+方案参数!$Y$21+AA654*0.12,IF(F654=4,方案参数!$BZ$21*方案参数!$AS$21,0)))+IF(AND(X654=1,F654&lt;&gt;3),方案参数!$CC$21,0)+AC654*方案参数!$CB$21,0)</f>
        <v>2986</v>
      </c>
      <c r="AE654" s="1">
        <f>IF(OR(F654=1,F654=4),配置与结果!$B$24,配置与结果!$B$25)*MAX(0,1-INDEX(配置与结果!$I$15:$I$18,F654))</f>
        <v>1000</v>
      </c>
      <c r="AF654" s="1">
        <f>0</f>
        <v>0</v>
      </c>
      <c r="AG654" s="1">
        <f>MAX(配置与结果!$B$32,1+INDEX(配置与结果!$F$15:$F$18,F654)+0+Q654*方案参数!$W$21+Y654*(方案参数!$AN$21+MIN(方案参数!$AO$21,P654*0.03))+AB654*方案参数!$BZ$21*0.025-配置与结果!$B$28)</f>
        <v>0.6349999999999999</v>
      </c>
      <c r="AH654" s="1">
        <f>MAX(0,1+INDEX(配置与结果!$G$15:$G$18,F654)+W654*方案参数!$AG$21)</f>
        <v>1</v>
      </c>
      <c r="AI654" s="1">
        <f>IF(OR(INDEX(配置与结果!$K$15:$K$18,F654)=1,G654="RHI_BERRY"),1+配置与结果!$B$33+P654*方案参数!$AH$21,1)</f>
        <v>1</v>
      </c>
      <c r="AJ654" s="1">
        <f>MIN(1,MAX(0,J654+方案参数!$AB$21-配置与结果!$B$27))</f>
        <v>0.55499999999999994</v>
      </c>
      <c r="AK654" s="1">
        <f>MAX(1,K654+IF(F654=2,0.15+方案参数!$CH$21,0)+BN654*方案参数!$X$21+R654*方案参数!$AA$21+0-配置与结果!$B$26+Z654*(方案参数!$AP$21+MIN(方案参数!$AQ$21,P654*0.03)))</f>
        <v>1.1499999999999999</v>
      </c>
      <c r="AL654" s="7">
        <f>ROUNDDOWN(MAX(AD654*配置与结果!$B$31,AD654-AE654)*AF654*AG654*AH654*AI654,0)</f>
        <v>0</v>
      </c>
      <c r="AM654" s="7">
        <f>ROUNDDOWN(MAX(AD654*配置与结果!$B$31,AD654-AE654)*AF654*AG654*AH654*AI654*AK654,0)</f>
        <v>0</v>
      </c>
      <c r="AN654" s="7">
        <f t="shared" si="912"/>
        <v>0</v>
      </c>
      <c r="AO654" s="7">
        <f>0</f>
        <v>0</v>
      </c>
      <c r="AP654" s="7">
        <f>MAX(0,1+INDEX(配置与结果!$J$15:$J$18,F654)+IF(T654&gt;0,方案参数!$BY$21,0)-配置与结果!$B$30)</f>
        <v>1</v>
      </c>
      <c r="AQ654" s="7">
        <f t="shared" si="913"/>
        <v>0</v>
      </c>
      <c r="AR654" s="7">
        <f t="shared" si="914"/>
        <v>0</v>
      </c>
      <c r="AS654" s="7">
        <f t="shared" si="915"/>
        <v>0</v>
      </c>
      <c r="AT654" s="7">
        <f>0</f>
        <v>0</v>
      </c>
      <c r="AU654" s="7">
        <f t="shared" si="916"/>
        <v>0</v>
      </c>
      <c r="AV654" s="1">
        <f t="shared" si="917"/>
        <v>0</v>
      </c>
      <c r="AW654" s="1">
        <f t="shared" si="910"/>
        <v>0</v>
      </c>
      <c r="AX654" s="1">
        <f t="shared" si="918"/>
        <v>0</v>
      </c>
      <c r="AY654" s="1">
        <f>MIN(20,MAX(0,O654+0+0-0))</f>
        <v>0</v>
      </c>
      <c r="AZ654" s="1">
        <f t="shared" si="919"/>
        <v>1</v>
      </c>
      <c r="BA654" s="1">
        <f>MIN(6,Q654+1)</f>
        <v>1</v>
      </c>
      <c r="BB654" s="1">
        <f>MIN(30,R654+5)</f>
        <v>5</v>
      </c>
      <c r="BC654" s="1">
        <f t="shared" si="907"/>
        <v>0</v>
      </c>
      <c r="BD654" s="1">
        <f t="shared" si="888"/>
        <v>0</v>
      </c>
      <c r="BE654" s="1">
        <f>0</f>
        <v>0</v>
      </c>
      <c r="BF654" s="1">
        <f t="shared" si="911"/>
        <v>0</v>
      </c>
      <c r="BG654" s="1">
        <f t="shared" si="898"/>
        <v>0</v>
      </c>
      <c r="BH654" s="1">
        <f>MAX(X654,1)</f>
        <v>1</v>
      </c>
      <c r="BI654" s="1">
        <f t="shared" si="899"/>
        <v>0</v>
      </c>
      <c r="BJ654" s="1">
        <f t="shared" si="902"/>
        <v>0</v>
      </c>
      <c r="BK654" s="1">
        <f t="shared" si="903"/>
        <v>0</v>
      </c>
      <c r="BL654" s="1">
        <f t="shared" si="908"/>
        <v>0</v>
      </c>
      <c r="BM654" s="1">
        <f t="shared" si="906"/>
        <v>0</v>
      </c>
      <c r="BN654" s="1">
        <f>0</f>
        <v>0</v>
      </c>
      <c r="BO654" s="1">
        <f>MAX(BN654,1)</f>
        <v>1</v>
      </c>
    </row>
    <row r="655" spans="1:67" ht="30.95" customHeight="1">
      <c r="A655" s="1">
        <f>18</f>
        <v>18</v>
      </c>
      <c r="B655" s="1">
        <f>固定流程!A7</f>
        <v>2</v>
      </c>
      <c r="C655" s="1">
        <f>21</f>
        <v>21</v>
      </c>
      <c r="D655" s="1">
        <f>1</f>
        <v>1</v>
      </c>
      <c r="E655" s="1">
        <f>固定流程!C7</f>
        <v>1</v>
      </c>
      <c r="F655" s="1">
        <f>固定流程!G7</f>
        <v>3</v>
      </c>
      <c r="G655" s="1" t="str">
        <f>固定流程!H7</f>
        <v>RHI_BUFF</v>
      </c>
      <c r="H655" s="1">
        <f>固定流程!F7</f>
        <v>1</v>
      </c>
      <c r="I655" s="1">
        <f>INDEX(配置与结果!$B$15:$B$18,F655)</f>
        <v>2597</v>
      </c>
      <c r="J655" s="1">
        <f>INDEX(配置与结果!$D$15:$D$18,F655)</f>
        <v>0.255</v>
      </c>
      <c r="K655" s="1">
        <f>INDEX(配置与结果!$E$15:$E$18,F655)</f>
        <v>1.55</v>
      </c>
      <c r="L655" s="1">
        <f t="shared" ref="L655:O660" si="920">AV654</f>
        <v>0</v>
      </c>
      <c r="M655" s="1">
        <f t="shared" si="920"/>
        <v>0</v>
      </c>
      <c r="N655" s="1">
        <f t="shared" si="920"/>
        <v>0</v>
      </c>
      <c r="O655" s="1">
        <f t="shared" si="920"/>
        <v>0</v>
      </c>
      <c r="P655" s="1">
        <f>MIN(方案参数!$AI$21,AZ654+0+方案参数!$AK$21)</f>
        <v>4</v>
      </c>
      <c r="Q655" s="1">
        <f t="shared" ref="Q655:Q689" si="921">BA654</f>
        <v>1</v>
      </c>
      <c r="R655" s="1">
        <f t="shared" ref="R655:R689" si="922">BB654</f>
        <v>5</v>
      </c>
      <c r="S655" s="1">
        <f t="shared" ref="S655:S689" si="923">BC654</f>
        <v>0</v>
      </c>
      <c r="T655" s="1">
        <f t="shared" ref="T655:T668" si="924">BD654+0</f>
        <v>0</v>
      </c>
      <c r="U655" s="1">
        <f t="shared" ref="U655:U689" si="925">BE654</f>
        <v>0</v>
      </c>
      <c r="V655" s="1">
        <f t="shared" ref="V655:V689" si="926">BF654</f>
        <v>0</v>
      </c>
      <c r="W655" s="1">
        <f t="shared" ref="W655:W689" si="927">BG654</f>
        <v>0</v>
      </c>
      <c r="X655" s="1">
        <f t="shared" ref="X655:X689" si="928">BH654</f>
        <v>1</v>
      </c>
      <c r="Y655" s="1">
        <f t="shared" ref="Y655:Y689" si="929">BI654</f>
        <v>0</v>
      </c>
      <c r="Z655" s="1">
        <f t="shared" ref="Z655:Z689" si="930">BJ654</f>
        <v>0</v>
      </c>
      <c r="AA655" s="1">
        <f t="shared" ref="AA655:AA660" si="931">MAX(BK654,0)</f>
        <v>0</v>
      </c>
      <c r="AB655" s="1">
        <f t="shared" ref="AB655:AB689" si="932">BL654</f>
        <v>0</v>
      </c>
      <c r="AC655" s="1">
        <f t="shared" ref="AC655:AC668" si="933">MAX(BM654,0)</f>
        <v>0</v>
      </c>
      <c r="AD655" s="1">
        <f>ROUNDDOWN(I655*(1+IF(F655=3,0.05+方案参数!$Y$21+AA655*0.12,IF(F655=4,方案参数!$BZ$21*方案参数!$AS$21,0)))+IF(AND(X655=1,F655&lt;&gt;3),方案参数!$CC$21,0)+AC655*方案参数!$CB$21,0)</f>
        <v>2986</v>
      </c>
      <c r="AE655" s="1">
        <f>IF(OR(F655=1,F655=4),配置与结果!$B$24,配置与结果!$B$25)*MAX(0,1-INDEX(配置与结果!$I$15:$I$18,F655))</f>
        <v>1000</v>
      </c>
      <c r="AF655" s="1">
        <f>0</f>
        <v>0</v>
      </c>
      <c r="AG655" s="1">
        <f>MAX(配置与结果!$B$32,1+INDEX(配置与结果!$F$15:$F$18,F655)+0+Q655*方案参数!$W$21+Y655*(方案参数!$AN$21+MIN(方案参数!$AO$21,P655*0.03))+AB655*方案参数!$BZ$21*0.025-配置与结果!$B$28)</f>
        <v>0.65499999999999992</v>
      </c>
      <c r="AH655" s="1">
        <f>MAX(0,1+INDEX(配置与结果!$G$15:$G$18,F655)+W655*方案参数!$AG$21)</f>
        <v>1</v>
      </c>
      <c r="AI655" s="1">
        <f>IF(OR(INDEX(配置与结果!$K$15:$K$18,F655)=1,G655="RHI_BERRY"),1+配置与结果!$B$33+P655*方案参数!$AH$21,1)</f>
        <v>1</v>
      </c>
      <c r="AJ655" s="1">
        <f>MIN(1,MAX(0,J655+方案参数!$AB$21-配置与结果!$B$27))</f>
        <v>0.55499999999999994</v>
      </c>
      <c r="AK655" s="1">
        <f>MAX(1,K655+IF(F655=2,0.15+方案参数!$CH$21,0)+BN655*方案参数!$X$21+R655*方案参数!$AA$21+0-配置与结果!$B$26+Z655*(方案参数!$AP$21+MIN(方案参数!$AQ$21,P655*0.03)))</f>
        <v>1.33</v>
      </c>
      <c r="AL655" s="7">
        <f>ROUNDDOWN(MAX(AD655*配置与结果!$B$31,AD655-AE655)*AF655*AG655*AH655*AI655,0)</f>
        <v>0</v>
      </c>
      <c r="AM655" s="7">
        <f>ROUNDDOWN(MAX(AD655*配置与结果!$B$31,AD655-AE655)*AF655*AG655*AH655*AI655*AK655,0)</f>
        <v>0</v>
      </c>
      <c r="AN655" s="7">
        <f t="shared" si="912"/>
        <v>0</v>
      </c>
      <c r="AO655" s="7">
        <f>0</f>
        <v>0</v>
      </c>
      <c r="AP655" s="7">
        <f>MAX(0,1+INDEX(配置与结果!$J$15:$J$18,F655)+IF(T655&gt;0,方案参数!$BY$21,0)-配置与结果!$B$30)</f>
        <v>1</v>
      </c>
      <c r="AQ655" s="7">
        <f t="shared" si="913"/>
        <v>0</v>
      </c>
      <c r="AR655" s="7">
        <f t="shared" si="914"/>
        <v>0</v>
      </c>
      <c r="AS655" s="7">
        <f t="shared" si="915"/>
        <v>0</v>
      </c>
      <c r="AT655" s="7">
        <f>0</f>
        <v>0</v>
      </c>
      <c r="AU655" s="7">
        <f t="shared" si="916"/>
        <v>0</v>
      </c>
      <c r="AV655" s="1">
        <f t="shared" si="917"/>
        <v>0</v>
      </c>
      <c r="AW655" s="1">
        <f t="shared" si="910"/>
        <v>0</v>
      </c>
      <c r="AX655" s="1">
        <f t="shared" si="918"/>
        <v>0</v>
      </c>
      <c r="AY655" s="1">
        <f>MIN(20,MAX(0,O655+0+0-0))</f>
        <v>0</v>
      </c>
      <c r="AZ655" s="1">
        <f t="shared" si="919"/>
        <v>4</v>
      </c>
      <c r="BA655" s="1">
        <f>MIN(6,Q655+1)</f>
        <v>2</v>
      </c>
      <c r="BB655" s="1">
        <f t="shared" ref="BB655:BB668" si="934">MIN(30,R655+0)</f>
        <v>5</v>
      </c>
      <c r="BC655" s="1">
        <f t="shared" si="907"/>
        <v>0</v>
      </c>
      <c r="BD655" s="1">
        <f t="shared" si="888"/>
        <v>0</v>
      </c>
      <c r="BE655" s="1">
        <f t="shared" ref="BE655:BE676" si="935">BE654</f>
        <v>0</v>
      </c>
      <c r="BF655" s="1">
        <f t="shared" si="911"/>
        <v>0</v>
      </c>
      <c r="BG655" s="1">
        <f>MAX(W655,1)</f>
        <v>1</v>
      </c>
      <c r="BH655" s="1">
        <f t="shared" ref="BH655:BH689" si="936">MAX(X655,0)</f>
        <v>1</v>
      </c>
      <c r="BI655" s="1">
        <f>MAX(Y655,1)</f>
        <v>1</v>
      </c>
      <c r="BJ655" s="1">
        <f t="shared" si="902"/>
        <v>0</v>
      </c>
      <c r="BK655" s="1">
        <f t="shared" si="903"/>
        <v>0</v>
      </c>
      <c r="BL655" s="1">
        <f t="shared" si="908"/>
        <v>0</v>
      </c>
      <c r="BM655" s="1">
        <f t="shared" si="906"/>
        <v>0</v>
      </c>
      <c r="BN655" s="1">
        <f t="shared" ref="BN655:BN689" si="937">BO654</f>
        <v>1</v>
      </c>
      <c r="BO655" s="1">
        <f t="shared" ref="BO655:BO689" si="938">MAX(BN655,0)</f>
        <v>1</v>
      </c>
    </row>
    <row r="656" spans="1:67" ht="30.95" customHeight="1">
      <c r="A656" s="1">
        <f>18</f>
        <v>18</v>
      </c>
      <c r="B656" s="1">
        <f>固定流程!A8</f>
        <v>3</v>
      </c>
      <c r="C656" s="1">
        <f>21</f>
        <v>21</v>
      </c>
      <c r="D656" s="1">
        <f>1</f>
        <v>1</v>
      </c>
      <c r="E656" s="1">
        <f>固定流程!C8</f>
        <v>1</v>
      </c>
      <c r="F656" s="1">
        <f>固定流程!G8</f>
        <v>1</v>
      </c>
      <c r="G656" s="1" t="str">
        <f>固定流程!H8</f>
        <v>LILYA_COBRA</v>
      </c>
      <c r="H656" s="1">
        <f>固定流程!F8</f>
        <v>1</v>
      </c>
      <c r="I656" s="1">
        <f>INDEX(配置与结果!$B$15:$B$18,F656)</f>
        <v>2296</v>
      </c>
      <c r="J656" s="1">
        <f>INDEX(配置与结果!$D$15:$D$18,F656)</f>
        <v>0.7</v>
      </c>
      <c r="K656" s="1">
        <f>INDEX(配置与结果!$E$15:$E$18,F656)</f>
        <v>2.0249999999999999</v>
      </c>
      <c r="L656" s="1">
        <f t="shared" si="920"/>
        <v>0</v>
      </c>
      <c r="M656" s="1">
        <f t="shared" si="920"/>
        <v>0</v>
      </c>
      <c r="N656" s="1">
        <f t="shared" si="920"/>
        <v>0</v>
      </c>
      <c r="O656" s="1">
        <f t="shared" si="920"/>
        <v>0</v>
      </c>
      <c r="P656" s="1">
        <f>MIN(方案参数!$AI$21,AZ655+0+0)</f>
        <v>4</v>
      </c>
      <c r="Q656" s="1">
        <f t="shared" si="921"/>
        <v>2</v>
      </c>
      <c r="R656" s="1">
        <f t="shared" si="922"/>
        <v>5</v>
      </c>
      <c r="S656" s="1">
        <f t="shared" si="923"/>
        <v>0</v>
      </c>
      <c r="T656" s="1">
        <f t="shared" si="924"/>
        <v>0</v>
      </c>
      <c r="U656" s="1">
        <f t="shared" si="925"/>
        <v>0</v>
      </c>
      <c r="V656" s="1">
        <f t="shared" si="926"/>
        <v>0</v>
      </c>
      <c r="W656" s="1">
        <f t="shared" si="927"/>
        <v>1</v>
      </c>
      <c r="X656" s="1">
        <f t="shared" si="928"/>
        <v>1</v>
      </c>
      <c r="Y656" s="1">
        <f t="shared" si="929"/>
        <v>1</v>
      </c>
      <c r="Z656" s="1">
        <f t="shared" si="930"/>
        <v>0</v>
      </c>
      <c r="AA656" s="1">
        <f t="shared" si="931"/>
        <v>0</v>
      </c>
      <c r="AB656" s="1">
        <f t="shared" si="932"/>
        <v>0</v>
      </c>
      <c r="AC656" s="1">
        <f t="shared" si="933"/>
        <v>0</v>
      </c>
      <c r="AD656" s="1">
        <f>ROUNDDOWN(I656*(1+IF(F656=3,0.05+方案参数!$Y$21+AA656*0.12,IF(F656=4,方案参数!$BZ$21*方案参数!$AS$21,0)))+IF(AND(X656=1,F656&lt;&gt;3),方案参数!$CC$21,0)+AC656*方案参数!$CB$21,0)</f>
        <v>2594</v>
      </c>
      <c r="AE656" s="1">
        <f>IF(OR(F656=1,F656=4),配置与结果!$B$24,配置与结果!$B$25)*MAX(0,1-INDEX(配置与结果!$I$15:$I$18,F656))</f>
        <v>1200</v>
      </c>
      <c r="AF656" s="1">
        <f>0</f>
        <v>0</v>
      </c>
      <c r="AG656" s="1">
        <f>MAX(配置与结果!$B$32,1+INDEX(配置与结果!$F$15:$F$18,F656)+0.08+方案参数!$CD$21+Q656*方案参数!$W$21+Y656*(方案参数!$AN$21+MIN(方案参数!$AO$21,P656*0.03))+AB656*方案参数!$BZ$21*0.025-配置与结果!$B$28)</f>
        <v>1.3000000000000003</v>
      </c>
      <c r="AH656" s="1">
        <f>MAX(0,1+INDEX(配置与结果!$G$15:$G$18,F656)+W656*方案参数!$AG$21)</f>
        <v>1.45</v>
      </c>
      <c r="AI656" s="1">
        <f>IF(OR(INDEX(配置与结果!$K$15:$K$18,F656)=1,G656="RHI_BERRY"),1+配置与结果!$B$33+P656*方案参数!$AH$21,1)</f>
        <v>1</v>
      </c>
      <c r="AJ656" s="1">
        <f>MIN(1,MAX(0,J656+方案参数!$AB$21-配置与结果!$B$27))</f>
        <v>1</v>
      </c>
      <c r="AK656" s="1">
        <f>MAX(1,K656+IF(F656=2,0.15+方案参数!$CH$21,0)+BN656*方案参数!$X$21+R656*方案参数!$AA$21+0-配置与结果!$B$26+Z656*(方案参数!$AP$21+MIN(方案参数!$AQ$21,P656*0.03)))</f>
        <v>1.8050000000000002</v>
      </c>
      <c r="AL656" s="7">
        <f>ROUNDDOWN(MAX(AD656*配置与结果!$B$31,AD656-AE656)*AF656*AG656*AH656*AI656,0)</f>
        <v>0</v>
      </c>
      <c r="AM656" s="7">
        <f>ROUNDDOWN(MAX(AD656*配置与结果!$B$31,AD656-AE656)*AF656*AG656*AH656*AI656*AK656,0)</f>
        <v>0</v>
      </c>
      <c r="AN656" s="7">
        <f t="shared" si="912"/>
        <v>0</v>
      </c>
      <c r="AO656" s="7">
        <f>0</f>
        <v>0</v>
      </c>
      <c r="AP656" s="7">
        <f>MAX(0,1+INDEX(配置与结果!$J$15:$J$18,F656)+IF(T656&gt;0,方案参数!$BY$21,0)-配置与结果!$B$30)</f>
        <v>1</v>
      </c>
      <c r="AQ656" s="7">
        <f t="shared" si="913"/>
        <v>0</v>
      </c>
      <c r="AR656" s="7">
        <f t="shared" si="914"/>
        <v>0</v>
      </c>
      <c r="AS656" s="7">
        <f t="shared" si="915"/>
        <v>0</v>
      </c>
      <c r="AT656" s="7">
        <f>0</f>
        <v>0</v>
      </c>
      <c r="AU656" s="7">
        <f t="shared" si="916"/>
        <v>0</v>
      </c>
      <c r="AV656" s="1">
        <f t="shared" si="917"/>
        <v>1</v>
      </c>
      <c r="AW656" s="1">
        <f>MIN(10,M656+方案参数!$BD$21+0)</f>
        <v>3</v>
      </c>
      <c r="AX656" s="1">
        <f t="shared" si="918"/>
        <v>0</v>
      </c>
      <c r="AY656" s="1">
        <f>MIN(20,MAX(0,O656+6+0-0))</f>
        <v>6</v>
      </c>
      <c r="AZ656" s="1">
        <f t="shared" si="919"/>
        <v>4</v>
      </c>
      <c r="BA656" s="1">
        <f>MIN(6,Q656+0)</f>
        <v>2</v>
      </c>
      <c r="BB656" s="1">
        <f t="shared" si="934"/>
        <v>5</v>
      </c>
      <c r="BC656" s="1">
        <f t="shared" si="907"/>
        <v>0</v>
      </c>
      <c r="BD656" s="1">
        <f t="shared" si="888"/>
        <v>0</v>
      </c>
      <c r="BE656" s="1">
        <f t="shared" si="935"/>
        <v>0</v>
      </c>
      <c r="BF656" s="1">
        <f t="shared" si="911"/>
        <v>0</v>
      </c>
      <c r="BG656" s="1">
        <f t="shared" ref="BG656:BG666" si="939">MAX(W656,0)</f>
        <v>1</v>
      </c>
      <c r="BH656" s="1">
        <f t="shared" si="936"/>
        <v>1</v>
      </c>
      <c r="BI656" s="1">
        <f t="shared" ref="BI656:BI666" si="940">MAX(Y656,0)</f>
        <v>1</v>
      </c>
      <c r="BJ656" s="1">
        <f t="shared" si="902"/>
        <v>0</v>
      </c>
      <c r="BK656" s="1">
        <f t="shared" si="903"/>
        <v>0</v>
      </c>
      <c r="BL656" s="1">
        <f t="shared" si="908"/>
        <v>0</v>
      </c>
      <c r="BM656" s="1">
        <f t="shared" si="906"/>
        <v>0</v>
      </c>
      <c r="BN656" s="1">
        <f t="shared" si="937"/>
        <v>1</v>
      </c>
      <c r="BO656" s="1">
        <f t="shared" si="938"/>
        <v>1</v>
      </c>
    </row>
    <row r="657" spans="1:67" ht="30.95" customHeight="1">
      <c r="A657" s="1">
        <f>18</f>
        <v>18</v>
      </c>
      <c r="B657" s="1">
        <f>固定流程!A9</f>
        <v>4</v>
      </c>
      <c r="C657" s="1">
        <f>21</f>
        <v>21</v>
      </c>
      <c r="D657" s="1">
        <f>1</f>
        <v>1</v>
      </c>
      <c r="E657" s="1">
        <f>固定流程!C9</f>
        <v>1</v>
      </c>
      <c r="F657" s="1">
        <f>固定流程!G9</f>
        <v>1</v>
      </c>
      <c r="G657" s="1" t="str">
        <f>固定流程!H9</f>
        <v>LILYA_DIVE</v>
      </c>
      <c r="H657" s="1">
        <f>固定流程!F9</f>
        <v>1</v>
      </c>
      <c r="I657" s="1">
        <f>INDEX(配置与结果!$B$15:$B$18,F657)</f>
        <v>2296</v>
      </c>
      <c r="J657" s="1">
        <f>INDEX(配置与结果!$D$15:$D$18,F657)</f>
        <v>0.7</v>
      </c>
      <c r="K657" s="1">
        <f>INDEX(配置与结果!$E$15:$E$18,F657)</f>
        <v>2.0249999999999999</v>
      </c>
      <c r="L657" s="1">
        <f t="shared" si="920"/>
        <v>1</v>
      </c>
      <c r="M657" s="1">
        <f t="shared" si="920"/>
        <v>3</v>
      </c>
      <c r="N657" s="1">
        <f t="shared" si="920"/>
        <v>0</v>
      </c>
      <c r="O657" s="1">
        <f t="shared" si="920"/>
        <v>6</v>
      </c>
      <c r="P657" s="1">
        <f>MIN(方案参数!$AI$21,AZ656+0+0)</f>
        <v>4</v>
      </c>
      <c r="Q657" s="1">
        <f t="shared" si="921"/>
        <v>2</v>
      </c>
      <c r="R657" s="1">
        <f t="shared" si="922"/>
        <v>5</v>
      </c>
      <c r="S657" s="1">
        <f t="shared" si="923"/>
        <v>0</v>
      </c>
      <c r="T657" s="1">
        <f t="shared" si="924"/>
        <v>0</v>
      </c>
      <c r="U657" s="1">
        <f t="shared" si="925"/>
        <v>0</v>
      </c>
      <c r="V657" s="1">
        <f t="shared" si="926"/>
        <v>0</v>
      </c>
      <c r="W657" s="1">
        <f t="shared" si="927"/>
        <v>1</v>
      </c>
      <c r="X657" s="1">
        <f t="shared" si="928"/>
        <v>1</v>
      </c>
      <c r="Y657" s="1">
        <f t="shared" si="929"/>
        <v>1</v>
      </c>
      <c r="Z657" s="1">
        <f t="shared" si="930"/>
        <v>0</v>
      </c>
      <c r="AA657" s="1">
        <f t="shared" si="931"/>
        <v>0</v>
      </c>
      <c r="AB657" s="1">
        <f t="shared" si="932"/>
        <v>0</v>
      </c>
      <c r="AC657" s="1">
        <f t="shared" si="933"/>
        <v>0</v>
      </c>
      <c r="AD657" s="1">
        <f>ROUNDDOWN(I657*(1+IF(F657=3,0.05+方案参数!$Y$21+AA657*0.12,IF(F657=4,方案参数!$BZ$21*方案参数!$AS$21,0)))+IF(AND(X657=1,F657&lt;&gt;3),方案参数!$CC$21,0)+AC657*方案参数!$CB$21,0)</f>
        <v>2594</v>
      </c>
      <c r="AE657" s="1">
        <f>IF(OR(F657=1,F657=4),配置与结果!$B$24,配置与结果!$B$25)*MAX(0,1-INDEX(配置与结果!$I$15:$I$18,F657))</f>
        <v>1200</v>
      </c>
      <c r="AF657" s="1">
        <f>(IF(L657=1,方案参数!$AW$21,IF(L657=2,方案参数!$AX$21,0))+方案参数!$AV$21)*H657</f>
        <v>6</v>
      </c>
      <c r="AG657" s="1">
        <f>MAX(配置与结果!$B$32,1+INDEX(配置与结果!$F$15:$F$18,F657)+0.08+方案参数!$CD$21+Q657*方案参数!$W$21+Y657*(方案参数!$AN$21+MIN(方案参数!$AO$21,P657*0.03))+AB657*方案参数!$BZ$21*0.025+IF(L657=1,方案参数!$AY$21+(H657-1)*0.1,IF(L657=2,方案参数!$AZ$21+(H657-1)*0.2,0))-配置与结果!$B$28)</f>
        <v>1.4000000000000004</v>
      </c>
      <c r="AH657" s="1">
        <f>MAX(0,1+INDEX(配置与结果!$G$15:$G$18,F657)+W657*方案参数!$AG$21+IF(L657=1,方案参数!$BA$21,IF(L657=2,方案参数!$BB$21,0))+M657*方案参数!$BC$21)</f>
        <v>2.23</v>
      </c>
      <c r="AI657" s="1">
        <f>IF(OR(INDEX(配置与结果!$K$15:$K$18,F657)=1,G657="RHI_BERRY"),1+配置与结果!$B$33+P657*方案参数!$AH$21,1)</f>
        <v>1</v>
      </c>
      <c r="AJ657" s="1">
        <f>MIN(1,MAX(0,J657+方案参数!$AB$21-配置与结果!$B$27))</f>
        <v>1</v>
      </c>
      <c r="AK657" s="1">
        <f>MAX(1,K657+IF(F657=2,0.15+方案参数!$CH$21,0)+BN657*方案参数!$X$21+R657*方案参数!$AA$21+0-配置与结果!$B$26+Z657*(方案参数!$AP$21+MIN(方案参数!$AQ$21,P657*0.03)))</f>
        <v>1.8050000000000002</v>
      </c>
      <c r="AL657" s="7">
        <f>ROUNDDOWN(MAX(AD657*配置与结果!$B$31,AD657-AE657)*AF657*AG657*AH657*AI657,0)</f>
        <v>26112</v>
      </c>
      <c r="AM657" s="7">
        <f>ROUNDDOWN(MAX(AD657*配置与结果!$B$31,AD657-AE657)*AF657*AG657*AH657*AI657*AK657,0)</f>
        <v>47132</v>
      </c>
      <c r="AN657" s="7">
        <f t="shared" si="912"/>
        <v>47132</v>
      </c>
      <c r="AO657" s="7">
        <f>0</f>
        <v>0</v>
      </c>
      <c r="AP657" s="7">
        <f>MAX(0,1+INDEX(配置与结果!$J$15:$J$18,F657)+IF(T657&gt;0,方案参数!$BY$21,0)-配置与结果!$B$30)</f>
        <v>1</v>
      </c>
      <c r="AQ657" s="7">
        <f t="shared" si="913"/>
        <v>0</v>
      </c>
      <c r="AR657" s="7">
        <f t="shared" si="914"/>
        <v>0</v>
      </c>
      <c r="AS657" s="7">
        <f t="shared" si="915"/>
        <v>0</v>
      </c>
      <c r="AT657" s="7">
        <f>0</f>
        <v>0</v>
      </c>
      <c r="AU657" s="7">
        <f t="shared" si="916"/>
        <v>47132</v>
      </c>
      <c r="AV657" s="1">
        <f t="shared" si="917"/>
        <v>1</v>
      </c>
      <c r="AW657" s="1">
        <f>MIN(10,M657+0+IF(L657=1,方案参数!$BE$21,0))</f>
        <v>4</v>
      </c>
      <c r="AX657" s="1">
        <f t="shared" si="918"/>
        <v>0</v>
      </c>
      <c r="AY657" s="1">
        <f t="shared" ref="AY657:AY672" si="941">MIN(20,MAX(0,O657+0+0-0))</f>
        <v>6</v>
      </c>
      <c r="AZ657" s="1">
        <f t="shared" si="919"/>
        <v>4</v>
      </c>
      <c r="BA657" s="1">
        <f>MIN(6,Q657+0)</f>
        <v>2</v>
      </c>
      <c r="BB657" s="1">
        <f t="shared" si="934"/>
        <v>5</v>
      </c>
      <c r="BC657" s="1">
        <f t="shared" si="907"/>
        <v>0</v>
      </c>
      <c r="BD657" s="1">
        <f t="shared" si="888"/>
        <v>0</v>
      </c>
      <c r="BE657" s="1">
        <f t="shared" si="935"/>
        <v>0</v>
      </c>
      <c r="BF657" s="1">
        <f t="shared" si="911"/>
        <v>0</v>
      </c>
      <c r="BG657" s="1">
        <f t="shared" si="939"/>
        <v>1</v>
      </c>
      <c r="BH657" s="1">
        <f t="shared" si="936"/>
        <v>1</v>
      </c>
      <c r="BI657" s="1">
        <f t="shared" si="940"/>
        <v>1</v>
      </c>
      <c r="BJ657" s="1">
        <f t="shared" si="902"/>
        <v>0</v>
      </c>
      <c r="BK657" s="1">
        <f t="shared" si="903"/>
        <v>0</v>
      </c>
      <c r="BL657" s="1">
        <f t="shared" si="908"/>
        <v>0</v>
      </c>
      <c r="BM657" s="1">
        <f t="shared" si="906"/>
        <v>0</v>
      </c>
      <c r="BN657" s="1">
        <f t="shared" si="937"/>
        <v>1</v>
      </c>
      <c r="BO657" s="1">
        <f t="shared" si="938"/>
        <v>1</v>
      </c>
    </row>
    <row r="658" spans="1:67" ht="30.95" customHeight="1">
      <c r="A658" s="1">
        <f>18</f>
        <v>18</v>
      </c>
      <c r="B658" s="1">
        <f>固定流程!A10</f>
        <v>5</v>
      </c>
      <c r="C658" s="1">
        <f>21</f>
        <v>21</v>
      </c>
      <c r="D658" s="1">
        <f>1</f>
        <v>1</v>
      </c>
      <c r="E658" s="1">
        <f>固定流程!C10</f>
        <v>1</v>
      </c>
      <c r="F658" s="1">
        <f>固定流程!G10</f>
        <v>2</v>
      </c>
      <c r="G658" s="1" t="str">
        <f>固定流程!H10</f>
        <v>37_TRIANGLE</v>
      </c>
      <c r="H658" s="1">
        <f>固定流程!F10</f>
        <v>1</v>
      </c>
      <c r="I658" s="1">
        <f>INDEX(配置与结果!$B$15:$B$18,F658)</f>
        <v>2306</v>
      </c>
      <c r="J658" s="1">
        <f>INDEX(配置与结果!$D$15:$D$18,F658)</f>
        <v>0.46</v>
      </c>
      <c r="K658" s="1">
        <f>INDEX(配置与结果!$E$15:$E$18,F658)</f>
        <v>1.9279999999999999</v>
      </c>
      <c r="L658" s="1">
        <f t="shared" si="920"/>
        <v>1</v>
      </c>
      <c r="M658" s="1">
        <f t="shared" si="920"/>
        <v>4</v>
      </c>
      <c r="N658" s="1">
        <f t="shared" si="920"/>
        <v>0</v>
      </c>
      <c r="O658" s="1">
        <f t="shared" si="920"/>
        <v>6</v>
      </c>
      <c r="P658" s="1">
        <f>MIN(方案参数!$AI$21,AZ657+0+0)</f>
        <v>4</v>
      </c>
      <c r="Q658" s="1">
        <f t="shared" si="921"/>
        <v>2</v>
      </c>
      <c r="R658" s="1">
        <f t="shared" si="922"/>
        <v>5</v>
      </c>
      <c r="S658" s="1">
        <f t="shared" si="923"/>
        <v>0</v>
      </c>
      <c r="T658" s="1">
        <f t="shared" si="924"/>
        <v>0</v>
      </c>
      <c r="U658" s="1">
        <f t="shared" si="925"/>
        <v>0</v>
      </c>
      <c r="V658" s="1">
        <f t="shared" si="926"/>
        <v>0</v>
      </c>
      <c r="W658" s="1">
        <f t="shared" si="927"/>
        <v>1</v>
      </c>
      <c r="X658" s="1">
        <f t="shared" si="928"/>
        <v>1</v>
      </c>
      <c r="Y658" s="1">
        <f t="shared" si="929"/>
        <v>1</v>
      </c>
      <c r="Z658" s="1">
        <f t="shared" si="930"/>
        <v>0</v>
      </c>
      <c r="AA658" s="1">
        <f t="shared" si="931"/>
        <v>0</v>
      </c>
      <c r="AB658" s="1">
        <f t="shared" si="932"/>
        <v>0</v>
      </c>
      <c r="AC658" s="1">
        <f t="shared" si="933"/>
        <v>0</v>
      </c>
      <c r="AD658" s="1">
        <f>ROUNDDOWN(I658*(1+IF(F658=3,0.05+方案参数!$Y$21+AA658*0.12,IF(F658=4,方案参数!$BZ$21*方案参数!$AS$21,0)))+IF(AND(X658=1,F658&lt;&gt;3),方案参数!$CC$21,0)+AC658*方案参数!$CB$21,0)</f>
        <v>2604</v>
      </c>
      <c r="AE658" s="1">
        <f>IF(OR(F658=1,F658=4),配置与结果!$B$24,配置与结果!$B$25)*MAX(0,1-INDEX(配置与结果!$I$15:$I$18,F658))</f>
        <v>1000</v>
      </c>
      <c r="AF658" s="1">
        <f>方案参数!$BS$21*IF(H658=1,1,IF(H658=2,1.5,2.5))</f>
        <v>2.8</v>
      </c>
      <c r="AG658" s="1">
        <f>MAX(配置与结果!$B$32,1+INDEX(配置与结果!$F$15:$F$18,F658)+0+Q658*方案参数!$W$21+Y658*(方案参数!$AN$21+MIN(方案参数!$AO$21,P658*0.03))+AB658*方案参数!$BZ$21*0.025-配置与结果!$B$28)</f>
        <v>0.96499999999999997</v>
      </c>
      <c r="AH658" s="1">
        <f>MAX(0,1+INDEX(配置与结果!$G$15:$G$18,F658)+W658*方案参数!$AG$21)</f>
        <v>1.45</v>
      </c>
      <c r="AI658" s="1">
        <f>IF(OR(INDEX(配置与结果!$K$15:$K$18,F658)=1,G658="RHI_BERRY"),1+配置与结果!$B$33+P658*方案参数!$AH$21,1)</f>
        <v>1</v>
      </c>
      <c r="AJ658" s="1">
        <f>MIN(1,MAX(0,J658+方案参数!$AB$21-配置与结果!$B$27))</f>
        <v>0.76</v>
      </c>
      <c r="AK658" s="1">
        <f>MAX(1,K658+IF(F658=2,0.15+方案参数!$CH$21,0)+BN658*方案参数!$X$21+R658*方案参数!$AA$21+0-配置与结果!$B$26+Z658*(方案参数!$AP$21+MIN(方案参数!$AQ$21,P658*0.03)))</f>
        <v>1.9780000000000002</v>
      </c>
      <c r="AL658" s="7">
        <f>ROUNDDOWN(MAX(AD658*配置与结果!$B$31,AD658-AE658)*AF658*AG658*AH658*AI658,0)</f>
        <v>6284</v>
      </c>
      <c r="AM658" s="7">
        <f>ROUNDDOWN(MAX(AD658*配置与结果!$B$31,AD658-AE658)*AF658*AG658*AH658*AI658*AK658,0)</f>
        <v>12430</v>
      </c>
      <c r="AN658" s="7">
        <f t="shared" si="912"/>
        <v>10954.96</v>
      </c>
      <c r="AO658" s="7">
        <f>方案参数!$BU$21*IF(H658=1,1,IF(H658=2,1.5,2.5))</f>
        <v>0.8</v>
      </c>
      <c r="AP658" s="7">
        <f>MAX(0,1+INDEX(配置与结果!$J$15:$J$18,F658)+IF(T658&gt;0,方案参数!$BY$21,0)-配置与结果!$B$30)</f>
        <v>1</v>
      </c>
      <c r="AQ658" s="7">
        <f t="shared" si="913"/>
        <v>2083</v>
      </c>
      <c r="AR658" s="7">
        <f t="shared" si="914"/>
        <v>4120</v>
      </c>
      <c r="AS658" s="7">
        <f t="shared" si="915"/>
        <v>3631.12</v>
      </c>
      <c r="AT658" s="7">
        <f>0</f>
        <v>0</v>
      </c>
      <c r="AU658" s="7">
        <f t="shared" si="916"/>
        <v>14586.079999999998</v>
      </c>
      <c r="AV658" s="1">
        <f t="shared" si="917"/>
        <v>1</v>
      </c>
      <c r="AW658" s="1">
        <f>MIN(10,M658+0+0)</f>
        <v>4</v>
      </c>
      <c r="AX658" s="1">
        <f t="shared" si="918"/>
        <v>0</v>
      </c>
      <c r="AY658" s="1">
        <f t="shared" si="941"/>
        <v>6</v>
      </c>
      <c r="AZ658" s="1">
        <f t="shared" si="919"/>
        <v>4</v>
      </c>
      <c r="BA658" s="1">
        <f>MIN(6,Q658+0)</f>
        <v>2</v>
      </c>
      <c r="BB658" s="1">
        <f t="shared" si="934"/>
        <v>5</v>
      </c>
      <c r="BC658" s="1">
        <f t="shared" si="907"/>
        <v>0</v>
      </c>
      <c r="BD658" s="1">
        <f>MAX(0,T658-IF(AO658&gt;0,1,0))+1</f>
        <v>1</v>
      </c>
      <c r="BE658" s="1">
        <f t="shared" si="935"/>
        <v>0</v>
      </c>
      <c r="BF658" s="1">
        <f t="shared" si="911"/>
        <v>0</v>
      </c>
      <c r="BG658" s="1">
        <f t="shared" si="939"/>
        <v>1</v>
      </c>
      <c r="BH658" s="1">
        <f t="shared" si="936"/>
        <v>1</v>
      </c>
      <c r="BI658" s="1">
        <f t="shared" si="940"/>
        <v>1</v>
      </c>
      <c r="BJ658" s="1">
        <f t="shared" si="902"/>
        <v>0</v>
      </c>
      <c r="BK658" s="1">
        <f t="shared" si="903"/>
        <v>0</v>
      </c>
      <c r="BL658" s="1">
        <f t="shared" si="908"/>
        <v>0</v>
      </c>
      <c r="BM658" s="1">
        <f t="shared" si="906"/>
        <v>0</v>
      </c>
      <c r="BN658" s="1">
        <f t="shared" si="937"/>
        <v>1</v>
      </c>
      <c r="BO658" s="1">
        <f t="shared" si="938"/>
        <v>1</v>
      </c>
    </row>
    <row r="659" spans="1:67" ht="30.95" customHeight="1">
      <c r="A659" s="1">
        <f>18</f>
        <v>18</v>
      </c>
      <c r="B659" s="1">
        <f>固定流程!A11</f>
        <v>6</v>
      </c>
      <c r="C659" s="1">
        <f>21</f>
        <v>21</v>
      </c>
      <c r="D659" s="1">
        <f>1</f>
        <v>1</v>
      </c>
      <c r="E659" s="1">
        <f>固定流程!C11</f>
        <v>1</v>
      </c>
      <c r="F659" s="1">
        <f>固定流程!G11</f>
        <v>2</v>
      </c>
      <c r="G659" s="1" t="str">
        <f>固定流程!H11</f>
        <v>37_FOLLOW</v>
      </c>
      <c r="H659" s="1">
        <f>固定流程!F11</f>
        <v>1</v>
      </c>
      <c r="I659" s="1">
        <f>INDEX(配置与结果!$B$15:$B$18,F659)</f>
        <v>2306</v>
      </c>
      <c r="J659" s="1">
        <f>INDEX(配置与结果!$D$15:$D$18,F659)</f>
        <v>0.46</v>
      </c>
      <c r="K659" s="1">
        <f>INDEX(配置与结果!$E$15:$E$18,F659)</f>
        <v>1.9279999999999999</v>
      </c>
      <c r="L659" s="1">
        <f t="shared" si="920"/>
        <v>1</v>
      </c>
      <c r="M659" s="1">
        <f t="shared" si="920"/>
        <v>4</v>
      </c>
      <c r="N659" s="1">
        <f t="shared" si="920"/>
        <v>0</v>
      </c>
      <c r="O659" s="1">
        <f t="shared" si="920"/>
        <v>6</v>
      </c>
      <c r="P659" s="1">
        <f>MIN(方案参数!$AI$21,AZ658+0+0)</f>
        <v>4</v>
      </c>
      <c r="Q659" s="1">
        <f t="shared" si="921"/>
        <v>2</v>
      </c>
      <c r="R659" s="1">
        <f t="shared" si="922"/>
        <v>5</v>
      </c>
      <c r="S659" s="1">
        <f t="shared" si="923"/>
        <v>0</v>
      </c>
      <c r="T659" s="1">
        <f t="shared" si="924"/>
        <v>1</v>
      </c>
      <c r="U659" s="1">
        <f t="shared" si="925"/>
        <v>0</v>
      </c>
      <c r="V659" s="1">
        <f t="shared" si="926"/>
        <v>0</v>
      </c>
      <c r="W659" s="1">
        <f t="shared" si="927"/>
        <v>1</v>
      </c>
      <c r="X659" s="1">
        <f t="shared" si="928"/>
        <v>1</v>
      </c>
      <c r="Y659" s="1">
        <f t="shared" si="929"/>
        <v>1</v>
      </c>
      <c r="Z659" s="1">
        <f t="shared" si="930"/>
        <v>0</v>
      </c>
      <c r="AA659" s="1">
        <f t="shared" si="931"/>
        <v>0</v>
      </c>
      <c r="AB659" s="1">
        <f t="shared" si="932"/>
        <v>0</v>
      </c>
      <c r="AC659" s="1">
        <f t="shared" si="933"/>
        <v>0</v>
      </c>
      <c r="AD659" s="1">
        <f>ROUNDDOWN(I659*(1+IF(F659=3,0.05+方案参数!$Y$21+AA659*0.12,IF(F659=4,方案参数!$BZ$21*方案参数!$AS$21,0)))+IF(AND(X659=1,F659&lt;&gt;3),方案参数!$CC$21,0)+AC659*方案参数!$CB$21,0)</f>
        <v>2604</v>
      </c>
      <c r="AE659" s="1">
        <f>IF(OR(F659=1,F659=4),配置与结果!$B$24,配置与结果!$B$25)*MAX(0,1-INDEX(配置与结果!$I$15:$I$18,F659))</f>
        <v>1000</v>
      </c>
      <c r="AF659" s="1">
        <f>方案参数!$BV$21</f>
        <v>3</v>
      </c>
      <c r="AG659" s="1">
        <f>MAX(配置与结果!$B$32,1+INDEX(配置与结果!$F$15:$F$18,F659)+0+Q659*方案参数!$W$21+Y659*(方案参数!$AN$21+MIN(方案参数!$AO$21,P659*0.03))+AB659*方案参数!$BZ$21*0.025-配置与结果!$B$28)</f>
        <v>0.96499999999999997</v>
      </c>
      <c r="AH659" s="1">
        <f>MAX(0,1+INDEX(配置与结果!$G$15:$G$18,F659)+W659*方案参数!$AG$21)</f>
        <v>1.45</v>
      </c>
      <c r="AI659" s="1">
        <f>IF(OR(INDEX(配置与结果!$K$15:$K$18,F659)=1,G659="RHI_BERRY"),1+配置与结果!$B$33+P659*方案参数!$AH$21,1)</f>
        <v>1</v>
      </c>
      <c r="AJ659" s="1">
        <f>MIN(1,MAX(0,J659+方案参数!$AB$21-配置与结果!$B$27))</f>
        <v>0.76</v>
      </c>
      <c r="AK659" s="1">
        <f>MAX(1,K659+IF(F659=2,0.15+方案参数!$CH$21,0)+BN659*方案参数!$X$21+R659*方案参数!$AA$21+0-配置与结果!$B$26+Z659*(方案参数!$AP$21+MIN(方案参数!$AQ$21,P659*0.03)))</f>
        <v>1.9780000000000002</v>
      </c>
      <c r="AL659" s="7">
        <f>ROUNDDOWN(MAX(AD659*配置与结果!$B$31,AD659-AE659)*AF659*AG659*AH659*AI659,0)</f>
        <v>6733</v>
      </c>
      <c r="AM659" s="7">
        <f>ROUNDDOWN(MAX(AD659*配置与结果!$B$31,AD659-AE659)*AF659*AG659*AH659*AI659*AK659,0)</f>
        <v>13318</v>
      </c>
      <c r="AN659" s="7">
        <f t="shared" si="912"/>
        <v>11737.6</v>
      </c>
      <c r="AO659" s="7">
        <f>方案参数!$BW$21</f>
        <v>1</v>
      </c>
      <c r="AP659" s="7">
        <f>MAX(0,1+INDEX(配置与结果!$J$15:$J$18,F659)+IF(T659&gt;0,方案参数!$BY$21,0)-配置与结果!$B$30)</f>
        <v>2</v>
      </c>
      <c r="AQ659" s="7">
        <f t="shared" si="913"/>
        <v>5208</v>
      </c>
      <c r="AR659" s="7">
        <f t="shared" si="914"/>
        <v>10301</v>
      </c>
      <c r="AS659" s="7">
        <f t="shared" si="915"/>
        <v>9078.68</v>
      </c>
      <c r="AT659" s="7">
        <f>0</f>
        <v>0</v>
      </c>
      <c r="AU659" s="7">
        <f t="shared" si="916"/>
        <v>20816.28</v>
      </c>
      <c r="AV659" s="1">
        <f t="shared" si="917"/>
        <v>1</v>
      </c>
      <c r="AW659" s="1">
        <f>MIN(10,M659+0+0)</f>
        <v>4</v>
      </c>
      <c r="AX659" s="1">
        <f t="shared" si="918"/>
        <v>0</v>
      </c>
      <c r="AY659" s="1">
        <f t="shared" si="941"/>
        <v>6</v>
      </c>
      <c r="AZ659" s="1">
        <f t="shared" si="919"/>
        <v>4</v>
      </c>
      <c r="BA659" s="1">
        <f>MIN(6,Q659+0)</f>
        <v>2</v>
      </c>
      <c r="BB659" s="1">
        <f t="shared" si="934"/>
        <v>5</v>
      </c>
      <c r="BC659" s="1">
        <f t="shared" si="907"/>
        <v>0</v>
      </c>
      <c r="BD659" s="1">
        <f t="shared" ref="BD659:BD693" si="942">MAX(0,T659-IF(AO659&gt;0,1,0))+0</f>
        <v>0</v>
      </c>
      <c r="BE659" s="1">
        <f t="shared" si="935"/>
        <v>0</v>
      </c>
      <c r="BF659" s="1">
        <f>MIN(4,V659+1)</f>
        <v>1</v>
      </c>
      <c r="BG659" s="1">
        <f t="shared" si="939"/>
        <v>1</v>
      </c>
      <c r="BH659" s="1">
        <f t="shared" si="936"/>
        <v>1</v>
      </c>
      <c r="BI659" s="1">
        <f t="shared" si="940"/>
        <v>1</v>
      </c>
      <c r="BJ659" s="1">
        <f t="shared" si="902"/>
        <v>0</v>
      </c>
      <c r="BK659" s="1">
        <f t="shared" si="903"/>
        <v>0</v>
      </c>
      <c r="BL659" s="1">
        <f t="shared" si="908"/>
        <v>0</v>
      </c>
      <c r="BM659" s="1">
        <f t="shared" si="906"/>
        <v>0</v>
      </c>
      <c r="BN659" s="1">
        <f t="shared" si="937"/>
        <v>1</v>
      </c>
      <c r="BO659" s="1">
        <f t="shared" si="938"/>
        <v>1</v>
      </c>
    </row>
    <row r="660" spans="1:67" ht="30.95" customHeight="1">
      <c r="A660" s="1">
        <f>18</f>
        <v>18</v>
      </c>
      <c r="B660" s="1">
        <f>固定流程!A12</f>
        <v>7</v>
      </c>
      <c r="C660" s="1">
        <f>21</f>
        <v>21</v>
      </c>
      <c r="D660" s="1">
        <f>1</f>
        <v>1</v>
      </c>
      <c r="E660" s="1">
        <f>固定流程!C12</f>
        <v>1</v>
      </c>
      <c r="F660" s="1">
        <f>固定流程!G12</f>
        <v>4</v>
      </c>
      <c r="G660" s="1" t="str">
        <f>固定流程!H12</f>
        <v>J_HARD</v>
      </c>
      <c r="H660" s="1">
        <f>固定流程!F12</f>
        <v>1</v>
      </c>
      <c r="I660" s="1">
        <f>INDEX(配置与结果!$B$15:$B$18,F660)</f>
        <v>1906</v>
      </c>
      <c r="J660" s="1">
        <f>INDEX(配置与结果!$D$15:$D$18,F660)</f>
        <v>0.36699999999999999</v>
      </c>
      <c r="K660" s="1">
        <f>INDEX(配置与结果!$E$15:$E$18,F660)</f>
        <v>1.7170000000000001</v>
      </c>
      <c r="L660" s="1">
        <f t="shared" si="920"/>
        <v>1</v>
      </c>
      <c r="M660" s="1">
        <f t="shared" si="920"/>
        <v>4</v>
      </c>
      <c r="N660" s="1">
        <f t="shared" si="920"/>
        <v>0</v>
      </c>
      <c r="O660" s="1">
        <f t="shared" si="920"/>
        <v>6</v>
      </c>
      <c r="P660" s="1">
        <f>MIN(方案参数!$AI$21,AZ659+0+0)</f>
        <v>4</v>
      </c>
      <c r="Q660" s="1">
        <f t="shared" si="921"/>
        <v>2</v>
      </c>
      <c r="R660" s="1">
        <f t="shared" si="922"/>
        <v>5</v>
      </c>
      <c r="S660" s="1">
        <f t="shared" si="923"/>
        <v>0</v>
      </c>
      <c r="T660" s="1">
        <f t="shared" si="924"/>
        <v>0</v>
      </c>
      <c r="U660" s="1">
        <f t="shared" si="925"/>
        <v>0</v>
      </c>
      <c r="V660" s="1">
        <f t="shared" si="926"/>
        <v>1</v>
      </c>
      <c r="W660" s="1">
        <f t="shared" si="927"/>
        <v>1</v>
      </c>
      <c r="X660" s="1">
        <f t="shared" si="928"/>
        <v>1</v>
      </c>
      <c r="Y660" s="1">
        <f t="shared" si="929"/>
        <v>1</v>
      </c>
      <c r="Z660" s="1">
        <f t="shared" si="930"/>
        <v>0</v>
      </c>
      <c r="AA660" s="1">
        <f t="shared" si="931"/>
        <v>0</v>
      </c>
      <c r="AB660" s="1">
        <f t="shared" si="932"/>
        <v>0</v>
      </c>
      <c r="AC660" s="1">
        <f t="shared" si="933"/>
        <v>0</v>
      </c>
      <c r="AD660" s="1">
        <f>ROUNDDOWN(I660*(1+IF(F660=3,0.05+方案参数!$Y$21+AA660*0.12,IF(F660=4,方案参数!$BZ$21*方案参数!$AS$21,0)))+IF(AND(X660=1,F660&lt;&gt;3),方案参数!$CC$21,0)+AC660*方案参数!$CB$21,0)</f>
        <v>2871</v>
      </c>
      <c r="AE660" s="1">
        <f>IF(OR(F660=1,F660=4),配置与结果!$B$24,配置与结果!$B$25)*MAX(0,1-INDEX(配置与结果!$I$15:$I$18,F660))</f>
        <v>1200</v>
      </c>
      <c r="AF660" s="1">
        <f>3.6*IF(H660=1,1,IF(H660=2,1.5,2.5))</f>
        <v>3.6</v>
      </c>
      <c r="AG660" s="1">
        <f>MAX(配置与结果!$B$32,1+INDEX(配置与结果!$F$15:$F$18,F660)+0.08+Q660*方案参数!$W$21+Y660*(方案参数!$AN$21+MIN(方案参数!$AO$21,P660*0.03))+AB660*方案参数!$BZ$21*0.025+0.1+IF(方案参数!$BZ$21&gt;=30,方案参数!$BZ$21*0.01,0)-配置与结果!$B$28)</f>
        <v>1.5150000000000001</v>
      </c>
      <c r="AH660" s="1">
        <f>MAX(0,1+INDEX(配置与结果!$G$15:$G$18,F660)+W660*方案参数!$AG$21)</f>
        <v>1.45</v>
      </c>
      <c r="AI660" s="1">
        <f>IF(OR(INDEX(配置与结果!$K$15:$K$18,F660)=1,G660="RHI_BERRY"),1+配置与结果!$B$33+P660*方案参数!$AH$21,1)</f>
        <v>1</v>
      </c>
      <c r="AJ660" s="1">
        <f>MIN(1,MAX(0,J660+方案参数!$AB$21-配置与结果!$B$27))</f>
        <v>0.66700000000000004</v>
      </c>
      <c r="AK660" s="1">
        <f>MAX(1,K660+IF(F660=2,0.15+方案参数!$CH$21,0)+BN660*方案参数!$X$21+R660*方案参数!$AA$21+0-配置与结果!$B$26+Z660*(方案参数!$AP$21+MIN(方案参数!$AQ$21,P660*0.03)))</f>
        <v>1.4969999999999999</v>
      </c>
      <c r="AL660" s="7">
        <f>ROUNDDOWN(MAX(AD660*配置与结果!$B$31,AD660-AE660)*AF660*AG660*AH660*AI660,0)</f>
        <v>13214</v>
      </c>
      <c r="AM660" s="7">
        <f>ROUNDDOWN(MAX(AD660*配置与结果!$B$31,AD660-AE660)*AF660*AG660*AH660*AI660*AK660,0)</f>
        <v>19782</v>
      </c>
      <c r="AN660" s="7">
        <f t="shared" si="912"/>
        <v>17594.856</v>
      </c>
      <c r="AO660" s="7">
        <f>0</f>
        <v>0</v>
      </c>
      <c r="AP660" s="7">
        <f>MAX(0,1+INDEX(配置与结果!$J$15:$J$18,F660)+IF(T660&gt;0,方案参数!$BY$21,0)-配置与结果!$B$30)</f>
        <v>1</v>
      </c>
      <c r="AQ660" s="7">
        <f t="shared" si="913"/>
        <v>0</v>
      </c>
      <c r="AR660" s="7">
        <f t="shared" si="914"/>
        <v>0</v>
      </c>
      <c r="AS660" s="7">
        <f t="shared" si="915"/>
        <v>0</v>
      </c>
      <c r="AT660" s="7">
        <f>0</f>
        <v>0</v>
      </c>
      <c r="AU660" s="7">
        <f t="shared" si="916"/>
        <v>17594.856</v>
      </c>
      <c r="AV660" s="1">
        <f t="shared" si="917"/>
        <v>1</v>
      </c>
      <c r="AW660" s="1">
        <f>MIN(10,M660+0+0)</f>
        <v>4</v>
      </c>
      <c r="AX660" s="1">
        <f t="shared" si="918"/>
        <v>0</v>
      </c>
      <c r="AY660" s="1">
        <f t="shared" si="941"/>
        <v>6</v>
      </c>
      <c r="AZ660" s="1">
        <f t="shared" si="919"/>
        <v>4</v>
      </c>
      <c r="BA660" s="1">
        <f>MIN(6,Q660+0)</f>
        <v>2</v>
      </c>
      <c r="BB660" s="1">
        <f t="shared" si="934"/>
        <v>5</v>
      </c>
      <c r="BC660" s="1">
        <f>MIN(3,S660+1)</f>
        <v>1</v>
      </c>
      <c r="BD660" s="1">
        <f t="shared" si="942"/>
        <v>0</v>
      </c>
      <c r="BE660" s="1">
        <f t="shared" si="935"/>
        <v>0</v>
      </c>
      <c r="BF660" s="1">
        <f>MIN(4,V660+0)</f>
        <v>1</v>
      </c>
      <c r="BG660" s="1">
        <f t="shared" si="939"/>
        <v>1</v>
      </c>
      <c r="BH660" s="1">
        <f t="shared" si="936"/>
        <v>1</v>
      </c>
      <c r="BI660" s="1">
        <f t="shared" si="940"/>
        <v>1</v>
      </c>
      <c r="BJ660" s="1">
        <f t="shared" si="902"/>
        <v>0</v>
      </c>
      <c r="BK660" s="1">
        <f t="shared" si="903"/>
        <v>0</v>
      </c>
      <c r="BL660" s="1">
        <f t="shared" si="908"/>
        <v>0</v>
      </c>
      <c r="BM660" s="1">
        <f t="shared" si="906"/>
        <v>0</v>
      </c>
      <c r="BN660" s="1">
        <f t="shared" si="937"/>
        <v>1</v>
      </c>
      <c r="BO660" s="1">
        <f t="shared" si="938"/>
        <v>1</v>
      </c>
    </row>
    <row r="661" spans="1:67" ht="30.95" customHeight="1">
      <c r="A661" s="1">
        <f>18</f>
        <v>18</v>
      </c>
      <c r="B661" s="1">
        <f>固定流程!A13</f>
        <v>8</v>
      </c>
      <c r="C661" s="1">
        <f>21</f>
        <v>21</v>
      </c>
      <c r="D661" s="1">
        <f>1</f>
        <v>1</v>
      </c>
      <c r="E661" s="1">
        <f>固定流程!C13</f>
        <v>2</v>
      </c>
      <c r="F661" s="1">
        <f>固定流程!G13</f>
        <v>3</v>
      </c>
      <c r="G661" s="1" t="str">
        <f>固定流程!H13</f>
        <v>RHI_ATTACK</v>
      </c>
      <c r="H661" s="1">
        <f>固定流程!F13</f>
        <v>1</v>
      </c>
      <c r="I661" s="1">
        <f>INDEX(配置与结果!$B$15:$B$18,F661)</f>
        <v>2597</v>
      </c>
      <c r="J661" s="1">
        <f>INDEX(配置与结果!$D$15:$D$18,F661)</f>
        <v>0.255</v>
      </c>
      <c r="K661" s="1">
        <f>INDEX(配置与结果!$E$15:$E$18,F661)</f>
        <v>1.55</v>
      </c>
      <c r="L661" s="1">
        <f>IF(AV660=1,IF(M661&gt;=10,2,1),IF(AV660=2,IF(AX660&lt;=1,0,2),0))</f>
        <v>1</v>
      </c>
      <c r="M661" s="1">
        <f>IF(AND(AV660=2,AX660&lt;=1),0,MIN(10,AW660+IF(AV660=1,3,0)))</f>
        <v>7</v>
      </c>
      <c r="N661" s="1">
        <f>IF(AND(AV660=1,M661&gt;=10),2,IF(AV660=2,MAX(0,AX660-1),0))</f>
        <v>0</v>
      </c>
      <c r="O661" s="1">
        <f t="shared" ref="O661:O689" si="943">AY660</f>
        <v>6</v>
      </c>
      <c r="P661" s="1">
        <f>MIN(方案参数!$AI$21,AZ660+方案参数!$AJ$21+方案参数!$AK$21)</f>
        <v>7</v>
      </c>
      <c r="Q661" s="1">
        <f t="shared" si="921"/>
        <v>2</v>
      </c>
      <c r="R661" s="1">
        <f t="shared" si="922"/>
        <v>5</v>
      </c>
      <c r="S661" s="1">
        <f t="shared" si="923"/>
        <v>1</v>
      </c>
      <c r="T661" s="1">
        <f t="shared" si="924"/>
        <v>0</v>
      </c>
      <c r="U661" s="1">
        <f t="shared" si="925"/>
        <v>0</v>
      </c>
      <c r="V661" s="1">
        <f t="shared" si="926"/>
        <v>1</v>
      </c>
      <c r="W661" s="1">
        <f t="shared" si="927"/>
        <v>1</v>
      </c>
      <c r="X661" s="1">
        <f t="shared" si="928"/>
        <v>1</v>
      </c>
      <c r="Y661" s="1">
        <f t="shared" si="929"/>
        <v>1</v>
      </c>
      <c r="Z661" s="1">
        <f t="shared" si="930"/>
        <v>0</v>
      </c>
      <c r="AA661" s="1">
        <f>MAX(BK660,1)</f>
        <v>1</v>
      </c>
      <c r="AB661" s="1">
        <f t="shared" si="932"/>
        <v>0</v>
      </c>
      <c r="AC661" s="1">
        <f t="shared" si="933"/>
        <v>0</v>
      </c>
      <c r="AD661" s="1">
        <f>ROUNDDOWN(I661*(1+IF(F661=3,0.05+方案参数!$Y$21+AA661*0.12,IF(F661=4,方案参数!$BZ$21*方案参数!$AS$21,0)))+IF(AND(X661=1,F661&lt;&gt;3),方案参数!$CC$21,0)+AC661*方案参数!$CB$21,0)</f>
        <v>3298</v>
      </c>
      <c r="AE661" s="1">
        <f>IF(OR(F661=1,F661=4),配置与结果!$B$24,配置与结果!$B$25)*MAX(0,1-INDEX(配置与结果!$I$15:$I$18,F661))</f>
        <v>1000</v>
      </c>
      <c r="AF661" s="1">
        <f>4</f>
        <v>4</v>
      </c>
      <c r="AG661" s="1">
        <f>MAX(配置与结果!$B$32,1+INDEX(配置与结果!$F$15:$F$18,F661)+0+Q661*方案参数!$W$21+Y661*(方案参数!$AN$21+MIN(方案参数!$AO$21,P661*0.03))+AB661*方案参数!$BZ$21*0.025-配置与结果!$B$28)</f>
        <v>1.085</v>
      </c>
      <c r="AH661" s="1">
        <f>MAX(0,1+INDEX(配置与结果!$G$15:$G$18,F661)+W661*方案参数!$AG$21)</f>
        <v>1.45</v>
      </c>
      <c r="AI661" s="1">
        <f>IF(OR(INDEX(配置与结果!$K$15:$K$18,F661)=1,G661="RHI_BERRY"),1+配置与结果!$B$33+P661*方案参数!$AH$21,1)</f>
        <v>1</v>
      </c>
      <c r="AJ661" s="1">
        <f>MIN(1,MAX(0,J661+方案参数!$AB$21-配置与结果!$B$27))</f>
        <v>0.55499999999999994</v>
      </c>
      <c r="AK661" s="1">
        <f>MAX(1,K661+IF(F661=2,0.15+方案参数!$CH$21,0)+BN661*方案参数!$X$21+R661*方案参数!$AA$21+0-配置与结果!$B$26+Z661*(方案参数!$AP$21+MIN(方案参数!$AQ$21,P661*0.03)))</f>
        <v>1.33</v>
      </c>
      <c r="AL661" s="7">
        <f>ROUNDDOWN(MAX(AD661*配置与结果!$B$31,AD661-AE661)*AF661*AG661*AH661*AI661,0)</f>
        <v>14461</v>
      </c>
      <c r="AM661" s="7">
        <f>ROUNDDOWN(MAX(AD661*配置与结果!$B$31,AD661-AE661)*AF661*AG661*AH661*AI661*AK661,0)</f>
        <v>19233</v>
      </c>
      <c r="AN661" s="7">
        <f t="shared" si="912"/>
        <v>17109.46</v>
      </c>
      <c r="AO661" s="7">
        <f>0</f>
        <v>0</v>
      </c>
      <c r="AP661" s="7">
        <f>MAX(0,1+INDEX(配置与结果!$J$15:$J$18,F661)+IF(T661&gt;0,方案参数!$BY$21,0)-配置与结果!$B$30)</f>
        <v>1</v>
      </c>
      <c r="AQ661" s="7">
        <f t="shared" si="913"/>
        <v>0</v>
      </c>
      <c r="AR661" s="7">
        <f t="shared" si="914"/>
        <v>0</v>
      </c>
      <c r="AS661" s="7">
        <f t="shared" si="915"/>
        <v>0</v>
      </c>
      <c r="AT661" s="7">
        <f>0</f>
        <v>0</v>
      </c>
      <c r="AU661" s="7">
        <f t="shared" si="916"/>
        <v>17109.46</v>
      </c>
      <c r="AV661" s="1">
        <f t="shared" si="917"/>
        <v>1</v>
      </c>
      <c r="AW661" s="1">
        <f>MIN(10,M661+0+0)</f>
        <v>7</v>
      </c>
      <c r="AX661" s="1">
        <f t="shared" si="918"/>
        <v>0</v>
      </c>
      <c r="AY661" s="1">
        <f t="shared" si="941"/>
        <v>6</v>
      </c>
      <c r="AZ661" s="1">
        <f t="shared" si="919"/>
        <v>7</v>
      </c>
      <c r="BA661" s="1">
        <f>MIN(6,Q661+1)</f>
        <v>3</v>
      </c>
      <c r="BB661" s="1">
        <f t="shared" si="934"/>
        <v>5</v>
      </c>
      <c r="BC661" s="1">
        <f>MIN(3,S661+0)</f>
        <v>1</v>
      </c>
      <c r="BD661" s="1">
        <f t="shared" si="942"/>
        <v>0</v>
      </c>
      <c r="BE661" s="1">
        <f t="shared" si="935"/>
        <v>0</v>
      </c>
      <c r="BF661" s="1">
        <f>MIN(4,V661+0)</f>
        <v>1</v>
      </c>
      <c r="BG661" s="1">
        <f t="shared" si="939"/>
        <v>1</v>
      </c>
      <c r="BH661" s="1">
        <f t="shared" si="936"/>
        <v>1</v>
      </c>
      <c r="BI661" s="1">
        <f t="shared" si="940"/>
        <v>1</v>
      </c>
      <c r="BJ661" s="1">
        <f>MAX(Z661,1)</f>
        <v>1</v>
      </c>
      <c r="BK661" s="1">
        <f>MAX(AA661,1)</f>
        <v>1</v>
      </c>
      <c r="BL661" s="1">
        <f t="shared" si="908"/>
        <v>0</v>
      </c>
      <c r="BM661" s="1">
        <f t="shared" si="906"/>
        <v>0</v>
      </c>
      <c r="BN661" s="1">
        <f t="shared" si="937"/>
        <v>1</v>
      </c>
      <c r="BO661" s="1">
        <f t="shared" si="938"/>
        <v>1</v>
      </c>
    </row>
    <row r="662" spans="1:67" ht="30.95" customHeight="1">
      <c r="A662" s="1">
        <f>18</f>
        <v>18</v>
      </c>
      <c r="B662" s="1">
        <f>固定流程!A14</f>
        <v>9</v>
      </c>
      <c r="C662" s="1">
        <f>21</f>
        <v>21</v>
      </c>
      <c r="D662" s="1">
        <f>1</f>
        <v>1</v>
      </c>
      <c r="E662" s="1">
        <f>固定流程!C14</f>
        <v>2</v>
      </c>
      <c r="F662" s="1">
        <f>固定流程!G14</f>
        <v>1</v>
      </c>
      <c r="G662" s="1" t="str">
        <f>固定流程!H14</f>
        <v>LILYA_DIVE</v>
      </c>
      <c r="H662" s="1">
        <f>固定流程!F14</f>
        <v>3</v>
      </c>
      <c r="I662" s="1">
        <f>INDEX(配置与结果!$B$15:$B$18,F662)</f>
        <v>2296</v>
      </c>
      <c r="J662" s="1">
        <f>INDEX(配置与结果!$D$15:$D$18,F662)</f>
        <v>0.7</v>
      </c>
      <c r="K662" s="1">
        <f>INDEX(配置与结果!$E$15:$E$18,F662)</f>
        <v>2.0249999999999999</v>
      </c>
      <c r="L662" s="1">
        <f t="shared" ref="L662:N666" si="944">AV661</f>
        <v>1</v>
      </c>
      <c r="M662" s="1">
        <f t="shared" si="944"/>
        <v>7</v>
      </c>
      <c r="N662" s="1">
        <f t="shared" si="944"/>
        <v>0</v>
      </c>
      <c r="O662" s="1">
        <f t="shared" si="943"/>
        <v>6</v>
      </c>
      <c r="P662" s="1">
        <f>MIN(方案参数!$AI$21,AZ661+0+0)</f>
        <v>7</v>
      </c>
      <c r="Q662" s="1">
        <f t="shared" si="921"/>
        <v>3</v>
      </c>
      <c r="R662" s="1">
        <f t="shared" si="922"/>
        <v>5</v>
      </c>
      <c r="S662" s="1">
        <f t="shared" si="923"/>
        <v>1</v>
      </c>
      <c r="T662" s="1">
        <f t="shared" si="924"/>
        <v>0</v>
      </c>
      <c r="U662" s="1">
        <f t="shared" si="925"/>
        <v>0</v>
      </c>
      <c r="V662" s="1">
        <f t="shared" si="926"/>
        <v>1</v>
      </c>
      <c r="W662" s="1">
        <f t="shared" si="927"/>
        <v>1</v>
      </c>
      <c r="X662" s="1">
        <f t="shared" si="928"/>
        <v>1</v>
      </c>
      <c r="Y662" s="1">
        <f t="shared" si="929"/>
        <v>1</v>
      </c>
      <c r="Z662" s="1">
        <f t="shared" si="930"/>
        <v>1</v>
      </c>
      <c r="AA662" s="1">
        <f t="shared" ref="AA662:AA667" si="945">MAX(BK661,0)</f>
        <v>1</v>
      </c>
      <c r="AB662" s="1">
        <f t="shared" si="932"/>
        <v>0</v>
      </c>
      <c r="AC662" s="1">
        <f t="shared" si="933"/>
        <v>0</v>
      </c>
      <c r="AD662" s="1">
        <f>ROUNDDOWN(I662*(1+IF(F662=3,0.05+方案参数!$Y$21+AA662*0.12,IF(F662=4,方案参数!$BZ$21*方案参数!$AS$21,0)))+IF(AND(X662=1,F662&lt;&gt;3),方案参数!$CC$21,0)+AC662*方案参数!$CB$21,0)</f>
        <v>2594</v>
      </c>
      <c r="AE662" s="1">
        <f>IF(OR(F662=1,F662=4),配置与结果!$B$24,配置与结果!$B$25)*MAX(0,1-INDEX(配置与结果!$I$15:$I$18,F662))</f>
        <v>1200</v>
      </c>
      <c r="AF662" s="1">
        <f>(IF(L662=1,方案参数!$AW$21,IF(L662=2,方案参数!$AX$21,0))+方案参数!$AV$21)*H662</f>
        <v>18</v>
      </c>
      <c r="AG662" s="1">
        <f>MAX(配置与结果!$B$32,1+INDEX(配置与结果!$F$15:$F$18,F662)+0.08+方案参数!$CD$21+Q662*方案参数!$W$21+Y662*(方案参数!$AN$21+MIN(方案参数!$AO$21,P662*0.03))+AB662*方案参数!$BZ$21*0.025+IF(L662=1,方案参数!$AY$21+(H662-1)*0.1,IF(L662=2,方案参数!$AZ$21+(H662-1)*0.2,0))-配置与结果!$B$28)</f>
        <v>1.7100000000000004</v>
      </c>
      <c r="AH662" s="1">
        <f>MAX(0,1+INDEX(配置与结果!$G$15:$G$18,F662)+W662*方案参数!$AG$21+IF(L662=1,方案参数!$BA$21,IF(L662=2,方案参数!$BB$21,0))+M662*方案参数!$BC$21)</f>
        <v>2.4699999999999998</v>
      </c>
      <c r="AI662" s="1">
        <f>IF(OR(INDEX(配置与结果!$K$15:$K$18,F662)=1,G662="RHI_BERRY"),1+配置与结果!$B$33+P662*方案参数!$AH$21,1)</f>
        <v>1</v>
      </c>
      <c r="AJ662" s="1">
        <f>MIN(1,MAX(0,J662+方案参数!$AB$21-配置与结果!$B$27))</f>
        <v>1</v>
      </c>
      <c r="AK662" s="1">
        <f>MAX(1,K662+IF(F662=2,0.15+方案参数!$CH$21,0)+BN662*方案参数!$X$21+R662*方案参数!$AA$21+0-配置与结果!$B$26+Z662*(方案参数!$AP$21+MIN(方案参数!$AQ$21,P662*0.03)))</f>
        <v>2.2150000000000003</v>
      </c>
      <c r="AL662" s="7">
        <f>ROUNDDOWN(MAX(AD662*配置与结果!$B$31,AD662-AE662)*AF662*AG662*AH662*AI662,0)</f>
        <v>105981</v>
      </c>
      <c r="AM662" s="7">
        <f>ROUNDDOWN(MAX(AD662*配置与结果!$B$31,AD662-AE662)*AF662*AG662*AH662*AI662*AK662,0)</f>
        <v>234748</v>
      </c>
      <c r="AN662" s="7">
        <f t="shared" si="912"/>
        <v>234748</v>
      </c>
      <c r="AO662" s="7">
        <f>0</f>
        <v>0</v>
      </c>
      <c r="AP662" s="7">
        <f>MAX(0,1+INDEX(配置与结果!$J$15:$J$18,F662)+IF(T662&gt;0,方案参数!$BY$21,0)-配置与结果!$B$30)</f>
        <v>1</v>
      </c>
      <c r="AQ662" s="7">
        <f t="shared" si="913"/>
        <v>0</v>
      </c>
      <c r="AR662" s="7">
        <f t="shared" si="914"/>
        <v>0</v>
      </c>
      <c r="AS662" s="7">
        <f t="shared" si="915"/>
        <v>0</v>
      </c>
      <c r="AT662" s="7">
        <f>0</f>
        <v>0</v>
      </c>
      <c r="AU662" s="7">
        <f t="shared" si="916"/>
        <v>234748</v>
      </c>
      <c r="AV662" s="1">
        <f t="shared" si="917"/>
        <v>1</v>
      </c>
      <c r="AW662" s="1">
        <f>MIN(10,M662+0+IF(L662=1,方案参数!$BE$21,0))</f>
        <v>8</v>
      </c>
      <c r="AX662" s="1">
        <f t="shared" si="918"/>
        <v>0</v>
      </c>
      <c r="AY662" s="1">
        <f t="shared" si="941"/>
        <v>6</v>
      </c>
      <c r="AZ662" s="1">
        <f t="shared" si="919"/>
        <v>7</v>
      </c>
      <c r="BA662" s="1">
        <f>MIN(6,Q662+0)</f>
        <v>3</v>
      </c>
      <c r="BB662" s="1">
        <f t="shared" si="934"/>
        <v>5</v>
      </c>
      <c r="BC662" s="1">
        <f>MIN(3,S662+0)</f>
        <v>1</v>
      </c>
      <c r="BD662" s="1">
        <f t="shared" si="942"/>
        <v>0</v>
      </c>
      <c r="BE662" s="1">
        <f t="shared" si="935"/>
        <v>0</v>
      </c>
      <c r="BF662" s="1">
        <f>MIN(4,V662+0)</f>
        <v>1</v>
      </c>
      <c r="BG662" s="1">
        <f t="shared" si="939"/>
        <v>1</v>
      </c>
      <c r="BH662" s="1">
        <f t="shared" si="936"/>
        <v>1</v>
      </c>
      <c r="BI662" s="1">
        <f t="shared" si="940"/>
        <v>1</v>
      </c>
      <c r="BJ662" s="1">
        <f t="shared" ref="BJ662:BK667" si="946">MAX(Z662,0)</f>
        <v>1</v>
      </c>
      <c r="BK662" s="1">
        <f t="shared" si="946"/>
        <v>1</v>
      </c>
      <c r="BL662" s="1">
        <f t="shared" si="908"/>
        <v>0</v>
      </c>
      <c r="BM662" s="1">
        <f t="shared" si="906"/>
        <v>0</v>
      </c>
      <c r="BN662" s="1">
        <f t="shared" si="937"/>
        <v>1</v>
      </c>
      <c r="BO662" s="1">
        <f t="shared" si="938"/>
        <v>1</v>
      </c>
    </row>
    <row r="663" spans="1:67" ht="30.95" customHeight="1">
      <c r="A663" s="1">
        <f>18</f>
        <v>18</v>
      </c>
      <c r="B663" s="1">
        <f>固定流程!A15</f>
        <v>10</v>
      </c>
      <c r="C663" s="1">
        <f>21</f>
        <v>21</v>
      </c>
      <c r="D663" s="1">
        <f>1</f>
        <v>1</v>
      </c>
      <c r="E663" s="1">
        <f>固定流程!C15</f>
        <v>2</v>
      </c>
      <c r="F663" s="1">
        <f>固定流程!G15</f>
        <v>4</v>
      </c>
      <c r="G663" s="1" t="str">
        <f>固定流程!H15</f>
        <v>J_HARD</v>
      </c>
      <c r="H663" s="1">
        <f>固定流程!F15</f>
        <v>1</v>
      </c>
      <c r="I663" s="1">
        <f>INDEX(配置与结果!$B$15:$B$18,F663)</f>
        <v>1906</v>
      </c>
      <c r="J663" s="1">
        <f>INDEX(配置与结果!$D$15:$D$18,F663)</f>
        <v>0.36699999999999999</v>
      </c>
      <c r="K663" s="1">
        <f>INDEX(配置与结果!$E$15:$E$18,F663)</f>
        <v>1.7170000000000001</v>
      </c>
      <c r="L663" s="1">
        <f t="shared" si="944"/>
        <v>1</v>
      </c>
      <c r="M663" s="1">
        <f t="shared" si="944"/>
        <v>8</v>
      </c>
      <c r="N663" s="1">
        <f t="shared" si="944"/>
        <v>0</v>
      </c>
      <c r="O663" s="1">
        <f t="shared" si="943"/>
        <v>6</v>
      </c>
      <c r="P663" s="1">
        <f>MIN(方案参数!$AI$21,AZ662+0+0)</f>
        <v>7</v>
      </c>
      <c r="Q663" s="1">
        <f t="shared" si="921"/>
        <v>3</v>
      </c>
      <c r="R663" s="1">
        <f t="shared" si="922"/>
        <v>5</v>
      </c>
      <c r="S663" s="1">
        <f t="shared" si="923"/>
        <v>1</v>
      </c>
      <c r="T663" s="1">
        <f t="shared" si="924"/>
        <v>0</v>
      </c>
      <c r="U663" s="1">
        <f t="shared" si="925"/>
        <v>0</v>
      </c>
      <c r="V663" s="1">
        <f t="shared" si="926"/>
        <v>1</v>
      </c>
      <c r="W663" s="1">
        <f t="shared" si="927"/>
        <v>1</v>
      </c>
      <c r="X663" s="1">
        <f t="shared" si="928"/>
        <v>1</v>
      </c>
      <c r="Y663" s="1">
        <f t="shared" si="929"/>
        <v>1</v>
      </c>
      <c r="Z663" s="1">
        <f t="shared" si="930"/>
        <v>1</v>
      </c>
      <c r="AA663" s="1">
        <f t="shared" si="945"/>
        <v>1</v>
      </c>
      <c r="AB663" s="1">
        <f t="shared" si="932"/>
        <v>0</v>
      </c>
      <c r="AC663" s="1">
        <f t="shared" si="933"/>
        <v>0</v>
      </c>
      <c r="AD663" s="1">
        <f>ROUNDDOWN(I663*(1+IF(F663=3,0.05+方案参数!$Y$21+AA663*0.12,IF(F663=4,方案参数!$BZ$21*方案参数!$AS$21,0)))+IF(AND(X663=1,F663&lt;&gt;3),方案参数!$CC$21,0)+AC663*方案参数!$CB$21,0)</f>
        <v>2871</v>
      </c>
      <c r="AE663" s="1">
        <f>IF(OR(F663=1,F663=4),配置与结果!$B$24,配置与结果!$B$25)*MAX(0,1-INDEX(配置与结果!$I$15:$I$18,F663))</f>
        <v>1200</v>
      </c>
      <c r="AF663" s="1">
        <f>3.6*IF(H663=1,1,IF(H663=2,1.5,2.5))</f>
        <v>3.6</v>
      </c>
      <c r="AG663" s="1">
        <f>MAX(配置与结果!$B$32,1+INDEX(配置与结果!$F$15:$F$18,F663)+0.08+Q663*方案参数!$W$21+Y663*(方案参数!$AN$21+MIN(方案参数!$AO$21,P663*0.03))+AB663*方案参数!$BZ$21*0.025+0.1+IF(方案参数!$BZ$21&gt;=30,方案参数!$BZ$21*0.01,0)-配置与结果!$B$28)</f>
        <v>1.6250000000000004</v>
      </c>
      <c r="AH663" s="1">
        <f>MAX(0,1+INDEX(配置与结果!$G$15:$G$18,F663)+W663*方案参数!$AG$21)</f>
        <v>1.45</v>
      </c>
      <c r="AI663" s="1">
        <f>IF(OR(INDEX(配置与结果!$K$15:$K$18,F663)=1,G663="RHI_BERRY"),1+配置与结果!$B$33+P663*方案参数!$AH$21,1)</f>
        <v>1</v>
      </c>
      <c r="AJ663" s="1">
        <f>MIN(1,MAX(0,J663+方案参数!$AB$21-配置与结果!$B$27))</f>
        <v>0.66700000000000004</v>
      </c>
      <c r="AK663" s="1">
        <f>MAX(1,K663+IF(F663=2,0.15+方案参数!$CH$21,0)+BN663*方案参数!$X$21+R663*方案参数!$AA$21+0-配置与结果!$B$26+Z663*(方案参数!$AP$21+MIN(方案参数!$AQ$21,P663*0.03)))</f>
        <v>1.907</v>
      </c>
      <c r="AL663" s="7">
        <f>ROUNDDOWN(MAX(AD663*配置与结果!$B$31,AD663-AE663)*AF663*AG663*AH663*AI663,0)</f>
        <v>14174</v>
      </c>
      <c r="AM663" s="7">
        <f>ROUNDDOWN(MAX(AD663*配置与结果!$B$31,AD663-AE663)*AF663*AG663*AH663*AI663*AK663,0)</f>
        <v>27030</v>
      </c>
      <c r="AN663" s="7">
        <f t="shared" si="912"/>
        <v>22748.952000000001</v>
      </c>
      <c r="AO663" s="7">
        <f>0</f>
        <v>0</v>
      </c>
      <c r="AP663" s="7">
        <f>MAX(0,1+INDEX(配置与结果!$J$15:$J$18,F663)+IF(T663&gt;0,方案参数!$BY$21,0)-配置与结果!$B$30)</f>
        <v>1</v>
      </c>
      <c r="AQ663" s="7">
        <f t="shared" si="913"/>
        <v>0</v>
      </c>
      <c r="AR663" s="7">
        <f t="shared" si="914"/>
        <v>0</v>
      </c>
      <c r="AS663" s="7">
        <f t="shared" si="915"/>
        <v>0</v>
      </c>
      <c r="AT663" s="7">
        <f>0</f>
        <v>0</v>
      </c>
      <c r="AU663" s="7">
        <f t="shared" si="916"/>
        <v>22748.952000000001</v>
      </c>
      <c r="AV663" s="1">
        <f t="shared" si="917"/>
        <v>1</v>
      </c>
      <c r="AW663" s="1">
        <f t="shared" ref="AW663:AW673" si="947">MIN(10,M663+0+0)</f>
        <v>8</v>
      </c>
      <c r="AX663" s="1">
        <f t="shared" si="918"/>
        <v>0</v>
      </c>
      <c r="AY663" s="1">
        <f t="shared" si="941"/>
        <v>6</v>
      </c>
      <c r="AZ663" s="1">
        <f t="shared" si="919"/>
        <v>7</v>
      </c>
      <c r="BA663" s="1">
        <f>MIN(6,Q663+0)</f>
        <v>3</v>
      </c>
      <c r="BB663" s="1">
        <f t="shared" si="934"/>
        <v>5</v>
      </c>
      <c r="BC663" s="1">
        <f>MIN(3,S663+1)</f>
        <v>2</v>
      </c>
      <c r="BD663" s="1">
        <f t="shared" si="942"/>
        <v>0</v>
      </c>
      <c r="BE663" s="1">
        <f t="shared" si="935"/>
        <v>0</v>
      </c>
      <c r="BF663" s="1">
        <f>MIN(4,V663+0)</f>
        <v>1</v>
      </c>
      <c r="BG663" s="1">
        <f t="shared" si="939"/>
        <v>1</v>
      </c>
      <c r="BH663" s="1">
        <f t="shared" si="936"/>
        <v>1</v>
      </c>
      <c r="BI663" s="1">
        <f t="shared" si="940"/>
        <v>1</v>
      </c>
      <c r="BJ663" s="1">
        <f t="shared" si="946"/>
        <v>1</v>
      </c>
      <c r="BK663" s="1">
        <f t="shared" si="946"/>
        <v>1</v>
      </c>
      <c r="BL663" s="1">
        <f t="shared" si="908"/>
        <v>0</v>
      </c>
      <c r="BM663" s="1">
        <f t="shared" si="906"/>
        <v>0</v>
      </c>
      <c r="BN663" s="1">
        <f t="shared" si="937"/>
        <v>1</v>
      </c>
      <c r="BO663" s="1">
        <f t="shared" si="938"/>
        <v>1</v>
      </c>
    </row>
    <row r="664" spans="1:67" ht="30.95" customHeight="1">
      <c r="A664" s="1">
        <f>18</f>
        <v>18</v>
      </c>
      <c r="B664" s="1">
        <f>固定流程!A16</f>
        <v>11</v>
      </c>
      <c r="C664" s="1">
        <f>21</f>
        <v>21</v>
      </c>
      <c r="D664" s="1">
        <f>1</f>
        <v>1</v>
      </c>
      <c r="E664" s="1">
        <f>固定流程!C16</f>
        <v>2</v>
      </c>
      <c r="F664" s="1">
        <f>固定流程!G16</f>
        <v>2</v>
      </c>
      <c r="G664" s="1" t="str">
        <f>固定流程!H16</f>
        <v>37_CURVE</v>
      </c>
      <c r="H664" s="1">
        <f>固定流程!F16</f>
        <v>1</v>
      </c>
      <c r="I664" s="1">
        <f>INDEX(配置与结果!$B$15:$B$18,F664)</f>
        <v>2306</v>
      </c>
      <c r="J664" s="1">
        <f>INDEX(配置与结果!$D$15:$D$18,F664)</f>
        <v>0.46</v>
      </c>
      <c r="K664" s="1">
        <f>INDEX(配置与结果!$E$15:$E$18,F664)</f>
        <v>1.9279999999999999</v>
      </c>
      <c r="L664" s="1">
        <f t="shared" si="944"/>
        <v>1</v>
      </c>
      <c r="M664" s="1">
        <f t="shared" si="944"/>
        <v>8</v>
      </c>
      <c r="N664" s="1">
        <f t="shared" si="944"/>
        <v>0</v>
      </c>
      <c r="O664" s="1">
        <f t="shared" si="943"/>
        <v>6</v>
      </c>
      <c r="P664" s="1">
        <f>MIN(方案参数!$AI$21,AZ663+0+0)</f>
        <v>7</v>
      </c>
      <c r="Q664" s="1">
        <f t="shared" si="921"/>
        <v>3</v>
      </c>
      <c r="R664" s="1">
        <f t="shared" si="922"/>
        <v>5</v>
      </c>
      <c r="S664" s="1">
        <f t="shared" si="923"/>
        <v>2</v>
      </c>
      <c r="T664" s="1">
        <f t="shared" si="924"/>
        <v>0</v>
      </c>
      <c r="U664" s="1">
        <f t="shared" si="925"/>
        <v>0</v>
      </c>
      <c r="V664" s="1">
        <f t="shared" si="926"/>
        <v>1</v>
      </c>
      <c r="W664" s="1">
        <f t="shared" si="927"/>
        <v>1</v>
      </c>
      <c r="X664" s="1">
        <f t="shared" si="928"/>
        <v>1</v>
      </c>
      <c r="Y664" s="1">
        <f t="shared" si="929"/>
        <v>1</v>
      </c>
      <c r="Z664" s="1">
        <f t="shared" si="930"/>
        <v>1</v>
      </c>
      <c r="AA664" s="1">
        <f t="shared" si="945"/>
        <v>1</v>
      </c>
      <c r="AB664" s="1">
        <f t="shared" si="932"/>
        <v>0</v>
      </c>
      <c r="AC664" s="1">
        <f t="shared" si="933"/>
        <v>0</v>
      </c>
      <c r="AD664" s="1">
        <f>ROUNDDOWN(I664*(1+IF(F664=3,0.05+方案参数!$Y$21+AA664*0.12,IF(F664=4,方案参数!$BZ$21*方案参数!$AS$21,0)))+IF(AND(X664=1,F664&lt;&gt;3),方案参数!$CC$21,0)+AC664*方案参数!$CB$21,0)</f>
        <v>2604</v>
      </c>
      <c r="AE664" s="1">
        <f>IF(OR(F664=1,F664=4),配置与结果!$B$24,配置与结果!$B$25)*MAX(0,1-INDEX(配置与结果!$I$15:$I$18,F664))</f>
        <v>1000</v>
      </c>
      <c r="AF664" s="1">
        <f>方案参数!$BT$21*IF(H664=1,1,IF(H664=2,1.5,2.5))</f>
        <v>1.4</v>
      </c>
      <c r="AG664" s="1">
        <f>MAX(配置与结果!$B$32,1+INDEX(配置与结果!$F$15:$F$18,F664)+0+Q664*方案参数!$W$21+Y664*(方案参数!$AN$21+MIN(方案参数!$AO$21,P664*0.03))+AB664*方案参数!$BZ$21*0.025-配置与结果!$B$28)</f>
        <v>1.0750000000000002</v>
      </c>
      <c r="AH664" s="1">
        <f>MAX(0,1+INDEX(配置与结果!$G$15:$G$18,F664)+W664*方案参数!$AG$21)</f>
        <v>1.45</v>
      </c>
      <c r="AI664" s="1">
        <f>IF(OR(INDEX(配置与结果!$K$15:$K$18,F664)=1,G664="RHI_BERRY"),1+配置与结果!$B$33+P664*方案参数!$AH$21,1)</f>
        <v>1</v>
      </c>
      <c r="AJ664" s="1">
        <f>MIN(1,MAX(0,J664+方案参数!$AB$21-配置与结果!$B$27))</f>
        <v>0.76</v>
      </c>
      <c r="AK664" s="1">
        <f>MAX(1,K664+IF(F664=2,0.15+方案参数!$CH$21,0)+BN664*方案参数!$X$21+R664*方案参数!$AA$21+0-配置与结果!$B$26+Z664*(方案参数!$AP$21+MIN(方案参数!$AQ$21,P664*0.03)))</f>
        <v>2.3880000000000003</v>
      </c>
      <c r="AL664" s="7">
        <f>ROUNDDOWN(MAX(AD664*配置与结果!$B$31,AD664-AE664)*AF664*AG664*AH664*AI664,0)</f>
        <v>3500</v>
      </c>
      <c r="AM664" s="7">
        <f>ROUNDDOWN(MAX(AD664*配置与结果!$B$31,AD664-AE664)*AF664*AG664*AH664*AI664*AK664,0)</f>
        <v>8358</v>
      </c>
      <c r="AN664" s="7">
        <f t="shared" si="912"/>
        <v>7192.08</v>
      </c>
      <c r="AO664" s="7">
        <f>方案参数!$BU$21*IF(H664=1,1,IF(H664=2,1.5,2.5))</f>
        <v>0.8</v>
      </c>
      <c r="AP664" s="7">
        <f>MAX(0,1+INDEX(配置与结果!$J$15:$J$18,F664)+IF(T664&gt;0,方案参数!$BY$21,0)-配置与结果!$B$30)</f>
        <v>1</v>
      </c>
      <c r="AQ664" s="7">
        <f t="shared" si="913"/>
        <v>2083</v>
      </c>
      <c r="AR664" s="7">
        <f t="shared" si="914"/>
        <v>4974</v>
      </c>
      <c r="AS664" s="7">
        <f t="shared" si="915"/>
        <v>4280.16</v>
      </c>
      <c r="AT664" s="7">
        <f>0</f>
        <v>0</v>
      </c>
      <c r="AU664" s="7">
        <f t="shared" si="916"/>
        <v>11472.24</v>
      </c>
      <c r="AV664" s="1">
        <f t="shared" si="917"/>
        <v>1</v>
      </c>
      <c r="AW664" s="1">
        <f t="shared" si="947"/>
        <v>8</v>
      </c>
      <c r="AX664" s="1">
        <f t="shared" si="918"/>
        <v>0</v>
      </c>
      <c r="AY664" s="1">
        <f t="shared" si="941"/>
        <v>6</v>
      </c>
      <c r="AZ664" s="1">
        <f t="shared" si="919"/>
        <v>7</v>
      </c>
      <c r="BA664" s="1">
        <f>MIN(6,Q664+0)</f>
        <v>3</v>
      </c>
      <c r="BB664" s="1">
        <f t="shared" si="934"/>
        <v>5</v>
      </c>
      <c r="BC664" s="1">
        <f t="shared" ref="BC664:BC670" si="948">MIN(3,S664+0)</f>
        <v>2</v>
      </c>
      <c r="BD664" s="1">
        <f t="shared" si="942"/>
        <v>0</v>
      </c>
      <c r="BE664" s="1">
        <f t="shared" si="935"/>
        <v>0</v>
      </c>
      <c r="BF664" s="1">
        <f>MIN(4,V664+0)</f>
        <v>1</v>
      </c>
      <c r="BG664" s="1">
        <f t="shared" si="939"/>
        <v>1</v>
      </c>
      <c r="BH664" s="1">
        <f t="shared" si="936"/>
        <v>1</v>
      </c>
      <c r="BI664" s="1">
        <f t="shared" si="940"/>
        <v>1</v>
      </c>
      <c r="BJ664" s="1">
        <f t="shared" si="946"/>
        <v>1</v>
      </c>
      <c r="BK664" s="1">
        <f t="shared" si="946"/>
        <v>1</v>
      </c>
      <c r="BL664" s="1">
        <f t="shared" si="908"/>
        <v>0</v>
      </c>
      <c r="BM664" s="1">
        <f t="shared" si="906"/>
        <v>0</v>
      </c>
      <c r="BN664" s="1">
        <f t="shared" si="937"/>
        <v>1</v>
      </c>
      <c r="BO664" s="1">
        <f t="shared" si="938"/>
        <v>1</v>
      </c>
    </row>
    <row r="665" spans="1:67" ht="30.95" customHeight="1">
      <c r="A665" s="1">
        <f>18</f>
        <v>18</v>
      </c>
      <c r="B665" s="1">
        <f>固定流程!A17</f>
        <v>12</v>
      </c>
      <c r="C665" s="1">
        <f>21</f>
        <v>21</v>
      </c>
      <c r="D665" s="1">
        <f>1</f>
        <v>1</v>
      </c>
      <c r="E665" s="1">
        <f>固定流程!C17</f>
        <v>2</v>
      </c>
      <c r="F665" s="1">
        <f>固定流程!G17</f>
        <v>2</v>
      </c>
      <c r="G665" s="1" t="str">
        <f>固定流程!H17</f>
        <v>37_FOLLOW</v>
      </c>
      <c r="H665" s="1">
        <f>固定流程!F17</f>
        <v>1</v>
      </c>
      <c r="I665" s="1">
        <f>INDEX(配置与结果!$B$15:$B$18,F665)</f>
        <v>2306</v>
      </c>
      <c r="J665" s="1">
        <f>INDEX(配置与结果!$D$15:$D$18,F665)</f>
        <v>0.46</v>
      </c>
      <c r="K665" s="1">
        <f>INDEX(配置与结果!$E$15:$E$18,F665)</f>
        <v>1.9279999999999999</v>
      </c>
      <c r="L665" s="1">
        <f t="shared" si="944"/>
        <v>1</v>
      </c>
      <c r="M665" s="1">
        <f t="shared" si="944"/>
        <v>8</v>
      </c>
      <c r="N665" s="1">
        <f t="shared" si="944"/>
        <v>0</v>
      </c>
      <c r="O665" s="1">
        <f t="shared" si="943"/>
        <v>6</v>
      </c>
      <c r="P665" s="1">
        <f>MIN(方案参数!$AI$21,AZ664+0+0)</f>
        <v>7</v>
      </c>
      <c r="Q665" s="1">
        <f t="shared" si="921"/>
        <v>3</v>
      </c>
      <c r="R665" s="1">
        <f t="shared" si="922"/>
        <v>5</v>
      </c>
      <c r="S665" s="1">
        <f t="shared" si="923"/>
        <v>2</v>
      </c>
      <c r="T665" s="1">
        <f t="shared" si="924"/>
        <v>0</v>
      </c>
      <c r="U665" s="1">
        <f t="shared" si="925"/>
        <v>0</v>
      </c>
      <c r="V665" s="1">
        <f t="shared" si="926"/>
        <v>1</v>
      </c>
      <c r="W665" s="1">
        <f t="shared" si="927"/>
        <v>1</v>
      </c>
      <c r="X665" s="1">
        <f t="shared" si="928"/>
        <v>1</v>
      </c>
      <c r="Y665" s="1">
        <f t="shared" si="929"/>
        <v>1</v>
      </c>
      <c r="Z665" s="1">
        <f t="shared" si="930"/>
        <v>1</v>
      </c>
      <c r="AA665" s="1">
        <f t="shared" si="945"/>
        <v>1</v>
      </c>
      <c r="AB665" s="1">
        <f t="shared" si="932"/>
        <v>0</v>
      </c>
      <c r="AC665" s="1">
        <f t="shared" si="933"/>
        <v>0</v>
      </c>
      <c r="AD665" s="1">
        <f>ROUNDDOWN(I665*(1+IF(F665=3,0.05+方案参数!$Y$21+AA665*0.12,IF(F665=4,方案参数!$BZ$21*方案参数!$AS$21,0)))+IF(AND(X665=1,F665&lt;&gt;3),方案参数!$CC$21,0)+AC665*方案参数!$CB$21,0)</f>
        <v>2604</v>
      </c>
      <c r="AE665" s="1">
        <f>IF(OR(F665=1,F665=4),配置与结果!$B$24,配置与结果!$B$25)*MAX(0,1-INDEX(配置与结果!$I$15:$I$18,F665))</f>
        <v>1000</v>
      </c>
      <c r="AF665" s="1">
        <f>方案参数!$BV$21</f>
        <v>3</v>
      </c>
      <c r="AG665" s="1">
        <f>MAX(配置与结果!$B$32,1+INDEX(配置与结果!$F$15:$F$18,F665)+0+Q665*方案参数!$W$21+Y665*(方案参数!$AN$21+MIN(方案参数!$AO$21,P665*0.03))+AB665*方案参数!$BZ$21*0.025-配置与结果!$B$28)</f>
        <v>1.0750000000000002</v>
      </c>
      <c r="AH665" s="1">
        <f>MAX(0,1+INDEX(配置与结果!$G$15:$G$18,F665)+W665*方案参数!$AG$21)</f>
        <v>1.45</v>
      </c>
      <c r="AI665" s="1">
        <f>IF(OR(INDEX(配置与结果!$K$15:$K$18,F665)=1,G665="RHI_BERRY"),1+配置与结果!$B$33+P665*方案参数!$AH$21,1)</f>
        <v>1</v>
      </c>
      <c r="AJ665" s="1">
        <f>MIN(1,MAX(0,J665+方案参数!$AB$21-配置与结果!$B$27))</f>
        <v>0.76</v>
      </c>
      <c r="AK665" s="1">
        <f>MAX(1,K665+IF(F665=2,0.15+方案参数!$CH$21,0)+BN665*方案参数!$X$21+R665*方案参数!$AA$21+0-配置与结果!$B$26+Z665*(方案参数!$AP$21+MIN(方案参数!$AQ$21,P665*0.03)))</f>
        <v>2.3880000000000003</v>
      </c>
      <c r="AL665" s="7">
        <f>ROUNDDOWN(MAX(AD665*配置与结果!$B$31,AD665-AE665)*AF665*AG665*AH665*AI665,0)</f>
        <v>7500</v>
      </c>
      <c r="AM665" s="7">
        <f>ROUNDDOWN(MAX(AD665*配置与结果!$B$31,AD665-AE665)*AF665*AG665*AH665*AI665*AK665,0)</f>
        <v>17911</v>
      </c>
      <c r="AN665" s="7">
        <f t="shared" si="912"/>
        <v>15412.36</v>
      </c>
      <c r="AO665" s="7">
        <f>方案参数!$BW$21</f>
        <v>1</v>
      </c>
      <c r="AP665" s="7">
        <f>MAX(0,1+INDEX(配置与结果!$J$15:$J$18,F665)+IF(T665&gt;0,方案参数!$BY$21,0)-配置与结果!$B$30)</f>
        <v>1</v>
      </c>
      <c r="AQ665" s="7">
        <f t="shared" si="913"/>
        <v>2604</v>
      </c>
      <c r="AR665" s="7">
        <f t="shared" si="914"/>
        <v>6218</v>
      </c>
      <c r="AS665" s="7">
        <f t="shared" si="915"/>
        <v>5350.64</v>
      </c>
      <c r="AT665" s="7">
        <f>0</f>
        <v>0</v>
      </c>
      <c r="AU665" s="7">
        <f t="shared" si="916"/>
        <v>20763</v>
      </c>
      <c r="AV665" s="1">
        <f t="shared" si="917"/>
        <v>1</v>
      </c>
      <c r="AW665" s="1">
        <f t="shared" si="947"/>
        <v>8</v>
      </c>
      <c r="AX665" s="1">
        <f t="shared" si="918"/>
        <v>0</v>
      </c>
      <c r="AY665" s="1">
        <f t="shared" si="941"/>
        <v>6</v>
      </c>
      <c r="AZ665" s="1">
        <f t="shared" si="919"/>
        <v>7</v>
      </c>
      <c r="BA665" s="1">
        <f>MIN(6,Q665+0)</f>
        <v>3</v>
      </c>
      <c r="BB665" s="1">
        <f t="shared" si="934"/>
        <v>5</v>
      </c>
      <c r="BC665" s="1">
        <f t="shared" si="948"/>
        <v>2</v>
      </c>
      <c r="BD665" s="1">
        <f t="shared" si="942"/>
        <v>0</v>
      </c>
      <c r="BE665" s="1">
        <f t="shared" si="935"/>
        <v>0</v>
      </c>
      <c r="BF665" s="1">
        <f>MIN(4,V665+1)</f>
        <v>2</v>
      </c>
      <c r="BG665" s="1">
        <f t="shared" si="939"/>
        <v>1</v>
      </c>
      <c r="BH665" s="1">
        <f t="shared" si="936"/>
        <v>1</v>
      </c>
      <c r="BI665" s="1">
        <f t="shared" si="940"/>
        <v>1</v>
      </c>
      <c r="BJ665" s="1">
        <f t="shared" si="946"/>
        <v>1</v>
      </c>
      <c r="BK665" s="1">
        <f t="shared" si="946"/>
        <v>1</v>
      </c>
      <c r="BL665" s="1">
        <f t="shared" si="908"/>
        <v>0</v>
      </c>
      <c r="BM665" s="1">
        <f t="shared" si="906"/>
        <v>0</v>
      </c>
      <c r="BN665" s="1">
        <f t="shared" si="937"/>
        <v>1</v>
      </c>
      <c r="BO665" s="1">
        <f t="shared" si="938"/>
        <v>1</v>
      </c>
    </row>
    <row r="666" spans="1:67" ht="30.95" customHeight="1">
      <c r="A666" s="1">
        <f>18</f>
        <v>18</v>
      </c>
      <c r="B666" s="1">
        <f>固定流程!A18</f>
        <v>13</v>
      </c>
      <c r="C666" s="1">
        <f>21</f>
        <v>21</v>
      </c>
      <c r="D666" s="1">
        <f>1</f>
        <v>1</v>
      </c>
      <c r="E666" s="1">
        <f>固定流程!C18</f>
        <v>2</v>
      </c>
      <c r="F666" s="1">
        <f>固定流程!G18</f>
        <v>3</v>
      </c>
      <c r="G666" s="1" t="str">
        <f>固定流程!H18</f>
        <v>RHI_BERRY</v>
      </c>
      <c r="H666" s="1">
        <f>固定流程!F18</f>
        <v>1</v>
      </c>
      <c r="I666" s="1">
        <f>INDEX(配置与结果!$B$15:$B$18,F666)</f>
        <v>2597</v>
      </c>
      <c r="J666" s="1">
        <f>INDEX(配置与结果!$D$15:$D$18,F666)</f>
        <v>0.255</v>
      </c>
      <c r="K666" s="1">
        <f>INDEX(配置与结果!$E$15:$E$18,F666)</f>
        <v>1.55</v>
      </c>
      <c r="L666" s="1">
        <f t="shared" si="944"/>
        <v>1</v>
      </c>
      <c r="M666" s="1">
        <f t="shared" si="944"/>
        <v>8</v>
      </c>
      <c r="N666" s="1">
        <f t="shared" si="944"/>
        <v>0</v>
      </c>
      <c r="O666" s="1">
        <f t="shared" si="943"/>
        <v>6</v>
      </c>
      <c r="P666" s="1">
        <f>MIN(方案参数!$AI$21,AZ665+0+0)</f>
        <v>7</v>
      </c>
      <c r="Q666" s="1">
        <f t="shared" si="921"/>
        <v>3</v>
      </c>
      <c r="R666" s="1">
        <f t="shared" si="922"/>
        <v>5</v>
      </c>
      <c r="S666" s="1">
        <f t="shared" si="923"/>
        <v>2</v>
      </c>
      <c r="T666" s="1">
        <f t="shared" si="924"/>
        <v>0</v>
      </c>
      <c r="U666" s="1">
        <f t="shared" si="925"/>
        <v>0</v>
      </c>
      <c r="V666" s="1">
        <f t="shared" si="926"/>
        <v>2</v>
      </c>
      <c r="W666" s="1">
        <f t="shared" si="927"/>
        <v>1</v>
      </c>
      <c r="X666" s="1">
        <f t="shared" si="928"/>
        <v>1</v>
      </c>
      <c r="Y666" s="1">
        <f t="shared" si="929"/>
        <v>1</v>
      </c>
      <c r="Z666" s="1">
        <f t="shared" si="930"/>
        <v>1</v>
      </c>
      <c r="AA666" s="1">
        <f t="shared" si="945"/>
        <v>1</v>
      </c>
      <c r="AB666" s="1">
        <f t="shared" si="932"/>
        <v>0</v>
      </c>
      <c r="AC666" s="1">
        <f t="shared" si="933"/>
        <v>0</v>
      </c>
      <c r="AD666" s="1">
        <f>ROUNDDOWN(I666*(1+IF(F666=3,0.05+方案参数!$Y$21+AA666*0.12,IF(F666=4,方案参数!$BZ$21*方案参数!$AS$21,0)))+IF(AND(X666=1,F666&lt;&gt;3),方案参数!$CC$21,0)+AC666*方案参数!$CB$21,0)</f>
        <v>3298</v>
      </c>
      <c r="AE666" s="1">
        <f>IF(OR(F666=1,F666=4),配置与结果!$B$24,配置与结果!$B$25)*MAX(0,1-INDEX(配置与结果!$I$15:$I$18,F666))</f>
        <v>1000</v>
      </c>
      <c r="AF666" s="1">
        <f>方案参数!$CF$21+P666*方案参数!$CG$21</f>
        <v>51</v>
      </c>
      <c r="AG666" s="1">
        <f>MAX(配置与结果!$B$32,1+INDEX(配置与结果!$F$15:$F$18,F666)+0+Q666*方案参数!$W$21+Y666*(方案参数!$AN$21+MIN(方案参数!$AO$21,P666*0.03))+AB666*方案参数!$BZ$21*0.025-配置与结果!$B$28)</f>
        <v>1.105</v>
      </c>
      <c r="AH666" s="1">
        <f>MAX(0,1+INDEX(配置与结果!$G$15:$G$18,F666)+W666*方案参数!$AG$21)</f>
        <v>1.45</v>
      </c>
      <c r="AI666" s="1">
        <f>IF(OR(INDEX(配置与结果!$K$15:$K$18,F666)=1,G666="RHI_BERRY"),1+配置与结果!$B$33+P666*方案参数!$AH$21,1)</f>
        <v>1.6500000000000001</v>
      </c>
      <c r="AJ666" s="1">
        <f>MIN(1,MAX(0,J666+方案参数!$AB$21-配置与结果!$B$27))</f>
        <v>0.55499999999999994</v>
      </c>
      <c r="AK666" s="1">
        <f>MAX(1,K666+IF(F666=2,0.15+方案参数!$CH$21,0)+BN666*方案参数!$X$21+R666*方案参数!$AA$21+0-配置与结果!$B$26+Z666*(方案参数!$AP$21+MIN(方案参数!$AQ$21,P666*0.03)))</f>
        <v>1.7400000000000002</v>
      </c>
      <c r="AL666" s="7">
        <f>ROUNDDOWN(MAX(AD666*配置与结果!$B$31,AD666-AE666)*AF666*AG666*AH666*AI666,0)</f>
        <v>309837</v>
      </c>
      <c r="AM666" s="7">
        <f>ROUNDDOWN(MAX(AD666*配置与结果!$B$31,AD666-AE666)*AF666*AG666*AH666*AI666*AK666,0)</f>
        <v>539117</v>
      </c>
      <c r="AN666" s="7">
        <f t="shared" si="912"/>
        <v>437087.39999999997</v>
      </c>
      <c r="AO666" s="7">
        <f>0</f>
        <v>0</v>
      </c>
      <c r="AP666" s="7">
        <f>MAX(0,1+INDEX(配置与结果!$J$15:$J$18,F666)+IF(T666&gt;0,方案参数!$BY$21,0)-配置与结果!$B$30)</f>
        <v>1</v>
      </c>
      <c r="AQ666" s="7">
        <f t="shared" si="913"/>
        <v>0</v>
      </c>
      <c r="AR666" s="7">
        <f t="shared" si="914"/>
        <v>0</v>
      </c>
      <c r="AS666" s="7">
        <f t="shared" si="915"/>
        <v>0</v>
      </c>
      <c r="AT666" s="7">
        <f>0</f>
        <v>0</v>
      </c>
      <c r="AU666" s="7">
        <f t="shared" si="916"/>
        <v>437087.39999999997</v>
      </c>
      <c r="AV666" s="1">
        <f t="shared" si="917"/>
        <v>1</v>
      </c>
      <c r="AW666" s="1">
        <f t="shared" si="947"/>
        <v>8</v>
      </c>
      <c r="AX666" s="1">
        <f t="shared" si="918"/>
        <v>0</v>
      </c>
      <c r="AY666" s="1">
        <f t="shared" si="941"/>
        <v>6</v>
      </c>
      <c r="AZ666" s="1">
        <f t="shared" si="919"/>
        <v>7</v>
      </c>
      <c r="BA666" s="1">
        <f>MIN(6,Q666+0)</f>
        <v>3</v>
      </c>
      <c r="BB666" s="1">
        <f t="shared" si="934"/>
        <v>5</v>
      </c>
      <c r="BC666" s="1">
        <f t="shared" si="948"/>
        <v>2</v>
      </c>
      <c r="BD666" s="1">
        <f t="shared" si="942"/>
        <v>0</v>
      </c>
      <c r="BE666" s="1">
        <f t="shared" si="935"/>
        <v>0</v>
      </c>
      <c r="BF666" s="1">
        <f>MIN(4,V666+0)</f>
        <v>2</v>
      </c>
      <c r="BG666" s="1">
        <f t="shared" si="939"/>
        <v>1</v>
      </c>
      <c r="BH666" s="1">
        <f t="shared" si="936"/>
        <v>1</v>
      </c>
      <c r="BI666" s="1">
        <f t="shared" si="940"/>
        <v>1</v>
      </c>
      <c r="BJ666" s="1">
        <f t="shared" si="946"/>
        <v>1</v>
      </c>
      <c r="BK666" s="1">
        <f t="shared" si="946"/>
        <v>1</v>
      </c>
      <c r="BL666" s="1">
        <f t="shared" si="908"/>
        <v>0</v>
      </c>
      <c r="BM666" s="1">
        <f t="shared" si="906"/>
        <v>0</v>
      </c>
      <c r="BN666" s="1">
        <f t="shared" si="937"/>
        <v>1</v>
      </c>
      <c r="BO666" s="1">
        <f t="shared" si="938"/>
        <v>1</v>
      </c>
    </row>
    <row r="667" spans="1:67" ht="30.95" customHeight="1">
      <c r="A667" s="1">
        <f>18</f>
        <v>18</v>
      </c>
      <c r="B667" s="1">
        <f>固定流程!A19</f>
        <v>14</v>
      </c>
      <c r="C667" s="1">
        <f>21</f>
        <v>21</v>
      </c>
      <c r="D667" s="1">
        <f>1</f>
        <v>1</v>
      </c>
      <c r="E667" s="1">
        <f>固定流程!C19</f>
        <v>3</v>
      </c>
      <c r="F667" s="1">
        <f>固定流程!G19</f>
        <v>3</v>
      </c>
      <c r="G667" s="1" t="str">
        <f>固定流程!H19</f>
        <v>RHI_BUFF</v>
      </c>
      <c r="H667" s="1">
        <f>固定流程!F19</f>
        <v>1</v>
      </c>
      <c r="I667" s="1">
        <f>INDEX(配置与结果!$B$15:$B$18,F667)</f>
        <v>2597</v>
      </c>
      <c r="J667" s="1">
        <f>INDEX(配置与结果!$D$15:$D$18,F667)</f>
        <v>0.255</v>
      </c>
      <c r="K667" s="1">
        <f>INDEX(配置与结果!$E$15:$E$18,F667)</f>
        <v>1.55</v>
      </c>
      <c r="L667" s="1">
        <f>IF(AV666=1,IF(M667&gt;=10,2,1),IF(AV666=2,IF(AX666&lt;=1,0,2),0))</f>
        <v>2</v>
      </c>
      <c r="M667" s="1">
        <f>IF(AND(AV666=2,AX666&lt;=1),0,MIN(10,AW666+IF(AV666=1,3,0)))</f>
        <v>10</v>
      </c>
      <c r="N667" s="1">
        <f>IF(AND(AV666=1,M667&gt;=10),2,IF(AV666=2,MAX(0,AX666-1),0))</f>
        <v>2</v>
      </c>
      <c r="O667" s="1">
        <f t="shared" si="943"/>
        <v>6</v>
      </c>
      <c r="P667" s="1">
        <f>MIN(方案参数!$AI$21,AZ666+方案参数!$AJ$21+方案参数!$AK$21)</f>
        <v>7</v>
      </c>
      <c r="Q667" s="1">
        <f t="shared" si="921"/>
        <v>3</v>
      </c>
      <c r="R667" s="1">
        <f t="shared" si="922"/>
        <v>5</v>
      </c>
      <c r="S667" s="1">
        <f t="shared" si="923"/>
        <v>2</v>
      </c>
      <c r="T667" s="1">
        <f t="shared" si="924"/>
        <v>0</v>
      </c>
      <c r="U667" s="1">
        <f t="shared" si="925"/>
        <v>0</v>
      </c>
      <c r="V667" s="1">
        <f t="shared" si="926"/>
        <v>2</v>
      </c>
      <c r="W667" s="1">
        <f t="shared" si="927"/>
        <v>1</v>
      </c>
      <c r="X667" s="1">
        <f t="shared" si="928"/>
        <v>1</v>
      </c>
      <c r="Y667" s="1">
        <f t="shared" si="929"/>
        <v>1</v>
      </c>
      <c r="Z667" s="1">
        <f t="shared" si="930"/>
        <v>1</v>
      </c>
      <c r="AA667" s="1">
        <f t="shared" si="945"/>
        <v>1</v>
      </c>
      <c r="AB667" s="1">
        <f t="shared" si="932"/>
        <v>0</v>
      </c>
      <c r="AC667" s="1">
        <f t="shared" si="933"/>
        <v>0</v>
      </c>
      <c r="AD667" s="1">
        <f>ROUNDDOWN(I667*(1+IF(F667=3,0.05+方案参数!$Y$21+AA667*0.12,IF(F667=4,方案参数!$BZ$21*方案参数!$AS$21,0)))+IF(AND(X667=1,F667&lt;&gt;3),方案参数!$CC$21,0)+AC667*方案参数!$CB$21,0)</f>
        <v>3298</v>
      </c>
      <c r="AE667" s="1">
        <f>IF(OR(F667=1,F667=4),配置与结果!$B$24,配置与结果!$B$25)*MAX(0,1-INDEX(配置与结果!$I$15:$I$18,F667))</f>
        <v>1000</v>
      </c>
      <c r="AF667" s="1">
        <f>0</f>
        <v>0</v>
      </c>
      <c r="AG667" s="1">
        <f>MAX(配置与结果!$B$32,1+INDEX(配置与结果!$F$15:$F$18,F667)+0+Q667*方案参数!$W$21+Y667*(方案参数!$AN$21+MIN(方案参数!$AO$21,P667*0.03))+AB667*方案参数!$BZ$21*0.025-配置与结果!$B$28)</f>
        <v>1.105</v>
      </c>
      <c r="AH667" s="1">
        <f>MAX(0,1+INDEX(配置与结果!$G$15:$G$18,F667)+W667*方案参数!$AG$21)</f>
        <v>1.45</v>
      </c>
      <c r="AI667" s="1">
        <f>IF(OR(INDEX(配置与结果!$K$15:$K$18,F667)=1,G667="RHI_BERRY"),1+配置与结果!$B$33+P667*方案参数!$AH$21,1)</f>
        <v>1</v>
      </c>
      <c r="AJ667" s="1">
        <f>MIN(1,MAX(0,J667+方案参数!$AB$21-配置与结果!$B$27))</f>
        <v>0.55499999999999994</v>
      </c>
      <c r="AK667" s="1">
        <f>MAX(1,K667+IF(F667=2,0.15+方案参数!$CH$21,0)+BN667*方案参数!$X$21+R667*方案参数!$AA$21+0-配置与结果!$B$26+Z667*(方案参数!$AP$21+MIN(方案参数!$AQ$21,P667*0.03)))</f>
        <v>1.7400000000000002</v>
      </c>
      <c r="AL667" s="7">
        <f>ROUNDDOWN(MAX(AD667*配置与结果!$B$31,AD667-AE667)*AF667*AG667*AH667*AI667,0)</f>
        <v>0</v>
      </c>
      <c r="AM667" s="7">
        <f>ROUNDDOWN(MAX(AD667*配置与结果!$B$31,AD667-AE667)*AF667*AG667*AH667*AI667*AK667,0)</f>
        <v>0</v>
      </c>
      <c r="AN667" s="7">
        <f t="shared" si="912"/>
        <v>0</v>
      </c>
      <c r="AO667" s="7">
        <f>0</f>
        <v>0</v>
      </c>
      <c r="AP667" s="7">
        <f>MAX(0,1+INDEX(配置与结果!$J$15:$J$18,F667)+IF(T667&gt;0,方案参数!$BY$21,0)-配置与结果!$B$30)</f>
        <v>1</v>
      </c>
      <c r="AQ667" s="7">
        <f t="shared" si="913"/>
        <v>0</v>
      </c>
      <c r="AR667" s="7">
        <f t="shared" si="914"/>
        <v>0</v>
      </c>
      <c r="AS667" s="7">
        <f t="shared" si="915"/>
        <v>0</v>
      </c>
      <c r="AT667" s="7">
        <f>0</f>
        <v>0</v>
      </c>
      <c r="AU667" s="7">
        <f t="shared" si="916"/>
        <v>0</v>
      </c>
      <c r="AV667" s="1">
        <f t="shared" si="917"/>
        <v>2</v>
      </c>
      <c r="AW667" s="1">
        <f t="shared" si="947"/>
        <v>10</v>
      </c>
      <c r="AX667" s="1">
        <f t="shared" si="918"/>
        <v>2</v>
      </c>
      <c r="AY667" s="1">
        <f t="shared" si="941"/>
        <v>6</v>
      </c>
      <c r="AZ667" s="1">
        <f t="shared" si="919"/>
        <v>7</v>
      </c>
      <c r="BA667" s="1">
        <f>MIN(6,Q667+1)</f>
        <v>4</v>
      </c>
      <c r="BB667" s="1">
        <f t="shared" si="934"/>
        <v>5</v>
      </c>
      <c r="BC667" s="1">
        <f t="shared" si="948"/>
        <v>2</v>
      </c>
      <c r="BD667" s="1">
        <f t="shared" si="942"/>
        <v>0</v>
      </c>
      <c r="BE667" s="1">
        <f t="shared" si="935"/>
        <v>0</v>
      </c>
      <c r="BF667" s="1">
        <f>MIN(4,V667+0)</f>
        <v>2</v>
      </c>
      <c r="BG667" s="1">
        <f>MAX(W667,1)</f>
        <v>1</v>
      </c>
      <c r="BH667" s="1">
        <f t="shared" si="936"/>
        <v>1</v>
      </c>
      <c r="BI667" s="1">
        <f>MAX(Y667,1)</f>
        <v>1</v>
      </c>
      <c r="BJ667" s="1">
        <f t="shared" si="946"/>
        <v>1</v>
      </c>
      <c r="BK667" s="1">
        <f t="shared" si="946"/>
        <v>1</v>
      </c>
      <c r="BL667" s="1">
        <f t="shared" si="908"/>
        <v>0</v>
      </c>
      <c r="BM667" s="1">
        <f t="shared" si="906"/>
        <v>0</v>
      </c>
      <c r="BN667" s="1">
        <f t="shared" si="937"/>
        <v>1</v>
      </c>
      <c r="BO667" s="1">
        <f t="shared" si="938"/>
        <v>1</v>
      </c>
    </row>
    <row r="668" spans="1:67" ht="30.95" customHeight="1">
      <c r="A668" s="1">
        <f>18</f>
        <v>18</v>
      </c>
      <c r="B668" s="1">
        <f>固定流程!A20</f>
        <v>15</v>
      </c>
      <c r="C668" s="1">
        <f>21</f>
        <v>21</v>
      </c>
      <c r="D668" s="1">
        <f>1</f>
        <v>1</v>
      </c>
      <c r="E668" s="1">
        <f>固定流程!C20</f>
        <v>3</v>
      </c>
      <c r="F668" s="1">
        <f>固定流程!G20</f>
        <v>3</v>
      </c>
      <c r="G668" s="1" t="str">
        <f>固定流程!H20</f>
        <v>RHI_ATTACK</v>
      </c>
      <c r="H668" s="1">
        <f>固定流程!F20</f>
        <v>1</v>
      </c>
      <c r="I668" s="1">
        <f>INDEX(配置与结果!$B$15:$B$18,F668)</f>
        <v>2597</v>
      </c>
      <c r="J668" s="1">
        <f>INDEX(配置与结果!$D$15:$D$18,F668)</f>
        <v>0.255</v>
      </c>
      <c r="K668" s="1">
        <f>INDEX(配置与结果!$E$15:$E$18,F668)</f>
        <v>1.55</v>
      </c>
      <c r="L668" s="1">
        <f t="shared" ref="L668:L689" si="949">AV667</f>
        <v>2</v>
      </c>
      <c r="M668" s="1">
        <f t="shared" ref="M668:M689" si="950">AW667</f>
        <v>10</v>
      </c>
      <c r="N668" s="1">
        <f t="shared" ref="N668:N689" si="951">AX667</f>
        <v>2</v>
      </c>
      <c r="O668" s="1">
        <f t="shared" si="943"/>
        <v>6</v>
      </c>
      <c r="P668" s="1">
        <f>MIN(方案参数!$AI$21,AZ667+0+方案参数!$AK$21)</f>
        <v>7</v>
      </c>
      <c r="Q668" s="1">
        <f t="shared" si="921"/>
        <v>4</v>
      </c>
      <c r="R668" s="1">
        <f t="shared" si="922"/>
        <v>5</v>
      </c>
      <c r="S668" s="1">
        <f t="shared" si="923"/>
        <v>2</v>
      </c>
      <c r="T668" s="1">
        <f t="shared" si="924"/>
        <v>0</v>
      </c>
      <c r="U668" s="1">
        <f t="shared" si="925"/>
        <v>0</v>
      </c>
      <c r="V668" s="1">
        <f t="shared" si="926"/>
        <v>2</v>
      </c>
      <c r="W668" s="1">
        <f t="shared" si="927"/>
        <v>1</v>
      </c>
      <c r="X668" s="1">
        <f t="shared" si="928"/>
        <v>1</v>
      </c>
      <c r="Y668" s="1">
        <f t="shared" si="929"/>
        <v>1</v>
      </c>
      <c r="Z668" s="1">
        <f t="shared" si="930"/>
        <v>1</v>
      </c>
      <c r="AA668" s="1">
        <f>MAX(BK667,1)</f>
        <v>1</v>
      </c>
      <c r="AB668" s="1">
        <f t="shared" si="932"/>
        <v>0</v>
      </c>
      <c r="AC668" s="1">
        <f t="shared" si="933"/>
        <v>0</v>
      </c>
      <c r="AD668" s="1">
        <f>ROUNDDOWN(I668*(1+IF(F668=3,0.05+方案参数!$Y$21+AA668*0.12,IF(F668=4,方案参数!$BZ$21*方案参数!$AS$21,0)))+IF(AND(X668=1,F668&lt;&gt;3),方案参数!$CC$21,0)+AC668*方案参数!$CB$21,0)</f>
        <v>3298</v>
      </c>
      <c r="AE668" s="1">
        <f>IF(OR(F668=1,F668=4),配置与结果!$B$24,配置与结果!$B$25)*MAX(0,1-INDEX(配置与结果!$I$15:$I$18,F668))</f>
        <v>1000</v>
      </c>
      <c r="AF668" s="1">
        <f>4</f>
        <v>4</v>
      </c>
      <c r="AG668" s="1">
        <f>MAX(配置与结果!$B$32,1+INDEX(配置与结果!$F$15:$F$18,F668)+0+Q668*方案参数!$W$21+Y668*(方案参数!$AN$21+MIN(方案参数!$AO$21,P668*0.03))+AB668*方案参数!$BZ$21*0.025-配置与结果!$B$28)</f>
        <v>1.125</v>
      </c>
      <c r="AH668" s="1">
        <f>MAX(0,1+INDEX(配置与结果!$G$15:$G$18,F668)+W668*方案参数!$AG$21)</f>
        <v>1.45</v>
      </c>
      <c r="AI668" s="1">
        <f>IF(OR(INDEX(配置与结果!$K$15:$K$18,F668)=1,G668="RHI_BERRY"),1+配置与结果!$B$33+P668*方案参数!$AH$21,1)</f>
        <v>1</v>
      </c>
      <c r="AJ668" s="1">
        <f>MIN(1,MAX(0,J668+方案参数!$AB$21-配置与结果!$B$27))</f>
        <v>0.55499999999999994</v>
      </c>
      <c r="AK668" s="1">
        <f>MAX(1,K668+IF(F668=2,0.15+方案参数!$CH$21,0)+BN668*方案参数!$X$21+R668*方案参数!$AA$21+0-配置与结果!$B$26+Z668*(方案参数!$AP$21+MIN(方案参数!$AQ$21,P668*0.03)))</f>
        <v>1.7400000000000002</v>
      </c>
      <c r="AL668" s="7">
        <f>ROUNDDOWN(MAX(AD668*配置与结果!$B$31,AD668-AE668)*AF668*AG668*AH668*AI668,0)</f>
        <v>14994</v>
      </c>
      <c r="AM668" s="7">
        <f>ROUNDDOWN(MAX(AD668*配置与结果!$B$31,AD668-AE668)*AF668*AG668*AH668*AI668*AK668,0)</f>
        <v>26090</v>
      </c>
      <c r="AN668" s="7">
        <f t="shared" si="912"/>
        <v>21152.28</v>
      </c>
      <c r="AO668" s="7">
        <f>0</f>
        <v>0</v>
      </c>
      <c r="AP668" s="7">
        <f>MAX(0,1+INDEX(配置与结果!$J$15:$J$18,F668)+IF(T668&gt;0,方案参数!$BY$21,0)-配置与结果!$B$30)</f>
        <v>1</v>
      </c>
      <c r="AQ668" s="7">
        <f t="shared" si="913"/>
        <v>0</v>
      </c>
      <c r="AR668" s="7">
        <f t="shared" si="914"/>
        <v>0</v>
      </c>
      <c r="AS668" s="7">
        <f t="shared" si="915"/>
        <v>0</v>
      </c>
      <c r="AT668" s="7">
        <f>0</f>
        <v>0</v>
      </c>
      <c r="AU668" s="7">
        <f t="shared" si="916"/>
        <v>21152.28</v>
      </c>
      <c r="AV668" s="1">
        <f t="shared" si="917"/>
        <v>2</v>
      </c>
      <c r="AW668" s="1">
        <f t="shared" si="947"/>
        <v>10</v>
      </c>
      <c r="AX668" s="1">
        <f t="shared" si="918"/>
        <v>2</v>
      </c>
      <c r="AY668" s="1">
        <f t="shared" si="941"/>
        <v>6</v>
      </c>
      <c r="AZ668" s="1">
        <f t="shared" si="919"/>
        <v>7</v>
      </c>
      <c r="BA668" s="1">
        <f>MIN(6,Q668+1)</f>
        <v>5</v>
      </c>
      <c r="BB668" s="1">
        <f t="shared" si="934"/>
        <v>5</v>
      </c>
      <c r="BC668" s="1">
        <f t="shared" si="948"/>
        <v>2</v>
      </c>
      <c r="BD668" s="1">
        <f t="shared" si="942"/>
        <v>0</v>
      </c>
      <c r="BE668" s="1">
        <f t="shared" si="935"/>
        <v>0</v>
      </c>
      <c r="BF668" s="1">
        <f>MIN(4,V668+0)</f>
        <v>2</v>
      </c>
      <c r="BG668" s="1">
        <f t="shared" ref="BG668:BG690" si="952">MAX(W668,0)</f>
        <v>1</v>
      </c>
      <c r="BH668" s="1">
        <f t="shared" si="936"/>
        <v>1</v>
      </c>
      <c r="BI668" s="1">
        <f t="shared" ref="BI668:BI690" si="953">MAX(Y668,0)</f>
        <v>1</v>
      </c>
      <c r="BJ668" s="1">
        <f>MAX(Z668,1)</f>
        <v>1</v>
      </c>
      <c r="BK668" s="1">
        <f>MAX(AA668,1)</f>
        <v>1</v>
      </c>
      <c r="BL668" s="1">
        <f t="shared" si="908"/>
        <v>0</v>
      </c>
      <c r="BM668" s="1">
        <f t="shared" si="906"/>
        <v>0</v>
      </c>
      <c r="BN668" s="1">
        <f t="shared" si="937"/>
        <v>1</v>
      </c>
      <c r="BO668" s="1">
        <f t="shared" si="938"/>
        <v>1</v>
      </c>
    </row>
    <row r="669" spans="1:67" ht="30.95" customHeight="1">
      <c r="A669" s="1">
        <f>18</f>
        <v>18</v>
      </c>
      <c r="B669" s="1">
        <f>固定流程!A21</f>
        <v>16</v>
      </c>
      <c r="C669" s="1">
        <f>21</f>
        <v>21</v>
      </c>
      <c r="D669" s="1">
        <f>1</f>
        <v>1</v>
      </c>
      <c r="E669" s="1">
        <f>固定流程!C21</f>
        <v>3</v>
      </c>
      <c r="F669" s="1">
        <f>固定流程!G21</f>
        <v>2</v>
      </c>
      <c r="G669" s="1" t="str">
        <f>固定流程!H21</f>
        <v>37_ULT</v>
      </c>
      <c r="H669" s="1">
        <f>固定流程!F21</f>
        <v>1</v>
      </c>
      <c r="I669" s="1">
        <f>INDEX(配置与结果!$B$15:$B$18,F669)</f>
        <v>2306</v>
      </c>
      <c r="J669" s="1">
        <f>INDEX(配置与结果!$D$15:$D$18,F669)</f>
        <v>0.46</v>
      </c>
      <c r="K669" s="1">
        <f>INDEX(配置与结果!$E$15:$E$18,F669)</f>
        <v>1.9279999999999999</v>
      </c>
      <c r="L669" s="1">
        <f t="shared" si="949"/>
        <v>2</v>
      </c>
      <c r="M669" s="1">
        <f t="shared" si="950"/>
        <v>10</v>
      </c>
      <c r="N669" s="1">
        <f t="shared" si="951"/>
        <v>2</v>
      </c>
      <c r="O669" s="1">
        <f t="shared" si="943"/>
        <v>6</v>
      </c>
      <c r="P669" s="1">
        <f>MIN(方案参数!$AI$21,AZ668+0+0)</f>
        <v>7</v>
      </c>
      <c r="Q669" s="1">
        <f t="shared" si="921"/>
        <v>5</v>
      </c>
      <c r="R669" s="1">
        <f t="shared" si="922"/>
        <v>5</v>
      </c>
      <c r="S669" s="1">
        <f t="shared" si="923"/>
        <v>2</v>
      </c>
      <c r="T669" s="1">
        <f>BD668+方案参数!$BX$21</f>
        <v>2</v>
      </c>
      <c r="U669" s="1">
        <f t="shared" si="925"/>
        <v>0</v>
      </c>
      <c r="V669" s="1">
        <f t="shared" si="926"/>
        <v>2</v>
      </c>
      <c r="W669" s="1">
        <f t="shared" si="927"/>
        <v>1</v>
      </c>
      <c r="X669" s="1">
        <f t="shared" si="928"/>
        <v>1</v>
      </c>
      <c r="Y669" s="1">
        <f t="shared" si="929"/>
        <v>1</v>
      </c>
      <c r="Z669" s="1">
        <f t="shared" si="930"/>
        <v>1</v>
      </c>
      <c r="AA669" s="1">
        <f t="shared" ref="AA669:AA689" si="954">MAX(BK668,0)</f>
        <v>1</v>
      </c>
      <c r="AB669" s="1">
        <f t="shared" si="932"/>
        <v>0</v>
      </c>
      <c r="AC669" s="1">
        <f>MAX(BM668,1)</f>
        <v>1</v>
      </c>
      <c r="AD669" s="1">
        <f>ROUNDDOWN(I669*(1+IF(F669=3,0.05+方案参数!$Y$21+AA669*0.12,IF(F669=4,方案参数!$BZ$21*方案参数!$AS$21,0)))+IF(AND(X669=1,F669&lt;&gt;3),方案参数!$CC$21,0)+AC669*方案参数!$CB$21,0)</f>
        <v>3104</v>
      </c>
      <c r="AE669" s="1">
        <f>IF(OR(F669=1,F669=4),配置与结果!$B$24,配置与结果!$B$25)*MAX(0,1-INDEX(配置与结果!$I$15:$I$18,F669))</f>
        <v>1000</v>
      </c>
      <c r="AF669" s="1">
        <f>0</f>
        <v>0</v>
      </c>
      <c r="AG669" s="1">
        <f>MAX(配置与结果!$B$32,1+INDEX(配置与结果!$F$15:$F$18,F669)+0+Q669*方案参数!$W$21+Y669*(方案参数!$AN$21+MIN(方案参数!$AO$21,P669*0.03))+AB669*方案参数!$BZ$21*0.025-配置与结果!$B$28)</f>
        <v>1.1150000000000002</v>
      </c>
      <c r="AH669" s="1">
        <f>MAX(0,1+INDEX(配置与结果!$G$15:$G$18,F669)+W669*方案参数!$AG$21)</f>
        <v>1.45</v>
      </c>
      <c r="AI669" s="1">
        <f>IF(OR(INDEX(配置与结果!$K$15:$K$18,F669)=1,G669="RHI_BERRY"),1+配置与结果!$B$33+P669*方案参数!$AH$21,1)</f>
        <v>1</v>
      </c>
      <c r="AJ669" s="1">
        <f>MIN(1,MAX(0,J669+方案参数!$AB$21-配置与结果!$B$27))</f>
        <v>0.76</v>
      </c>
      <c r="AK669" s="1">
        <f>MAX(1,K669+IF(F669=2,0.15+方案参数!$CH$21,0)+BN669*方案参数!$X$21+R669*方案参数!$AA$21+0-配置与结果!$B$26+Z669*(方案参数!$AP$21+MIN(方案参数!$AQ$21,P669*0.03)))</f>
        <v>2.3880000000000003</v>
      </c>
      <c r="AL669" s="7">
        <f>ROUNDDOWN(MAX(AD669*配置与结果!$B$31,AD669-AE669)*AF669*AG669*AH669*AI669,0)</f>
        <v>0</v>
      </c>
      <c r="AM669" s="7">
        <f>ROUNDDOWN(MAX(AD669*配置与结果!$B$31,AD669-AE669)*AF669*AG669*AH669*AI669*AK669,0)</f>
        <v>0</v>
      </c>
      <c r="AN669" s="7">
        <f t="shared" si="912"/>
        <v>0</v>
      </c>
      <c r="AO669" s="7">
        <f>0</f>
        <v>0</v>
      </c>
      <c r="AP669" s="7">
        <f>MAX(0,1+INDEX(配置与结果!$J$15:$J$18,F669)+IF(T669&gt;0,方案参数!$BY$21,0)-配置与结果!$B$30)</f>
        <v>2</v>
      </c>
      <c r="AQ669" s="7">
        <f t="shared" si="913"/>
        <v>0</v>
      </c>
      <c r="AR669" s="7">
        <f t="shared" si="914"/>
        <v>0</v>
      </c>
      <c r="AS669" s="7">
        <f t="shared" si="915"/>
        <v>0</v>
      </c>
      <c r="AT669" s="7">
        <f>0</f>
        <v>0</v>
      </c>
      <c r="AU669" s="7">
        <f t="shared" si="916"/>
        <v>0</v>
      </c>
      <c r="AV669" s="1">
        <f t="shared" si="917"/>
        <v>2</v>
      </c>
      <c r="AW669" s="1">
        <f t="shared" si="947"/>
        <v>10</v>
      </c>
      <c r="AX669" s="1">
        <f t="shared" si="918"/>
        <v>2</v>
      </c>
      <c r="AY669" s="1">
        <f t="shared" si="941"/>
        <v>6</v>
      </c>
      <c r="AZ669" s="1">
        <f t="shared" si="919"/>
        <v>7</v>
      </c>
      <c r="BA669" s="1">
        <f t="shared" ref="BA669:BA689" si="955">MIN(6,Q669+0)</f>
        <v>5</v>
      </c>
      <c r="BB669" s="1">
        <f>MIN(30,R669+5)</f>
        <v>10</v>
      </c>
      <c r="BC669" s="1">
        <f t="shared" si="948"/>
        <v>2</v>
      </c>
      <c r="BD669" s="1">
        <f t="shared" si="942"/>
        <v>2</v>
      </c>
      <c r="BE669" s="1">
        <f t="shared" si="935"/>
        <v>0</v>
      </c>
      <c r="BF669" s="1">
        <f>MIN(4,V669+0)</f>
        <v>2</v>
      </c>
      <c r="BG669" s="1">
        <f t="shared" si="952"/>
        <v>1</v>
      </c>
      <c r="BH669" s="1">
        <f t="shared" si="936"/>
        <v>1</v>
      </c>
      <c r="BI669" s="1">
        <f t="shared" si="953"/>
        <v>1</v>
      </c>
      <c r="BJ669" s="1">
        <f t="shared" ref="BJ669:BJ696" si="956">MAX(Z669,0)</f>
        <v>1</v>
      </c>
      <c r="BK669" s="1">
        <f t="shared" ref="BK669:BK696" si="957">MAX(AA669,0)</f>
        <v>1</v>
      </c>
      <c r="BL669" s="1">
        <f t="shared" si="908"/>
        <v>0</v>
      </c>
      <c r="BM669" s="1">
        <f>MAX(AC669,1)</f>
        <v>1</v>
      </c>
      <c r="BN669" s="1">
        <f t="shared" si="937"/>
        <v>1</v>
      </c>
      <c r="BO669" s="1">
        <f t="shared" si="938"/>
        <v>1</v>
      </c>
    </row>
    <row r="670" spans="1:67" ht="30.95" customHeight="1">
      <c r="A670" s="1">
        <f>18</f>
        <v>18</v>
      </c>
      <c r="B670" s="1">
        <f>固定流程!A22</f>
        <v>17</v>
      </c>
      <c r="C670" s="1">
        <f>21</f>
        <v>21</v>
      </c>
      <c r="D670" s="1">
        <f>1</f>
        <v>1</v>
      </c>
      <c r="E670" s="1">
        <f>固定流程!C22</f>
        <v>3</v>
      </c>
      <c r="F670" s="1">
        <f>固定流程!G22</f>
        <v>2</v>
      </c>
      <c r="G670" s="1" t="str">
        <f>固定流程!H22</f>
        <v>37_FOLLOW</v>
      </c>
      <c r="H670" s="1">
        <f>固定流程!F22</f>
        <v>1</v>
      </c>
      <c r="I670" s="1">
        <f>INDEX(配置与结果!$B$15:$B$18,F670)</f>
        <v>2306</v>
      </c>
      <c r="J670" s="1">
        <f>INDEX(配置与结果!$D$15:$D$18,F670)</f>
        <v>0.46</v>
      </c>
      <c r="K670" s="1">
        <f>INDEX(配置与结果!$E$15:$E$18,F670)</f>
        <v>1.9279999999999999</v>
      </c>
      <c r="L670" s="1">
        <f t="shared" si="949"/>
        <v>2</v>
      </c>
      <c r="M670" s="1">
        <f t="shared" si="950"/>
        <v>10</v>
      </c>
      <c r="N670" s="1">
        <f t="shared" si="951"/>
        <v>2</v>
      </c>
      <c r="O670" s="1">
        <f t="shared" si="943"/>
        <v>6</v>
      </c>
      <c r="P670" s="1">
        <f>MIN(方案参数!$AI$21,AZ669+0+0)</f>
        <v>7</v>
      </c>
      <c r="Q670" s="1">
        <f t="shared" si="921"/>
        <v>5</v>
      </c>
      <c r="R670" s="1">
        <f t="shared" si="922"/>
        <v>10</v>
      </c>
      <c r="S670" s="1">
        <f t="shared" si="923"/>
        <v>2</v>
      </c>
      <c r="T670" s="1">
        <f t="shared" ref="T670:T689" si="958">BD669+0</f>
        <v>2</v>
      </c>
      <c r="U670" s="1">
        <f t="shared" si="925"/>
        <v>0</v>
      </c>
      <c r="V670" s="1">
        <f t="shared" si="926"/>
        <v>2</v>
      </c>
      <c r="W670" s="1">
        <f t="shared" si="927"/>
        <v>1</v>
      </c>
      <c r="X670" s="1">
        <f t="shared" si="928"/>
        <v>1</v>
      </c>
      <c r="Y670" s="1">
        <f t="shared" si="929"/>
        <v>1</v>
      </c>
      <c r="Z670" s="1">
        <f t="shared" si="930"/>
        <v>1</v>
      </c>
      <c r="AA670" s="1">
        <f t="shared" si="954"/>
        <v>1</v>
      </c>
      <c r="AB670" s="1">
        <f t="shared" si="932"/>
        <v>0</v>
      </c>
      <c r="AC670" s="1">
        <f t="shared" ref="AC670:AC689" si="959">MAX(BM669,0)</f>
        <v>1</v>
      </c>
      <c r="AD670" s="1">
        <f>ROUNDDOWN(I670*(1+IF(F670=3,0.05+方案参数!$Y$21+AA670*0.12,IF(F670=4,方案参数!$BZ$21*方案参数!$AS$21,0)))+IF(AND(X670=1,F670&lt;&gt;3),方案参数!$CC$21,0)+AC670*方案参数!$CB$21,0)</f>
        <v>3104</v>
      </c>
      <c r="AE670" s="1">
        <f>IF(OR(F670=1,F670=4),配置与结果!$B$24,配置与结果!$B$25)*MAX(0,1-INDEX(配置与结果!$I$15:$I$18,F670))</f>
        <v>1000</v>
      </c>
      <c r="AF670" s="1">
        <f>方案参数!$BV$21</f>
        <v>3</v>
      </c>
      <c r="AG670" s="1">
        <f>MAX(配置与结果!$B$32,1+INDEX(配置与结果!$F$15:$F$18,F670)+0+Q670*方案参数!$W$21+Y670*(方案参数!$AN$21+MIN(方案参数!$AO$21,P670*0.03))+AB670*方案参数!$BZ$21*0.025-配置与结果!$B$28)</f>
        <v>1.1150000000000002</v>
      </c>
      <c r="AH670" s="1">
        <f>MAX(0,1+INDEX(配置与结果!$G$15:$G$18,F670)+W670*方案参数!$AG$21)</f>
        <v>1.45</v>
      </c>
      <c r="AI670" s="1">
        <f>IF(OR(INDEX(配置与结果!$K$15:$K$18,F670)=1,G670="RHI_BERRY"),1+配置与结果!$B$33+P670*方案参数!$AH$21,1)</f>
        <v>1</v>
      </c>
      <c r="AJ670" s="1">
        <f>MIN(1,MAX(0,J670+方案参数!$AB$21-配置与结果!$B$27))</f>
        <v>0.76</v>
      </c>
      <c r="AK670" s="1">
        <f>MAX(1,K670+IF(F670=2,0.15+方案参数!$CH$21,0)+BN670*方案参数!$X$21+R670*方案参数!$AA$21+0-配置与结果!$B$26+Z670*(方案参数!$AP$21+MIN(方案参数!$AQ$21,P670*0.03)))</f>
        <v>2.4080000000000004</v>
      </c>
      <c r="AL670" s="7">
        <f>ROUNDDOWN(MAX(AD670*配置与结果!$B$31,AD670-AE670)*AF670*AG670*AH670*AI670,0)</f>
        <v>10204</v>
      </c>
      <c r="AM670" s="7">
        <f>ROUNDDOWN(MAX(AD670*配置与结果!$B$31,AD670-AE670)*AF670*AG670*AH670*AI670*AK670,0)</f>
        <v>24573</v>
      </c>
      <c r="AN670" s="7">
        <f t="shared" si="912"/>
        <v>21124.44</v>
      </c>
      <c r="AO670" s="7">
        <f>方案参数!$BW$21</f>
        <v>1</v>
      </c>
      <c r="AP670" s="7">
        <f>MAX(0,1+INDEX(配置与结果!$J$15:$J$18,F670)+IF(T670&gt;0,方案参数!$BY$21,0)-配置与结果!$B$30)</f>
        <v>2</v>
      </c>
      <c r="AQ670" s="7">
        <f t="shared" si="913"/>
        <v>6208</v>
      </c>
      <c r="AR670" s="7">
        <f t="shared" si="914"/>
        <v>14948</v>
      </c>
      <c r="AS670" s="7">
        <f t="shared" si="915"/>
        <v>12850.4</v>
      </c>
      <c r="AT670" s="7">
        <f>0</f>
        <v>0</v>
      </c>
      <c r="AU670" s="7">
        <f t="shared" si="916"/>
        <v>33974.839999999997</v>
      </c>
      <c r="AV670" s="1">
        <f t="shared" si="917"/>
        <v>2</v>
      </c>
      <c r="AW670" s="1">
        <f t="shared" si="947"/>
        <v>10</v>
      </c>
      <c r="AX670" s="1">
        <f t="shared" si="918"/>
        <v>2</v>
      </c>
      <c r="AY670" s="1">
        <f t="shared" si="941"/>
        <v>6</v>
      </c>
      <c r="AZ670" s="1">
        <f t="shared" si="919"/>
        <v>7</v>
      </c>
      <c r="BA670" s="1">
        <f t="shared" si="955"/>
        <v>5</v>
      </c>
      <c r="BB670" s="1">
        <f>MIN(30,R670+0)</f>
        <v>10</v>
      </c>
      <c r="BC670" s="1">
        <f t="shared" si="948"/>
        <v>2</v>
      </c>
      <c r="BD670" s="1">
        <f t="shared" si="942"/>
        <v>1</v>
      </c>
      <c r="BE670" s="1">
        <f t="shared" si="935"/>
        <v>0</v>
      </c>
      <c r="BF670" s="1">
        <f>MIN(4,V670+1)</f>
        <v>3</v>
      </c>
      <c r="BG670" s="1">
        <f t="shared" si="952"/>
        <v>1</v>
      </c>
      <c r="BH670" s="1">
        <f t="shared" si="936"/>
        <v>1</v>
      </c>
      <c r="BI670" s="1">
        <f t="shared" si="953"/>
        <v>1</v>
      </c>
      <c r="BJ670" s="1">
        <f t="shared" si="956"/>
        <v>1</v>
      </c>
      <c r="BK670" s="1">
        <f t="shared" si="957"/>
        <v>1</v>
      </c>
      <c r="BL670" s="1">
        <f t="shared" si="908"/>
        <v>0</v>
      </c>
      <c r="BM670" s="1">
        <f t="shared" ref="BM670:BM704" si="960">MAX(AC670,0)</f>
        <v>1</v>
      </c>
      <c r="BN670" s="1">
        <f t="shared" si="937"/>
        <v>1</v>
      </c>
      <c r="BO670" s="1">
        <f t="shared" si="938"/>
        <v>1</v>
      </c>
    </row>
    <row r="671" spans="1:67" ht="30.95" customHeight="1">
      <c r="A671" s="1">
        <f>18</f>
        <v>18</v>
      </c>
      <c r="B671" s="1">
        <f>固定流程!A23</f>
        <v>18</v>
      </c>
      <c r="C671" s="1">
        <f>21</f>
        <v>21</v>
      </c>
      <c r="D671" s="1">
        <f>1</f>
        <v>1</v>
      </c>
      <c r="E671" s="1">
        <f>固定流程!C23</f>
        <v>3</v>
      </c>
      <c r="F671" s="1">
        <f>固定流程!G23</f>
        <v>4</v>
      </c>
      <c r="G671" s="1" t="str">
        <f>固定流程!H23</f>
        <v>J_HARD</v>
      </c>
      <c r="H671" s="1">
        <f>固定流程!F23</f>
        <v>1</v>
      </c>
      <c r="I671" s="1">
        <f>INDEX(配置与结果!$B$15:$B$18,F671)</f>
        <v>1906</v>
      </c>
      <c r="J671" s="1">
        <f>INDEX(配置与结果!$D$15:$D$18,F671)</f>
        <v>0.36699999999999999</v>
      </c>
      <c r="K671" s="1">
        <f>INDEX(配置与结果!$E$15:$E$18,F671)</f>
        <v>1.7170000000000001</v>
      </c>
      <c r="L671" s="1">
        <f t="shared" si="949"/>
        <v>2</v>
      </c>
      <c r="M671" s="1">
        <f t="shared" si="950"/>
        <v>10</v>
      </c>
      <c r="N671" s="1">
        <f t="shared" si="951"/>
        <v>2</v>
      </c>
      <c r="O671" s="1">
        <f t="shared" si="943"/>
        <v>6</v>
      </c>
      <c r="P671" s="1">
        <f>MIN(方案参数!$AI$21,AZ670+0+0)</f>
        <v>7</v>
      </c>
      <c r="Q671" s="1">
        <f t="shared" si="921"/>
        <v>5</v>
      </c>
      <c r="R671" s="1">
        <f t="shared" si="922"/>
        <v>10</v>
      </c>
      <c r="S671" s="1">
        <f t="shared" si="923"/>
        <v>2</v>
      </c>
      <c r="T671" s="1">
        <f t="shared" si="958"/>
        <v>1</v>
      </c>
      <c r="U671" s="1">
        <f t="shared" si="925"/>
        <v>0</v>
      </c>
      <c r="V671" s="1">
        <f t="shared" si="926"/>
        <v>3</v>
      </c>
      <c r="W671" s="1">
        <f t="shared" si="927"/>
        <v>1</v>
      </c>
      <c r="X671" s="1">
        <f t="shared" si="928"/>
        <v>1</v>
      </c>
      <c r="Y671" s="1">
        <f t="shared" si="929"/>
        <v>1</v>
      </c>
      <c r="Z671" s="1">
        <f t="shared" si="930"/>
        <v>1</v>
      </c>
      <c r="AA671" s="1">
        <f t="shared" si="954"/>
        <v>1</v>
      </c>
      <c r="AB671" s="1">
        <f t="shared" si="932"/>
        <v>0</v>
      </c>
      <c r="AC671" s="1">
        <f t="shared" si="959"/>
        <v>1</v>
      </c>
      <c r="AD671" s="1">
        <f>ROUNDDOWN(I671*(1+IF(F671=3,0.05+方案参数!$Y$21+AA671*0.12,IF(F671=4,方案参数!$BZ$21*方案参数!$AS$21,0)))+IF(AND(X671=1,F671&lt;&gt;3),方案参数!$CC$21,0)+AC671*方案参数!$CB$21,0)</f>
        <v>3371</v>
      </c>
      <c r="AE671" s="1">
        <f>IF(OR(F671=1,F671=4),配置与结果!$B$24,配置与结果!$B$25)*MAX(0,1-INDEX(配置与结果!$I$15:$I$18,F671))</f>
        <v>1200</v>
      </c>
      <c r="AF671" s="1">
        <f>3.6*IF(H671=1,1,IF(H671=2,1.5,2.5))</f>
        <v>3.6</v>
      </c>
      <c r="AG671" s="1">
        <f>MAX(配置与结果!$B$32,1+INDEX(配置与结果!$F$15:$F$18,F671)+0.08+Q671*方案参数!$W$21+Y671*(方案参数!$AN$21+MIN(方案参数!$AO$21,P671*0.03))+AB671*方案参数!$BZ$21*0.025+0.1+IF(方案参数!$BZ$21&gt;=30,方案参数!$BZ$21*0.01,0)-配置与结果!$B$28)</f>
        <v>1.6650000000000005</v>
      </c>
      <c r="AH671" s="1">
        <f>MAX(0,1+INDEX(配置与结果!$G$15:$G$18,F671)+W671*方案参数!$AG$21)</f>
        <v>1.45</v>
      </c>
      <c r="AI671" s="1">
        <f>IF(OR(INDEX(配置与结果!$K$15:$K$18,F671)=1,G671="RHI_BERRY"),1+配置与结果!$B$33+P671*方案参数!$AH$21,1)</f>
        <v>1</v>
      </c>
      <c r="AJ671" s="1">
        <f>MIN(1,MAX(0,J671+方案参数!$AB$21-配置与结果!$B$27))</f>
        <v>0.66700000000000004</v>
      </c>
      <c r="AK671" s="1">
        <f>MAX(1,K671+IF(F671=2,0.15+方案参数!$CH$21,0)+BN671*方案参数!$X$21+R671*方案参数!$AA$21+0-配置与结果!$B$26+Z671*(方案参数!$AP$21+MIN(方案参数!$AQ$21,P671*0.03)))</f>
        <v>1.927</v>
      </c>
      <c r="AL671" s="7">
        <f>ROUNDDOWN(MAX(AD671*配置与结果!$B$31,AD671-AE671)*AF671*AG671*AH671*AI671,0)</f>
        <v>18868</v>
      </c>
      <c r="AM671" s="7">
        <f>ROUNDDOWN(MAX(AD671*配置与结果!$B$31,AD671-AE671)*AF671*AG671*AH671*AI671*AK671,0)</f>
        <v>36360</v>
      </c>
      <c r="AN671" s="7">
        <f t="shared" si="912"/>
        <v>30535.164000000001</v>
      </c>
      <c r="AO671" s="7">
        <f>0</f>
        <v>0</v>
      </c>
      <c r="AP671" s="7">
        <f>MAX(0,1+INDEX(配置与结果!$J$15:$J$18,F671)+IF(T671&gt;0,方案参数!$BY$21,0)-配置与结果!$B$30)</f>
        <v>2</v>
      </c>
      <c r="AQ671" s="7">
        <f t="shared" si="913"/>
        <v>0</v>
      </c>
      <c r="AR671" s="7">
        <f t="shared" si="914"/>
        <v>0</v>
      </c>
      <c r="AS671" s="7">
        <f t="shared" si="915"/>
        <v>0</v>
      </c>
      <c r="AT671" s="7">
        <f>0</f>
        <v>0</v>
      </c>
      <c r="AU671" s="7">
        <f t="shared" si="916"/>
        <v>30535.164000000001</v>
      </c>
      <c r="AV671" s="1">
        <f t="shared" si="917"/>
        <v>2</v>
      </c>
      <c r="AW671" s="1">
        <f t="shared" si="947"/>
        <v>10</v>
      </c>
      <c r="AX671" s="1">
        <f t="shared" si="918"/>
        <v>2</v>
      </c>
      <c r="AY671" s="1">
        <f t="shared" si="941"/>
        <v>6</v>
      </c>
      <c r="AZ671" s="1">
        <f t="shared" si="919"/>
        <v>7</v>
      </c>
      <c r="BA671" s="1">
        <f t="shared" si="955"/>
        <v>5</v>
      </c>
      <c r="BB671" s="1">
        <f>MIN(30,R671+0)</f>
        <v>10</v>
      </c>
      <c r="BC671" s="1">
        <f>MIN(3,S671+1)</f>
        <v>3</v>
      </c>
      <c r="BD671" s="1">
        <f t="shared" si="942"/>
        <v>1</v>
      </c>
      <c r="BE671" s="1">
        <f t="shared" si="935"/>
        <v>0</v>
      </c>
      <c r="BF671" s="1">
        <f>MIN(4,V671+0)</f>
        <v>3</v>
      </c>
      <c r="BG671" s="1">
        <f t="shared" si="952"/>
        <v>1</v>
      </c>
      <c r="BH671" s="1">
        <f t="shared" si="936"/>
        <v>1</v>
      </c>
      <c r="BI671" s="1">
        <f t="shared" si="953"/>
        <v>1</v>
      </c>
      <c r="BJ671" s="1">
        <f t="shared" si="956"/>
        <v>1</v>
      </c>
      <c r="BK671" s="1">
        <f t="shared" si="957"/>
        <v>1</v>
      </c>
      <c r="BL671" s="1">
        <f t="shared" si="908"/>
        <v>0</v>
      </c>
      <c r="BM671" s="1">
        <f t="shared" si="960"/>
        <v>1</v>
      </c>
      <c r="BN671" s="1">
        <f t="shared" si="937"/>
        <v>1</v>
      </c>
      <c r="BO671" s="1">
        <f t="shared" si="938"/>
        <v>1</v>
      </c>
    </row>
    <row r="672" spans="1:67" ht="30.95" customHeight="1">
      <c r="A672" s="1">
        <f>18</f>
        <v>18</v>
      </c>
      <c r="B672" s="1">
        <f>固定流程!A24</f>
        <v>19</v>
      </c>
      <c r="C672" s="1">
        <f>21</f>
        <v>21</v>
      </c>
      <c r="D672" s="1">
        <f>1</f>
        <v>1</v>
      </c>
      <c r="E672" s="1">
        <f>固定流程!C24</f>
        <v>3</v>
      </c>
      <c r="F672" s="1">
        <f>固定流程!G24</f>
        <v>4</v>
      </c>
      <c r="G672" s="1" t="str">
        <f>固定流程!H24</f>
        <v>J_ULT</v>
      </c>
      <c r="H672" s="1">
        <f>固定流程!F24</f>
        <v>1</v>
      </c>
      <c r="I672" s="1">
        <f>INDEX(配置与结果!$B$15:$B$18,F672)</f>
        <v>1906</v>
      </c>
      <c r="J672" s="1">
        <f>INDEX(配置与结果!$D$15:$D$18,F672)</f>
        <v>0.36699999999999999</v>
      </c>
      <c r="K672" s="1">
        <f>INDEX(配置与结果!$E$15:$E$18,F672)</f>
        <v>1.7170000000000001</v>
      </c>
      <c r="L672" s="1">
        <f t="shared" si="949"/>
        <v>2</v>
      </c>
      <c r="M672" s="1">
        <f t="shared" si="950"/>
        <v>10</v>
      </c>
      <c r="N672" s="1">
        <f t="shared" si="951"/>
        <v>2</v>
      </c>
      <c r="O672" s="1">
        <f t="shared" si="943"/>
        <v>6</v>
      </c>
      <c r="P672" s="1">
        <f>MIN(方案参数!$AI$21,AZ671+0+0)</f>
        <v>7</v>
      </c>
      <c r="Q672" s="1">
        <f t="shared" si="921"/>
        <v>5</v>
      </c>
      <c r="R672" s="1">
        <f t="shared" si="922"/>
        <v>10</v>
      </c>
      <c r="S672" s="1">
        <f t="shared" si="923"/>
        <v>3</v>
      </c>
      <c r="T672" s="1">
        <f t="shared" si="958"/>
        <v>1</v>
      </c>
      <c r="U672" s="1">
        <f t="shared" si="925"/>
        <v>0</v>
      </c>
      <c r="V672" s="1">
        <f t="shared" si="926"/>
        <v>3</v>
      </c>
      <c r="W672" s="1">
        <f t="shared" si="927"/>
        <v>1</v>
      </c>
      <c r="X672" s="1">
        <f t="shared" si="928"/>
        <v>1</v>
      </c>
      <c r="Y672" s="1">
        <f t="shared" si="929"/>
        <v>1</v>
      </c>
      <c r="Z672" s="1">
        <f t="shared" si="930"/>
        <v>1</v>
      </c>
      <c r="AA672" s="1">
        <f t="shared" si="954"/>
        <v>1</v>
      </c>
      <c r="AB672" s="1">
        <f t="shared" si="932"/>
        <v>0</v>
      </c>
      <c r="AC672" s="1">
        <f t="shared" si="959"/>
        <v>1</v>
      </c>
      <c r="AD672" s="1">
        <f>ROUNDDOWN(I672*(1+IF(F672=3,0.05+方案参数!$Y$21+AA672*0.12,IF(F672=4,方案参数!$BZ$21*方案参数!$AS$21,0)))+IF(AND(X672=1,F672&lt;&gt;3),方案参数!$CC$21,0)+AC672*方案参数!$CB$21,0)</f>
        <v>3371</v>
      </c>
      <c r="AE672" s="1">
        <f>IF(OR(F672=1,F672=4),配置与结果!$B$24,配置与结果!$B$25)*MAX(0,1-INDEX(配置与结果!$I$15:$I$18,F672))</f>
        <v>1200</v>
      </c>
      <c r="AF672" s="1">
        <f>方案参数!$AT$21+MAX(0,配置与结果!$H$26+方案参数!$BZ$21-30)*方案参数!$AU$21*配置与结果!$H$27</f>
        <v>42</v>
      </c>
      <c r="AG672" s="1">
        <f>MAX(配置与结果!$B$32,1+INDEX(配置与结果!$F$15:$F$18,F672)+0.08+Q672*方案参数!$W$21+Y672*(方案参数!$AN$21+MIN(方案参数!$AO$21,P672*0.03))+AB672*方案参数!$BZ$21*0.025-配置与结果!$B$28)</f>
        <v>1.2150000000000003</v>
      </c>
      <c r="AH672" s="1">
        <f>MAX(0,1+INDEX(配置与结果!$H$15:$H$18,F672)+W672*方案参数!$AG$21+S672*方案参数!$Z$21)</f>
        <v>1.5699999999999998</v>
      </c>
      <c r="AI672" s="1">
        <f>IF(OR(INDEX(配置与结果!$K$15:$K$18,F672)=1,G672="RHI_BERRY"),1+配置与结果!$B$33+P672*方案参数!$AH$21,1)</f>
        <v>1</v>
      </c>
      <c r="AJ672" s="1">
        <f>MIN(1,MAX(0,J672+方案参数!$AB$21-配置与结果!$B$27))</f>
        <v>0.66700000000000004</v>
      </c>
      <c r="AK672" s="1">
        <f>MAX(1,K672+IF(F672=2,0.15+方案参数!$CH$21,0)+BN672*方案参数!$X$21+R672*方案参数!$AA$21+0-配置与结果!$B$26+Z672*(方案参数!$AP$21+MIN(方案参数!$AQ$21,P672*0.03)))</f>
        <v>1.927</v>
      </c>
      <c r="AL672" s="7">
        <f>ROUNDDOWN(MAX(AD672*配置与结果!$B$31,AD672-AE672)*AF672*AG672*AH672*AI672,0)</f>
        <v>173934</v>
      </c>
      <c r="AM672" s="7">
        <f>ROUNDDOWN(MAX(AD672*配置与结果!$B$31,AD672-AE672)*AF672*AG672*AH672*AI672*AK672,0)</f>
        <v>335171</v>
      </c>
      <c r="AN672" s="7">
        <f t="shared" si="912"/>
        <v>281479.07899999997</v>
      </c>
      <c r="AO672" s="7">
        <f>0</f>
        <v>0</v>
      </c>
      <c r="AP672" s="7">
        <f>MAX(0,1+INDEX(配置与结果!$J$15:$J$18,F672)+IF(T672&gt;0,方案参数!$BY$21,0)-配置与结果!$B$30)</f>
        <v>2</v>
      </c>
      <c r="AQ672" s="7">
        <f t="shared" si="913"/>
        <v>0</v>
      </c>
      <c r="AR672" s="7">
        <f t="shared" si="914"/>
        <v>0</v>
      </c>
      <c r="AS672" s="7">
        <f t="shared" si="915"/>
        <v>0</v>
      </c>
      <c r="AT672" s="7">
        <f>0</f>
        <v>0</v>
      </c>
      <c r="AU672" s="7">
        <f t="shared" si="916"/>
        <v>281479.07899999997</v>
      </c>
      <c r="AV672" s="1">
        <f t="shared" si="917"/>
        <v>2</v>
      </c>
      <c r="AW672" s="1">
        <f t="shared" si="947"/>
        <v>10</v>
      </c>
      <c r="AX672" s="1">
        <f t="shared" si="918"/>
        <v>2</v>
      </c>
      <c r="AY672" s="1">
        <f t="shared" si="941"/>
        <v>6</v>
      </c>
      <c r="AZ672" s="1">
        <f t="shared" si="919"/>
        <v>7</v>
      </c>
      <c r="BA672" s="1">
        <f t="shared" si="955"/>
        <v>5</v>
      </c>
      <c r="BB672" s="1">
        <f>MIN(30,R672+5)</f>
        <v>15</v>
      </c>
      <c r="BC672" s="1">
        <f t="shared" ref="BC672:BC695" si="961">MIN(3,S672+0)</f>
        <v>3</v>
      </c>
      <c r="BD672" s="1">
        <f t="shared" si="942"/>
        <v>1</v>
      </c>
      <c r="BE672" s="1">
        <f t="shared" si="935"/>
        <v>0</v>
      </c>
      <c r="BF672" s="1">
        <f>MIN(4,V672+0)</f>
        <v>3</v>
      </c>
      <c r="BG672" s="1">
        <f t="shared" si="952"/>
        <v>1</v>
      </c>
      <c r="BH672" s="1">
        <f t="shared" si="936"/>
        <v>1</v>
      </c>
      <c r="BI672" s="1">
        <f t="shared" si="953"/>
        <v>1</v>
      </c>
      <c r="BJ672" s="1">
        <f t="shared" si="956"/>
        <v>1</v>
      </c>
      <c r="BK672" s="1">
        <f t="shared" si="957"/>
        <v>1</v>
      </c>
      <c r="BL672" s="1">
        <f>MAX(AB672,1)</f>
        <v>1</v>
      </c>
      <c r="BM672" s="1">
        <f t="shared" si="960"/>
        <v>1</v>
      </c>
      <c r="BN672" s="1">
        <f t="shared" si="937"/>
        <v>1</v>
      </c>
      <c r="BO672" s="1">
        <f t="shared" si="938"/>
        <v>1</v>
      </c>
    </row>
    <row r="673" spans="1:67" ht="30.95" customHeight="1">
      <c r="A673" s="1">
        <f>18</f>
        <v>18</v>
      </c>
      <c r="B673" s="1">
        <f>固定流程!A25</f>
        <v>20</v>
      </c>
      <c r="C673" s="1">
        <f>21</f>
        <v>21</v>
      </c>
      <c r="D673" s="1">
        <f>1</f>
        <v>1</v>
      </c>
      <c r="E673" s="1">
        <f>固定流程!C25</f>
        <v>3</v>
      </c>
      <c r="F673" s="1">
        <f>固定流程!G25</f>
        <v>1</v>
      </c>
      <c r="G673" s="1" t="str">
        <f>固定流程!H25</f>
        <v>LILYA_ULT</v>
      </c>
      <c r="H673" s="1">
        <f>固定流程!F25</f>
        <v>1</v>
      </c>
      <c r="I673" s="1">
        <f>INDEX(配置与结果!$B$15:$B$18,F673)</f>
        <v>2296</v>
      </c>
      <c r="J673" s="1">
        <f>INDEX(配置与结果!$D$15:$D$18,F673)</f>
        <v>0.7</v>
      </c>
      <c r="K673" s="1">
        <f>INDEX(配置与结果!$E$15:$E$18,F673)</f>
        <v>2.0249999999999999</v>
      </c>
      <c r="L673" s="1">
        <f t="shared" si="949"/>
        <v>2</v>
      </c>
      <c r="M673" s="1">
        <f t="shared" si="950"/>
        <v>10</v>
      </c>
      <c r="N673" s="1">
        <f t="shared" si="951"/>
        <v>2</v>
      </c>
      <c r="O673" s="1">
        <f t="shared" si="943"/>
        <v>6</v>
      </c>
      <c r="P673" s="1">
        <f>MIN(方案参数!$AI$21,AZ672+0+0)</f>
        <v>7</v>
      </c>
      <c r="Q673" s="1">
        <f t="shared" si="921"/>
        <v>5</v>
      </c>
      <c r="R673" s="1">
        <f t="shared" si="922"/>
        <v>15</v>
      </c>
      <c r="S673" s="1">
        <f t="shared" si="923"/>
        <v>3</v>
      </c>
      <c r="T673" s="1">
        <f t="shared" si="958"/>
        <v>1</v>
      </c>
      <c r="U673" s="1">
        <f t="shared" si="925"/>
        <v>0</v>
      </c>
      <c r="V673" s="1">
        <f t="shared" si="926"/>
        <v>3</v>
      </c>
      <c r="W673" s="1">
        <f t="shared" si="927"/>
        <v>1</v>
      </c>
      <c r="X673" s="1">
        <f t="shared" si="928"/>
        <v>1</v>
      </c>
      <c r="Y673" s="1">
        <f t="shared" si="929"/>
        <v>1</v>
      </c>
      <c r="Z673" s="1">
        <f t="shared" si="930"/>
        <v>1</v>
      </c>
      <c r="AA673" s="1">
        <f t="shared" si="954"/>
        <v>1</v>
      </c>
      <c r="AB673" s="1">
        <f t="shared" si="932"/>
        <v>1</v>
      </c>
      <c r="AC673" s="1">
        <f t="shared" si="959"/>
        <v>1</v>
      </c>
      <c r="AD673" s="1">
        <f>ROUNDDOWN(I673*(1+IF(F673=3,0.05+方案参数!$Y$21+AA673*0.12,IF(F673=4,方案参数!$BZ$21*方案参数!$AS$21,0)))+IF(AND(X673=1,F673&lt;&gt;3),方案参数!$CC$21,0)+AC673*方案参数!$CB$21,0)</f>
        <v>3094</v>
      </c>
      <c r="AE673" s="1">
        <f>IF(OR(F673=1,F673=4),配置与结果!$B$24,配置与结果!$B$25)*MAX(0,1-INDEX(配置与结果!$I$15:$I$18,F673)+IF(O673&gt;=6,方案参数!$BK$21,0))</f>
        <v>1440</v>
      </c>
      <c r="AF673" s="1">
        <f>方案参数!$BG$21+IF(O673&gt;=6,方案参数!$BH$21,0)</f>
        <v>36</v>
      </c>
      <c r="AG673" s="1">
        <f>MAX(配置与结果!$B$32,1+INDEX(配置与结果!$F$15:$F$18,F673)+0.08+方案参数!$CD$21+Q673*方案参数!$W$21+Y673*(方案参数!$AN$21+MIN(方案参数!$AO$21,P673*0.03))+AB673*方案参数!$BZ$21*0.025-配置与结果!$B$28)</f>
        <v>2.3250000000000002</v>
      </c>
      <c r="AH673" s="1">
        <f>MAX(0,1+INDEX(配置与结果!$H$15:$H$18,F673)+W673*方案参数!$AG$21+O673*方案参数!$BF$21+IF(O673&gt;=6,方案参数!$BI$21,0))</f>
        <v>2.6</v>
      </c>
      <c r="AI673" s="1">
        <f>IF(OR(INDEX(配置与结果!$K$15:$K$18,F673)=1,G673="RHI_BERRY"),1+配置与结果!$B$33+P673*方案参数!$AH$21,1)</f>
        <v>1</v>
      </c>
      <c r="AJ673" s="1">
        <f>MIN(1,MAX(0,J673+方案参数!$AB$21-配置与结果!$B$27))</f>
        <v>1</v>
      </c>
      <c r="AK673" s="1">
        <f>MAX(1,K673+IF(F673=2,0.15+方案参数!$CH$21,0)+BN673*方案参数!$X$21+R673*方案参数!$AA$21+IF(O673&gt;=6,方案参数!$BJ$21,0)-配置与结果!$B$26+Z673*(方案参数!$AP$21+MIN(方案参数!$AQ$21,P673*0.03)))</f>
        <v>3.2550000000000003</v>
      </c>
      <c r="AL673" s="7">
        <f>ROUNDDOWN(MAX(AD673*配置与结果!$B$31,AD673-AE673)*AF673*AG673*AH673*AI673,0)</f>
        <v>359943</v>
      </c>
      <c r="AM673" s="7">
        <f>ROUNDDOWN(MAX(AD673*配置与结果!$B$31,AD673-AE673)*AF673*AG673*AH673*AI673*AK673,0)</f>
        <v>1171616</v>
      </c>
      <c r="AN673" s="7">
        <f t="shared" si="912"/>
        <v>1171616</v>
      </c>
      <c r="AO673" s="7">
        <f>0</f>
        <v>0</v>
      </c>
      <c r="AP673" s="7">
        <f>MAX(0,1+INDEX(配置与结果!$J$15:$J$18,F673)+IF(T673&gt;0,方案参数!$BY$21,0)-配置与结果!$B$30)</f>
        <v>2</v>
      </c>
      <c r="AQ673" s="7">
        <f t="shared" si="913"/>
        <v>0</v>
      </c>
      <c r="AR673" s="7">
        <f t="shared" si="914"/>
        <v>0</v>
      </c>
      <c r="AS673" s="7">
        <f t="shared" si="915"/>
        <v>0</v>
      </c>
      <c r="AT673" s="7">
        <f>0</f>
        <v>0</v>
      </c>
      <c r="AU673" s="7">
        <f t="shared" si="916"/>
        <v>1171616</v>
      </c>
      <c r="AV673" s="1">
        <f t="shared" si="917"/>
        <v>2</v>
      </c>
      <c r="AW673" s="1">
        <f t="shared" si="947"/>
        <v>10</v>
      </c>
      <c r="AX673" s="1">
        <f t="shared" si="918"/>
        <v>2</v>
      </c>
      <c r="AY673" s="1">
        <f>MIN(20,MAX(0,O673+0+0-IF(O673&gt;=6,6,0)))</f>
        <v>0</v>
      </c>
      <c r="AZ673" s="1">
        <f t="shared" si="919"/>
        <v>7</v>
      </c>
      <c r="BA673" s="1">
        <f t="shared" si="955"/>
        <v>5</v>
      </c>
      <c r="BB673" s="1">
        <f>MIN(30,R673+5)</f>
        <v>20</v>
      </c>
      <c r="BC673" s="1">
        <f t="shared" si="961"/>
        <v>3</v>
      </c>
      <c r="BD673" s="1">
        <f t="shared" si="942"/>
        <v>1</v>
      </c>
      <c r="BE673" s="1">
        <f t="shared" si="935"/>
        <v>0</v>
      </c>
      <c r="BF673" s="1">
        <f>MIN(4,V673+0)</f>
        <v>3</v>
      </c>
      <c r="BG673" s="1">
        <f t="shared" si="952"/>
        <v>1</v>
      </c>
      <c r="BH673" s="1">
        <f t="shared" si="936"/>
        <v>1</v>
      </c>
      <c r="BI673" s="1">
        <f t="shared" si="953"/>
        <v>1</v>
      </c>
      <c r="BJ673" s="1">
        <f t="shared" si="956"/>
        <v>1</v>
      </c>
      <c r="BK673" s="1">
        <f t="shared" si="957"/>
        <v>1</v>
      </c>
      <c r="BL673" s="1">
        <f t="shared" ref="BL673:BL707" si="962">MAX(AB673,0)</f>
        <v>1</v>
      </c>
      <c r="BM673" s="1">
        <f t="shared" si="960"/>
        <v>1</v>
      </c>
      <c r="BN673" s="1">
        <f t="shared" si="937"/>
        <v>1</v>
      </c>
      <c r="BO673" s="1">
        <f t="shared" si="938"/>
        <v>1</v>
      </c>
    </row>
    <row r="674" spans="1:67" ht="30.95" customHeight="1">
      <c r="A674" s="1">
        <f>18</f>
        <v>18</v>
      </c>
      <c r="B674" s="1">
        <f>固定流程!A26</f>
        <v>21</v>
      </c>
      <c r="C674" s="1">
        <f>21</f>
        <v>21</v>
      </c>
      <c r="D674" s="1">
        <f>1</f>
        <v>1</v>
      </c>
      <c r="E674" s="1">
        <f>固定流程!C26</f>
        <v>3</v>
      </c>
      <c r="F674" s="1">
        <f>固定流程!G26</f>
        <v>1</v>
      </c>
      <c r="G674" s="1" t="str">
        <f>固定流程!H26</f>
        <v>LILYA_DIVE</v>
      </c>
      <c r="H674" s="1">
        <f>固定流程!F26</f>
        <v>3</v>
      </c>
      <c r="I674" s="1">
        <f>INDEX(配置与结果!$B$15:$B$18,F674)</f>
        <v>2296</v>
      </c>
      <c r="J674" s="1">
        <f>INDEX(配置与结果!$D$15:$D$18,F674)</f>
        <v>0.7</v>
      </c>
      <c r="K674" s="1">
        <f>INDEX(配置与结果!$E$15:$E$18,F674)</f>
        <v>2.0249999999999999</v>
      </c>
      <c r="L674" s="1">
        <f t="shared" si="949"/>
        <v>2</v>
      </c>
      <c r="M674" s="1">
        <f t="shared" si="950"/>
        <v>10</v>
      </c>
      <c r="N674" s="1">
        <f t="shared" si="951"/>
        <v>2</v>
      </c>
      <c r="O674" s="1">
        <f t="shared" si="943"/>
        <v>0</v>
      </c>
      <c r="P674" s="1">
        <f>MIN(方案参数!$AI$21,AZ673+0+0)</f>
        <v>7</v>
      </c>
      <c r="Q674" s="1">
        <f t="shared" si="921"/>
        <v>5</v>
      </c>
      <c r="R674" s="1">
        <f t="shared" si="922"/>
        <v>20</v>
      </c>
      <c r="S674" s="1">
        <f t="shared" si="923"/>
        <v>3</v>
      </c>
      <c r="T674" s="1">
        <f t="shared" si="958"/>
        <v>1</v>
      </c>
      <c r="U674" s="1">
        <f t="shared" si="925"/>
        <v>0</v>
      </c>
      <c r="V674" s="1">
        <f t="shared" si="926"/>
        <v>3</v>
      </c>
      <c r="W674" s="1">
        <f t="shared" si="927"/>
        <v>1</v>
      </c>
      <c r="X674" s="1">
        <f t="shared" si="928"/>
        <v>1</v>
      </c>
      <c r="Y674" s="1">
        <f t="shared" si="929"/>
        <v>1</v>
      </c>
      <c r="Z674" s="1">
        <f t="shared" si="930"/>
        <v>1</v>
      </c>
      <c r="AA674" s="1">
        <f t="shared" si="954"/>
        <v>1</v>
      </c>
      <c r="AB674" s="1">
        <f t="shared" si="932"/>
        <v>1</v>
      </c>
      <c r="AC674" s="1">
        <f t="shared" si="959"/>
        <v>1</v>
      </c>
      <c r="AD674" s="1">
        <f>ROUNDDOWN(I674*(1+IF(F674=3,0.05+方案参数!$Y$21+AA674*0.12,IF(F674=4,方案参数!$BZ$21*方案参数!$AS$21,0)))+IF(AND(X674=1,F674&lt;&gt;3),方案参数!$CC$21,0)+AC674*方案参数!$CB$21,0)</f>
        <v>3094</v>
      </c>
      <c r="AE674" s="1">
        <f>IF(OR(F674=1,F674=4),配置与结果!$B$24,配置与结果!$B$25)*MAX(0,1-INDEX(配置与结果!$I$15:$I$18,F674))</f>
        <v>1200</v>
      </c>
      <c r="AF674" s="1">
        <f>(IF(L674=1,方案参数!$AW$21,IF(L674=2,方案参数!$AX$21,0))+方案参数!$AV$21)*H674</f>
        <v>30</v>
      </c>
      <c r="AG674" s="1">
        <f>MAX(配置与结果!$B$32,1+INDEX(配置与结果!$F$15:$F$18,F674)+0.08+方案参数!$CD$21+Q674*方案参数!$W$21+Y674*(方案参数!$AN$21+MIN(方案参数!$AO$21,P674*0.03))+AB674*方案参数!$BZ$21*0.025+IF(L674=1,方案参数!$AY$21+(H674-1)*0.1,IF(L674=2,方案参数!$AZ$21+(H674-1)*0.2,0))-配置与结果!$B$28)</f>
        <v>2.9250000000000003</v>
      </c>
      <c r="AH674" s="1">
        <f>MAX(0,1+INDEX(配置与结果!$G$15:$G$18,F674)+W674*方案参数!$AG$21+IF(L674=1,方案参数!$BA$21,IF(L674=2,方案参数!$BB$21,0))+M674*方案参数!$BC$21)</f>
        <v>3.25</v>
      </c>
      <c r="AI674" s="1">
        <f>IF(OR(INDEX(配置与结果!$K$15:$K$18,F674)=1,G674="RHI_BERRY"),1+配置与结果!$B$33+P674*方案参数!$AH$21,1)</f>
        <v>1</v>
      </c>
      <c r="AJ674" s="1">
        <f>MIN(1,MAX(0,J674+方案参数!$AB$21-配置与结果!$B$27))</f>
        <v>1</v>
      </c>
      <c r="AK674" s="1">
        <f>MAX(1,K674+IF(F674=2,0.15+方案参数!$CH$21,0)+BN674*方案参数!$X$21+R674*方案参数!$AA$21+0-配置与结果!$B$26+Z674*(方案参数!$AP$21+MIN(方案参数!$AQ$21,P674*0.03)))</f>
        <v>2.2750000000000004</v>
      </c>
      <c r="AL674" s="7">
        <f>ROUNDDOWN(MAX(AD674*配置与结果!$B$31,AD674-AE674)*AF674*AG674*AH674*AI674,0)</f>
        <v>540145</v>
      </c>
      <c r="AM674" s="7">
        <f>ROUNDDOWN(MAX(AD674*配置与结果!$B$31,AD674-AE674)*AF674*AG674*AH674*AI674*AK674,0)</f>
        <v>1228830</v>
      </c>
      <c r="AN674" s="7">
        <f t="shared" si="912"/>
        <v>1228830</v>
      </c>
      <c r="AO674" s="7">
        <f>0</f>
        <v>0</v>
      </c>
      <c r="AP674" s="7">
        <f>MAX(0,1+INDEX(配置与结果!$J$15:$J$18,F674)+IF(T674&gt;0,方案参数!$BY$21,0)-配置与结果!$B$30)</f>
        <v>2</v>
      </c>
      <c r="AQ674" s="7">
        <f t="shared" si="913"/>
        <v>0</v>
      </c>
      <c r="AR674" s="7">
        <f t="shared" si="914"/>
        <v>0</v>
      </c>
      <c r="AS674" s="7">
        <f t="shared" si="915"/>
        <v>0</v>
      </c>
      <c r="AT674" s="7">
        <f>0</f>
        <v>0</v>
      </c>
      <c r="AU674" s="7">
        <f t="shared" si="916"/>
        <v>1228830</v>
      </c>
      <c r="AV674" s="1">
        <f t="shared" si="917"/>
        <v>2</v>
      </c>
      <c r="AW674" s="1">
        <f>MIN(10,M674+0+IF(L674=1,方案参数!$BE$21,0))</f>
        <v>10</v>
      </c>
      <c r="AX674" s="1">
        <f t="shared" si="918"/>
        <v>2</v>
      </c>
      <c r="AY674" s="1">
        <f>MIN(20,MAX(0,O674+0+0-0))</f>
        <v>0</v>
      </c>
      <c r="AZ674" s="1">
        <f t="shared" si="919"/>
        <v>7</v>
      </c>
      <c r="BA674" s="1">
        <f t="shared" si="955"/>
        <v>5</v>
      </c>
      <c r="BB674" s="1">
        <f t="shared" ref="BB674:BB689" si="963">MIN(30,R674+0)</f>
        <v>20</v>
      </c>
      <c r="BC674" s="1">
        <f t="shared" si="961"/>
        <v>3</v>
      </c>
      <c r="BD674" s="1">
        <f t="shared" si="942"/>
        <v>1</v>
      </c>
      <c r="BE674" s="1">
        <f t="shared" si="935"/>
        <v>0</v>
      </c>
      <c r="BF674" s="1">
        <f>MIN(4,V674+0)</f>
        <v>3</v>
      </c>
      <c r="BG674" s="1">
        <f t="shared" si="952"/>
        <v>1</v>
      </c>
      <c r="BH674" s="1">
        <f t="shared" si="936"/>
        <v>1</v>
      </c>
      <c r="BI674" s="1">
        <f t="shared" si="953"/>
        <v>1</v>
      </c>
      <c r="BJ674" s="1">
        <f t="shared" si="956"/>
        <v>1</v>
      </c>
      <c r="BK674" s="1">
        <f t="shared" si="957"/>
        <v>1</v>
      </c>
      <c r="BL674" s="1">
        <f t="shared" si="962"/>
        <v>1</v>
      </c>
      <c r="BM674" s="1">
        <f t="shared" si="960"/>
        <v>1</v>
      </c>
      <c r="BN674" s="1">
        <f t="shared" si="937"/>
        <v>1</v>
      </c>
      <c r="BO674" s="1">
        <f t="shared" si="938"/>
        <v>1</v>
      </c>
    </row>
    <row r="675" spans="1:67" ht="30.95" customHeight="1">
      <c r="A675" s="1">
        <f>18</f>
        <v>18</v>
      </c>
      <c r="B675" s="1">
        <f>固定流程!A27</f>
        <v>22</v>
      </c>
      <c r="C675" s="1">
        <f>21</f>
        <v>21</v>
      </c>
      <c r="D675" s="1">
        <f>1</f>
        <v>1</v>
      </c>
      <c r="E675" s="1">
        <f>固定流程!C27</f>
        <v>3</v>
      </c>
      <c r="F675" s="1">
        <f>固定流程!G27</f>
        <v>3</v>
      </c>
      <c r="G675" s="1" t="str">
        <f>固定流程!H27</f>
        <v>RHI_BERRY</v>
      </c>
      <c r="H675" s="1">
        <f>固定流程!F27</f>
        <v>1</v>
      </c>
      <c r="I675" s="1">
        <f>INDEX(配置与结果!$B$15:$B$18,F675)</f>
        <v>2597</v>
      </c>
      <c r="J675" s="1">
        <f>INDEX(配置与结果!$D$15:$D$18,F675)</f>
        <v>0.255</v>
      </c>
      <c r="K675" s="1">
        <f>INDEX(配置与结果!$E$15:$E$18,F675)</f>
        <v>1.55</v>
      </c>
      <c r="L675" s="1">
        <f t="shared" si="949"/>
        <v>2</v>
      </c>
      <c r="M675" s="1">
        <f t="shared" si="950"/>
        <v>10</v>
      </c>
      <c r="N675" s="1">
        <f t="shared" si="951"/>
        <v>2</v>
      </c>
      <c r="O675" s="1">
        <f t="shared" si="943"/>
        <v>0</v>
      </c>
      <c r="P675" s="1">
        <f>MIN(方案参数!$AI$21,AZ674+0+0)</f>
        <v>7</v>
      </c>
      <c r="Q675" s="1">
        <f t="shared" si="921"/>
        <v>5</v>
      </c>
      <c r="R675" s="1">
        <f t="shared" si="922"/>
        <v>20</v>
      </c>
      <c r="S675" s="1">
        <f t="shared" si="923"/>
        <v>3</v>
      </c>
      <c r="T675" s="1">
        <f t="shared" si="958"/>
        <v>1</v>
      </c>
      <c r="U675" s="1">
        <f t="shared" si="925"/>
        <v>0</v>
      </c>
      <c r="V675" s="1">
        <f t="shared" si="926"/>
        <v>3</v>
      </c>
      <c r="W675" s="1">
        <f t="shared" si="927"/>
        <v>1</v>
      </c>
      <c r="X675" s="1">
        <f t="shared" si="928"/>
        <v>1</v>
      </c>
      <c r="Y675" s="1">
        <f t="shared" si="929"/>
        <v>1</v>
      </c>
      <c r="Z675" s="1">
        <f t="shared" si="930"/>
        <v>1</v>
      </c>
      <c r="AA675" s="1">
        <f t="shared" si="954"/>
        <v>1</v>
      </c>
      <c r="AB675" s="1">
        <f t="shared" si="932"/>
        <v>1</v>
      </c>
      <c r="AC675" s="1">
        <f t="shared" si="959"/>
        <v>1</v>
      </c>
      <c r="AD675" s="1">
        <f>ROUNDDOWN(I675*(1+IF(F675=3,0.05+方案参数!$Y$21+AA675*0.12,IF(F675=4,方案参数!$BZ$21*方案参数!$AS$21,0)))+IF(AND(X675=1,F675&lt;&gt;3),方案参数!$CC$21,0)+AC675*方案参数!$CB$21,0)</f>
        <v>3798</v>
      </c>
      <c r="AE675" s="1">
        <f>IF(OR(F675=1,F675=4),配置与结果!$B$24,配置与结果!$B$25)*MAX(0,1-INDEX(配置与结果!$I$15:$I$18,F675))</f>
        <v>1000</v>
      </c>
      <c r="AF675" s="1">
        <f>方案参数!$CF$21+P675*方案参数!$CG$21</f>
        <v>51</v>
      </c>
      <c r="AG675" s="1">
        <f>MAX(配置与结果!$B$32,1+INDEX(配置与结果!$F$15:$F$18,F675)+0+Q675*方案参数!$W$21+Y675*(方案参数!$AN$21+MIN(方案参数!$AO$21,P675*0.03))+AB675*方案参数!$BZ$21*0.025-配置与结果!$B$28)</f>
        <v>2.02</v>
      </c>
      <c r="AH675" s="1">
        <f>MAX(0,1+INDEX(配置与结果!$G$15:$G$18,F675)+W675*方案参数!$AG$21)</f>
        <v>1.45</v>
      </c>
      <c r="AI675" s="1">
        <f>IF(OR(INDEX(配置与结果!$K$15:$K$18,F675)=1,G675="RHI_BERRY"),1+配置与结果!$B$33+P675*方案参数!$AH$21,1)</f>
        <v>1.6500000000000001</v>
      </c>
      <c r="AJ675" s="1">
        <f>MIN(1,MAX(0,J675+方案参数!$AB$21-配置与结果!$B$27))</f>
        <v>0.55499999999999994</v>
      </c>
      <c r="AK675" s="1">
        <f>MAX(1,K675+IF(F675=2,0.15+方案参数!$CH$21,0)+BN675*方案参数!$X$21+R675*方案参数!$AA$21+0-配置与结果!$B$26+Z675*(方案参数!$AP$21+MIN(方案参数!$AQ$21,P675*0.03)))</f>
        <v>1.8000000000000003</v>
      </c>
      <c r="AL675" s="7">
        <f>ROUNDDOWN(MAX(AD675*配置与结果!$B$31,AD675-AE675)*AF675*AG675*AH675*AI675,0)</f>
        <v>689638</v>
      </c>
      <c r="AM675" s="7">
        <f>ROUNDDOWN(MAX(AD675*配置与结果!$B$31,AD675-AE675)*AF675*AG675*AH675*AI675*AK675,0)</f>
        <v>1241348</v>
      </c>
      <c r="AN675" s="7">
        <f t="shared" si="912"/>
        <v>995837.04999999993</v>
      </c>
      <c r="AO675" s="7">
        <f>0</f>
        <v>0</v>
      </c>
      <c r="AP675" s="7">
        <f>MAX(0,1+INDEX(配置与结果!$J$15:$J$18,F675)+IF(T675&gt;0,方案参数!$BY$21,0)-配置与结果!$B$30)</f>
        <v>2</v>
      </c>
      <c r="AQ675" s="7">
        <f t="shared" si="913"/>
        <v>0</v>
      </c>
      <c r="AR675" s="7">
        <f t="shared" si="914"/>
        <v>0</v>
      </c>
      <c r="AS675" s="7">
        <f t="shared" si="915"/>
        <v>0</v>
      </c>
      <c r="AT675" s="7">
        <f>0</f>
        <v>0</v>
      </c>
      <c r="AU675" s="7">
        <f t="shared" si="916"/>
        <v>995837.04999999993</v>
      </c>
      <c r="AV675" s="1">
        <f t="shared" si="917"/>
        <v>2</v>
      </c>
      <c r="AW675" s="1">
        <f t="shared" ref="AW675:AW691" si="964">MIN(10,M675+0+0)</f>
        <v>10</v>
      </c>
      <c r="AX675" s="1">
        <f t="shared" si="918"/>
        <v>2</v>
      </c>
      <c r="AY675" s="1">
        <f>MIN(20,MAX(0,O675+0+0-0))</f>
        <v>0</v>
      </c>
      <c r="AZ675" s="1">
        <f t="shared" si="919"/>
        <v>7</v>
      </c>
      <c r="BA675" s="1">
        <f t="shared" si="955"/>
        <v>5</v>
      </c>
      <c r="BB675" s="1">
        <f t="shared" si="963"/>
        <v>20</v>
      </c>
      <c r="BC675" s="1">
        <f t="shared" si="961"/>
        <v>3</v>
      </c>
      <c r="BD675" s="1">
        <f t="shared" si="942"/>
        <v>1</v>
      </c>
      <c r="BE675" s="1">
        <f t="shared" si="935"/>
        <v>0</v>
      </c>
      <c r="BF675" s="1">
        <f>MIN(4,V675+0)</f>
        <v>3</v>
      </c>
      <c r="BG675" s="1">
        <f t="shared" si="952"/>
        <v>1</v>
      </c>
      <c r="BH675" s="1">
        <f t="shared" si="936"/>
        <v>1</v>
      </c>
      <c r="BI675" s="1">
        <f t="shared" si="953"/>
        <v>1</v>
      </c>
      <c r="BJ675" s="1">
        <f t="shared" si="956"/>
        <v>1</v>
      </c>
      <c r="BK675" s="1">
        <f t="shared" si="957"/>
        <v>1</v>
      </c>
      <c r="BL675" s="1">
        <f t="shared" si="962"/>
        <v>1</v>
      </c>
      <c r="BM675" s="1">
        <f t="shared" si="960"/>
        <v>1</v>
      </c>
      <c r="BN675" s="1">
        <f t="shared" si="937"/>
        <v>1</v>
      </c>
      <c r="BO675" s="1">
        <f t="shared" si="938"/>
        <v>1</v>
      </c>
    </row>
    <row r="676" spans="1:67" ht="30.95" customHeight="1">
      <c r="A676" s="1">
        <f>18</f>
        <v>18</v>
      </c>
      <c r="B676" s="1">
        <f>固定流程!A28</f>
        <v>23</v>
      </c>
      <c r="C676" s="1">
        <f>21</f>
        <v>21</v>
      </c>
      <c r="D676" s="1">
        <f>1</f>
        <v>1</v>
      </c>
      <c r="E676" s="1">
        <f>固定流程!C28</f>
        <v>3</v>
      </c>
      <c r="F676" s="1">
        <f>固定流程!G28</f>
        <v>2</v>
      </c>
      <c r="G676" s="1" t="str">
        <f>固定流程!H28</f>
        <v>37_FOLLOW</v>
      </c>
      <c r="H676" s="1">
        <f>固定流程!F28</f>
        <v>1</v>
      </c>
      <c r="I676" s="1">
        <f>INDEX(配置与结果!$B$15:$B$18,F676)</f>
        <v>2306</v>
      </c>
      <c r="J676" s="1">
        <f>INDEX(配置与结果!$D$15:$D$18,F676)</f>
        <v>0.46</v>
      </c>
      <c r="K676" s="1">
        <f>INDEX(配置与结果!$E$15:$E$18,F676)</f>
        <v>1.9279999999999999</v>
      </c>
      <c r="L676" s="1">
        <f t="shared" si="949"/>
        <v>2</v>
      </c>
      <c r="M676" s="1">
        <f t="shared" si="950"/>
        <v>10</v>
      </c>
      <c r="N676" s="1">
        <f t="shared" si="951"/>
        <v>2</v>
      </c>
      <c r="O676" s="1">
        <f t="shared" si="943"/>
        <v>0</v>
      </c>
      <c r="P676" s="1">
        <f>MIN(方案参数!$AI$21,AZ675+0+0)</f>
        <v>7</v>
      </c>
      <c r="Q676" s="1">
        <f t="shared" si="921"/>
        <v>5</v>
      </c>
      <c r="R676" s="1">
        <f t="shared" si="922"/>
        <v>20</v>
      </c>
      <c r="S676" s="1">
        <f t="shared" si="923"/>
        <v>3</v>
      </c>
      <c r="T676" s="1">
        <f t="shared" si="958"/>
        <v>1</v>
      </c>
      <c r="U676" s="1">
        <f t="shared" si="925"/>
        <v>0</v>
      </c>
      <c r="V676" s="1">
        <f t="shared" si="926"/>
        <v>3</v>
      </c>
      <c r="W676" s="1">
        <f t="shared" si="927"/>
        <v>1</v>
      </c>
      <c r="X676" s="1">
        <f t="shared" si="928"/>
        <v>1</v>
      </c>
      <c r="Y676" s="1">
        <f t="shared" si="929"/>
        <v>1</v>
      </c>
      <c r="Z676" s="1">
        <f t="shared" si="930"/>
        <v>1</v>
      </c>
      <c r="AA676" s="1">
        <f t="shared" si="954"/>
        <v>1</v>
      </c>
      <c r="AB676" s="1">
        <f t="shared" si="932"/>
        <v>1</v>
      </c>
      <c r="AC676" s="1">
        <f t="shared" si="959"/>
        <v>1</v>
      </c>
      <c r="AD676" s="1">
        <f>ROUNDDOWN(I676*(1+IF(F676=3,0.05+方案参数!$Y$21+AA676*0.12,IF(F676=4,方案参数!$BZ$21*方案参数!$AS$21,0)))+IF(AND(X676=1,F676&lt;&gt;3),方案参数!$CC$21,0)+AC676*方案参数!$CB$21,0)</f>
        <v>3104</v>
      </c>
      <c r="AE676" s="1">
        <f>IF(OR(F676=1,F676=4),配置与结果!$B$24,配置与结果!$B$25)*MAX(0,1-INDEX(配置与结果!$I$15:$I$18,F676))</f>
        <v>1000</v>
      </c>
      <c r="AF676" s="1">
        <f>方案参数!$BV$21</f>
        <v>3</v>
      </c>
      <c r="AG676" s="1">
        <f>MAX(配置与结果!$B$32,1+INDEX(配置与结果!$F$15:$F$18,F676)+0+Q676*方案参数!$W$21+Y676*(方案参数!$AN$21+MIN(方案参数!$AO$21,P676*0.03))+AB676*方案参数!$BZ$21*0.025-配置与结果!$B$28)</f>
        <v>1.9900000000000002</v>
      </c>
      <c r="AH676" s="1">
        <f>MAX(0,1+INDEX(配置与结果!$G$15:$G$18,F676)+W676*方案参数!$AG$21)</f>
        <v>1.45</v>
      </c>
      <c r="AI676" s="1">
        <f>IF(OR(INDEX(配置与结果!$K$15:$K$18,F676)=1,G676="RHI_BERRY"),1+配置与结果!$B$33+P676*方案参数!$AH$21,1)</f>
        <v>1</v>
      </c>
      <c r="AJ676" s="1">
        <f>MIN(1,MAX(0,J676+方案参数!$AB$21-配置与结果!$B$27))</f>
        <v>0.76</v>
      </c>
      <c r="AK676" s="1">
        <f>MAX(1,K676+IF(F676=2,0.15+方案参数!$CH$21,0)+BN676*方案参数!$X$21+R676*方案参数!$AA$21+0-配置与结果!$B$26+Z676*(方案参数!$AP$21+MIN(方案参数!$AQ$21,P676*0.03)))</f>
        <v>2.4480000000000004</v>
      </c>
      <c r="AL676" s="7">
        <f>ROUNDDOWN(MAX(AD676*配置与结果!$B$31,AD676-AE676)*AF676*AG676*AH676*AI676,0)</f>
        <v>18213</v>
      </c>
      <c r="AM676" s="7">
        <f>ROUNDDOWN(MAX(AD676*配置与结果!$B$31,AD676-AE676)*AF676*AG676*AH676*AI676*AK676,0)</f>
        <v>44586</v>
      </c>
      <c r="AN676" s="7">
        <f t="shared" si="912"/>
        <v>38256.480000000003</v>
      </c>
      <c r="AO676" s="7">
        <f>方案参数!$BW$21</f>
        <v>1</v>
      </c>
      <c r="AP676" s="7">
        <f>MAX(0,1+INDEX(配置与结果!$J$15:$J$18,F676)+IF(T676&gt;0,方案参数!$BY$21,0)-配置与结果!$B$30)</f>
        <v>2</v>
      </c>
      <c r="AQ676" s="7">
        <f t="shared" si="913"/>
        <v>6208</v>
      </c>
      <c r="AR676" s="7">
        <f t="shared" si="914"/>
        <v>15197</v>
      </c>
      <c r="AS676" s="7">
        <f t="shared" si="915"/>
        <v>13039.64</v>
      </c>
      <c r="AT676" s="7">
        <f>0</f>
        <v>0</v>
      </c>
      <c r="AU676" s="7">
        <f t="shared" si="916"/>
        <v>51296.12</v>
      </c>
      <c r="AV676" s="1">
        <f t="shared" si="917"/>
        <v>2</v>
      </c>
      <c r="AW676" s="1">
        <f t="shared" si="964"/>
        <v>10</v>
      </c>
      <c r="AX676" s="1">
        <f t="shared" si="918"/>
        <v>2</v>
      </c>
      <c r="AY676" s="1">
        <f>MIN(20,MAX(0,O676+0+0-0))</f>
        <v>0</v>
      </c>
      <c r="AZ676" s="1">
        <f t="shared" si="919"/>
        <v>7</v>
      </c>
      <c r="BA676" s="1">
        <f t="shared" si="955"/>
        <v>5</v>
      </c>
      <c r="BB676" s="1">
        <f t="shared" si="963"/>
        <v>20</v>
      </c>
      <c r="BC676" s="1">
        <f t="shared" si="961"/>
        <v>3</v>
      </c>
      <c r="BD676" s="1">
        <f t="shared" si="942"/>
        <v>0</v>
      </c>
      <c r="BE676" s="1">
        <f t="shared" si="935"/>
        <v>0</v>
      </c>
      <c r="BF676" s="1">
        <f>MIN(4,V676+1)</f>
        <v>4</v>
      </c>
      <c r="BG676" s="1">
        <f t="shared" si="952"/>
        <v>1</v>
      </c>
      <c r="BH676" s="1">
        <f t="shared" si="936"/>
        <v>1</v>
      </c>
      <c r="BI676" s="1">
        <f t="shared" si="953"/>
        <v>1</v>
      </c>
      <c r="BJ676" s="1">
        <f t="shared" si="956"/>
        <v>1</v>
      </c>
      <c r="BK676" s="1">
        <f t="shared" si="957"/>
        <v>1</v>
      </c>
      <c r="BL676" s="1">
        <f t="shared" si="962"/>
        <v>1</v>
      </c>
      <c r="BM676" s="1">
        <f t="shared" si="960"/>
        <v>1</v>
      </c>
      <c r="BN676" s="1">
        <f t="shared" si="937"/>
        <v>1</v>
      </c>
      <c r="BO676" s="1">
        <f t="shared" si="938"/>
        <v>1</v>
      </c>
    </row>
    <row r="677" spans="1:67" ht="30.95" customHeight="1">
      <c r="A677" s="1">
        <f>18</f>
        <v>18</v>
      </c>
      <c r="B677" s="1">
        <f>固定流程!A29</f>
        <v>24</v>
      </c>
      <c r="C677" s="1">
        <f>21</f>
        <v>21</v>
      </c>
      <c r="D677" s="1">
        <f>2</f>
        <v>2</v>
      </c>
      <c r="E677" s="1">
        <f>固定流程!C29</f>
        <v>3</v>
      </c>
      <c r="F677" s="1">
        <f>固定流程!G29</f>
        <v>1</v>
      </c>
      <c r="G677" s="1" t="str">
        <f>固定流程!H29</f>
        <v>LILYA_WEAK</v>
      </c>
      <c r="H677" s="1">
        <f>固定流程!F29</f>
        <v>1</v>
      </c>
      <c r="I677" s="1">
        <f>INDEX(配置与结果!$B$15:$B$18,F677)</f>
        <v>2296</v>
      </c>
      <c r="J677" s="1">
        <f>INDEX(配置与结果!$D$15:$D$18,F677)</f>
        <v>0.7</v>
      </c>
      <c r="K677" s="1">
        <f>INDEX(配置与结果!$E$15:$E$18,F677)</f>
        <v>2.0249999999999999</v>
      </c>
      <c r="L677" s="1">
        <f t="shared" si="949"/>
        <v>2</v>
      </c>
      <c r="M677" s="1">
        <f t="shared" si="950"/>
        <v>10</v>
      </c>
      <c r="N677" s="1">
        <f t="shared" si="951"/>
        <v>2</v>
      </c>
      <c r="O677" s="1">
        <f t="shared" si="943"/>
        <v>0</v>
      </c>
      <c r="P677" s="1">
        <f>MIN(方案参数!$AI$21,AZ676+0+0)</f>
        <v>7</v>
      </c>
      <c r="Q677" s="1">
        <f t="shared" si="921"/>
        <v>5</v>
      </c>
      <c r="R677" s="1">
        <f t="shared" si="922"/>
        <v>20</v>
      </c>
      <c r="S677" s="1">
        <f t="shared" si="923"/>
        <v>3</v>
      </c>
      <c r="T677" s="1">
        <f t="shared" si="958"/>
        <v>0</v>
      </c>
      <c r="U677" s="1">
        <f t="shared" si="925"/>
        <v>0</v>
      </c>
      <c r="V677" s="1">
        <f t="shared" si="926"/>
        <v>4</v>
      </c>
      <c r="W677" s="1">
        <f t="shared" si="927"/>
        <v>1</v>
      </c>
      <c r="X677" s="1">
        <f t="shared" si="928"/>
        <v>1</v>
      </c>
      <c r="Y677" s="1">
        <f t="shared" si="929"/>
        <v>1</v>
      </c>
      <c r="Z677" s="1">
        <f t="shared" si="930"/>
        <v>1</v>
      </c>
      <c r="AA677" s="1">
        <f t="shared" si="954"/>
        <v>1</v>
      </c>
      <c r="AB677" s="1">
        <f t="shared" si="932"/>
        <v>1</v>
      </c>
      <c r="AC677" s="1">
        <f t="shared" si="959"/>
        <v>1</v>
      </c>
      <c r="AD677" s="1">
        <f>ROUNDDOWN(I677*(1+IF(F677=3,0.05+方案参数!$Y$21+AA677*0.12,IF(F677=4,方案参数!$BZ$21*方案参数!$AS$21,0)))+IF(AND(X677=1,F677&lt;&gt;3),方案参数!$CC$21,0)+AC677*方案参数!$CB$21,0)</f>
        <v>3094</v>
      </c>
      <c r="AE677" s="1">
        <f>IF(OR(F677=1,F677=4),配置与结果!$B$24,配置与结果!$B$25)*MAX(0,1-INDEX(配置与结果!$I$15:$I$18,F677))</f>
        <v>1200</v>
      </c>
      <c r="AF677" s="1">
        <f>方案参数!$BL$21</f>
        <v>9</v>
      </c>
      <c r="AG677" s="1">
        <f>MAX(配置与结果!$B$32,1+INDEX(配置与结果!$F$15:$F$18,F677)+0.08+方案参数!$CD$21+Q677*方案参数!$W$21+Y677*(方案参数!$AN$21+MIN(方案参数!$AO$21,P677*0.03))+AB677*方案参数!$BZ$21*0.025-配置与结果!$B$28+方案参数!$AE$21)</f>
        <v>2.7250000000000001</v>
      </c>
      <c r="AH677" s="1">
        <f>MAX(0,1+V677*方案参数!$U$21+0*方案参数!$V$21+方案参数!$AE$21-配置与结果!$B$29)</f>
        <v>1.56</v>
      </c>
      <c r="AI677" s="1">
        <f>IF(OR(INDEX(配置与结果!$K$15:$K$18,F677)=1,G677="RHI_BERRY"),1+配置与结果!$B$33+P677*方案参数!$AH$21,1)</f>
        <v>1</v>
      </c>
      <c r="AJ677" s="1">
        <f>MIN(1,MAX(0,J677+方案参数!$AB$21-配置与结果!$B$27))</f>
        <v>1</v>
      </c>
      <c r="AK677" s="1">
        <f>MAX(1,K677+IF(F677=2,0.15+方案参数!$CH$21,0)+BN677*方案参数!$X$21+R677*方案参数!$AA$21+方案参数!$BP$21-配置与结果!$B$26+Z677*(方案参数!$AP$21+MIN(方案参数!$AQ$21,P677*0.03)))</f>
        <v>2.8750000000000004</v>
      </c>
      <c r="AL677" s="7">
        <f>ROUNDDOWN(MAX(AD677*配置与结果!$B$31,AD677-AE677)*AF677*AG677*AH677*AI677,0)</f>
        <v>72462</v>
      </c>
      <c r="AM677" s="7">
        <f>ROUNDDOWN(MAX(AD677*配置与结果!$B$31,AD677-AE677)*AF677*AG677*AH677*AI677*AK677,0)</f>
        <v>208329</v>
      </c>
      <c r="AN677" s="7">
        <f t="shared" si="912"/>
        <v>208329</v>
      </c>
      <c r="AO677" s="7">
        <f>0</f>
        <v>0</v>
      </c>
      <c r="AP677" s="7">
        <f>MAX(0,1+INDEX(配置与结果!$J$15:$J$18,F677)+IF(T677&gt;0,方案参数!$BY$21,0)-配置与结果!$B$30)</f>
        <v>1</v>
      </c>
      <c r="AQ677" s="7">
        <f t="shared" si="913"/>
        <v>0</v>
      </c>
      <c r="AR677" s="7">
        <f t="shared" si="914"/>
        <v>0</v>
      </c>
      <c r="AS677" s="7">
        <f t="shared" si="915"/>
        <v>0</v>
      </c>
      <c r="AT677" s="7">
        <f>IF(U677&gt;0,ROUNDDOWN(AL677*方案参数!$AF$21,0)*(1-AJ677)+ROUNDDOWN(AM677*方案参数!$AF$21,0)*AJ677,0)</f>
        <v>0</v>
      </c>
      <c r="AU677" s="7">
        <f t="shared" si="916"/>
        <v>208329</v>
      </c>
      <c r="AV677" s="1">
        <f t="shared" si="917"/>
        <v>2</v>
      </c>
      <c r="AW677" s="1">
        <f t="shared" si="964"/>
        <v>10</v>
      </c>
      <c r="AX677" s="1">
        <f t="shared" si="918"/>
        <v>2</v>
      </c>
      <c r="AY677" s="1">
        <f>MIN(20,MAX(0,O677+0+1-0))</f>
        <v>1</v>
      </c>
      <c r="AZ677" s="1">
        <f t="shared" si="919"/>
        <v>7</v>
      </c>
      <c r="BA677" s="1">
        <f t="shared" si="955"/>
        <v>5</v>
      </c>
      <c r="BB677" s="1">
        <f t="shared" si="963"/>
        <v>20</v>
      </c>
      <c r="BC677" s="1">
        <f t="shared" si="961"/>
        <v>3</v>
      </c>
      <c r="BD677" s="1">
        <f t="shared" si="942"/>
        <v>0</v>
      </c>
      <c r="BE677" s="1">
        <f>MAX(0,U677-IF(AF677&gt;0,1,0))+0</f>
        <v>0</v>
      </c>
      <c r="BF677" s="1">
        <f t="shared" ref="BF677:BF694" si="965">MIN(4,V677+0)</f>
        <v>4</v>
      </c>
      <c r="BG677" s="1">
        <f t="shared" si="952"/>
        <v>1</v>
      </c>
      <c r="BH677" s="1">
        <f t="shared" si="936"/>
        <v>1</v>
      </c>
      <c r="BI677" s="1">
        <f t="shared" si="953"/>
        <v>1</v>
      </c>
      <c r="BJ677" s="1">
        <f t="shared" si="956"/>
        <v>1</v>
      </c>
      <c r="BK677" s="1">
        <f t="shared" si="957"/>
        <v>1</v>
      </c>
      <c r="BL677" s="1">
        <f t="shared" si="962"/>
        <v>1</v>
      </c>
      <c r="BM677" s="1">
        <f t="shared" si="960"/>
        <v>1</v>
      </c>
      <c r="BN677" s="1">
        <f t="shared" si="937"/>
        <v>1</v>
      </c>
      <c r="BO677" s="1">
        <f t="shared" si="938"/>
        <v>1</v>
      </c>
    </row>
    <row r="678" spans="1:67" ht="30.95" customHeight="1">
      <c r="A678" s="1">
        <f>18</f>
        <v>18</v>
      </c>
      <c r="B678" s="1">
        <f>固定流程!A30</f>
        <v>25</v>
      </c>
      <c r="C678" s="1">
        <f>21</f>
        <v>21</v>
      </c>
      <c r="D678" s="1">
        <f>2</f>
        <v>2</v>
      </c>
      <c r="E678" s="1">
        <f>固定流程!C30</f>
        <v>3</v>
      </c>
      <c r="F678" s="1">
        <f>固定流程!G30</f>
        <v>1</v>
      </c>
      <c r="G678" s="1" t="str">
        <f>固定流程!H30</f>
        <v>LILYA_WEAK</v>
      </c>
      <c r="H678" s="1">
        <f>固定流程!F30</f>
        <v>1</v>
      </c>
      <c r="I678" s="1">
        <f>INDEX(配置与结果!$B$15:$B$18,F678)</f>
        <v>2296</v>
      </c>
      <c r="J678" s="1">
        <f>INDEX(配置与结果!$D$15:$D$18,F678)</f>
        <v>0.7</v>
      </c>
      <c r="K678" s="1">
        <f>INDEX(配置与结果!$E$15:$E$18,F678)</f>
        <v>2.0249999999999999</v>
      </c>
      <c r="L678" s="1">
        <f t="shared" si="949"/>
        <v>2</v>
      </c>
      <c r="M678" s="1">
        <f t="shared" si="950"/>
        <v>10</v>
      </c>
      <c r="N678" s="1">
        <f t="shared" si="951"/>
        <v>2</v>
      </c>
      <c r="O678" s="1">
        <f t="shared" si="943"/>
        <v>1</v>
      </c>
      <c r="P678" s="1">
        <f>MIN(方案参数!$AI$21,AZ677+0+0)</f>
        <v>7</v>
      </c>
      <c r="Q678" s="1">
        <f t="shared" si="921"/>
        <v>5</v>
      </c>
      <c r="R678" s="1">
        <f t="shared" si="922"/>
        <v>20</v>
      </c>
      <c r="S678" s="1">
        <f t="shared" si="923"/>
        <v>3</v>
      </c>
      <c r="T678" s="1">
        <f t="shared" si="958"/>
        <v>0</v>
      </c>
      <c r="U678" s="1">
        <f t="shared" si="925"/>
        <v>0</v>
      </c>
      <c r="V678" s="1">
        <f t="shared" si="926"/>
        <v>4</v>
      </c>
      <c r="W678" s="1">
        <f t="shared" si="927"/>
        <v>1</v>
      </c>
      <c r="X678" s="1">
        <f t="shared" si="928"/>
        <v>1</v>
      </c>
      <c r="Y678" s="1">
        <f t="shared" si="929"/>
        <v>1</v>
      </c>
      <c r="Z678" s="1">
        <f t="shared" si="930"/>
        <v>1</v>
      </c>
      <c r="AA678" s="1">
        <f t="shared" si="954"/>
        <v>1</v>
      </c>
      <c r="AB678" s="1">
        <f t="shared" si="932"/>
        <v>1</v>
      </c>
      <c r="AC678" s="1">
        <f t="shared" si="959"/>
        <v>1</v>
      </c>
      <c r="AD678" s="1">
        <f>ROUNDDOWN(I678*(1+IF(F678=3,0.05+方案参数!$Y$21+AA678*0.12,IF(F678=4,方案参数!$BZ$21*方案参数!$AS$21,0)))+IF(AND(X678=1,F678&lt;&gt;3),方案参数!$CC$21,0)+AC678*方案参数!$CB$21,0)</f>
        <v>3094</v>
      </c>
      <c r="AE678" s="1">
        <f>IF(OR(F678=1,F678=4),配置与结果!$B$24,配置与结果!$B$25)*MAX(0,1-INDEX(配置与结果!$I$15:$I$18,F678))</f>
        <v>1200</v>
      </c>
      <c r="AF678" s="1">
        <f>方案参数!$BL$21</f>
        <v>9</v>
      </c>
      <c r="AG678" s="1">
        <f>MAX(配置与结果!$B$32,1+INDEX(配置与结果!$F$15:$F$18,F678)+0.08+方案参数!$CD$21+Q678*方案参数!$W$21+Y678*(方案参数!$AN$21+MIN(方案参数!$AO$21,P678*0.03))+AB678*方案参数!$BZ$21*0.025-配置与结果!$B$28+方案参数!$AE$21)</f>
        <v>2.7250000000000001</v>
      </c>
      <c r="AH678" s="1">
        <f>MAX(0,1+V678*方案参数!$U$21+1*方案参数!$V$21+方案参数!$AE$21-配置与结果!$B$29)</f>
        <v>1.62</v>
      </c>
      <c r="AI678" s="1">
        <f>IF(OR(INDEX(配置与结果!$K$15:$K$18,F678)=1,G678="RHI_BERRY"),1+配置与结果!$B$33+P678*方案参数!$AH$21,1)</f>
        <v>1</v>
      </c>
      <c r="AJ678" s="1">
        <f>MIN(1,MAX(0,J678+方案参数!$AB$21-配置与结果!$B$27))</f>
        <v>1</v>
      </c>
      <c r="AK678" s="1">
        <f>MAX(1,K678+IF(F678=2,0.15+方案参数!$CH$21,0)+BN678*方案参数!$X$21+R678*方案参数!$AA$21+方案参数!$BP$21-配置与结果!$B$26+Z678*(方案参数!$AP$21+MIN(方案参数!$AQ$21,P678*0.03)))</f>
        <v>2.8750000000000004</v>
      </c>
      <c r="AL678" s="7">
        <f>ROUNDDOWN(MAX(AD678*配置与结果!$B$31,AD678-AE678)*AF678*AG678*AH678*AI678,0)</f>
        <v>75249</v>
      </c>
      <c r="AM678" s="7">
        <f>ROUNDDOWN(MAX(AD678*配置与结果!$B$31,AD678-AE678)*AF678*AG678*AH678*AI678*AK678,0)</f>
        <v>216342</v>
      </c>
      <c r="AN678" s="7">
        <f t="shared" si="912"/>
        <v>216342</v>
      </c>
      <c r="AO678" s="7">
        <f>0</f>
        <v>0</v>
      </c>
      <c r="AP678" s="7">
        <f>MAX(0,1+INDEX(配置与结果!$J$15:$J$18,F678)+IF(T678&gt;0,方案参数!$BY$21,0)-配置与结果!$B$30)</f>
        <v>1</v>
      </c>
      <c r="AQ678" s="7">
        <f t="shared" si="913"/>
        <v>0</v>
      </c>
      <c r="AR678" s="7">
        <f t="shared" si="914"/>
        <v>0</v>
      </c>
      <c r="AS678" s="7">
        <f t="shared" si="915"/>
        <v>0</v>
      </c>
      <c r="AT678" s="7">
        <f>IF(U678&gt;0,ROUNDDOWN(AL678*方案参数!$AF$21,0)*(1-AJ678)+ROUNDDOWN(AM678*方案参数!$AF$21,0)*AJ678,0)</f>
        <v>0</v>
      </c>
      <c r="AU678" s="7">
        <f t="shared" si="916"/>
        <v>216342</v>
      </c>
      <c r="AV678" s="1">
        <f t="shared" si="917"/>
        <v>2</v>
      </c>
      <c r="AW678" s="1">
        <f t="shared" si="964"/>
        <v>10</v>
      </c>
      <c r="AX678" s="1">
        <f t="shared" si="918"/>
        <v>2</v>
      </c>
      <c r="AY678" s="1">
        <f>MIN(20,MAX(0,O678+0+1-0))</f>
        <v>2</v>
      </c>
      <c r="AZ678" s="1">
        <f t="shared" si="919"/>
        <v>7</v>
      </c>
      <c r="BA678" s="1">
        <f t="shared" si="955"/>
        <v>5</v>
      </c>
      <c r="BB678" s="1">
        <f t="shared" si="963"/>
        <v>20</v>
      </c>
      <c r="BC678" s="1">
        <f t="shared" si="961"/>
        <v>3</v>
      </c>
      <c r="BD678" s="1">
        <f t="shared" si="942"/>
        <v>0</v>
      </c>
      <c r="BE678" s="1">
        <f>MAX(0,U678-IF(AF678&gt;0,1,0))+0</f>
        <v>0</v>
      </c>
      <c r="BF678" s="1">
        <f t="shared" si="965"/>
        <v>4</v>
      </c>
      <c r="BG678" s="1">
        <f t="shared" si="952"/>
        <v>1</v>
      </c>
      <c r="BH678" s="1">
        <f t="shared" si="936"/>
        <v>1</v>
      </c>
      <c r="BI678" s="1">
        <f t="shared" si="953"/>
        <v>1</v>
      </c>
      <c r="BJ678" s="1">
        <f t="shared" si="956"/>
        <v>1</v>
      </c>
      <c r="BK678" s="1">
        <f t="shared" si="957"/>
        <v>1</v>
      </c>
      <c r="BL678" s="1">
        <f t="shared" si="962"/>
        <v>1</v>
      </c>
      <c r="BM678" s="1">
        <f t="shared" si="960"/>
        <v>1</v>
      </c>
      <c r="BN678" s="1">
        <f t="shared" si="937"/>
        <v>1</v>
      </c>
      <c r="BO678" s="1">
        <f t="shared" si="938"/>
        <v>1</v>
      </c>
    </row>
    <row r="679" spans="1:67" ht="30.95" customHeight="1">
      <c r="A679" s="1">
        <f>18</f>
        <v>18</v>
      </c>
      <c r="B679" s="1">
        <f>固定流程!A31</f>
        <v>26</v>
      </c>
      <c r="C679" s="1">
        <f>21</f>
        <v>21</v>
      </c>
      <c r="D679" s="1">
        <f>2</f>
        <v>2</v>
      </c>
      <c r="E679" s="1">
        <f>固定流程!C31</f>
        <v>3</v>
      </c>
      <c r="F679" s="1">
        <f>固定流程!G31</f>
        <v>2</v>
      </c>
      <c r="G679" s="1" t="str">
        <f>固定流程!H31</f>
        <v>37_WEAK</v>
      </c>
      <c r="H679" s="1">
        <f>固定流程!F31</f>
        <v>1</v>
      </c>
      <c r="I679" s="1">
        <f>INDEX(配置与结果!$B$15:$B$18,F679)</f>
        <v>2306</v>
      </c>
      <c r="J679" s="1">
        <f>INDEX(配置与结果!$D$15:$D$18,F679)</f>
        <v>0.46</v>
      </c>
      <c r="K679" s="1">
        <f>INDEX(配置与结果!$E$15:$E$18,F679)</f>
        <v>1.9279999999999999</v>
      </c>
      <c r="L679" s="1">
        <f t="shared" si="949"/>
        <v>2</v>
      </c>
      <c r="M679" s="1">
        <f t="shared" si="950"/>
        <v>10</v>
      </c>
      <c r="N679" s="1">
        <f t="shared" si="951"/>
        <v>2</v>
      </c>
      <c r="O679" s="1">
        <f t="shared" si="943"/>
        <v>2</v>
      </c>
      <c r="P679" s="1">
        <f>MIN(方案参数!$AI$21,AZ678+0+0)</f>
        <v>7</v>
      </c>
      <c r="Q679" s="1">
        <f t="shared" si="921"/>
        <v>5</v>
      </c>
      <c r="R679" s="1">
        <f t="shared" si="922"/>
        <v>20</v>
      </c>
      <c r="S679" s="1">
        <f t="shared" si="923"/>
        <v>3</v>
      </c>
      <c r="T679" s="1">
        <f t="shared" si="958"/>
        <v>0</v>
      </c>
      <c r="U679" s="1">
        <f t="shared" si="925"/>
        <v>0</v>
      </c>
      <c r="V679" s="1">
        <f t="shared" si="926"/>
        <v>4</v>
      </c>
      <c r="W679" s="1">
        <f t="shared" si="927"/>
        <v>1</v>
      </c>
      <c r="X679" s="1">
        <f t="shared" si="928"/>
        <v>1</v>
      </c>
      <c r="Y679" s="1">
        <f t="shared" si="929"/>
        <v>1</v>
      </c>
      <c r="Z679" s="1">
        <f t="shared" si="930"/>
        <v>1</v>
      </c>
      <c r="AA679" s="1">
        <f t="shared" si="954"/>
        <v>1</v>
      </c>
      <c r="AB679" s="1">
        <f t="shared" si="932"/>
        <v>1</v>
      </c>
      <c r="AC679" s="1">
        <f t="shared" si="959"/>
        <v>1</v>
      </c>
      <c r="AD679" s="1">
        <f>ROUNDDOWN(I679*(1+IF(F679=3,0.05+方案参数!$Y$21+AA679*0.12,IF(F679=4,方案参数!$BZ$21*方案参数!$AS$21,0)))+IF(AND(X679=1,F679&lt;&gt;3),方案参数!$CC$21,0)+AC679*方案参数!$CB$21,0)</f>
        <v>3104</v>
      </c>
      <c r="AE679" s="1">
        <f>IF(OR(F679=1,F679=4),配置与结果!$B$24,配置与结果!$B$25)*MAX(0,1-INDEX(配置与结果!$I$15:$I$18,F679))</f>
        <v>1000</v>
      </c>
      <c r="AF679" s="1">
        <f>方案参数!$CE$21</f>
        <v>8</v>
      </c>
      <c r="AG679" s="1">
        <f>MAX(配置与结果!$B$32,1+INDEX(配置与结果!$F$15:$F$18,F679)+0+Q679*方案参数!$W$21+Y679*(方案参数!$AN$21+MIN(方案参数!$AO$21,P679*0.03))+AB679*方案参数!$BZ$21*0.025-配置与结果!$B$28+方案参数!$AE$21)</f>
        <v>2.39</v>
      </c>
      <c r="AH679" s="1">
        <f>MAX(0,1+V679*方案参数!$U$21+方案参数!$AE$21-配置与结果!$B$29)</f>
        <v>1.56</v>
      </c>
      <c r="AI679" s="1">
        <f>IF(OR(INDEX(配置与结果!$K$15:$K$18,F679)=1,G679="RHI_BERRY"),1+配置与结果!$B$33+P679*方案参数!$AH$21,1)</f>
        <v>1</v>
      </c>
      <c r="AJ679" s="1">
        <f>MIN(1,MAX(0,J679+方案参数!$AB$21-配置与结果!$B$27))</f>
        <v>0.76</v>
      </c>
      <c r="AK679" s="1">
        <f>MAX(1,K679+IF(F679=2,0.15+方案参数!$CH$21,0)+BN679*方案参数!$X$21+R679*方案参数!$AA$21+0-配置与结果!$B$26+Z679*(方案参数!$AP$21+MIN(方案参数!$AQ$21,P679*0.03)))</f>
        <v>2.4480000000000004</v>
      </c>
      <c r="AL679" s="7">
        <f>ROUNDDOWN(MAX(AD679*配置与结果!$B$31,AD679-AE679)*AF679*AG679*AH679*AI679,0)</f>
        <v>62756</v>
      </c>
      <c r="AM679" s="7">
        <f>ROUNDDOWN(MAX(AD679*配置与结果!$B$31,AD679-AE679)*AF679*AG679*AH679*AI679*AK679,0)</f>
        <v>153627</v>
      </c>
      <c r="AN679" s="7">
        <f t="shared" si="912"/>
        <v>131817.96</v>
      </c>
      <c r="AO679" s="7">
        <f>0</f>
        <v>0</v>
      </c>
      <c r="AP679" s="7">
        <f>MAX(0,1+INDEX(配置与结果!$J$15:$J$18,F679)+IF(T679&gt;0,方案参数!$BY$21,0)-配置与结果!$B$30)</f>
        <v>1</v>
      </c>
      <c r="AQ679" s="7">
        <f t="shared" si="913"/>
        <v>0</v>
      </c>
      <c r="AR679" s="7">
        <f t="shared" si="914"/>
        <v>0</v>
      </c>
      <c r="AS679" s="7">
        <f t="shared" si="915"/>
        <v>0</v>
      </c>
      <c r="AT679" s="7">
        <f>IF(U679&gt;0,ROUNDDOWN(AL679*方案参数!$AF$21,0)*(1-AJ679)+ROUNDDOWN(AM679*方案参数!$AF$21,0)*AJ679,0)</f>
        <v>0</v>
      </c>
      <c r="AU679" s="7">
        <f t="shared" si="916"/>
        <v>131817.96</v>
      </c>
      <c r="AV679" s="1">
        <f t="shared" si="917"/>
        <v>2</v>
      </c>
      <c r="AW679" s="1">
        <f t="shared" si="964"/>
        <v>10</v>
      </c>
      <c r="AX679" s="1">
        <f t="shared" si="918"/>
        <v>2</v>
      </c>
      <c r="AY679" s="1">
        <f>MIN(20,MAX(0,O679+0+0-0))</f>
        <v>2</v>
      </c>
      <c r="AZ679" s="1">
        <f t="shared" si="919"/>
        <v>7</v>
      </c>
      <c r="BA679" s="1">
        <f t="shared" si="955"/>
        <v>5</v>
      </c>
      <c r="BB679" s="1">
        <f t="shared" si="963"/>
        <v>20</v>
      </c>
      <c r="BC679" s="1">
        <f t="shared" si="961"/>
        <v>3</v>
      </c>
      <c r="BD679" s="1">
        <f t="shared" si="942"/>
        <v>0</v>
      </c>
      <c r="BE679" s="1">
        <f>MAX(0,U679-IF(AF679&gt;0,1,0))+1</f>
        <v>1</v>
      </c>
      <c r="BF679" s="1">
        <f t="shared" si="965"/>
        <v>4</v>
      </c>
      <c r="BG679" s="1">
        <f t="shared" si="952"/>
        <v>1</v>
      </c>
      <c r="BH679" s="1">
        <f t="shared" si="936"/>
        <v>1</v>
      </c>
      <c r="BI679" s="1">
        <f t="shared" si="953"/>
        <v>1</v>
      </c>
      <c r="BJ679" s="1">
        <f t="shared" si="956"/>
        <v>1</v>
      </c>
      <c r="BK679" s="1">
        <f t="shared" si="957"/>
        <v>1</v>
      </c>
      <c r="BL679" s="1">
        <f t="shared" si="962"/>
        <v>1</v>
      </c>
      <c r="BM679" s="1">
        <f t="shared" si="960"/>
        <v>1</v>
      </c>
      <c r="BN679" s="1">
        <f t="shared" si="937"/>
        <v>1</v>
      </c>
      <c r="BO679" s="1">
        <f t="shared" si="938"/>
        <v>1</v>
      </c>
    </row>
    <row r="680" spans="1:67" ht="30.95" customHeight="1">
      <c r="A680" s="1">
        <f>18</f>
        <v>18</v>
      </c>
      <c r="B680" s="1">
        <f>固定流程!A32</f>
        <v>27</v>
      </c>
      <c r="C680" s="1">
        <f>21</f>
        <v>21</v>
      </c>
      <c r="D680" s="1">
        <f>2</f>
        <v>2</v>
      </c>
      <c r="E680" s="1">
        <f>固定流程!C32</f>
        <v>3</v>
      </c>
      <c r="F680" s="1">
        <f>固定流程!G32</f>
        <v>1</v>
      </c>
      <c r="G680" s="1" t="str">
        <f>固定流程!H32</f>
        <v>LILYA_THIRD</v>
      </c>
      <c r="H680" s="1">
        <f>固定流程!F32</f>
        <v>1</v>
      </c>
      <c r="I680" s="1">
        <f>INDEX(配置与结果!$B$15:$B$18,F680)</f>
        <v>2296</v>
      </c>
      <c r="J680" s="1">
        <f>INDEX(配置与结果!$D$15:$D$18,F680)</f>
        <v>0.7</v>
      </c>
      <c r="K680" s="1">
        <f>INDEX(配置与结果!$E$15:$E$18,F680)</f>
        <v>2.0249999999999999</v>
      </c>
      <c r="L680" s="1">
        <f t="shared" si="949"/>
        <v>2</v>
      </c>
      <c r="M680" s="1">
        <f t="shared" si="950"/>
        <v>10</v>
      </c>
      <c r="N680" s="1">
        <f t="shared" si="951"/>
        <v>2</v>
      </c>
      <c r="O680" s="1">
        <f t="shared" si="943"/>
        <v>2</v>
      </c>
      <c r="P680" s="1">
        <f>MIN(方案参数!$AI$21,AZ679+0+0)</f>
        <v>7</v>
      </c>
      <c r="Q680" s="1">
        <f t="shared" si="921"/>
        <v>5</v>
      </c>
      <c r="R680" s="1">
        <f t="shared" si="922"/>
        <v>20</v>
      </c>
      <c r="S680" s="1">
        <f t="shared" si="923"/>
        <v>3</v>
      </c>
      <c r="T680" s="1">
        <f t="shared" si="958"/>
        <v>0</v>
      </c>
      <c r="U680" s="1">
        <f t="shared" si="925"/>
        <v>1</v>
      </c>
      <c r="V680" s="1">
        <f t="shared" si="926"/>
        <v>4</v>
      </c>
      <c r="W680" s="1">
        <f t="shared" si="927"/>
        <v>1</v>
      </c>
      <c r="X680" s="1">
        <f t="shared" si="928"/>
        <v>1</v>
      </c>
      <c r="Y680" s="1">
        <f t="shared" si="929"/>
        <v>1</v>
      </c>
      <c r="Z680" s="1">
        <f t="shared" si="930"/>
        <v>1</v>
      </c>
      <c r="AA680" s="1">
        <f t="shared" si="954"/>
        <v>1</v>
      </c>
      <c r="AB680" s="1">
        <f t="shared" si="932"/>
        <v>1</v>
      </c>
      <c r="AC680" s="1">
        <f t="shared" si="959"/>
        <v>1</v>
      </c>
      <c r="AD680" s="1">
        <f>ROUNDDOWN(I680*(1+IF(F680=3,0.05+方案参数!$Y$21+AA680*0.12,IF(F680=4,方案参数!$BZ$21*方案参数!$AS$21,0)))+IF(AND(X680=1,F680&lt;&gt;3),方案参数!$CC$21,0)+AC680*方案参数!$CB$21,0)</f>
        <v>3094</v>
      </c>
      <c r="AE680" s="1">
        <f>IF(OR(F680=1,F680=4),配置与结果!$B$24,配置与结果!$B$25)*MAX(0,1-INDEX(配置与结果!$I$15:$I$18,F680))</f>
        <v>1200</v>
      </c>
      <c r="AF680" s="1">
        <f>方案参数!$BM$21</f>
        <v>20</v>
      </c>
      <c r="AG680" s="1">
        <f>MAX(配置与结果!$B$32,1+INDEX(配置与结果!$F$15:$F$18,F680)+0.08+方案参数!$CD$21+Q680*方案参数!$W$21+Y680*(方案参数!$AN$21+MIN(方案参数!$AO$21,P680*0.03))+AB680*方案参数!$BZ$21*0.025-配置与结果!$B$28+方案参数!$AE$21)</f>
        <v>2.7250000000000001</v>
      </c>
      <c r="AH680" s="1">
        <f>MAX(0,1+V680*方案参数!$U$21+3*方案参数!$V$21+方案参数!$AE$21-配置与结果!$B$29)</f>
        <v>1.7399999999999998</v>
      </c>
      <c r="AI680" s="1">
        <f>IF(OR(INDEX(配置与结果!$K$15:$K$18,F680)=1,G680="RHI_BERRY"),1+配置与结果!$B$33+P680*方案参数!$AH$21,1)</f>
        <v>1</v>
      </c>
      <c r="AJ680" s="1">
        <f>MIN(1,MAX(0,J680+方案参数!$AB$21-配置与结果!$B$27))</f>
        <v>1</v>
      </c>
      <c r="AK680" s="1">
        <f>MAX(1,K680+IF(F680=2,0.15+方案参数!$CH$21,0)+BN680*方案参数!$X$21+R680*方案参数!$AA$21+方案参数!$BQ$21-配置与结果!$B$26+Z680*(方案参数!$AP$21+MIN(方案参数!$AQ$21,P680*0.03)))</f>
        <v>3.0750000000000006</v>
      </c>
      <c r="AL680" s="7">
        <f>ROUNDDOWN(MAX(AD680*配置与结果!$B$31,AD680-AE680)*AF680*AG680*AH680*AI680,0)</f>
        <v>179608</v>
      </c>
      <c r="AM680" s="7">
        <f>ROUNDDOWN(MAX(AD680*配置与结果!$B$31,AD680-AE680)*AF680*AG680*AH680*AI680*AK680,0)</f>
        <v>552294</v>
      </c>
      <c r="AN680" s="7">
        <f t="shared" si="912"/>
        <v>552294</v>
      </c>
      <c r="AO680" s="7">
        <f>0</f>
        <v>0</v>
      </c>
      <c r="AP680" s="7">
        <f>MAX(0,1+INDEX(配置与结果!$J$15:$J$18,F680)+IF(T680&gt;0,方案参数!$BY$21,0)-配置与结果!$B$30)</f>
        <v>1</v>
      </c>
      <c r="AQ680" s="7">
        <f t="shared" si="913"/>
        <v>0</v>
      </c>
      <c r="AR680" s="7">
        <f t="shared" si="914"/>
        <v>0</v>
      </c>
      <c r="AS680" s="7">
        <f t="shared" si="915"/>
        <v>0</v>
      </c>
      <c r="AT680" s="7">
        <f>IF(U680&gt;0,ROUNDDOWN(AL680*方案参数!$AF$21,0)*(1-AJ680)+ROUNDDOWN(AM680*方案参数!$AF$21,0)*AJ680,0)</f>
        <v>220917</v>
      </c>
      <c r="AU680" s="7">
        <f t="shared" si="916"/>
        <v>773211</v>
      </c>
      <c r="AV680" s="1">
        <f t="shared" si="917"/>
        <v>2</v>
      </c>
      <c r="AW680" s="1">
        <f t="shared" si="964"/>
        <v>10</v>
      </c>
      <c r="AX680" s="1">
        <f t="shared" si="918"/>
        <v>2</v>
      </c>
      <c r="AY680" s="1">
        <f>MIN(20,MAX(0,O680+0+1-0))</f>
        <v>3</v>
      </c>
      <c r="AZ680" s="1">
        <f t="shared" si="919"/>
        <v>7</v>
      </c>
      <c r="BA680" s="1">
        <f t="shared" si="955"/>
        <v>5</v>
      </c>
      <c r="BB680" s="1">
        <f t="shared" si="963"/>
        <v>20</v>
      </c>
      <c r="BC680" s="1">
        <f t="shared" si="961"/>
        <v>3</v>
      </c>
      <c r="BD680" s="1">
        <f t="shared" si="942"/>
        <v>0</v>
      </c>
      <c r="BE680" s="1">
        <f>MAX(0,U680-IF(AF680&gt;0,1,0))+0</f>
        <v>0</v>
      </c>
      <c r="BF680" s="1">
        <f t="shared" si="965"/>
        <v>4</v>
      </c>
      <c r="BG680" s="1">
        <f t="shared" si="952"/>
        <v>1</v>
      </c>
      <c r="BH680" s="1">
        <f t="shared" si="936"/>
        <v>1</v>
      </c>
      <c r="BI680" s="1">
        <f t="shared" si="953"/>
        <v>1</v>
      </c>
      <c r="BJ680" s="1">
        <f t="shared" si="956"/>
        <v>1</v>
      </c>
      <c r="BK680" s="1">
        <f t="shared" si="957"/>
        <v>1</v>
      </c>
      <c r="BL680" s="1">
        <f t="shared" si="962"/>
        <v>1</v>
      </c>
      <c r="BM680" s="1">
        <f t="shared" si="960"/>
        <v>1</v>
      </c>
      <c r="BN680" s="1">
        <f t="shared" si="937"/>
        <v>1</v>
      </c>
      <c r="BO680" s="1">
        <f t="shared" si="938"/>
        <v>1</v>
      </c>
    </row>
    <row r="681" spans="1:67" ht="30.95" customHeight="1">
      <c r="A681" s="1">
        <f>18</f>
        <v>18</v>
      </c>
      <c r="B681" s="1">
        <f>固定流程!A33</f>
        <v>28</v>
      </c>
      <c r="C681" s="1">
        <f>21</f>
        <v>21</v>
      </c>
      <c r="D681" s="1">
        <f>2</f>
        <v>2</v>
      </c>
      <c r="E681" s="1">
        <f>固定流程!C33</f>
        <v>3</v>
      </c>
      <c r="F681" s="1">
        <f>固定流程!G33</f>
        <v>1</v>
      </c>
      <c r="G681" s="1" t="str">
        <f>固定流程!H33</f>
        <v>LILYA_WEAK</v>
      </c>
      <c r="H681" s="1">
        <f>固定流程!F33</f>
        <v>1</v>
      </c>
      <c r="I681" s="1">
        <f>INDEX(配置与结果!$B$15:$B$18,F681)</f>
        <v>2296</v>
      </c>
      <c r="J681" s="1">
        <f>INDEX(配置与结果!$D$15:$D$18,F681)</f>
        <v>0.7</v>
      </c>
      <c r="K681" s="1">
        <f>INDEX(配置与结果!$E$15:$E$18,F681)</f>
        <v>2.0249999999999999</v>
      </c>
      <c r="L681" s="1">
        <f t="shared" si="949"/>
        <v>2</v>
      </c>
      <c r="M681" s="1">
        <f t="shared" si="950"/>
        <v>10</v>
      </c>
      <c r="N681" s="1">
        <f t="shared" si="951"/>
        <v>2</v>
      </c>
      <c r="O681" s="1">
        <f t="shared" si="943"/>
        <v>3</v>
      </c>
      <c r="P681" s="1">
        <f>MIN(方案参数!$AI$21,AZ680+0+0)</f>
        <v>7</v>
      </c>
      <c r="Q681" s="1">
        <f t="shared" si="921"/>
        <v>5</v>
      </c>
      <c r="R681" s="1">
        <f t="shared" si="922"/>
        <v>20</v>
      </c>
      <c r="S681" s="1">
        <f t="shared" si="923"/>
        <v>3</v>
      </c>
      <c r="T681" s="1">
        <f t="shared" si="958"/>
        <v>0</v>
      </c>
      <c r="U681" s="1">
        <f t="shared" si="925"/>
        <v>0</v>
      </c>
      <c r="V681" s="1">
        <f t="shared" si="926"/>
        <v>4</v>
      </c>
      <c r="W681" s="1">
        <f t="shared" si="927"/>
        <v>1</v>
      </c>
      <c r="X681" s="1">
        <f t="shared" si="928"/>
        <v>1</v>
      </c>
      <c r="Y681" s="1">
        <f t="shared" si="929"/>
        <v>1</v>
      </c>
      <c r="Z681" s="1">
        <f t="shared" si="930"/>
        <v>1</v>
      </c>
      <c r="AA681" s="1">
        <f t="shared" si="954"/>
        <v>1</v>
      </c>
      <c r="AB681" s="1">
        <f t="shared" si="932"/>
        <v>1</v>
      </c>
      <c r="AC681" s="1">
        <f t="shared" si="959"/>
        <v>1</v>
      </c>
      <c r="AD681" s="1">
        <f>ROUNDDOWN(I681*(1+IF(F681=3,0.05+方案参数!$Y$21+AA681*0.12,IF(F681=4,方案参数!$BZ$21*方案参数!$AS$21,0)))+IF(AND(X681=1,F681&lt;&gt;3),方案参数!$CC$21,0)+AC681*方案参数!$CB$21,0)</f>
        <v>3094</v>
      </c>
      <c r="AE681" s="1">
        <f>IF(OR(F681=1,F681=4),配置与结果!$B$24,配置与结果!$B$25)*MAX(0,1-INDEX(配置与结果!$I$15:$I$18,F681))</f>
        <v>1200</v>
      </c>
      <c r="AF681" s="1">
        <f>方案参数!$BL$21</f>
        <v>9</v>
      </c>
      <c r="AG681" s="1">
        <f>MAX(配置与结果!$B$32,1+INDEX(配置与结果!$F$15:$F$18,F681)+0.08+方案参数!$CD$21+Q681*方案参数!$W$21+Y681*(方案参数!$AN$21+MIN(方案参数!$AO$21,P681*0.03))+AB681*方案参数!$BZ$21*0.025-配置与结果!$B$28+方案参数!$AE$21)</f>
        <v>2.7250000000000001</v>
      </c>
      <c r="AH681" s="1">
        <f>MAX(0,1+V681*方案参数!$U$21+4*方案参数!$V$21+方案参数!$AE$21-配置与结果!$B$29)</f>
        <v>1.7999999999999998</v>
      </c>
      <c r="AI681" s="1">
        <f>IF(OR(INDEX(配置与结果!$K$15:$K$18,F681)=1,G681="RHI_BERRY"),1+配置与结果!$B$33+P681*方案参数!$AH$21,1)</f>
        <v>1</v>
      </c>
      <c r="AJ681" s="1">
        <f>MIN(1,MAX(0,J681+方案参数!$AB$21-配置与结果!$B$27))</f>
        <v>1</v>
      </c>
      <c r="AK681" s="1">
        <f>MAX(1,K681+IF(F681=2,0.15+方案参数!$CH$21,0)+BN681*方案参数!$X$21+R681*方案参数!$AA$21+方案参数!$BP$21-配置与结果!$B$26+Z681*(方案参数!$AP$21+MIN(方案参数!$AQ$21,P681*0.03)))</f>
        <v>2.8750000000000004</v>
      </c>
      <c r="AL681" s="7">
        <f>ROUNDDOWN(MAX(AD681*配置与结果!$B$31,AD681-AE681)*AF681*AG681*AH681*AI681,0)</f>
        <v>83610</v>
      </c>
      <c r="AM681" s="7">
        <f>ROUNDDOWN(MAX(AD681*配置与结果!$B$31,AD681-AE681)*AF681*AG681*AH681*AI681*AK681,0)</f>
        <v>240380</v>
      </c>
      <c r="AN681" s="7">
        <f t="shared" si="912"/>
        <v>240380</v>
      </c>
      <c r="AO681" s="7">
        <f>0</f>
        <v>0</v>
      </c>
      <c r="AP681" s="7">
        <f>MAX(0,1+INDEX(配置与结果!$J$15:$J$18,F681)+IF(T681&gt;0,方案参数!$BY$21,0)-配置与结果!$B$30)</f>
        <v>1</v>
      </c>
      <c r="AQ681" s="7">
        <f t="shared" si="913"/>
        <v>0</v>
      </c>
      <c r="AR681" s="7">
        <f t="shared" si="914"/>
        <v>0</v>
      </c>
      <c r="AS681" s="7">
        <f t="shared" si="915"/>
        <v>0</v>
      </c>
      <c r="AT681" s="7">
        <f>IF(U681&gt;0,ROUNDDOWN(AL681*方案参数!$AF$21,0)*(1-AJ681)+ROUNDDOWN(AM681*方案参数!$AF$21,0)*AJ681,0)</f>
        <v>0</v>
      </c>
      <c r="AU681" s="7">
        <f t="shared" si="916"/>
        <v>240380</v>
      </c>
      <c r="AV681" s="1">
        <f t="shared" si="917"/>
        <v>2</v>
      </c>
      <c r="AW681" s="1">
        <f t="shared" si="964"/>
        <v>10</v>
      </c>
      <c r="AX681" s="1">
        <f t="shared" si="918"/>
        <v>2</v>
      </c>
      <c r="AY681" s="1">
        <f>MIN(20,MAX(0,O681+0+1-0))</f>
        <v>4</v>
      </c>
      <c r="AZ681" s="1">
        <f t="shared" si="919"/>
        <v>7</v>
      </c>
      <c r="BA681" s="1">
        <f t="shared" si="955"/>
        <v>5</v>
      </c>
      <c r="BB681" s="1">
        <f t="shared" si="963"/>
        <v>20</v>
      </c>
      <c r="BC681" s="1">
        <f t="shared" si="961"/>
        <v>3</v>
      </c>
      <c r="BD681" s="1">
        <f t="shared" si="942"/>
        <v>0</v>
      </c>
      <c r="BE681" s="1">
        <f>MAX(0,U681-IF(AF681&gt;0,1,0))+0</f>
        <v>0</v>
      </c>
      <c r="BF681" s="1">
        <f t="shared" si="965"/>
        <v>4</v>
      </c>
      <c r="BG681" s="1">
        <f t="shared" si="952"/>
        <v>1</v>
      </c>
      <c r="BH681" s="1">
        <f t="shared" si="936"/>
        <v>1</v>
      </c>
      <c r="BI681" s="1">
        <f t="shared" si="953"/>
        <v>1</v>
      </c>
      <c r="BJ681" s="1">
        <f t="shared" si="956"/>
        <v>1</v>
      </c>
      <c r="BK681" s="1">
        <f t="shared" si="957"/>
        <v>1</v>
      </c>
      <c r="BL681" s="1">
        <f t="shared" si="962"/>
        <v>1</v>
      </c>
      <c r="BM681" s="1">
        <f t="shared" si="960"/>
        <v>1</v>
      </c>
      <c r="BN681" s="1">
        <f t="shared" si="937"/>
        <v>1</v>
      </c>
      <c r="BO681" s="1">
        <f t="shared" si="938"/>
        <v>1</v>
      </c>
    </row>
    <row r="682" spans="1:67" ht="30.95" customHeight="1">
      <c r="A682" s="1">
        <f>18</f>
        <v>18</v>
      </c>
      <c r="B682" s="1">
        <f>固定流程!A34</f>
        <v>29</v>
      </c>
      <c r="C682" s="1">
        <f>21</f>
        <v>21</v>
      </c>
      <c r="D682" s="1">
        <f>2</f>
        <v>2</v>
      </c>
      <c r="E682" s="1">
        <f>固定流程!C34</f>
        <v>3</v>
      </c>
      <c r="F682" s="1">
        <f>固定流程!G34</f>
        <v>1</v>
      </c>
      <c r="G682" s="1" t="str">
        <f>固定流程!H34</f>
        <v>LILYA_WEAK</v>
      </c>
      <c r="H682" s="1">
        <f>固定流程!F34</f>
        <v>1</v>
      </c>
      <c r="I682" s="1">
        <f>INDEX(配置与结果!$B$15:$B$18,F682)</f>
        <v>2296</v>
      </c>
      <c r="J682" s="1">
        <f>INDEX(配置与结果!$D$15:$D$18,F682)</f>
        <v>0.7</v>
      </c>
      <c r="K682" s="1">
        <f>INDEX(配置与结果!$E$15:$E$18,F682)</f>
        <v>2.0249999999999999</v>
      </c>
      <c r="L682" s="1">
        <f t="shared" si="949"/>
        <v>2</v>
      </c>
      <c r="M682" s="1">
        <f t="shared" si="950"/>
        <v>10</v>
      </c>
      <c r="N682" s="1">
        <f t="shared" si="951"/>
        <v>2</v>
      </c>
      <c r="O682" s="1">
        <f t="shared" si="943"/>
        <v>4</v>
      </c>
      <c r="P682" s="1">
        <f>MIN(方案参数!$AI$21,AZ681+0+0)</f>
        <v>7</v>
      </c>
      <c r="Q682" s="1">
        <f t="shared" si="921"/>
        <v>5</v>
      </c>
      <c r="R682" s="1">
        <f t="shared" si="922"/>
        <v>20</v>
      </c>
      <c r="S682" s="1">
        <f t="shared" si="923"/>
        <v>3</v>
      </c>
      <c r="T682" s="1">
        <f t="shared" si="958"/>
        <v>0</v>
      </c>
      <c r="U682" s="1">
        <f t="shared" si="925"/>
        <v>0</v>
      </c>
      <c r="V682" s="1">
        <f t="shared" si="926"/>
        <v>4</v>
      </c>
      <c r="W682" s="1">
        <f t="shared" si="927"/>
        <v>1</v>
      </c>
      <c r="X682" s="1">
        <f t="shared" si="928"/>
        <v>1</v>
      </c>
      <c r="Y682" s="1">
        <f t="shared" si="929"/>
        <v>1</v>
      </c>
      <c r="Z682" s="1">
        <f t="shared" si="930"/>
        <v>1</v>
      </c>
      <c r="AA682" s="1">
        <f t="shared" si="954"/>
        <v>1</v>
      </c>
      <c r="AB682" s="1">
        <f t="shared" si="932"/>
        <v>1</v>
      </c>
      <c r="AC682" s="1">
        <f t="shared" si="959"/>
        <v>1</v>
      </c>
      <c r="AD682" s="1">
        <f>ROUNDDOWN(I682*(1+IF(F682=3,0.05+方案参数!$Y$21+AA682*0.12,IF(F682=4,方案参数!$BZ$21*方案参数!$AS$21,0)))+IF(AND(X682=1,F682&lt;&gt;3),方案参数!$CC$21,0)+AC682*方案参数!$CB$21,0)</f>
        <v>3094</v>
      </c>
      <c r="AE682" s="1">
        <f>IF(OR(F682=1,F682=4),配置与结果!$B$24,配置与结果!$B$25)*MAX(0,1-INDEX(配置与结果!$I$15:$I$18,F682))</f>
        <v>1200</v>
      </c>
      <c r="AF682" s="1">
        <f>方案参数!$BL$21</f>
        <v>9</v>
      </c>
      <c r="AG682" s="1">
        <f>MAX(配置与结果!$B$32,1+INDEX(配置与结果!$F$15:$F$18,F682)+0.08+方案参数!$CD$21+Q682*方案参数!$W$21+Y682*(方案参数!$AN$21+MIN(方案参数!$AO$21,P682*0.03))+AB682*方案参数!$BZ$21*0.025-配置与结果!$B$28+方案参数!$AE$21)</f>
        <v>2.7250000000000001</v>
      </c>
      <c r="AH682" s="1">
        <f>MAX(0,1+V682*方案参数!$U$21+5*方案参数!$V$21+方案参数!$AE$21-配置与结果!$B$29)</f>
        <v>1.8599999999999999</v>
      </c>
      <c r="AI682" s="1">
        <f>IF(OR(INDEX(配置与结果!$K$15:$K$18,F682)=1,G682="RHI_BERRY"),1+配置与结果!$B$33+P682*方案参数!$AH$21,1)</f>
        <v>1</v>
      </c>
      <c r="AJ682" s="1">
        <f>MIN(1,MAX(0,J682+方案参数!$AB$21-配置与结果!$B$27))</f>
        <v>1</v>
      </c>
      <c r="AK682" s="1">
        <f>MAX(1,K682+IF(F682=2,0.15+方案参数!$CH$21,0)+BN682*方案参数!$X$21+R682*方案参数!$AA$21+方案参数!$BP$21-配置与结果!$B$26+Z682*(方案参数!$AP$21+MIN(方案参数!$AQ$21,P682*0.03)))</f>
        <v>2.8750000000000004</v>
      </c>
      <c r="AL682" s="7">
        <f>ROUNDDOWN(MAX(AD682*配置与结果!$B$31,AD682-AE682)*AF682*AG682*AH682*AI682,0)</f>
        <v>86397</v>
      </c>
      <c r="AM682" s="7">
        <f>ROUNDDOWN(MAX(AD682*配置与结果!$B$31,AD682-AE682)*AF682*AG682*AH682*AI682*AK682,0)</f>
        <v>248393</v>
      </c>
      <c r="AN682" s="7">
        <f t="shared" si="912"/>
        <v>248393</v>
      </c>
      <c r="AO682" s="7">
        <f>0</f>
        <v>0</v>
      </c>
      <c r="AP682" s="7">
        <f>MAX(0,1+INDEX(配置与结果!$J$15:$J$18,F682)+IF(T682&gt;0,方案参数!$BY$21,0)-配置与结果!$B$30)</f>
        <v>1</v>
      </c>
      <c r="AQ682" s="7">
        <f t="shared" si="913"/>
        <v>0</v>
      </c>
      <c r="AR682" s="7">
        <f t="shared" si="914"/>
        <v>0</v>
      </c>
      <c r="AS682" s="7">
        <f t="shared" si="915"/>
        <v>0</v>
      </c>
      <c r="AT682" s="7">
        <f>IF(U682&gt;0,ROUNDDOWN(AL682*方案参数!$AF$21,0)*(1-AJ682)+ROUNDDOWN(AM682*方案参数!$AF$21,0)*AJ682,0)</f>
        <v>0</v>
      </c>
      <c r="AU682" s="7">
        <f t="shared" si="916"/>
        <v>248393</v>
      </c>
      <c r="AV682" s="1">
        <f t="shared" si="917"/>
        <v>2</v>
      </c>
      <c r="AW682" s="1">
        <f t="shared" si="964"/>
        <v>10</v>
      </c>
      <c r="AX682" s="1">
        <f t="shared" si="918"/>
        <v>2</v>
      </c>
      <c r="AY682" s="1">
        <f>MIN(20,MAX(0,O682+0+1-0))</f>
        <v>5</v>
      </c>
      <c r="AZ682" s="1">
        <f t="shared" si="919"/>
        <v>7</v>
      </c>
      <c r="BA682" s="1">
        <f t="shared" si="955"/>
        <v>5</v>
      </c>
      <c r="BB682" s="1">
        <f t="shared" si="963"/>
        <v>20</v>
      </c>
      <c r="BC682" s="1">
        <f t="shared" si="961"/>
        <v>3</v>
      </c>
      <c r="BD682" s="1">
        <f t="shared" si="942"/>
        <v>0</v>
      </c>
      <c r="BE682" s="1">
        <f>MAX(0,U682-IF(AF682&gt;0,1,0))+0</f>
        <v>0</v>
      </c>
      <c r="BF682" s="1">
        <f t="shared" si="965"/>
        <v>4</v>
      </c>
      <c r="BG682" s="1">
        <f t="shared" si="952"/>
        <v>1</v>
      </c>
      <c r="BH682" s="1">
        <f t="shared" si="936"/>
        <v>1</v>
      </c>
      <c r="BI682" s="1">
        <f t="shared" si="953"/>
        <v>1</v>
      </c>
      <c r="BJ682" s="1">
        <f t="shared" si="956"/>
        <v>1</v>
      </c>
      <c r="BK682" s="1">
        <f t="shared" si="957"/>
        <v>1</v>
      </c>
      <c r="BL682" s="1">
        <f t="shared" si="962"/>
        <v>1</v>
      </c>
      <c r="BM682" s="1">
        <f t="shared" si="960"/>
        <v>1</v>
      </c>
      <c r="BN682" s="1">
        <f t="shared" si="937"/>
        <v>1</v>
      </c>
      <c r="BO682" s="1">
        <f t="shared" si="938"/>
        <v>1</v>
      </c>
    </row>
    <row r="683" spans="1:67" ht="30.95" customHeight="1">
      <c r="A683" s="1">
        <f>18</f>
        <v>18</v>
      </c>
      <c r="B683" s="1">
        <f>固定流程!A35</f>
        <v>30</v>
      </c>
      <c r="C683" s="1">
        <f>21</f>
        <v>21</v>
      </c>
      <c r="D683" s="1">
        <f>2</f>
        <v>2</v>
      </c>
      <c r="E683" s="1">
        <f>固定流程!C35</f>
        <v>3</v>
      </c>
      <c r="F683" s="1">
        <f>固定流程!G35</f>
        <v>2</v>
      </c>
      <c r="G683" s="1" t="str">
        <f>固定流程!H35</f>
        <v>37_WEAK</v>
      </c>
      <c r="H683" s="1">
        <f>固定流程!F35</f>
        <v>1</v>
      </c>
      <c r="I683" s="1">
        <f>INDEX(配置与结果!$B$15:$B$18,F683)</f>
        <v>2306</v>
      </c>
      <c r="J683" s="1">
        <f>INDEX(配置与结果!$D$15:$D$18,F683)</f>
        <v>0.46</v>
      </c>
      <c r="K683" s="1">
        <f>INDEX(配置与结果!$E$15:$E$18,F683)</f>
        <v>1.9279999999999999</v>
      </c>
      <c r="L683" s="1">
        <f t="shared" si="949"/>
        <v>2</v>
      </c>
      <c r="M683" s="1">
        <f t="shared" si="950"/>
        <v>10</v>
      </c>
      <c r="N683" s="1">
        <f t="shared" si="951"/>
        <v>2</v>
      </c>
      <c r="O683" s="1">
        <f t="shared" si="943"/>
        <v>5</v>
      </c>
      <c r="P683" s="1">
        <f>MIN(方案参数!$AI$21,AZ682+0+0)</f>
        <v>7</v>
      </c>
      <c r="Q683" s="1">
        <f t="shared" si="921"/>
        <v>5</v>
      </c>
      <c r="R683" s="1">
        <f t="shared" si="922"/>
        <v>20</v>
      </c>
      <c r="S683" s="1">
        <f t="shared" si="923"/>
        <v>3</v>
      </c>
      <c r="T683" s="1">
        <f t="shared" si="958"/>
        <v>0</v>
      </c>
      <c r="U683" s="1">
        <f t="shared" si="925"/>
        <v>0</v>
      </c>
      <c r="V683" s="1">
        <f t="shared" si="926"/>
        <v>4</v>
      </c>
      <c r="W683" s="1">
        <f t="shared" si="927"/>
        <v>1</v>
      </c>
      <c r="X683" s="1">
        <f t="shared" si="928"/>
        <v>1</v>
      </c>
      <c r="Y683" s="1">
        <f t="shared" si="929"/>
        <v>1</v>
      </c>
      <c r="Z683" s="1">
        <f t="shared" si="930"/>
        <v>1</v>
      </c>
      <c r="AA683" s="1">
        <f t="shared" si="954"/>
        <v>1</v>
      </c>
      <c r="AB683" s="1">
        <f t="shared" si="932"/>
        <v>1</v>
      </c>
      <c r="AC683" s="1">
        <f t="shared" si="959"/>
        <v>1</v>
      </c>
      <c r="AD683" s="1">
        <f>ROUNDDOWN(I683*(1+IF(F683=3,0.05+方案参数!$Y$21+AA683*0.12,IF(F683=4,方案参数!$BZ$21*方案参数!$AS$21,0)))+IF(AND(X683=1,F683&lt;&gt;3),方案参数!$CC$21,0)+AC683*方案参数!$CB$21,0)</f>
        <v>3104</v>
      </c>
      <c r="AE683" s="1">
        <f>IF(OR(F683=1,F683=4),配置与结果!$B$24,配置与结果!$B$25)*MAX(0,1-INDEX(配置与结果!$I$15:$I$18,F683))</f>
        <v>1000</v>
      </c>
      <c r="AF683" s="1">
        <f>方案参数!$CE$21</f>
        <v>8</v>
      </c>
      <c r="AG683" s="1">
        <f>MAX(配置与结果!$B$32,1+INDEX(配置与结果!$F$15:$F$18,F683)+0+Q683*方案参数!$W$21+Y683*(方案参数!$AN$21+MIN(方案参数!$AO$21,P683*0.03))+AB683*方案参数!$BZ$21*0.025-配置与结果!$B$28+方案参数!$AE$21)</f>
        <v>2.39</v>
      </c>
      <c r="AH683" s="1">
        <f>MAX(0,1+V683*方案参数!$U$21+方案参数!$AE$21-配置与结果!$B$29)</f>
        <v>1.56</v>
      </c>
      <c r="AI683" s="1">
        <f>IF(OR(INDEX(配置与结果!$K$15:$K$18,F683)=1,G683="RHI_BERRY"),1+配置与结果!$B$33+P683*方案参数!$AH$21,1)</f>
        <v>1</v>
      </c>
      <c r="AJ683" s="1">
        <f>MIN(1,MAX(0,J683+方案参数!$AB$21-配置与结果!$B$27))</f>
        <v>0.76</v>
      </c>
      <c r="AK683" s="1">
        <f>MAX(1,K683+IF(F683=2,0.15+方案参数!$CH$21,0)+BN683*方案参数!$X$21+R683*方案参数!$AA$21+0-配置与结果!$B$26+Z683*(方案参数!$AP$21+MIN(方案参数!$AQ$21,P683*0.03)))</f>
        <v>2.4480000000000004</v>
      </c>
      <c r="AL683" s="7">
        <f>ROUNDDOWN(MAX(AD683*配置与结果!$B$31,AD683-AE683)*AF683*AG683*AH683*AI683,0)</f>
        <v>62756</v>
      </c>
      <c r="AM683" s="7">
        <f>ROUNDDOWN(MAX(AD683*配置与结果!$B$31,AD683-AE683)*AF683*AG683*AH683*AI683*AK683,0)</f>
        <v>153627</v>
      </c>
      <c r="AN683" s="7">
        <f t="shared" si="912"/>
        <v>131817.96</v>
      </c>
      <c r="AO683" s="7">
        <f>0</f>
        <v>0</v>
      </c>
      <c r="AP683" s="7">
        <f>MAX(0,1+INDEX(配置与结果!$J$15:$J$18,F683)+IF(T683&gt;0,方案参数!$BY$21,0)-配置与结果!$B$30)</f>
        <v>1</v>
      </c>
      <c r="AQ683" s="7">
        <f t="shared" si="913"/>
        <v>0</v>
      </c>
      <c r="AR683" s="7">
        <f t="shared" si="914"/>
        <v>0</v>
      </c>
      <c r="AS683" s="7">
        <f t="shared" si="915"/>
        <v>0</v>
      </c>
      <c r="AT683" s="7">
        <f>IF(U683&gt;0,ROUNDDOWN(AL683*方案参数!$AF$21,0)*(1-AJ683)+ROUNDDOWN(AM683*方案参数!$AF$21,0)*AJ683,0)</f>
        <v>0</v>
      </c>
      <c r="AU683" s="7">
        <f t="shared" si="916"/>
        <v>131817.96</v>
      </c>
      <c r="AV683" s="1">
        <f t="shared" si="917"/>
        <v>2</v>
      </c>
      <c r="AW683" s="1">
        <f t="shared" si="964"/>
        <v>10</v>
      </c>
      <c r="AX683" s="1">
        <f t="shared" si="918"/>
        <v>2</v>
      </c>
      <c r="AY683" s="1">
        <f>MIN(20,MAX(0,O683+0+0-0))</f>
        <v>5</v>
      </c>
      <c r="AZ683" s="1">
        <f t="shared" si="919"/>
        <v>7</v>
      </c>
      <c r="BA683" s="1">
        <f t="shared" si="955"/>
        <v>5</v>
      </c>
      <c r="BB683" s="1">
        <f t="shared" si="963"/>
        <v>20</v>
      </c>
      <c r="BC683" s="1">
        <f t="shared" si="961"/>
        <v>3</v>
      </c>
      <c r="BD683" s="1">
        <f t="shared" si="942"/>
        <v>0</v>
      </c>
      <c r="BE683" s="1">
        <f>MAX(0,U683-IF(AF683&gt;0,1,0))+1</f>
        <v>1</v>
      </c>
      <c r="BF683" s="1">
        <f t="shared" si="965"/>
        <v>4</v>
      </c>
      <c r="BG683" s="1">
        <f t="shared" si="952"/>
        <v>1</v>
      </c>
      <c r="BH683" s="1">
        <f t="shared" si="936"/>
        <v>1</v>
      </c>
      <c r="BI683" s="1">
        <f t="shared" si="953"/>
        <v>1</v>
      </c>
      <c r="BJ683" s="1">
        <f t="shared" si="956"/>
        <v>1</v>
      </c>
      <c r="BK683" s="1">
        <f t="shared" si="957"/>
        <v>1</v>
      </c>
      <c r="BL683" s="1">
        <f t="shared" si="962"/>
        <v>1</v>
      </c>
      <c r="BM683" s="1">
        <f t="shared" si="960"/>
        <v>1</v>
      </c>
      <c r="BN683" s="1">
        <f t="shared" si="937"/>
        <v>1</v>
      </c>
      <c r="BO683" s="1">
        <f t="shared" si="938"/>
        <v>1</v>
      </c>
    </row>
    <row r="684" spans="1:67" ht="30.95" customHeight="1">
      <c r="A684" s="1">
        <f>18</f>
        <v>18</v>
      </c>
      <c r="B684" s="1">
        <f>固定流程!A36</f>
        <v>31</v>
      </c>
      <c r="C684" s="1">
        <f>21</f>
        <v>21</v>
      </c>
      <c r="D684" s="1">
        <f>2</f>
        <v>2</v>
      </c>
      <c r="E684" s="1">
        <f>固定流程!C36</f>
        <v>3</v>
      </c>
      <c r="F684" s="1">
        <f>固定流程!G36</f>
        <v>1</v>
      </c>
      <c r="G684" s="1" t="str">
        <f>固定流程!H36</f>
        <v>LILYA_THIRD</v>
      </c>
      <c r="H684" s="1">
        <f>固定流程!F36</f>
        <v>1</v>
      </c>
      <c r="I684" s="1">
        <f>INDEX(配置与结果!$B$15:$B$18,F684)</f>
        <v>2296</v>
      </c>
      <c r="J684" s="1">
        <f>INDEX(配置与结果!$D$15:$D$18,F684)</f>
        <v>0.7</v>
      </c>
      <c r="K684" s="1">
        <f>INDEX(配置与结果!$E$15:$E$18,F684)</f>
        <v>2.0249999999999999</v>
      </c>
      <c r="L684" s="1">
        <f t="shared" si="949"/>
        <v>2</v>
      </c>
      <c r="M684" s="1">
        <f t="shared" si="950"/>
        <v>10</v>
      </c>
      <c r="N684" s="1">
        <f t="shared" si="951"/>
        <v>2</v>
      </c>
      <c r="O684" s="1">
        <f t="shared" si="943"/>
        <v>5</v>
      </c>
      <c r="P684" s="1">
        <f>MIN(方案参数!$AI$21,AZ683+0+0)</f>
        <v>7</v>
      </c>
      <c r="Q684" s="1">
        <f t="shared" si="921"/>
        <v>5</v>
      </c>
      <c r="R684" s="1">
        <f t="shared" si="922"/>
        <v>20</v>
      </c>
      <c r="S684" s="1">
        <f t="shared" si="923"/>
        <v>3</v>
      </c>
      <c r="T684" s="1">
        <f t="shared" si="958"/>
        <v>0</v>
      </c>
      <c r="U684" s="1">
        <f t="shared" si="925"/>
        <v>1</v>
      </c>
      <c r="V684" s="1">
        <f t="shared" si="926"/>
        <v>4</v>
      </c>
      <c r="W684" s="1">
        <f t="shared" si="927"/>
        <v>1</v>
      </c>
      <c r="X684" s="1">
        <f t="shared" si="928"/>
        <v>1</v>
      </c>
      <c r="Y684" s="1">
        <f t="shared" si="929"/>
        <v>1</v>
      </c>
      <c r="Z684" s="1">
        <f t="shared" si="930"/>
        <v>1</v>
      </c>
      <c r="AA684" s="1">
        <f t="shared" si="954"/>
        <v>1</v>
      </c>
      <c r="AB684" s="1">
        <f t="shared" si="932"/>
        <v>1</v>
      </c>
      <c r="AC684" s="1">
        <f t="shared" si="959"/>
        <v>1</v>
      </c>
      <c r="AD684" s="1">
        <f>ROUNDDOWN(I684*(1+IF(F684=3,0.05+方案参数!$Y$21+AA684*0.12,IF(F684=4,方案参数!$BZ$21*方案参数!$AS$21,0)))+IF(AND(X684=1,F684&lt;&gt;3),方案参数!$CC$21,0)+AC684*方案参数!$CB$21,0)</f>
        <v>3094</v>
      </c>
      <c r="AE684" s="1">
        <f>IF(OR(F684=1,F684=4),配置与结果!$B$24,配置与结果!$B$25)*MAX(0,1-INDEX(配置与结果!$I$15:$I$18,F684))</f>
        <v>1200</v>
      </c>
      <c r="AF684" s="1">
        <f>方案参数!$BM$21</f>
        <v>20</v>
      </c>
      <c r="AG684" s="1">
        <f>MAX(配置与结果!$B$32,1+INDEX(配置与结果!$F$15:$F$18,F684)+0.08+方案参数!$CD$21+Q684*方案参数!$W$21+Y684*(方案参数!$AN$21+MIN(方案参数!$AO$21,P684*0.03))+AB684*方案参数!$BZ$21*0.025-配置与结果!$B$28+方案参数!$AE$21)</f>
        <v>2.7250000000000001</v>
      </c>
      <c r="AH684" s="1">
        <f>MAX(0,1+V684*方案参数!$U$21+7*方案参数!$V$21+方案参数!$AE$21-配置与结果!$B$29)</f>
        <v>1.98</v>
      </c>
      <c r="AI684" s="1">
        <f>IF(OR(INDEX(配置与结果!$K$15:$K$18,F684)=1,G684="RHI_BERRY"),1+配置与结果!$B$33+P684*方案参数!$AH$21,1)</f>
        <v>1</v>
      </c>
      <c r="AJ684" s="1">
        <f>MIN(1,MAX(0,J684+方案参数!$AB$21-配置与结果!$B$27))</f>
        <v>1</v>
      </c>
      <c r="AK684" s="1">
        <f>MAX(1,K684+IF(F684=2,0.15+方案参数!$CH$21,0)+BN684*方案参数!$X$21+R684*方案参数!$AA$21+方案参数!$BQ$21-配置与结果!$B$26+Z684*(方案参数!$AP$21+MIN(方案参数!$AQ$21,P684*0.03)))</f>
        <v>3.0750000000000006</v>
      </c>
      <c r="AL684" s="7">
        <f>ROUNDDOWN(MAX(AD684*配置与结果!$B$31,AD684-AE684)*AF684*AG684*AH684*AI684,0)</f>
        <v>204381</v>
      </c>
      <c r="AM684" s="7">
        <f>ROUNDDOWN(MAX(AD684*配置与结果!$B$31,AD684-AE684)*AF684*AG684*AH684*AI684*AK684,0)</f>
        <v>628473</v>
      </c>
      <c r="AN684" s="7">
        <f t="shared" si="912"/>
        <v>628473</v>
      </c>
      <c r="AO684" s="7">
        <f>0</f>
        <v>0</v>
      </c>
      <c r="AP684" s="7">
        <f>MAX(0,1+INDEX(配置与结果!$J$15:$J$18,F684)+IF(T684&gt;0,方案参数!$BY$21,0)-配置与结果!$B$30)</f>
        <v>1</v>
      </c>
      <c r="AQ684" s="7">
        <f t="shared" si="913"/>
        <v>0</v>
      </c>
      <c r="AR684" s="7">
        <f t="shared" si="914"/>
        <v>0</v>
      </c>
      <c r="AS684" s="7">
        <f t="shared" si="915"/>
        <v>0</v>
      </c>
      <c r="AT684" s="7">
        <f>IF(U684&gt;0,ROUNDDOWN(AL684*方案参数!$AF$21,0)*(1-AJ684)+ROUNDDOWN(AM684*方案参数!$AF$21,0)*AJ684,0)</f>
        <v>251389</v>
      </c>
      <c r="AU684" s="7">
        <f t="shared" si="916"/>
        <v>879862</v>
      </c>
      <c r="AV684" s="1">
        <f t="shared" si="917"/>
        <v>2</v>
      </c>
      <c r="AW684" s="1">
        <f t="shared" si="964"/>
        <v>10</v>
      </c>
      <c r="AX684" s="1">
        <f t="shared" si="918"/>
        <v>2</v>
      </c>
      <c r="AY684" s="1">
        <f>MIN(20,MAX(0,O684+0+1-0))</f>
        <v>6</v>
      </c>
      <c r="AZ684" s="1">
        <f t="shared" si="919"/>
        <v>7</v>
      </c>
      <c r="BA684" s="1">
        <f t="shared" si="955"/>
        <v>5</v>
      </c>
      <c r="BB684" s="1">
        <f t="shared" si="963"/>
        <v>20</v>
      </c>
      <c r="BC684" s="1">
        <f t="shared" si="961"/>
        <v>3</v>
      </c>
      <c r="BD684" s="1">
        <f t="shared" si="942"/>
        <v>0</v>
      </c>
      <c r="BE684" s="1">
        <f>MAX(0,U684-IF(AF684&gt;0,1,0))+0</f>
        <v>0</v>
      </c>
      <c r="BF684" s="1">
        <f t="shared" si="965"/>
        <v>4</v>
      </c>
      <c r="BG684" s="1">
        <f t="shared" si="952"/>
        <v>1</v>
      </c>
      <c r="BH684" s="1">
        <f t="shared" si="936"/>
        <v>1</v>
      </c>
      <c r="BI684" s="1">
        <f t="shared" si="953"/>
        <v>1</v>
      </c>
      <c r="BJ684" s="1">
        <f t="shared" si="956"/>
        <v>1</v>
      </c>
      <c r="BK684" s="1">
        <f t="shared" si="957"/>
        <v>1</v>
      </c>
      <c r="BL684" s="1">
        <f t="shared" si="962"/>
        <v>1</v>
      </c>
      <c r="BM684" s="1">
        <f t="shared" si="960"/>
        <v>1</v>
      </c>
      <c r="BN684" s="1">
        <f t="shared" si="937"/>
        <v>1</v>
      </c>
      <c r="BO684" s="1">
        <f t="shared" si="938"/>
        <v>1</v>
      </c>
    </row>
    <row r="685" spans="1:67" ht="30.95" customHeight="1">
      <c r="A685" s="1">
        <f>18</f>
        <v>18</v>
      </c>
      <c r="B685" s="1">
        <f>固定流程!A37</f>
        <v>32</v>
      </c>
      <c r="C685" s="1">
        <f>21</f>
        <v>21</v>
      </c>
      <c r="D685" s="1">
        <f>2</f>
        <v>2</v>
      </c>
      <c r="E685" s="1">
        <f>固定流程!C37</f>
        <v>3</v>
      </c>
      <c r="F685" s="1">
        <f>固定流程!G37</f>
        <v>1</v>
      </c>
      <c r="G685" s="1" t="str">
        <f>固定流程!H37</f>
        <v>LILYA_WEAK</v>
      </c>
      <c r="H685" s="1">
        <f>固定流程!F37</f>
        <v>1</v>
      </c>
      <c r="I685" s="1">
        <f>INDEX(配置与结果!$B$15:$B$18,F685)</f>
        <v>2296</v>
      </c>
      <c r="J685" s="1">
        <f>INDEX(配置与结果!$D$15:$D$18,F685)</f>
        <v>0.7</v>
      </c>
      <c r="K685" s="1">
        <f>INDEX(配置与结果!$E$15:$E$18,F685)</f>
        <v>2.0249999999999999</v>
      </c>
      <c r="L685" s="1">
        <f t="shared" si="949"/>
        <v>2</v>
      </c>
      <c r="M685" s="1">
        <f t="shared" si="950"/>
        <v>10</v>
      </c>
      <c r="N685" s="1">
        <f t="shared" si="951"/>
        <v>2</v>
      </c>
      <c r="O685" s="1">
        <f t="shared" si="943"/>
        <v>6</v>
      </c>
      <c r="P685" s="1">
        <f>MIN(方案参数!$AI$21,AZ684+0+0)</f>
        <v>7</v>
      </c>
      <c r="Q685" s="1">
        <f t="shared" si="921"/>
        <v>5</v>
      </c>
      <c r="R685" s="1">
        <f t="shared" si="922"/>
        <v>20</v>
      </c>
      <c r="S685" s="1">
        <f t="shared" si="923"/>
        <v>3</v>
      </c>
      <c r="T685" s="1">
        <f t="shared" si="958"/>
        <v>0</v>
      </c>
      <c r="U685" s="1">
        <f t="shared" si="925"/>
        <v>0</v>
      </c>
      <c r="V685" s="1">
        <f t="shared" si="926"/>
        <v>4</v>
      </c>
      <c r="W685" s="1">
        <f t="shared" si="927"/>
        <v>1</v>
      </c>
      <c r="X685" s="1">
        <f t="shared" si="928"/>
        <v>1</v>
      </c>
      <c r="Y685" s="1">
        <f t="shared" si="929"/>
        <v>1</v>
      </c>
      <c r="Z685" s="1">
        <f t="shared" si="930"/>
        <v>1</v>
      </c>
      <c r="AA685" s="1">
        <f t="shared" si="954"/>
        <v>1</v>
      </c>
      <c r="AB685" s="1">
        <f t="shared" si="932"/>
        <v>1</v>
      </c>
      <c r="AC685" s="1">
        <f t="shared" si="959"/>
        <v>1</v>
      </c>
      <c r="AD685" s="1">
        <f>ROUNDDOWN(I685*(1+IF(F685=3,0.05+方案参数!$Y$21+AA685*0.12,IF(F685=4,方案参数!$BZ$21*方案参数!$AS$21,0)))+IF(AND(X685=1,F685&lt;&gt;3),方案参数!$CC$21,0)+AC685*方案参数!$CB$21,0)</f>
        <v>3094</v>
      </c>
      <c r="AE685" s="1">
        <f>IF(OR(F685=1,F685=4),配置与结果!$B$24,配置与结果!$B$25)*MAX(0,1-INDEX(配置与结果!$I$15:$I$18,F685))</f>
        <v>1200</v>
      </c>
      <c r="AF685" s="1">
        <f>方案参数!$BL$21</f>
        <v>9</v>
      </c>
      <c r="AG685" s="1">
        <f>MAX(配置与结果!$B$32,1+INDEX(配置与结果!$F$15:$F$18,F685)+0.08+方案参数!$CD$21+Q685*方案参数!$W$21+Y685*(方案参数!$AN$21+MIN(方案参数!$AO$21,P685*0.03))+AB685*方案参数!$BZ$21*0.025-配置与结果!$B$28+方案参数!$AE$21)</f>
        <v>2.7250000000000001</v>
      </c>
      <c r="AH685" s="1">
        <f>MAX(0,1+V685*方案参数!$U$21+8*方案参数!$V$21+方案参数!$AE$21-配置与结果!$B$29)</f>
        <v>2.04</v>
      </c>
      <c r="AI685" s="1">
        <f>IF(OR(INDEX(配置与结果!$K$15:$K$18,F685)=1,G685="RHI_BERRY"),1+配置与结果!$B$33+P685*方案参数!$AH$21,1)</f>
        <v>1</v>
      </c>
      <c r="AJ685" s="1">
        <f>MIN(1,MAX(0,J685+方案参数!$AB$21-配置与结果!$B$27))</f>
        <v>1</v>
      </c>
      <c r="AK685" s="1">
        <f>MAX(1,K685+IF(F685=2,0.15+方案参数!$CH$21,0)+BN685*方案参数!$X$21+R685*方案参数!$AA$21+方案参数!$BP$21-配置与结果!$B$26+Z685*(方案参数!$AP$21+MIN(方案参数!$AQ$21,P685*0.03)))</f>
        <v>2.8750000000000004</v>
      </c>
      <c r="AL685" s="7">
        <f>ROUNDDOWN(MAX(AD685*配置与结果!$B$31,AD685-AE685)*AF685*AG685*AH685*AI685,0)</f>
        <v>94758</v>
      </c>
      <c r="AM685" s="7">
        <f>ROUNDDOWN(MAX(AD685*配置与结果!$B$31,AD685-AE685)*AF685*AG685*AH685*AI685*AK685,0)</f>
        <v>272431</v>
      </c>
      <c r="AN685" s="7">
        <f t="shared" si="912"/>
        <v>272431</v>
      </c>
      <c r="AO685" s="7">
        <f>0</f>
        <v>0</v>
      </c>
      <c r="AP685" s="7">
        <f>MAX(0,1+INDEX(配置与结果!$J$15:$J$18,F685)+IF(T685&gt;0,方案参数!$BY$21,0)-配置与结果!$B$30)</f>
        <v>1</v>
      </c>
      <c r="AQ685" s="7">
        <f t="shared" si="913"/>
        <v>0</v>
      </c>
      <c r="AR685" s="7">
        <f t="shared" si="914"/>
        <v>0</v>
      </c>
      <c r="AS685" s="7">
        <f t="shared" si="915"/>
        <v>0</v>
      </c>
      <c r="AT685" s="7">
        <f>IF(U685&gt;0,ROUNDDOWN(AL685*方案参数!$AF$21,0)*(1-AJ685)+ROUNDDOWN(AM685*方案参数!$AF$21,0)*AJ685,0)</f>
        <v>0</v>
      </c>
      <c r="AU685" s="7">
        <f t="shared" si="916"/>
        <v>272431</v>
      </c>
      <c r="AV685" s="1">
        <f t="shared" si="917"/>
        <v>2</v>
      </c>
      <c r="AW685" s="1">
        <f t="shared" si="964"/>
        <v>10</v>
      </c>
      <c r="AX685" s="1">
        <f t="shared" si="918"/>
        <v>2</v>
      </c>
      <c r="AY685" s="1">
        <f>MIN(20,MAX(0,O685+0+1-0))</f>
        <v>7</v>
      </c>
      <c r="AZ685" s="1">
        <f t="shared" si="919"/>
        <v>7</v>
      </c>
      <c r="BA685" s="1">
        <f t="shared" si="955"/>
        <v>5</v>
      </c>
      <c r="BB685" s="1">
        <f t="shared" si="963"/>
        <v>20</v>
      </c>
      <c r="BC685" s="1">
        <f t="shared" si="961"/>
        <v>3</v>
      </c>
      <c r="BD685" s="1">
        <f t="shared" si="942"/>
        <v>0</v>
      </c>
      <c r="BE685" s="1">
        <f>MAX(0,U685-IF(AF685&gt;0,1,0))+0</f>
        <v>0</v>
      </c>
      <c r="BF685" s="1">
        <f t="shared" si="965"/>
        <v>4</v>
      </c>
      <c r="BG685" s="1">
        <f t="shared" si="952"/>
        <v>1</v>
      </c>
      <c r="BH685" s="1">
        <f t="shared" si="936"/>
        <v>1</v>
      </c>
      <c r="BI685" s="1">
        <f t="shared" si="953"/>
        <v>1</v>
      </c>
      <c r="BJ685" s="1">
        <f t="shared" si="956"/>
        <v>1</v>
      </c>
      <c r="BK685" s="1">
        <f t="shared" si="957"/>
        <v>1</v>
      </c>
      <c r="BL685" s="1">
        <f t="shared" si="962"/>
        <v>1</v>
      </c>
      <c r="BM685" s="1">
        <f t="shared" si="960"/>
        <v>1</v>
      </c>
      <c r="BN685" s="1">
        <f t="shared" si="937"/>
        <v>1</v>
      </c>
      <c r="BO685" s="1">
        <f t="shared" si="938"/>
        <v>1</v>
      </c>
    </row>
    <row r="686" spans="1:67" ht="30.95" customHeight="1">
      <c r="A686" s="1">
        <f>18</f>
        <v>18</v>
      </c>
      <c r="B686" s="1">
        <f>固定流程!A38</f>
        <v>33</v>
      </c>
      <c r="C686" s="1">
        <f>21</f>
        <v>21</v>
      </c>
      <c r="D686" s="1">
        <f>2</f>
        <v>2</v>
      </c>
      <c r="E686" s="1">
        <f>固定流程!C38</f>
        <v>3</v>
      </c>
      <c r="F686" s="1">
        <f>固定流程!G38</f>
        <v>1</v>
      </c>
      <c r="G686" s="1" t="str">
        <f>固定流程!H38</f>
        <v>LILYA_WEAK</v>
      </c>
      <c r="H686" s="1">
        <f>固定流程!F38</f>
        <v>1</v>
      </c>
      <c r="I686" s="1">
        <f>INDEX(配置与结果!$B$15:$B$18,F686)</f>
        <v>2296</v>
      </c>
      <c r="J686" s="1">
        <f>INDEX(配置与结果!$D$15:$D$18,F686)</f>
        <v>0.7</v>
      </c>
      <c r="K686" s="1">
        <f>INDEX(配置与结果!$E$15:$E$18,F686)</f>
        <v>2.0249999999999999</v>
      </c>
      <c r="L686" s="1">
        <f t="shared" si="949"/>
        <v>2</v>
      </c>
      <c r="M686" s="1">
        <f t="shared" si="950"/>
        <v>10</v>
      </c>
      <c r="N686" s="1">
        <f t="shared" si="951"/>
        <v>2</v>
      </c>
      <c r="O686" s="1">
        <f t="shared" si="943"/>
        <v>7</v>
      </c>
      <c r="P686" s="1">
        <f>MIN(方案参数!$AI$21,AZ685+0+0)</f>
        <v>7</v>
      </c>
      <c r="Q686" s="1">
        <f t="shared" si="921"/>
        <v>5</v>
      </c>
      <c r="R686" s="1">
        <f t="shared" si="922"/>
        <v>20</v>
      </c>
      <c r="S686" s="1">
        <f t="shared" si="923"/>
        <v>3</v>
      </c>
      <c r="T686" s="1">
        <f t="shared" si="958"/>
        <v>0</v>
      </c>
      <c r="U686" s="1">
        <f t="shared" si="925"/>
        <v>0</v>
      </c>
      <c r="V686" s="1">
        <f t="shared" si="926"/>
        <v>4</v>
      </c>
      <c r="W686" s="1">
        <f t="shared" si="927"/>
        <v>1</v>
      </c>
      <c r="X686" s="1">
        <f t="shared" si="928"/>
        <v>1</v>
      </c>
      <c r="Y686" s="1">
        <f t="shared" si="929"/>
        <v>1</v>
      </c>
      <c r="Z686" s="1">
        <f t="shared" si="930"/>
        <v>1</v>
      </c>
      <c r="AA686" s="1">
        <f t="shared" si="954"/>
        <v>1</v>
      </c>
      <c r="AB686" s="1">
        <f t="shared" si="932"/>
        <v>1</v>
      </c>
      <c r="AC686" s="1">
        <f t="shared" si="959"/>
        <v>1</v>
      </c>
      <c r="AD686" s="1">
        <f>ROUNDDOWN(I686*(1+IF(F686=3,0.05+方案参数!$Y$21+AA686*0.12,IF(F686=4,方案参数!$BZ$21*方案参数!$AS$21,0)))+IF(AND(X686=1,F686&lt;&gt;3),方案参数!$CC$21,0)+AC686*方案参数!$CB$21,0)</f>
        <v>3094</v>
      </c>
      <c r="AE686" s="1">
        <f>IF(OR(F686=1,F686=4),配置与结果!$B$24,配置与结果!$B$25)*MAX(0,1-INDEX(配置与结果!$I$15:$I$18,F686))</f>
        <v>1200</v>
      </c>
      <c r="AF686" s="1">
        <f>方案参数!$BL$21</f>
        <v>9</v>
      </c>
      <c r="AG686" s="1">
        <f>MAX(配置与结果!$B$32,1+INDEX(配置与结果!$F$15:$F$18,F686)+0.08+方案参数!$CD$21+Q686*方案参数!$W$21+Y686*(方案参数!$AN$21+MIN(方案参数!$AO$21,P686*0.03))+AB686*方案参数!$BZ$21*0.025-配置与结果!$B$28+方案参数!$AE$21)</f>
        <v>2.7250000000000001</v>
      </c>
      <c r="AH686" s="1">
        <f>MAX(0,1+V686*方案参数!$U$21+9*方案参数!$V$21+方案参数!$AE$21-配置与结果!$B$29)</f>
        <v>2.1</v>
      </c>
      <c r="AI686" s="1">
        <f>IF(OR(INDEX(配置与结果!$K$15:$K$18,F686)=1,G686="RHI_BERRY"),1+配置与结果!$B$33+P686*方案参数!$AH$21,1)</f>
        <v>1</v>
      </c>
      <c r="AJ686" s="1">
        <f>MIN(1,MAX(0,J686+方案参数!$AB$21-配置与结果!$B$27))</f>
        <v>1</v>
      </c>
      <c r="AK686" s="1">
        <f>MAX(1,K686+IF(F686=2,0.15+方案参数!$CH$21,0)+BN686*方案参数!$X$21+R686*方案参数!$AA$21+方案参数!$BP$21-配置与结果!$B$26+Z686*(方案参数!$AP$21+MIN(方案参数!$AQ$21,P686*0.03)))</f>
        <v>2.8750000000000004</v>
      </c>
      <c r="AL686" s="7">
        <f>ROUNDDOWN(MAX(AD686*配置与结果!$B$31,AD686-AE686)*AF686*AG686*AH686*AI686,0)</f>
        <v>97545</v>
      </c>
      <c r="AM686" s="7">
        <f>ROUNDDOWN(MAX(AD686*配置与结果!$B$31,AD686-AE686)*AF686*AG686*AH686*AI686*AK686,0)</f>
        <v>280443</v>
      </c>
      <c r="AN686" s="7">
        <f t="shared" si="912"/>
        <v>280443</v>
      </c>
      <c r="AO686" s="7">
        <f>0</f>
        <v>0</v>
      </c>
      <c r="AP686" s="7">
        <f>MAX(0,1+INDEX(配置与结果!$J$15:$J$18,F686)+IF(T686&gt;0,方案参数!$BY$21,0)-配置与结果!$B$30)</f>
        <v>1</v>
      </c>
      <c r="AQ686" s="7">
        <f t="shared" si="913"/>
        <v>0</v>
      </c>
      <c r="AR686" s="7">
        <f t="shared" si="914"/>
        <v>0</v>
      </c>
      <c r="AS686" s="7">
        <f t="shared" si="915"/>
        <v>0</v>
      </c>
      <c r="AT686" s="7">
        <f>IF(U686&gt;0,ROUNDDOWN(AL686*方案参数!$AF$21,0)*(1-AJ686)+ROUNDDOWN(AM686*方案参数!$AF$21,0)*AJ686,0)</f>
        <v>0</v>
      </c>
      <c r="AU686" s="7">
        <f t="shared" si="916"/>
        <v>280443</v>
      </c>
      <c r="AV686" s="1">
        <f t="shared" si="917"/>
        <v>2</v>
      </c>
      <c r="AW686" s="1">
        <f t="shared" si="964"/>
        <v>10</v>
      </c>
      <c r="AX686" s="1">
        <f t="shared" si="918"/>
        <v>2</v>
      </c>
      <c r="AY686" s="1">
        <f>MIN(20,MAX(0,O686+0+1-0))</f>
        <v>8</v>
      </c>
      <c r="AZ686" s="1">
        <f t="shared" si="919"/>
        <v>7</v>
      </c>
      <c r="BA686" s="1">
        <f t="shared" si="955"/>
        <v>5</v>
      </c>
      <c r="BB686" s="1">
        <f t="shared" si="963"/>
        <v>20</v>
      </c>
      <c r="BC686" s="1">
        <f t="shared" si="961"/>
        <v>3</v>
      </c>
      <c r="BD686" s="1">
        <f t="shared" si="942"/>
        <v>0</v>
      </c>
      <c r="BE686" s="1">
        <f>MAX(0,U686-IF(AF686&gt;0,1,0))+0</f>
        <v>0</v>
      </c>
      <c r="BF686" s="1">
        <f t="shared" si="965"/>
        <v>4</v>
      </c>
      <c r="BG686" s="1">
        <f t="shared" si="952"/>
        <v>1</v>
      </c>
      <c r="BH686" s="1">
        <f t="shared" si="936"/>
        <v>1</v>
      </c>
      <c r="BI686" s="1">
        <f t="shared" si="953"/>
        <v>1</v>
      </c>
      <c r="BJ686" s="1">
        <f t="shared" si="956"/>
        <v>1</v>
      </c>
      <c r="BK686" s="1">
        <f t="shared" si="957"/>
        <v>1</v>
      </c>
      <c r="BL686" s="1">
        <f t="shared" si="962"/>
        <v>1</v>
      </c>
      <c r="BM686" s="1">
        <f t="shared" si="960"/>
        <v>1</v>
      </c>
      <c r="BN686" s="1">
        <f t="shared" si="937"/>
        <v>1</v>
      </c>
      <c r="BO686" s="1">
        <f t="shared" si="938"/>
        <v>1</v>
      </c>
    </row>
    <row r="687" spans="1:67" ht="30.95" customHeight="1">
      <c r="A687" s="1">
        <f>18</f>
        <v>18</v>
      </c>
      <c r="B687" s="1">
        <f>固定流程!A39</f>
        <v>34</v>
      </c>
      <c r="C687" s="1">
        <f>21</f>
        <v>21</v>
      </c>
      <c r="D687" s="1">
        <f>2</f>
        <v>2</v>
      </c>
      <c r="E687" s="1">
        <f>固定流程!C39</f>
        <v>3</v>
      </c>
      <c r="F687" s="1">
        <f>固定流程!G39</f>
        <v>2</v>
      </c>
      <c r="G687" s="1" t="str">
        <f>固定流程!H39</f>
        <v>37_WEAK</v>
      </c>
      <c r="H687" s="1">
        <f>固定流程!F39</f>
        <v>1</v>
      </c>
      <c r="I687" s="1">
        <f>INDEX(配置与结果!$B$15:$B$18,F687)</f>
        <v>2306</v>
      </c>
      <c r="J687" s="1">
        <f>INDEX(配置与结果!$D$15:$D$18,F687)</f>
        <v>0.46</v>
      </c>
      <c r="K687" s="1">
        <f>INDEX(配置与结果!$E$15:$E$18,F687)</f>
        <v>1.9279999999999999</v>
      </c>
      <c r="L687" s="1">
        <f t="shared" si="949"/>
        <v>2</v>
      </c>
      <c r="M687" s="1">
        <f t="shared" si="950"/>
        <v>10</v>
      </c>
      <c r="N687" s="1">
        <f t="shared" si="951"/>
        <v>2</v>
      </c>
      <c r="O687" s="1">
        <f t="shared" si="943"/>
        <v>8</v>
      </c>
      <c r="P687" s="1">
        <f>MIN(方案参数!$AI$21,AZ686+0+0)</f>
        <v>7</v>
      </c>
      <c r="Q687" s="1">
        <f t="shared" si="921"/>
        <v>5</v>
      </c>
      <c r="R687" s="1">
        <f t="shared" si="922"/>
        <v>20</v>
      </c>
      <c r="S687" s="1">
        <f t="shared" si="923"/>
        <v>3</v>
      </c>
      <c r="T687" s="1">
        <f t="shared" si="958"/>
        <v>0</v>
      </c>
      <c r="U687" s="1">
        <f t="shared" si="925"/>
        <v>0</v>
      </c>
      <c r="V687" s="1">
        <f t="shared" si="926"/>
        <v>4</v>
      </c>
      <c r="W687" s="1">
        <f t="shared" si="927"/>
        <v>1</v>
      </c>
      <c r="X687" s="1">
        <f t="shared" si="928"/>
        <v>1</v>
      </c>
      <c r="Y687" s="1">
        <f t="shared" si="929"/>
        <v>1</v>
      </c>
      <c r="Z687" s="1">
        <f t="shared" si="930"/>
        <v>1</v>
      </c>
      <c r="AA687" s="1">
        <f t="shared" si="954"/>
        <v>1</v>
      </c>
      <c r="AB687" s="1">
        <f t="shared" si="932"/>
        <v>1</v>
      </c>
      <c r="AC687" s="1">
        <f t="shared" si="959"/>
        <v>1</v>
      </c>
      <c r="AD687" s="1">
        <f>ROUNDDOWN(I687*(1+IF(F687=3,0.05+方案参数!$Y$21+AA687*0.12,IF(F687=4,方案参数!$BZ$21*方案参数!$AS$21,0)))+IF(AND(X687=1,F687&lt;&gt;3),方案参数!$CC$21,0)+AC687*方案参数!$CB$21,0)</f>
        <v>3104</v>
      </c>
      <c r="AE687" s="1">
        <f>IF(OR(F687=1,F687=4),配置与结果!$B$24,配置与结果!$B$25)*MAX(0,1-INDEX(配置与结果!$I$15:$I$18,F687))</f>
        <v>1000</v>
      </c>
      <c r="AF687" s="1">
        <f>方案参数!$CE$21</f>
        <v>8</v>
      </c>
      <c r="AG687" s="1">
        <f>MAX(配置与结果!$B$32,1+INDEX(配置与结果!$F$15:$F$18,F687)+0+Q687*方案参数!$W$21+Y687*(方案参数!$AN$21+MIN(方案参数!$AO$21,P687*0.03))+AB687*方案参数!$BZ$21*0.025-配置与结果!$B$28+方案参数!$AE$21)</f>
        <v>2.39</v>
      </c>
      <c r="AH687" s="1">
        <f>MAX(0,1+V687*方案参数!$U$21+方案参数!$AE$21-配置与结果!$B$29)</f>
        <v>1.56</v>
      </c>
      <c r="AI687" s="1">
        <f>IF(OR(INDEX(配置与结果!$K$15:$K$18,F687)=1,G687="RHI_BERRY"),1+配置与结果!$B$33+P687*方案参数!$AH$21,1)</f>
        <v>1</v>
      </c>
      <c r="AJ687" s="1">
        <f>MIN(1,MAX(0,J687+方案参数!$AB$21-配置与结果!$B$27))</f>
        <v>0.76</v>
      </c>
      <c r="AK687" s="1">
        <f>MAX(1,K687+IF(F687=2,0.15+方案参数!$CH$21,0)+BN687*方案参数!$X$21+R687*方案参数!$AA$21+0-配置与结果!$B$26+Z687*(方案参数!$AP$21+MIN(方案参数!$AQ$21,P687*0.03)))</f>
        <v>2.4480000000000004</v>
      </c>
      <c r="AL687" s="7">
        <f>ROUNDDOWN(MAX(AD687*配置与结果!$B$31,AD687-AE687)*AF687*AG687*AH687*AI687,0)</f>
        <v>62756</v>
      </c>
      <c r="AM687" s="7">
        <f>ROUNDDOWN(MAX(AD687*配置与结果!$B$31,AD687-AE687)*AF687*AG687*AH687*AI687*AK687,0)</f>
        <v>153627</v>
      </c>
      <c r="AN687" s="7">
        <f t="shared" si="912"/>
        <v>131817.96</v>
      </c>
      <c r="AO687" s="7">
        <f>0</f>
        <v>0</v>
      </c>
      <c r="AP687" s="7">
        <f>MAX(0,1+INDEX(配置与结果!$J$15:$J$18,F687)+IF(T687&gt;0,方案参数!$BY$21,0)-配置与结果!$B$30)</f>
        <v>1</v>
      </c>
      <c r="AQ687" s="7">
        <f t="shared" si="913"/>
        <v>0</v>
      </c>
      <c r="AR687" s="7">
        <f t="shared" si="914"/>
        <v>0</v>
      </c>
      <c r="AS687" s="7">
        <f t="shared" si="915"/>
        <v>0</v>
      </c>
      <c r="AT687" s="7">
        <f>IF(U687&gt;0,ROUNDDOWN(AL687*方案参数!$AF$21,0)*(1-AJ687)+ROUNDDOWN(AM687*方案参数!$AF$21,0)*AJ687,0)</f>
        <v>0</v>
      </c>
      <c r="AU687" s="7">
        <f t="shared" si="916"/>
        <v>131817.96</v>
      </c>
      <c r="AV687" s="1">
        <f t="shared" si="917"/>
        <v>2</v>
      </c>
      <c r="AW687" s="1">
        <f t="shared" si="964"/>
        <v>10</v>
      </c>
      <c r="AX687" s="1">
        <f t="shared" si="918"/>
        <v>2</v>
      </c>
      <c r="AY687" s="1">
        <f>MIN(20,MAX(0,O687+0+0-0))</f>
        <v>8</v>
      </c>
      <c r="AZ687" s="1">
        <f t="shared" si="919"/>
        <v>7</v>
      </c>
      <c r="BA687" s="1">
        <f t="shared" si="955"/>
        <v>5</v>
      </c>
      <c r="BB687" s="1">
        <f t="shared" si="963"/>
        <v>20</v>
      </c>
      <c r="BC687" s="1">
        <f t="shared" si="961"/>
        <v>3</v>
      </c>
      <c r="BD687" s="1">
        <f t="shared" si="942"/>
        <v>0</v>
      </c>
      <c r="BE687" s="1">
        <f>MAX(0,U687-IF(AF687&gt;0,1,0))+1</f>
        <v>1</v>
      </c>
      <c r="BF687" s="1">
        <f t="shared" si="965"/>
        <v>4</v>
      </c>
      <c r="BG687" s="1">
        <f t="shared" si="952"/>
        <v>1</v>
      </c>
      <c r="BH687" s="1">
        <f t="shared" si="936"/>
        <v>1</v>
      </c>
      <c r="BI687" s="1">
        <f t="shared" si="953"/>
        <v>1</v>
      </c>
      <c r="BJ687" s="1">
        <f t="shared" si="956"/>
        <v>1</v>
      </c>
      <c r="BK687" s="1">
        <f t="shared" si="957"/>
        <v>1</v>
      </c>
      <c r="BL687" s="1">
        <f t="shared" si="962"/>
        <v>1</v>
      </c>
      <c r="BM687" s="1">
        <f t="shared" si="960"/>
        <v>1</v>
      </c>
      <c r="BN687" s="1">
        <f t="shared" si="937"/>
        <v>1</v>
      </c>
      <c r="BO687" s="1">
        <f t="shared" si="938"/>
        <v>1</v>
      </c>
    </row>
    <row r="688" spans="1:67" ht="30.95" customHeight="1">
      <c r="A688" s="1">
        <f>18</f>
        <v>18</v>
      </c>
      <c r="B688" s="1">
        <f>固定流程!A40</f>
        <v>35</v>
      </c>
      <c r="C688" s="1">
        <f>21</f>
        <v>21</v>
      </c>
      <c r="D688" s="1">
        <f>2</f>
        <v>2</v>
      </c>
      <c r="E688" s="1">
        <f>固定流程!C40</f>
        <v>3</v>
      </c>
      <c r="F688" s="1">
        <f>固定流程!G40</f>
        <v>2</v>
      </c>
      <c r="G688" s="1" t="str">
        <f>固定流程!H40</f>
        <v>37_WEAK</v>
      </c>
      <c r="H688" s="1">
        <f>固定流程!F40</f>
        <v>1</v>
      </c>
      <c r="I688" s="1">
        <f>INDEX(配置与结果!$B$15:$B$18,F688)</f>
        <v>2306</v>
      </c>
      <c r="J688" s="1">
        <f>INDEX(配置与结果!$D$15:$D$18,F688)</f>
        <v>0.46</v>
      </c>
      <c r="K688" s="1">
        <f>INDEX(配置与结果!$E$15:$E$18,F688)</f>
        <v>1.9279999999999999</v>
      </c>
      <c r="L688" s="1">
        <f t="shared" si="949"/>
        <v>2</v>
      </c>
      <c r="M688" s="1">
        <f t="shared" si="950"/>
        <v>10</v>
      </c>
      <c r="N688" s="1">
        <f t="shared" si="951"/>
        <v>2</v>
      </c>
      <c r="O688" s="1">
        <f t="shared" si="943"/>
        <v>8</v>
      </c>
      <c r="P688" s="1">
        <f>MIN(方案参数!$AI$21,AZ687+0+0)</f>
        <v>7</v>
      </c>
      <c r="Q688" s="1">
        <f t="shared" si="921"/>
        <v>5</v>
      </c>
      <c r="R688" s="1">
        <f t="shared" si="922"/>
        <v>20</v>
      </c>
      <c r="S688" s="1">
        <f t="shared" si="923"/>
        <v>3</v>
      </c>
      <c r="T688" s="1">
        <f t="shared" si="958"/>
        <v>0</v>
      </c>
      <c r="U688" s="1">
        <f t="shared" si="925"/>
        <v>1</v>
      </c>
      <c r="V688" s="1">
        <f t="shared" si="926"/>
        <v>4</v>
      </c>
      <c r="W688" s="1">
        <f t="shared" si="927"/>
        <v>1</v>
      </c>
      <c r="X688" s="1">
        <f t="shared" si="928"/>
        <v>1</v>
      </c>
      <c r="Y688" s="1">
        <f t="shared" si="929"/>
        <v>1</v>
      </c>
      <c r="Z688" s="1">
        <f t="shared" si="930"/>
        <v>1</v>
      </c>
      <c r="AA688" s="1">
        <f t="shared" si="954"/>
        <v>1</v>
      </c>
      <c r="AB688" s="1">
        <f t="shared" si="932"/>
        <v>1</v>
      </c>
      <c r="AC688" s="1">
        <f t="shared" si="959"/>
        <v>1</v>
      </c>
      <c r="AD688" s="1">
        <f>ROUNDDOWN(I688*(1+IF(F688=3,0.05+方案参数!$Y$21+AA688*0.12,IF(F688=4,方案参数!$BZ$21*方案参数!$AS$21,0)))+IF(AND(X688=1,F688&lt;&gt;3),方案参数!$CC$21,0)+AC688*方案参数!$CB$21,0)</f>
        <v>3104</v>
      </c>
      <c r="AE688" s="1">
        <f>IF(OR(F688=1,F688=4),配置与结果!$B$24,配置与结果!$B$25)*MAX(0,1-INDEX(配置与结果!$I$15:$I$18,F688))</f>
        <v>1000</v>
      </c>
      <c r="AF688" s="1">
        <f>方案参数!$CE$21</f>
        <v>8</v>
      </c>
      <c r="AG688" s="1">
        <f>MAX(配置与结果!$B$32,1+INDEX(配置与结果!$F$15:$F$18,F688)+0+Q688*方案参数!$W$21+Y688*(方案参数!$AN$21+MIN(方案参数!$AO$21,P688*0.03))+AB688*方案参数!$BZ$21*0.025-配置与结果!$B$28+方案参数!$AE$21)</f>
        <v>2.39</v>
      </c>
      <c r="AH688" s="1">
        <f>MAX(0,1+V688*方案参数!$U$21+方案参数!$AE$21-配置与结果!$B$29)</f>
        <v>1.56</v>
      </c>
      <c r="AI688" s="1">
        <f>IF(OR(INDEX(配置与结果!$K$15:$K$18,F688)=1,G688="RHI_BERRY"),1+配置与结果!$B$33+P688*方案参数!$AH$21,1)</f>
        <v>1</v>
      </c>
      <c r="AJ688" s="1">
        <f>MIN(1,MAX(0,J688+方案参数!$AB$21-配置与结果!$B$27))</f>
        <v>0.76</v>
      </c>
      <c r="AK688" s="1">
        <f>MAX(1,K688+IF(F688=2,0.15+方案参数!$CH$21,0)+BN688*方案参数!$X$21+R688*方案参数!$AA$21+0-配置与结果!$B$26+Z688*(方案参数!$AP$21+MIN(方案参数!$AQ$21,P688*0.03)))</f>
        <v>2.4480000000000004</v>
      </c>
      <c r="AL688" s="7">
        <f>ROUNDDOWN(MAX(AD688*配置与结果!$B$31,AD688-AE688)*AF688*AG688*AH688*AI688,0)</f>
        <v>62756</v>
      </c>
      <c r="AM688" s="7">
        <f>ROUNDDOWN(MAX(AD688*配置与结果!$B$31,AD688-AE688)*AF688*AG688*AH688*AI688*AK688,0)</f>
        <v>153627</v>
      </c>
      <c r="AN688" s="7">
        <f t="shared" si="912"/>
        <v>131817.96</v>
      </c>
      <c r="AO688" s="7">
        <f>0</f>
        <v>0</v>
      </c>
      <c r="AP688" s="7">
        <f>MAX(0,1+INDEX(配置与结果!$J$15:$J$18,F688)+IF(T688&gt;0,方案参数!$BY$21,0)-配置与结果!$B$30)</f>
        <v>1</v>
      </c>
      <c r="AQ688" s="7">
        <f t="shared" si="913"/>
        <v>0</v>
      </c>
      <c r="AR688" s="7">
        <f t="shared" si="914"/>
        <v>0</v>
      </c>
      <c r="AS688" s="7">
        <f t="shared" si="915"/>
        <v>0</v>
      </c>
      <c r="AT688" s="7">
        <f>IF(U688&gt;0,ROUNDDOWN(AL688*方案参数!$AF$21,0)*(1-AJ688)+ROUNDDOWN(AM688*方案参数!$AF$21,0)*AJ688,0)</f>
        <v>52726.479999999996</v>
      </c>
      <c r="AU688" s="7">
        <f t="shared" si="916"/>
        <v>184544.44</v>
      </c>
      <c r="AV688" s="1">
        <f t="shared" si="917"/>
        <v>2</v>
      </c>
      <c r="AW688" s="1">
        <f t="shared" si="964"/>
        <v>10</v>
      </c>
      <c r="AX688" s="1">
        <f t="shared" si="918"/>
        <v>2</v>
      </c>
      <c r="AY688" s="1">
        <f>MIN(20,MAX(0,O688+0+0-0))</f>
        <v>8</v>
      </c>
      <c r="AZ688" s="1">
        <f t="shared" si="919"/>
        <v>7</v>
      </c>
      <c r="BA688" s="1">
        <f t="shared" si="955"/>
        <v>5</v>
      </c>
      <c r="BB688" s="1">
        <f t="shared" si="963"/>
        <v>20</v>
      </c>
      <c r="BC688" s="1">
        <f t="shared" si="961"/>
        <v>3</v>
      </c>
      <c r="BD688" s="1">
        <f t="shared" si="942"/>
        <v>0</v>
      </c>
      <c r="BE688" s="1">
        <f>MAX(0,U688-IF(AF688&gt;0,1,0))+1</f>
        <v>1</v>
      </c>
      <c r="BF688" s="1">
        <f t="shared" si="965"/>
        <v>4</v>
      </c>
      <c r="BG688" s="1">
        <f t="shared" si="952"/>
        <v>1</v>
      </c>
      <c r="BH688" s="1">
        <f t="shared" si="936"/>
        <v>1</v>
      </c>
      <c r="BI688" s="1">
        <f t="shared" si="953"/>
        <v>1</v>
      </c>
      <c r="BJ688" s="1">
        <f t="shared" si="956"/>
        <v>1</v>
      </c>
      <c r="BK688" s="1">
        <f t="shared" si="957"/>
        <v>1</v>
      </c>
      <c r="BL688" s="1">
        <f t="shared" si="962"/>
        <v>1</v>
      </c>
      <c r="BM688" s="1">
        <f t="shared" si="960"/>
        <v>1</v>
      </c>
      <c r="BN688" s="1">
        <f t="shared" si="937"/>
        <v>1</v>
      </c>
      <c r="BO688" s="1">
        <f t="shared" si="938"/>
        <v>1</v>
      </c>
    </row>
    <row r="689" spans="1:67" ht="30.95" customHeight="1">
      <c r="A689" s="1">
        <f>18</f>
        <v>18</v>
      </c>
      <c r="B689" s="1">
        <f>固定流程!A41</f>
        <v>36</v>
      </c>
      <c r="C689" s="1">
        <f>21</f>
        <v>21</v>
      </c>
      <c r="D689" s="1">
        <f>2</f>
        <v>2</v>
      </c>
      <c r="E689" s="1">
        <f>固定流程!C41</f>
        <v>3</v>
      </c>
      <c r="F689" s="1">
        <f>固定流程!G41</f>
        <v>1</v>
      </c>
      <c r="G689" s="1" t="str">
        <f>固定流程!H41</f>
        <v>LILYA_FINISH</v>
      </c>
      <c r="H689" s="1">
        <f>固定流程!F41</f>
        <v>1</v>
      </c>
      <c r="I689" s="1">
        <f>INDEX(配置与结果!$B$15:$B$18,F689)</f>
        <v>2296</v>
      </c>
      <c r="J689" s="1">
        <f>INDEX(配置与结果!$D$15:$D$18,F689)</f>
        <v>0.7</v>
      </c>
      <c r="K689" s="1">
        <f>INDEX(配置与结果!$E$15:$E$18,F689)</f>
        <v>2.0249999999999999</v>
      </c>
      <c r="L689" s="1">
        <f t="shared" si="949"/>
        <v>2</v>
      </c>
      <c r="M689" s="1">
        <f t="shared" si="950"/>
        <v>10</v>
      </c>
      <c r="N689" s="1">
        <f t="shared" si="951"/>
        <v>2</v>
      </c>
      <c r="O689" s="1">
        <f t="shared" si="943"/>
        <v>8</v>
      </c>
      <c r="P689" s="1">
        <f>MIN(方案参数!$AI$21,AZ688+0+0)</f>
        <v>7</v>
      </c>
      <c r="Q689" s="1">
        <f t="shared" si="921"/>
        <v>5</v>
      </c>
      <c r="R689" s="1">
        <f t="shared" si="922"/>
        <v>20</v>
      </c>
      <c r="S689" s="1">
        <f t="shared" si="923"/>
        <v>3</v>
      </c>
      <c r="T689" s="1">
        <f t="shared" si="958"/>
        <v>0</v>
      </c>
      <c r="U689" s="1">
        <f t="shared" si="925"/>
        <v>1</v>
      </c>
      <c r="V689" s="1">
        <f t="shared" si="926"/>
        <v>4</v>
      </c>
      <c r="W689" s="1">
        <f t="shared" si="927"/>
        <v>1</v>
      </c>
      <c r="X689" s="1">
        <f t="shared" si="928"/>
        <v>1</v>
      </c>
      <c r="Y689" s="1">
        <f t="shared" si="929"/>
        <v>1</v>
      </c>
      <c r="Z689" s="1">
        <f t="shared" si="930"/>
        <v>1</v>
      </c>
      <c r="AA689" s="1">
        <f t="shared" si="954"/>
        <v>1</v>
      </c>
      <c r="AB689" s="1">
        <f t="shared" si="932"/>
        <v>1</v>
      </c>
      <c r="AC689" s="1">
        <f t="shared" si="959"/>
        <v>1</v>
      </c>
      <c r="AD689" s="1">
        <f>ROUNDDOWN(I689*(1+IF(F689=3,0.05+方案参数!$Y$21+AA689*0.12,IF(F689=4,方案参数!$BZ$21*方案参数!$AS$21,0)))+IF(AND(X689=1,F689&lt;&gt;3),方案参数!$CC$21,0)+AC689*方案参数!$CB$21,0)</f>
        <v>3094</v>
      </c>
      <c r="AE689" s="1">
        <f>IF(OR(F689=1,F689=4),配置与结果!$B$24,配置与结果!$B$25)*MAX(0,1-INDEX(配置与结果!$I$15:$I$18,F689))</f>
        <v>1200</v>
      </c>
      <c r="AF689" s="1">
        <f>方案参数!$BN$21+12*方案参数!$BO$21</f>
        <v>48</v>
      </c>
      <c r="AG689" s="1">
        <f>MAX(配置与结果!$B$32,1+INDEX(配置与结果!$F$15:$F$18,F689)+0.08+方案参数!$CD$21+Q689*方案参数!$W$21+Y689*(方案参数!$AN$21+MIN(方案参数!$AO$21,P689*0.03))+AB689*方案参数!$BZ$21*0.025-配置与结果!$B$28+方案参数!$AE$21)</f>
        <v>2.7250000000000001</v>
      </c>
      <c r="AH689" s="1">
        <f>MAX(0,1+V689*方案参数!$U$21+12*方案参数!$V$21+方案参数!$AE$21-配置与结果!$B$29)</f>
        <v>2.2799999999999998</v>
      </c>
      <c r="AI689" s="1">
        <f>IF(OR(INDEX(配置与结果!$K$15:$K$18,F689)=1,G689="RHI_BERRY"),1+配置与结果!$B$33+P689*方案参数!$AH$21,1)</f>
        <v>1</v>
      </c>
      <c r="AJ689" s="1">
        <f>MIN(1,MAX(0,J689+方案参数!$AB$21-配置与结果!$B$27))</f>
        <v>1</v>
      </c>
      <c r="AK689" s="1">
        <f>MAX(1,K689+IF(F689=2,0.15+方案参数!$CH$21,0)+BN689*方案参数!$X$21+R689*方案参数!$AA$21+方案参数!$BR$21-配置与结果!$B$26+Z689*(方案参数!$AP$21+MIN(方案参数!$AQ$21,P689*0.03)))</f>
        <v>3.2750000000000004</v>
      </c>
      <c r="AL689" s="7">
        <f>ROUNDDOWN(MAX(AD689*配置与结果!$B$31,AD689-AE689)*AF689*AG689*AH689*AI689,0)</f>
        <v>564836</v>
      </c>
      <c r="AM689" s="7">
        <f>ROUNDDOWN(MAX(AD689*配置与结果!$B$31,AD689-AE689)*AF689*AG689*AH689*AI689*AK689,0)</f>
        <v>1849838</v>
      </c>
      <c r="AN689" s="7">
        <f t="shared" si="912"/>
        <v>1849838</v>
      </c>
      <c r="AO689" s="7">
        <f>0</f>
        <v>0</v>
      </c>
      <c r="AP689" s="7">
        <f>MAX(0,1+INDEX(配置与结果!$J$15:$J$18,F689)+IF(T689&gt;0,方案参数!$BY$21,0)-配置与结果!$B$30)</f>
        <v>1</v>
      </c>
      <c r="AQ689" s="7">
        <f t="shared" si="913"/>
        <v>0</v>
      </c>
      <c r="AR689" s="7">
        <f t="shared" si="914"/>
        <v>0</v>
      </c>
      <c r="AS689" s="7">
        <f t="shared" si="915"/>
        <v>0</v>
      </c>
      <c r="AT689" s="7">
        <f>IF(U689&gt;0,ROUNDDOWN(AL689*方案参数!$AF$21,0)*(1-AJ689)+ROUNDDOWN(AM689*方案参数!$AF$21,0)*AJ689,0)</f>
        <v>739935</v>
      </c>
      <c r="AU689" s="7">
        <f t="shared" si="916"/>
        <v>2589773</v>
      </c>
      <c r="AV689" s="1">
        <f t="shared" si="917"/>
        <v>2</v>
      </c>
      <c r="AW689" s="1">
        <f t="shared" si="964"/>
        <v>10</v>
      </c>
      <c r="AX689" s="1">
        <f t="shared" si="918"/>
        <v>2</v>
      </c>
      <c r="AY689" s="1">
        <f>MIN(20,MAX(0,O689+0+1-0))</f>
        <v>9</v>
      </c>
      <c r="AZ689" s="1">
        <f t="shared" si="919"/>
        <v>7</v>
      </c>
      <c r="BA689" s="1">
        <f t="shared" si="955"/>
        <v>5</v>
      </c>
      <c r="BB689" s="1">
        <f t="shared" si="963"/>
        <v>20</v>
      </c>
      <c r="BC689" s="1">
        <f t="shared" si="961"/>
        <v>3</v>
      </c>
      <c r="BD689" s="1">
        <f t="shared" si="942"/>
        <v>0</v>
      </c>
      <c r="BE689" s="1">
        <f>MAX(0,U689-IF(AF689&gt;0,1,0))+0</f>
        <v>0</v>
      </c>
      <c r="BF689" s="1">
        <f t="shared" si="965"/>
        <v>4</v>
      </c>
      <c r="BG689" s="1">
        <f t="shared" si="952"/>
        <v>1</v>
      </c>
      <c r="BH689" s="1">
        <f t="shared" si="936"/>
        <v>1</v>
      </c>
      <c r="BI689" s="1">
        <f t="shared" si="953"/>
        <v>1</v>
      </c>
      <c r="BJ689" s="1">
        <f t="shared" si="956"/>
        <v>1</v>
      </c>
      <c r="BK689" s="1">
        <f t="shared" si="957"/>
        <v>1</v>
      </c>
      <c r="BL689" s="1">
        <f t="shared" si="962"/>
        <v>1</v>
      </c>
      <c r="BM689" s="1">
        <f t="shared" si="960"/>
        <v>1</v>
      </c>
      <c r="BN689" s="1">
        <f t="shared" si="937"/>
        <v>1</v>
      </c>
      <c r="BO689" s="1">
        <f t="shared" si="938"/>
        <v>1</v>
      </c>
    </row>
    <row r="690" spans="1:67" ht="30.95" customHeight="1">
      <c r="A690" s="1">
        <f>19</f>
        <v>19</v>
      </c>
      <c r="B690" s="1">
        <f>固定流程!A6</f>
        <v>1</v>
      </c>
      <c r="C690" s="1">
        <f>22</f>
        <v>22</v>
      </c>
      <c r="D690" s="1">
        <f>1</f>
        <v>1</v>
      </c>
      <c r="E690" s="1">
        <f>固定流程!C6</f>
        <v>1</v>
      </c>
      <c r="F690" s="1">
        <f>固定流程!G6</f>
        <v>3</v>
      </c>
      <c r="G690" s="1" t="str">
        <f>固定流程!H6</f>
        <v>RHI_ULT</v>
      </c>
      <c r="H690" s="1">
        <f>固定流程!F6</f>
        <v>1</v>
      </c>
      <c r="I690" s="1">
        <f>INDEX(配置与结果!$B$15:$B$18,F690)</f>
        <v>2597</v>
      </c>
      <c r="J690" s="1">
        <f>INDEX(配置与结果!$D$15:$D$18,F690)</f>
        <v>0.255</v>
      </c>
      <c r="K690" s="1">
        <f>INDEX(配置与结果!$E$15:$E$18,F690)</f>
        <v>1.55</v>
      </c>
      <c r="L690" s="1">
        <f>0</f>
        <v>0</v>
      </c>
      <c r="M690" s="1">
        <f>0</f>
        <v>0</v>
      </c>
      <c r="N690" s="1">
        <f>0</f>
        <v>0</v>
      </c>
      <c r="O690" s="1">
        <f>0</f>
        <v>0</v>
      </c>
      <c r="P690" s="1">
        <f>MIN(方案参数!$AI$22,0+方案参数!$AJ$22+0)</f>
        <v>2</v>
      </c>
      <c r="Q690" s="1">
        <f>0</f>
        <v>0</v>
      </c>
      <c r="R690" s="1">
        <f>0</f>
        <v>0</v>
      </c>
      <c r="S690" s="1">
        <f>0</f>
        <v>0</v>
      </c>
      <c r="T690" s="1">
        <f>0+0</f>
        <v>0</v>
      </c>
      <c r="U690" s="1">
        <f>0</f>
        <v>0</v>
      </c>
      <c r="V690" s="1">
        <f>0</f>
        <v>0</v>
      </c>
      <c r="W690" s="1">
        <f>0</f>
        <v>0</v>
      </c>
      <c r="X690" s="1">
        <f>0</f>
        <v>0</v>
      </c>
      <c r="Y690" s="1">
        <f>0</f>
        <v>0</v>
      </c>
      <c r="Z690" s="1">
        <f>0</f>
        <v>0</v>
      </c>
      <c r="AA690" s="1">
        <f>MAX(0,0)</f>
        <v>0</v>
      </c>
      <c r="AB690" s="1">
        <f>0</f>
        <v>0</v>
      </c>
      <c r="AC690" s="1">
        <f>MAX(0,0)</f>
        <v>0</v>
      </c>
      <c r="AD690" s="1">
        <f>ROUNDDOWN(I690*(1+IF(F690=3,0.05+方案参数!$Y$22+AA690*0.12,IF(F690=4,方案参数!$BZ$22*方案参数!$AS$22,0)))+IF(AND(X690=1,F690&lt;&gt;3),方案参数!$CC$22,0)+AC690*方案参数!$CB$22,0)</f>
        <v>2986</v>
      </c>
      <c r="AE690" s="1">
        <f>IF(OR(F690=1,F690=4),配置与结果!$B$24,配置与结果!$B$25)*MAX(0,1-INDEX(配置与结果!$I$15:$I$18,F690))</f>
        <v>1000</v>
      </c>
      <c r="AF690" s="1">
        <f>0</f>
        <v>0</v>
      </c>
      <c r="AG690" s="1">
        <f>MAX(配置与结果!$B$32,1+INDEX(配置与结果!$F$15:$F$18,F690)+0+Q690*方案参数!$W$22+Y690*(方案参数!$AN$22+MIN(方案参数!$AO$22,P690*0.03))+AB690*方案参数!$BZ$22*0.025-配置与结果!$B$28)</f>
        <v>0.6349999999999999</v>
      </c>
      <c r="AH690" s="1">
        <f>MAX(0,1+INDEX(配置与结果!$G$15:$G$18,F690)+W690*方案参数!$AG$22)</f>
        <v>1</v>
      </c>
      <c r="AI690" s="1">
        <f>IF(OR(INDEX(配置与结果!$K$15:$K$18,F690)=1,G690="RHI_BERRY"),1+配置与结果!$B$33+P690*方案参数!$AH$22,1)</f>
        <v>1</v>
      </c>
      <c r="AJ690" s="1">
        <f>MIN(1,MAX(0,J690+方案参数!$AB$22-配置与结果!$B$27))</f>
        <v>0.55499999999999994</v>
      </c>
      <c r="AK690" s="1">
        <f>MAX(1,K690+IF(F690=2,0.15+方案参数!$CH$22,0)+BN690*方案参数!$X$22+R690*方案参数!$AA$22+0-配置与结果!$B$26+Z690*(方案参数!$AP$22+MIN(方案参数!$AQ$22,P690*0.03)))</f>
        <v>1.1499999999999999</v>
      </c>
      <c r="AL690" s="7">
        <f>ROUNDDOWN(MAX(AD690*配置与结果!$B$31,AD690-AE690)*AF690*AG690*AH690*AI690,0)</f>
        <v>0</v>
      </c>
      <c r="AM690" s="7">
        <f>ROUNDDOWN(MAX(AD690*配置与结果!$B$31,AD690-AE690)*AF690*AG690*AH690*AI690*AK690,0)</f>
        <v>0</v>
      </c>
      <c r="AN690" s="7">
        <f t="shared" si="912"/>
        <v>0</v>
      </c>
      <c r="AO690" s="7">
        <f>0</f>
        <v>0</v>
      </c>
      <c r="AP690" s="7">
        <f>MAX(0,1+INDEX(配置与结果!$J$15:$J$18,F690)+IF(T690&gt;0,方案参数!$BY$22,0)-配置与结果!$B$30)</f>
        <v>1</v>
      </c>
      <c r="AQ690" s="7">
        <f t="shared" si="913"/>
        <v>0</v>
      </c>
      <c r="AR690" s="7">
        <f t="shared" si="914"/>
        <v>0</v>
      </c>
      <c r="AS690" s="7">
        <f t="shared" si="915"/>
        <v>0</v>
      </c>
      <c r="AT690" s="7">
        <f>0</f>
        <v>0</v>
      </c>
      <c r="AU690" s="7">
        <f t="shared" si="916"/>
        <v>0</v>
      </c>
      <c r="AV690" s="1">
        <f t="shared" si="917"/>
        <v>0</v>
      </c>
      <c r="AW690" s="1">
        <f t="shared" si="964"/>
        <v>0</v>
      </c>
      <c r="AX690" s="1">
        <f t="shared" si="918"/>
        <v>0</v>
      </c>
      <c r="AY690" s="1">
        <f>MIN(20,MAX(0,O690+0+0-0))</f>
        <v>0</v>
      </c>
      <c r="AZ690" s="1">
        <f t="shared" si="919"/>
        <v>2</v>
      </c>
      <c r="BA690" s="1">
        <f>MIN(6,Q690+1)</f>
        <v>1</v>
      </c>
      <c r="BB690" s="1">
        <f>MIN(30,R690+5)</f>
        <v>5</v>
      </c>
      <c r="BC690" s="1">
        <f t="shared" si="961"/>
        <v>0</v>
      </c>
      <c r="BD690" s="1">
        <f t="shared" si="942"/>
        <v>0</v>
      </c>
      <c r="BE690" s="1">
        <f>0</f>
        <v>0</v>
      </c>
      <c r="BF690" s="1">
        <f t="shared" si="965"/>
        <v>0</v>
      </c>
      <c r="BG690" s="1">
        <f t="shared" si="952"/>
        <v>0</v>
      </c>
      <c r="BH690" s="1">
        <f>MAX(X690,1)</f>
        <v>1</v>
      </c>
      <c r="BI690" s="1">
        <f t="shared" si="953"/>
        <v>0</v>
      </c>
      <c r="BJ690" s="1">
        <f t="shared" si="956"/>
        <v>0</v>
      </c>
      <c r="BK690" s="1">
        <f t="shared" si="957"/>
        <v>0</v>
      </c>
      <c r="BL690" s="1">
        <f t="shared" si="962"/>
        <v>0</v>
      </c>
      <c r="BM690" s="1">
        <f t="shared" si="960"/>
        <v>0</v>
      </c>
      <c r="BN690" s="1">
        <f>0</f>
        <v>0</v>
      </c>
      <c r="BO690" s="1">
        <f>MAX(BN690,1)</f>
        <v>1</v>
      </c>
    </row>
    <row r="691" spans="1:67" ht="30.95" customHeight="1">
      <c r="A691" s="1">
        <f>19</f>
        <v>19</v>
      </c>
      <c r="B691" s="1">
        <f>固定流程!A7</f>
        <v>2</v>
      </c>
      <c r="C691" s="1">
        <f>22</f>
        <v>22</v>
      </c>
      <c r="D691" s="1">
        <f>1</f>
        <v>1</v>
      </c>
      <c r="E691" s="1">
        <f>固定流程!C7</f>
        <v>1</v>
      </c>
      <c r="F691" s="1">
        <f>固定流程!G7</f>
        <v>3</v>
      </c>
      <c r="G691" s="1" t="str">
        <f>固定流程!H7</f>
        <v>RHI_BUFF</v>
      </c>
      <c r="H691" s="1">
        <f>固定流程!F7</f>
        <v>1</v>
      </c>
      <c r="I691" s="1">
        <f>INDEX(配置与结果!$B$15:$B$18,F691)</f>
        <v>2597</v>
      </c>
      <c r="J691" s="1">
        <f>INDEX(配置与结果!$D$15:$D$18,F691)</f>
        <v>0.255</v>
      </c>
      <c r="K691" s="1">
        <f>INDEX(配置与结果!$E$15:$E$18,F691)</f>
        <v>1.55</v>
      </c>
      <c r="L691" s="1">
        <f t="shared" ref="L691:O696" si="966">AV690</f>
        <v>0</v>
      </c>
      <c r="M691" s="1">
        <f t="shared" si="966"/>
        <v>0</v>
      </c>
      <c r="N691" s="1">
        <f t="shared" si="966"/>
        <v>0</v>
      </c>
      <c r="O691" s="1">
        <f t="shared" si="966"/>
        <v>0</v>
      </c>
      <c r="P691" s="1">
        <f>MIN(方案参数!$AI$22,AZ690+0+方案参数!$AK$22)</f>
        <v>6</v>
      </c>
      <c r="Q691" s="1">
        <f t="shared" ref="Q691:Q725" si="967">BA690</f>
        <v>1</v>
      </c>
      <c r="R691" s="1">
        <f t="shared" ref="R691:R725" si="968">BB690</f>
        <v>5</v>
      </c>
      <c r="S691" s="1">
        <f t="shared" ref="S691:S725" si="969">BC690</f>
        <v>0</v>
      </c>
      <c r="T691" s="1">
        <f t="shared" ref="T691:T704" si="970">BD690+0</f>
        <v>0</v>
      </c>
      <c r="U691" s="1">
        <f t="shared" ref="U691:U725" si="971">BE690</f>
        <v>0</v>
      </c>
      <c r="V691" s="1">
        <f t="shared" ref="V691:V725" si="972">BF690</f>
        <v>0</v>
      </c>
      <c r="W691" s="1">
        <f t="shared" ref="W691:W725" si="973">BG690</f>
        <v>0</v>
      </c>
      <c r="X691" s="1">
        <f t="shared" ref="X691:X725" si="974">BH690</f>
        <v>1</v>
      </c>
      <c r="Y691" s="1">
        <f t="shared" ref="Y691:Y725" si="975">BI690</f>
        <v>0</v>
      </c>
      <c r="Z691" s="1">
        <f t="shared" ref="Z691:Z725" si="976">BJ690</f>
        <v>0</v>
      </c>
      <c r="AA691" s="1">
        <f t="shared" ref="AA691:AA696" si="977">MAX(BK690,0)</f>
        <v>0</v>
      </c>
      <c r="AB691" s="1">
        <f t="shared" ref="AB691:AB725" si="978">BL690</f>
        <v>0</v>
      </c>
      <c r="AC691" s="1">
        <f t="shared" ref="AC691:AC704" si="979">MAX(BM690,0)</f>
        <v>0</v>
      </c>
      <c r="AD691" s="1">
        <f>ROUNDDOWN(I691*(1+IF(F691=3,0.05+方案参数!$Y$22+AA691*0.12,IF(F691=4,方案参数!$BZ$22*方案参数!$AS$22,0)))+IF(AND(X691=1,F691&lt;&gt;3),方案参数!$CC$22,0)+AC691*方案参数!$CB$22,0)</f>
        <v>2986</v>
      </c>
      <c r="AE691" s="1">
        <f>IF(OR(F691=1,F691=4),配置与结果!$B$24,配置与结果!$B$25)*MAX(0,1-INDEX(配置与结果!$I$15:$I$18,F691))</f>
        <v>1000</v>
      </c>
      <c r="AF691" s="1">
        <f>0</f>
        <v>0</v>
      </c>
      <c r="AG691" s="1">
        <f>MAX(配置与结果!$B$32,1+INDEX(配置与结果!$F$15:$F$18,F691)+0+Q691*方案参数!$W$22+Y691*(方案参数!$AN$22+MIN(方案参数!$AO$22,P691*0.03))+AB691*方案参数!$BZ$22*0.025-配置与结果!$B$28)</f>
        <v>0.65499999999999992</v>
      </c>
      <c r="AH691" s="1">
        <f>MAX(0,1+INDEX(配置与结果!$G$15:$G$18,F691)+W691*方案参数!$AG$22)</f>
        <v>1</v>
      </c>
      <c r="AI691" s="1">
        <f>IF(OR(INDEX(配置与结果!$K$15:$K$18,F691)=1,G691="RHI_BERRY"),1+配置与结果!$B$33+P691*方案参数!$AH$22,1)</f>
        <v>1</v>
      </c>
      <c r="AJ691" s="1">
        <f>MIN(1,MAX(0,J691+方案参数!$AB$22-配置与结果!$B$27))</f>
        <v>0.55499999999999994</v>
      </c>
      <c r="AK691" s="1">
        <f>MAX(1,K691+IF(F691=2,0.15+方案参数!$CH$22,0)+BN691*方案参数!$X$22+R691*方案参数!$AA$22+0-配置与结果!$B$26+Z691*(方案参数!$AP$22+MIN(方案参数!$AQ$22,P691*0.03)))</f>
        <v>1.33</v>
      </c>
      <c r="AL691" s="7">
        <f>ROUNDDOWN(MAX(AD691*配置与结果!$B$31,AD691-AE691)*AF691*AG691*AH691*AI691,0)</f>
        <v>0</v>
      </c>
      <c r="AM691" s="7">
        <f>ROUNDDOWN(MAX(AD691*配置与结果!$B$31,AD691-AE691)*AF691*AG691*AH691*AI691*AK691,0)</f>
        <v>0</v>
      </c>
      <c r="AN691" s="7">
        <f t="shared" si="912"/>
        <v>0</v>
      </c>
      <c r="AO691" s="7">
        <f>0</f>
        <v>0</v>
      </c>
      <c r="AP691" s="7">
        <f>MAX(0,1+INDEX(配置与结果!$J$15:$J$18,F691)+IF(T691&gt;0,方案参数!$BY$22,0)-配置与结果!$B$30)</f>
        <v>1</v>
      </c>
      <c r="AQ691" s="7">
        <f t="shared" si="913"/>
        <v>0</v>
      </c>
      <c r="AR691" s="7">
        <f t="shared" si="914"/>
        <v>0</v>
      </c>
      <c r="AS691" s="7">
        <f t="shared" si="915"/>
        <v>0</v>
      </c>
      <c r="AT691" s="7">
        <f>0</f>
        <v>0</v>
      </c>
      <c r="AU691" s="7">
        <f t="shared" si="916"/>
        <v>0</v>
      </c>
      <c r="AV691" s="1">
        <f t="shared" si="917"/>
        <v>0</v>
      </c>
      <c r="AW691" s="1">
        <f t="shared" si="964"/>
        <v>0</v>
      </c>
      <c r="AX691" s="1">
        <f t="shared" si="918"/>
        <v>0</v>
      </c>
      <c r="AY691" s="1">
        <f>MIN(20,MAX(0,O691+0+0-0))</f>
        <v>0</v>
      </c>
      <c r="AZ691" s="1">
        <f t="shared" si="919"/>
        <v>6</v>
      </c>
      <c r="BA691" s="1">
        <f>MIN(6,Q691+1)</f>
        <v>2</v>
      </c>
      <c r="BB691" s="1">
        <f t="shared" ref="BB691:BB704" si="980">MIN(30,R691+0)</f>
        <v>5</v>
      </c>
      <c r="BC691" s="1">
        <f t="shared" si="961"/>
        <v>0</v>
      </c>
      <c r="BD691" s="1">
        <f t="shared" si="942"/>
        <v>0</v>
      </c>
      <c r="BE691" s="1">
        <f t="shared" ref="BE691:BE712" si="981">BE690</f>
        <v>0</v>
      </c>
      <c r="BF691" s="1">
        <f t="shared" si="965"/>
        <v>0</v>
      </c>
      <c r="BG691" s="1">
        <f>MAX(W691,1)</f>
        <v>1</v>
      </c>
      <c r="BH691" s="1">
        <f t="shared" ref="BH691:BH725" si="982">MAX(X691,0)</f>
        <v>1</v>
      </c>
      <c r="BI691" s="1">
        <f>MAX(Y691,1)</f>
        <v>1</v>
      </c>
      <c r="BJ691" s="1">
        <f t="shared" si="956"/>
        <v>0</v>
      </c>
      <c r="BK691" s="1">
        <f t="shared" si="957"/>
        <v>0</v>
      </c>
      <c r="BL691" s="1">
        <f t="shared" si="962"/>
        <v>0</v>
      </c>
      <c r="BM691" s="1">
        <f t="shared" si="960"/>
        <v>0</v>
      </c>
      <c r="BN691" s="1">
        <f t="shared" ref="BN691:BN725" si="983">BO690</f>
        <v>1</v>
      </c>
      <c r="BO691" s="1">
        <f t="shared" ref="BO691:BO725" si="984">MAX(BN691,0)</f>
        <v>1</v>
      </c>
    </row>
    <row r="692" spans="1:67" ht="30.95" customHeight="1">
      <c r="A692" s="1">
        <f>19</f>
        <v>19</v>
      </c>
      <c r="B692" s="1">
        <f>固定流程!A8</f>
        <v>3</v>
      </c>
      <c r="C692" s="1">
        <f>22</f>
        <v>22</v>
      </c>
      <c r="D692" s="1">
        <f>1</f>
        <v>1</v>
      </c>
      <c r="E692" s="1">
        <f>固定流程!C8</f>
        <v>1</v>
      </c>
      <c r="F692" s="1">
        <f>固定流程!G8</f>
        <v>1</v>
      </c>
      <c r="G692" s="1" t="str">
        <f>固定流程!H8</f>
        <v>LILYA_COBRA</v>
      </c>
      <c r="H692" s="1">
        <f>固定流程!F8</f>
        <v>1</v>
      </c>
      <c r="I692" s="1">
        <f>INDEX(配置与结果!$B$15:$B$18,F692)</f>
        <v>2296</v>
      </c>
      <c r="J692" s="1">
        <f>INDEX(配置与结果!$D$15:$D$18,F692)</f>
        <v>0.7</v>
      </c>
      <c r="K692" s="1">
        <f>INDEX(配置与结果!$E$15:$E$18,F692)</f>
        <v>2.0249999999999999</v>
      </c>
      <c r="L692" s="1">
        <f t="shared" si="966"/>
        <v>0</v>
      </c>
      <c r="M692" s="1">
        <f t="shared" si="966"/>
        <v>0</v>
      </c>
      <c r="N692" s="1">
        <f t="shared" si="966"/>
        <v>0</v>
      </c>
      <c r="O692" s="1">
        <f t="shared" si="966"/>
        <v>0</v>
      </c>
      <c r="P692" s="1">
        <f>MIN(方案参数!$AI$22,AZ691+0+0)</f>
        <v>6</v>
      </c>
      <c r="Q692" s="1">
        <f t="shared" si="967"/>
        <v>2</v>
      </c>
      <c r="R692" s="1">
        <f t="shared" si="968"/>
        <v>5</v>
      </c>
      <c r="S692" s="1">
        <f t="shared" si="969"/>
        <v>0</v>
      </c>
      <c r="T692" s="1">
        <f t="shared" si="970"/>
        <v>0</v>
      </c>
      <c r="U692" s="1">
        <f t="shared" si="971"/>
        <v>0</v>
      </c>
      <c r="V692" s="1">
        <f t="shared" si="972"/>
        <v>0</v>
      </c>
      <c r="W692" s="1">
        <f t="shared" si="973"/>
        <v>1</v>
      </c>
      <c r="X692" s="1">
        <f t="shared" si="974"/>
        <v>1</v>
      </c>
      <c r="Y692" s="1">
        <f t="shared" si="975"/>
        <v>1</v>
      </c>
      <c r="Z692" s="1">
        <f t="shared" si="976"/>
        <v>0</v>
      </c>
      <c r="AA692" s="1">
        <f t="shared" si="977"/>
        <v>0</v>
      </c>
      <c r="AB692" s="1">
        <f t="shared" si="978"/>
        <v>0</v>
      </c>
      <c r="AC692" s="1">
        <f t="shared" si="979"/>
        <v>0</v>
      </c>
      <c r="AD692" s="1">
        <f>ROUNDDOWN(I692*(1+IF(F692=3,0.05+方案参数!$Y$22+AA692*0.12,IF(F692=4,方案参数!$BZ$22*方案参数!$AS$22,0)))+IF(AND(X692=1,F692&lt;&gt;3),方案参数!$CC$22,0)+AC692*方案参数!$CB$22,0)</f>
        <v>2594</v>
      </c>
      <c r="AE692" s="1">
        <f>IF(OR(F692=1,F692=4),配置与结果!$B$24,配置与结果!$B$25)*MAX(0,1-INDEX(配置与结果!$I$15:$I$18,F692))</f>
        <v>1200</v>
      </c>
      <c r="AF692" s="1">
        <f>0</f>
        <v>0</v>
      </c>
      <c r="AG692" s="1">
        <f>MAX(配置与结果!$B$32,1+INDEX(配置与结果!$F$15:$F$18,F692)+0.08+方案参数!$CD$22+Q692*方案参数!$W$22+Y692*(方案参数!$AN$22+MIN(方案参数!$AO$22,P692*0.03))+AB692*方案参数!$BZ$22*0.025-配置与结果!$B$28)</f>
        <v>1.3600000000000003</v>
      </c>
      <c r="AH692" s="1">
        <f>MAX(0,1+INDEX(配置与结果!$G$15:$G$18,F692)+W692*方案参数!$AG$22)</f>
        <v>1.45</v>
      </c>
      <c r="AI692" s="1">
        <f>IF(OR(INDEX(配置与结果!$K$15:$K$18,F692)=1,G692="RHI_BERRY"),1+配置与结果!$B$33+P692*方案参数!$AH$22,1)</f>
        <v>1</v>
      </c>
      <c r="AJ692" s="1">
        <f>MIN(1,MAX(0,J692+方案参数!$AB$22-配置与结果!$B$27))</f>
        <v>1</v>
      </c>
      <c r="AK692" s="1">
        <f>MAX(1,K692+IF(F692=2,0.15+方案参数!$CH$22,0)+BN692*方案参数!$X$22+R692*方案参数!$AA$22+0-配置与结果!$B$26+Z692*(方案参数!$AP$22+MIN(方案参数!$AQ$22,P692*0.03)))</f>
        <v>1.8050000000000002</v>
      </c>
      <c r="AL692" s="7">
        <f>ROUNDDOWN(MAX(AD692*配置与结果!$B$31,AD692-AE692)*AF692*AG692*AH692*AI692,0)</f>
        <v>0</v>
      </c>
      <c r="AM692" s="7">
        <f>ROUNDDOWN(MAX(AD692*配置与结果!$B$31,AD692-AE692)*AF692*AG692*AH692*AI692*AK692,0)</f>
        <v>0</v>
      </c>
      <c r="AN692" s="7">
        <f t="shared" si="912"/>
        <v>0</v>
      </c>
      <c r="AO692" s="7">
        <f>0</f>
        <v>0</v>
      </c>
      <c r="AP692" s="7">
        <f>MAX(0,1+INDEX(配置与结果!$J$15:$J$18,F692)+IF(T692&gt;0,方案参数!$BY$22,0)-配置与结果!$B$30)</f>
        <v>1</v>
      </c>
      <c r="AQ692" s="7">
        <f t="shared" si="913"/>
        <v>0</v>
      </c>
      <c r="AR692" s="7">
        <f t="shared" si="914"/>
        <v>0</v>
      </c>
      <c r="AS692" s="7">
        <f t="shared" si="915"/>
        <v>0</v>
      </c>
      <c r="AT692" s="7">
        <f>0</f>
        <v>0</v>
      </c>
      <c r="AU692" s="7">
        <f t="shared" si="916"/>
        <v>0</v>
      </c>
      <c r="AV692" s="1">
        <f t="shared" si="917"/>
        <v>1</v>
      </c>
      <c r="AW692" s="1">
        <f>MIN(10,M692+方案参数!$BD$22+0)</f>
        <v>3</v>
      </c>
      <c r="AX692" s="1">
        <f t="shared" si="918"/>
        <v>0</v>
      </c>
      <c r="AY692" s="1">
        <f>MIN(20,MAX(0,O692+6+0-0))</f>
        <v>6</v>
      </c>
      <c r="AZ692" s="1">
        <f t="shared" si="919"/>
        <v>6</v>
      </c>
      <c r="BA692" s="1">
        <f>MIN(6,Q692+0)</f>
        <v>2</v>
      </c>
      <c r="BB692" s="1">
        <f t="shared" si="980"/>
        <v>5</v>
      </c>
      <c r="BC692" s="1">
        <f t="shared" si="961"/>
        <v>0</v>
      </c>
      <c r="BD692" s="1">
        <f t="shared" si="942"/>
        <v>0</v>
      </c>
      <c r="BE692" s="1">
        <f t="shared" si="981"/>
        <v>0</v>
      </c>
      <c r="BF692" s="1">
        <f t="shared" si="965"/>
        <v>0</v>
      </c>
      <c r="BG692" s="1">
        <f t="shared" ref="BG692:BG702" si="985">MAX(W692,0)</f>
        <v>1</v>
      </c>
      <c r="BH692" s="1">
        <f t="shared" si="982"/>
        <v>1</v>
      </c>
      <c r="BI692" s="1">
        <f t="shared" ref="BI692:BI702" si="986">MAX(Y692,0)</f>
        <v>1</v>
      </c>
      <c r="BJ692" s="1">
        <f t="shared" si="956"/>
        <v>0</v>
      </c>
      <c r="BK692" s="1">
        <f t="shared" si="957"/>
        <v>0</v>
      </c>
      <c r="BL692" s="1">
        <f t="shared" si="962"/>
        <v>0</v>
      </c>
      <c r="BM692" s="1">
        <f t="shared" si="960"/>
        <v>0</v>
      </c>
      <c r="BN692" s="1">
        <f t="shared" si="983"/>
        <v>1</v>
      </c>
      <c r="BO692" s="1">
        <f t="shared" si="984"/>
        <v>1</v>
      </c>
    </row>
    <row r="693" spans="1:67" ht="30.95" customHeight="1">
      <c r="A693" s="1">
        <f>19</f>
        <v>19</v>
      </c>
      <c r="B693" s="1">
        <f>固定流程!A9</f>
        <v>4</v>
      </c>
      <c r="C693" s="1">
        <f>22</f>
        <v>22</v>
      </c>
      <c r="D693" s="1">
        <f>1</f>
        <v>1</v>
      </c>
      <c r="E693" s="1">
        <f>固定流程!C9</f>
        <v>1</v>
      </c>
      <c r="F693" s="1">
        <f>固定流程!G9</f>
        <v>1</v>
      </c>
      <c r="G693" s="1" t="str">
        <f>固定流程!H9</f>
        <v>LILYA_DIVE</v>
      </c>
      <c r="H693" s="1">
        <f>固定流程!F9</f>
        <v>1</v>
      </c>
      <c r="I693" s="1">
        <f>INDEX(配置与结果!$B$15:$B$18,F693)</f>
        <v>2296</v>
      </c>
      <c r="J693" s="1">
        <f>INDEX(配置与结果!$D$15:$D$18,F693)</f>
        <v>0.7</v>
      </c>
      <c r="K693" s="1">
        <f>INDEX(配置与结果!$E$15:$E$18,F693)</f>
        <v>2.0249999999999999</v>
      </c>
      <c r="L693" s="1">
        <f t="shared" si="966"/>
        <v>1</v>
      </c>
      <c r="M693" s="1">
        <f t="shared" si="966"/>
        <v>3</v>
      </c>
      <c r="N693" s="1">
        <f t="shared" si="966"/>
        <v>0</v>
      </c>
      <c r="O693" s="1">
        <f t="shared" si="966"/>
        <v>6</v>
      </c>
      <c r="P693" s="1">
        <f>MIN(方案参数!$AI$22,AZ692+0+0)</f>
        <v>6</v>
      </c>
      <c r="Q693" s="1">
        <f t="shared" si="967"/>
        <v>2</v>
      </c>
      <c r="R693" s="1">
        <f t="shared" si="968"/>
        <v>5</v>
      </c>
      <c r="S693" s="1">
        <f t="shared" si="969"/>
        <v>0</v>
      </c>
      <c r="T693" s="1">
        <f t="shared" si="970"/>
        <v>0</v>
      </c>
      <c r="U693" s="1">
        <f t="shared" si="971"/>
        <v>0</v>
      </c>
      <c r="V693" s="1">
        <f t="shared" si="972"/>
        <v>0</v>
      </c>
      <c r="W693" s="1">
        <f t="shared" si="973"/>
        <v>1</v>
      </c>
      <c r="X693" s="1">
        <f t="shared" si="974"/>
        <v>1</v>
      </c>
      <c r="Y693" s="1">
        <f t="shared" si="975"/>
        <v>1</v>
      </c>
      <c r="Z693" s="1">
        <f t="shared" si="976"/>
        <v>0</v>
      </c>
      <c r="AA693" s="1">
        <f t="shared" si="977"/>
        <v>0</v>
      </c>
      <c r="AB693" s="1">
        <f t="shared" si="978"/>
        <v>0</v>
      </c>
      <c r="AC693" s="1">
        <f t="shared" si="979"/>
        <v>0</v>
      </c>
      <c r="AD693" s="1">
        <f>ROUNDDOWN(I693*(1+IF(F693=3,0.05+方案参数!$Y$22+AA693*0.12,IF(F693=4,方案参数!$BZ$22*方案参数!$AS$22,0)))+IF(AND(X693=1,F693&lt;&gt;3),方案参数!$CC$22,0)+AC693*方案参数!$CB$22,0)</f>
        <v>2594</v>
      </c>
      <c r="AE693" s="1">
        <f>IF(OR(F693=1,F693=4),配置与结果!$B$24,配置与结果!$B$25)*MAX(0,1-INDEX(配置与结果!$I$15:$I$18,F693))</f>
        <v>1200</v>
      </c>
      <c r="AF693" s="1">
        <f>(IF(L693=1,方案参数!$AW$22,IF(L693=2,方案参数!$AX$22,0))+方案参数!$AV$22)*H693</f>
        <v>6</v>
      </c>
      <c r="AG693" s="1">
        <f>MAX(配置与结果!$B$32,1+INDEX(配置与结果!$F$15:$F$18,F693)+0.08+方案参数!$CD$22+Q693*方案参数!$W$22+Y693*(方案参数!$AN$22+MIN(方案参数!$AO$22,P693*0.03))+AB693*方案参数!$BZ$22*0.025+IF(L693=1,方案参数!$AY$22+(H693-1)*0.1,IF(L693=2,方案参数!$AZ$22+(H693-1)*0.2,0))-配置与结果!$B$28)</f>
        <v>1.4600000000000004</v>
      </c>
      <c r="AH693" s="1">
        <f>MAX(0,1+INDEX(配置与结果!$G$15:$G$18,F693)+W693*方案参数!$AG$22+IF(L693=1,方案参数!$BA$22,IF(L693=2,方案参数!$BB$22,0))+M693*方案参数!$BC$22)</f>
        <v>2.23</v>
      </c>
      <c r="AI693" s="1">
        <f>IF(OR(INDEX(配置与结果!$K$15:$K$18,F693)=1,G693="RHI_BERRY"),1+配置与结果!$B$33+P693*方案参数!$AH$22,1)</f>
        <v>1</v>
      </c>
      <c r="AJ693" s="1">
        <f>MIN(1,MAX(0,J693+方案参数!$AB$22-配置与结果!$B$27))</f>
        <v>1</v>
      </c>
      <c r="AK693" s="1">
        <f>MAX(1,K693+IF(F693=2,0.15+方案参数!$CH$22,0)+BN693*方案参数!$X$22+R693*方案参数!$AA$22+0-配置与结果!$B$26+Z693*(方案参数!$AP$22+MIN(方案参数!$AQ$22,P693*0.03)))</f>
        <v>1.8050000000000002</v>
      </c>
      <c r="AL693" s="7">
        <f>ROUNDDOWN(MAX(AD693*配置与结果!$B$31,AD693-AE693)*AF693*AG693*AH693*AI693,0)</f>
        <v>27231</v>
      </c>
      <c r="AM693" s="7">
        <f>ROUNDDOWN(MAX(AD693*配置与结果!$B$31,AD693-AE693)*AF693*AG693*AH693*AI693*AK693,0)</f>
        <v>49152</v>
      </c>
      <c r="AN693" s="7">
        <f t="shared" si="912"/>
        <v>49152</v>
      </c>
      <c r="AO693" s="7">
        <f>0</f>
        <v>0</v>
      </c>
      <c r="AP693" s="7">
        <f>MAX(0,1+INDEX(配置与结果!$J$15:$J$18,F693)+IF(T693&gt;0,方案参数!$BY$22,0)-配置与结果!$B$30)</f>
        <v>1</v>
      </c>
      <c r="AQ693" s="7">
        <f t="shared" si="913"/>
        <v>0</v>
      </c>
      <c r="AR693" s="7">
        <f t="shared" si="914"/>
        <v>0</v>
      </c>
      <c r="AS693" s="7">
        <f t="shared" si="915"/>
        <v>0</v>
      </c>
      <c r="AT693" s="7">
        <f>0</f>
        <v>0</v>
      </c>
      <c r="AU693" s="7">
        <f t="shared" si="916"/>
        <v>49152</v>
      </c>
      <c r="AV693" s="1">
        <f t="shared" si="917"/>
        <v>1</v>
      </c>
      <c r="AW693" s="1">
        <f>MIN(10,M693+0+IF(L693=1,方案参数!$BE$22,0))</f>
        <v>4</v>
      </c>
      <c r="AX693" s="1">
        <f t="shared" si="918"/>
        <v>0</v>
      </c>
      <c r="AY693" s="1">
        <f t="shared" ref="AY693:AY708" si="987">MIN(20,MAX(0,O693+0+0-0))</f>
        <v>6</v>
      </c>
      <c r="AZ693" s="1">
        <f t="shared" si="919"/>
        <v>6</v>
      </c>
      <c r="BA693" s="1">
        <f>MIN(6,Q693+0)</f>
        <v>2</v>
      </c>
      <c r="BB693" s="1">
        <f t="shared" si="980"/>
        <v>5</v>
      </c>
      <c r="BC693" s="1">
        <f t="shared" si="961"/>
        <v>0</v>
      </c>
      <c r="BD693" s="1">
        <f t="shared" si="942"/>
        <v>0</v>
      </c>
      <c r="BE693" s="1">
        <f t="shared" si="981"/>
        <v>0</v>
      </c>
      <c r="BF693" s="1">
        <f t="shared" si="965"/>
        <v>0</v>
      </c>
      <c r="BG693" s="1">
        <f t="shared" si="985"/>
        <v>1</v>
      </c>
      <c r="BH693" s="1">
        <f t="shared" si="982"/>
        <v>1</v>
      </c>
      <c r="BI693" s="1">
        <f t="shared" si="986"/>
        <v>1</v>
      </c>
      <c r="BJ693" s="1">
        <f t="shared" si="956"/>
        <v>0</v>
      </c>
      <c r="BK693" s="1">
        <f t="shared" si="957"/>
        <v>0</v>
      </c>
      <c r="BL693" s="1">
        <f t="shared" si="962"/>
        <v>0</v>
      </c>
      <c r="BM693" s="1">
        <f t="shared" si="960"/>
        <v>0</v>
      </c>
      <c r="BN693" s="1">
        <f t="shared" si="983"/>
        <v>1</v>
      </c>
      <c r="BO693" s="1">
        <f t="shared" si="984"/>
        <v>1</v>
      </c>
    </row>
    <row r="694" spans="1:67" ht="30.95" customHeight="1">
      <c r="A694" s="1">
        <f>19</f>
        <v>19</v>
      </c>
      <c r="B694" s="1">
        <f>固定流程!A10</f>
        <v>5</v>
      </c>
      <c r="C694" s="1">
        <f>22</f>
        <v>22</v>
      </c>
      <c r="D694" s="1">
        <f>1</f>
        <v>1</v>
      </c>
      <c r="E694" s="1">
        <f>固定流程!C10</f>
        <v>1</v>
      </c>
      <c r="F694" s="1">
        <f>固定流程!G10</f>
        <v>2</v>
      </c>
      <c r="G694" s="1" t="str">
        <f>固定流程!H10</f>
        <v>37_TRIANGLE</v>
      </c>
      <c r="H694" s="1">
        <f>固定流程!F10</f>
        <v>1</v>
      </c>
      <c r="I694" s="1">
        <f>INDEX(配置与结果!$B$15:$B$18,F694)</f>
        <v>2306</v>
      </c>
      <c r="J694" s="1">
        <f>INDEX(配置与结果!$D$15:$D$18,F694)</f>
        <v>0.46</v>
      </c>
      <c r="K694" s="1">
        <f>INDEX(配置与结果!$E$15:$E$18,F694)</f>
        <v>1.9279999999999999</v>
      </c>
      <c r="L694" s="1">
        <f t="shared" si="966"/>
        <v>1</v>
      </c>
      <c r="M694" s="1">
        <f t="shared" si="966"/>
        <v>4</v>
      </c>
      <c r="N694" s="1">
        <f t="shared" si="966"/>
        <v>0</v>
      </c>
      <c r="O694" s="1">
        <f t="shared" si="966"/>
        <v>6</v>
      </c>
      <c r="P694" s="1">
        <f>MIN(方案参数!$AI$22,AZ693+0+0)</f>
        <v>6</v>
      </c>
      <c r="Q694" s="1">
        <f t="shared" si="967"/>
        <v>2</v>
      </c>
      <c r="R694" s="1">
        <f t="shared" si="968"/>
        <v>5</v>
      </c>
      <c r="S694" s="1">
        <f t="shared" si="969"/>
        <v>0</v>
      </c>
      <c r="T694" s="1">
        <f t="shared" si="970"/>
        <v>0</v>
      </c>
      <c r="U694" s="1">
        <f t="shared" si="971"/>
        <v>0</v>
      </c>
      <c r="V694" s="1">
        <f t="shared" si="972"/>
        <v>0</v>
      </c>
      <c r="W694" s="1">
        <f t="shared" si="973"/>
        <v>1</v>
      </c>
      <c r="X694" s="1">
        <f t="shared" si="974"/>
        <v>1</v>
      </c>
      <c r="Y694" s="1">
        <f t="shared" si="975"/>
        <v>1</v>
      </c>
      <c r="Z694" s="1">
        <f t="shared" si="976"/>
        <v>0</v>
      </c>
      <c r="AA694" s="1">
        <f t="shared" si="977"/>
        <v>0</v>
      </c>
      <c r="AB694" s="1">
        <f t="shared" si="978"/>
        <v>0</v>
      </c>
      <c r="AC694" s="1">
        <f t="shared" si="979"/>
        <v>0</v>
      </c>
      <c r="AD694" s="1">
        <f>ROUNDDOWN(I694*(1+IF(F694=3,0.05+方案参数!$Y$22+AA694*0.12,IF(F694=4,方案参数!$BZ$22*方案参数!$AS$22,0)))+IF(AND(X694=1,F694&lt;&gt;3),方案参数!$CC$22,0)+AC694*方案参数!$CB$22,0)</f>
        <v>2604</v>
      </c>
      <c r="AE694" s="1">
        <f>IF(OR(F694=1,F694=4),配置与结果!$B$24,配置与结果!$B$25)*MAX(0,1-INDEX(配置与结果!$I$15:$I$18,F694))</f>
        <v>1000</v>
      </c>
      <c r="AF694" s="1">
        <f>方案参数!$BS$22*IF(H694=1,1,IF(H694=2,1.5,2.5))</f>
        <v>2.8</v>
      </c>
      <c r="AG694" s="1">
        <f>MAX(配置与结果!$B$32,1+INDEX(配置与结果!$F$15:$F$18,F694)+0+Q694*方案参数!$W$22+Y694*(方案参数!$AN$22+MIN(方案参数!$AO$22,P694*0.03))+AB694*方案参数!$BZ$22*0.025-配置与结果!$B$28)</f>
        <v>1.0249999999999999</v>
      </c>
      <c r="AH694" s="1">
        <f>MAX(0,1+INDEX(配置与结果!$G$15:$G$18,F694)+W694*方案参数!$AG$22)</f>
        <v>1.45</v>
      </c>
      <c r="AI694" s="1">
        <f>IF(OR(INDEX(配置与结果!$K$15:$K$18,F694)=1,G694="RHI_BERRY"),1+配置与结果!$B$33+P694*方案参数!$AH$22,1)</f>
        <v>1</v>
      </c>
      <c r="AJ694" s="1">
        <f>MIN(1,MAX(0,J694+方案参数!$AB$22-配置与结果!$B$27))</f>
        <v>0.76</v>
      </c>
      <c r="AK694" s="1">
        <f>MAX(1,K694+IF(F694=2,0.15+方案参数!$CH$22,0)+BN694*方案参数!$X$22+R694*方案参数!$AA$22+0-配置与结果!$B$26+Z694*(方案参数!$AP$22+MIN(方案参数!$AQ$22,P694*0.03)))</f>
        <v>1.9780000000000002</v>
      </c>
      <c r="AL694" s="7">
        <f>ROUNDDOWN(MAX(AD694*配置与结果!$B$31,AD694-AE694)*AF694*AG694*AH694*AI694,0)</f>
        <v>6675</v>
      </c>
      <c r="AM694" s="7">
        <f>ROUNDDOWN(MAX(AD694*配置与结果!$B$31,AD694-AE694)*AF694*AG694*AH694*AI694*AK694,0)</f>
        <v>13203</v>
      </c>
      <c r="AN694" s="7">
        <f t="shared" si="912"/>
        <v>11636.28</v>
      </c>
      <c r="AO694" s="7">
        <f>方案参数!$BU$22*IF(H694=1,1,IF(H694=2,1.5,2.5))</f>
        <v>0.8</v>
      </c>
      <c r="AP694" s="7">
        <f>MAX(0,1+INDEX(配置与结果!$J$15:$J$18,F694)+IF(T694&gt;0,方案参数!$BY$22,0)-配置与结果!$B$30)</f>
        <v>1</v>
      </c>
      <c r="AQ694" s="7">
        <f t="shared" si="913"/>
        <v>2083</v>
      </c>
      <c r="AR694" s="7">
        <f t="shared" si="914"/>
        <v>4120</v>
      </c>
      <c r="AS694" s="7">
        <f t="shared" si="915"/>
        <v>3631.12</v>
      </c>
      <c r="AT694" s="7">
        <f>0</f>
        <v>0</v>
      </c>
      <c r="AU694" s="7">
        <f t="shared" si="916"/>
        <v>15267.400000000001</v>
      </c>
      <c r="AV694" s="1">
        <f t="shared" si="917"/>
        <v>1</v>
      </c>
      <c r="AW694" s="1">
        <f>MIN(10,M694+0+0)</f>
        <v>4</v>
      </c>
      <c r="AX694" s="1">
        <f t="shared" si="918"/>
        <v>0</v>
      </c>
      <c r="AY694" s="1">
        <f t="shared" si="987"/>
        <v>6</v>
      </c>
      <c r="AZ694" s="1">
        <f t="shared" si="919"/>
        <v>6</v>
      </c>
      <c r="BA694" s="1">
        <f>MIN(6,Q694+0)</f>
        <v>2</v>
      </c>
      <c r="BB694" s="1">
        <f t="shared" si="980"/>
        <v>5</v>
      </c>
      <c r="BC694" s="1">
        <f t="shared" si="961"/>
        <v>0</v>
      </c>
      <c r="BD694" s="1">
        <f>MAX(0,T694-IF(AO694&gt;0,1,0))+1</f>
        <v>1</v>
      </c>
      <c r="BE694" s="1">
        <f t="shared" si="981"/>
        <v>0</v>
      </c>
      <c r="BF694" s="1">
        <f t="shared" si="965"/>
        <v>0</v>
      </c>
      <c r="BG694" s="1">
        <f t="shared" si="985"/>
        <v>1</v>
      </c>
      <c r="BH694" s="1">
        <f t="shared" si="982"/>
        <v>1</v>
      </c>
      <c r="BI694" s="1">
        <f t="shared" si="986"/>
        <v>1</v>
      </c>
      <c r="BJ694" s="1">
        <f t="shared" si="956"/>
        <v>0</v>
      </c>
      <c r="BK694" s="1">
        <f t="shared" si="957"/>
        <v>0</v>
      </c>
      <c r="BL694" s="1">
        <f t="shared" si="962"/>
        <v>0</v>
      </c>
      <c r="BM694" s="1">
        <f t="shared" si="960"/>
        <v>0</v>
      </c>
      <c r="BN694" s="1">
        <f t="shared" si="983"/>
        <v>1</v>
      </c>
      <c r="BO694" s="1">
        <f t="shared" si="984"/>
        <v>1</v>
      </c>
    </row>
    <row r="695" spans="1:67" ht="30.95" customHeight="1">
      <c r="A695" s="1">
        <f>19</f>
        <v>19</v>
      </c>
      <c r="B695" s="1">
        <f>固定流程!A11</f>
        <v>6</v>
      </c>
      <c r="C695" s="1">
        <f>22</f>
        <v>22</v>
      </c>
      <c r="D695" s="1">
        <f>1</f>
        <v>1</v>
      </c>
      <c r="E695" s="1">
        <f>固定流程!C11</f>
        <v>1</v>
      </c>
      <c r="F695" s="1">
        <f>固定流程!G11</f>
        <v>2</v>
      </c>
      <c r="G695" s="1" t="str">
        <f>固定流程!H11</f>
        <v>37_FOLLOW</v>
      </c>
      <c r="H695" s="1">
        <f>固定流程!F11</f>
        <v>1</v>
      </c>
      <c r="I695" s="1">
        <f>INDEX(配置与结果!$B$15:$B$18,F695)</f>
        <v>2306</v>
      </c>
      <c r="J695" s="1">
        <f>INDEX(配置与结果!$D$15:$D$18,F695)</f>
        <v>0.46</v>
      </c>
      <c r="K695" s="1">
        <f>INDEX(配置与结果!$E$15:$E$18,F695)</f>
        <v>1.9279999999999999</v>
      </c>
      <c r="L695" s="1">
        <f t="shared" si="966"/>
        <v>1</v>
      </c>
      <c r="M695" s="1">
        <f t="shared" si="966"/>
        <v>4</v>
      </c>
      <c r="N695" s="1">
        <f t="shared" si="966"/>
        <v>0</v>
      </c>
      <c r="O695" s="1">
        <f t="shared" si="966"/>
        <v>6</v>
      </c>
      <c r="P695" s="1">
        <f>MIN(方案参数!$AI$22,AZ694+0+0)</f>
        <v>6</v>
      </c>
      <c r="Q695" s="1">
        <f t="shared" si="967"/>
        <v>2</v>
      </c>
      <c r="R695" s="1">
        <f t="shared" si="968"/>
        <v>5</v>
      </c>
      <c r="S695" s="1">
        <f t="shared" si="969"/>
        <v>0</v>
      </c>
      <c r="T695" s="1">
        <f t="shared" si="970"/>
        <v>1</v>
      </c>
      <c r="U695" s="1">
        <f t="shared" si="971"/>
        <v>0</v>
      </c>
      <c r="V695" s="1">
        <f t="shared" si="972"/>
        <v>0</v>
      </c>
      <c r="W695" s="1">
        <f t="shared" si="973"/>
        <v>1</v>
      </c>
      <c r="X695" s="1">
        <f t="shared" si="974"/>
        <v>1</v>
      </c>
      <c r="Y695" s="1">
        <f t="shared" si="975"/>
        <v>1</v>
      </c>
      <c r="Z695" s="1">
        <f t="shared" si="976"/>
        <v>0</v>
      </c>
      <c r="AA695" s="1">
        <f t="shared" si="977"/>
        <v>0</v>
      </c>
      <c r="AB695" s="1">
        <f t="shared" si="978"/>
        <v>0</v>
      </c>
      <c r="AC695" s="1">
        <f t="shared" si="979"/>
        <v>0</v>
      </c>
      <c r="AD695" s="1">
        <f>ROUNDDOWN(I695*(1+IF(F695=3,0.05+方案参数!$Y$22+AA695*0.12,IF(F695=4,方案参数!$BZ$22*方案参数!$AS$22,0)))+IF(AND(X695=1,F695&lt;&gt;3),方案参数!$CC$22,0)+AC695*方案参数!$CB$22,0)</f>
        <v>2604</v>
      </c>
      <c r="AE695" s="1">
        <f>IF(OR(F695=1,F695=4),配置与结果!$B$24,配置与结果!$B$25)*MAX(0,1-INDEX(配置与结果!$I$15:$I$18,F695))</f>
        <v>1000</v>
      </c>
      <c r="AF695" s="1">
        <f>方案参数!$BV$22</f>
        <v>3</v>
      </c>
      <c r="AG695" s="1">
        <f>MAX(配置与结果!$B$32,1+INDEX(配置与结果!$F$15:$F$18,F695)+0+Q695*方案参数!$W$22+Y695*(方案参数!$AN$22+MIN(方案参数!$AO$22,P695*0.03))+AB695*方案参数!$BZ$22*0.025-配置与结果!$B$28)</f>
        <v>1.0249999999999999</v>
      </c>
      <c r="AH695" s="1">
        <f>MAX(0,1+INDEX(配置与结果!$G$15:$G$18,F695)+W695*方案参数!$AG$22)</f>
        <v>1.45</v>
      </c>
      <c r="AI695" s="1">
        <f>IF(OR(INDEX(配置与结果!$K$15:$K$18,F695)=1,G695="RHI_BERRY"),1+配置与结果!$B$33+P695*方案参数!$AH$22,1)</f>
        <v>1</v>
      </c>
      <c r="AJ695" s="1">
        <f>MIN(1,MAX(0,J695+方案参数!$AB$22-配置与结果!$B$27))</f>
        <v>0.76</v>
      </c>
      <c r="AK695" s="1">
        <f>MAX(1,K695+IF(F695=2,0.15+方案参数!$CH$22,0)+BN695*方案参数!$X$22+R695*方案参数!$AA$22+0-配置与结果!$B$26+Z695*(方案参数!$AP$22+MIN(方案参数!$AQ$22,P695*0.03)))</f>
        <v>1.9780000000000002</v>
      </c>
      <c r="AL695" s="7">
        <f>ROUNDDOWN(MAX(AD695*配置与结果!$B$31,AD695-AE695)*AF695*AG695*AH695*AI695,0)</f>
        <v>7151</v>
      </c>
      <c r="AM695" s="7">
        <f>ROUNDDOWN(MAX(AD695*配置与结果!$B$31,AD695-AE695)*AF695*AG695*AH695*AI695*AK695,0)</f>
        <v>14146</v>
      </c>
      <c r="AN695" s="7">
        <f t="shared" si="912"/>
        <v>12467.2</v>
      </c>
      <c r="AO695" s="7">
        <f>方案参数!$BW$22</f>
        <v>1</v>
      </c>
      <c r="AP695" s="7">
        <f>MAX(0,1+INDEX(配置与结果!$J$15:$J$18,F695)+IF(T695&gt;0,方案参数!$BY$22,0)-配置与结果!$B$30)</f>
        <v>2</v>
      </c>
      <c r="AQ695" s="7">
        <f t="shared" si="913"/>
        <v>5208</v>
      </c>
      <c r="AR695" s="7">
        <f t="shared" si="914"/>
        <v>10301</v>
      </c>
      <c r="AS695" s="7">
        <f t="shared" si="915"/>
        <v>9078.68</v>
      </c>
      <c r="AT695" s="7">
        <f>0</f>
        <v>0</v>
      </c>
      <c r="AU695" s="7">
        <f t="shared" si="916"/>
        <v>21545.88</v>
      </c>
      <c r="AV695" s="1">
        <f t="shared" si="917"/>
        <v>1</v>
      </c>
      <c r="AW695" s="1">
        <f>MIN(10,M695+0+0)</f>
        <v>4</v>
      </c>
      <c r="AX695" s="1">
        <f t="shared" si="918"/>
        <v>0</v>
      </c>
      <c r="AY695" s="1">
        <f t="shared" si="987"/>
        <v>6</v>
      </c>
      <c r="AZ695" s="1">
        <f t="shared" si="919"/>
        <v>6</v>
      </c>
      <c r="BA695" s="1">
        <f>MIN(6,Q695+0)</f>
        <v>2</v>
      </c>
      <c r="BB695" s="1">
        <f t="shared" si="980"/>
        <v>5</v>
      </c>
      <c r="BC695" s="1">
        <f t="shared" si="961"/>
        <v>0</v>
      </c>
      <c r="BD695" s="1">
        <f t="shared" ref="BD695:BD729" si="988">MAX(0,T695-IF(AO695&gt;0,1,0))+0</f>
        <v>0</v>
      </c>
      <c r="BE695" s="1">
        <f t="shared" si="981"/>
        <v>0</v>
      </c>
      <c r="BF695" s="1">
        <f>MIN(4,V695+1)</f>
        <v>1</v>
      </c>
      <c r="BG695" s="1">
        <f t="shared" si="985"/>
        <v>1</v>
      </c>
      <c r="BH695" s="1">
        <f t="shared" si="982"/>
        <v>1</v>
      </c>
      <c r="BI695" s="1">
        <f t="shared" si="986"/>
        <v>1</v>
      </c>
      <c r="BJ695" s="1">
        <f t="shared" si="956"/>
        <v>0</v>
      </c>
      <c r="BK695" s="1">
        <f t="shared" si="957"/>
        <v>0</v>
      </c>
      <c r="BL695" s="1">
        <f t="shared" si="962"/>
        <v>0</v>
      </c>
      <c r="BM695" s="1">
        <f t="shared" si="960"/>
        <v>0</v>
      </c>
      <c r="BN695" s="1">
        <f t="shared" si="983"/>
        <v>1</v>
      </c>
      <c r="BO695" s="1">
        <f t="shared" si="984"/>
        <v>1</v>
      </c>
    </row>
    <row r="696" spans="1:67" ht="30.95" customHeight="1">
      <c r="A696" s="1">
        <f>19</f>
        <v>19</v>
      </c>
      <c r="B696" s="1">
        <f>固定流程!A12</f>
        <v>7</v>
      </c>
      <c r="C696" s="1">
        <f>22</f>
        <v>22</v>
      </c>
      <c r="D696" s="1">
        <f>1</f>
        <v>1</v>
      </c>
      <c r="E696" s="1">
        <f>固定流程!C12</f>
        <v>1</v>
      </c>
      <c r="F696" s="1">
        <f>固定流程!G12</f>
        <v>4</v>
      </c>
      <c r="G696" s="1" t="str">
        <f>固定流程!H12</f>
        <v>J_HARD</v>
      </c>
      <c r="H696" s="1">
        <f>固定流程!F12</f>
        <v>1</v>
      </c>
      <c r="I696" s="1">
        <f>INDEX(配置与结果!$B$15:$B$18,F696)</f>
        <v>1906</v>
      </c>
      <c r="J696" s="1">
        <f>INDEX(配置与结果!$D$15:$D$18,F696)</f>
        <v>0.36699999999999999</v>
      </c>
      <c r="K696" s="1">
        <f>INDEX(配置与结果!$E$15:$E$18,F696)</f>
        <v>1.7170000000000001</v>
      </c>
      <c r="L696" s="1">
        <f t="shared" si="966"/>
        <v>1</v>
      </c>
      <c r="M696" s="1">
        <f t="shared" si="966"/>
        <v>4</v>
      </c>
      <c r="N696" s="1">
        <f t="shared" si="966"/>
        <v>0</v>
      </c>
      <c r="O696" s="1">
        <f t="shared" si="966"/>
        <v>6</v>
      </c>
      <c r="P696" s="1">
        <f>MIN(方案参数!$AI$22,AZ695+0+0)</f>
        <v>6</v>
      </c>
      <c r="Q696" s="1">
        <f t="shared" si="967"/>
        <v>2</v>
      </c>
      <c r="R696" s="1">
        <f t="shared" si="968"/>
        <v>5</v>
      </c>
      <c r="S696" s="1">
        <f t="shared" si="969"/>
        <v>0</v>
      </c>
      <c r="T696" s="1">
        <f t="shared" si="970"/>
        <v>0</v>
      </c>
      <c r="U696" s="1">
        <f t="shared" si="971"/>
        <v>0</v>
      </c>
      <c r="V696" s="1">
        <f t="shared" si="972"/>
        <v>1</v>
      </c>
      <c r="W696" s="1">
        <f t="shared" si="973"/>
        <v>1</v>
      </c>
      <c r="X696" s="1">
        <f t="shared" si="974"/>
        <v>1</v>
      </c>
      <c r="Y696" s="1">
        <f t="shared" si="975"/>
        <v>1</v>
      </c>
      <c r="Z696" s="1">
        <f t="shared" si="976"/>
        <v>0</v>
      </c>
      <c r="AA696" s="1">
        <f t="shared" si="977"/>
        <v>0</v>
      </c>
      <c r="AB696" s="1">
        <f t="shared" si="978"/>
        <v>0</v>
      </c>
      <c r="AC696" s="1">
        <f t="shared" si="979"/>
        <v>0</v>
      </c>
      <c r="AD696" s="1">
        <f>ROUNDDOWN(I696*(1+IF(F696=3,0.05+方案参数!$Y$22+AA696*0.12,IF(F696=4,方案参数!$BZ$22*方案参数!$AS$22,0)))+IF(AND(X696=1,F696&lt;&gt;3),方案参数!$CC$22,0)+AC696*方案参数!$CB$22,0)</f>
        <v>2871</v>
      </c>
      <c r="AE696" s="1">
        <f>IF(OR(F696=1,F696=4),配置与结果!$B$24,配置与结果!$B$25)*MAX(0,1-INDEX(配置与结果!$I$15:$I$18,F696))</f>
        <v>1200</v>
      </c>
      <c r="AF696" s="1">
        <f>3.6*IF(H696=1,1,IF(H696=2,1.5,2.5))</f>
        <v>3.6</v>
      </c>
      <c r="AG696" s="1">
        <f>MAX(配置与结果!$B$32,1+INDEX(配置与结果!$F$15:$F$18,F696)+0.08+Q696*方案参数!$W$22+Y696*(方案参数!$AN$22+MIN(方案参数!$AO$22,P696*0.03))+AB696*方案参数!$BZ$22*0.025+0.1+IF(方案参数!$BZ$22&gt;=30,方案参数!$BZ$22*0.01,0)-配置与结果!$B$28)</f>
        <v>1.5750000000000002</v>
      </c>
      <c r="AH696" s="1">
        <f>MAX(0,1+INDEX(配置与结果!$G$15:$G$18,F696)+W696*方案参数!$AG$22)</f>
        <v>1.45</v>
      </c>
      <c r="AI696" s="1">
        <f>IF(OR(INDEX(配置与结果!$K$15:$K$18,F696)=1,G696="RHI_BERRY"),1+配置与结果!$B$33+P696*方案参数!$AH$22,1)</f>
        <v>1</v>
      </c>
      <c r="AJ696" s="1">
        <f>MIN(1,MAX(0,J696+方案参数!$AB$22-配置与结果!$B$27))</f>
        <v>0.66700000000000004</v>
      </c>
      <c r="AK696" s="1">
        <f>MAX(1,K696+IF(F696=2,0.15+方案参数!$CH$22,0)+BN696*方案参数!$X$22+R696*方案参数!$AA$22+0-配置与结果!$B$26+Z696*(方案参数!$AP$22+MIN(方案参数!$AQ$22,P696*0.03)))</f>
        <v>1.4969999999999999</v>
      </c>
      <c r="AL696" s="7">
        <f>ROUNDDOWN(MAX(AD696*配置与结果!$B$31,AD696-AE696)*AF696*AG696*AH696*AI696,0)</f>
        <v>13738</v>
      </c>
      <c r="AM696" s="7">
        <f>ROUNDDOWN(MAX(AD696*配置与结果!$B$31,AD696-AE696)*AF696*AG696*AH696*AI696*AK696,0)</f>
        <v>20565</v>
      </c>
      <c r="AN696" s="7">
        <f t="shared" si="912"/>
        <v>18291.609</v>
      </c>
      <c r="AO696" s="7">
        <f>0</f>
        <v>0</v>
      </c>
      <c r="AP696" s="7">
        <f>MAX(0,1+INDEX(配置与结果!$J$15:$J$18,F696)+IF(T696&gt;0,方案参数!$BY$22,0)-配置与结果!$B$30)</f>
        <v>1</v>
      </c>
      <c r="AQ696" s="7">
        <f t="shared" si="913"/>
        <v>0</v>
      </c>
      <c r="AR696" s="7">
        <f t="shared" si="914"/>
        <v>0</v>
      </c>
      <c r="AS696" s="7">
        <f t="shared" si="915"/>
        <v>0</v>
      </c>
      <c r="AT696" s="7">
        <f>0</f>
        <v>0</v>
      </c>
      <c r="AU696" s="7">
        <f t="shared" si="916"/>
        <v>18291.609</v>
      </c>
      <c r="AV696" s="1">
        <f t="shared" si="917"/>
        <v>1</v>
      </c>
      <c r="AW696" s="1">
        <f>MIN(10,M696+0+0)</f>
        <v>4</v>
      </c>
      <c r="AX696" s="1">
        <f t="shared" si="918"/>
        <v>0</v>
      </c>
      <c r="AY696" s="1">
        <f t="shared" si="987"/>
        <v>6</v>
      </c>
      <c r="AZ696" s="1">
        <f t="shared" si="919"/>
        <v>6</v>
      </c>
      <c r="BA696" s="1">
        <f>MIN(6,Q696+0)</f>
        <v>2</v>
      </c>
      <c r="BB696" s="1">
        <f t="shared" si="980"/>
        <v>5</v>
      </c>
      <c r="BC696" s="1">
        <f>MIN(3,S696+1)</f>
        <v>1</v>
      </c>
      <c r="BD696" s="1">
        <f t="shared" si="988"/>
        <v>0</v>
      </c>
      <c r="BE696" s="1">
        <f t="shared" si="981"/>
        <v>0</v>
      </c>
      <c r="BF696" s="1">
        <f>MIN(4,V696+0)</f>
        <v>1</v>
      </c>
      <c r="BG696" s="1">
        <f t="shared" si="985"/>
        <v>1</v>
      </c>
      <c r="BH696" s="1">
        <f t="shared" si="982"/>
        <v>1</v>
      </c>
      <c r="BI696" s="1">
        <f t="shared" si="986"/>
        <v>1</v>
      </c>
      <c r="BJ696" s="1">
        <f t="shared" si="956"/>
        <v>0</v>
      </c>
      <c r="BK696" s="1">
        <f t="shared" si="957"/>
        <v>0</v>
      </c>
      <c r="BL696" s="1">
        <f t="shared" si="962"/>
        <v>0</v>
      </c>
      <c r="BM696" s="1">
        <f t="shared" si="960"/>
        <v>0</v>
      </c>
      <c r="BN696" s="1">
        <f t="shared" si="983"/>
        <v>1</v>
      </c>
      <c r="BO696" s="1">
        <f t="shared" si="984"/>
        <v>1</v>
      </c>
    </row>
    <row r="697" spans="1:67" ht="30.95" customHeight="1">
      <c r="A697" s="1">
        <f>19</f>
        <v>19</v>
      </c>
      <c r="B697" s="1">
        <f>固定流程!A13</f>
        <v>8</v>
      </c>
      <c r="C697" s="1">
        <f>22</f>
        <v>22</v>
      </c>
      <c r="D697" s="1">
        <f>1</f>
        <v>1</v>
      </c>
      <c r="E697" s="1">
        <f>固定流程!C13</f>
        <v>2</v>
      </c>
      <c r="F697" s="1">
        <f>固定流程!G13</f>
        <v>3</v>
      </c>
      <c r="G697" s="1" t="str">
        <f>固定流程!H13</f>
        <v>RHI_ATTACK</v>
      </c>
      <c r="H697" s="1">
        <f>固定流程!F13</f>
        <v>1</v>
      </c>
      <c r="I697" s="1">
        <f>INDEX(配置与结果!$B$15:$B$18,F697)</f>
        <v>2597</v>
      </c>
      <c r="J697" s="1">
        <f>INDEX(配置与结果!$D$15:$D$18,F697)</f>
        <v>0.255</v>
      </c>
      <c r="K697" s="1">
        <f>INDEX(配置与结果!$E$15:$E$18,F697)</f>
        <v>1.55</v>
      </c>
      <c r="L697" s="1">
        <f>IF(AV696=1,IF(M697&gt;=10,2,1),IF(AV696=2,IF(AX696&lt;=1,0,2),0))</f>
        <v>1</v>
      </c>
      <c r="M697" s="1">
        <f>IF(AND(AV696=2,AX696&lt;=1),0,MIN(10,AW696+IF(AV696=1,3,0)))</f>
        <v>7</v>
      </c>
      <c r="N697" s="1">
        <f>IF(AND(AV696=1,M697&gt;=10),2,IF(AV696=2,MAX(0,AX696-1),0))</f>
        <v>0</v>
      </c>
      <c r="O697" s="1">
        <f t="shared" ref="O697:O725" si="989">AY696</f>
        <v>6</v>
      </c>
      <c r="P697" s="1">
        <f>MIN(方案参数!$AI$22,AZ696+方案参数!$AJ$22+方案参数!$AK$22)</f>
        <v>10</v>
      </c>
      <c r="Q697" s="1">
        <f t="shared" si="967"/>
        <v>2</v>
      </c>
      <c r="R697" s="1">
        <f t="shared" si="968"/>
        <v>5</v>
      </c>
      <c r="S697" s="1">
        <f t="shared" si="969"/>
        <v>1</v>
      </c>
      <c r="T697" s="1">
        <f t="shared" si="970"/>
        <v>0</v>
      </c>
      <c r="U697" s="1">
        <f t="shared" si="971"/>
        <v>0</v>
      </c>
      <c r="V697" s="1">
        <f t="shared" si="972"/>
        <v>1</v>
      </c>
      <c r="W697" s="1">
        <f t="shared" si="973"/>
        <v>1</v>
      </c>
      <c r="X697" s="1">
        <f t="shared" si="974"/>
        <v>1</v>
      </c>
      <c r="Y697" s="1">
        <f t="shared" si="975"/>
        <v>1</v>
      </c>
      <c r="Z697" s="1">
        <f t="shared" si="976"/>
        <v>0</v>
      </c>
      <c r="AA697" s="1">
        <f>MAX(BK696,1)</f>
        <v>1</v>
      </c>
      <c r="AB697" s="1">
        <f t="shared" si="978"/>
        <v>0</v>
      </c>
      <c r="AC697" s="1">
        <f t="shared" si="979"/>
        <v>0</v>
      </c>
      <c r="AD697" s="1">
        <f>ROUNDDOWN(I697*(1+IF(F697=3,0.05+方案参数!$Y$22+AA697*0.12,IF(F697=4,方案参数!$BZ$22*方案参数!$AS$22,0)))+IF(AND(X697=1,F697&lt;&gt;3),方案参数!$CC$22,0)+AC697*方案参数!$CB$22,0)</f>
        <v>3298</v>
      </c>
      <c r="AE697" s="1">
        <f>IF(OR(F697=1,F697=4),配置与结果!$B$24,配置与结果!$B$25)*MAX(0,1-INDEX(配置与结果!$I$15:$I$18,F697))</f>
        <v>1000</v>
      </c>
      <c r="AF697" s="1">
        <f>4</f>
        <v>4</v>
      </c>
      <c r="AG697" s="1">
        <f>MAX(配置与结果!$B$32,1+INDEX(配置与结果!$F$15:$F$18,F697)+0+Q697*方案参数!$W$22+Y697*(方案参数!$AN$22+MIN(方案参数!$AO$22,P697*0.03))+AB697*方案参数!$BZ$22*0.025-配置与结果!$B$28)</f>
        <v>1.085</v>
      </c>
      <c r="AH697" s="1">
        <f>MAX(0,1+INDEX(配置与结果!$G$15:$G$18,F697)+W697*方案参数!$AG$22)</f>
        <v>1.45</v>
      </c>
      <c r="AI697" s="1">
        <f>IF(OR(INDEX(配置与结果!$K$15:$K$18,F697)=1,G697="RHI_BERRY"),1+配置与结果!$B$33+P697*方案参数!$AH$22,1)</f>
        <v>1</v>
      </c>
      <c r="AJ697" s="1">
        <f>MIN(1,MAX(0,J697+方案参数!$AB$22-配置与结果!$B$27))</f>
        <v>0.55499999999999994</v>
      </c>
      <c r="AK697" s="1">
        <f>MAX(1,K697+IF(F697=2,0.15+方案参数!$CH$22,0)+BN697*方案参数!$X$22+R697*方案参数!$AA$22+0-配置与结果!$B$26+Z697*(方案参数!$AP$22+MIN(方案参数!$AQ$22,P697*0.03)))</f>
        <v>1.33</v>
      </c>
      <c r="AL697" s="7">
        <f>ROUNDDOWN(MAX(AD697*配置与结果!$B$31,AD697-AE697)*AF697*AG697*AH697*AI697,0)</f>
        <v>14461</v>
      </c>
      <c r="AM697" s="7">
        <f>ROUNDDOWN(MAX(AD697*配置与结果!$B$31,AD697-AE697)*AF697*AG697*AH697*AI697*AK697,0)</f>
        <v>19233</v>
      </c>
      <c r="AN697" s="7">
        <f t="shared" si="912"/>
        <v>17109.46</v>
      </c>
      <c r="AO697" s="7">
        <f>0</f>
        <v>0</v>
      </c>
      <c r="AP697" s="7">
        <f>MAX(0,1+INDEX(配置与结果!$J$15:$J$18,F697)+IF(T697&gt;0,方案参数!$BY$22,0)-配置与结果!$B$30)</f>
        <v>1</v>
      </c>
      <c r="AQ697" s="7">
        <f t="shared" si="913"/>
        <v>0</v>
      </c>
      <c r="AR697" s="7">
        <f t="shared" si="914"/>
        <v>0</v>
      </c>
      <c r="AS697" s="7">
        <f t="shared" si="915"/>
        <v>0</v>
      </c>
      <c r="AT697" s="7">
        <f>0</f>
        <v>0</v>
      </c>
      <c r="AU697" s="7">
        <f t="shared" si="916"/>
        <v>17109.46</v>
      </c>
      <c r="AV697" s="1">
        <f t="shared" si="917"/>
        <v>1</v>
      </c>
      <c r="AW697" s="1">
        <f>MIN(10,M697+0+0)</f>
        <v>7</v>
      </c>
      <c r="AX697" s="1">
        <f t="shared" si="918"/>
        <v>0</v>
      </c>
      <c r="AY697" s="1">
        <f t="shared" si="987"/>
        <v>6</v>
      </c>
      <c r="AZ697" s="1">
        <f t="shared" si="919"/>
        <v>10</v>
      </c>
      <c r="BA697" s="1">
        <f>MIN(6,Q697+1)</f>
        <v>3</v>
      </c>
      <c r="BB697" s="1">
        <f t="shared" si="980"/>
        <v>5</v>
      </c>
      <c r="BC697" s="1">
        <f>MIN(3,S697+0)</f>
        <v>1</v>
      </c>
      <c r="BD697" s="1">
        <f t="shared" si="988"/>
        <v>0</v>
      </c>
      <c r="BE697" s="1">
        <f t="shared" si="981"/>
        <v>0</v>
      </c>
      <c r="BF697" s="1">
        <f>MIN(4,V697+0)</f>
        <v>1</v>
      </c>
      <c r="BG697" s="1">
        <f t="shared" si="985"/>
        <v>1</v>
      </c>
      <c r="BH697" s="1">
        <f t="shared" si="982"/>
        <v>1</v>
      </c>
      <c r="BI697" s="1">
        <f t="shared" si="986"/>
        <v>1</v>
      </c>
      <c r="BJ697" s="1">
        <f>MAX(Z697,1)</f>
        <v>1</v>
      </c>
      <c r="BK697" s="1">
        <f>MAX(AA697,1)</f>
        <v>1</v>
      </c>
      <c r="BL697" s="1">
        <f t="shared" si="962"/>
        <v>0</v>
      </c>
      <c r="BM697" s="1">
        <f t="shared" si="960"/>
        <v>0</v>
      </c>
      <c r="BN697" s="1">
        <f t="shared" si="983"/>
        <v>1</v>
      </c>
      <c r="BO697" s="1">
        <f t="shared" si="984"/>
        <v>1</v>
      </c>
    </row>
    <row r="698" spans="1:67" ht="30.95" customHeight="1">
      <c r="A698" s="1">
        <f>19</f>
        <v>19</v>
      </c>
      <c r="B698" s="1">
        <f>固定流程!A14</f>
        <v>9</v>
      </c>
      <c r="C698" s="1">
        <f>22</f>
        <v>22</v>
      </c>
      <c r="D698" s="1">
        <f>1</f>
        <v>1</v>
      </c>
      <c r="E698" s="1">
        <f>固定流程!C14</f>
        <v>2</v>
      </c>
      <c r="F698" s="1">
        <f>固定流程!G14</f>
        <v>1</v>
      </c>
      <c r="G698" s="1" t="str">
        <f>固定流程!H14</f>
        <v>LILYA_DIVE</v>
      </c>
      <c r="H698" s="1">
        <f>固定流程!F14</f>
        <v>3</v>
      </c>
      <c r="I698" s="1">
        <f>INDEX(配置与结果!$B$15:$B$18,F698)</f>
        <v>2296</v>
      </c>
      <c r="J698" s="1">
        <f>INDEX(配置与结果!$D$15:$D$18,F698)</f>
        <v>0.7</v>
      </c>
      <c r="K698" s="1">
        <f>INDEX(配置与结果!$E$15:$E$18,F698)</f>
        <v>2.0249999999999999</v>
      </c>
      <c r="L698" s="1">
        <f t="shared" ref="L698:N702" si="990">AV697</f>
        <v>1</v>
      </c>
      <c r="M698" s="1">
        <f t="shared" si="990"/>
        <v>7</v>
      </c>
      <c r="N698" s="1">
        <f t="shared" si="990"/>
        <v>0</v>
      </c>
      <c r="O698" s="1">
        <f t="shared" si="989"/>
        <v>6</v>
      </c>
      <c r="P698" s="1">
        <f>MIN(方案参数!$AI$22,AZ697+0+0)</f>
        <v>10</v>
      </c>
      <c r="Q698" s="1">
        <f t="shared" si="967"/>
        <v>3</v>
      </c>
      <c r="R698" s="1">
        <f t="shared" si="968"/>
        <v>5</v>
      </c>
      <c r="S698" s="1">
        <f t="shared" si="969"/>
        <v>1</v>
      </c>
      <c r="T698" s="1">
        <f t="shared" si="970"/>
        <v>0</v>
      </c>
      <c r="U698" s="1">
        <f t="shared" si="971"/>
        <v>0</v>
      </c>
      <c r="V698" s="1">
        <f t="shared" si="972"/>
        <v>1</v>
      </c>
      <c r="W698" s="1">
        <f t="shared" si="973"/>
        <v>1</v>
      </c>
      <c r="X698" s="1">
        <f t="shared" si="974"/>
        <v>1</v>
      </c>
      <c r="Y698" s="1">
        <f t="shared" si="975"/>
        <v>1</v>
      </c>
      <c r="Z698" s="1">
        <f t="shared" si="976"/>
        <v>1</v>
      </c>
      <c r="AA698" s="1">
        <f t="shared" ref="AA698:AA703" si="991">MAX(BK697,0)</f>
        <v>1</v>
      </c>
      <c r="AB698" s="1">
        <f t="shared" si="978"/>
        <v>0</v>
      </c>
      <c r="AC698" s="1">
        <f t="shared" si="979"/>
        <v>0</v>
      </c>
      <c r="AD698" s="1">
        <f>ROUNDDOWN(I698*(1+IF(F698=3,0.05+方案参数!$Y$22+AA698*0.12,IF(F698=4,方案参数!$BZ$22*方案参数!$AS$22,0)))+IF(AND(X698=1,F698&lt;&gt;3),方案参数!$CC$22,0)+AC698*方案参数!$CB$22,0)</f>
        <v>2594</v>
      </c>
      <c r="AE698" s="1">
        <f>IF(OR(F698=1,F698=4),配置与结果!$B$24,配置与结果!$B$25)*MAX(0,1-INDEX(配置与结果!$I$15:$I$18,F698))</f>
        <v>1200</v>
      </c>
      <c r="AF698" s="1">
        <f>(IF(L698=1,方案参数!$AW$22,IF(L698=2,方案参数!$AX$22,0))+方案参数!$AV$22)*H698</f>
        <v>18</v>
      </c>
      <c r="AG698" s="1">
        <f>MAX(配置与结果!$B$32,1+INDEX(配置与结果!$F$15:$F$18,F698)+0.08+方案参数!$CD$22+Q698*方案参数!$W$22+Y698*(方案参数!$AN$22+MIN(方案参数!$AO$22,P698*0.03))+AB698*方案参数!$BZ$22*0.025+IF(L698=1,方案参数!$AY$22+(H698-1)*0.1,IF(L698=2,方案参数!$AZ$22+(H698-1)*0.2,0))-配置与结果!$B$28)</f>
        <v>1.7100000000000004</v>
      </c>
      <c r="AH698" s="1">
        <f>MAX(0,1+INDEX(配置与结果!$G$15:$G$18,F698)+W698*方案参数!$AG$22+IF(L698=1,方案参数!$BA$22,IF(L698=2,方案参数!$BB$22,0))+M698*方案参数!$BC$22)</f>
        <v>2.4699999999999998</v>
      </c>
      <c r="AI698" s="1">
        <f>IF(OR(INDEX(配置与结果!$K$15:$K$18,F698)=1,G698="RHI_BERRY"),1+配置与结果!$B$33+P698*方案参数!$AH$22,1)</f>
        <v>1</v>
      </c>
      <c r="AJ698" s="1">
        <f>MIN(1,MAX(0,J698+方案参数!$AB$22-配置与结果!$B$27))</f>
        <v>1</v>
      </c>
      <c r="AK698" s="1">
        <f>MAX(1,K698+IF(F698=2,0.15+方案参数!$CH$22,0)+BN698*方案参数!$X$22+R698*方案参数!$AA$22+0-配置与结果!$B$26+Z698*(方案参数!$AP$22+MIN(方案参数!$AQ$22,P698*0.03)))</f>
        <v>2.2150000000000003</v>
      </c>
      <c r="AL698" s="7">
        <f>ROUNDDOWN(MAX(AD698*配置与结果!$B$31,AD698-AE698)*AF698*AG698*AH698*AI698,0)</f>
        <v>105981</v>
      </c>
      <c r="AM698" s="7">
        <f>ROUNDDOWN(MAX(AD698*配置与结果!$B$31,AD698-AE698)*AF698*AG698*AH698*AI698*AK698,0)</f>
        <v>234748</v>
      </c>
      <c r="AN698" s="7">
        <f t="shared" si="912"/>
        <v>234748</v>
      </c>
      <c r="AO698" s="7">
        <f>0</f>
        <v>0</v>
      </c>
      <c r="AP698" s="7">
        <f>MAX(0,1+INDEX(配置与结果!$J$15:$J$18,F698)+IF(T698&gt;0,方案参数!$BY$22,0)-配置与结果!$B$30)</f>
        <v>1</v>
      </c>
      <c r="AQ698" s="7">
        <f t="shared" si="913"/>
        <v>0</v>
      </c>
      <c r="AR698" s="7">
        <f t="shared" si="914"/>
        <v>0</v>
      </c>
      <c r="AS698" s="7">
        <f t="shared" si="915"/>
        <v>0</v>
      </c>
      <c r="AT698" s="7">
        <f>0</f>
        <v>0</v>
      </c>
      <c r="AU698" s="7">
        <f t="shared" si="916"/>
        <v>234748</v>
      </c>
      <c r="AV698" s="1">
        <f t="shared" si="917"/>
        <v>1</v>
      </c>
      <c r="AW698" s="1">
        <f>MIN(10,M698+0+IF(L698=1,方案参数!$BE$22,0))</f>
        <v>8</v>
      </c>
      <c r="AX698" s="1">
        <f t="shared" si="918"/>
        <v>0</v>
      </c>
      <c r="AY698" s="1">
        <f t="shared" si="987"/>
        <v>6</v>
      </c>
      <c r="AZ698" s="1">
        <f t="shared" si="919"/>
        <v>10</v>
      </c>
      <c r="BA698" s="1">
        <f>MIN(6,Q698+0)</f>
        <v>3</v>
      </c>
      <c r="BB698" s="1">
        <f t="shared" si="980"/>
        <v>5</v>
      </c>
      <c r="BC698" s="1">
        <f>MIN(3,S698+0)</f>
        <v>1</v>
      </c>
      <c r="BD698" s="1">
        <f t="shared" si="988"/>
        <v>0</v>
      </c>
      <c r="BE698" s="1">
        <f t="shared" si="981"/>
        <v>0</v>
      </c>
      <c r="BF698" s="1">
        <f>MIN(4,V698+0)</f>
        <v>1</v>
      </c>
      <c r="BG698" s="1">
        <f t="shared" si="985"/>
        <v>1</v>
      </c>
      <c r="BH698" s="1">
        <f t="shared" si="982"/>
        <v>1</v>
      </c>
      <c r="BI698" s="1">
        <f t="shared" si="986"/>
        <v>1</v>
      </c>
      <c r="BJ698" s="1">
        <f t="shared" ref="BJ698:BK703" si="992">MAX(Z698,0)</f>
        <v>1</v>
      </c>
      <c r="BK698" s="1">
        <f t="shared" si="992"/>
        <v>1</v>
      </c>
      <c r="BL698" s="1">
        <f t="shared" si="962"/>
        <v>0</v>
      </c>
      <c r="BM698" s="1">
        <f t="shared" si="960"/>
        <v>0</v>
      </c>
      <c r="BN698" s="1">
        <f t="shared" si="983"/>
        <v>1</v>
      </c>
      <c r="BO698" s="1">
        <f t="shared" si="984"/>
        <v>1</v>
      </c>
    </row>
    <row r="699" spans="1:67" ht="30.95" customHeight="1">
      <c r="A699" s="1">
        <f>19</f>
        <v>19</v>
      </c>
      <c r="B699" s="1">
        <f>固定流程!A15</f>
        <v>10</v>
      </c>
      <c r="C699" s="1">
        <f>22</f>
        <v>22</v>
      </c>
      <c r="D699" s="1">
        <f>1</f>
        <v>1</v>
      </c>
      <c r="E699" s="1">
        <f>固定流程!C15</f>
        <v>2</v>
      </c>
      <c r="F699" s="1">
        <f>固定流程!G15</f>
        <v>4</v>
      </c>
      <c r="G699" s="1" t="str">
        <f>固定流程!H15</f>
        <v>J_HARD</v>
      </c>
      <c r="H699" s="1">
        <f>固定流程!F15</f>
        <v>1</v>
      </c>
      <c r="I699" s="1">
        <f>INDEX(配置与结果!$B$15:$B$18,F699)</f>
        <v>1906</v>
      </c>
      <c r="J699" s="1">
        <f>INDEX(配置与结果!$D$15:$D$18,F699)</f>
        <v>0.36699999999999999</v>
      </c>
      <c r="K699" s="1">
        <f>INDEX(配置与结果!$E$15:$E$18,F699)</f>
        <v>1.7170000000000001</v>
      </c>
      <c r="L699" s="1">
        <f t="shared" si="990"/>
        <v>1</v>
      </c>
      <c r="M699" s="1">
        <f t="shared" si="990"/>
        <v>8</v>
      </c>
      <c r="N699" s="1">
        <f t="shared" si="990"/>
        <v>0</v>
      </c>
      <c r="O699" s="1">
        <f t="shared" si="989"/>
        <v>6</v>
      </c>
      <c r="P699" s="1">
        <f>MIN(方案参数!$AI$22,AZ698+0+0)</f>
        <v>10</v>
      </c>
      <c r="Q699" s="1">
        <f t="shared" si="967"/>
        <v>3</v>
      </c>
      <c r="R699" s="1">
        <f t="shared" si="968"/>
        <v>5</v>
      </c>
      <c r="S699" s="1">
        <f t="shared" si="969"/>
        <v>1</v>
      </c>
      <c r="T699" s="1">
        <f t="shared" si="970"/>
        <v>0</v>
      </c>
      <c r="U699" s="1">
        <f t="shared" si="971"/>
        <v>0</v>
      </c>
      <c r="V699" s="1">
        <f t="shared" si="972"/>
        <v>1</v>
      </c>
      <c r="W699" s="1">
        <f t="shared" si="973"/>
        <v>1</v>
      </c>
      <c r="X699" s="1">
        <f t="shared" si="974"/>
        <v>1</v>
      </c>
      <c r="Y699" s="1">
        <f t="shared" si="975"/>
        <v>1</v>
      </c>
      <c r="Z699" s="1">
        <f t="shared" si="976"/>
        <v>1</v>
      </c>
      <c r="AA699" s="1">
        <f t="shared" si="991"/>
        <v>1</v>
      </c>
      <c r="AB699" s="1">
        <f t="shared" si="978"/>
        <v>0</v>
      </c>
      <c r="AC699" s="1">
        <f t="shared" si="979"/>
        <v>0</v>
      </c>
      <c r="AD699" s="1">
        <f>ROUNDDOWN(I699*(1+IF(F699=3,0.05+方案参数!$Y$22+AA699*0.12,IF(F699=4,方案参数!$BZ$22*方案参数!$AS$22,0)))+IF(AND(X699=1,F699&lt;&gt;3),方案参数!$CC$22,0)+AC699*方案参数!$CB$22,0)</f>
        <v>2871</v>
      </c>
      <c r="AE699" s="1">
        <f>IF(OR(F699=1,F699=4),配置与结果!$B$24,配置与结果!$B$25)*MAX(0,1-INDEX(配置与结果!$I$15:$I$18,F699))</f>
        <v>1200</v>
      </c>
      <c r="AF699" s="1">
        <f>3.6*IF(H699=1,1,IF(H699=2,1.5,2.5))</f>
        <v>3.6</v>
      </c>
      <c r="AG699" s="1">
        <f>MAX(配置与结果!$B$32,1+INDEX(配置与结果!$F$15:$F$18,F699)+0.08+Q699*方案参数!$W$22+Y699*(方案参数!$AN$22+MIN(方案参数!$AO$22,P699*0.03))+AB699*方案参数!$BZ$22*0.025+0.1+IF(方案参数!$BZ$22&gt;=30,方案参数!$BZ$22*0.01,0)-配置与结果!$B$28)</f>
        <v>1.6250000000000004</v>
      </c>
      <c r="AH699" s="1">
        <f>MAX(0,1+INDEX(配置与结果!$G$15:$G$18,F699)+W699*方案参数!$AG$22)</f>
        <v>1.45</v>
      </c>
      <c r="AI699" s="1">
        <f>IF(OR(INDEX(配置与结果!$K$15:$K$18,F699)=1,G699="RHI_BERRY"),1+配置与结果!$B$33+P699*方案参数!$AH$22,1)</f>
        <v>1</v>
      </c>
      <c r="AJ699" s="1">
        <f>MIN(1,MAX(0,J699+方案参数!$AB$22-配置与结果!$B$27))</f>
        <v>0.66700000000000004</v>
      </c>
      <c r="AK699" s="1">
        <f>MAX(1,K699+IF(F699=2,0.15+方案参数!$CH$22,0)+BN699*方案参数!$X$22+R699*方案参数!$AA$22+0-配置与结果!$B$26+Z699*(方案参数!$AP$22+MIN(方案参数!$AQ$22,P699*0.03)))</f>
        <v>1.907</v>
      </c>
      <c r="AL699" s="7">
        <f>ROUNDDOWN(MAX(AD699*配置与结果!$B$31,AD699-AE699)*AF699*AG699*AH699*AI699,0)</f>
        <v>14174</v>
      </c>
      <c r="AM699" s="7">
        <f>ROUNDDOWN(MAX(AD699*配置与结果!$B$31,AD699-AE699)*AF699*AG699*AH699*AI699*AK699,0)</f>
        <v>27030</v>
      </c>
      <c r="AN699" s="7">
        <f t="shared" si="912"/>
        <v>22748.952000000001</v>
      </c>
      <c r="AO699" s="7">
        <f>0</f>
        <v>0</v>
      </c>
      <c r="AP699" s="7">
        <f>MAX(0,1+INDEX(配置与结果!$J$15:$J$18,F699)+IF(T699&gt;0,方案参数!$BY$22,0)-配置与结果!$B$30)</f>
        <v>1</v>
      </c>
      <c r="AQ699" s="7">
        <f t="shared" si="913"/>
        <v>0</v>
      </c>
      <c r="AR699" s="7">
        <f t="shared" si="914"/>
        <v>0</v>
      </c>
      <c r="AS699" s="7">
        <f t="shared" si="915"/>
        <v>0</v>
      </c>
      <c r="AT699" s="7">
        <f>0</f>
        <v>0</v>
      </c>
      <c r="AU699" s="7">
        <f t="shared" si="916"/>
        <v>22748.952000000001</v>
      </c>
      <c r="AV699" s="1">
        <f t="shared" si="917"/>
        <v>1</v>
      </c>
      <c r="AW699" s="1">
        <f t="shared" ref="AW699:AW709" si="993">MIN(10,M699+0+0)</f>
        <v>8</v>
      </c>
      <c r="AX699" s="1">
        <f t="shared" si="918"/>
        <v>0</v>
      </c>
      <c r="AY699" s="1">
        <f t="shared" si="987"/>
        <v>6</v>
      </c>
      <c r="AZ699" s="1">
        <f t="shared" si="919"/>
        <v>10</v>
      </c>
      <c r="BA699" s="1">
        <f>MIN(6,Q699+0)</f>
        <v>3</v>
      </c>
      <c r="BB699" s="1">
        <f t="shared" si="980"/>
        <v>5</v>
      </c>
      <c r="BC699" s="1">
        <f>MIN(3,S699+1)</f>
        <v>2</v>
      </c>
      <c r="BD699" s="1">
        <f t="shared" si="988"/>
        <v>0</v>
      </c>
      <c r="BE699" s="1">
        <f t="shared" si="981"/>
        <v>0</v>
      </c>
      <c r="BF699" s="1">
        <f>MIN(4,V699+0)</f>
        <v>1</v>
      </c>
      <c r="BG699" s="1">
        <f t="shared" si="985"/>
        <v>1</v>
      </c>
      <c r="BH699" s="1">
        <f t="shared" si="982"/>
        <v>1</v>
      </c>
      <c r="BI699" s="1">
        <f t="shared" si="986"/>
        <v>1</v>
      </c>
      <c r="BJ699" s="1">
        <f t="shared" si="992"/>
        <v>1</v>
      </c>
      <c r="BK699" s="1">
        <f t="shared" si="992"/>
        <v>1</v>
      </c>
      <c r="BL699" s="1">
        <f t="shared" si="962"/>
        <v>0</v>
      </c>
      <c r="BM699" s="1">
        <f t="shared" si="960"/>
        <v>0</v>
      </c>
      <c r="BN699" s="1">
        <f t="shared" si="983"/>
        <v>1</v>
      </c>
      <c r="BO699" s="1">
        <f t="shared" si="984"/>
        <v>1</v>
      </c>
    </row>
    <row r="700" spans="1:67" ht="30.95" customHeight="1">
      <c r="A700" s="1">
        <f>19</f>
        <v>19</v>
      </c>
      <c r="B700" s="1">
        <f>固定流程!A16</f>
        <v>11</v>
      </c>
      <c r="C700" s="1">
        <f>22</f>
        <v>22</v>
      </c>
      <c r="D700" s="1">
        <f>1</f>
        <v>1</v>
      </c>
      <c r="E700" s="1">
        <f>固定流程!C16</f>
        <v>2</v>
      </c>
      <c r="F700" s="1">
        <f>固定流程!G16</f>
        <v>2</v>
      </c>
      <c r="G700" s="1" t="str">
        <f>固定流程!H16</f>
        <v>37_CURVE</v>
      </c>
      <c r="H700" s="1">
        <f>固定流程!F16</f>
        <v>1</v>
      </c>
      <c r="I700" s="1">
        <f>INDEX(配置与结果!$B$15:$B$18,F700)</f>
        <v>2306</v>
      </c>
      <c r="J700" s="1">
        <f>INDEX(配置与结果!$D$15:$D$18,F700)</f>
        <v>0.46</v>
      </c>
      <c r="K700" s="1">
        <f>INDEX(配置与结果!$E$15:$E$18,F700)</f>
        <v>1.9279999999999999</v>
      </c>
      <c r="L700" s="1">
        <f t="shared" si="990"/>
        <v>1</v>
      </c>
      <c r="M700" s="1">
        <f t="shared" si="990"/>
        <v>8</v>
      </c>
      <c r="N700" s="1">
        <f t="shared" si="990"/>
        <v>0</v>
      </c>
      <c r="O700" s="1">
        <f t="shared" si="989"/>
        <v>6</v>
      </c>
      <c r="P700" s="1">
        <f>MIN(方案参数!$AI$22,AZ699+0+0)</f>
        <v>10</v>
      </c>
      <c r="Q700" s="1">
        <f t="shared" si="967"/>
        <v>3</v>
      </c>
      <c r="R700" s="1">
        <f t="shared" si="968"/>
        <v>5</v>
      </c>
      <c r="S700" s="1">
        <f t="shared" si="969"/>
        <v>2</v>
      </c>
      <c r="T700" s="1">
        <f t="shared" si="970"/>
        <v>0</v>
      </c>
      <c r="U700" s="1">
        <f t="shared" si="971"/>
        <v>0</v>
      </c>
      <c r="V700" s="1">
        <f t="shared" si="972"/>
        <v>1</v>
      </c>
      <c r="W700" s="1">
        <f t="shared" si="973"/>
        <v>1</v>
      </c>
      <c r="X700" s="1">
        <f t="shared" si="974"/>
        <v>1</v>
      </c>
      <c r="Y700" s="1">
        <f t="shared" si="975"/>
        <v>1</v>
      </c>
      <c r="Z700" s="1">
        <f t="shared" si="976"/>
        <v>1</v>
      </c>
      <c r="AA700" s="1">
        <f t="shared" si="991"/>
        <v>1</v>
      </c>
      <c r="AB700" s="1">
        <f t="shared" si="978"/>
        <v>0</v>
      </c>
      <c r="AC700" s="1">
        <f t="shared" si="979"/>
        <v>0</v>
      </c>
      <c r="AD700" s="1">
        <f>ROUNDDOWN(I700*(1+IF(F700=3,0.05+方案参数!$Y$22+AA700*0.12,IF(F700=4,方案参数!$BZ$22*方案参数!$AS$22,0)))+IF(AND(X700=1,F700&lt;&gt;3),方案参数!$CC$22,0)+AC700*方案参数!$CB$22,0)</f>
        <v>2604</v>
      </c>
      <c r="AE700" s="1">
        <f>IF(OR(F700=1,F700=4),配置与结果!$B$24,配置与结果!$B$25)*MAX(0,1-INDEX(配置与结果!$I$15:$I$18,F700))</f>
        <v>1000</v>
      </c>
      <c r="AF700" s="1">
        <f>方案参数!$BT$22*IF(H700=1,1,IF(H700=2,1.5,2.5))</f>
        <v>1.4</v>
      </c>
      <c r="AG700" s="1">
        <f>MAX(配置与结果!$B$32,1+INDEX(配置与结果!$F$15:$F$18,F700)+0+Q700*方案参数!$W$22+Y700*(方案参数!$AN$22+MIN(方案参数!$AO$22,P700*0.03))+AB700*方案参数!$BZ$22*0.025-配置与结果!$B$28)</f>
        <v>1.0750000000000002</v>
      </c>
      <c r="AH700" s="1">
        <f>MAX(0,1+INDEX(配置与结果!$G$15:$G$18,F700)+W700*方案参数!$AG$22)</f>
        <v>1.45</v>
      </c>
      <c r="AI700" s="1">
        <f>IF(OR(INDEX(配置与结果!$K$15:$K$18,F700)=1,G700="RHI_BERRY"),1+配置与结果!$B$33+P700*方案参数!$AH$22,1)</f>
        <v>1</v>
      </c>
      <c r="AJ700" s="1">
        <f>MIN(1,MAX(0,J700+方案参数!$AB$22-配置与结果!$B$27))</f>
        <v>0.76</v>
      </c>
      <c r="AK700" s="1">
        <f>MAX(1,K700+IF(F700=2,0.15+方案参数!$CH$22,0)+BN700*方案参数!$X$22+R700*方案参数!$AA$22+0-配置与结果!$B$26+Z700*(方案参数!$AP$22+MIN(方案参数!$AQ$22,P700*0.03)))</f>
        <v>2.3880000000000003</v>
      </c>
      <c r="AL700" s="7">
        <f>ROUNDDOWN(MAX(AD700*配置与结果!$B$31,AD700-AE700)*AF700*AG700*AH700*AI700,0)</f>
        <v>3500</v>
      </c>
      <c r="AM700" s="7">
        <f>ROUNDDOWN(MAX(AD700*配置与结果!$B$31,AD700-AE700)*AF700*AG700*AH700*AI700*AK700,0)</f>
        <v>8358</v>
      </c>
      <c r="AN700" s="7">
        <f t="shared" si="912"/>
        <v>7192.08</v>
      </c>
      <c r="AO700" s="7">
        <f>方案参数!$BU$22*IF(H700=1,1,IF(H700=2,1.5,2.5))</f>
        <v>0.8</v>
      </c>
      <c r="AP700" s="7">
        <f>MAX(0,1+INDEX(配置与结果!$J$15:$J$18,F700)+IF(T700&gt;0,方案参数!$BY$22,0)-配置与结果!$B$30)</f>
        <v>1</v>
      </c>
      <c r="AQ700" s="7">
        <f t="shared" si="913"/>
        <v>2083</v>
      </c>
      <c r="AR700" s="7">
        <f t="shared" si="914"/>
        <v>4974</v>
      </c>
      <c r="AS700" s="7">
        <f t="shared" si="915"/>
        <v>4280.16</v>
      </c>
      <c r="AT700" s="7">
        <f>0</f>
        <v>0</v>
      </c>
      <c r="AU700" s="7">
        <f t="shared" si="916"/>
        <v>11472.24</v>
      </c>
      <c r="AV700" s="1">
        <f t="shared" si="917"/>
        <v>1</v>
      </c>
      <c r="AW700" s="1">
        <f t="shared" si="993"/>
        <v>8</v>
      </c>
      <c r="AX700" s="1">
        <f t="shared" si="918"/>
        <v>0</v>
      </c>
      <c r="AY700" s="1">
        <f t="shared" si="987"/>
        <v>6</v>
      </c>
      <c r="AZ700" s="1">
        <f t="shared" si="919"/>
        <v>10</v>
      </c>
      <c r="BA700" s="1">
        <f>MIN(6,Q700+0)</f>
        <v>3</v>
      </c>
      <c r="BB700" s="1">
        <f t="shared" si="980"/>
        <v>5</v>
      </c>
      <c r="BC700" s="1">
        <f t="shared" ref="BC700:BC706" si="994">MIN(3,S700+0)</f>
        <v>2</v>
      </c>
      <c r="BD700" s="1">
        <f t="shared" si="988"/>
        <v>0</v>
      </c>
      <c r="BE700" s="1">
        <f t="shared" si="981"/>
        <v>0</v>
      </c>
      <c r="BF700" s="1">
        <f>MIN(4,V700+0)</f>
        <v>1</v>
      </c>
      <c r="BG700" s="1">
        <f t="shared" si="985"/>
        <v>1</v>
      </c>
      <c r="BH700" s="1">
        <f t="shared" si="982"/>
        <v>1</v>
      </c>
      <c r="BI700" s="1">
        <f t="shared" si="986"/>
        <v>1</v>
      </c>
      <c r="BJ700" s="1">
        <f t="shared" si="992"/>
        <v>1</v>
      </c>
      <c r="BK700" s="1">
        <f t="shared" si="992"/>
        <v>1</v>
      </c>
      <c r="BL700" s="1">
        <f t="shared" si="962"/>
        <v>0</v>
      </c>
      <c r="BM700" s="1">
        <f t="shared" si="960"/>
        <v>0</v>
      </c>
      <c r="BN700" s="1">
        <f t="shared" si="983"/>
        <v>1</v>
      </c>
      <c r="BO700" s="1">
        <f t="shared" si="984"/>
        <v>1</v>
      </c>
    </row>
    <row r="701" spans="1:67" ht="30.95" customHeight="1">
      <c r="A701" s="1">
        <f>19</f>
        <v>19</v>
      </c>
      <c r="B701" s="1">
        <f>固定流程!A17</f>
        <v>12</v>
      </c>
      <c r="C701" s="1">
        <f>22</f>
        <v>22</v>
      </c>
      <c r="D701" s="1">
        <f>1</f>
        <v>1</v>
      </c>
      <c r="E701" s="1">
        <f>固定流程!C17</f>
        <v>2</v>
      </c>
      <c r="F701" s="1">
        <f>固定流程!G17</f>
        <v>2</v>
      </c>
      <c r="G701" s="1" t="str">
        <f>固定流程!H17</f>
        <v>37_FOLLOW</v>
      </c>
      <c r="H701" s="1">
        <f>固定流程!F17</f>
        <v>1</v>
      </c>
      <c r="I701" s="1">
        <f>INDEX(配置与结果!$B$15:$B$18,F701)</f>
        <v>2306</v>
      </c>
      <c r="J701" s="1">
        <f>INDEX(配置与结果!$D$15:$D$18,F701)</f>
        <v>0.46</v>
      </c>
      <c r="K701" s="1">
        <f>INDEX(配置与结果!$E$15:$E$18,F701)</f>
        <v>1.9279999999999999</v>
      </c>
      <c r="L701" s="1">
        <f t="shared" si="990"/>
        <v>1</v>
      </c>
      <c r="M701" s="1">
        <f t="shared" si="990"/>
        <v>8</v>
      </c>
      <c r="N701" s="1">
        <f t="shared" si="990"/>
        <v>0</v>
      </c>
      <c r="O701" s="1">
        <f t="shared" si="989"/>
        <v>6</v>
      </c>
      <c r="P701" s="1">
        <f>MIN(方案参数!$AI$22,AZ700+0+0)</f>
        <v>10</v>
      </c>
      <c r="Q701" s="1">
        <f t="shared" si="967"/>
        <v>3</v>
      </c>
      <c r="R701" s="1">
        <f t="shared" si="968"/>
        <v>5</v>
      </c>
      <c r="S701" s="1">
        <f t="shared" si="969"/>
        <v>2</v>
      </c>
      <c r="T701" s="1">
        <f t="shared" si="970"/>
        <v>0</v>
      </c>
      <c r="U701" s="1">
        <f t="shared" si="971"/>
        <v>0</v>
      </c>
      <c r="V701" s="1">
        <f t="shared" si="972"/>
        <v>1</v>
      </c>
      <c r="W701" s="1">
        <f t="shared" si="973"/>
        <v>1</v>
      </c>
      <c r="X701" s="1">
        <f t="shared" si="974"/>
        <v>1</v>
      </c>
      <c r="Y701" s="1">
        <f t="shared" si="975"/>
        <v>1</v>
      </c>
      <c r="Z701" s="1">
        <f t="shared" si="976"/>
        <v>1</v>
      </c>
      <c r="AA701" s="1">
        <f t="shared" si="991"/>
        <v>1</v>
      </c>
      <c r="AB701" s="1">
        <f t="shared" si="978"/>
        <v>0</v>
      </c>
      <c r="AC701" s="1">
        <f t="shared" si="979"/>
        <v>0</v>
      </c>
      <c r="AD701" s="1">
        <f>ROUNDDOWN(I701*(1+IF(F701=3,0.05+方案参数!$Y$22+AA701*0.12,IF(F701=4,方案参数!$BZ$22*方案参数!$AS$22,0)))+IF(AND(X701=1,F701&lt;&gt;3),方案参数!$CC$22,0)+AC701*方案参数!$CB$22,0)</f>
        <v>2604</v>
      </c>
      <c r="AE701" s="1">
        <f>IF(OR(F701=1,F701=4),配置与结果!$B$24,配置与结果!$B$25)*MAX(0,1-INDEX(配置与结果!$I$15:$I$18,F701))</f>
        <v>1000</v>
      </c>
      <c r="AF701" s="1">
        <f>方案参数!$BV$22</f>
        <v>3</v>
      </c>
      <c r="AG701" s="1">
        <f>MAX(配置与结果!$B$32,1+INDEX(配置与结果!$F$15:$F$18,F701)+0+Q701*方案参数!$W$22+Y701*(方案参数!$AN$22+MIN(方案参数!$AO$22,P701*0.03))+AB701*方案参数!$BZ$22*0.025-配置与结果!$B$28)</f>
        <v>1.0750000000000002</v>
      </c>
      <c r="AH701" s="1">
        <f>MAX(0,1+INDEX(配置与结果!$G$15:$G$18,F701)+W701*方案参数!$AG$22)</f>
        <v>1.45</v>
      </c>
      <c r="AI701" s="1">
        <f>IF(OR(INDEX(配置与结果!$K$15:$K$18,F701)=1,G701="RHI_BERRY"),1+配置与结果!$B$33+P701*方案参数!$AH$22,1)</f>
        <v>1</v>
      </c>
      <c r="AJ701" s="1">
        <f>MIN(1,MAX(0,J701+方案参数!$AB$22-配置与结果!$B$27))</f>
        <v>0.76</v>
      </c>
      <c r="AK701" s="1">
        <f>MAX(1,K701+IF(F701=2,0.15+方案参数!$CH$22,0)+BN701*方案参数!$X$22+R701*方案参数!$AA$22+0-配置与结果!$B$26+Z701*(方案参数!$AP$22+MIN(方案参数!$AQ$22,P701*0.03)))</f>
        <v>2.3880000000000003</v>
      </c>
      <c r="AL701" s="7">
        <f>ROUNDDOWN(MAX(AD701*配置与结果!$B$31,AD701-AE701)*AF701*AG701*AH701*AI701,0)</f>
        <v>7500</v>
      </c>
      <c r="AM701" s="7">
        <f>ROUNDDOWN(MAX(AD701*配置与结果!$B$31,AD701-AE701)*AF701*AG701*AH701*AI701*AK701,0)</f>
        <v>17911</v>
      </c>
      <c r="AN701" s="7">
        <f t="shared" si="912"/>
        <v>15412.36</v>
      </c>
      <c r="AO701" s="7">
        <f>方案参数!$BW$22</f>
        <v>1</v>
      </c>
      <c r="AP701" s="7">
        <f>MAX(0,1+INDEX(配置与结果!$J$15:$J$18,F701)+IF(T701&gt;0,方案参数!$BY$22,0)-配置与结果!$B$30)</f>
        <v>1</v>
      </c>
      <c r="AQ701" s="7">
        <f t="shared" si="913"/>
        <v>2604</v>
      </c>
      <c r="AR701" s="7">
        <f t="shared" si="914"/>
        <v>6218</v>
      </c>
      <c r="AS701" s="7">
        <f t="shared" si="915"/>
        <v>5350.64</v>
      </c>
      <c r="AT701" s="7">
        <f>0</f>
        <v>0</v>
      </c>
      <c r="AU701" s="7">
        <f t="shared" si="916"/>
        <v>20763</v>
      </c>
      <c r="AV701" s="1">
        <f t="shared" si="917"/>
        <v>1</v>
      </c>
      <c r="AW701" s="1">
        <f t="shared" si="993"/>
        <v>8</v>
      </c>
      <c r="AX701" s="1">
        <f t="shared" si="918"/>
        <v>0</v>
      </c>
      <c r="AY701" s="1">
        <f t="shared" si="987"/>
        <v>6</v>
      </c>
      <c r="AZ701" s="1">
        <f t="shared" si="919"/>
        <v>10</v>
      </c>
      <c r="BA701" s="1">
        <f>MIN(6,Q701+0)</f>
        <v>3</v>
      </c>
      <c r="BB701" s="1">
        <f t="shared" si="980"/>
        <v>5</v>
      </c>
      <c r="BC701" s="1">
        <f t="shared" si="994"/>
        <v>2</v>
      </c>
      <c r="BD701" s="1">
        <f t="shared" si="988"/>
        <v>0</v>
      </c>
      <c r="BE701" s="1">
        <f t="shared" si="981"/>
        <v>0</v>
      </c>
      <c r="BF701" s="1">
        <f>MIN(4,V701+1)</f>
        <v>2</v>
      </c>
      <c r="BG701" s="1">
        <f t="shared" si="985"/>
        <v>1</v>
      </c>
      <c r="BH701" s="1">
        <f t="shared" si="982"/>
        <v>1</v>
      </c>
      <c r="BI701" s="1">
        <f t="shared" si="986"/>
        <v>1</v>
      </c>
      <c r="BJ701" s="1">
        <f t="shared" si="992"/>
        <v>1</v>
      </c>
      <c r="BK701" s="1">
        <f t="shared" si="992"/>
        <v>1</v>
      </c>
      <c r="BL701" s="1">
        <f t="shared" si="962"/>
        <v>0</v>
      </c>
      <c r="BM701" s="1">
        <f t="shared" si="960"/>
        <v>0</v>
      </c>
      <c r="BN701" s="1">
        <f t="shared" si="983"/>
        <v>1</v>
      </c>
      <c r="BO701" s="1">
        <f t="shared" si="984"/>
        <v>1</v>
      </c>
    </row>
    <row r="702" spans="1:67" ht="30.95" customHeight="1">
      <c r="A702" s="1">
        <f>19</f>
        <v>19</v>
      </c>
      <c r="B702" s="1">
        <f>固定流程!A18</f>
        <v>13</v>
      </c>
      <c r="C702" s="1">
        <f>22</f>
        <v>22</v>
      </c>
      <c r="D702" s="1">
        <f>1</f>
        <v>1</v>
      </c>
      <c r="E702" s="1">
        <f>固定流程!C18</f>
        <v>2</v>
      </c>
      <c r="F702" s="1">
        <f>固定流程!G18</f>
        <v>3</v>
      </c>
      <c r="G702" s="1" t="str">
        <f>固定流程!H18</f>
        <v>RHI_BERRY</v>
      </c>
      <c r="H702" s="1">
        <f>固定流程!F18</f>
        <v>1</v>
      </c>
      <c r="I702" s="1">
        <f>INDEX(配置与结果!$B$15:$B$18,F702)</f>
        <v>2597</v>
      </c>
      <c r="J702" s="1">
        <f>INDEX(配置与结果!$D$15:$D$18,F702)</f>
        <v>0.255</v>
      </c>
      <c r="K702" s="1">
        <f>INDEX(配置与结果!$E$15:$E$18,F702)</f>
        <v>1.55</v>
      </c>
      <c r="L702" s="1">
        <f t="shared" si="990"/>
        <v>1</v>
      </c>
      <c r="M702" s="1">
        <f t="shared" si="990"/>
        <v>8</v>
      </c>
      <c r="N702" s="1">
        <f t="shared" si="990"/>
        <v>0</v>
      </c>
      <c r="O702" s="1">
        <f t="shared" si="989"/>
        <v>6</v>
      </c>
      <c r="P702" s="1">
        <f>MIN(方案参数!$AI$22,AZ701+0+0)</f>
        <v>10</v>
      </c>
      <c r="Q702" s="1">
        <f t="shared" si="967"/>
        <v>3</v>
      </c>
      <c r="R702" s="1">
        <f t="shared" si="968"/>
        <v>5</v>
      </c>
      <c r="S702" s="1">
        <f t="shared" si="969"/>
        <v>2</v>
      </c>
      <c r="T702" s="1">
        <f t="shared" si="970"/>
        <v>0</v>
      </c>
      <c r="U702" s="1">
        <f t="shared" si="971"/>
        <v>0</v>
      </c>
      <c r="V702" s="1">
        <f t="shared" si="972"/>
        <v>2</v>
      </c>
      <c r="W702" s="1">
        <f t="shared" si="973"/>
        <v>1</v>
      </c>
      <c r="X702" s="1">
        <f t="shared" si="974"/>
        <v>1</v>
      </c>
      <c r="Y702" s="1">
        <f t="shared" si="975"/>
        <v>1</v>
      </c>
      <c r="Z702" s="1">
        <f t="shared" si="976"/>
        <v>1</v>
      </c>
      <c r="AA702" s="1">
        <f t="shared" si="991"/>
        <v>1</v>
      </c>
      <c r="AB702" s="1">
        <f t="shared" si="978"/>
        <v>0</v>
      </c>
      <c r="AC702" s="1">
        <f t="shared" si="979"/>
        <v>0</v>
      </c>
      <c r="AD702" s="1">
        <f>ROUNDDOWN(I702*(1+IF(F702=3,0.05+方案参数!$Y$22+AA702*0.12,IF(F702=4,方案参数!$BZ$22*方案参数!$AS$22,0)))+IF(AND(X702=1,F702&lt;&gt;3),方案参数!$CC$22,0)+AC702*方案参数!$CB$22,0)</f>
        <v>3298</v>
      </c>
      <c r="AE702" s="1">
        <f>IF(OR(F702=1,F702=4),配置与结果!$B$24,配置与结果!$B$25)*MAX(0,1-INDEX(配置与结果!$I$15:$I$18,F702))</f>
        <v>1000</v>
      </c>
      <c r="AF702" s="1">
        <f>方案参数!$CF$22+P702*方案参数!$CG$22</f>
        <v>100</v>
      </c>
      <c r="AG702" s="1">
        <f>MAX(配置与结果!$B$32,1+INDEX(配置与结果!$F$15:$F$18,F702)+0+Q702*方案参数!$W$22+Y702*(方案参数!$AN$22+MIN(方案参数!$AO$22,P702*0.03))+AB702*方案参数!$BZ$22*0.025-配置与结果!$B$28)</f>
        <v>1.105</v>
      </c>
      <c r="AH702" s="1">
        <f>MAX(0,1+INDEX(配置与结果!$G$15:$G$18,F702)+W702*方案参数!$AG$22)</f>
        <v>1.45</v>
      </c>
      <c r="AI702" s="1">
        <f>IF(OR(INDEX(配置与结果!$K$15:$K$18,F702)=1,G702="RHI_BERRY"),1+配置与结果!$B$33+P702*方案参数!$AH$22,1)</f>
        <v>1.8</v>
      </c>
      <c r="AJ702" s="1">
        <f>MIN(1,MAX(0,J702+方案参数!$AB$22-配置与结果!$B$27))</f>
        <v>0.55499999999999994</v>
      </c>
      <c r="AK702" s="1">
        <f>MAX(1,K702+IF(F702=2,0.15+方案参数!$CH$22,0)+BN702*方案参数!$X$22+R702*方案参数!$AA$22+0-配置与结果!$B$26+Z702*(方案参数!$AP$22+MIN(方案参数!$AQ$22,P702*0.03)))</f>
        <v>1.7400000000000002</v>
      </c>
      <c r="AL702" s="7">
        <f>ROUNDDOWN(MAX(AD702*配置与结果!$B$31,AD702-AE702)*AF702*AG702*AH702*AI702,0)</f>
        <v>662754</v>
      </c>
      <c r="AM702" s="7">
        <f>ROUNDDOWN(MAX(AD702*配置与结果!$B$31,AD702-AE702)*AF702*AG702*AH702*AI702*AK702,0)</f>
        <v>1153193</v>
      </c>
      <c r="AN702" s="7">
        <f t="shared" si="912"/>
        <v>934947.6449999999</v>
      </c>
      <c r="AO702" s="7">
        <f>0</f>
        <v>0</v>
      </c>
      <c r="AP702" s="7">
        <f>MAX(0,1+INDEX(配置与结果!$J$15:$J$18,F702)+IF(T702&gt;0,方案参数!$BY$22,0)-配置与结果!$B$30)</f>
        <v>1</v>
      </c>
      <c r="AQ702" s="7">
        <f t="shared" si="913"/>
        <v>0</v>
      </c>
      <c r="AR702" s="7">
        <f t="shared" si="914"/>
        <v>0</v>
      </c>
      <c r="AS702" s="7">
        <f t="shared" si="915"/>
        <v>0</v>
      </c>
      <c r="AT702" s="7">
        <f>0</f>
        <v>0</v>
      </c>
      <c r="AU702" s="7">
        <f t="shared" si="916"/>
        <v>934947.6449999999</v>
      </c>
      <c r="AV702" s="1">
        <f t="shared" si="917"/>
        <v>1</v>
      </c>
      <c r="AW702" s="1">
        <f t="shared" si="993"/>
        <v>8</v>
      </c>
      <c r="AX702" s="1">
        <f t="shared" si="918"/>
        <v>0</v>
      </c>
      <c r="AY702" s="1">
        <f t="shared" si="987"/>
        <v>6</v>
      </c>
      <c r="AZ702" s="1">
        <f t="shared" si="919"/>
        <v>10</v>
      </c>
      <c r="BA702" s="1">
        <f>MIN(6,Q702+0)</f>
        <v>3</v>
      </c>
      <c r="BB702" s="1">
        <f t="shared" si="980"/>
        <v>5</v>
      </c>
      <c r="BC702" s="1">
        <f t="shared" si="994"/>
        <v>2</v>
      </c>
      <c r="BD702" s="1">
        <f t="shared" si="988"/>
        <v>0</v>
      </c>
      <c r="BE702" s="1">
        <f t="shared" si="981"/>
        <v>0</v>
      </c>
      <c r="BF702" s="1">
        <f>MIN(4,V702+0)</f>
        <v>2</v>
      </c>
      <c r="BG702" s="1">
        <f t="shared" si="985"/>
        <v>1</v>
      </c>
      <c r="BH702" s="1">
        <f t="shared" si="982"/>
        <v>1</v>
      </c>
      <c r="BI702" s="1">
        <f t="shared" si="986"/>
        <v>1</v>
      </c>
      <c r="BJ702" s="1">
        <f t="shared" si="992"/>
        <v>1</v>
      </c>
      <c r="BK702" s="1">
        <f t="shared" si="992"/>
        <v>1</v>
      </c>
      <c r="BL702" s="1">
        <f t="shared" si="962"/>
        <v>0</v>
      </c>
      <c r="BM702" s="1">
        <f t="shared" si="960"/>
        <v>0</v>
      </c>
      <c r="BN702" s="1">
        <f t="shared" si="983"/>
        <v>1</v>
      </c>
      <c r="BO702" s="1">
        <f t="shared" si="984"/>
        <v>1</v>
      </c>
    </row>
    <row r="703" spans="1:67" ht="30.95" customHeight="1">
      <c r="A703" s="1">
        <f>19</f>
        <v>19</v>
      </c>
      <c r="B703" s="1">
        <f>固定流程!A19</f>
        <v>14</v>
      </c>
      <c r="C703" s="1">
        <f>22</f>
        <v>22</v>
      </c>
      <c r="D703" s="1">
        <f>1</f>
        <v>1</v>
      </c>
      <c r="E703" s="1">
        <f>固定流程!C19</f>
        <v>3</v>
      </c>
      <c r="F703" s="1">
        <f>固定流程!G19</f>
        <v>3</v>
      </c>
      <c r="G703" s="1" t="str">
        <f>固定流程!H19</f>
        <v>RHI_BUFF</v>
      </c>
      <c r="H703" s="1">
        <f>固定流程!F19</f>
        <v>1</v>
      </c>
      <c r="I703" s="1">
        <f>INDEX(配置与结果!$B$15:$B$18,F703)</f>
        <v>2597</v>
      </c>
      <c r="J703" s="1">
        <f>INDEX(配置与结果!$D$15:$D$18,F703)</f>
        <v>0.255</v>
      </c>
      <c r="K703" s="1">
        <f>INDEX(配置与结果!$E$15:$E$18,F703)</f>
        <v>1.55</v>
      </c>
      <c r="L703" s="1">
        <f>IF(AV702=1,IF(M703&gt;=10,2,1),IF(AV702=2,IF(AX702&lt;=1,0,2),0))</f>
        <v>2</v>
      </c>
      <c r="M703" s="1">
        <f>IF(AND(AV702=2,AX702&lt;=1),0,MIN(10,AW702+IF(AV702=1,3,0)))</f>
        <v>10</v>
      </c>
      <c r="N703" s="1">
        <f>IF(AND(AV702=1,M703&gt;=10),2,IF(AV702=2,MAX(0,AX702-1),0))</f>
        <v>2</v>
      </c>
      <c r="O703" s="1">
        <f t="shared" si="989"/>
        <v>6</v>
      </c>
      <c r="P703" s="1">
        <f>MIN(方案参数!$AI$22,AZ702+方案参数!$AJ$22+方案参数!$AK$22)</f>
        <v>10</v>
      </c>
      <c r="Q703" s="1">
        <f t="shared" si="967"/>
        <v>3</v>
      </c>
      <c r="R703" s="1">
        <f t="shared" si="968"/>
        <v>5</v>
      </c>
      <c r="S703" s="1">
        <f t="shared" si="969"/>
        <v>2</v>
      </c>
      <c r="T703" s="1">
        <f t="shared" si="970"/>
        <v>0</v>
      </c>
      <c r="U703" s="1">
        <f t="shared" si="971"/>
        <v>0</v>
      </c>
      <c r="V703" s="1">
        <f t="shared" si="972"/>
        <v>2</v>
      </c>
      <c r="W703" s="1">
        <f t="shared" si="973"/>
        <v>1</v>
      </c>
      <c r="X703" s="1">
        <f t="shared" si="974"/>
        <v>1</v>
      </c>
      <c r="Y703" s="1">
        <f t="shared" si="975"/>
        <v>1</v>
      </c>
      <c r="Z703" s="1">
        <f t="shared" si="976"/>
        <v>1</v>
      </c>
      <c r="AA703" s="1">
        <f t="shared" si="991"/>
        <v>1</v>
      </c>
      <c r="AB703" s="1">
        <f t="shared" si="978"/>
        <v>0</v>
      </c>
      <c r="AC703" s="1">
        <f t="shared" si="979"/>
        <v>0</v>
      </c>
      <c r="AD703" s="1">
        <f>ROUNDDOWN(I703*(1+IF(F703=3,0.05+方案参数!$Y$22+AA703*0.12,IF(F703=4,方案参数!$BZ$22*方案参数!$AS$22,0)))+IF(AND(X703=1,F703&lt;&gt;3),方案参数!$CC$22,0)+AC703*方案参数!$CB$22,0)</f>
        <v>3298</v>
      </c>
      <c r="AE703" s="1">
        <f>IF(OR(F703=1,F703=4),配置与结果!$B$24,配置与结果!$B$25)*MAX(0,1-INDEX(配置与结果!$I$15:$I$18,F703))</f>
        <v>1000</v>
      </c>
      <c r="AF703" s="1">
        <f>0</f>
        <v>0</v>
      </c>
      <c r="AG703" s="1">
        <f>MAX(配置与结果!$B$32,1+INDEX(配置与结果!$F$15:$F$18,F703)+0+Q703*方案参数!$W$22+Y703*(方案参数!$AN$22+MIN(方案参数!$AO$22,P703*0.03))+AB703*方案参数!$BZ$22*0.025-配置与结果!$B$28)</f>
        <v>1.105</v>
      </c>
      <c r="AH703" s="1">
        <f>MAX(0,1+INDEX(配置与结果!$G$15:$G$18,F703)+W703*方案参数!$AG$22)</f>
        <v>1.45</v>
      </c>
      <c r="AI703" s="1">
        <f>IF(OR(INDEX(配置与结果!$K$15:$K$18,F703)=1,G703="RHI_BERRY"),1+配置与结果!$B$33+P703*方案参数!$AH$22,1)</f>
        <v>1</v>
      </c>
      <c r="AJ703" s="1">
        <f>MIN(1,MAX(0,J703+方案参数!$AB$22-配置与结果!$B$27))</f>
        <v>0.55499999999999994</v>
      </c>
      <c r="AK703" s="1">
        <f>MAX(1,K703+IF(F703=2,0.15+方案参数!$CH$22,0)+BN703*方案参数!$X$22+R703*方案参数!$AA$22+0-配置与结果!$B$26+Z703*(方案参数!$AP$22+MIN(方案参数!$AQ$22,P703*0.03)))</f>
        <v>1.7400000000000002</v>
      </c>
      <c r="AL703" s="7">
        <f>ROUNDDOWN(MAX(AD703*配置与结果!$B$31,AD703-AE703)*AF703*AG703*AH703*AI703,0)</f>
        <v>0</v>
      </c>
      <c r="AM703" s="7">
        <f>ROUNDDOWN(MAX(AD703*配置与结果!$B$31,AD703-AE703)*AF703*AG703*AH703*AI703*AK703,0)</f>
        <v>0</v>
      </c>
      <c r="AN703" s="7">
        <f t="shared" si="912"/>
        <v>0</v>
      </c>
      <c r="AO703" s="7">
        <f>0</f>
        <v>0</v>
      </c>
      <c r="AP703" s="7">
        <f>MAX(0,1+INDEX(配置与结果!$J$15:$J$18,F703)+IF(T703&gt;0,方案参数!$BY$22,0)-配置与结果!$B$30)</f>
        <v>1</v>
      </c>
      <c r="AQ703" s="7">
        <f t="shared" si="913"/>
        <v>0</v>
      </c>
      <c r="AR703" s="7">
        <f t="shared" si="914"/>
        <v>0</v>
      </c>
      <c r="AS703" s="7">
        <f t="shared" si="915"/>
        <v>0</v>
      </c>
      <c r="AT703" s="7">
        <f>0</f>
        <v>0</v>
      </c>
      <c r="AU703" s="7">
        <f t="shared" si="916"/>
        <v>0</v>
      </c>
      <c r="AV703" s="1">
        <f t="shared" si="917"/>
        <v>2</v>
      </c>
      <c r="AW703" s="1">
        <f t="shared" si="993"/>
        <v>10</v>
      </c>
      <c r="AX703" s="1">
        <f t="shared" si="918"/>
        <v>2</v>
      </c>
      <c r="AY703" s="1">
        <f t="shared" si="987"/>
        <v>6</v>
      </c>
      <c r="AZ703" s="1">
        <f t="shared" si="919"/>
        <v>10</v>
      </c>
      <c r="BA703" s="1">
        <f>MIN(6,Q703+1)</f>
        <v>4</v>
      </c>
      <c r="BB703" s="1">
        <f t="shared" si="980"/>
        <v>5</v>
      </c>
      <c r="BC703" s="1">
        <f t="shared" si="994"/>
        <v>2</v>
      </c>
      <c r="BD703" s="1">
        <f t="shared" si="988"/>
        <v>0</v>
      </c>
      <c r="BE703" s="1">
        <f t="shared" si="981"/>
        <v>0</v>
      </c>
      <c r="BF703" s="1">
        <f>MIN(4,V703+0)</f>
        <v>2</v>
      </c>
      <c r="BG703" s="1">
        <f>MAX(W703,1)</f>
        <v>1</v>
      </c>
      <c r="BH703" s="1">
        <f t="shared" si="982"/>
        <v>1</v>
      </c>
      <c r="BI703" s="1">
        <f>MAX(Y703,1)</f>
        <v>1</v>
      </c>
      <c r="BJ703" s="1">
        <f t="shared" si="992"/>
        <v>1</v>
      </c>
      <c r="BK703" s="1">
        <f t="shared" si="992"/>
        <v>1</v>
      </c>
      <c r="BL703" s="1">
        <f t="shared" si="962"/>
        <v>0</v>
      </c>
      <c r="BM703" s="1">
        <f t="shared" si="960"/>
        <v>0</v>
      </c>
      <c r="BN703" s="1">
        <f t="shared" si="983"/>
        <v>1</v>
      </c>
      <c r="BO703" s="1">
        <f t="shared" si="984"/>
        <v>1</v>
      </c>
    </row>
    <row r="704" spans="1:67" ht="30.95" customHeight="1">
      <c r="A704" s="1">
        <f>19</f>
        <v>19</v>
      </c>
      <c r="B704" s="1">
        <f>固定流程!A20</f>
        <v>15</v>
      </c>
      <c r="C704" s="1">
        <f>22</f>
        <v>22</v>
      </c>
      <c r="D704" s="1">
        <f>1</f>
        <v>1</v>
      </c>
      <c r="E704" s="1">
        <f>固定流程!C20</f>
        <v>3</v>
      </c>
      <c r="F704" s="1">
        <f>固定流程!G20</f>
        <v>3</v>
      </c>
      <c r="G704" s="1" t="str">
        <f>固定流程!H20</f>
        <v>RHI_ATTACK</v>
      </c>
      <c r="H704" s="1">
        <f>固定流程!F20</f>
        <v>1</v>
      </c>
      <c r="I704" s="1">
        <f>INDEX(配置与结果!$B$15:$B$18,F704)</f>
        <v>2597</v>
      </c>
      <c r="J704" s="1">
        <f>INDEX(配置与结果!$D$15:$D$18,F704)</f>
        <v>0.255</v>
      </c>
      <c r="K704" s="1">
        <f>INDEX(配置与结果!$E$15:$E$18,F704)</f>
        <v>1.55</v>
      </c>
      <c r="L704" s="1">
        <f t="shared" ref="L704:L725" si="995">AV703</f>
        <v>2</v>
      </c>
      <c r="M704" s="1">
        <f t="shared" ref="M704:M725" si="996">AW703</f>
        <v>10</v>
      </c>
      <c r="N704" s="1">
        <f t="shared" ref="N704:N725" si="997">AX703</f>
        <v>2</v>
      </c>
      <c r="O704" s="1">
        <f t="shared" si="989"/>
        <v>6</v>
      </c>
      <c r="P704" s="1">
        <f>MIN(方案参数!$AI$22,AZ703+0+方案参数!$AK$22)</f>
        <v>10</v>
      </c>
      <c r="Q704" s="1">
        <f t="shared" si="967"/>
        <v>4</v>
      </c>
      <c r="R704" s="1">
        <f t="shared" si="968"/>
        <v>5</v>
      </c>
      <c r="S704" s="1">
        <f t="shared" si="969"/>
        <v>2</v>
      </c>
      <c r="T704" s="1">
        <f t="shared" si="970"/>
        <v>0</v>
      </c>
      <c r="U704" s="1">
        <f t="shared" si="971"/>
        <v>0</v>
      </c>
      <c r="V704" s="1">
        <f t="shared" si="972"/>
        <v>2</v>
      </c>
      <c r="W704" s="1">
        <f t="shared" si="973"/>
        <v>1</v>
      </c>
      <c r="X704" s="1">
        <f t="shared" si="974"/>
        <v>1</v>
      </c>
      <c r="Y704" s="1">
        <f t="shared" si="975"/>
        <v>1</v>
      </c>
      <c r="Z704" s="1">
        <f t="shared" si="976"/>
        <v>1</v>
      </c>
      <c r="AA704" s="1">
        <f>MAX(BK703,1)</f>
        <v>1</v>
      </c>
      <c r="AB704" s="1">
        <f t="shared" si="978"/>
        <v>0</v>
      </c>
      <c r="AC704" s="1">
        <f t="shared" si="979"/>
        <v>0</v>
      </c>
      <c r="AD704" s="1">
        <f>ROUNDDOWN(I704*(1+IF(F704=3,0.05+方案参数!$Y$22+AA704*0.12,IF(F704=4,方案参数!$BZ$22*方案参数!$AS$22,0)))+IF(AND(X704=1,F704&lt;&gt;3),方案参数!$CC$22,0)+AC704*方案参数!$CB$22,0)</f>
        <v>3298</v>
      </c>
      <c r="AE704" s="1">
        <f>IF(OR(F704=1,F704=4),配置与结果!$B$24,配置与结果!$B$25)*MAX(0,1-INDEX(配置与结果!$I$15:$I$18,F704))</f>
        <v>1000</v>
      </c>
      <c r="AF704" s="1">
        <f>4</f>
        <v>4</v>
      </c>
      <c r="AG704" s="1">
        <f>MAX(配置与结果!$B$32,1+INDEX(配置与结果!$F$15:$F$18,F704)+0+Q704*方案参数!$W$22+Y704*(方案参数!$AN$22+MIN(方案参数!$AO$22,P704*0.03))+AB704*方案参数!$BZ$22*0.025-配置与结果!$B$28)</f>
        <v>1.125</v>
      </c>
      <c r="AH704" s="1">
        <f>MAX(0,1+INDEX(配置与结果!$G$15:$G$18,F704)+W704*方案参数!$AG$22)</f>
        <v>1.45</v>
      </c>
      <c r="AI704" s="1">
        <f>IF(OR(INDEX(配置与结果!$K$15:$K$18,F704)=1,G704="RHI_BERRY"),1+配置与结果!$B$33+P704*方案参数!$AH$22,1)</f>
        <v>1</v>
      </c>
      <c r="AJ704" s="1">
        <f>MIN(1,MAX(0,J704+方案参数!$AB$22-配置与结果!$B$27))</f>
        <v>0.55499999999999994</v>
      </c>
      <c r="AK704" s="1">
        <f>MAX(1,K704+IF(F704=2,0.15+方案参数!$CH$22,0)+BN704*方案参数!$X$22+R704*方案参数!$AA$22+0-配置与结果!$B$26+Z704*(方案参数!$AP$22+MIN(方案参数!$AQ$22,P704*0.03)))</f>
        <v>1.7400000000000002</v>
      </c>
      <c r="AL704" s="7">
        <f>ROUNDDOWN(MAX(AD704*配置与结果!$B$31,AD704-AE704)*AF704*AG704*AH704*AI704,0)</f>
        <v>14994</v>
      </c>
      <c r="AM704" s="7">
        <f>ROUNDDOWN(MAX(AD704*配置与结果!$B$31,AD704-AE704)*AF704*AG704*AH704*AI704*AK704,0)</f>
        <v>26090</v>
      </c>
      <c r="AN704" s="7">
        <f t="shared" si="912"/>
        <v>21152.28</v>
      </c>
      <c r="AO704" s="7">
        <f>0</f>
        <v>0</v>
      </c>
      <c r="AP704" s="7">
        <f>MAX(0,1+INDEX(配置与结果!$J$15:$J$18,F704)+IF(T704&gt;0,方案参数!$BY$22,0)-配置与结果!$B$30)</f>
        <v>1</v>
      </c>
      <c r="AQ704" s="7">
        <f t="shared" si="913"/>
        <v>0</v>
      </c>
      <c r="AR704" s="7">
        <f t="shared" si="914"/>
        <v>0</v>
      </c>
      <c r="AS704" s="7">
        <f t="shared" si="915"/>
        <v>0</v>
      </c>
      <c r="AT704" s="7">
        <f>0</f>
        <v>0</v>
      </c>
      <c r="AU704" s="7">
        <f t="shared" si="916"/>
        <v>21152.28</v>
      </c>
      <c r="AV704" s="1">
        <f t="shared" si="917"/>
        <v>2</v>
      </c>
      <c r="AW704" s="1">
        <f t="shared" si="993"/>
        <v>10</v>
      </c>
      <c r="AX704" s="1">
        <f t="shared" si="918"/>
        <v>2</v>
      </c>
      <c r="AY704" s="1">
        <f t="shared" si="987"/>
        <v>6</v>
      </c>
      <c r="AZ704" s="1">
        <f t="shared" si="919"/>
        <v>10</v>
      </c>
      <c r="BA704" s="1">
        <f>MIN(6,Q704+1)</f>
        <v>5</v>
      </c>
      <c r="BB704" s="1">
        <f t="shared" si="980"/>
        <v>5</v>
      </c>
      <c r="BC704" s="1">
        <f t="shared" si="994"/>
        <v>2</v>
      </c>
      <c r="BD704" s="1">
        <f t="shared" si="988"/>
        <v>0</v>
      </c>
      <c r="BE704" s="1">
        <f t="shared" si="981"/>
        <v>0</v>
      </c>
      <c r="BF704" s="1">
        <f>MIN(4,V704+0)</f>
        <v>2</v>
      </c>
      <c r="BG704" s="1">
        <f t="shared" ref="BG704:BG726" si="998">MAX(W704,0)</f>
        <v>1</v>
      </c>
      <c r="BH704" s="1">
        <f t="shared" si="982"/>
        <v>1</v>
      </c>
      <c r="BI704" s="1">
        <f t="shared" ref="BI704:BI726" si="999">MAX(Y704,0)</f>
        <v>1</v>
      </c>
      <c r="BJ704" s="1">
        <f>MAX(Z704,1)</f>
        <v>1</v>
      </c>
      <c r="BK704" s="1">
        <f>MAX(AA704,1)</f>
        <v>1</v>
      </c>
      <c r="BL704" s="1">
        <f t="shared" si="962"/>
        <v>0</v>
      </c>
      <c r="BM704" s="1">
        <f t="shared" si="960"/>
        <v>0</v>
      </c>
      <c r="BN704" s="1">
        <f t="shared" si="983"/>
        <v>1</v>
      </c>
      <c r="BO704" s="1">
        <f t="shared" si="984"/>
        <v>1</v>
      </c>
    </row>
    <row r="705" spans="1:67" ht="30.95" customHeight="1">
      <c r="A705" s="1">
        <f>19</f>
        <v>19</v>
      </c>
      <c r="B705" s="1">
        <f>固定流程!A21</f>
        <v>16</v>
      </c>
      <c r="C705" s="1">
        <f>22</f>
        <v>22</v>
      </c>
      <c r="D705" s="1">
        <f>1</f>
        <v>1</v>
      </c>
      <c r="E705" s="1">
        <f>固定流程!C21</f>
        <v>3</v>
      </c>
      <c r="F705" s="1">
        <f>固定流程!G21</f>
        <v>2</v>
      </c>
      <c r="G705" s="1" t="str">
        <f>固定流程!H21</f>
        <v>37_ULT</v>
      </c>
      <c r="H705" s="1">
        <f>固定流程!F21</f>
        <v>1</v>
      </c>
      <c r="I705" s="1">
        <f>INDEX(配置与结果!$B$15:$B$18,F705)</f>
        <v>2306</v>
      </c>
      <c r="J705" s="1">
        <f>INDEX(配置与结果!$D$15:$D$18,F705)</f>
        <v>0.46</v>
      </c>
      <c r="K705" s="1">
        <f>INDEX(配置与结果!$E$15:$E$18,F705)</f>
        <v>1.9279999999999999</v>
      </c>
      <c r="L705" s="1">
        <f t="shared" si="995"/>
        <v>2</v>
      </c>
      <c r="M705" s="1">
        <f t="shared" si="996"/>
        <v>10</v>
      </c>
      <c r="N705" s="1">
        <f t="shared" si="997"/>
        <v>2</v>
      </c>
      <c r="O705" s="1">
        <f t="shared" si="989"/>
        <v>6</v>
      </c>
      <c r="P705" s="1">
        <f>MIN(方案参数!$AI$22,AZ704+0+0)</f>
        <v>10</v>
      </c>
      <c r="Q705" s="1">
        <f t="shared" si="967"/>
        <v>5</v>
      </c>
      <c r="R705" s="1">
        <f t="shared" si="968"/>
        <v>5</v>
      </c>
      <c r="S705" s="1">
        <f t="shared" si="969"/>
        <v>2</v>
      </c>
      <c r="T705" s="1">
        <f>BD704+方案参数!$BX$22</f>
        <v>2</v>
      </c>
      <c r="U705" s="1">
        <f t="shared" si="971"/>
        <v>0</v>
      </c>
      <c r="V705" s="1">
        <f t="shared" si="972"/>
        <v>2</v>
      </c>
      <c r="W705" s="1">
        <f t="shared" si="973"/>
        <v>1</v>
      </c>
      <c r="X705" s="1">
        <f t="shared" si="974"/>
        <v>1</v>
      </c>
      <c r="Y705" s="1">
        <f t="shared" si="975"/>
        <v>1</v>
      </c>
      <c r="Z705" s="1">
        <f t="shared" si="976"/>
        <v>1</v>
      </c>
      <c r="AA705" s="1">
        <f t="shared" ref="AA705:AA725" si="1000">MAX(BK704,0)</f>
        <v>1</v>
      </c>
      <c r="AB705" s="1">
        <f t="shared" si="978"/>
        <v>0</v>
      </c>
      <c r="AC705" s="1">
        <f>MAX(BM704,1)</f>
        <v>1</v>
      </c>
      <c r="AD705" s="1">
        <f>ROUNDDOWN(I705*(1+IF(F705=3,0.05+方案参数!$Y$22+AA705*0.12,IF(F705=4,方案参数!$BZ$22*方案参数!$AS$22,0)))+IF(AND(X705=1,F705&lt;&gt;3),方案参数!$CC$22,0)+AC705*方案参数!$CB$22,0)</f>
        <v>3104</v>
      </c>
      <c r="AE705" s="1">
        <f>IF(OR(F705=1,F705=4),配置与结果!$B$24,配置与结果!$B$25)*MAX(0,1-INDEX(配置与结果!$I$15:$I$18,F705))</f>
        <v>1000</v>
      </c>
      <c r="AF705" s="1">
        <f>0</f>
        <v>0</v>
      </c>
      <c r="AG705" s="1">
        <f>MAX(配置与结果!$B$32,1+INDEX(配置与结果!$F$15:$F$18,F705)+0+Q705*方案参数!$W$22+Y705*(方案参数!$AN$22+MIN(方案参数!$AO$22,P705*0.03))+AB705*方案参数!$BZ$22*0.025-配置与结果!$B$28)</f>
        <v>1.1150000000000002</v>
      </c>
      <c r="AH705" s="1">
        <f>MAX(0,1+INDEX(配置与结果!$G$15:$G$18,F705)+W705*方案参数!$AG$22)</f>
        <v>1.45</v>
      </c>
      <c r="AI705" s="1">
        <f>IF(OR(INDEX(配置与结果!$K$15:$K$18,F705)=1,G705="RHI_BERRY"),1+配置与结果!$B$33+P705*方案参数!$AH$22,1)</f>
        <v>1</v>
      </c>
      <c r="AJ705" s="1">
        <f>MIN(1,MAX(0,J705+方案参数!$AB$22-配置与结果!$B$27))</f>
        <v>0.76</v>
      </c>
      <c r="AK705" s="1">
        <f>MAX(1,K705+IF(F705=2,0.15+方案参数!$CH$22,0)+BN705*方案参数!$X$22+R705*方案参数!$AA$22+0-配置与结果!$B$26+Z705*(方案参数!$AP$22+MIN(方案参数!$AQ$22,P705*0.03)))</f>
        <v>2.3880000000000003</v>
      </c>
      <c r="AL705" s="7">
        <f>ROUNDDOWN(MAX(AD705*配置与结果!$B$31,AD705-AE705)*AF705*AG705*AH705*AI705,0)</f>
        <v>0</v>
      </c>
      <c r="AM705" s="7">
        <f>ROUNDDOWN(MAX(AD705*配置与结果!$B$31,AD705-AE705)*AF705*AG705*AH705*AI705*AK705,0)</f>
        <v>0</v>
      </c>
      <c r="AN705" s="7">
        <f t="shared" si="912"/>
        <v>0</v>
      </c>
      <c r="AO705" s="7">
        <f>0</f>
        <v>0</v>
      </c>
      <c r="AP705" s="7">
        <f>MAX(0,1+INDEX(配置与结果!$J$15:$J$18,F705)+IF(T705&gt;0,方案参数!$BY$22,0)-配置与结果!$B$30)</f>
        <v>2</v>
      </c>
      <c r="AQ705" s="7">
        <f t="shared" si="913"/>
        <v>0</v>
      </c>
      <c r="AR705" s="7">
        <f t="shared" si="914"/>
        <v>0</v>
      </c>
      <c r="AS705" s="7">
        <f t="shared" si="915"/>
        <v>0</v>
      </c>
      <c r="AT705" s="7">
        <f>0</f>
        <v>0</v>
      </c>
      <c r="AU705" s="7">
        <f t="shared" si="916"/>
        <v>0</v>
      </c>
      <c r="AV705" s="1">
        <f t="shared" si="917"/>
        <v>2</v>
      </c>
      <c r="AW705" s="1">
        <f t="shared" si="993"/>
        <v>10</v>
      </c>
      <c r="AX705" s="1">
        <f t="shared" si="918"/>
        <v>2</v>
      </c>
      <c r="AY705" s="1">
        <f t="shared" si="987"/>
        <v>6</v>
      </c>
      <c r="AZ705" s="1">
        <f t="shared" si="919"/>
        <v>10</v>
      </c>
      <c r="BA705" s="1">
        <f t="shared" ref="BA705:BA725" si="1001">MIN(6,Q705+0)</f>
        <v>5</v>
      </c>
      <c r="BB705" s="1">
        <f>MIN(30,R705+5)</f>
        <v>10</v>
      </c>
      <c r="BC705" s="1">
        <f t="shared" si="994"/>
        <v>2</v>
      </c>
      <c r="BD705" s="1">
        <f t="shared" si="988"/>
        <v>2</v>
      </c>
      <c r="BE705" s="1">
        <f t="shared" si="981"/>
        <v>0</v>
      </c>
      <c r="BF705" s="1">
        <f>MIN(4,V705+0)</f>
        <v>2</v>
      </c>
      <c r="BG705" s="1">
        <f t="shared" si="998"/>
        <v>1</v>
      </c>
      <c r="BH705" s="1">
        <f t="shared" si="982"/>
        <v>1</v>
      </c>
      <c r="BI705" s="1">
        <f t="shared" si="999"/>
        <v>1</v>
      </c>
      <c r="BJ705" s="1">
        <f t="shared" ref="BJ705:BJ732" si="1002">MAX(Z705,0)</f>
        <v>1</v>
      </c>
      <c r="BK705" s="1">
        <f t="shared" ref="BK705:BK732" si="1003">MAX(AA705,0)</f>
        <v>1</v>
      </c>
      <c r="BL705" s="1">
        <f t="shared" si="962"/>
        <v>0</v>
      </c>
      <c r="BM705" s="1">
        <f>MAX(AC705,1)</f>
        <v>1</v>
      </c>
      <c r="BN705" s="1">
        <f t="shared" si="983"/>
        <v>1</v>
      </c>
      <c r="BO705" s="1">
        <f t="shared" si="984"/>
        <v>1</v>
      </c>
    </row>
    <row r="706" spans="1:67" ht="30.95" customHeight="1">
      <c r="A706" s="1">
        <f>19</f>
        <v>19</v>
      </c>
      <c r="B706" s="1">
        <f>固定流程!A22</f>
        <v>17</v>
      </c>
      <c r="C706" s="1">
        <f>22</f>
        <v>22</v>
      </c>
      <c r="D706" s="1">
        <f>1</f>
        <v>1</v>
      </c>
      <c r="E706" s="1">
        <f>固定流程!C22</f>
        <v>3</v>
      </c>
      <c r="F706" s="1">
        <f>固定流程!G22</f>
        <v>2</v>
      </c>
      <c r="G706" s="1" t="str">
        <f>固定流程!H22</f>
        <v>37_FOLLOW</v>
      </c>
      <c r="H706" s="1">
        <f>固定流程!F22</f>
        <v>1</v>
      </c>
      <c r="I706" s="1">
        <f>INDEX(配置与结果!$B$15:$B$18,F706)</f>
        <v>2306</v>
      </c>
      <c r="J706" s="1">
        <f>INDEX(配置与结果!$D$15:$D$18,F706)</f>
        <v>0.46</v>
      </c>
      <c r="K706" s="1">
        <f>INDEX(配置与结果!$E$15:$E$18,F706)</f>
        <v>1.9279999999999999</v>
      </c>
      <c r="L706" s="1">
        <f t="shared" si="995"/>
        <v>2</v>
      </c>
      <c r="M706" s="1">
        <f t="shared" si="996"/>
        <v>10</v>
      </c>
      <c r="N706" s="1">
        <f t="shared" si="997"/>
        <v>2</v>
      </c>
      <c r="O706" s="1">
        <f t="shared" si="989"/>
        <v>6</v>
      </c>
      <c r="P706" s="1">
        <f>MIN(方案参数!$AI$22,AZ705+0+0)</f>
        <v>10</v>
      </c>
      <c r="Q706" s="1">
        <f t="shared" si="967"/>
        <v>5</v>
      </c>
      <c r="R706" s="1">
        <f t="shared" si="968"/>
        <v>10</v>
      </c>
      <c r="S706" s="1">
        <f t="shared" si="969"/>
        <v>2</v>
      </c>
      <c r="T706" s="1">
        <f t="shared" ref="T706:T725" si="1004">BD705+0</f>
        <v>2</v>
      </c>
      <c r="U706" s="1">
        <f t="shared" si="971"/>
        <v>0</v>
      </c>
      <c r="V706" s="1">
        <f t="shared" si="972"/>
        <v>2</v>
      </c>
      <c r="W706" s="1">
        <f t="shared" si="973"/>
        <v>1</v>
      </c>
      <c r="X706" s="1">
        <f t="shared" si="974"/>
        <v>1</v>
      </c>
      <c r="Y706" s="1">
        <f t="shared" si="975"/>
        <v>1</v>
      </c>
      <c r="Z706" s="1">
        <f t="shared" si="976"/>
        <v>1</v>
      </c>
      <c r="AA706" s="1">
        <f t="shared" si="1000"/>
        <v>1</v>
      </c>
      <c r="AB706" s="1">
        <f t="shared" si="978"/>
        <v>0</v>
      </c>
      <c r="AC706" s="1">
        <f t="shared" ref="AC706:AC725" si="1005">MAX(BM705,0)</f>
        <v>1</v>
      </c>
      <c r="AD706" s="1">
        <f>ROUNDDOWN(I706*(1+IF(F706=3,0.05+方案参数!$Y$22+AA706*0.12,IF(F706=4,方案参数!$BZ$22*方案参数!$AS$22,0)))+IF(AND(X706=1,F706&lt;&gt;3),方案参数!$CC$22,0)+AC706*方案参数!$CB$22,0)</f>
        <v>3104</v>
      </c>
      <c r="AE706" s="1">
        <f>IF(OR(F706=1,F706=4),配置与结果!$B$24,配置与结果!$B$25)*MAX(0,1-INDEX(配置与结果!$I$15:$I$18,F706))</f>
        <v>1000</v>
      </c>
      <c r="AF706" s="1">
        <f>方案参数!$BV$22</f>
        <v>3</v>
      </c>
      <c r="AG706" s="1">
        <f>MAX(配置与结果!$B$32,1+INDEX(配置与结果!$F$15:$F$18,F706)+0+Q706*方案参数!$W$22+Y706*(方案参数!$AN$22+MIN(方案参数!$AO$22,P706*0.03))+AB706*方案参数!$BZ$22*0.025-配置与结果!$B$28)</f>
        <v>1.1150000000000002</v>
      </c>
      <c r="AH706" s="1">
        <f>MAX(0,1+INDEX(配置与结果!$G$15:$G$18,F706)+W706*方案参数!$AG$22)</f>
        <v>1.45</v>
      </c>
      <c r="AI706" s="1">
        <f>IF(OR(INDEX(配置与结果!$K$15:$K$18,F706)=1,G706="RHI_BERRY"),1+配置与结果!$B$33+P706*方案参数!$AH$22,1)</f>
        <v>1</v>
      </c>
      <c r="AJ706" s="1">
        <f>MIN(1,MAX(0,J706+方案参数!$AB$22-配置与结果!$B$27))</f>
        <v>0.76</v>
      </c>
      <c r="AK706" s="1">
        <f>MAX(1,K706+IF(F706=2,0.15+方案参数!$CH$22,0)+BN706*方案参数!$X$22+R706*方案参数!$AA$22+0-配置与结果!$B$26+Z706*(方案参数!$AP$22+MIN(方案参数!$AQ$22,P706*0.03)))</f>
        <v>2.4080000000000004</v>
      </c>
      <c r="AL706" s="7">
        <f>ROUNDDOWN(MAX(AD706*配置与结果!$B$31,AD706-AE706)*AF706*AG706*AH706*AI706,0)</f>
        <v>10204</v>
      </c>
      <c r="AM706" s="7">
        <f>ROUNDDOWN(MAX(AD706*配置与结果!$B$31,AD706-AE706)*AF706*AG706*AH706*AI706*AK706,0)</f>
        <v>24573</v>
      </c>
      <c r="AN706" s="7">
        <f t="shared" si="912"/>
        <v>21124.44</v>
      </c>
      <c r="AO706" s="7">
        <f>方案参数!$BW$22</f>
        <v>1</v>
      </c>
      <c r="AP706" s="7">
        <f>MAX(0,1+INDEX(配置与结果!$J$15:$J$18,F706)+IF(T706&gt;0,方案参数!$BY$22,0)-配置与结果!$B$30)</f>
        <v>2</v>
      </c>
      <c r="AQ706" s="7">
        <f t="shared" si="913"/>
        <v>6208</v>
      </c>
      <c r="AR706" s="7">
        <f t="shared" si="914"/>
        <v>14948</v>
      </c>
      <c r="AS706" s="7">
        <f t="shared" si="915"/>
        <v>12850.4</v>
      </c>
      <c r="AT706" s="7">
        <f>0</f>
        <v>0</v>
      </c>
      <c r="AU706" s="7">
        <f t="shared" si="916"/>
        <v>33974.839999999997</v>
      </c>
      <c r="AV706" s="1">
        <f t="shared" si="917"/>
        <v>2</v>
      </c>
      <c r="AW706" s="1">
        <f t="shared" si="993"/>
        <v>10</v>
      </c>
      <c r="AX706" s="1">
        <f t="shared" si="918"/>
        <v>2</v>
      </c>
      <c r="AY706" s="1">
        <f t="shared" si="987"/>
        <v>6</v>
      </c>
      <c r="AZ706" s="1">
        <f t="shared" si="919"/>
        <v>10</v>
      </c>
      <c r="BA706" s="1">
        <f t="shared" si="1001"/>
        <v>5</v>
      </c>
      <c r="BB706" s="1">
        <f>MIN(30,R706+0)</f>
        <v>10</v>
      </c>
      <c r="BC706" s="1">
        <f t="shared" si="994"/>
        <v>2</v>
      </c>
      <c r="BD706" s="1">
        <f t="shared" si="988"/>
        <v>1</v>
      </c>
      <c r="BE706" s="1">
        <f t="shared" si="981"/>
        <v>0</v>
      </c>
      <c r="BF706" s="1">
        <f>MIN(4,V706+1)</f>
        <v>3</v>
      </c>
      <c r="BG706" s="1">
        <f t="shared" si="998"/>
        <v>1</v>
      </c>
      <c r="BH706" s="1">
        <f t="shared" si="982"/>
        <v>1</v>
      </c>
      <c r="BI706" s="1">
        <f t="shared" si="999"/>
        <v>1</v>
      </c>
      <c r="BJ706" s="1">
        <f t="shared" si="1002"/>
        <v>1</v>
      </c>
      <c r="BK706" s="1">
        <f t="shared" si="1003"/>
        <v>1</v>
      </c>
      <c r="BL706" s="1">
        <f t="shared" si="962"/>
        <v>0</v>
      </c>
      <c r="BM706" s="1">
        <f t="shared" ref="BM706:BM740" si="1006">MAX(AC706,0)</f>
        <v>1</v>
      </c>
      <c r="BN706" s="1">
        <f t="shared" si="983"/>
        <v>1</v>
      </c>
      <c r="BO706" s="1">
        <f t="shared" si="984"/>
        <v>1</v>
      </c>
    </row>
    <row r="707" spans="1:67" ht="30.95" customHeight="1">
      <c r="A707" s="1">
        <f>19</f>
        <v>19</v>
      </c>
      <c r="B707" s="1">
        <f>固定流程!A23</f>
        <v>18</v>
      </c>
      <c r="C707" s="1">
        <f>22</f>
        <v>22</v>
      </c>
      <c r="D707" s="1">
        <f>1</f>
        <v>1</v>
      </c>
      <c r="E707" s="1">
        <f>固定流程!C23</f>
        <v>3</v>
      </c>
      <c r="F707" s="1">
        <f>固定流程!G23</f>
        <v>4</v>
      </c>
      <c r="G707" s="1" t="str">
        <f>固定流程!H23</f>
        <v>J_HARD</v>
      </c>
      <c r="H707" s="1">
        <f>固定流程!F23</f>
        <v>1</v>
      </c>
      <c r="I707" s="1">
        <f>INDEX(配置与结果!$B$15:$B$18,F707)</f>
        <v>1906</v>
      </c>
      <c r="J707" s="1">
        <f>INDEX(配置与结果!$D$15:$D$18,F707)</f>
        <v>0.36699999999999999</v>
      </c>
      <c r="K707" s="1">
        <f>INDEX(配置与结果!$E$15:$E$18,F707)</f>
        <v>1.7170000000000001</v>
      </c>
      <c r="L707" s="1">
        <f t="shared" si="995"/>
        <v>2</v>
      </c>
      <c r="M707" s="1">
        <f t="shared" si="996"/>
        <v>10</v>
      </c>
      <c r="N707" s="1">
        <f t="shared" si="997"/>
        <v>2</v>
      </c>
      <c r="O707" s="1">
        <f t="shared" si="989"/>
        <v>6</v>
      </c>
      <c r="P707" s="1">
        <f>MIN(方案参数!$AI$22,AZ706+0+0)</f>
        <v>10</v>
      </c>
      <c r="Q707" s="1">
        <f t="shared" si="967"/>
        <v>5</v>
      </c>
      <c r="R707" s="1">
        <f t="shared" si="968"/>
        <v>10</v>
      </c>
      <c r="S707" s="1">
        <f t="shared" si="969"/>
        <v>2</v>
      </c>
      <c r="T707" s="1">
        <f t="shared" si="1004"/>
        <v>1</v>
      </c>
      <c r="U707" s="1">
        <f t="shared" si="971"/>
        <v>0</v>
      </c>
      <c r="V707" s="1">
        <f t="shared" si="972"/>
        <v>3</v>
      </c>
      <c r="W707" s="1">
        <f t="shared" si="973"/>
        <v>1</v>
      </c>
      <c r="X707" s="1">
        <f t="shared" si="974"/>
        <v>1</v>
      </c>
      <c r="Y707" s="1">
        <f t="shared" si="975"/>
        <v>1</v>
      </c>
      <c r="Z707" s="1">
        <f t="shared" si="976"/>
        <v>1</v>
      </c>
      <c r="AA707" s="1">
        <f t="shared" si="1000"/>
        <v>1</v>
      </c>
      <c r="AB707" s="1">
        <f t="shared" si="978"/>
        <v>0</v>
      </c>
      <c r="AC707" s="1">
        <f t="shared" si="1005"/>
        <v>1</v>
      </c>
      <c r="AD707" s="1">
        <f>ROUNDDOWN(I707*(1+IF(F707=3,0.05+方案参数!$Y$22+AA707*0.12,IF(F707=4,方案参数!$BZ$22*方案参数!$AS$22,0)))+IF(AND(X707=1,F707&lt;&gt;3),方案参数!$CC$22,0)+AC707*方案参数!$CB$22,0)</f>
        <v>3371</v>
      </c>
      <c r="AE707" s="1">
        <f>IF(OR(F707=1,F707=4),配置与结果!$B$24,配置与结果!$B$25)*MAX(0,1-INDEX(配置与结果!$I$15:$I$18,F707))</f>
        <v>1200</v>
      </c>
      <c r="AF707" s="1">
        <f>3.6*IF(H707=1,1,IF(H707=2,1.5,2.5))</f>
        <v>3.6</v>
      </c>
      <c r="AG707" s="1">
        <f>MAX(配置与结果!$B$32,1+INDEX(配置与结果!$F$15:$F$18,F707)+0.08+Q707*方案参数!$W$22+Y707*(方案参数!$AN$22+MIN(方案参数!$AO$22,P707*0.03))+AB707*方案参数!$BZ$22*0.025+0.1+IF(方案参数!$BZ$22&gt;=30,方案参数!$BZ$22*0.01,0)-配置与结果!$B$28)</f>
        <v>1.6650000000000005</v>
      </c>
      <c r="AH707" s="1">
        <f>MAX(0,1+INDEX(配置与结果!$G$15:$G$18,F707)+W707*方案参数!$AG$22)</f>
        <v>1.45</v>
      </c>
      <c r="AI707" s="1">
        <f>IF(OR(INDEX(配置与结果!$K$15:$K$18,F707)=1,G707="RHI_BERRY"),1+配置与结果!$B$33+P707*方案参数!$AH$22,1)</f>
        <v>1</v>
      </c>
      <c r="AJ707" s="1">
        <f>MIN(1,MAX(0,J707+方案参数!$AB$22-配置与结果!$B$27))</f>
        <v>0.66700000000000004</v>
      </c>
      <c r="AK707" s="1">
        <f>MAX(1,K707+IF(F707=2,0.15+方案参数!$CH$22,0)+BN707*方案参数!$X$22+R707*方案参数!$AA$22+0-配置与结果!$B$26+Z707*(方案参数!$AP$22+MIN(方案参数!$AQ$22,P707*0.03)))</f>
        <v>1.927</v>
      </c>
      <c r="AL707" s="7">
        <f>ROUNDDOWN(MAX(AD707*配置与结果!$B$31,AD707-AE707)*AF707*AG707*AH707*AI707,0)</f>
        <v>18868</v>
      </c>
      <c r="AM707" s="7">
        <f>ROUNDDOWN(MAX(AD707*配置与结果!$B$31,AD707-AE707)*AF707*AG707*AH707*AI707*AK707,0)</f>
        <v>36360</v>
      </c>
      <c r="AN707" s="7">
        <f t="shared" si="912"/>
        <v>30535.164000000001</v>
      </c>
      <c r="AO707" s="7">
        <f>0</f>
        <v>0</v>
      </c>
      <c r="AP707" s="7">
        <f>MAX(0,1+INDEX(配置与结果!$J$15:$J$18,F707)+IF(T707&gt;0,方案参数!$BY$22,0)-配置与结果!$B$30)</f>
        <v>2</v>
      </c>
      <c r="AQ707" s="7">
        <f t="shared" si="913"/>
        <v>0</v>
      </c>
      <c r="AR707" s="7">
        <f t="shared" si="914"/>
        <v>0</v>
      </c>
      <c r="AS707" s="7">
        <f t="shared" si="915"/>
        <v>0</v>
      </c>
      <c r="AT707" s="7">
        <f>0</f>
        <v>0</v>
      </c>
      <c r="AU707" s="7">
        <f t="shared" si="916"/>
        <v>30535.164000000001</v>
      </c>
      <c r="AV707" s="1">
        <f t="shared" si="917"/>
        <v>2</v>
      </c>
      <c r="AW707" s="1">
        <f t="shared" si="993"/>
        <v>10</v>
      </c>
      <c r="AX707" s="1">
        <f t="shared" si="918"/>
        <v>2</v>
      </c>
      <c r="AY707" s="1">
        <f t="shared" si="987"/>
        <v>6</v>
      </c>
      <c r="AZ707" s="1">
        <f t="shared" si="919"/>
        <v>10</v>
      </c>
      <c r="BA707" s="1">
        <f t="shared" si="1001"/>
        <v>5</v>
      </c>
      <c r="BB707" s="1">
        <f>MIN(30,R707+0)</f>
        <v>10</v>
      </c>
      <c r="BC707" s="1">
        <f>MIN(3,S707+1)</f>
        <v>3</v>
      </c>
      <c r="BD707" s="1">
        <f t="shared" si="988"/>
        <v>1</v>
      </c>
      <c r="BE707" s="1">
        <f t="shared" si="981"/>
        <v>0</v>
      </c>
      <c r="BF707" s="1">
        <f>MIN(4,V707+0)</f>
        <v>3</v>
      </c>
      <c r="BG707" s="1">
        <f t="shared" si="998"/>
        <v>1</v>
      </c>
      <c r="BH707" s="1">
        <f t="shared" si="982"/>
        <v>1</v>
      </c>
      <c r="BI707" s="1">
        <f t="shared" si="999"/>
        <v>1</v>
      </c>
      <c r="BJ707" s="1">
        <f t="shared" si="1002"/>
        <v>1</v>
      </c>
      <c r="BK707" s="1">
        <f t="shared" si="1003"/>
        <v>1</v>
      </c>
      <c r="BL707" s="1">
        <f t="shared" si="962"/>
        <v>0</v>
      </c>
      <c r="BM707" s="1">
        <f t="shared" si="1006"/>
        <v>1</v>
      </c>
      <c r="BN707" s="1">
        <f t="shared" si="983"/>
        <v>1</v>
      </c>
      <c r="BO707" s="1">
        <f t="shared" si="984"/>
        <v>1</v>
      </c>
    </row>
    <row r="708" spans="1:67" ht="30.95" customHeight="1">
      <c r="A708" s="1">
        <f>19</f>
        <v>19</v>
      </c>
      <c r="B708" s="1">
        <f>固定流程!A24</f>
        <v>19</v>
      </c>
      <c r="C708" s="1">
        <f>22</f>
        <v>22</v>
      </c>
      <c r="D708" s="1">
        <f>1</f>
        <v>1</v>
      </c>
      <c r="E708" s="1">
        <f>固定流程!C24</f>
        <v>3</v>
      </c>
      <c r="F708" s="1">
        <f>固定流程!G24</f>
        <v>4</v>
      </c>
      <c r="G708" s="1" t="str">
        <f>固定流程!H24</f>
        <v>J_ULT</v>
      </c>
      <c r="H708" s="1">
        <f>固定流程!F24</f>
        <v>1</v>
      </c>
      <c r="I708" s="1">
        <f>INDEX(配置与结果!$B$15:$B$18,F708)</f>
        <v>1906</v>
      </c>
      <c r="J708" s="1">
        <f>INDEX(配置与结果!$D$15:$D$18,F708)</f>
        <v>0.36699999999999999</v>
      </c>
      <c r="K708" s="1">
        <f>INDEX(配置与结果!$E$15:$E$18,F708)</f>
        <v>1.7170000000000001</v>
      </c>
      <c r="L708" s="1">
        <f t="shared" si="995"/>
        <v>2</v>
      </c>
      <c r="M708" s="1">
        <f t="shared" si="996"/>
        <v>10</v>
      </c>
      <c r="N708" s="1">
        <f t="shared" si="997"/>
        <v>2</v>
      </c>
      <c r="O708" s="1">
        <f t="shared" si="989"/>
        <v>6</v>
      </c>
      <c r="P708" s="1">
        <f>MIN(方案参数!$AI$22,AZ707+0+0)</f>
        <v>10</v>
      </c>
      <c r="Q708" s="1">
        <f t="shared" si="967"/>
        <v>5</v>
      </c>
      <c r="R708" s="1">
        <f t="shared" si="968"/>
        <v>10</v>
      </c>
      <c r="S708" s="1">
        <f t="shared" si="969"/>
        <v>3</v>
      </c>
      <c r="T708" s="1">
        <f t="shared" si="1004"/>
        <v>1</v>
      </c>
      <c r="U708" s="1">
        <f t="shared" si="971"/>
        <v>0</v>
      </c>
      <c r="V708" s="1">
        <f t="shared" si="972"/>
        <v>3</v>
      </c>
      <c r="W708" s="1">
        <f t="shared" si="973"/>
        <v>1</v>
      </c>
      <c r="X708" s="1">
        <f t="shared" si="974"/>
        <v>1</v>
      </c>
      <c r="Y708" s="1">
        <f t="shared" si="975"/>
        <v>1</v>
      </c>
      <c r="Z708" s="1">
        <f t="shared" si="976"/>
        <v>1</v>
      </c>
      <c r="AA708" s="1">
        <f t="shared" si="1000"/>
        <v>1</v>
      </c>
      <c r="AB708" s="1">
        <f t="shared" si="978"/>
        <v>0</v>
      </c>
      <c r="AC708" s="1">
        <f t="shared" si="1005"/>
        <v>1</v>
      </c>
      <c r="AD708" s="1">
        <f>ROUNDDOWN(I708*(1+IF(F708=3,0.05+方案参数!$Y$22+AA708*0.12,IF(F708=4,方案参数!$BZ$22*方案参数!$AS$22,0)))+IF(AND(X708=1,F708&lt;&gt;3),方案参数!$CC$22,0)+AC708*方案参数!$CB$22,0)</f>
        <v>3371</v>
      </c>
      <c r="AE708" s="1">
        <f>IF(OR(F708=1,F708=4),配置与结果!$B$24,配置与结果!$B$25)*MAX(0,1-INDEX(配置与结果!$I$15:$I$18,F708))</f>
        <v>1200</v>
      </c>
      <c r="AF708" s="1">
        <f>方案参数!$AT$22+MAX(0,配置与结果!$H$26+方案参数!$BZ$22-30)*方案参数!$AU$22*配置与结果!$H$27</f>
        <v>42</v>
      </c>
      <c r="AG708" s="1">
        <f>MAX(配置与结果!$B$32,1+INDEX(配置与结果!$F$15:$F$18,F708)+0.08+Q708*方案参数!$W$22+Y708*(方案参数!$AN$22+MIN(方案参数!$AO$22,P708*0.03))+AB708*方案参数!$BZ$22*0.025-配置与结果!$B$28)</f>
        <v>1.2150000000000003</v>
      </c>
      <c r="AH708" s="1">
        <f>MAX(0,1+INDEX(配置与结果!$H$15:$H$18,F708)+W708*方案参数!$AG$22+S708*方案参数!$Z$22)</f>
        <v>1.5699999999999998</v>
      </c>
      <c r="AI708" s="1">
        <f>IF(OR(INDEX(配置与结果!$K$15:$K$18,F708)=1,G708="RHI_BERRY"),1+配置与结果!$B$33+P708*方案参数!$AH$22,1)</f>
        <v>1</v>
      </c>
      <c r="AJ708" s="1">
        <f>MIN(1,MAX(0,J708+方案参数!$AB$22-配置与结果!$B$27))</f>
        <v>0.66700000000000004</v>
      </c>
      <c r="AK708" s="1">
        <f>MAX(1,K708+IF(F708=2,0.15+方案参数!$CH$22,0)+BN708*方案参数!$X$22+R708*方案参数!$AA$22+0-配置与结果!$B$26+Z708*(方案参数!$AP$22+MIN(方案参数!$AQ$22,P708*0.03)))</f>
        <v>1.927</v>
      </c>
      <c r="AL708" s="7">
        <f>ROUNDDOWN(MAX(AD708*配置与结果!$B$31,AD708-AE708)*AF708*AG708*AH708*AI708,0)</f>
        <v>173934</v>
      </c>
      <c r="AM708" s="7">
        <f>ROUNDDOWN(MAX(AD708*配置与结果!$B$31,AD708-AE708)*AF708*AG708*AH708*AI708*AK708,0)</f>
        <v>335171</v>
      </c>
      <c r="AN708" s="7">
        <f t="shared" si="912"/>
        <v>281479.07899999997</v>
      </c>
      <c r="AO708" s="7">
        <f>0</f>
        <v>0</v>
      </c>
      <c r="AP708" s="7">
        <f>MAX(0,1+INDEX(配置与结果!$J$15:$J$18,F708)+IF(T708&gt;0,方案参数!$BY$22,0)-配置与结果!$B$30)</f>
        <v>2</v>
      </c>
      <c r="AQ708" s="7">
        <f t="shared" si="913"/>
        <v>0</v>
      </c>
      <c r="AR708" s="7">
        <f t="shared" si="914"/>
        <v>0</v>
      </c>
      <c r="AS708" s="7">
        <f t="shared" si="915"/>
        <v>0</v>
      </c>
      <c r="AT708" s="7">
        <f>0</f>
        <v>0</v>
      </c>
      <c r="AU708" s="7">
        <f t="shared" si="916"/>
        <v>281479.07899999997</v>
      </c>
      <c r="AV708" s="1">
        <f t="shared" si="917"/>
        <v>2</v>
      </c>
      <c r="AW708" s="1">
        <f t="shared" si="993"/>
        <v>10</v>
      </c>
      <c r="AX708" s="1">
        <f t="shared" si="918"/>
        <v>2</v>
      </c>
      <c r="AY708" s="1">
        <f t="shared" si="987"/>
        <v>6</v>
      </c>
      <c r="AZ708" s="1">
        <f t="shared" si="919"/>
        <v>10</v>
      </c>
      <c r="BA708" s="1">
        <f t="shared" si="1001"/>
        <v>5</v>
      </c>
      <c r="BB708" s="1">
        <f>MIN(30,R708+5)</f>
        <v>15</v>
      </c>
      <c r="BC708" s="1">
        <f t="shared" ref="BC708:BC731" si="1007">MIN(3,S708+0)</f>
        <v>3</v>
      </c>
      <c r="BD708" s="1">
        <f t="shared" si="988"/>
        <v>1</v>
      </c>
      <c r="BE708" s="1">
        <f t="shared" si="981"/>
        <v>0</v>
      </c>
      <c r="BF708" s="1">
        <f>MIN(4,V708+0)</f>
        <v>3</v>
      </c>
      <c r="BG708" s="1">
        <f t="shared" si="998"/>
        <v>1</v>
      </c>
      <c r="BH708" s="1">
        <f t="shared" si="982"/>
        <v>1</v>
      </c>
      <c r="BI708" s="1">
        <f t="shared" si="999"/>
        <v>1</v>
      </c>
      <c r="BJ708" s="1">
        <f t="shared" si="1002"/>
        <v>1</v>
      </c>
      <c r="BK708" s="1">
        <f t="shared" si="1003"/>
        <v>1</v>
      </c>
      <c r="BL708" s="1">
        <f>MAX(AB708,1)</f>
        <v>1</v>
      </c>
      <c r="BM708" s="1">
        <f t="shared" si="1006"/>
        <v>1</v>
      </c>
      <c r="BN708" s="1">
        <f t="shared" si="983"/>
        <v>1</v>
      </c>
      <c r="BO708" s="1">
        <f t="shared" si="984"/>
        <v>1</v>
      </c>
    </row>
    <row r="709" spans="1:67" ht="30.95" customHeight="1">
      <c r="A709" s="1">
        <f>19</f>
        <v>19</v>
      </c>
      <c r="B709" s="1">
        <f>固定流程!A25</f>
        <v>20</v>
      </c>
      <c r="C709" s="1">
        <f>22</f>
        <v>22</v>
      </c>
      <c r="D709" s="1">
        <f>1</f>
        <v>1</v>
      </c>
      <c r="E709" s="1">
        <f>固定流程!C25</f>
        <v>3</v>
      </c>
      <c r="F709" s="1">
        <f>固定流程!G25</f>
        <v>1</v>
      </c>
      <c r="G709" s="1" t="str">
        <f>固定流程!H25</f>
        <v>LILYA_ULT</v>
      </c>
      <c r="H709" s="1">
        <f>固定流程!F25</f>
        <v>1</v>
      </c>
      <c r="I709" s="1">
        <f>INDEX(配置与结果!$B$15:$B$18,F709)</f>
        <v>2296</v>
      </c>
      <c r="J709" s="1">
        <f>INDEX(配置与结果!$D$15:$D$18,F709)</f>
        <v>0.7</v>
      </c>
      <c r="K709" s="1">
        <f>INDEX(配置与结果!$E$15:$E$18,F709)</f>
        <v>2.0249999999999999</v>
      </c>
      <c r="L709" s="1">
        <f t="shared" si="995"/>
        <v>2</v>
      </c>
      <c r="M709" s="1">
        <f t="shared" si="996"/>
        <v>10</v>
      </c>
      <c r="N709" s="1">
        <f t="shared" si="997"/>
        <v>2</v>
      </c>
      <c r="O709" s="1">
        <f t="shared" si="989"/>
        <v>6</v>
      </c>
      <c r="P709" s="1">
        <f>MIN(方案参数!$AI$22,AZ708+0+0)</f>
        <v>10</v>
      </c>
      <c r="Q709" s="1">
        <f t="shared" si="967"/>
        <v>5</v>
      </c>
      <c r="R709" s="1">
        <f t="shared" si="968"/>
        <v>15</v>
      </c>
      <c r="S709" s="1">
        <f t="shared" si="969"/>
        <v>3</v>
      </c>
      <c r="T709" s="1">
        <f t="shared" si="1004"/>
        <v>1</v>
      </c>
      <c r="U709" s="1">
        <f t="shared" si="971"/>
        <v>0</v>
      </c>
      <c r="V709" s="1">
        <f t="shared" si="972"/>
        <v>3</v>
      </c>
      <c r="W709" s="1">
        <f t="shared" si="973"/>
        <v>1</v>
      </c>
      <c r="X709" s="1">
        <f t="shared" si="974"/>
        <v>1</v>
      </c>
      <c r="Y709" s="1">
        <f t="shared" si="975"/>
        <v>1</v>
      </c>
      <c r="Z709" s="1">
        <f t="shared" si="976"/>
        <v>1</v>
      </c>
      <c r="AA709" s="1">
        <f t="shared" si="1000"/>
        <v>1</v>
      </c>
      <c r="AB709" s="1">
        <f t="shared" si="978"/>
        <v>1</v>
      </c>
      <c r="AC709" s="1">
        <f t="shared" si="1005"/>
        <v>1</v>
      </c>
      <c r="AD709" s="1">
        <f>ROUNDDOWN(I709*(1+IF(F709=3,0.05+方案参数!$Y$22+AA709*0.12,IF(F709=4,方案参数!$BZ$22*方案参数!$AS$22,0)))+IF(AND(X709=1,F709&lt;&gt;3),方案参数!$CC$22,0)+AC709*方案参数!$CB$22,0)</f>
        <v>3094</v>
      </c>
      <c r="AE709" s="1">
        <f>IF(OR(F709=1,F709=4),配置与结果!$B$24,配置与结果!$B$25)*MAX(0,1-INDEX(配置与结果!$I$15:$I$18,F709)+IF(O709&gt;=6,方案参数!$BK$22,0))</f>
        <v>1440</v>
      </c>
      <c r="AF709" s="1">
        <f>方案参数!$BG$22+IF(O709&gt;=6,方案参数!$BH$22,0)</f>
        <v>36</v>
      </c>
      <c r="AG709" s="1">
        <f>MAX(配置与结果!$B$32,1+INDEX(配置与结果!$F$15:$F$18,F709)+0.08+方案参数!$CD$22+Q709*方案参数!$W$22+Y709*(方案参数!$AN$22+MIN(方案参数!$AO$22,P709*0.03))+AB709*方案参数!$BZ$22*0.025-配置与结果!$B$28)</f>
        <v>2.3250000000000002</v>
      </c>
      <c r="AH709" s="1">
        <f>MAX(0,1+INDEX(配置与结果!$H$15:$H$18,F709)+W709*方案参数!$AG$22+O709*方案参数!$BF$22+IF(O709&gt;=6,方案参数!$BI$22,0))</f>
        <v>2.6</v>
      </c>
      <c r="AI709" s="1">
        <f>IF(OR(INDEX(配置与结果!$K$15:$K$18,F709)=1,G709="RHI_BERRY"),1+配置与结果!$B$33+P709*方案参数!$AH$22,1)</f>
        <v>1</v>
      </c>
      <c r="AJ709" s="1">
        <f>MIN(1,MAX(0,J709+方案参数!$AB$22-配置与结果!$B$27))</f>
        <v>1</v>
      </c>
      <c r="AK709" s="1">
        <f>MAX(1,K709+IF(F709=2,0.15+方案参数!$CH$22,0)+BN709*方案参数!$X$22+R709*方案参数!$AA$22+IF(O709&gt;=6,方案参数!$BJ$22,0)-配置与结果!$B$26+Z709*(方案参数!$AP$22+MIN(方案参数!$AQ$22,P709*0.03)))</f>
        <v>3.2550000000000003</v>
      </c>
      <c r="AL709" s="7">
        <f>ROUNDDOWN(MAX(AD709*配置与结果!$B$31,AD709-AE709)*AF709*AG709*AH709*AI709,0)</f>
        <v>359943</v>
      </c>
      <c r="AM709" s="7">
        <f>ROUNDDOWN(MAX(AD709*配置与结果!$B$31,AD709-AE709)*AF709*AG709*AH709*AI709*AK709,0)</f>
        <v>1171616</v>
      </c>
      <c r="AN709" s="7">
        <f t="shared" si="912"/>
        <v>1171616</v>
      </c>
      <c r="AO709" s="7">
        <f>0</f>
        <v>0</v>
      </c>
      <c r="AP709" s="7">
        <f>MAX(0,1+INDEX(配置与结果!$J$15:$J$18,F709)+IF(T709&gt;0,方案参数!$BY$22,0)-配置与结果!$B$30)</f>
        <v>2</v>
      </c>
      <c r="AQ709" s="7">
        <f t="shared" si="913"/>
        <v>0</v>
      </c>
      <c r="AR709" s="7">
        <f t="shared" si="914"/>
        <v>0</v>
      </c>
      <c r="AS709" s="7">
        <f t="shared" si="915"/>
        <v>0</v>
      </c>
      <c r="AT709" s="7">
        <f>0</f>
        <v>0</v>
      </c>
      <c r="AU709" s="7">
        <f t="shared" si="916"/>
        <v>1171616</v>
      </c>
      <c r="AV709" s="1">
        <f t="shared" si="917"/>
        <v>2</v>
      </c>
      <c r="AW709" s="1">
        <f t="shared" si="993"/>
        <v>10</v>
      </c>
      <c r="AX709" s="1">
        <f t="shared" si="918"/>
        <v>2</v>
      </c>
      <c r="AY709" s="1">
        <f>MIN(20,MAX(0,O709+0+0-IF(O709&gt;=6,6,0)))</f>
        <v>0</v>
      </c>
      <c r="AZ709" s="1">
        <f t="shared" si="919"/>
        <v>10</v>
      </c>
      <c r="BA709" s="1">
        <f t="shared" si="1001"/>
        <v>5</v>
      </c>
      <c r="BB709" s="1">
        <f>MIN(30,R709+5)</f>
        <v>20</v>
      </c>
      <c r="BC709" s="1">
        <f t="shared" si="1007"/>
        <v>3</v>
      </c>
      <c r="BD709" s="1">
        <f t="shared" si="988"/>
        <v>1</v>
      </c>
      <c r="BE709" s="1">
        <f t="shared" si="981"/>
        <v>0</v>
      </c>
      <c r="BF709" s="1">
        <f>MIN(4,V709+0)</f>
        <v>3</v>
      </c>
      <c r="BG709" s="1">
        <f t="shared" si="998"/>
        <v>1</v>
      </c>
      <c r="BH709" s="1">
        <f t="shared" si="982"/>
        <v>1</v>
      </c>
      <c r="BI709" s="1">
        <f t="shared" si="999"/>
        <v>1</v>
      </c>
      <c r="BJ709" s="1">
        <f t="shared" si="1002"/>
        <v>1</v>
      </c>
      <c r="BK709" s="1">
        <f t="shared" si="1003"/>
        <v>1</v>
      </c>
      <c r="BL709" s="1">
        <f t="shared" ref="BL709:BL743" si="1008">MAX(AB709,0)</f>
        <v>1</v>
      </c>
      <c r="BM709" s="1">
        <f t="shared" si="1006"/>
        <v>1</v>
      </c>
      <c r="BN709" s="1">
        <f t="shared" si="983"/>
        <v>1</v>
      </c>
      <c r="BO709" s="1">
        <f t="shared" si="984"/>
        <v>1</v>
      </c>
    </row>
    <row r="710" spans="1:67" ht="30.95" customHeight="1">
      <c r="A710" s="1">
        <f>19</f>
        <v>19</v>
      </c>
      <c r="B710" s="1">
        <f>固定流程!A26</f>
        <v>21</v>
      </c>
      <c r="C710" s="1">
        <f>22</f>
        <v>22</v>
      </c>
      <c r="D710" s="1">
        <f>1</f>
        <v>1</v>
      </c>
      <c r="E710" s="1">
        <f>固定流程!C26</f>
        <v>3</v>
      </c>
      <c r="F710" s="1">
        <f>固定流程!G26</f>
        <v>1</v>
      </c>
      <c r="G710" s="1" t="str">
        <f>固定流程!H26</f>
        <v>LILYA_DIVE</v>
      </c>
      <c r="H710" s="1">
        <f>固定流程!F26</f>
        <v>3</v>
      </c>
      <c r="I710" s="1">
        <f>INDEX(配置与结果!$B$15:$B$18,F710)</f>
        <v>2296</v>
      </c>
      <c r="J710" s="1">
        <f>INDEX(配置与结果!$D$15:$D$18,F710)</f>
        <v>0.7</v>
      </c>
      <c r="K710" s="1">
        <f>INDEX(配置与结果!$E$15:$E$18,F710)</f>
        <v>2.0249999999999999</v>
      </c>
      <c r="L710" s="1">
        <f t="shared" si="995"/>
        <v>2</v>
      </c>
      <c r="M710" s="1">
        <f t="shared" si="996"/>
        <v>10</v>
      </c>
      <c r="N710" s="1">
        <f t="shared" si="997"/>
        <v>2</v>
      </c>
      <c r="O710" s="1">
        <f t="shared" si="989"/>
        <v>0</v>
      </c>
      <c r="P710" s="1">
        <f>MIN(方案参数!$AI$22,AZ709+0+0)</f>
        <v>10</v>
      </c>
      <c r="Q710" s="1">
        <f t="shared" si="967"/>
        <v>5</v>
      </c>
      <c r="R710" s="1">
        <f t="shared" si="968"/>
        <v>20</v>
      </c>
      <c r="S710" s="1">
        <f t="shared" si="969"/>
        <v>3</v>
      </c>
      <c r="T710" s="1">
        <f t="shared" si="1004"/>
        <v>1</v>
      </c>
      <c r="U710" s="1">
        <f t="shared" si="971"/>
        <v>0</v>
      </c>
      <c r="V710" s="1">
        <f t="shared" si="972"/>
        <v>3</v>
      </c>
      <c r="W710" s="1">
        <f t="shared" si="973"/>
        <v>1</v>
      </c>
      <c r="X710" s="1">
        <f t="shared" si="974"/>
        <v>1</v>
      </c>
      <c r="Y710" s="1">
        <f t="shared" si="975"/>
        <v>1</v>
      </c>
      <c r="Z710" s="1">
        <f t="shared" si="976"/>
        <v>1</v>
      </c>
      <c r="AA710" s="1">
        <f t="shared" si="1000"/>
        <v>1</v>
      </c>
      <c r="AB710" s="1">
        <f t="shared" si="978"/>
        <v>1</v>
      </c>
      <c r="AC710" s="1">
        <f t="shared" si="1005"/>
        <v>1</v>
      </c>
      <c r="AD710" s="1">
        <f>ROUNDDOWN(I710*(1+IF(F710=3,0.05+方案参数!$Y$22+AA710*0.12,IF(F710=4,方案参数!$BZ$22*方案参数!$AS$22,0)))+IF(AND(X710=1,F710&lt;&gt;3),方案参数!$CC$22,0)+AC710*方案参数!$CB$22,0)</f>
        <v>3094</v>
      </c>
      <c r="AE710" s="1">
        <f>IF(OR(F710=1,F710=4),配置与结果!$B$24,配置与结果!$B$25)*MAX(0,1-INDEX(配置与结果!$I$15:$I$18,F710))</f>
        <v>1200</v>
      </c>
      <c r="AF710" s="1">
        <f>(IF(L710=1,方案参数!$AW$22,IF(L710=2,方案参数!$AX$22,0))+方案参数!$AV$22)*H710</f>
        <v>30</v>
      </c>
      <c r="AG710" s="1">
        <f>MAX(配置与结果!$B$32,1+INDEX(配置与结果!$F$15:$F$18,F710)+0.08+方案参数!$CD$22+Q710*方案参数!$W$22+Y710*(方案参数!$AN$22+MIN(方案参数!$AO$22,P710*0.03))+AB710*方案参数!$BZ$22*0.025+IF(L710=1,方案参数!$AY$22+(H710-1)*0.1,IF(L710=2,方案参数!$AZ$22+(H710-1)*0.2,0))-配置与结果!$B$28)</f>
        <v>2.9250000000000003</v>
      </c>
      <c r="AH710" s="1">
        <f>MAX(0,1+INDEX(配置与结果!$G$15:$G$18,F710)+W710*方案参数!$AG$22+IF(L710=1,方案参数!$BA$22,IF(L710=2,方案参数!$BB$22,0))+M710*方案参数!$BC$22)</f>
        <v>3.25</v>
      </c>
      <c r="AI710" s="1">
        <f>IF(OR(INDEX(配置与结果!$K$15:$K$18,F710)=1,G710="RHI_BERRY"),1+配置与结果!$B$33+P710*方案参数!$AH$22,1)</f>
        <v>1</v>
      </c>
      <c r="AJ710" s="1">
        <f>MIN(1,MAX(0,J710+方案参数!$AB$22-配置与结果!$B$27))</f>
        <v>1</v>
      </c>
      <c r="AK710" s="1">
        <f>MAX(1,K710+IF(F710=2,0.15+方案参数!$CH$22,0)+BN710*方案参数!$X$22+R710*方案参数!$AA$22+0-配置与结果!$B$26+Z710*(方案参数!$AP$22+MIN(方案参数!$AQ$22,P710*0.03)))</f>
        <v>2.2750000000000004</v>
      </c>
      <c r="AL710" s="7">
        <f>ROUNDDOWN(MAX(AD710*配置与结果!$B$31,AD710-AE710)*AF710*AG710*AH710*AI710,0)</f>
        <v>540145</v>
      </c>
      <c r="AM710" s="7">
        <f>ROUNDDOWN(MAX(AD710*配置与结果!$B$31,AD710-AE710)*AF710*AG710*AH710*AI710*AK710,0)</f>
        <v>1228830</v>
      </c>
      <c r="AN710" s="7">
        <f t="shared" ref="AN710:AN773" si="1009">AL710*(1-AJ710)+AM710*AJ710</f>
        <v>1228830</v>
      </c>
      <c r="AO710" s="7">
        <f>0</f>
        <v>0</v>
      </c>
      <c r="AP710" s="7">
        <f>MAX(0,1+INDEX(配置与结果!$J$15:$J$18,F710)+IF(T710&gt;0,方案参数!$BY$22,0)-配置与结果!$B$30)</f>
        <v>2</v>
      </c>
      <c r="AQ710" s="7">
        <f t="shared" ref="AQ710:AQ773" si="1010">ROUNDDOWN(ROUNDDOWN(AD710*AO710,0)*AP710,0)</f>
        <v>0</v>
      </c>
      <c r="AR710" s="7">
        <f t="shared" ref="AR710:AR773" si="1011">ROUNDDOWN(ROUNDDOWN(AD710*AO710,0)*AP710*AK710,0)</f>
        <v>0</v>
      </c>
      <c r="AS710" s="7">
        <f t="shared" ref="AS710:AS773" si="1012">AQ710*(1-AJ710)+AR710*AJ710</f>
        <v>0</v>
      </c>
      <c r="AT710" s="7">
        <f>0</f>
        <v>0</v>
      </c>
      <c r="AU710" s="7">
        <f t="shared" ref="AU710:AU773" si="1013">AN710+AS710+AT710</f>
        <v>1228830</v>
      </c>
      <c r="AV710" s="1">
        <f t="shared" ref="AV710:AV773" si="1014">IF(G710="LILYA_COBRA",IF(L710=0,1,L710),L710)</f>
        <v>2</v>
      </c>
      <c r="AW710" s="1">
        <f>MIN(10,M710+0+IF(L710=1,方案参数!$BE$22,0))</f>
        <v>10</v>
      </c>
      <c r="AX710" s="1">
        <f t="shared" ref="AX710:AX773" si="1015">N710</f>
        <v>2</v>
      </c>
      <c r="AY710" s="1">
        <f>MIN(20,MAX(0,O710+0+0-0))</f>
        <v>0</v>
      </c>
      <c r="AZ710" s="1">
        <f t="shared" ref="AZ710:AZ773" si="1016">P710</f>
        <v>10</v>
      </c>
      <c r="BA710" s="1">
        <f t="shared" si="1001"/>
        <v>5</v>
      </c>
      <c r="BB710" s="1">
        <f t="shared" ref="BB710:BB725" si="1017">MIN(30,R710+0)</f>
        <v>20</v>
      </c>
      <c r="BC710" s="1">
        <f t="shared" si="1007"/>
        <v>3</v>
      </c>
      <c r="BD710" s="1">
        <f t="shared" si="988"/>
        <v>1</v>
      </c>
      <c r="BE710" s="1">
        <f t="shared" si="981"/>
        <v>0</v>
      </c>
      <c r="BF710" s="1">
        <f>MIN(4,V710+0)</f>
        <v>3</v>
      </c>
      <c r="BG710" s="1">
        <f t="shared" si="998"/>
        <v>1</v>
      </c>
      <c r="BH710" s="1">
        <f t="shared" si="982"/>
        <v>1</v>
      </c>
      <c r="BI710" s="1">
        <f t="shared" si="999"/>
        <v>1</v>
      </c>
      <c r="BJ710" s="1">
        <f t="shared" si="1002"/>
        <v>1</v>
      </c>
      <c r="BK710" s="1">
        <f t="shared" si="1003"/>
        <v>1</v>
      </c>
      <c r="BL710" s="1">
        <f t="shared" si="1008"/>
        <v>1</v>
      </c>
      <c r="BM710" s="1">
        <f t="shared" si="1006"/>
        <v>1</v>
      </c>
      <c r="BN710" s="1">
        <f t="shared" si="983"/>
        <v>1</v>
      </c>
      <c r="BO710" s="1">
        <f t="shared" si="984"/>
        <v>1</v>
      </c>
    </row>
    <row r="711" spans="1:67" ht="30.95" customHeight="1">
      <c r="A711" s="1">
        <f>19</f>
        <v>19</v>
      </c>
      <c r="B711" s="1">
        <f>固定流程!A27</f>
        <v>22</v>
      </c>
      <c r="C711" s="1">
        <f>22</f>
        <v>22</v>
      </c>
      <c r="D711" s="1">
        <f>1</f>
        <v>1</v>
      </c>
      <c r="E711" s="1">
        <f>固定流程!C27</f>
        <v>3</v>
      </c>
      <c r="F711" s="1">
        <f>固定流程!G27</f>
        <v>3</v>
      </c>
      <c r="G711" s="1" t="str">
        <f>固定流程!H27</f>
        <v>RHI_BERRY</v>
      </c>
      <c r="H711" s="1">
        <f>固定流程!F27</f>
        <v>1</v>
      </c>
      <c r="I711" s="1">
        <f>INDEX(配置与结果!$B$15:$B$18,F711)</f>
        <v>2597</v>
      </c>
      <c r="J711" s="1">
        <f>INDEX(配置与结果!$D$15:$D$18,F711)</f>
        <v>0.255</v>
      </c>
      <c r="K711" s="1">
        <f>INDEX(配置与结果!$E$15:$E$18,F711)</f>
        <v>1.55</v>
      </c>
      <c r="L711" s="1">
        <f t="shared" si="995"/>
        <v>2</v>
      </c>
      <c r="M711" s="1">
        <f t="shared" si="996"/>
        <v>10</v>
      </c>
      <c r="N711" s="1">
        <f t="shared" si="997"/>
        <v>2</v>
      </c>
      <c r="O711" s="1">
        <f t="shared" si="989"/>
        <v>0</v>
      </c>
      <c r="P711" s="1">
        <f>MIN(方案参数!$AI$22,AZ710+0+0)</f>
        <v>10</v>
      </c>
      <c r="Q711" s="1">
        <f t="shared" si="967"/>
        <v>5</v>
      </c>
      <c r="R711" s="1">
        <f t="shared" si="968"/>
        <v>20</v>
      </c>
      <c r="S711" s="1">
        <f t="shared" si="969"/>
        <v>3</v>
      </c>
      <c r="T711" s="1">
        <f t="shared" si="1004"/>
        <v>1</v>
      </c>
      <c r="U711" s="1">
        <f t="shared" si="971"/>
        <v>0</v>
      </c>
      <c r="V711" s="1">
        <f t="shared" si="972"/>
        <v>3</v>
      </c>
      <c r="W711" s="1">
        <f t="shared" si="973"/>
        <v>1</v>
      </c>
      <c r="X711" s="1">
        <f t="shared" si="974"/>
        <v>1</v>
      </c>
      <c r="Y711" s="1">
        <f t="shared" si="975"/>
        <v>1</v>
      </c>
      <c r="Z711" s="1">
        <f t="shared" si="976"/>
        <v>1</v>
      </c>
      <c r="AA711" s="1">
        <f t="shared" si="1000"/>
        <v>1</v>
      </c>
      <c r="AB711" s="1">
        <f t="shared" si="978"/>
        <v>1</v>
      </c>
      <c r="AC711" s="1">
        <f t="shared" si="1005"/>
        <v>1</v>
      </c>
      <c r="AD711" s="1">
        <f>ROUNDDOWN(I711*(1+IF(F711=3,0.05+方案参数!$Y$22+AA711*0.12,IF(F711=4,方案参数!$BZ$22*方案参数!$AS$22,0)))+IF(AND(X711=1,F711&lt;&gt;3),方案参数!$CC$22,0)+AC711*方案参数!$CB$22,0)</f>
        <v>3798</v>
      </c>
      <c r="AE711" s="1">
        <f>IF(OR(F711=1,F711=4),配置与结果!$B$24,配置与结果!$B$25)*MAX(0,1-INDEX(配置与结果!$I$15:$I$18,F711))</f>
        <v>1000</v>
      </c>
      <c r="AF711" s="1">
        <f>方案参数!$CF$22+P711*方案参数!$CG$22</f>
        <v>100</v>
      </c>
      <c r="AG711" s="1">
        <f>MAX(配置与结果!$B$32,1+INDEX(配置与结果!$F$15:$F$18,F711)+0+Q711*方案参数!$W$22+Y711*(方案参数!$AN$22+MIN(方案参数!$AO$22,P711*0.03))+AB711*方案参数!$BZ$22*0.025-配置与结果!$B$28)</f>
        <v>2.02</v>
      </c>
      <c r="AH711" s="1">
        <f>MAX(0,1+INDEX(配置与结果!$G$15:$G$18,F711)+W711*方案参数!$AG$22)</f>
        <v>1.45</v>
      </c>
      <c r="AI711" s="1">
        <f>IF(OR(INDEX(配置与结果!$K$15:$K$18,F711)=1,G711="RHI_BERRY"),1+配置与结果!$B$33+P711*方案参数!$AH$22,1)</f>
        <v>1.8</v>
      </c>
      <c r="AJ711" s="1">
        <f>MIN(1,MAX(0,J711+方案参数!$AB$22-配置与结果!$B$27))</f>
        <v>0.55499999999999994</v>
      </c>
      <c r="AK711" s="1">
        <f>MAX(1,K711+IF(F711=2,0.15+方案参数!$CH$22,0)+BN711*方案参数!$X$22+R711*方案参数!$AA$22+0-配置与结果!$B$26+Z711*(方案参数!$AP$22+MIN(方案参数!$AQ$22,P711*0.03)))</f>
        <v>1.8000000000000003</v>
      </c>
      <c r="AL711" s="7">
        <f>ROUNDDOWN(MAX(AD711*配置与结果!$B$31,AD711-AE711)*AF711*AG711*AH711*AI711,0)</f>
        <v>1475161</v>
      </c>
      <c r="AM711" s="7">
        <f>ROUNDDOWN(MAX(AD711*配置与结果!$B$31,AD711-AE711)*AF711*AG711*AH711*AI711*AK711,0)</f>
        <v>2655290</v>
      </c>
      <c r="AN711" s="7">
        <f t="shared" si="1009"/>
        <v>2130132.5949999997</v>
      </c>
      <c r="AO711" s="7">
        <f>0</f>
        <v>0</v>
      </c>
      <c r="AP711" s="7">
        <f>MAX(0,1+INDEX(配置与结果!$J$15:$J$18,F711)+IF(T711&gt;0,方案参数!$BY$22,0)-配置与结果!$B$30)</f>
        <v>2</v>
      </c>
      <c r="AQ711" s="7">
        <f t="shared" si="1010"/>
        <v>0</v>
      </c>
      <c r="AR711" s="7">
        <f t="shared" si="1011"/>
        <v>0</v>
      </c>
      <c r="AS711" s="7">
        <f t="shared" si="1012"/>
        <v>0</v>
      </c>
      <c r="AT711" s="7">
        <f>0</f>
        <v>0</v>
      </c>
      <c r="AU711" s="7">
        <f t="shared" si="1013"/>
        <v>2130132.5949999997</v>
      </c>
      <c r="AV711" s="1">
        <f t="shared" si="1014"/>
        <v>2</v>
      </c>
      <c r="AW711" s="1">
        <f t="shared" ref="AW711:AW727" si="1018">MIN(10,M711+0+0)</f>
        <v>10</v>
      </c>
      <c r="AX711" s="1">
        <f t="shared" si="1015"/>
        <v>2</v>
      </c>
      <c r="AY711" s="1">
        <f>MIN(20,MAX(0,O711+0+0-0))</f>
        <v>0</v>
      </c>
      <c r="AZ711" s="1">
        <f t="shared" si="1016"/>
        <v>10</v>
      </c>
      <c r="BA711" s="1">
        <f t="shared" si="1001"/>
        <v>5</v>
      </c>
      <c r="BB711" s="1">
        <f t="shared" si="1017"/>
        <v>20</v>
      </c>
      <c r="BC711" s="1">
        <f t="shared" si="1007"/>
        <v>3</v>
      </c>
      <c r="BD711" s="1">
        <f t="shared" si="988"/>
        <v>1</v>
      </c>
      <c r="BE711" s="1">
        <f t="shared" si="981"/>
        <v>0</v>
      </c>
      <c r="BF711" s="1">
        <f>MIN(4,V711+0)</f>
        <v>3</v>
      </c>
      <c r="BG711" s="1">
        <f t="shared" si="998"/>
        <v>1</v>
      </c>
      <c r="BH711" s="1">
        <f t="shared" si="982"/>
        <v>1</v>
      </c>
      <c r="BI711" s="1">
        <f t="shared" si="999"/>
        <v>1</v>
      </c>
      <c r="BJ711" s="1">
        <f t="shared" si="1002"/>
        <v>1</v>
      </c>
      <c r="BK711" s="1">
        <f t="shared" si="1003"/>
        <v>1</v>
      </c>
      <c r="BL711" s="1">
        <f t="shared" si="1008"/>
        <v>1</v>
      </c>
      <c r="BM711" s="1">
        <f t="shared" si="1006"/>
        <v>1</v>
      </c>
      <c r="BN711" s="1">
        <f t="shared" si="983"/>
        <v>1</v>
      </c>
      <c r="BO711" s="1">
        <f t="shared" si="984"/>
        <v>1</v>
      </c>
    </row>
    <row r="712" spans="1:67" ht="30.95" customHeight="1">
      <c r="A712" s="1">
        <f>19</f>
        <v>19</v>
      </c>
      <c r="B712" s="1">
        <f>固定流程!A28</f>
        <v>23</v>
      </c>
      <c r="C712" s="1">
        <f>22</f>
        <v>22</v>
      </c>
      <c r="D712" s="1">
        <f>1</f>
        <v>1</v>
      </c>
      <c r="E712" s="1">
        <f>固定流程!C28</f>
        <v>3</v>
      </c>
      <c r="F712" s="1">
        <f>固定流程!G28</f>
        <v>2</v>
      </c>
      <c r="G712" s="1" t="str">
        <f>固定流程!H28</f>
        <v>37_FOLLOW</v>
      </c>
      <c r="H712" s="1">
        <f>固定流程!F28</f>
        <v>1</v>
      </c>
      <c r="I712" s="1">
        <f>INDEX(配置与结果!$B$15:$B$18,F712)</f>
        <v>2306</v>
      </c>
      <c r="J712" s="1">
        <f>INDEX(配置与结果!$D$15:$D$18,F712)</f>
        <v>0.46</v>
      </c>
      <c r="K712" s="1">
        <f>INDEX(配置与结果!$E$15:$E$18,F712)</f>
        <v>1.9279999999999999</v>
      </c>
      <c r="L712" s="1">
        <f t="shared" si="995"/>
        <v>2</v>
      </c>
      <c r="M712" s="1">
        <f t="shared" si="996"/>
        <v>10</v>
      </c>
      <c r="N712" s="1">
        <f t="shared" si="997"/>
        <v>2</v>
      </c>
      <c r="O712" s="1">
        <f t="shared" si="989"/>
        <v>0</v>
      </c>
      <c r="P712" s="1">
        <f>MIN(方案参数!$AI$22,AZ711+0+0)</f>
        <v>10</v>
      </c>
      <c r="Q712" s="1">
        <f t="shared" si="967"/>
        <v>5</v>
      </c>
      <c r="R712" s="1">
        <f t="shared" si="968"/>
        <v>20</v>
      </c>
      <c r="S712" s="1">
        <f t="shared" si="969"/>
        <v>3</v>
      </c>
      <c r="T712" s="1">
        <f t="shared" si="1004"/>
        <v>1</v>
      </c>
      <c r="U712" s="1">
        <f t="shared" si="971"/>
        <v>0</v>
      </c>
      <c r="V712" s="1">
        <f t="shared" si="972"/>
        <v>3</v>
      </c>
      <c r="W712" s="1">
        <f t="shared" si="973"/>
        <v>1</v>
      </c>
      <c r="X712" s="1">
        <f t="shared" si="974"/>
        <v>1</v>
      </c>
      <c r="Y712" s="1">
        <f t="shared" si="975"/>
        <v>1</v>
      </c>
      <c r="Z712" s="1">
        <f t="shared" si="976"/>
        <v>1</v>
      </c>
      <c r="AA712" s="1">
        <f t="shared" si="1000"/>
        <v>1</v>
      </c>
      <c r="AB712" s="1">
        <f t="shared" si="978"/>
        <v>1</v>
      </c>
      <c r="AC712" s="1">
        <f t="shared" si="1005"/>
        <v>1</v>
      </c>
      <c r="AD712" s="1">
        <f>ROUNDDOWN(I712*(1+IF(F712=3,0.05+方案参数!$Y$22+AA712*0.12,IF(F712=4,方案参数!$BZ$22*方案参数!$AS$22,0)))+IF(AND(X712=1,F712&lt;&gt;3),方案参数!$CC$22,0)+AC712*方案参数!$CB$22,0)</f>
        <v>3104</v>
      </c>
      <c r="AE712" s="1">
        <f>IF(OR(F712=1,F712=4),配置与结果!$B$24,配置与结果!$B$25)*MAX(0,1-INDEX(配置与结果!$I$15:$I$18,F712))</f>
        <v>1000</v>
      </c>
      <c r="AF712" s="1">
        <f>方案参数!$BV$22</f>
        <v>3</v>
      </c>
      <c r="AG712" s="1">
        <f>MAX(配置与结果!$B$32,1+INDEX(配置与结果!$F$15:$F$18,F712)+0+Q712*方案参数!$W$22+Y712*(方案参数!$AN$22+MIN(方案参数!$AO$22,P712*0.03))+AB712*方案参数!$BZ$22*0.025-配置与结果!$B$28)</f>
        <v>1.9900000000000002</v>
      </c>
      <c r="AH712" s="1">
        <f>MAX(0,1+INDEX(配置与结果!$G$15:$G$18,F712)+W712*方案参数!$AG$22)</f>
        <v>1.45</v>
      </c>
      <c r="AI712" s="1">
        <f>IF(OR(INDEX(配置与结果!$K$15:$K$18,F712)=1,G712="RHI_BERRY"),1+配置与结果!$B$33+P712*方案参数!$AH$22,1)</f>
        <v>1</v>
      </c>
      <c r="AJ712" s="1">
        <f>MIN(1,MAX(0,J712+方案参数!$AB$22-配置与结果!$B$27))</f>
        <v>0.76</v>
      </c>
      <c r="AK712" s="1">
        <f>MAX(1,K712+IF(F712=2,0.15+方案参数!$CH$22,0)+BN712*方案参数!$X$22+R712*方案参数!$AA$22+0-配置与结果!$B$26+Z712*(方案参数!$AP$22+MIN(方案参数!$AQ$22,P712*0.03)))</f>
        <v>2.4480000000000004</v>
      </c>
      <c r="AL712" s="7">
        <f>ROUNDDOWN(MAX(AD712*配置与结果!$B$31,AD712-AE712)*AF712*AG712*AH712*AI712,0)</f>
        <v>18213</v>
      </c>
      <c r="AM712" s="7">
        <f>ROUNDDOWN(MAX(AD712*配置与结果!$B$31,AD712-AE712)*AF712*AG712*AH712*AI712*AK712,0)</f>
        <v>44586</v>
      </c>
      <c r="AN712" s="7">
        <f t="shared" si="1009"/>
        <v>38256.480000000003</v>
      </c>
      <c r="AO712" s="7">
        <f>方案参数!$BW$22</f>
        <v>1</v>
      </c>
      <c r="AP712" s="7">
        <f>MAX(0,1+INDEX(配置与结果!$J$15:$J$18,F712)+IF(T712&gt;0,方案参数!$BY$22,0)-配置与结果!$B$30)</f>
        <v>2</v>
      </c>
      <c r="AQ712" s="7">
        <f t="shared" si="1010"/>
        <v>6208</v>
      </c>
      <c r="AR712" s="7">
        <f t="shared" si="1011"/>
        <v>15197</v>
      </c>
      <c r="AS712" s="7">
        <f t="shared" si="1012"/>
        <v>13039.64</v>
      </c>
      <c r="AT712" s="7">
        <f>0</f>
        <v>0</v>
      </c>
      <c r="AU712" s="7">
        <f t="shared" si="1013"/>
        <v>51296.12</v>
      </c>
      <c r="AV712" s="1">
        <f t="shared" si="1014"/>
        <v>2</v>
      </c>
      <c r="AW712" s="1">
        <f t="shared" si="1018"/>
        <v>10</v>
      </c>
      <c r="AX712" s="1">
        <f t="shared" si="1015"/>
        <v>2</v>
      </c>
      <c r="AY712" s="1">
        <f>MIN(20,MAX(0,O712+0+0-0))</f>
        <v>0</v>
      </c>
      <c r="AZ712" s="1">
        <f t="shared" si="1016"/>
        <v>10</v>
      </c>
      <c r="BA712" s="1">
        <f t="shared" si="1001"/>
        <v>5</v>
      </c>
      <c r="BB712" s="1">
        <f t="shared" si="1017"/>
        <v>20</v>
      </c>
      <c r="BC712" s="1">
        <f t="shared" si="1007"/>
        <v>3</v>
      </c>
      <c r="BD712" s="1">
        <f t="shared" si="988"/>
        <v>0</v>
      </c>
      <c r="BE712" s="1">
        <f t="shared" si="981"/>
        <v>0</v>
      </c>
      <c r="BF712" s="1">
        <f>MIN(4,V712+1)</f>
        <v>4</v>
      </c>
      <c r="BG712" s="1">
        <f t="shared" si="998"/>
        <v>1</v>
      </c>
      <c r="BH712" s="1">
        <f t="shared" si="982"/>
        <v>1</v>
      </c>
      <c r="BI712" s="1">
        <f t="shared" si="999"/>
        <v>1</v>
      </c>
      <c r="BJ712" s="1">
        <f t="shared" si="1002"/>
        <v>1</v>
      </c>
      <c r="BK712" s="1">
        <f t="shared" si="1003"/>
        <v>1</v>
      </c>
      <c r="BL712" s="1">
        <f t="shared" si="1008"/>
        <v>1</v>
      </c>
      <c r="BM712" s="1">
        <f t="shared" si="1006"/>
        <v>1</v>
      </c>
      <c r="BN712" s="1">
        <f t="shared" si="983"/>
        <v>1</v>
      </c>
      <c r="BO712" s="1">
        <f t="shared" si="984"/>
        <v>1</v>
      </c>
    </row>
    <row r="713" spans="1:67" ht="30.95" customHeight="1">
      <c r="A713" s="1">
        <f>19</f>
        <v>19</v>
      </c>
      <c r="B713" s="1">
        <f>固定流程!A29</f>
        <v>24</v>
      </c>
      <c r="C713" s="1">
        <f>22</f>
        <v>22</v>
      </c>
      <c r="D713" s="1">
        <f>2</f>
        <v>2</v>
      </c>
      <c r="E713" s="1">
        <f>固定流程!C29</f>
        <v>3</v>
      </c>
      <c r="F713" s="1">
        <f>固定流程!G29</f>
        <v>1</v>
      </c>
      <c r="G713" s="1" t="str">
        <f>固定流程!H29</f>
        <v>LILYA_WEAK</v>
      </c>
      <c r="H713" s="1">
        <f>固定流程!F29</f>
        <v>1</v>
      </c>
      <c r="I713" s="1">
        <f>INDEX(配置与结果!$B$15:$B$18,F713)</f>
        <v>2296</v>
      </c>
      <c r="J713" s="1">
        <f>INDEX(配置与结果!$D$15:$D$18,F713)</f>
        <v>0.7</v>
      </c>
      <c r="K713" s="1">
        <f>INDEX(配置与结果!$E$15:$E$18,F713)</f>
        <v>2.0249999999999999</v>
      </c>
      <c r="L713" s="1">
        <f t="shared" si="995"/>
        <v>2</v>
      </c>
      <c r="M713" s="1">
        <f t="shared" si="996"/>
        <v>10</v>
      </c>
      <c r="N713" s="1">
        <f t="shared" si="997"/>
        <v>2</v>
      </c>
      <c r="O713" s="1">
        <f t="shared" si="989"/>
        <v>0</v>
      </c>
      <c r="P713" s="1">
        <f>MIN(方案参数!$AI$22,AZ712+0+0)</f>
        <v>10</v>
      </c>
      <c r="Q713" s="1">
        <f t="shared" si="967"/>
        <v>5</v>
      </c>
      <c r="R713" s="1">
        <f t="shared" si="968"/>
        <v>20</v>
      </c>
      <c r="S713" s="1">
        <f t="shared" si="969"/>
        <v>3</v>
      </c>
      <c r="T713" s="1">
        <f t="shared" si="1004"/>
        <v>0</v>
      </c>
      <c r="U713" s="1">
        <f t="shared" si="971"/>
        <v>0</v>
      </c>
      <c r="V713" s="1">
        <f t="shared" si="972"/>
        <v>4</v>
      </c>
      <c r="W713" s="1">
        <f t="shared" si="973"/>
        <v>1</v>
      </c>
      <c r="X713" s="1">
        <f t="shared" si="974"/>
        <v>1</v>
      </c>
      <c r="Y713" s="1">
        <f t="shared" si="975"/>
        <v>1</v>
      </c>
      <c r="Z713" s="1">
        <f t="shared" si="976"/>
        <v>1</v>
      </c>
      <c r="AA713" s="1">
        <f t="shared" si="1000"/>
        <v>1</v>
      </c>
      <c r="AB713" s="1">
        <f t="shared" si="978"/>
        <v>1</v>
      </c>
      <c r="AC713" s="1">
        <f t="shared" si="1005"/>
        <v>1</v>
      </c>
      <c r="AD713" s="1">
        <f>ROUNDDOWN(I713*(1+IF(F713=3,0.05+方案参数!$Y$22+AA713*0.12,IF(F713=4,方案参数!$BZ$22*方案参数!$AS$22,0)))+IF(AND(X713=1,F713&lt;&gt;3),方案参数!$CC$22,0)+AC713*方案参数!$CB$22,0)</f>
        <v>3094</v>
      </c>
      <c r="AE713" s="1">
        <f>IF(OR(F713=1,F713=4),配置与结果!$B$24,配置与结果!$B$25)*MAX(0,1-INDEX(配置与结果!$I$15:$I$18,F713))</f>
        <v>1200</v>
      </c>
      <c r="AF713" s="1">
        <f>方案参数!$BL$22</f>
        <v>9</v>
      </c>
      <c r="AG713" s="1">
        <f>MAX(配置与结果!$B$32,1+INDEX(配置与结果!$F$15:$F$18,F713)+0.08+方案参数!$CD$22+Q713*方案参数!$W$22+Y713*(方案参数!$AN$22+MIN(方案参数!$AO$22,P713*0.03))+AB713*方案参数!$BZ$22*0.025-配置与结果!$B$28+方案参数!$AE$22)</f>
        <v>2.7250000000000001</v>
      </c>
      <c r="AH713" s="1">
        <f>MAX(0,1+V713*方案参数!$U$22+0*方案参数!$V$22+方案参数!$AE$22-配置与结果!$B$29)</f>
        <v>1.56</v>
      </c>
      <c r="AI713" s="1">
        <f>IF(OR(INDEX(配置与结果!$K$15:$K$18,F713)=1,G713="RHI_BERRY"),1+配置与结果!$B$33+P713*方案参数!$AH$22,1)</f>
        <v>1</v>
      </c>
      <c r="AJ713" s="1">
        <f>MIN(1,MAX(0,J713+方案参数!$AB$22-配置与结果!$B$27))</f>
        <v>1</v>
      </c>
      <c r="AK713" s="1">
        <f>MAX(1,K713+IF(F713=2,0.15+方案参数!$CH$22,0)+BN713*方案参数!$X$22+R713*方案参数!$AA$22+方案参数!$BP$22-配置与结果!$B$26+Z713*(方案参数!$AP$22+MIN(方案参数!$AQ$22,P713*0.03)))</f>
        <v>2.8750000000000004</v>
      </c>
      <c r="AL713" s="7">
        <f>ROUNDDOWN(MAX(AD713*配置与结果!$B$31,AD713-AE713)*AF713*AG713*AH713*AI713,0)</f>
        <v>72462</v>
      </c>
      <c r="AM713" s="7">
        <f>ROUNDDOWN(MAX(AD713*配置与结果!$B$31,AD713-AE713)*AF713*AG713*AH713*AI713*AK713,0)</f>
        <v>208329</v>
      </c>
      <c r="AN713" s="7">
        <f t="shared" si="1009"/>
        <v>208329</v>
      </c>
      <c r="AO713" s="7">
        <f>0</f>
        <v>0</v>
      </c>
      <c r="AP713" s="7">
        <f>MAX(0,1+INDEX(配置与结果!$J$15:$J$18,F713)+IF(T713&gt;0,方案参数!$BY$22,0)-配置与结果!$B$30)</f>
        <v>1</v>
      </c>
      <c r="AQ713" s="7">
        <f t="shared" si="1010"/>
        <v>0</v>
      </c>
      <c r="AR713" s="7">
        <f t="shared" si="1011"/>
        <v>0</v>
      </c>
      <c r="AS713" s="7">
        <f t="shared" si="1012"/>
        <v>0</v>
      </c>
      <c r="AT713" s="7">
        <f>IF(U713&gt;0,ROUNDDOWN(AL713*方案参数!$AF$22,0)*(1-AJ713)+ROUNDDOWN(AM713*方案参数!$AF$22,0)*AJ713,0)</f>
        <v>0</v>
      </c>
      <c r="AU713" s="7">
        <f t="shared" si="1013"/>
        <v>208329</v>
      </c>
      <c r="AV713" s="1">
        <f t="shared" si="1014"/>
        <v>2</v>
      </c>
      <c r="AW713" s="1">
        <f t="shared" si="1018"/>
        <v>10</v>
      </c>
      <c r="AX713" s="1">
        <f t="shared" si="1015"/>
        <v>2</v>
      </c>
      <c r="AY713" s="1">
        <f>MIN(20,MAX(0,O713+0+1-0))</f>
        <v>1</v>
      </c>
      <c r="AZ713" s="1">
        <f t="shared" si="1016"/>
        <v>10</v>
      </c>
      <c r="BA713" s="1">
        <f t="shared" si="1001"/>
        <v>5</v>
      </c>
      <c r="BB713" s="1">
        <f t="shared" si="1017"/>
        <v>20</v>
      </c>
      <c r="BC713" s="1">
        <f t="shared" si="1007"/>
        <v>3</v>
      </c>
      <c r="BD713" s="1">
        <f t="shared" si="988"/>
        <v>0</v>
      </c>
      <c r="BE713" s="1">
        <f>MAX(0,U713-IF(AF713&gt;0,1,0))+0</f>
        <v>0</v>
      </c>
      <c r="BF713" s="1">
        <f t="shared" ref="BF713:BF730" si="1019">MIN(4,V713+0)</f>
        <v>4</v>
      </c>
      <c r="BG713" s="1">
        <f t="shared" si="998"/>
        <v>1</v>
      </c>
      <c r="BH713" s="1">
        <f t="shared" si="982"/>
        <v>1</v>
      </c>
      <c r="BI713" s="1">
        <f t="shared" si="999"/>
        <v>1</v>
      </c>
      <c r="BJ713" s="1">
        <f t="shared" si="1002"/>
        <v>1</v>
      </c>
      <c r="BK713" s="1">
        <f t="shared" si="1003"/>
        <v>1</v>
      </c>
      <c r="BL713" s="1">
        <f t="shared" si="1008"/>
        <v>1</v>
      </c>
      <c r="BM713" s="1">
        <f t="shared" si="1006"/>
        <v>1</v>
      </c>
      <c r="BN713" s="1">
        <f t="shared" si="983"/>
        <v>1</v>
      </c>
      <c r="BO713" s="1">
        <f t="shared" si="984"/>
        <v>1</v>
      </c>
    </row>
    <row r="714" spans="1:67" ht="30.95" customHeight="1">
      <c r="A714" s="1">
        <f>19</f>
        <v>19</v>
      </c>
      <c r="B714" s="1">
        <f>固定流程!A30</f>
        <v>25</v>
      </c>
      <c r="C714" s="1">
        <f>22</f>
        <v>22</v>
      </c>
      <c r="D714" s="1">
        <f>2</f>
        <v>2</v>
      </c>
      <c r="E714" s="1">
        <f>固定流程!C30</f>
        <v>3</v>
      </c>
      <c r="F714" s="1">
        <f>固定流程!G30</f>
        <v>1</v>
      </c>
      <c r="G714" s="1" t="str">
        <f>固定流程!H30</f>
        <v>LILYA_WEAK</v>
      </c>
      <c r="H714" s="1">
        <f>固定流程!F30</f>
        <v>1</v>
      </c>
      <c r="I714" s="1">
        <f>INDEX(配置与结果!$B$15:$B$18,F714)</f>
        <v>2296</v>
      </c>
      <c r="J714" s="1">
        <f>INDEX(配置与结果!$D$15:$D$18,F714)</f>
        <v>0.7</v>
      </c>
      <c r="K714" s="1">
        <f>INDEX(配置与结果!$E$15:$E$18,F714)</f>
        <v>2.0249999999999999</v>
      </c>
      <c r="L714" s="1">
        <f t="shared" si="995"/>
        <v>2</v>
      </c>
      <c r="M714" s="1">
        <f t="shared" si="996"/>
        <v>10</v>
      </c>
      <c r="N714" s="1">
        <f t="shared" si="997"/>
        <v>2</v>
      </c>
      <c r="O714" s="1">
        <f t="shared" si="989"/>
        <v>1</v>
      </c>
      <c r="P714" s="1">
        <f>MIN(方案参数!$AI$22,AZ713+0+0)</f>
        <v>10</v>
      </c>
      <c r="Q714" s="1">
        <f t="shared" si="967"/>
        <v>5</v>
      </c>
      <c r="R714" s="1">
        <f t="shared" si="968"/>
        <v>20</v>
      </c>
      <c r="S714" s="1">
        <f t="shared" si="969"/>
        <v>3</v>
      </c>
      <c r="T714" s="1">
        <f t="shared" si="1004"/>
        <v>0</v>
      </c>
      <c r="U714" s="1">
        <f t="shared" si="971"/>
        <v>0</v>
      </c>
      <c r="V714" s="1">
        <f t="shared" si="972"/>
        <v>4</v>
      </c>
      <c r="W714" s="1">
        <f t="shared" si="973"/>
        <v>1</v>
      </c>
      <c r="X714" s="1">
        <f t="shared" si="974"/>
        <v>1</v>
      </c>
      <c r="Y714" s="1">
        <f t="shared" si="975"/>
        <v>1</v>
      </c>
      <c r="Z714" s="1">
        <f t="shared" si="976"/>
        <v>1</v>
      </c>
      <c r="AA714" s="1">
        <f t="shared" si="1000"/>
        <v>1</v>
      </c>
      <c r="AB714" s="1">
        <f t="shared" si="978"/>
        <v>1</v>
      </c>
      <c r="AC714" s="1">
        <f t="shared" si="1005"/>
        <v>1</v>
      </c>
      <c r="AD714" s="1">
        <f>ROUNDDOWN(I714*(1+IF(F714=3,0.05+方案参数!$Y$22+AA714*0.12,IF(F714=4,方案参数!$BZ$22*方案参数!$AS$22,0)))+IF(AND(X714=1,F714&lt;&gt;3),方案参数!$CC$22,0)+AC714*方案参数!$CB$22,0)</f>
        <v>3094</v>
      </c>
      <c r="AE714" s="1">
        <f>IF(OR(F714=1,F714=4),配置与结果!$B$24,配置与结果!$B$25)*MAX(0,1-INDEX(配置与结果!$I$15:$I$18,F714))</f>
        <v>1200</v>
      </c>
      <c r="AF714" s="1">
        <f>方案参数!$BL$22</f>
        <v>9</v>
      </c>
      <c r="AG714" s="1">
        <f>MAX(配置与结果!$B$32,1+INDEX(配置与结果!$F$15:$F$18,F714)+0.08+方案参数!$CD$22+Q714*方案参数!$W$22+Y714*(方案参数!$AN$22+MIN(方案参数!$AO$22,P714*0.03))+AB714*方案参数!$BZ$22*0.025-配置与结果!$B$28+方案参数!$AE$22)</f>
        <v>2.7250000000000001</v>
      </c>
      <c r="AH714" s="1">
        <f>MAX(0,1+V714*方案参数!$U$22+1*方案参数!$V$22+方案参数!$AE$22-配置与结果!$B$29)</f>
        <v>1.62</v>
      </c>
      <c r="AI714" s="1">
        <f>IF(OR(INDEX(配置与结果!$K$15:$K$18,F714)=1,G714="RHI_BERRY"),1+配置与结果!$B$33+P714*方案参数!$AH$22,1)</f>
        <v>1</v>
      </c>
      <c r="AJ714" s="1">
        <f>MIN(1,MAX(0,J714+方案参数!$AB$22-配置与结果!$B$27))</f>
        <v>1</v>
      </c>
      <c r="AK714" s="1">
        <f>MAX(1,K714+IF(F714=2,0.15+方案参数!$CH$22,0)+BN714*方案参数!$X$22+R714*方案参数!$AA$22+方案参数!$BP$22-配置与结果!$B$26+Z714*(方案参数!$AP$22+MIN(方案参数!$AQ$22,P714*0.03)))</f>
        <v>2.8750000000000004</v>
      </c>
      <c r="AL714" s="7">
        <f>ROUNDDOWN(MAX(AD714*配置与结果!$B$31,AD714-AE714)*AF714*AG714*AH714*AI714,0)</f>
        <v>75249</v>
      </c>
      <c r="AM714" s="7">
        <f>ROUNDDOWN(MAX(AD714*配置与结果!$B$31,AD714-AE714)*AF714*AG714*AH714*AI714*AK714,0)</f>
        <v>216342</v>
      </c>
      <c r="AN714" s="7">
        <f t="shared" si="1009"/>
        <v>216342</v>
      </c>
      <c r="AO714" s="7">
        <f>0</f>
        <v>0</v>
      </c>
      <c r="AP714" s="7">
        <f>MAX(0,1+INDEX(配置与结果!$J$15:$J$18,F714)+IF(T714&gt;0,方案参数!$BY$22,0)-配置与结果!$B$30)</f>
        <v>1</v>
      </c>
      <c r="AQ714" s="7">
        <f t="shared" si="1010"/>
        <v>0</v>
      </c>
      <c r="AR714" s="7">
        <f t="shared" si="1011"/>
        <v>0</v>
      </c>
      <c r="AS714" s="7">
        <f t="shared" si="1012"/>
        <v>0</v>
      </c>
      <c r="AT714" s="7">
        <f>IF(U714&gt;0,ROUNDDOWN(AL714*方案参数!$AF$22,0)*(1-AJ714)+ROUNDDOWN(AM714*方案参数!$AF$22,0)*AJ714,0)</f>
        <v>0</v>
      </c>
      <c r="AU714" s="7">
        <f t="shared" si="1013"/>
        <v>216342</v>
      </c>
      <c r="AV714" s="1">
        <f t="shared" si="1014"/>
        <v>2</v>
      </c>
      <c r="AW714" s="1">
        <f t="shared" si="1018"/>
        <v>10</v>
      </c>
      <c r="AX714" s="1">
        <f t="shared" si="1015"/>
        <v>2</v>
      </c>
      <c r="AY714" s="1">
        <f>MIN(20,MAX(0,O714+0+1-0))</f>
        <v>2</v>
      </c>
      <c r="AZ714" s="1">
        <f t="shared" si="1016"/>
        <v>10</v>
      </c>
      <c r="BA714" s="1">
        <f t="shared" si="1001"/>
        <v>5</v>
      </c>
      <c r="BB714" s="1">
        <f t="shared" si="1017"/>
        <v>20</v>
      </c>
      <c r="BC714" s="1">
        <f t="shared" si="1007"/>
        <v>3</v>
      </c>
      <c r="BD714" s="1">
        <f t="shared" si="988"/>
        <v>0</v>
      </c>
      <c r="BE714" s="1">
        <f>MAX(0,U714-IF(AF714&gt;0,1,0))+0</f>
        <v>0</v>
      </c>
      <c r="BF714" s="1">
        <f t="shared" si="1019"/>
        <v>4</v>
      </c>
      <c r="BG714" s="1">
        <f t="shared" si="998"/>
        <v>1</v>
      </c>
      <c r="BH714" s="1">
        <f t="shared" si="982"/>
        <v>1</v>
      </c>
      <c r="BI714" s="1">
        <f t="shared" si="999"/>
        <v>1</v>
      </c>
      <c r="BJ714" s="1">
        <f t="shared" si="1002"/>
        <v>1</v>
      </c>
      <c r="BK714" s="1">
        <f t="shared" si="1003"/>
        <v>1</v>
      </c>
      <c r="BL714" s="1">
        <f t="shared" si="1008"/>
        <v>1</v>
      </c>
      <c r="BM714" s="1">
        <f t="shared" si="1006"/>
        <v>1</v>
      </c>
      <c r="BN714" s="1">
        <f t="shared" si="983"/>
        <v>1</v>
      </c>
      <c r="BO714" s="1">
        <f t="shared" si="984"/>
        <v>1</v>
      </c>
    </row>
    <row r="715" spans="1:67" ht="30.95" customHeight="1">
      <c r="A715" s="1">
        <f>19</f>
        <v>19</v>
      </c>
      <c r="B715" s="1">
        <f>固定流程!A31</f>
        <v>26</v>
      </c>
      <c r="C715" s="1">
        <f>22</f>
        <v>22</v>
      </c>
      <c r="D715" s="1">
        <f>2</f>
        <v>2</v>
      </c>
      <c r="E715" s="1">
        <f>固定流程!C31</f>
        <v>3</v>
      </c>
      <c r="F715" s="1">
        <f>固定流程!G31</f>
        <v>2</v>
      </c>
      <c r="G715" s="1" t="str">
        <f>固定流程!H31</f>
        <v>37_WEAK</v>
      </c>
      <c r="H715" s="1">
        <f>固定流程!F31</f>
        <v>1</v>
      </c>
      <c r="I715" s="1">
        <f>INDEX(配置与结果!$B$15:$B$18,F715)</f>
        <v>2306</v>
      </c>
      <c r="J715" s="1">
        <f>INDEX(配置与结果!$D$15:$D$18,F715)</f>
        <v>0.46</v>
      </c>
      <c r="K715" s="1">
        <f>INDEX(配置与结果!$E$15:$E$18,F715)</f>
        <v>1.9279999999999999</v>
      </c>
      <c r="L715" s="1">
        <f t="shared" si="995"/>
        <v>2</v>
      </c>
      <c r="M715" s="1">
        <f t="shared" si="996"/>
        <v>10</v>
      </c>
      <c r="N715" s="1">
        <f t="shared" si="997"/>
        <v>2</v>
      </c>
      <c r="O715" s="1">
        <f t="shared" si="989"/>
        <v>2</v>
      </c>
      <c r="P715" s="1">
        <f>MIN(方案参数!$AI$22,AZ714+0+0)</f>
        <v>10</v>
      </c>
      <c r="Q715" s="1">
        <f t="shared" si="967"/>
        <v>5</v>
      </c>
      <c r="R715" s="1">
        <f t="shared" si="968"/>
        <v>20</v>
      </c>
      <c r="S715" s="1">
        <f t="shared" si="969"/>
        <v>3</v>
      </c>
      <c r="T715" s="1">
        <f t="shared" si="1004"/>
        <v>0</v>
      </c>
      <c r="U715" s="1">
        <f t="shared" si="971"/>
        <v>0</v>
      </c>
      <c r="V715" s="1">
        <f t="shared" si="972"/>
        <v>4</v>
      </c>
      <c r="W715" s="1">
        <f t="shared" si="973"/>
        <v>1</v>
      </c>
      <c r="X715" s="1">
        <f t="shared" si="974"/>
        <v>1</v>
      </c>
      <c r="Y715" s="1">
        <f t="shared" si="975"/>
        <v>1</v>
      </c>
      <c r="Z715" s="1">
        <f t="shared" si="976"/>
        <v>1</v>
      </c>
      <c r="AA715" s="1">
        <f t="shared" si="1000"/>
        <v>1</v>
      </c>
      <c r="AB715" s="1">
        <f t="shared" si="978"/>
        <v>1</v>
      </c>
      <c r="AC715" s="1">
        <f t="shared" si="1005"/>
        <v>1</v>
      </c>
      <c r="AD715" s="1">
        <f>ROUNDDOWN(I715*(1+IF(F715=3,0.05+方案参数!$Y$22+AA715*0.12,IF(F715=4,方案参数!$BZ$22*方案参数!$AS$22,0)))+IF(AND(X715=1,F715&lt;&gt;3),方案参数!$CC$22,0)+AC715*方案参数!$CB$22,0)</f>
        <v>3104</v>
      </c>
      <c r="AE715" s="1">
        <f>IF(OR(F715=1,F715=4),配置与结果!$B$24,配置与结果!$B$25)*MAX(0,1-INDEX(配置与结果!$I$15:$I$18,F715))</f>
        <v>1000</v>
      </c>
      <c r="AF715" s="1">
        <f>方案参数!$CE$22</f>
        <v>8</v>
      </c>
      <c r="AG715" s="1">
        <f>MAX(配置与结果!$B$32,1+INDEX(配置与结果!$F$15:$F$18,F715)+0+Q715*方案参数!$W$22+Y715*(方案参数!$AN$22+MIN(方案参数!$AO$22,P715*0.03))+AB715*方案参数!$BZ$22*0.025-配置与结果!$B$28+方案参数!$AE$22)</f>
        <v>2.39</v>
      </c>
      <c r="AH715" s="1">
        <f>MAX(0,1+V715*方案参数!$U$22+方案参数!$AE$22-配置与结果!$B$29)</f>
        <v>1.56</v>
      </c>
      <c r="AI715" s="1">
        <f>IF(OR(INDEX(配置与结果!$K$15:$K$18,F715)=1,G715="RHI_BERRY"),1+配置与结果!$B$33+P715*方案参数!$AH$22,1)</f>
        <v>1</v>
      </c>
      <c r="AJ715" s="1">
        <f>MIN(1,MAX(0,J715+方案参数!$AB$22-配置与结果!$B$27))</f>
        <v>0.76</v>
      </c>
      <c r="AK715" s="1">
        <f>MAX(1,K715+IF(F715=2,0.15+方案参数!$CH$22,0)+BN715*方案参数!$X$22+R715*方案参数!$AA$22+0-配置与结果!$B$26+Z715*(方案参数!$AP$22+MIN(方案参数!$AQ$22,P715*0.03)))</f>
        <v>2.4480000000000004</v>
      </c>
      <c r="AL715" s="7">
        <f>ROUNDDOWN(MAX(AD715*配置与结果!$B$31,AD715-AE715)*AF715*AG715*AH715*AI715,0)</f>
        <v>62756</v>
      </c>
      <c r="AM715" s="7">
        <f>ROUNDDOWN(MAX(AD715*配置与结果!$B$31,AD715-AE715)*AF715*AG715*AH715*AI715*AK715,0)</f>
        <v>153627</v>
      </c>
      <c r="AN715" s="7">
        <f t="shared" si="1009"/>
        <v>131817.96</v>
      </c>
      <c r="AO715" s="7">
        <f>0</f>
        <v>0</v>
      </c>
      <c r="AP715" s="7">
        <f>MAX(0,1+INDEX(配置与结果!$J$15:$J$18,F715)+IF(T715&gt;0,方案参数!$BY$22,0)-配置与结果!$B$30)</f>
        <v>1</v>
      </c>
      <c r="AQ715" s="7">
        <f t="shared" si="1010"/>
        <v>0</v>
      </c>
      <c r="AR715" s="7">
        <f t="shared" si="1011"/>
        <v>0</v>
      </c>
      <c r="AS715" s="7">
        <f t="shared" si="1012"/>
        <v>0</v>
      </c>
      <c r="AT715" s="7">
        <f>IF(U715&gt;0,ROUNDDOWN(AL715*方案参数!$AF$22,0)*(1-AJ715)+ROUNDDOWN(AM715*方案参数!$AF$22,0)*AJ715,0)</f>
        <v>0</v>
      </c>
      <c r="AU715" s="7">
        <f t="shared" si="1013"/>
        <v>131817.96</v>
      </c>
      <c r="AV715" s="1">
        <f t="shared" si="1014"/>
        <v>2</v>
      </c>
      <c r="AW715" s="1">
        <f t="shared" si="1018"/>
        <v>10</v>
      </c>
      <c r="AX715" s="1">
        <f t="shared" si="1015"/>
        <v>2</v>
      </c>
      <c r="AY715" s="1">
        <f>MIN(20,MAX(0,O715+0+0-0))</f>
        <v>2</v>
      </c>
      <c r="AZ715" s="1">
        <f t="shared" si="1016"/>
        <v>10</v>
      </c>
      <c r="BA715" s="1">
        <f t="shared" si="1001"/>
        <v>5</v>
      </c>
      <c r="BB715" s="1">
        <f t="shared" si="1017"/>
        <v>20</v>
      </c>
      <c r="BC715" s="1">
        <f t="shared" si="1007"/>
        <v>3</v>
      </c>
      <c r="BD715" s="1">
        <f t="shared" si="988"/>
        <v>0</v>
      </c>
      <c r="BE715" s="1">
        <f>MAX(0,U715-IF(AF715&gt;0,1,0))+1</f>
        <v>1</v>
      </c>
      <c r="BF715" s="1">
        <f t="shared" si="1019"/>
        <v>4</v>
      </c>
      <c r="BG715" s="1">
        <f t="shared" si="998"/>
        <v>1</v>
      </c>
      <c r="BH715" s="1">
        <f t="shared" si="982"/>
        <v>1</v>
      </c>
      <c r="BI715" s="1">
        <f t="shared" si="999"/>
        <v>1</v>
      </c>
      <c r="BJ715" s="1">
        <f t="shared" si="1002"/>
        <v>1</v>
      </c>
      <c r="BK715" s="1">
        <f t="shared" si="1003"/>
        <v>1</v>
      </c>
      <c r="BL715" s="1">
        <f t="shared" si="1008"/>
        <v>1</v>
      </c>
      <c r="BM715" s="1">
        <f t="shared" si="1006"/>
        <v>1</v>
      </c>
      <c r="BN715" s="1">
        <f t="shared" si="983"/>
        <v>1</v>
      </c>
      <c r="BO715" s="1">
        <f t="shared" si="984"/>
        <v>1</v>
      </c>
    </row>
    <row r="716" spans="1:67" ht="30.95" customHeight="1">
      <c r="A716" s="1">
        <f>19</f>
        <v>19</v>
      </c>
      <c r="B716" s="1">
        <f>固定流程!A32</f>
        <v>27</v>
      </c>
      <c r="C716" s="1">
        <f>22</f>
        <v>22</v>
      </c>
      <c r="D716" s="1">
        <f>2</f>
        <v>2</v>
      </c>
      <c r="E716" s="1">
        <f>固定流程!C32</f>
        <v>3</v>
      </c>
      <c r="F716" s="1">
        <f>固定流程!G32</f>
        <v>1</v>
      </c>
      <c r="G716" s="1" t="str">
        <f>固定流程!H32</f>
        <v>LILYA_THIRD</v>
      </c>
      <c r="H716" s="1">
        <f>固定流程!F32</f>
        <v>1</v>
      </c>
      <c r="I716" s="1">
        <f>INDEX(配置与结果!$B$15:$B$18,F716)</f>
        <v>2296</v>
      </c>
      <c r="J716" s="1">
        <f>INDEX(配置与结果!$D$15:$D$18,F716)</f>
        <v>0.7</v>
      </c>
      <c r="K716" s="1">
        <f>INDEX(配置与结果!$E$15:$E$18,F716)</f>
        <v>2.0249999999999999</v>
      </c>
      <c r="L716" s="1">
        <f t="shared" si="995"/>
        <v>2</v>
      </c>
      <c r="M716" s="1">
        <f t="shared" si="996"/>
        <v>10</v>
      </c>
      <c r="N716" s="1">
        <f t="shared" si="997"/>
        <v>2</v>
      </c>
      <c r="O716" s="1">
        <f t="shared" si="989"/>
        <v>2</v>
      </c>
      <c r="P716" s="1">
        <f>MIN(方案参数!$AI$22,AZ715+0+0)</f>
        <v>10</v>
      </c>
      <c r="Q716" s="1">
        <f t="shared" si="967"/>
        <v>5</v>
      </c>
      <c r="R716" s="1">
        <f t="shared" si="968"/>
        <v>20</v>
      </c>
      <c r="S716" s="1">
        <f t="shared" si="969"/>
        <v>3</v>
      </c>
      <c r="T716" s="1">
        <f t="shared" si="1004"/>
        <v>0</v>
      </c>
      <c r="U716" s="1">
        <f t="shared" si="971"/>
        <v>1</v>
      </c>
      <c r="V716" s="1">
        <f t="shared" si="972"/>
        <v>4</v>
      </c>
      <c r="W716" s="1">
        <f t="shared" si="973"/>
        <v>1</v>
      </c>
      <c r="X716" s="1">
        <f t="shared" si="974"/>
        <v>1</v>
      </c>
      <c r="Y716" s="1">
        <f t="shared" si="975"/>
        <v>1</v>
      </c>
      <c r="Z716" s="1">
        <f t="shared" si="976"/>
        <v>1</v>
      </c>
      <c r="AA716" s="1">
        <f t="shared" si="1000"/>
        <v>1</v>
      </c>
      <c r="AB716" s="1">
        <f t="shared" si="978"/>
        <v>1</v>
      </c>
      <c r="AC716" s="1">
        <f t="shared" si="1005"/>
        <v>1</v>
      </c>
      <c r="AD716" s="1">
        <f>ROUNDDOWN(I716*(1+IF(F716=3,0.05+方案参数!$Y$22+AA716*0.12,IF(F716=4,方案参数!$BZ$22*方案参数!$AS$22,0)))+IF(AND(X716=1,F716&lt;&gt;3),方案参数!$CC$22,0)+AC716*方案参数!$CB$22,0)</f>
        <v>3094</v>
      </c>
      <c r="AE716" s="1">
        <f>IF(OR(F716=1,F716=4),配置与结果!$B$24,配置与结果!$B$25)*MAX(0,1-INDEX(配置与结果!$I$15:$I$18,F716))</f>
        <v>1200</v>
      </c>
      <c r="AF716" s="1">
        <f>方案参数!$BM$22</f>
        <v>20</v>
      </c>
      <c r="AG716" s="1">
        <f>MAX(配置与结果!$B$32,1+INDEX(配置与结果!$F$15:$F$18,F716)+0.08+方案参数!$CD$22+Q716*方案参数!$W$22+Y716*(方案参数!$AN$22+MIN(方案参数!$AO$22,P716*0.03))+AB716*方案参数!$BZ$22*0.025-配置与结果!$B$28+方案参数!$AE$22)</f>
        <v>2.7250000000000001</v>
      </c>
      <c r="AH716" s="1">
        <f>MAX(0,1+V716*方案参数!$U$22+3*方案参数!$V$22+方案参数!$AE$22-配置与结果!$B$29)</f>
        <v>1.7399999999999998</v>
      </c>
      <c r="AI716" s="1">
        <f>IF(OR(INDEX(配置与结果!$K$15:$K$18,F716)=1,G716="RHI_BERRY"),1+配置与结果!$B$33+P716*方案参数!$AH$22,1)</f>
        <v>1</v>
      </c>
      <c r="AJ716" s="1">
        <f>MIN(1,MAX(0,J716+方案参数!$AB$22-配置与结果!$B$27))</f>
        <v>1</v>
      </c>
      <c r="AK716" s="1">
        <f>MAX(1,K716+IF(F716=2,0.15+方案参数!$CH$22,0)+BN716*方案参数!$X$22+R716*方案参数!$AA$22+方案参数!$BQ$22-配置与结果!$B$26+Z716*(方案参数!$AP$22+MIN(方案参数!$AQ$22,P716*0.03)))</f>
        <v>3.0750000000000006</v>
      </c>
      <c r="AL716" s="7">
        <f>ROUNDDOWN(MAX(AD716*配置与结果!$B$31,AD716-AE716)*AF716*AG716*AH716*AI716,0)</f>
        <v>179608</v>
      </c>
      <c r="AM716" s="7">
        <f>ROUNDDOWN(MAX(AD716*配置与结果!$B$31,AD716-AE716)*AF716*AG716*AH716*AI716*AK716,0)</f>
        <v>552294</v>
      </c>
      <c r="AN716" s="7">
        <f t="shared" si="1009"/>
        <v>552294</v>
      </c>
      <c r="AO716" s="7">
        <f>0</f>
        <v>0</v>
      </c>
      <c r="AP716" s="7">
        <f>MAX(0,1+INDEX(配置与结果!$J$15:$J$18,F716)+IF(T716&gt;0,方案参数!$BY$22,0)-配置与结果!$B$30)</f>
        <v>1</v>
      </c>
      <c r="AQ716" s="7">
        <f t="shared" si="1010"/>
        <v>0</v>
      </c>
      <c r="AR716" s="7">
        <f t="shared" si="1011"/>
        <v>0</v>
      </c>
      <c r="AS716" s="7">
        <f t="shared" si="1012"/>
        <v>0</v>
      </c>
      <c r="AT716" s="7">
        <f>IF(U716&gt;0,ROUNDDOWN(AL716*方案参数!$AF$22,0)*(1-AJ716)+ROUNDDOWN(AM716*方案参数!$AF$22,0)*AJ716,0)</f>
        <v>220917</v>
      </c>
      <c r="AU716" s="7">
        <f t="shared" si="1013"/>
        <v>773211</v>
      </c>
      <c r="AV716" s="1">
        <f t="shared" si="1014"/>
        <v>2</v>
      </c>
      <c r="AW716" s="1">
        <f t="shared" si="1018"/>
        <v>10</v>
      </c>
      <c r="AX716" s="1">
        <f t="shared" si="1015"/>
        <v>2</v>
      </c>
      <c r="AY716" s="1">
        <f>MIN(20,MAX(0,O716+0+1-0))</f>
        <v>3</v>
      </c>
      <c r="AZ716" s="1">
        <f t="shared" si="1016"/>
        <v>10</v>
      </c>
      <c r="BA716" s="1">
        <f t="shared" si="1001"/>
        <v>5</v>
      </c>
      <c r="BB716" s="1">
        <f t="shared" si="1017"/>
        <v>20</v>
      </c>
      <c r="BC716" s="1">
        <f t="shared" si="1007"/>
        <v>3</v>
      </c>
      <c r="BD716" s="1">
        <f t="shared" si="988"/>
        <v>0</v>
      </c>
      <c r="BE716" s="1">
        <f>MAX(0,U716-IF(AF716&gt;0,1,0))+0</f>
        <v>0</v>
      </c>
      <c r="BF716" s="1">
        <f t="shared" si="1019"/>
        <v>4</v>
      </c>
      <c r="BG716" s="1">
        <f t="shared" si="998"/>
        <v>1</v>
      </c>
      <c r="BH716" s="1">
        <f t="shared" si="982"/>
        <v>1</v>
      </c>
      <c r="BI716" s="1">
        <f t="shared" si="999"/>
        <v>1</v>
      </c>
      <c r="BJ716" s="1">
        <f t="shared" si="1002"/>
        <v>1</v>
      </c>
      <c r="BK716" s="1">
        <f t="shared" si="1003"/>
        <v>1</v>
      </c>
      <c r="BL716" s="1">
        <f t="shared" si="1008"/>
        <v>1</v>
      </c>
      <c r="BM716" s="1">
        <f t="shared" si="1006"/>
        <v>1</v>
      </c>
      <c r="BN716" s="1">
        <f t="shared" si="983"/>
        <v>1</v>
      </c>
      <c r="BO716" s="1">
        <f t="shared" si="984"/>
        <v>1</v>
      </c>
    </row>
    <row r="717" spans="1:67" ht="30.95" customHeight="1">
      <c r="A717" s="1">
        <f>19</f>
        <v>19</v>
      </c>
      <c r="B717" s="1">
        <f>固定流程!A33</f>
        <v>28</v>
      </c>
      <c r="C717" s="1">
        <f>22</f>
        <v>22</v>
      </c>
      <c r="D717" s="1">
        <f>2</f>
        <v>2</v>
      </c>
      <c r="E717" s="1">
        <f>固定流程!C33</f>
        <v>3</v>
      </c>
      <c r="F717" s="1">
        <f>固定流程!G33</f>
        <v>1</v>
      </c>
      <c r="G717" s="1" t="str">
        <f>固定流程!H33</f>
        <v>LILYA_WEAK</v>
      </c>
      <c r="H717" s="1">
        <f>固定流程!F33</f>
        <v>1</v>
      </c>
      <c r="I717" s="1">
        <f>INDEX(配置与结果!$B$15:$B$18,F717)</f>
        <v>2296</v>
      </c>
      <c r="J717" s="1">
        <f>INDEX(配置与结果!$D$15:$D$18,F717)</f>
        <v>0.7</v>
      </c>
      <c r="K717" s="1">
        <f>INDEX(配置与结果!$E$15:$E$18,F717)</f>
        <v>2.0249999999999999</v>
      </c>
      <c r="L717" s="1">
        <f t="shared" si="995"/>
        <v>2</v>
      </c>
      <c r="M717" s="1">
        <f t="shared" si="996"/>
        <v>10</v>
      </c>
      <c r="N717" s="1">
        <f t="shared" si="997"/>
        <v>2</v>
      </c>
      <c r="O717" s="1">
        <f t="shared" si="989"/>
        <v>3</v>
      </c>
      <c r="P717" s="1">
        <f>MIN(方案参数!$AI$22,AZ716+0+0)</f>
        <v>10</v>
      </c>
      <c r="Q717" s="1">
        <f t="shared" si="967"/>
        <v>5</v>
      </c>
      <c r="R717" s="1">
        <f t="shared" si="968"/>
        <v>20</v>
      </c>
      <c r="S717" s="1">
        <f t="shared" si="969"/>
        <v>3</v>
      </c>
      <c r="T717" s="1">
        <f t="shared" si="1004"/>
        <v>0</v>
      </c>
      <c r="U717" s="1">
        <f t="shared" si="971"/>
        <v>0</v>
      </c>
      <c r="V717" s="1">
        <f t="shared" si="972"/>
        <v>4</v>
      </c>
      <c r="W717" s="1">
        <f t="shared" si="973"/>
        <v>1</v>
      </c>
      <c r="X717" s="1">
        <f t="shared" si="974"/>
        <v>1</v>
      </c>
      <c r="Y717" s="1">
        <f t="shared" si="975"/>
        <v>1</v>
      </c>
      <c r="Z717" s="1">
        <f t="shared" si="976"/>
        <v>1</v>
      </c>
      <c r="AA717" s="1">
        <f t="shared" si="1000"/>
        <v>1</v>
      </c>
      <c r="AB717" s="1">
        <f t="shared" si="978"/>
        <v>1</v>
      </c>
      <c r="AC717" s="1">
        <f t="shared" si="1005"/>
        <v>1</v>
      </c>
      <c r="AD717" s="1">
        <f>ROUNDDOWN(I717*(1+IF(F717=3,0.05+方案参数!$Y$22+AA717*0.12,IF(F717=4,方案参数!$BZ$22*方案参数!$AS$22,0)))+IF(AND(X717=1,F717&lt;&gt;3),方案参数!$CC$22,0)+AC717*方案参数!$CB$22,0)</f>
        <v>3094</v>
      </c>
      <c r="AE717" s="1">
        <f>IF(OR(F717=1,F717=4),配置与结果!$B$24,配置与结果!$B$25)*MAX(0,1-INDEX(配置与结果!$I$15:$I$18,F717))</f>
        <v>1200</v>
      </c>
      <c r="AF717" s="1">
        <f>方案参数!$BL$22</f>
        <v>9</v>
      </c>
      <c r="AG717" s="1">
        <f>MAX(配置与结果!$B$32,1+INDEX(配置与结果!$F$15:$F$18,F717)+0.08+方案参数!$CD$22+Q717*方案参数!$W$22+Y717*(方案参数!$AN$22+MIN(方案参数!$AO$22,P717*0.03))+AB717*方案参数!$BZ$22*0.025-配置与结果!$B$28+方案参数!$AE$22)</f>
        <v>2.7250000000000001</v>
      </c>
      <c r="AH717" s="1">
        <f>MAX(0,1+V717*方案参数!$U$22+4*方案参数!$V$22+方案参数!$AE$22-配置与结果!$B$29)</f>
        <v>1.7999999999999998</v>
      </c>
      <c r="AI717" s="1">
        <f>IF(OR(INDEX(配置与结果!$K$15:$K$18,F717)=1,G717="RHI_BERRY"),1+配置与结果!$B$33+P717*方案参数!$AH$22,1)</f>
        <v>1</v>
      </c>
      <c r="AJ717" s="1">
        <f>MIN(1,MAX(0,J717+方案参数!$AB$22-配置与结果!$B$27))</f>
        <v>1</v>
      </c>
      <c r="AK717" s="1">
        <f>MAX(1,K717+IF(F717=2,0.15+方案参数!$CH$22,0)+BN717*方案参数!$X$22+R717*方案参数!$AA$22+方案参数!$BP$22-配置与结果!$B$26+Z717*(方案参数!$AP$22+MIN(方案参数!$AQ$22,P717*0.03)))</f>
        <v>2.8750000000000004</v>
      </c>
      <c r="AL717" s="7">
        <f>ROUNDDOWN(MAX(AD717*配置与结果!$B$31,AD717-AE717)*AF717*AG717*AH717*AI717,0)</f>
        <v>83610</v>
      </c>
      <c r="AM717" s="7">
        <f>ROUNDDOWN(MAX(AD717*配置与结果!$B$31,AD717-AE717)*AF717*AG717*AH717*AI717*AK717,0)</f>
        <v>240380</v>
      </c>
      <c r="AN717" s="7">
        <f t="shared" si="1009"/>
        <v>240380</v>
      </c>
      <c r="AO717" s="7">
        <f>0</f>
        <v>0</v>
      </c>
      <c r="AP717" s="7">
        <f>MAX(0,1+INDEX(配置与结果!$J$15:$J$18,F717)+IF(T717&gt;0,方案参数!$BY$22,0)-配置与结果!$B$30)</f>
        <v>1</v>
      </c>
      <c r="AQ717" s="7">
        <f t="shared" si="1010"/>
        <v>0</v>
      </c>
      <c r="AR717" s="7">
        <f t="shared" si="1011"/>
        <v>0</v>
      </c>
      <c r="AS717" s="7">
        <f t="shared" si="1012"/>
        <v>0</v>
      </c>
      <c r="AT717" s="7">
        <f>IF(U717&gt;0,ROUNDDOWN(AL717*方案参数!$AF$22,0)*(1-AJ717)+ROUNDDOWN(AM717*方案参数!$AF$22,0)*AJ717,0)</f>
        <v>0</v>
      </c>
      <c r="AU717" s="7">
        <f t="shared" si="1013"/>
        <v>240380</v>
      </c>
      <c r="AV717" s="1">
        <f t="shared" si="1014"/>
        <v>2</v>
      </c>
      <c r="AW717" s="1">
        <f t="shared" si="1018"/>
        <v>10</v>
      </c>
      <c r="AX717" s="1">
        <f t="shared" si="1015"/>
        <v>2</v>
      </c>
      <c r="AY717" s="1">
        <f>MIN(20,MAX(0,O717+0+1-0))</f>
        <v>4</v>
      </c>
      <c r="AZ717" s="1">
        <f t="shared" si="1016"/>
        <v>10</v>
      </c>
      <c r="BA717" s="1">
        <f t="shared" si="1001"/>
        <v>5</v>
      </c>
      <c r="BB717" s="1">
        <f t="shared" si="1017"/>
        <v>20</v>
      </c>
      <c r="BC717" s="1">
        <f t="shared" si="1007"/>
        <v>3</v>
      </c>
      <c r="BD717" s="1">
        <f t="shared" si="988"/>
        <v>0</v>
      </c>
      <c r="BE717" s="1">
        <f>MAX(0,U717-IF(AF717&gt;0,1,0))+0</f>
        <v>0</v>
      </c>
      <c r="BF717" s="1">
        <f t="shared" si="1019"/>
        <v>4</v>
      </c>
      <c r="BG717" s="1">
        <f t="shared" si="998"/>
        <v>1</v>
      </c>
      <c r="BH717" s="1">
        <f t="shared" si="982"/>
        <v>1</v>
      </c>
      <c r="BI717" s="1">
        <f t="shared" si="999"/>
        <v>1</v>
      </c>
      <c r="BJ717" s="1">
        <f t="shared" si="1002"/>
        <v>1</v>
      </c>
      <c r="BK717" s="1">
        <f t="shared" si="1003"/>
        <v>1</v>
      </c>
      <c r="BL717" s="1">
        <f t="shared" si="1008"/>
        <v>1</v>
      </c>
      <c r="BM717" s="1">
        <f t="shared" si="1006"/>
        <v>1</v>
      </c>
      <c r="BN717" s="1">
        <f t="shared" si="983"/>
        <v>1</v>
      </c>
      <c r="BO717" s="1">
        <f t="shared" si="984"/>
        <v>1</v>
      </c>
    </row>
    <row r="718" spans="1:67" ht="30.95" customHeight="1">
      <c r="A718" s="1">
        <f>19</f>
        <v>19</v>
      </c>
      <c r="B718" s="1">
        <f>固定流程!A34</f>
        <v>29</v>
      </c>
      <c r="C718" s="1">
        <f>22</f>
        <v>22</v>
      </c>
      <c r="D718" s="1">
        <f>2</f>
        <v>2</v>
      </c>
      <c r="E718" s="1">
        <f>固定流程!C34</f>
        <v>3</v>
      </c>
      <c r="F718" s="1">
        <f>固定流程!G34</f>
        <v>1</v>
      </c>
      <c r="G718" s="1" t="str">
        <f>固定流程!H34</f>
        <v>LILYA_WEAK</v>
      </c>
      <c r="H718" s="1">
        <f>固定流程!F34</f>
        <v>1</v>
      </c>
      <c r="I718" s="1">
        <f>INDEX(配置与结果!$B$15:$B$18,F718)</f>
        <v>2296</v>
      </c>
      <c r="J718" s="1">
        <f>INDEX(配置与结果!$D$15:$D$18,F718)</f>
        <v>0.7</v>
      </c>
      <c r="K718" s="1">
        <f>INDEX(配置与结果!$E$15:$E$18,F718)</f>
        <v>2.0249999999999999</v>
      </c>
      <c r="L718" s="1">
        <f t="shared" si="995"/>
        <v>2</v>
      </c>
      <c r="M718" s="1">
        <f t="shared" si="996"/>
        <v>10</v>
      </c>
      <c r="N718" s="1">
        <f t="shared" si="997"/>
        <v>2</v>
      </c>
      <c r="O718" s="1">
        <f t="shared" si="989"/>
        <v>4</v>
      </c>
      <c r="P718" s="1">
        <f>MIN(方案参数!$AI$22,AZ717+0+0)</f>
        <v>10</v>
      </c>
      <c r="Q718" s="1">
        <f t="shared" si="967"/>
        <v>5</v>
      </c>
      <c r="R718" s="1">
        <f t="shared" si="968"/>
        <v>20</v>
      </c>
      <c r="S718" s="1">
        <f t="shared" si="969"/>
        <v>3</v>
      </c>
      <c r="T718" s="1">
        <f t="shared" si="1004"/>
        <v>0</v>
      </c>
      <c r="U718" s="1">
        <f t="shared" si="971"/>
        <v>0</v>
      </c>
      <c r="V718" s="1">
        <f t="shared" si="972"/>
        <v>4</v>
      </c>
      <c r="W718" s="1">
        <f t="shared" si="973"/>
        <v>1</v>
      </c>
      <c r="X718" s="1">
        <f t="shared" si="974"/>
        <v>1</v>
      </c>
      <c r="Y718" s="1">
        <f t="shared" si="975"/>
        <v>1</v>
      </c>
      <c r="Z718" s="1">
        <f t="shared" si="976"/>
        <v>1</v>
      </c>
      <c r="AA718" s="1">
        <f t="shared" si="1000"/>
        <v>1</v>
      </c>
      <c r="AB718" s="1">
        <f t="shared" si="978"/>
        <v>1</v>
      </c>
      <c r="AC718" s="1">
        <f t="shared" si="1005"/>
        <v>1</v>
      </c>
      <c r="AD718" s="1">
        <f>ROUNDDOWN(I718*(1+IF(F718=3,0.05+方案参数!$Y$22+AA718*0.12,IF(F718=4,方案参数!$BZ$22*方案参数!$AS$22,0)))+IF(AND(X718=1,F718&lt;&gt;3),方案参数!$CC$22,0)+AC718*方案参数!$CB$22,0)</f>
        <v>3094</v>
      </c>
      <c r="AE718" s="1">
        <f>IF(OR(F718=1,F718=4),配置与结果!$B$24,配置与结果!$B$25)*MAX(0,1-INDEX(配置与结果!$I$15:$I$18,F718))</f>
        <v>1200</v>
      </c>
      <c r="AF718" s="1">
        <f>方案参数!$BL$22</f>
        <v>9</v>
      </c>
      <c r="AG718" s="1">
        <f>MAX(配置与结果!$B$32,1+INDEX(配置与结果!$F$15:$F$18,F718)+0.08+方案参数!$CD$22+Q718*方案参数!$W$22+Y718*(方案参数!$AN$22+MIN(方案参数!$AO$22,P718*0.03))+AB718*方案参数!$BZ$22*0.025-配置与结果!$B$28+方案参数!$AE$22)</f>
        <v>2.7250000000000001</v>
      </c>
      <c r="AH718" s="1">
        <f>MAX(0,1+V718*方案参数!$U$22+5*方案参数!$V$22+方案参数!$AE$22-配置与结果!$B$29)</f>
        <v>1.8599999999999999</v>
      </c>
      <c r="AI718" s="1">
        <f>IF(OR(INDEX(配置与结果!$K$15:$K$18,F718)=1,G718="RHI_BERRY"),1+配置与结果!$B$33+P718*方案参数!$AH$22,1)</f>
        <v>1</v>
      </c>
      <c r="AJ718" s="1">
        <f>MIN(1,MAX(0,J718+方案参数!$AB$22-配置与结果!$B$27))</f>
        <v>1</v>
      </c>
      <c r="AK718" s="1">
        <f>MAX(1,K718+IF(F718=2,0.15+方案参数!$CH$22,0)+BN718*方案参数!$X$22+R718*方案参数!$AA$22+方案参数!$BP$22-配置与结果!$B$26+Z718*(方案参数!$AP$22+MIN(方案参数!$AQ$22,P718*0.03)))</f>
        <v>2.8750000000000004</v>
      </c>
      <c r="AL718" s="7">
        <f>ROUNDDOWN(MAX(AD718*配置与结果!$B$31,AD718-AE718)*AF718*AG718*AH718*AI718,0)</f>
        <v>86397</v>
      </c>
      <c r="AM718" s="7">
        <f>ROUNDDOWN(MAX(AD718*配置与结果!$B$31,AD718-AE718)*AF718*AG718*AH718*AI718*AK718,0)</f>
        <v>248393</v>
      </c>
      <c r="AN718" s="7">
        <f t="shared" si="1009"/>
        <v>248393</v>
      </c>
      <c r="AO718" s="7">
        <f>0</f>
        <v>0</v>
      </c>
      <c r="AP718" s="7">
        <f>MAX(0,1+INDEX(配置与结果!$J$15:$J$18,F718)+IF(T718&gt;0,方案参数!$BY$22,0)-配置与结果!$B$30)</f>
        <v>1</v>
      </c>
      <c r="AQ718" s="7">
        <f t="shared" si="1010"/>
        <v>0</v>
      </c>
      <c r="AR718" s="7">
        <f t="shared" si="1011"/>
        <v>0</v>
      </c>
      <c r="AS718" s="7">
        <f t="shared" si="1012"/>
        <v>0</v>
      </c>
      <c r="AT718" s="7">
        <f>IF(U718&gt;0,ROUNDDOWN(AL718*方案参数!$AF$22,0)*(1-AJ718)+ROUNDDOWN(AM718*方案参数!$AF$22,0)*AJ718,0)</f>
        <v>0</v>
      </c>
      <c r="AU718" s="7">
        <f t="shared" si="1013"/>
        <v>248393</v>
      </c>
      <c r="AV718" s="1">
        <f t="shared" si="1014"/>
        <v>2</v>
      </c>
      <c r="AW718" s="1">
        <f t="shared" si="1018"/>
        <v>10</v>
      </c>
      <c r="AX718" s="1">
        <f t="shared" si="1015"/>
        <v>2</v>
      </c>
      <c r="AY718" s="1">
        <f>MIN(20,MAX(0,O718+0+1-0))</f>
        <v>5</v>
      </c>
      <c r="AZ718" s="1">
        <f t="shared" si="1016"/>
        <v>10</v>
      </c>
      <c r="BA718" s="1">
        <f t="shared" si="1001"/>
        <v>5</v>
      </c>
      <c r="BB718" s="1">
        <f t="shared" si="1017"/>
        <v>20</v>
      </c>
      <c r="BC718" s="1">
        <f t="shared" si="1007"/>
        <v>3</v>
      </c>
      <c r="BD718" s="1">
        <f t="shared" si="988"/>
        <v>0</v>
      </c>
      <c r="BE718" s="1">
        <f>MAX(0,U718-IF(AF718&gt;0,1,0))+0</f>
        <v>0</v>
      </c>
      <c r="BF718" s="1">
        <f t="shared" si="1019"/>
        <v>4</v>
      </c>
      <c r="BG718" s="1">
        <f t="shared" si="998"/>
        <v>1</v>
      </c>
      <c r="BH718" s="1">
        <f t="shared" si="982"/>
        <v>1</v>
      </c>
      <c r="BI718" s="1">
        <f t="shared" si="999"/>
        <v>1</v>
      </c>
      <c r="BJ718" s="1">
        <f t="shared" si="1002"/>
        <v>1</v>
      </c>
      <c r="BK718" s="1">
        <f t="shared" si="1003"/>
        <v>1</v>
      </c>
      <c r="BL718" s="1">
        <f t="shared" si="1008"/>
        <v>1</v>
      </c>
      <c r="BM718" s="1">
        <f t="shared" si="1006"/>
        <v>1</v>
      </c>
      <c r="BN718" s="1">
        <f t="shared" si="983"/>
        <v>1</v>
      </c>
      <c r="BO718" s="1">
        <f t="shared" si="984"/>
        <v>1</v>
      </c>
    </row>
    <row r="719" spans="1:67" ht="30.95" customHeight="1">
      <c r="A719" s="1">
        <f>19</f>
        <v>19</v>
      </c>
      <c r="B719" s="1">
        <f>固定流程!A35</f>
        <v>30</v>
      </c>
      <c r="C719" s="1">
        <f>22</f>
        <v>22</v>
      </c>
      <c r="D719" s="1">
        <f>2</f>
        <v>2</v>
      </c>
      <c r="E719" s="1">
        <f>固定流程!C35</f>
        <v>3</v>
      </c>
      <c r="F719" s="1">
        <f>固定流程!G35</f>
        <v>2</v>
      </c>
      <c r="G719" s="1" t="str">
        <f>固定流程!H35</f>
        <v>37_WEAK</v>
      </c>
      <c r="H719" s="1">
        <f>固定流程!F35</f>
        <v>1</v>
      </c>
      <c r="I719" s="1">
        <f>INDEX(配置与结果!$B$15:$B$18,F719)</f>
        <v>2306</v>
      </c>
      <c r="J719" s="1">
        <f>INDEX(配置与结果!$D$15:$D$18,F719)</f>
        <v>0.46</v>
      </c>
      <c r="K719" s="1">
        <f>INDEX(配置与结果!$E$15:$E$18,F719)</f>
        <v>1.9279999999999999</v>
      </c>
      <c r="L719" s="1">
        <f t="shared" si="995"/>
        <v>2</v>
      </c>
      <c r="M719" s="1">
        <f t="shared" si="996"/>
        <v>10</v>
      </c>
      <c r="N719" s="1">
        <f t="shared" si="997"/>
        <v>2</v>
      </c>
      <c r="O719" s="1">
        <f t="shared" si="989"/>
        <v>5</v>
      </c>
      <c r="P719" s="1">
        <f>MIN(方案参数!$AI$22,AZ718+0+0)</f>
        <v>10</v>
      </c>
      <c r="Q719" s="1">
        <f t="shared" si="967"/>
        <v>5</v>
      </c>
      <c r="R719" s="1">
        <f t="shared" si="968"/>
        <v>20</v>
      </c>
      <c r="S719" s="1">
        <f t="shared" si="969"/>
        <v>3</v>
      </c>
      <c r="T719" s="1">
        <f t="shared" si="1004"/>
        <v>0</v>
      </c>
      <c r="U719" s="1">
        <f t="shared" si="971"/>
        <v>0</v>
      </c>
      <c r="V719" s="1">
        <f t="shared" si="972"/>
        <v>4</v>
      </c>
      <c r="W719" s="1">
        <f t="shared" si="973"/>
        <v>1</v>
      </c>
      <c r="X719" s="1">
        <f t="shared" si="974"/>
        <v>1</v>
      </c>
      <c r="Y719" s="1">
        <f t="shared" si="975"/>
        <v>1</v>
      </c>
      <c r="Z719" s="1">
        <f t="shared" si="976"/>
        <v>1</v>
      </c>
      <c r="AA719" s="1">
        <f t="shared" si="1000"/>
        <v>1</v>
      </c>
      <c r="AB719" s="1">
        <f t="shared" si="978"/>
        <v>1</v>
      </c>
      <c r="AC719" s="1">
        <f t="shared" si="1005"/>
        <v>1</v>
      </c>
      <c r="AD719" s="1">
        <f>ROUNDDOWN(I719*(1+IF(F719=3,0.05+方案参数!$Y$22+AA719*0.12,IF(F719=4,方案参数!$BZ$22*方案参数!$AS$22,0)))+IF(AND(X719=1,F719&lt;&gt;3),方案参数!$CC$22,0)+AC719*方案参数!$CB$22,0)</f>
        <v>3104</v>
      </c>
      <c r="AE719" s="1">
        <f>IF(OR(F719=1,F719=4),配置与结果!$B$24,配置与结果!$B$25)*MAX(0,1-INDEX(配置与结果!$I$15:$I$18,F719))</f>
        <v>1000</v>
      </c>
      <c r="AF719" s="1">
        <f>方案参数!$CE$22</f>
        <v>8</v>
      </c>
      <c r="AG719" s="1">
        <f>MAX(配置与结果!$B$32,1+INDEX(配置与结果!$F$15:$F$18,F719)+0+Q719*方案参数!$W$22+Y719*(方案参数!$AN$22+MIN(方案参数!$AO$22,P719*0.03))+AB719*方案参数!$BZ$22*0.025-配置与结果!$B$28+方案参数!$AE$22)</f>
        <v>2.39</v>
      </c>
      <c r="AH719" s="1">
        <f>MAX(0,1+V719*方案参数!$U$22+方案参数!$AE$22-配置与结果!$B$29)</f>
        <v>1.56</v>
      </c>
      <c r="AI719" s="1">
        <f>IF(OR(INDEX(配置与结果!$K$15:$K$18,F719)=1,G719="RHI_BERRY"),1+配置与结果!$B$33+P719*方案参数!$AH$22,1)</f>
        <v>1</v>
      </c>
      <c r="AJ719" s="1">
        <f>MIN(1,MAX(0,J719+方案参数!$AB$22-配置与结果!$B$27))</f>
        <v>0.76</v>
      </c>
      <c r="AK719" s="1">
        <f>MAX(1,K719+IF(F719=2,0.15+方案参数!$CH$22,0)+BN719*方案参数!$X$22+R719*方案参数!$AA$22+0-配置与结果!$B$26+Z719*(方案参数!$AP$22+MIN(方案参数!$AQ$22,P719*0.03)))</f>
        <v>2.4480000000000004</v>
      </c>
      <c r="AL719" s="7">
        <f>ROUNDDOWN(MAX(AD719*配置与结果!$B$31,AD719-AE719)*AF719*AG719*AH719*AI719,0)</f>
        <v>62756</v>
      </c>
      <c r="AM719" s="7">
        <f>ROUNDDOWN(MAX(AD719*配置与结果!$B$31,AD719-AE719)*AF719*AG719*AH719*AI719*AK719,0)</f>
        <v>153627</v>
      </c>
      <c r="AN719" s="7">
        <f t="shared" si="1009"/>
        <v>131817.96</v>
      </c>
      <c r="AO719" s="7">
        <f>0</f>
        <v>0</v>
      </c>
      <c r="AP719" s="7">
        <f>MAX(0,1+INDEX(配置与结果!$J$15:$J$18,F719)+IF(T719&gt;0,方案参数!$BY$22,0)-配置与结果!$B$30)</f>
        <v>1</v>
      </c>
      <c r="AQ719" s="7">
        <f t="shared" si="1010"/>
        <v>0</v>
      </c>
      <c r="AR719" s="7">
        <f t="shared" si="1011"/>
        <v>0</v>
      </c>
      <c r="AS719" s="7">
        <f t="shared" si="1012"/>
        <v>0</v>
      </c>
      <c r="AT719" s="7">
        <f>IF(U719&gt;0,ROUNDDOWN(AL719*方案参数!$AF$22,0)*(1-AJ719)+ROUNDDOWN(AM719*方案参数!$AF$22,0)*AJ719,0)</f>
        <v>0</v>
      </c>
      <c r="AU719" s="7">
        <f t="shared" si="1013"/>
        <v>131817.96</v>
      </c>
      <c r="AV719" s="1">
        <f t="shared" si="1014"/>
        <v>2</v>
      </c>
      <c r="AW719" s="1">
        <f t="shared" si="1018"/>
        <v>10</v>
      </c>
      <c r="AX719" s="1">
        <f t="shared" si="1015"/>
        <v>2</v>
      </c>
      <c r="AY719" s="1">
        <f>MIN(20,MAX(0,O719+0+0-0))</f>
        <v>5</v>
      </c>
      <c r="AZ719" s="1">
        <f t="shared" si="1016"/>
        <v>10</v>
      </c>
      <c r="BA719" s="1">
        <f t="shared" si="1001"/>
        <v>5</v>
      </c>
      <c r="BB719" s="1">
        <f t="shared" si="1017"/>
        <v>20</v>
      </c>
      <c r="BC719" s="1">
        <f t="shared" si="1007"/>
        <v>3</v>
      </c>
      <c r="BD719" s="1">
        <f t="shared" si="988"/>
        <v>0</v>
      </c>
      <c r="BE719" s="1">
        <f>MAX(0,U719-IF(AF719&gt;0,1,0))+1</f>
        <v>1</v>
      </c>
      <c r="BF719" s="1">
        <f t="shared" si="1019"/>
        <v>4</v>
      </c>
      <c r="BG719" s="1">
        <f t="shared" si="998"/>
        <v>1</v>
      </c>
      <c r="BH719" s="1">
        <f t="shared" si="982"/>
        <v>1</v>
      </c>
      <c r="BI719" s="1">
        <f t="shared" si="999"/>
        <v>1</v>
      </c>
      <c r="BJ719" s="1">
        <f t="shared" si="1002"/>
        <v>1</v>
      </c>
      <c r="BK719" s="1">
        <f t="shared" si="1003"/>
        <v>1</v>
      </c>
      <c r="BL719" s="1">
        <f t="shared" si="1008"/>
        <v>1</v>
      </c>
      <c r="BM719" s="1">
        <f t="shared" si="1006"/>
        <v>1</v>
      </c>
      <c r="BN719" s="1">
        <f t="shared" si="983"/>
        <v>1</v>
      </c>
      <c r="BO719" s="1">
        <f t="shared" si="984"/>
        <v>1</v>
      </c>
    </row>
    <row r="720" spans="1:67" ht="30.95" customHeight="1">
      <c r="A720" s="1">
        <f>19</f>
        <v>19</v>
      </c>
      <c r="B720" s="1">
        <f>固定流程!A36</f>
        <v>31</v>
      </c>
      <c r="C720" s="1">
        <f>22</f>
        <v>22</v>
      </c>
      <c r="D720" s="1">
        <f>2</f>
        <v>2</v>
      </c>
      <c r="E720" s="1">
        <f>固定流程!C36</f>
        <v>3</v>
      </c>
      <c r="F720" s="1">
        <f>固定流程!G36</f>
        <v>1</v>
      </c>
      <c r="G720" s="1" t="str">
        <f>固定流程!H36</f>
        <v>LILYA_THIRD</v>
      </c>
      <c r="H720" s="1">
        <f>固定流程!F36</f>
        <v>1</v>
      </c>
      <c r="I720" s="1">
        <f>INDEX(配置与结果!$B$15:$B$18,F720)</f>
        <v>2296</v>
      </c>
      <c r="J720" s="1">
        <f>INDEX(配置与结果!$D$15:$D$18,F720)</f>
        <v>0.7</v>
      </c>
      <c r="K720" s="1">
        <f>INDEX(配置与结果!$E$15:$E$18,F720)</f>
        <v>2.0249999999999999</v>
      </c>
      <c r="L720" s="1">
        <f t="shared" si="995"/>
        <v>2</v>
      </c>
      <c r="M720" s="1">
        <f t="shared" si="996"/>
        <v>10</v>
      </c>
      <c r="N720" s="1">
        <f t="shared" si="997"/>
        <v>2</v>
      </c>
      <c r="O720" s="1">
        <f t="shared" si="989"/>
        <v>5</v>
      </c>
      <c r="P720" s="1">
        <f>MIN(方案参数!$AI$22,AZ719+0+0)</f>
        <v>10</v>
      </c>
      <c r="Q720" s="1">
        <f t="shared" si="967"/>
        <v>5</v>
      </c>
      <c r="R720" s="1">
        <f t="shared" si="968"/>
        <v>20</v>
      </c>
      <c r="S720" s="1">
        <f t="shared" si="969"/>
        <v>3</v>
      </c>
      <c r="T720" s="1">
        <f t="shared" si="1004"/>
        <v>0</v>
      </c>
      <c r="U720" s="1">
        <f t="shared" si="971"/>
        <v>1</v>
      </c>
      <c r="V720" s="1">
        <f t="shared" si="972"/>
        <v>4</v>
      </c>
      <c r="W720" s="1">
        <f t="shared" si="973"/>
        <v>1</v>
      </c>
      <c r="X720" s="1">
        <f t="shared" si="974"/>
        <v>1</v>
      </c>
      <c r="Y720" s="1">
        <f t="shared" si="975"/>
        <v>1</v>
      </c>
      <c r="Z720" s="1">
        <f t="shared" si="976"/>
        <v>1</v>
      </c>
      <c r="AA720" s="1">
        <f t="shared" si="1000"/>
        <v>1</v>
      </c>
      <c r="AB720" s="1">
        <f t="shared" si="978"/>
        <v>1</v>
      </c>
      <c r="AC720" s="1">
        <f t="shared" si="1005"/>
        <v>1</v>
      </c>
      <c r="AD720" s="1">
        <f>ROUNDDOWN(I720*(1+IF(F720=3,0.05+方案参数!$Y$22+AA720*0.12,IF(F720=4,方案参数!$BZ$22*方案参数!$AS$22,0)))+IF(AND(X720=1,F720&lt;&gt;3),方案参数!$CC$22,0)+AC720*方案参数!$CB$22,0)</f>
        <v>3094</v>
      </c>
      <c r="AE720" s="1">
        <f>IF(OR(F720=1,F720=4),配置与结果!$B$24,配置与结果!$B$25)*MAX(0,1-INDEX(配置与结果!$I$15:$I$18,F720))</f>
        <v>1200</v>
      </c>
      <c r="AF720" s="1">
        <f>方案参数!$BM$22</f>
        <v>20</v>
      </c>
      <c r="AG720" s="1">
        <f>MAX(配置与结果!$B$32,1+INDEX(配置与结果!$F$15:$F$18,F720)+0.08+方案参数!$CD$22+Q720*方案参数!$W$22+Y720*(方案参数!$AN$22+MIN(方案参数!$AO$22,P720*0.03))+AB720*方案参数!$BZ$22*0.025-配置与结果!$B$28+方案参数!$AE$22)</f>
        <v>2.7250000000000001</v>
      </c>
      <c r="AH720" s="1">
        <f>MAX(0,1+V720*方案参数!$U$22+7*方案参数!$V$22+方案参数!$AE$22-配置与结果!$B$29)</f>
        <v>1.98</v>
      </c>
      <c r="AI720" s="1">
        <f>IF(OR(INDEX(配置与结果!$K$15:$K$18,F720)=1,G720="RHI_BERRY"),1+配置与结果!$B$33+P720*方案参数!$AH$22,1)</f>
        <v>1</v>
      </c>
      <c r="AJ720" s="1">
        <f>MIN(1,MAX(0,J720+方案参数!$AB$22-配置与结果!$B$27))</f>
        <v>1</v>
      </c>
      <c r="AK720" s="1">
        <f>MAX(1,K720+IF(F720=2,0.15+方案参数!$CH$22,0)+BN720*方案参数!$X$22+R720*方案参数!$AA$22+方案参数!$BQ$22-配置与结果!$B$26+Z720*(方案参数!$AP$22+MIN(方案参数!$AQ$22,P720*0.03)))</f>
        <v>3.0750000000000006</v>
      </c>
      <c r="AL720" s="7">
        <f>ROUNDDOWN(MAX(AD720*配置与结果!$B$31,AD720-AE720)*AF720*AG720*AH720*AI720,0)</f>
        <v>204381</v>
      </c>
      <c r="AM720" s="7">
        <f>ROUNDDOWN(MAX(AD720*配置与结果!$B$31,AD720-AE720)*AF720*AG720*AH720*AI720*AK720,0)</f>
        <v>628473</v>
      </c>
      <c r="AN720" s="7">
        <f t="shared" si="1009"/>
        <v>628473</v>
      </c>
      <c r="AO720" s="7">
        <f>0</f>
        <v>0</v>
      </c>
      <c r="AP720" s="7">
        <f>MAX(0,1+INDEX(配置与结果!$J$15:$J$18,F720)+IF(T720&gt;0,方案参数!$BY$22,0)-配置与结果!$B$30)</f>
        <v>1</v>
      </c>
      <c r="AQ720" s="7">
        <f t="shared" si="1010"/>
        <v>0</v>
      </c>
      <c r="AR720" s="7">
        <f t="shared" si="1011"/>
        <v>0</v>
      </c>
      <c r="AS720" s="7">
        <f t="shared" si="1012"/>
        <v>0</v>
      </c>
      <c r="AT720" s="7">
        <f>IF(U720&gt;0,ROUNDDOWN(AL720*方案参数!$AF$22,0)*(1-AJ720)+ROUNDDOWN(AM720*方案参数!$AF$22,0)*AJ720,0)</f>
        <v>251389</v>
      </c>
      <c r="AU720" s="7">
        <f t="shared" si="1013"/>
        <v>879862</v>
      </c>
      <c r="AV720" s="1">
        <f t="shared" si="1014"/>
        <v>2</v>
      </c>
      <c r="AW720" s="1">
        <f t="shared" si="1018"/>
        <v>10</v>
      </c>
      <c r="AX720" s="1">
        <f t="shared" si="1015"/>
        <v>2</v>
      </c>
      <c r="AY720" s="1">
        <f>MIN(20,MAX(0,O720+0+1-0))</f>
        <v>6</v>
      </c>
      <c r="AZ720" s="1">
        <f t="shared" si="1016"/>
        <v>10</v>
      </c>
      <c r="BA720" s="1">
        <f t="shared" si="1001"/>
        <v>5</v>
      </c>
      <c r="BB720" s="1">
        <f t="shared" si="1017"/>
        <v>20</v>
      </c>
      <c r="BC720" s="1">
        <f t="shared" si="1007"/>
        <v>3</v>
      </c>
      <c r="BD720" s="1">
        <f t="shared" si="988"/>
        <v>0</v>
      </c>
      <c r="BE720" s="1">
        <f>MAX(0,U720-IF(AF720&gt;0,1,0))+0</f>
        <v>0</v>
      </c>
      <c r="BF720" s="1">
        <f t="shared" si="1019"/>
        <v>4</v>
      </c>
      <c r="BG720" s="1">
        <f t="shared" si="998"/>
        <v>1</v>
      </c>
      <c r="BH720" s="1">
        <f t="shared" si="982"/>
        <v>1</v>
      </c>
      <c r="BI720" s="1">
        <f t="shared" si="999"/>
        <v>1</v>
      </c>
      <c r="BJ720" s="1">
        <f t="shared" si="1002"/>
        <v>1</v>
      </c>
      <c r="BK720" s="1">
        <f t="shared" si="1003"/>
        <v>1</v>
      </c>
      <c r="BL720" s="1">
        <f t="shared" si="1008"/>
        <v>1</v>
      </c>
      <c r="BM720" s="1">
        <f t="shared" si="1006"/>
        <v>1</v>
      </c>
      <c r="BN720" s="1">
        <f t="shared" si="983"/>
        <v>1</v>
      </c>
      <c r="BO720" s="1">
        <f t="shared" si="984"/>
        <v>1</v>
      </c>
    </row>
    <row r="721" spans="1:67" ht="30.95" customHeight="1">
      <c r="A721" s="1">
        <f>19</f>
        <v>19</v>
      </c>
      <c r="B721" s="1">
        <f>固定流程!A37</f>
        <v>32</v>
      </c>
      <c r="C721" s="1">
        <f>22</f>
        <v>22</v>
      </c>
      <c r="D721" s="1">
        <f>2</f>
        <v>2</v>
      </c>
      <c r="E721" s="1">
        <f>固定流程!C37</f>
        <v>3</v>
      </c>
      <c r="F721" s="1">
        <f>固定流程!G37</f>
        <v>1</v>
      </c>
      <c r="G721" s="1" t="str">
        <f>固定流程!H37</f>
        <v>LILYA_WEAK</v>
      </c>
      <c r="H721" s="1">
        <f>固定流程!F37</f>
        <v>1</v>
      </c>
      <c r="I721" s="1">
        <f>INDEX(配置与结果!$B$15:$B$18,F721)</f>
        <v>2296</v>
      </c>
      <c r="J721" s="1">
        <f>INDEX(配置与结果!$D$15:$D$18,F721)</f>
        <v>0.7</v>
      </c>
      <c r="K721" s="1">
        <f>INDEX(配置与结果!$E$15:$E$18,F721)</f>
        <v>2.0249999999999999</v>
      </c>
      <c r="L721" s="1">
        <f t="shared" si="995"/>
        <v>2</v>
      </c>
      <c r="M721" s="1">
        <f t="shared" si="996"/>
        <v>10</v>
      </c>
      <c r="N721" s="1">
        <f t="shared" si="997"/>
        <v>2</v>
      </c>
      <c r="O721" s="1">
        <f t="shared" si="989"/>
        <v>6</v>
      </c>
      <c r="P721" s="1">
        <f>MIN(方案参数!$AI$22,AZ720+0+0)</f>
        <v>10</v>
      </c>
      <c r="Q721" s="1">
        <f t="shared" si="967"/>
        <v>5</v>
      </c>
      <c r="R721" s="1">
        <f t="shared" si="968"/>
        <v>20</v>
      </c>
      <c r="S721" s="1">
        <f t="shared" si="969"/>
        <v>3</v>
      </c>
      <c r="T721" s="1">
        <f t="shared" si="1004"/>
        <v>0</v>
      </c>
      <c r="U721" s="1">
        <f t="shared" si="971"/>
        <v>0</v>
      </c>
      <c r="V721" s="1">
        <f t="shared" si="972"/>
        <v>4</v>
      </c>
      <c r="W721" s="1">
        <f t="shared" si="973"/>
        <v>1</v>
      </c>
      <c r="X721" s="1">
        <f t="shared" si="974"/>
        <v>1</v>
      </c>
      <c r="Y721" s="1">
        <f t="shared" si="975"/>
        <v>1</v>
      </c>
      <c r="Z721" s="1">
        <f t="shared" si="976"/>
        <v>1</v>
      </c>
      <c r="AA721" s="1">
        <f t="shared" si="1000"/>
        <v>1</v>
      </c>
      <c r="AB721" s="1">
        <f t="shared" si="978"/>
        <v>1</v>
      </c>
      <c r="AC721" s="1">
        <f t="shared" si="1005"/>
        <v>1</v>
      </c>
      <c r="AD721" s="1">
        <f>ROUNDDOWN(I721*(1+IF(F721=3,0.05+方案参数!$Y$22+AA721*0.12,IF(F721=4,方案参数!$BZ$22*方案参数!$AS$22,0)))+IF(AND(X721=1,F721&lt;&gt;3),方案参数!$CC$22,0)+AC721*方案参数!$CB$22,0)</f>
        <v>3094</v>
      </c>
      <c r="AE721" s="1">
        <f>IF(OR(F721=1,F721=4),配置与结果!$B$24,配置与结果!$B$25)*MAX(0,1-INDEX(配置与结果!$I$15:$I$18,F721))</f>
        <v>1200</v>
      </c>
      <c r="AF721" s="1">
        <f>方案参数!$BL$22</f>
        <v>9</v>
      </c>
      <c r="AG721" s="1">
        <f>MAX(配置与结果!$B$32,1+INDEX(配置与结果!$F$15:$F$18,F721)+0.08+方案参数!$CD$22+Q721*方案参数!$W$22+Y721*(方案参数!$AN$22+MIN(方案参数!$AO$22,P721*0.03))+AB721*方案参数!$BZ$22*0.025-配置与结果!$B$28+方案参数!$AE$22)</f>
        <v>2.7250000000000001</v>
      </c>
      <c r="AH721" s="1">
        <f>MAX(0,1+V721*方案参数!$U$22+8*方案参数!$V$22+方案参数!$AE$22-配置与结果!$B$29)</f>
        <v>2.04</v>
      </c>
      <c r="AI721" s="1">
        <f>IF(OR(INDEX(配置与结果!$K$15:$K$18,F721)=1,G721="RHI_BERRY"),1+配置与结果!$B$33+P721*方案参数!$AH$22,1)</f>
        <v>1</v>
      </c>
      <c r="AJ721" s="1">
        <f>MIN(1,MAX(0,J721+方案参数!$AB$22-配置与结果!$B$27))</f>
        <v>1</v>
      </c>
      <c r="AK721" s="1">
        <f>MAX(1,K721+IF(F721=2,0.15+方案参数!$CH$22,0)+BN721*方案参数!$X$22+R721*方案参数!$AA$22+方案参数!$BP$22-配置与结果!$B$26+Z721*(方案参数!$AP$22+MIN(方案参数!$AQ$22,P721*0.03)))</f>
        <v>2.8750000000000004</v>
      </c>
      <c r="AL721" s="7">
        <f>ROUNDDOWN(MAX(AD721*配置与结果!$B$31,AD721-AE721)*AF721*AG721*AH721*AI721,0)</f>
        <v>94758</v>
      </c>
      <c r="AM721" s="7">
        <f>ROUNDDOWN(MAX(AD721*配置与结果!$B$31,AD721-AE721)*AF721*AG721*AH721*AI721*AK721,0)</f>
        <v>272431</v>
      </c>
      <c r="AN721" s="7">
        <f t="shared" si="1009"/>
        <v>272431</v>
      </c>
      <c r="AO721" s="7">
        <f>0</f>
        <v>0</v>
      </c>
      <c r="AP721" s="7">
        <f>MAX(0,1+INDEX(配置与结果!$J$15:$J$18,F721)+IF(T721&gt;0,方案参数!$BY$22,0)-配置与结果!$B$30)</f>
        <v>1</v>
      </c>
      <c r="AQ721" s="7">
        <f t="shared" si="1010"/>
        <v>0</v>
      </c>
      <c r="AR721" s="7">
        <f t="shared" si="1011"/>
        <v>0</v>
      </c>
      <c r="AS721" s="7">
        <f t="shared" si="1012"/>
        <v>0</v>
      </c>
      <c r="AT721" s="7">
        <f>IF(U721&gt;0,ROUNDDOWN(AL721*方案参数!$AF$22,0)*(1-AJ721)+ROUNDDOWN(AM721*方案参数!$AF$22,0)*AJ721,0)</f>
        <v>0</v>
      </c>
      <c r="AU721" s="7">
        <f t="shared" si="1013"/>
        <v>272431</v>
      </c>
      <c r="AV721" s="1">
        <f t="shared" si="1014"/>
        <v>2</v>
      </c>
      <c r="AW721" s="1">
        <f t="shared" si="1018"/>
        <v>10</v>
      </c>
      <c r="AX721" s="1">
        <f t="shared" si="1015"/>
        <v>2</v>
      </c>
      <c r="AY721" s="1">
        <f>MIN(20,MAX(0,O721+0+1-0))</f>
        <v>7</v>
      </c>
      <c r="AZ721" s="1">
        <f t="shared" si="1016"/>
        <v>10</v>
      </c>
      <c r="BA721" s="1">
        <f t="shared" si="1001"/>
        <v>5</v>
      </c>
      <c r="BB721" s="1">
        <f t="shared" si="1017"/>
        <v>20</v>
      </c>
      <c r="BC721" s="1">
        <f t="shared" si="1007"/>
        <v>3</v>
      </c>
      <c r="BD721" s="1">
        <f t="shared" si="988"/>
        <v>0</v>
      </c>
      <c r="BE721" s="1">
        <f>MAX(0,U721-IF(AF721&gt;0,1,0))+0</f>
        <v>0</v>
      </c>
      <c r="BF721" s="1">
        <f t="shared" si="1019"/>
        <v>4</v>
      </c>
      <c r="BG721" s="1">
        <f t="shared" si="998"/>
        <v>1</v>
      </c>
      <c r="BH721" s="1">
        <f t="shared" si="982"/>
        <v>1</v>
      </c>
      <c r="BI721" s="1">
        <f t="shared" si="999"/>
        <v>1</v>
      </c>
      <c r="BJ721" s="1">
        <f t="shared" si="1002"/>
        <v>1</v>
      </c>
      <c r="BK721" s="1">
        <f t="shared" si="1003"/>
        <v>1</v>
      </c>
      <c r="BL721" s="1">
        <f t="shared" si="1008"/>
        <v>1</v>
      </c>
      <c r="BM721" s="1">
        <f t="shared" si="1006"/>
        <v>1</v>
      </c>
      <c r="BN721" s="1">
        <f t="shared" si="983"/>
        <v>1</v>
      </c>
      <c r="BO721" s="1">
        <f t="shared" si="984"/>
        <v>1</v>
      </c>
    </row>
    <row r="722" spans="1:67" ht="30.95" customHeight="1">
      <c r="A722" s="1">
        <f>19</f>
        <v>19</v>
      </c>
      <c r="B722" s="1">
        <f>固定流程!A38</f>
        <v>33</v>
      </c>
      <c r="C722" s="1">
        <f>22</f>
        <v>22</v>
      </c>
      <c r="D722" s="1">
        <f>2</f>
        <v>2</v>
      </c>
      <c r="E722" s="1">
        <f>固定流程!C38</f>
        <v>3</v>
      </c>
      <c r="F722" s="1">
        <f>固定流程!G38</f>
        <v>1</v>
      </c>
      <c r="G722" s="1" t="str">
        <f>固定流程!H38</f>
        <v>LILYA_WEAK</v>
      </c>
      <c r="H722" s="1">
        <f>固定流程!F38</f>
        <v>1</v>
      </c>
      <c r="I722" s="1">
        <f>INDEX(配置与结果!$B$15:$B$18,F722)</f>
        <v>2296</v>
      </c>
      <c r="J722" s="1">
        <f>INDEX(配置与结果!$D$15:$D$18,F722)</f>
        <v>0.7</v>
      </c>
      <c r="K722" s="1">
        <f>INDEX(配置与结果!$E$15:$E$18,F722)</f>
        <v>2.0249999999999999</v>
      </c>
      <c r="L722" s="1">
        <f t="shared" si="995"/>
        <v>2</v>
      </c>
      <c r="M722" s="1">
        <f t="shared" si="996"/>
        <v>10</v>
      </c>
      <c r="N722" s="1">
        <f t="shared" si="997"/>
        <v>2</v>
      </c>
      <c r="O722" s="1">
        <f t="shared" si="989"/>
        <v>7</v>
      </c>
      <c r="P722" s="1">
        <f>MIN(方案参数!$AI$22,AZ721+0+0)</f>
        <v>10</v>
      </c>
      <c r="Q722" s="1">
        <f t="shared" si="967"/>
        <v>5</v>
      </c>
      <c r="R722" s="1">
        <f t="shared" si="968"/>
        <v>20</v>
      </c>
      <c r="S722" s="1">
        <f t="shared" si="969"/>
        <v>3</v>
      </c>
      <c r="T722" s="1">
        <f t="shared" si="1004"/>
        <v>0</v>
      </c>
      <c r="U722" s="1">
        <f t="shared" si="971"/>
        <v>0</v>
      </c>
      <c r="V722" s="1">
        <f t="shared" si="972"/>
        <v>4</v>
      </c>
      <c r="W722" s="1">
        <f t="shared" si="973"/>
        <v>1</v>
      </c>
      <c r="X722" s="1">
        <f t="shared" si="974"/>
        <v>1</v>
      </c>
      <c r="Y722" s="1">
        <f t="shared" si="975"/>
        <v>1</v>
      </c>
      <c r="Z722" s="1">
        <f t="shared" si="976"/>
        <v>1</v>
      </c>
      <c r="AA722" s="1">
        <f t="shared" si="1000"/>
        <v>1</v>
      </c>
      <c r="AB722" s="1">
        <f t="shared" si="978"/>
        <v>1</v>
      </c>
      <c r="AC722" s="1">
        <f t="shared" si="1005"/>
        <v>1</v>
      </c>
      <c r="AD722" s="1">
        <f>ROUNDDOWN(I722*(1+IF(F722=3,0.05+方案参数!$Y$22+AA722*0.12,IF(F722=4,方案参数!$BZ$22*方案参数!$AS$22,0)))+IF(AND(X722=1,F722&lt;&gt;3),方案参数!$CC$22,0)+AC722*方案参数!$CB$22,0)</f>
        <v>3094</v>
      </c>
      <c r="AE722" s="1">
        <f>IF(OR(F722=1,F722=4),配置与结果!$B$24,配置与结果!$B$25)*MAX(0,1-INDEX(配置与结果!$I$15:$I$18,F722))</f>
        <v>1200</v>
      </c>
      <c r="AF722" s="1">
        <f>方案参数!$BL$22</f>
        <v>9</v>
      </c>
      <c r="AG722" s="1">
        <f>MAX(配置与结果!$B$32,1+INDEX(配置与结果!$F$15:$F$18,F722)+0.08+方案参数!$CD$22+Q722*方案参数!$W$22+Y722*(方案参数!$AN$22+MIN(方案参数!$AO$22,P722*0.03))+AB722*方案参数!$BZ$22*0.025-配置与结果!$B$28+方案参数!$AE$22)</f>
        <v>2.7250000000000001</v>
      </c>
      <c r="AH722" s="1">
        <f>MAX(0,1+V722*方案参数!$U$22+9*方案参数!$V$22+方案参数!$AE$22-配置与结果!$B$29)</f>
        <v>2.1</v>
      </c>
      <c r="AI722" s="1">
        <f>IF(OR(INDEX(配置与结果!$K$15:$K$18,F722)=1,G722="RHI_BERRY"),1+配置与结果!$B$33+P722*方案参数!$AH$22,1)</f>
        <v>1</v>
      </c>
      <c r="AJ722" s="1">
        <f>MIN(1,MAX(0,J722+方案参数!$AB$22-配置与结果!$B$27))</f>
        <v>1</v>
      </c>
      <c r="AK722" s="1">
        <f>MAX(1,K722+IF(F722=2,0.15+方案参数!$CH$22,0)+BN722*方案参数!$X$22+R722*方案参数!$AA$22+方案参数!$BP$22-配置与结果!$B$26+Z722*(方案参数!$AP$22+MIN(方案参数!$AQ$22,P722*0.03)))</f>
        <v>2.8750000000000004</v>
      </c>
      <c r="AL722" s="7">
        <f>ROUNDDOWN(MAX(AD722*配置与结果!$B$31,AD722-AE722)*AF722*AG722*AH722*AI722,0)</f>
        <v>97545</v>
      </c>
      <c r="AM722" s="7">
        <f>ROUNDDOWN(MAX(AD722*配置与结果!$B$31,AD722-AE722)*AF722*AG722*AH722*AI722*AK722,0)</f>
        <v>280443</v>
      </c>
      <c r="AN722" s="7">
        <f t="shared" si="1009"/>
        <v>280443</v>
      </c>
      <c r="AO722" s="7">
        <f>0</f>
        <v>0</v>
      </c>
      <c r="AP722" s="7">
        <f>MAX(0,1+INDEX(配置与结果!$J$15:$J$18,F722)+IF(T722&gt;0,方案参数!$BY$22,0)-配置与结果!$B$30)</f>
        <v>1</v>
      </c>
      <c r="AQ722" s="7">
        <f t="shared" si="1010"/>
        <v>0</v>
      </c>
      <c r="AR722" s="7">
        <f t="shared" si="1011"/>
        <v>0</v>
      </c>
      <c r="AS722" s="7">
        <f t="shared" si="1012"/>
        <v>0</v>
      </c>
      <c r="AT722" s="7">
        <f>IF(U722&gt;0,ROUNDDOWN(AL722*方案参数!$AF$22,0)*(1-AJ722)+ROUNDDOWN(AM722*方案参数!$AF$22,0)*AJ722,0)</f>
        <v>0</v>
      </c>
      <c r="AU722" s="7">
        <f t="shared" si="1013"/>
        <v>280443</v>
      </c>
      <c r="AV722" s="1">
        <f t="shared" si="1014"/>
        <v>2</v>
      </c>
      <c r="AW722" s="1">
        <f t="shared" si="1018"/>
        <v>10</v>
      </c>
      <c r="AX722" s="1">
        <f t="shared" si="1015"/>
        <v>2</v>
      </c>
      <c r="AY722" s="1">
        <f>MIN(20,MAX(0,O722+0+1-0))</f>
        <v>8</v>
      </c>
      <c r="AZ722" s="1">
        <f t="shared" si="1016"/>
        <v>10</v>
      </c>
      <c r="BA722" s="1">
        <f t="shared" si="1001"/>
        <v>5</v>
      </c>
      <c r="BB722" s="1">
        <f t="shared" si="1017"/>
        <v>20</v>
      </c>
      <c r="BC722" s="1">
        <f t="shared" si="1007"/>
        <v>3</v>
      </c>
      <c r="BD722" s="1">
        <f t="shared" si="988"/>
        <v>0</v>
      </c>
      <c r="BE722" s="1">
        <f>MAX(0,U722-IF(AF722&gt;0,1,0))+0</f>
        <v>0</v>
      </c>
      <c r="BF722" s="1">
        <f t="shared" si="1019"/>
        <v>4</v>
      </c>
      <c r="BG722" s="1">
        <f t="shared" si="998"/>
        <v>1</v>
      </c>
      <c r="BH722" s="1">
        <f t="shared" si="982"/>
        <v>1</v>
      </c>
      <c r="BI722" s="1">
        <f t="shared" si="999"/>
        <v>1</v>
      </c>
      <c r="BJ722" s="1">
        <f t="shared" si="1002"/>
        <v>1</v>
      </c>
      <c r="BK722" s="1">
        <f t="shared" si="1003"/>
        <v>1</v>
      </c>
      <c r="BL722" s="1">
        <f t="shared" si="1008"/>
        <v>1</v>
      </c>
      <c r="BM722" s="1">
        <f t="shared" si="1006"/>
        <v>1</v>
      </c>
      <c r="BN722" s="1">
        <f t="shared" si="983"/>
        <v>1</v>
      </c>
      <c r="BO722" s="1">
        <f t="shared" si="984"/>
        <v>1</v>
      </c>
    </row>
    <row r="723" spans="1:67" ht="30.95" customHeight="1">
      <c r="A723" s="1">
        <f>19</f>
        <v>19</v>
      </c>
      <c r="B723" s="1">
        <f>固定流程!A39</f>
        <v>34</v>
      </c>
      <c r="C723" s="1">
        <f>22</f>
        <v>22</v>
      </c>
      <c r="D723" s="1">
        <f>2</f>
        <v>2</v>
      </c>
      <c r="E723" s="1">
        <f>固定流程!C39</f>
        <v>3</v>
      </c>
      <c r="F723" s="1">
        <f>固定流程!G39</f>
        <v>2</v>
      </c>
      <c r="G723" s="1" t="str">
        <f>固定流程!H39</f>
        <v>37_WEAK</v>
      </c>
      <c r="H723" s="1">
        <f>固定流程!F39</f>
        <v>1</v>
      </c>
      <c r="I723" s="1">
        <f>INDEX(配置与结果!$B$15:$B$18,F723)</f>
        <v>2306</v>
      </c>
      <c r="J723" s="1">
        <f>INDEX(配置与结果!$D$15:$D$18,F723)</f>
        <v>0.46</v>
      </c>
      <c r="K723" s="1">
        <f>INDEX(配置与结果!$E$15:$E$18,F723)</f>
        <v>1.9279999999999999</v>
      </c>
      <c r="L723" s="1">
        <f t="shared" si="995"/>
        <v>2</v>
      </c>
      <c r="M723" s="1">
        <f t="shared" si="996"/>
        <v>10</v>
      </c>
      <c r="N723" s="1">
        <f t="shared" si="997"/>
        <v>2</v>
      </c>
      <c r="O723" s="1">
        <f t="shared" si="989"/>
        <v>8</v>
      </c>
      <c r="P723" s="1">
        <f>MIN(方案参数!$AI$22,AZ722+0+0)</f>
        <v>10</v>
      </c>
      <c r="Q723" s="1">
        <f t="shared" si="967"/>
        <v>5</v>
      </c>
      <c r="R723" s="1">
        <f t="shared" si="968"/>
        <v>20</v>
      </c>
      <c r="S723" s="1">
        <f t="shared" si="969"/>
        <v>3</v>
      </c>
      <c r="T723" s="1">
        <f t="shared" si="1004"/>
        <v>0</v>
      </c>
      <c r="U723" s="1">
        <f t="shared" si="971"/>
        <v>0</v>
      </c>
      <c r="V723" s="1">
        <f t="shared" si="972"/>
        <v>4</v>
      </c>
      <c r="W723" s="1">
        <f t="shared" si="973"/>
        <v>1</v>
      </c>
      <c r="X723" s="1">
        <f t="shared" si="974"/>
        <v>1</v>
      </c>
      <c r="Y723" s="1">
        <f t="shared" si="975"/>
        <v>1</v>
      </c>
      <c r="Z723" s="1">
        <f t="shared" si="976"/>
        <v>1</v>
      </c>
      <c r="AA723" s="1">
        <f t="shared" si="1000"/>
        <v>1</v>
      </c>
      <c r="AB723" s="1">
        <f t="shared" si="978"/>
        <v>1</v>
      </c>
      <c r="AC723" s="1">
        <f t="shared" si="1005"/>
        <v>1</v>
      </c>
      <c r="AD723" s="1">
        <f>ROUNDDOWN(I723*(1+IF(F723=3,0.05+方案参数!$Y$22+AA723*0.12,IF(F723=4,方案参数!$BZ$22*方案参数!$AS$22,0)))+IF(AND(X723=1,F723&lt;&gt;3),方案参数!$CC$22,0)+AC723*方案参数!$CB$22,0)</f>
        <v>3104</v>
      </c>
      <c r="AE723" s="1">
        <f>IF(OR(F723=1,F723=4),配置与结果!$B$24,配置与结果!$B$25)*MAX(0,1-INDEX(配置与结果!$I$15:$I$18,F723))</f>
        <v>1000</v>
      </c>
      <c r="AF723" s="1">
        <f>方案参数!$CE$22</f>
        <v>8</v>
      </c>
      <c r="AG723" s="1">
        <f>MAX(配置与结果!$B$32,1+INDEX(配置与结果!$F$15:$F$18,F723)+0+Q723*方案参数!$W$22+Y723*(方案参数!$AN$22+MIN(方案参数!$AO$22,P723*0.03))+AB723*方案参数!$BZ$22*0.025-配置与结果!$B$28+方案参数!$AE$22)</f>
        <v>2.39</v>
      </c>
      <c r="AH723" s="1">
        <f>MAX(0,1+V723*方案参数!$U$22+方案参数!$AE$22-配置与结果!$B$29)</f>
        <v>1.56</v>
      </c>
      <c r="AI723" s="1">
        <f>IF(OR(INDEX(配置与结果!$K$15:$K$18,F723)=1,G723="RHI_BERRY"),1+配置与结果!$B$33+P723*方案参数!$AH$22,1)</f>
        <v>1</v>
      </c>
      <c r="AJ723" s="1">
        <f>MIN(1,MAX(0,J723+方案参数!$AB$22-配置与结果!$B$27))</f>
        <v>0.76</v>
      </c>
      <c r="AK723" s="1">
        <f>MAX(1,K723+IF(F723=2,0.15+方案参数!$CH$22,0)+BN723*方案参数!$X$22+R723*方案参数!$AA$22+0-配置与结果!$B$26+Z723*(方案参数!$AP$22+MIN(方案参数!$AQ$22,P723*0.03)))</f>
        <v>2.4480000000000004</v>
      </c>
      <c r="AL723" s="7">
        <f>ROUNDDOWN(MAX(AD723*配置与结果!$B$31,AD723-AE723)*AF723*AG723*AH723*AI723,0)</f>
        <v>62756</v>
      </c>
      <c r="AM723" s="7">
        <f>ROUNDDOWN(MAX(AD723*配置与结果!$B$31,AD723-AE723)*AF723*AG723*AH723*AI723*AK723,0)</f>
        <v>153627</v>
      </c>
      <c r="AN723" s="7">
        <f t="shared" si="1009"/>
        <v>131817.96</v>
      </c>
      <c r="AO723" s="7">
        <f>0</f>
        <v>0</v>
      </c>
      <c r="AP723" s="7">
        <f>MAX(0,1+INDEX(配置与结果!$J$15:$J$18,F723)+IF(T723&gt;0,方案参数!$BY$22,0)-配置与结果!$B$30)</f>
        <v>1</v>
      </c>
      <c r="AQ723" s="7">
        <f t="shared" si="1010"/>
        <v>0</v>
      </c>
      <c r="AR723" s="7">
        <f t="shared" si="1011"/>
        <v>0</v>
      </c>
      <c r="AS723" s="7">
        <f t="shared" si="1012"/>
        <v>0</v>
      </c>
      <c r="AT723" s="7">
        <f>IF(U723&gt;0,ROUNDDOWN(AL723*方案参数!$AF$22,0)*(1-AJ723)+ROUNDDOWN(AM723*方案参数!$AF$22,0)*AJ723,0)</f>
        <v>0</v>
      </c>
      <c r="AU723" s="7">
        <f t="shared" si="1013"/>
        <v>131817.96</v>
      </c>
      <c r="AV723" s="1">
        <f t="shared" si="1014"/>
        <v>2</v>
      </c>
      <c r="AW723" s="1">
        <f t="shared" si="1018"/>
        <v>10</v>
      </c>
      <c r="AX723" s="1">
        <f t="shared" si="1015"/>
        <v>2</v>
      </c>
      <c r="AY723" s="1">
        <f>MIN(20,MAX(0,O723+0+0-0))</f>
        <v>8</v>
      </c>
      <c r="AZ723" s="1">
        <f t="shared" si="1016"/>
        <v>10</v>
      </c>
      <c r="BA723" s="1">
        <f t="shared" si="1001"/>
        <v>5</v>
      </c>
      <c r="BB723" s="1">
        <f t="shared" si="1017"/>
        <v>20</v>
      </c>
      <c r="BC723" s="1">
        <f t="shared" si="1007"/>
        <v>3</v>
      </c>
      <c r="BD723" s="1">
        <f t="shared" si="988"/>
        <v>0</v>
      </c>
      <c r="BE723" s="1">
        <f>MAX(0,U723-IF(AF723&gt;0,1,0))+1</f>
        <v>1</v>
      </c>
      <c r="BF723" s="1">
        <f t="shared" si="1019"/>
        <v>4</v>
      </c>
      <c r="BG723" s="1">
        <f t="shared" si="998"/>
        <v>1</v>
      </c>
      <c r="BH723" s="1">
        <f t="shared" si="982"/>
        <v>1</v>
      </c>
      <c r="BI723" s="1">
        <f t="shared" si="999"/>
        <v>1</v>
      </c>
      <c r="BJ723" s="1">
        <f t="shared" si="1002"/>
        <v>1</v>
      </c>
      <c r="BK723" s="1">
        <f t="shared" si="1003"/>
        <v>1</v>
      </c>
      <c r="BL723" s="1">
        <f t="shared" si="1008"/>
        <v>1</v>
      </c>
      <c r="BM723" s="1">
        <f t="shared" si="1006"/>
        <v>1</v>
      </c>
      <c r="BN723" s="1">
        <f t="shared" si="983"/>
        <v>1</v>
      </c>
      <c r="BO723" s="1">
        <f t="shared" si="984"/>
        <v>1</v>
      </c>
    </row>
    <row r="724" spans="1:67" ht="30.95" customHeight="1">
      <c r="A724" s="1">
        <f>19</f>
        <v>19</v>
      </c>
      <c r="B724" s="1">
        <f>固定流程!A40</f>
        <v>35</v>
      </c>
      <c r="C724" s="1">
        <f>22</f>
        <v>22</v>
      </c>
      <c r="D724" s="1">
        <f>2</f>
        <v>2</v>
      </c>
      <c r="E724" s="1">
        <f>固定流程!C40</f>
        <v>3</v>
      </c>
      <c r="F724" s="1">
        <f>固定流程!G40</f>
        <v>2</v>
      </c>
      <c r="G724" s="1" t="str">
        <f>固定流程!H40</f>
        <v>37_WEAK</v>
      </c>
      <c r="H724" s="1">
        <f>固定流程!F40</f>
        <v>1</v>
      </c>
      <c r="I724" s="1">
        <f>INDEX(配置与结果!$B$15:$B$18,F724)</f>
        <v>2306</v>
      </c>
      <c r="J724" s="1">
        <f>INDEX(配置与结果!$D$15:$D$18,F724)</f>
        <v>0.46</v>
      </c>
      <c r="K724" s="1">
        <f>INDEX(配置与结果!$E$15:$E$18,F724)</f>
        <v>1.9279999999999999</v>
      </c>
      <c r="L724" s="1">
        <f t="shared" si="995"/>
        <v>2</v>
      </c>
      <c r="M724" s="1">
        <f t="shared" si="996"/>
        <v>10</v>
      </c>
      <c r="N724" s="1">
        <f t="shared" si="997"/>
        <v>2</v>
      </c>
      <c r="O724" s="1">
        <f t="shared" si="989"/>
        <v>8</v>
      </c>
      <c r="P724" s="1">
        <f>MIN(方案参数!$AI$22,AZ723+0+0)</f>
        <v>10</v>
      </c>
      <c r="Q724" s="1">
        <f t="shared" si="967"/>
        <v>5</v>
      </c>
      <c r="R724" s="1">
        <f t="shared" si="968"/>
        <v>20</v>
      </c>
      <c r="S724" s="1">
        <f t="shared" si="969"/>
        <v>3</v>
      </c>
      <c r="T724" s="1">
        <f t="shared" si="1004"/>
        <v>0</v>
      </c>
      <c r="U724" s="1">
        <f t="shared" si="971"/>
        <v>1</v>
      </c>
      <c r="V724" s="1">
        <f t="shared" si="972"/>
        <v>4</v>
      </c>
      <c r="W724" s="1">
        <f t="shared" si="973"/>
        <v>1</v>
      </c>
      <c r="X724" s="1">
        <f t="shared" si="974"/>
        <v>1</v>
      </c>
      <c r="Y724" s="1">
        <f t="shared" si="975"/>
        <v>1</v>
      </c>
      <c r="Z724" s="1">
        <f t="shared" si="976"/>
        <v>1</v>
      </c>
      <c r="AA724" s="1">
        <f t="shared" si="1000"/>
        <v>1</v>
      </c>
      <c r="AB724" s="1">
        <f t="shared" si="978"/>
        <v>1</v>
      </c>
      <c r="AC724" s="1">
        <f t="shared" si="1005"/>
        <v>1</v>
      </c>
      <c r="AD724" s="1">
        <f>ROUNDDOWN(I724*(1+IF(F724=3,0.05+方案参数!$Y$22+AA724*0.12,IF(F724=4,方案参数!$BZ$22*方案参数!$AS$22,0)))+IF(AND(X724=1,F724&lt;&gt;3),方案参数!$CC$22,0)+AC724*方案参数!$CB$22,0)</f>
        <v>3104</v>
      </c>
      <c r="AE724" s="1">
        <f>IF(OR(F724=1,F724=4),配置与结果!$B$24,配置与结果!$B$25)*MAX(0,1-INDEX(配置与结果!$I$15:$I$18,F724))</f>
        <v>1000</v>
      </c>
      <c r="AF724" s="1">
        <f>方案参数!$CE$22</f>
        <v>8</v>
      </c>
      <c r="AG724" s="1">
        <f>MAX(配置与结果!$B$32,1+INDEX(配置与结果!$F$15:$F$18,F724)+0+Q724*方案参数!$W$22+Y724*(方案参数!$AN$22+MIN(方案参数!$AO$22,P724*0.03))+AB724*方案参数!$BZ$22*0.025-配置与结果!$B$28+方案参数!$AE$22)</f>
        <v>2.39</v>
      </c>
      <c r="AH724" s="1">
        <f>MAX(0,1+V724*方案参数!$U$22+方案参数!$AE$22-配置与结果!$B$29)</f>
        <v>1.56</v>
      </c>
      <c r="AI724" s="1">
        <f>IF(OR(INDEX(配置与结果!$K$15:$K$18,F724)=1,G724="RHI_BERRY"),1+配置与结果!$B$33+P724*方案参数!$AH$22,1)</f>
        <v>1</v>
      </c>
      <c r="AJ724" s="1">
        <f>MIN(1,MAX(0,J724+方案参数!$AB$22-配置与结果!$B$27))</f>
        <v>0.76</v>
      </c>
      <c r="AK724" s="1">
        <f>MAX(1,K724+IF(F724=2,0.15+方案参数!$CH$22,0)+BN724*方案参数!$X$22+R724*方案参数!$AA$22+0-配置与结果!$B$26+Z724*(方案参数!$AP$22+MIN(方案参数!$AQ$22,P724*0.03)))</f>
        <v>2.4480000000000004</v>
      </c>
      <c r="AL724" s="7">
        <f>ROUNDDOWN(MAX(AD724*配置与结果!$B$31,AD724-AE724)*AF724*AG724*AH724*AI724,0)</f>
        <v>62756</v>
      </c>
      <c r="AM724" s="7">
        <f>ROUNDDOWN(MAX(AD724*配置与结果!$B$31,AD724-AE724)*AF724*AG724*AH724*AI724*AK724,0)</f>
        <v>153627</v>
      </c>
      <c r="AN724" s="7">
        <f t="shared" si="1009"/>
        <v>131817.96</v>
      </c>
      <c r="AO724" s="7">
        <f>0</f>
        <v>0</v>
      </c>
      <c r="AP724" s="7">
        <f>MAX(0,1+INDEX(配置与结果!$J$15:$J$18,F724)+IF(T724&gt;0,方案参数!$BY$22,0)-配置与结果!$B$30)</f>
        <v>1</v>
      </c>
      <c r="AQ724" s="7">
        <f t="shared" si="1010"/>
        <v>0</v>
      </c>
      <c r="AR724" s="7">
        <f t="shared" si="1011"/>
        <v>0</v>
      </c>
      <c r="AS724" s="7">
        <f t="shared" si="1012"/>
        <v>0</v>
      </c>
      <c r="AT724" s="7">
        <f>IF(U724&gt;0,ROUNDDOWN(AL724*方案参数!$AF$22,0)*(1-AJ724)+ROUNDDOWN(AM724*方案参数!$AF$22,0)*AJ724,0)</f>
        <v>52726.479999999996</v>
      </c>
      <c r="AU724" s="7">
        <f t="shared" si="1013"/>
        <v>184544.44</v>
      </c>
      <c r="AV724" s="1">
        <f t="shared" si="1014"/>
        <v>2</v>
      </c>
      <c r="AW724" s="1">
        <f t="shared" si="1018"/>
        <v>10</v>
      </c>
      <c r="AX724" s="1">
        <f t="shared" si="1015"/>
        <v>2</v>
      </c>
      <c r="AY724" s="1">
        <f>MIN(20,MAX(0,O724+0+0-0))</f>
        <v>8</v>
      </c>
      <c r="AZ724" s="1">
        <f t="shared" si="1016"/>
        <v>10</v>
      </c>
      <c r="BA724" s="1">
        <f t="shared" si="1001"/>
        <v>5</v>
      </c>
      <c r="BB724" s="1">
        <f t="shared" si="1017"/>
        <v>20</v>
      </c>
      <c r="BC724" s="1">
        <f t="shared" si="1007"/>
        <v>3</v>
      </c>
      <c r="BD724" s="1">
        <f t="shared" si="988"/>
        <v>0</v>
      </c>
      <c r="BE724" s="1">
        <f>MAX(0,U724-IF(AF724&gt;0,1,0))+1</f>
        <v>1</v>
      </c>
      <c r="BF724" s="1">
        <f t="shared" si="1019"/>
        <v>4</v>
      </c>
      <c r="BG724" s="1">
        <f t="shared" si="998"/>
        <v>1</v>
      </c>
      <c r="BH724" s="1">
        <f t="shared" si="982"/>
        <v>1</v>
      </c>
      <c r="BI724" s="1">
        <f t="shared" si="999"/>
        <v>1</v>
      </c>
      <c r="BJ724" s="1">
        <f t="shared" si="1002"/>
        <v>1</v>
      </c>
      <c r="BK724" s="1">
        <f t="shared" si="1003"/>
        <v>1</v>
      </c>
      <c r="BL724" s="1">
        <f t="shared" si="1008"/>
        <v>1</v>
      </c>
      <c r="BM724" s="1">
        <f t="shared" si="1006"/>
        <v>1</v>
      </c>
      <c r="BN724" s="1">
        <f t="shared" si="983"/>
        <v>1</v>
      </c>
      <c r="BO724" s="1">
        <f t="shared" si="984"/>
        <v>1</v>
      </c>
    </row>
    <row r="725" spans="1:67" ht="30.95" customHeight="1">
      <c r="A725" s="1">
        <f>19</f>
        <v>19</v>
      </c>
      <c r="B725" s="1">
        <f>固定流程!A41</f>
        <v>36</v>
      </c>
      <c r="C725" s="1">
        <f>22</f>
        <v>22</v>
      </c>
      <c r="D725" s="1">
        <f>2</f>
        <v>2</v>
      </c>
      <c r="E725" s="1">
        <f>固定流程!C41</f>
        <v>3</v>
      </c>
      <c r="F725" s="1">
        <f>固定流程!G41</f>
        <v>1</v>
      </c>
      <c r="G725" s="1" t="str">
        <f>固定流程!H41</f>
        <v>LILYA_FINISH</v>
      </c>
      <c r="H725" s="1">
        <f>固定流程!F41</f>
        <v>1</v>
      </c>
      <c r="I725" s="1">
        <f>INDEX(配置与结果!$B$15:$B$18,F725)</f>
        <v>2296</v>
      </c>
      <c r="J725" s="1">
        <f>INDEX(配置与结果!$D$15:$D$18,F725)</f>
        <v>0.7</v>
      </c>
      <c r="K725" s="1">
        <f>INDEX(配置与结果!$E$15:$E$18,F725)</f>
        <v>2.0249999999999999</v>
      </c>
      <c r="L725" s="1">
        <f t="shared" si="995"/>
        <v>2</v>
      </c>
      <c r="M725" s="1">
        <f t="shared" si="996"/>
        <v>10</v>
      </c>
      <c r="N725" s="1">
        <f t="shared" si="997"/>
        <v>2</v>
      </c>
      <c r="O725" s="1">
        <f t="shared" si="989"/>
        <v>8</v>
      </c>
      <c r="P725" s="1">
        <f>MIN(方案参数!$AI$22,AZ724+0+0)</f>
        <v>10</v>
      </c>
      <c r="Q725" s="1">
        <f t="shared" si="967"/>
        <v>5</v>
      </c>
      <c r="R725" s="1">
        <f t="shared" si="968"/>
        <v>20</v>
      </c>
      <c r="S725" s="1">
        <f t="shared" si="969"/>
        <v>3</v>
      </c>
      <c r="T725" s="1">
        <f t="shared" si="1004"/>
        <v>0</v>
      </c>
      <c r="U725" s="1">
        <f t="shared" si="971"/>
        <v>1</v>
      </c>
      <c r="V725" s="1">
        <f t="shared" si="972"/>
        <v>4</v>
      </c>
      <c r="W725" s="1">
        <f t="shared" si="973"/>
        <v>1</v>
      </c>
      <c r="X725" s="1">
        <f t="shared" si="974"/>
        <v>1</v>
      </c>
      <c r="Y725" s="1">
        <f t="shared" si="975"/>
        <v>1</v>
      </c>
      <c r="Z725" s="1">
        <f t="shared" si="976"/>
        <v>1</v>
      </c>
      <c r="AA725" s="1">
        <f t="shared" si="1000"/>
        <v>1</v>
      </c>
      <c r="AB725" s="1">
        <f t="shared" si="978"/>
        <v>1</v>
      </c>
      <c r="AC725" s="1">
        <f t="shared" si="1005"/>
        <v>1</v>
      </c>
      <c r="AD725" s="1">
        <f>ROUNDDOWN(I725*(1+IF(F725=3,0.05+方案参数!$Y$22+AA725*0.12,IF(F725=4,方案参数!$BZ$22*方案参数!$AS$22,0)))+IF(AND(X725=1,F725&lt;&gt;3),方案参数!$CC$22,0)+AC725*方案参数!$CB$22,0)</f>
        <v>3094</v>
      </c>
      <c r="AE725" s="1">
        <f>IF(OR(F725=1,F725=4),配置与结果!$B$24,配置与结果!$B$25)*MAX(0,1-INDEX(配置与结果!$I$15:$I$18,F725))</f>
        <v>1200</v>
      </c>
      <c r="AF725" s="1">
        <f>方案参数!$BN$22+12*方案参数!$BO$22</f>
        <v>48</v>
      </c>
      <c r="AG725" s="1">
        <f>MAX(配置与结果!$B$32,1+INDEX(配置与结果!$F$15:$F$18,F725)+0.08+方案参数!$CD$22+Q725*方案参数!$W$22+Y725*(方案参数!$AN$22+MIN(方案参数!$AO$22,P725*0.03))+AB725*方案参数!$BZ$22*0.025-配置与结果!$B$28+方案参数!$AE$22)</f>
        <v>2.7250000000000001</v>
      </c>
      <c r="AH725" s="1">
        <f>MAX(0,1+V725*方案参数!$U$22+12*方案参数!$V$22+方案参数!$AE$22-配置与结果!$B$29)</f>
        <v>2.2799999999999998</v>
      </c>
      <c r="AI725" s="1">
        <f>IF(OR(INDEX(配置与结果!$K$15:$K$18,F725)=1,G725="RHI_BERRY"),1+配置与结果!$B$33+P725*方案参数!$AH$22,1)</f>
        <v>1</v>
      </c>
      <c r="AJ725" s="1">
        <f>MIN(1,MAX(0,J725+方案参数!$AB$22-配置与结果!$B$27))</f>
        <v>1</v>
      </c>
      <c r="AK725" s="1">
        <f>MAX(1,K725+IF(F725=2,0.15+方案参数!$CH$22,0)+BN725*方案参数!$X$22+R725*方案参数!$AA$22+方案参数!$BR$22-配置与结果!$B$26+Z725*(方案参数!$AP$22+MIN(方案参数!$AQ$22,P725*0.03)))</f>
        <v>3.2750000000000004</v>
      </c>
      <c r="AL725" s="7">
        <f>ROUNDDOWN(MAX(AD725*配置与结果!$B$31,AD725-AE725)*AF725*AG725*AH725*AI725,0)</f>
        <v>564836</v>
      </c>
      <c r="AM725" s="7">
        <f>ROUNDDOWN(MAX(AD725*配置与结果!$B$31,AD725-AE725)*AF725*AG725*AH725*AI725*AK725,0)</f>
        <v>1849838</v>
      </c>
      <c r="AN725" s="7">
        <f t="shared" si="1009"/>
        <v>1849838</v>
      </c>
      <c r="AO725" s="7">
        <f>0</f>
        <v>0</v>
      </c>
      <c r="AP725" s="7">
        <f>MAX(0,1+INDEX(配置与结果!$J$15:$J$18,F725)+IF(T725&gt;0,方案参数!$BY$22,0)-配置与结果!$B$30)</f>
        <v>1</v>
      </c>
      <c r="AQ725" s="7">
        <f t="shared" si="1010"/>
        <v>0</v>
      </c>
      <c r="AR725" s="7">
        <f t="shared" si="1011"/>
        <v>0</v>
      </c>
      <c r="AS725" s="7">
        <f t="shared" si="1012"/>
        <v>0</v>
      </c>
      <c r="AT725" s="7">
        <f>IF(U725&gt;0,ROUNDDOWN(AL725*方案参数!$AF$22,0)*(1-AJ725)+ROUNDDOWN(AM725*方案参数!$AF$22,0)*AJ725,0)</f>
        <v>739935</v>
      </c>
      <c r="AU725" s="7">
        <f t="shared" si="1013"/>
        <v>2589773</v>
      </c>
      <c r="AV725" s="1">
        <f t="shared" si="1014"/>
        <v>2</v>
      </c>
      <c r="AW725" s="1">
        <f t="shared" si="1018"/>
        <v>10</v>
      </c>
      <c r="AX725" s="1">
        <f t="shared" si="1015"/>
        <v>2</v>
      </c>
      <c r="AY725" s="1">
        <f>MIN(20,MAX(0,O725+0+1-0))</f>
        <v>9</v>
      </c>
      <c r="AZ725" s="1">
        <f t="shared" si="1016"/>
        <v>10</v>
      </c>
      <c r="BA725" s="1">
        <f t="shared" si="1001"/>
        <v>5</v>
      </c>
      <c r="BB725" s="1">
        <f t="shared" si="1017"/>
        <v>20</v>
      </c>
      <c r="BC725" s="1">
        <f t="shared" si="1007"/>
        <v>3</v>
      </c>
      <c r="BD725" s="1">
        <f t="shared" si="988"/>
        <v>0</v>
      </c>
      <c r="BE725" s="1">
        <f>MAX(0,U725-IF(AF725&gt;0,1,0))+0</f>
        <v>0</v>
      </c>
      <c r="BF725" s="1">
        <f t="shared" si="1019"/>
        <v>4</v>
      </c>
      <c r="BG725" s="1">
        <f t="shared" si="998"/>
        <v>1</v>
      </c>
      <c r="BH725" s="1">
        <f t="shared" si="982"/>
        <v>1</v>
      </c>
      <c r="BI725" s="1">
        <f t="shared" si="999"/>
        <v>1</v>
      </c>
      <c r="BJ725" s="1">
        <f t="shared" si="1002"/>
        <v>1</v>
      </c>
      <c r="BK725" s="1">
        <f t="shared" si="1003"/>
        <v>1</v>
      </c>
      <c r="BL725" s="1">
        <f t="shared" si="1008"/>
        <v>1</v>
      </c>
      <c r="BM725" s="1">
        <f t="shared" si="1006"/>
        <v>1</v>
      </c>
      <c r="BN725" s="1">
        <f t="shared" si="983"/>
        <v>1</v>
      </c>
      <c r="BO725" s="1">
        <f t="shared" si="984"/>
        <v>1</v>
      </c>
    </row>
    <row r="726" spans="1:67" ht="30.95" customHeight="1">
      <c r="A726" s="1">
        <f>20</f>
        <v>20</v>
      </c>
      <c r="B726" s="1">
        <f>固定流程!A6</f>
        <v>1</v>
      </c>
      <c r="C726" s="1">
        <f>23</f>
        <v>23</v>
      </c>
      <c r="D726" s="1">
        <f>1</f>
        <v>1</v>
      </c>
      <c r="E726" s="1">
        <f>固定流程!C6</f>
        <v>1</v>
      </c>
      <c r="F726" s="1">
        <f>固定流程!G6</f>
        <v>3</v>
      </c>
      <c r="G726" s="1" t="str">
        <f>固定流程!H6</f>
        <v>RHI_ULT</v>
      </c>
      <c r="H726" s="1">
        <f>固定流程!F6</f>
        <v>1</v>
      </c>
      <c r="I726" s="1">
        <f>INDEX(配置与结果!$B$15:$B$18,F726)</f>
        <v>2597</v>
      </c>
      <c r="J726" s="1">
        <f>INDEX(配置与结果!$D$15:$D$18,F726)</f>
        <v>0.255</v>
      </c>
      <c r="K726" s="1">
        <f>INDEX(配置与结果!$E$15:$E$18,F726)</f>
        <v>1.55</v>
      </c>
      <c r="L726" s="1">
        <f>0</f>
        <v>0</v>
      </c>
      <c r="M726" s="1">
        <f>0</f>
        <v>0</v>
      </c>
      <c r="N726" s="1">
        <f>0</f>
        <v>0</v>
      </c>
      <c r="O726" s="1">
        <f>0</f>
        <v>0</v>
      </c>
      <c r="P726" s="1">
        <f>MIN(方案参数!$AI$23,0+方案参数!$AJ$23+0)</f>
        <v>1</v>
      </c>
      <c r="Q726" s="1">
        <f>0</f>
        <v>0</v>
      </c>
      <c r="R726" s="1">
        <f>0</f>
        <v>0</v>
      </c>
      <c r="S726" s="1">
        <f>0</f>
        <v>0</v>
      </c>
      <c r="T726" s="1">
        <f>0+0</f>
        <v>0</v>
      </c>
      <c r="U726" s="1">
        <f>0</f>
        <v>0</v>
      </c>
      <c r="V726" s="1">
        <f>0</f>
        <v>0</v>
      </c>
      <c r="W726" s="1">
        <f>0</f>
        <v>0</v>
      </c>
      <c r="X726" s="1">
        <f>0</f>
        <v>0</v>
      </c>
      <c r="Y726" s="1">
        <f>0</f>
        <v>0</v>
      </c>
      <c r="Z726" s="1">
        <f>0</f>
        <v>0</v>
      </c>
      <c r="AA726" s="1">
        <f>MAX(0,0)</f>
        <v>0</v>
      </c>
      <c r="AB726" s="1">
        <f>0</f>
        <v>0</v>
      </c>
      <c r="AC726" s="1">
        <f>MAX(0,0)</f>
        <v>0</v>
      </c>
      <c r="AD726" s="1">
        <f>ROUNDDOWN(I726*(1+IF(F726=3,0.05+方案参数!$Y$23+AA726*0.12,IF(F726=4,方案参数!$BZ$23*方案参数!$AS$23,0)))+IF(AND(X726=1,F726&lt;&gt;3),方案参数!$CC$23,0)+AC726*方案参数!$CB$23,0)</f>
        <v>2986</v>
      </c>
      <c r="AE726" s="1">
        <f>IF(OR(F726=1,F726=4),配置与结果!$B$24,配置与结果!$B$25)*MAX(0,1-INDEX(配置与结果!$I$15:$I$18,F726))</f>
        <v>1000</v>
      </c>
      <c r="AF726" s="1">
        <f>0</f>
        <v>0</v>
      </c>
      <c r="AG726" s="1">
        <f>MAX(配置与结果!$B$32,1+INDEX(配置与结果!$F$15:$F$18,F726)+0+Q726*方案参数!$W$23+Y726*(方案参数!$AN$23+MIN(方案参数!$AO$23,P726*0.03))+AB726*方案参数!$BZ$23*0.025-配置与结果!$B$28)</f>
        <v>0.6349999999999999</v>
      </c>
      <c r="AH726" s="1">
        <f>MAX(0,1+INDEX(配置与结果!$G$15:$G$18,F726)+W726*方案参数!$AG$23)</f>
        <v>1</v>
      </c>
      <c r="AI726" s="1">
        <f>IF(OR(INDEX(配置与结果!$K$15:$K$18,F726)=1,G726="RHI_BERRY"),1+配置与结果!$B$33+P726*方案参数!$AH$23,1)</f>
        <v>1</v>
      </c>
      <c r="AJ726" s="1">
        <f>MIN(1,MAX(0,J726+方案参数!$AB$23-配置与结果!$B$27))</f>
        <v>0.55499999999999994</v>
      </c>
      <c r="AK726" s="1">
        <f>MAX(1,K726+IF(F726=2,0.15+方案参数!$CH$23,0)+BN726*方案参数!$X$23+R726*方案参数!$AA$23+0-配置与结果!$B$26+Z726*(方案参数!$AP$23+MIN(方案参数!$AQ$23,P726*0.03)))</f>
        <v>1.1499999999999999</v>
      </c>
      <c r="AL726" s="7">
        <f>ROUNDDOWN(MAX(AD726*配置与结果!$B$31,AD726-AE726)*AF726*AG726*AH726*AI726,0)</f>
        <v>0</v>
      </c>
      <c r="AM726" s="7">
        <f>ROUNDDOWN(MAX(AD726*配置与结果!$B$31,AD726-AE726)*AF726*AG726*AH726*AI726*AK726,0)</f>
        <v>0</v>
      </c>
      <c r="AN726" s="7">
        <f t="shared" si="1009"/>
        <v>0</v>
      </c>
      <c r="AO726" s="7">
        <f>0</f>
        <v>0</v>
      </c>
      <c r="AP726" s="7">
        <f>MAX(0,1+INDEX(配置与结果!$J$15:$J$18,F726)+IF(T726&gt;0,方案参数!$BY$23,0)-配置与结果!$B$30)</f>
        <v>1</v>
      </c>
      <c r="AQ726" s="7">
        <f t="shared" si="1010"/>
        <v>0</v>
      </c>
      <c r="AR726" s="7">
        <f t="shared" si="1011"/>
        <v>0</v>
      </c>
      <c r="AS726" s="7">
        <f t="shared" si="1012"/>
        <v>0</v>
      </c>
      <c r="AT726" s="7">
        <f>0</f>
        <v>0</v>
      </c>
      <c r="AU726" s="7">
        <f t="shared" si="1013"/>
        <v>0</v>
      </c>
      <c r="AV726" s="1">
        <f t="shared" si="1014"/>
        <v>0</v>
      </c>
      <c r="AW726" s="1">
        <f t="shared" si="1018"/>
        <v>0</v>
      </c>
      <c r="AX726" s="1">
        <f t="shared" si="1015"/>
        <v>0</v>
      </c>
      <c r="AY726" s="1">
        <f>MIN(20,MAX(0,O726+0+0-0))</f>
        <v>0</v>
      </c>
      <c r="AZ726" s="1">
        <f t="shared" si="1016"/>
        <v>1</v>
      </c>
      <c r="BA726" s="1">
        <f>MIN(6,Q726+1)</f>
        <v>1</v>
      </c>
      <c r="BB726" s="1">
        <f>MIN(30,R726+5)</f>
        <v>5</v>
      </c>
      <c r="BC726" s="1">
        <f t="shared" si="1007"/>
        <v>0</v>
      </c>
      <c r="BD726" s="1">
        <f t="shared" si="988"/>
        <v>0</v>
      </c>
      <c r="BE726" s="1">
        <f>0</f>
        <v>0</v>
      </c>
      <c r="BF726" s="1">
        <f t="shared" si="1019"/>
        <v>0</v>
      </c>
      <c r="BG726" s="1">
        <f t="shared" si="998"/>
        <v>0</v>
      </c>
      <c r="BH726" s="1">
        <f>MAX(X726,1)</f>
        <v>1</v>
      </c>
      <c r="BI726" s="1">
        <f t="shared" si="999"/>
        <v>0</v>
      </c>
      <c r="BJ726" s="1">
        <f t="shared" si="1002"/>
        <v>0</v>
      </c>
      <c r="BK726" s="1">
        <f t="shared" si="1003"/>
        <v>0</v>
      </c>
      <c r="BL726" s="1">
        <f t="shared" si="1008"/>
        <v>0</v>
      </c>
      <c r="BM726" s="1">
        <f t="shared" si="1006"/>
        <v>0</v>
      </c>
      <c r="BN726" s="1">
        <f>0</f>
        <v>0</v>
      </c>
      <c r="BO726" s="1">
        <f>MAX(BN726,1)</f>
        <v>1</v>
      </c>
    </row>
    <row r="727" spans="1:67" ht="30.95" customHeight="1">
      <c r="A727" s="1">
        <f>20</f>
        <v>20</v>
      </c>
      <c r="B727" s="1">
        <f>固定流程!A7</f>
        <v>2</v>
      </c>
      <c r="C727" s="1">
        <f>23</f>
        <v>23</v>
      </c>
      <c r="D727" s="1">
        <f>1</f>
        <v>1</v>
      </c>
      <c r="E727" s="1">
        <f>固定流程!C7</f>
        <v>1</v>
      </c>
      <c r="F727" s="1">
        <f>固定流程!G7</f>
        <v>3</v>
      </c>
      <c r="G727" s="1" t="str">
        <f>固定流程!H7</f>
        <v>RHI_BUFF</v>
      </c>
      <c r="H727" s="1">
        <f>固定流程!F7</f>
        <v>1</v>
      </c>
      <c r="I727" s="1">
        <f>INDEX(配置与结果!$B$15:$B$18,F727)</f>
        <v>2597</v>
      </c>
      <c r="J727" s="1">
        <f>INDEX(配置与结果!$D$15:$D$18,F727)</f>
        <v>0.255</v>
      </c>
      <c r="K727" s="1">
        <f>INDEX(配置与结果!$E$15:$E$18,F727)</f>
        <v>1.55</v>
      </c>
      <c r="L727" s="1">
        <f t="shared" ref="L727:O732" si="1020">AV726</f>
        <v>0</v>
      </c>
      <c r="M727" s="1">
        <f t="shared" si="1020"/>
        <v>0</v>
      </c>
      <c r="N727" s="1">
        <f t="shared" si="1020"/>
        <v>0</v>
      </c>
      <c r="O727" s="1">
        <f t="shared" si="1020"/>
        <v>0</v>
      </c>
      <c r="P727" s="1">
        <f>MIN(方案参数!$AI$23,AZ726+0+方案参数!$AK$23)</f>
        <v>3</v>
      </c>
      <c r="Q727" s="1">
        <f t="shared" ref="Q727:Q761" si="1021">BA726</f>
        <v>1</v>
      </c>
      <c r="R727" s="1">
        <f t="shared" ref="R727:R761" si="1022">BB726</f>
        <v>5</v>
      </c>
      <c r="S727" s="1">
        <f t="shared" ref="S727:S761" si="1023">BC726</f>
        <v>0</v>
      </c>
      <c r="T727" s="1">
        <f t="shared" ref="T727:T740" si="1024">BD726+0</f>
        <v>0</v>
      </c>
      <c r="U727" s="1">
        <f t="shared" ref="U727:U761" si="1025">BE726</f>
        <v>0</v>
      </c>
      <c r="V727" s="1">
        <f t="shared" ref="V727:V761" si="1026">BF726</f>
        <v>0</v>
      </c>
      <c r="W727" s="1">
        <f t="shared" ref="W727:W761" si="1027">BG726</f>
        <v>0</v>
      </c>
      <c r="X727" s="1">
        <f t="shared" ref="X727:X761" si="1028">BH726</f>
        <v>1</v>
      </c>
      <c r="Y727" s="1">
        <f t="shared" ref="Y727:Y761" si="1029">BI726</f>
        <v>0</v>
      </c>
      <c r="Z727" s="1">
        <f t="shared" ref="Z727:Z761" si="1030">BJ726</f>
        <v>0</v>
      </c>
      <c r="AA727" s="1">
        <f t="shared" ref="AA727:AA732" si="1031">MAX(BK726,0)</f>
        <v>0</v>
      </c>
      <c r="AB727" s="1">
        <f t="shared" ref="AB727:AB761" si="1032">BL726</f>
        <v>0</v>
      </c>
      <c r="AC727" s="1">
        <f t="shared" ref="AC727:AC740" si="1033">MAX(BM726,0)</f>
        <v>0</v>
      </c>
      <c r="AD727" s="1">
        <f>ROUNDDOWN(I727*(1+IF(F727=3,0.05+方案参数!$Y$23+AA727*0.12,IF(F727=4,方案参数!$BZ$23*方案参数!$AS$23,0)))+IF(AND(X727=1,F727&lt;&gt;3),方案参数!$CC$23,0)+AC727*方案参数!$CB$23,0)</f>
        <v>2986</v>
      </c>
      <c r="AE727" s="1">
        <f>IF(OR(F727=1,F727=4),配置与结果!$B$24,配置与结果!$B$25)*MAX(0,1-INDEX(配置与结果!$I$15:$I$18,F727))</f>
        <v>1000</v>
      </c>
      <c r="AF727" s="1">
        <f>0</f>
        <v>0</v>
      </c>
      <c r="AG727" s="1">
        <f>MAX(配置与结果!$B$32,1+INDEX(配置与结果!$F$15:$F$18,F727)+0+Q727*方案参数!$W$23+Y727*(方案参数!$AN$23+MIN(方案参数!$AO$23,P727*0.03))+AB727*方案参数!$BZ$23*0.025-配置与结果!$B$28)</f>
        <v>0.65499999999999992</v>
      </c>
      <c r="AH727" s="1">
        <f>MAX(0,1+INDEX(配置与结果!$G$15:$G$18,F727)+W727*方案参数!$AG$23)</f>
        <v>1</v>
      </c>
      <c r="AI727" s="1">
        <f>IF(OR(INDEX(配置与结果!$K$15:$K$18,F727)=1,G727="RHI_BERRY"),1+配置与结果!$B$33+P727*方案参数!$AH$23,1)</f>
        <v>1</v>
      </c>
      <c r="AJ727" s="1">
        <f>MIN(1,MAX(0,J727+方案参数!$AB$23-配置与结果!$B$27))</f>
        <v>0.55499999999999994</v>
      </c>
      <c r="AK727" s="1">
        <f>MAX(1,K727+IF(F727=2,0.15+方案参数!$CH$23,0)+BN727*方案参数!$X$23+R727*方案参数!$AA$23+0-配置与结果!$B$26+Z727*(方案参数!$AP$23+MIN(方案参数!$AQ$23,P727*0.03)))</f>
        <v>1.33</v>
      </c>
      <c r="AL727" s="7">
        <f>ROUNDDOWN(MAX(AD727*配置与结果!$B$31,AD727-AE727)*AF727*AG727*AH727*AI727,0)</f>
        <v>0</v>
      </c>
      <c r="AM727" s="7">
        <f>ROUNDDOWN(MAX(AD727*配置与结果!$B$31,AD727-AE727)*AF727*AG727*AH727*AI727*AK727,0)</f>
        <v>0</v>
      </c>
      <c r="AN727" s="7">
        <f t="shared" si="1009"/>
        <v>0</v>
      </c>
      <c r="AO727" s="7">
        <f>0</f>
        <v>0</v>
      </c>
      <c r="AP727" s="7">
        <f>MAX(0,1+INDEX(配置与结果!$J$15:$J$18,F727)+IF(T727&gt;0,方案参数!$BY$23,0)-配置与结果!$B$30)</f>
        <v>1</v>
      </c>
      <c r="AQ727" s="7">
        <f t="shared" si="1010"/>
        <v>0</v>
      </c>
      <c r="AR727" s="7">
        <f t="shared" si="1011"/>
        <v>0</v>
      </c>
      <c r="AS727" s="7">
        <f t="shared" si="1012"/>
        <v>0</v>
      </c>
      <c r="AT727" s="7">
        <f>0</f>
        <v>0</v>
      </c>
      <c r="AU727" s="7">
        <f t="shared" si="1013"/>
        <v>0</v>
      </c>
      <c r="AV727" s="1">
        <f t="shared" si="1014"/>
        <v>0</v>
      </c>
      <c r="AW727" s="1">
        <f t="shared" si="1018"/>
        <v>0</v>
      </c>
      <c r="AX727" s="1">
        <f t="shared" si="1015"/>
        <v>0</v>
      </c>
      <c r="AY727" s="1">
        <f>MIN(20,MAX(0,O727+0+0-0))</f>
        <v>0</v>
      </c>
      <c r="AZ727" s="1">
        <f t="shared" si="1016"/>
        <v>3</v>
      </c>
      <c r="BA727" s="1">
        <f>MIN(6,Q727+1)</f>
        <v>2</v>
      </c>
      <c r="BB727" s="1">
        <f t="shared" ref="BB727:BB740" si="1034">MIN(30,R727+0)</f>
        <v>5</v>
      </c>
      <c r="BC727" s="1">
        <f t="shared" si="1007"/>
        <v>0</v>
      </c>
      <c r="BD727" s="1">
        <f t="shared" si="988"/>
        <v>0</v>
      </c>
      <c r="BE727" s="1">
        <f t="shared" ref="BE727:BE748" si="1035">BE726</f>
        <v>0</v>
      </c>
      <c r="BF727" s="1">
        <f t="shared" si="1019"/>
        <v>0</v>
      </c>
      <c r="BG727" s="1">
        <f>MAX(W727,1)</f>
        <v>1</v>
      </c>
      <c r="BH727" s="1">
        <f t="shared" ref="BH727:BH761" si="1036">MAX(X727,0)</f>
        <v>1</v>
      </c>
      <c r="BI727" s="1">
        <f>MAX(Y727,1)</f>
        <v>1</v>
      </c>
      <c r="BJ727" s="1">
        <f t="shared" si="1002"/>
        <v>0</v>
      </c>
      <c r="BK727" s="1">
        <f t="shared" si="1003"/>
        <v>0</v>
      </c>
      <c r="BL727" s="1">
        <f t="shared" si="1008"/>
        <v>0</v>
      </c>
      <c r="BM727" s="1">
        <f t="shared" si="1006"/>
        <v>0</v>
      </c>
      <c r="BN727" s="1">
        <f t="shared" ref="BN727:BN761" si="1037">BO726</f>
        <v>1</v>
      </c>
      <c r="BO727" s="1">
        <f t="shared" ref="BO727:BO761" si="1038">MAX(BN727,0)</f>
        <v>1</v>
      </c>
    </row>
    <row r="728" spans="1:67" ht="30.95" customHeight="1">
      <c r="A728" s="1">
        <f>20</f>
        <v>20</v>
      </c>
      <c r="B728" s="1">
        <f>固定流程!A8</f>
        <v>3</v>
      </c>
      <c r="C728" s="1">
        <f>23</f>
        <v>23</v>
      </c>
      <c r="D728" s="1">
        <f>1</f>
        <v>1</v>
      </c>
      <c r="E728" s="1">
        <f>固定流程!C8</f>
        <v>1</v>
      </c>
      <c r="F728" s="1">
        <f>固定流程!G8</f>
        <v>1</v>
      </c>
      <c r="G728" s="1" t="str">
        <f>固定流程!H8</f>
        <v>LILYA_COBRA</v>
      </c>
      <c r="H728" s="1">
        <f>固定流程!F8</f>
        <v>1</v>
      </c>
      <c r="I728" s="1">
        <f>INDEX(配置与结果!$B$15:$B$18,F728)</f>
        <v>2296</v>
      </c>
      <c r="J728" s="1">
        <f>INDEX(配置与结果!$D$15:$D$18,F728)</f>
        <v>0.7</v>
      </c>
      <c r="K728" s="1">
        <f>INDEX(配置与结果!$E$15:$E$18,F728)</f>
        <v>2.0249999999999999</v>
      </c>
      <c r="L728" s="1">
        <f t="shared" si="1020"/>
        <v>0</v>
      </c>
      <c r="M728" s="1">
        <f t="shared" si="1020"/>
        <v>0</v>
      </c>
      <c r="N728" s="1">
        <f t="shared" si="1020"/>
        <v>0</v>
      </c>
      <c r="O728" s="1">
        <f t="shared" si="1020"/>
        <v>0</v>
      </c>
      <c r="P728" s="1">
        <f>MIN(方案参数!$AI$23,AZ727+0+0)</f>
        <v>3</v>
      </c>
      <c r="Q728" s="1">
        <f t="shared" si="1021"/>
        <v>2</v>
      </c>
      <c r="R728" s="1">
        <f t="shared" si="1022"/>
        <v>5</v>
      </c>
      <c r="S728" s="1">
        <f t="shared" si="1023"/>
        <v>0</v>
      </c>
      <c r="T728" s="1">
        <f t="shared" si="1024"/>
        <v>0</v>
      </c>
      <c r="U728" s="1">
        <f t="shared" si="1025"/>
        <v>0</v>
      </c>
      <c r="V728" s="1">
        <f t="shared" si="1026"/>
        <v>0</v>
      </c>
      <c r="W728" s="1">
        <f t="shared" si="1027"/>
        <v>1</v>
      </c>
      <c r="X728" s="1">
        <f t="shared" si="1028"/>
        <v>1</v>
      </c>
      <c r="Y728" s="1">
        <f t="shared" si="1029"/>
        <v>1</v>
      </c>
      <c r="Z728" s="1">
        <f t="shared" si="1030"/>
        <v>0</v>
      </c>
      <c r="AA728" s="1">
        <f t="shared" si="1031"/>
        <v>0</v>
      </c>
      <c r="AB728" s="1">
        <f t="shared" si="1032"/>
        <v>0</v>
      </c>
      <c r="AC728" s="1">
        <f t="shared" si="1033"/>
        <v>0</v>
      </c>
      <c r="AD728" s="1">
        <f>ROUNDDOWN(I728*(1+IF(F728=3,0.05+方案参数!$Y$23+AA728*0.12,IF(F728=4,方案参数!$BZ$23*方案参数!$AS$23,0)))+IF(AND(X728=1,F728&lt;&gt;3),方案参数!$CC$23,0)+AC728*方案参数!$CB$23,0)</f>
        <v>2534</v>
      </c>
      <c r="AE728" s="1">
        <f>IF(OR(F728=1,F728=4),配置与结果!$B$24,配置与结果!$B$25)*MAX(0,1-INDEX(配置与结果!$I$15:$I$18,F728))</f>
        <v>1200</v>
      </c>
      <c r="AF728" s="1">
        <f>0</f>
        <v>0</v>
      </c>
      <c r="AG728" s="1">
        <f>MAX(配置与结果!$B$32,1+INDEX(配置与结果!$F$15:$F$18,F728)+0.08+方案参数!$CD$23+Q728*方案参数!$W$23+Y728*(方案参数!$AN$23+MIN(方案参数!$AO$23,P728*0.03))+AB728*方案参数!$BZ$23*0.025-配置与结果!$B$28)</f>
        <v>1.2200000000000002</v>
      </c>
      <c r="AH728" s="1">
        <f>MAX(0,1+INDEX(配置与结果!$G$15:$G$18,F728)+W728*方案参数!$AG$23)</f>
        <v>1.3</v>
      </c>
      <c r="AI728" s="1">
        <f>IF(OR(INDEX(配置与结果!$K$15:$K$18,F728)=1,G728="RHI_BERRY"),1+配置与结果!$B$33+P728*方案参数!$AH$23,1)</f>
        <v>1</v>
      </c>
      <c r="AJ728" s="1">
        <f>MIN(1,MAX(0,J728+方案参数!$AB$23-配置与结果!$B$27))</f>
        <v>1</v>
      </c>
      <c r="AK728" s="1">
        <f>MAX(1,K728+IF(F728=2,0.15+方案参数!$CH$23,0)+BN728*方案参数!$X$23+R728*方案参数!$AA$23+0-配置与结果!$B$26+Z728*(方案参数!$AP$23+MIN(方案参数!$AQ$23,P728*0.03)))</f>
        <v>1.8050000000000002</v>
      </c>
      <c r="AL728" s="7">
        <f>ROUNDDOWN(MAX(AD728*配置与结果!$B$31,AD728-AE728)*AF728*AG728*AH728*AI728,0)</f>
        <v>0</v>
      </c>
      <c r="AM728" s="7">
        <f>ROUNDDOWN(MAX(AD728*配置与结果!$B$31,AD728-AE728)*AF728*AG728*AH728*AI728*AK728,0)</f>
        <v>0</v>
      </c>
      <c r="AN728" s="7">
        <f t="shared" si="1009"/>
        <v>0</v>
      </c>
      <c r="AO728" s="7">
        <f>0</f>
        <v>0</v>
      </c>
      <c r="AP728" s="7">
        <f>MAX(0,1+INDEX(配置与结果!$J$15:$J$18,F728)+IF(T728&gt;0,方案参数!$BY$23,0)-配置与结果!$B$30)</f>
        <v>1</v>
      </c>
      <c r="AQ728" s="7">
        <f t="shared" si="1010"/>
        <v>0</v>
      </c>
      <c r="AR728" s="7">
        <f t="shared" si="1011"/>
        <v>0</v>
      </c>
      <c r="AS728" s="7">
        <f t="shared" si="1012"/>
        <v>0</v>
      </c>
      <c r="AT728" s="7">
        <f>0</f>
        <v>0</v>
      </c>
      <c r="AU728" s="7">
        <f t="shared" si="1013"/>
        <v>0</v>
      </c>
      <c r="AV728" s="1">
        <f t="shared" si="1014"/>
        <v>1</v>
      </c>
      <c r="AW728" s="1">
        <f>MIN(10,M728+方案参数!$BD$23+0)</f>
        <v>3</v>
      </c>
      <c r="AX728" s="1">
        <f t="shared" si="1015"/>
        <v>0</v>
      </c>
      <c r="AY728" s="1">
        <f>MIN(20,MAX(0,O728+6+0-0))</f>
        <v>6</v>
      </c>
      <c r="AZ728" s="1">
        <f t="shared" si="1016"/>
        <v>3</v>
      </c>
      <c r="BA728" s="1">
        <f>MIN(6,Q728+0)</f>
        <v>2</v>
      </c>
      <c r="BB728" s="1">
        <f t="shared" si="1034"/>
        <v>5</v>
      </c>
      <c r="BC728" s="1">
        <f t="shared" si="1007"/>
        <v>0</v>
      </c>
      <c r="BD728" s="1">
        <f t="shared" si="988"/>
        <v>0</v>
      </c>
      <c r="BE728" s="1">
        <f t="shared" si="1035"/>
        <v>0</v>
      </c>
      <c r="BF728" s="1">
        <f t="shared" si="1019"/>
        <v>0</v>
      </c>
      <c r="BG728" s="1">
        <f t="shared" ref="BG728:BG738" si="1039">MAX(W728,0)</f>
        <v>1</v>
      </c>
      <c r="BH728" s="1">
        <f t="shared" si="1036"/>
        <v>1</v>
      </c>
      <c r="BI728" s="1">
        <f t="shared" ref="BI728:BI738" si="1040">MAX(Y728,0)</f>
        <v>1</v>
      </c>
      <c r="BJ728" s="1">
        <f t="shared" si="1002"/>
        <v>0</v>
      </c>
      <c r="BK728" s="1">
        <f t="shared" si="1003"/>
        <v>0</v>
      </c>
      <c r="BL728" s="1">
        <f t="shared" si="1008"/>
        <v>0</v>
      </c>
      <c r="BM728" s="1">
        <f t="shared" si="1006"/>
        <v>0</v>
      </c>
      <c r="BN728" s="1">
        <f t="shared" si="1037"/>
        <v>1</v>
      </c>
      <c r="BO728" s="1">
        <f t="shared" si="1038"/>
        <v>1</v>
      </c>
    </row>
    <row r="729" spans="1:67" ht="30.95" customHeight="1">
      <c r="A729" s="1">
        <f>20</f>
        <v>20</v>
      </c>
      <c r="B729" s="1">
        <f>固定流程!A9</f>
        <v>4</v>
      </c>
      <c r="C729" s="1">
        <f>23</f>
        <v>23</v>
      </c>
      <c r="D729" s="1">
        <f>1</f>
        <v>1</v>
      </c>
      <c r="E729" s="1">
        <f>固定流程!C9</f>
        <v>1</v>
      </c>
      <c r="F729" s="1">
        <f>固定流程!G9</f>
        <v>1</v>
      </c>
      <c r="G729" s="1" t="str">
        <f>固定流程!H9</f>
        <v>LILYA_DIVE</v>
      </c>
      <c r="H729" s="1">
        <f>固定流程!F9</f>
        <v>1</v>
      </c>
      <c r="I729" s="1">
        <f>INDEX(配置与结果!$B$15:$B$18,F729)</f>
        <v>2296</v>
      </c>
      <c r="J729" s="1">
        <f>INDEX(配置与结果!$D$15:$D$18,F729)</f>
        <v>0.7</v>
      </c>
      <c r="K729" s="1">
        <f>INDEX(配置与结果!$E$15:$E$18,F729)</f>
        <v>2.0249999999999999</v>
      </c>
      <c r="L729" s="1">
        <f t="shared" si="1020"/>
        <v>1</v>
      </c>
      <c r="M729" s="1">
        <f t="shared" si="1020"/>
        <v>3</v>
      </c>
      <c r="N729" s="1">
        <f t="shared" si="1020"/>
        <v>0</v>
      </c>
      <c r="O729" s="1">
        <f t="shared" si="1020"/>
        <v>6</v>
      </c>
      <c r="P729" s="1">
        <f>MIN(方案参数!$AI$23,AZ728+0+0)</f>
        <v>3</v>
      </c>
      <c r="Q729" s="1">
        <f t="shared" si="1021"/>
        <v>2</v>
      </c>
      <c r="R729" s="1">
        <f t="shared" si="1022"/>
        <v>5</v>
      </c>
      <c r="S729" s="1">
        <f t="shared" si="1023"/>
        <v>0</v>
      </c>
      <c r="T729" s="1">
        <f t="shared" si="1024"/>
        <v>0</v>
      </c>
      <c r="U729" s="1">
        <f t="shared" si="1025"/>
        <v>0</v>
      </c>
      <c r="V729" s="1">
        <f t="shared" si="1026"/>
        <v>0</v>
      </c>
      <c r="W729" s="1">
        <f t="shared" si="1027"/>
        <v>1</v>
      </c>
      <c r="X729" s="1">
        <f t="shared" si="1028"/>
        <v>1</v>
      </c>
      <c r="Y729" s="1">
        <f t="shared" si="1029"/>
        <v>1</v>
      </c>
      <c r="Z729" s="1">
        <f t="shared" si="1030"/>
        <v>0</v>
      </c>
      <c r="AA729" s="1">
        <f t="shared" si="1031"/>
        <v>0</v>
      </c>
      <c r="AB729" s="1">
        <f t="shared" si="1032"/>
        <v>0</v>
      </c>
      <c r="AC729" s="1">
        <f t="shared" si="1033"/>
        <v>0</v>
      </c>
      <c r="AD729" s="1">
        <f>ROUNDDOWN(I729*(1+IF(F729=3,0.05+方案参数!$Y$23+AA729*0.12,IF(F729=4,方案参数!$BZ$23*方案参数!$AS$23,0)))+IF(AND(X729=1,F729&lt;&gt;3),方案参数!$CC$23,0)+AC729*方案参数!$CB$23,0)</f>
        <v>2534</v>
      </c>
      <c r="AE729" s="1">
        <f>IF(OR(F729=1,F729=4),配置与结果!$B$24,配置与结果!$B$25)*MAX(0,1-INDEX(配置与结果!$I$15:$I$18,F729))</f>
        <v>1200</v>
      </c>
      <c r="AF729" s="1">
        <f>(IF(L729=1,方案参数!$AW$23,IF(L729=2,方案参数!$AX$23,0))+方案参数!$AV$23)*H729</f>
        <v>6</v>
      </c>
      <c r="AG729" s="1">
        <f>MAX(配置与结果!$B$32,1+INDEX(配置与结果!$F$15:$F$18,F729)+0.08+方案参数!$CD$23+Q729*方案参数!$W$23+Y729*(方案参数!$AN$23+MIN(方案参数!$AO$23,P729*0.03))+AB729*方案参数!$BZ$23*0.025+IF(L729=1,方案参数!$AY$23+(H729-1)*0.1,IF(L729=2,方案参数!$AZ$23+(H729-1)*0.2,0))-配置与结果!$B$28)</f>
        <v>1.3200000000000003</v>
      </c>
      <c r="AH729" s="1">
        <f>MAX(0,1+INDEX(配置与结果!$G$15:$G$18,F729)+W729*方案参数!$AG$23+IF(L729=1,方案参数!$BA$23,IF(L729=2,方案参数!$BB$23,0))+M729*方案参数!$BC$23)</f>
        <v>2.08</v>
      </c>
      <c r="AI729" s="1">
        <f>IF(OR(INDEX(配置与结果!$K$15:$K$18,F729)=1,G729="RHI_BERRY"),1+配置与结果!$B$33+P729*方案参数!$AH$23,1)</f>
        <v>1</v>
      </c>
      <c r="AJ729" s="1">
        <f>MIN(1,MAX(0,J729+方案参数!$AB$23-配置与结果!$B$27))</f>
        <v>1</v>
      </c>
      <c r="AK729" s="1">
        <f>MAX(1,K729+IF(F729=2,0.15+方案参数!$CH$23,0)+BN729*方案参数!$X$23+R729*方案参数!$AA$23+0-配置与结果!$B$26+Z729*(方案参数!$AP$23+MIN(方案参数!$AQ$23,P729*0.03)))</f>
        <v>1.8050000000000002</v>
      </c>
      <c r="AL729" s="7">
        <f>ROUNDDOWN(MAX(AD729*配置与结果!$B$31,AD729-AE729)*AF729*AG729*AH729*AI729,0)</f>
        <v>21975</v>
      </c>
      <c r="AM729" s="7">
        <f>ROUNDDOWN(MAX(AD729*配置与结果!$B$31,AD729-AE729)*AF729*AG729*AH729*AI729*AK729,0)</f>
        <v>39666</v>
      </c>
      <c r="AN729" s="7">
        <f t="shared" si="1009"/>
        <v>39666</v>
      </c>
      <c r="AO729" s="7">
        <f>0</f>
        <v>0</v>
      </c>
      <c r="AP729" s="7">
        <f>MAX(0,1+INDEX(配置与结果!$J$15:$J$18,F729)+IF(T729&gt;0,方案参数!$BY$23,0)-配置与结果!$B$30)</f>
        <v>1</v>
      </c>
      <c r="AQ729" s="7">
        <f t="shared" si="1010"/>
        <v>0</v>
      </c>
      <c r="AR729" s="7">
        <f t="shared" si="1011"/>
        <v>0</v>
      </c>
      <c r="AS729" s="7">
        <f t="shared" si="1012"/>
        <v>0</v>
      </c>
      <c r="AT729" s="7">
        <f>0</f>
        <v>0</v>
      </c>
      <c r="AU729" s="7">
        <f t="shared" si="1013"/>
        <v>39666</v>
      </c>
      <c r="AV729" s="1">
        <f t="shared" si="1014"/>
        <v>1</v>
      </c>
      <c r="AW729" s="1">
        <f>MIN(10,M729+0+IF(L729=1,方案参数!$BE$23,0))</f>
        <v>4</v>
      </c>
      <c r="AX729" s="1">
        <f t="shared" si="1015"/>
        <v>0</v>
      </c>
      <c r="AY729" s="1">
        <f t="shared" ref="AY729:AY744" si="1041">MIN(20,MAX(0,O729+0+0-0))</f>
        <v>6</v>
      </c>
      <c r="AZ729" s="1">
        <f t="shared" si="1016"/>
        <v>3</v>
      </c>
      <c r="BA729" s="1">
        <f>MIN(6,Q729+0)</f>
        <v>2</v>
      </c>
      <c r="BB729" s="1">
        <f t="shared" si="1034"/>
        <v>5</v>
      </c>
      <c r="BC729" s="1">
        <f t="shared" si="1007"/>
        <v>0</v>
      </c>
      <c r="BD729" s="1">
        <f t="shared" si="988"/>
        <v>0</v>
      </c>
      <c r="BE729" s="1">
        <f t="shared" si="1035"/>
        <v>0</v>
      </c>
      <c r="BF729" s="1">
        <f t="shared" si="1019"/>
        <v>0</v>
      </c>
      <c r="BG729" s="1">
        <f t="shared" si="1039"/>
        <v>1</v>
      </c>
      <c r="BH729" s="1">
        <f t="shared" si="1036"/>
        <v>1</v>
      </c>
      <c r="BI729" s="1">
        <f t="shared" si="1040"/>
        <v>1</v>
      </c>
      <c r="BJ729" s="1">
        <f t="shared" si="1002"/>
        <v>0</v>
      </c>
      <c r="BK729" s="1">
        <f t="shared" si="1003"/>
        <v>0</v>
      </c>
      <c r="BL729" s="1">
        <f t="shared" si="1008"/>
        <v>0</v>
      </c>
      <c r="BM729" s="1">
        <f t="shared" si="1006"/>
        <v>0</v>
      </c>
      <c r="BN729" s="1">
        <f t="shared" si="1037"/>
        <v>1</v>
      </c>
      <c r="BO729" s="1">
        <f t="shared" si="1038"/>
        <v>1</v>
      </c>
    </row>
    <row r="730" spans="1:67" ht="30.95" customHeight="1">
      <c r="A730" s="1">
        <f>20</f>
        <v>20</v>
      </c>
      <c r="B730" s="1">
        <f>固定流程!A10</f>
        <v>5</v>
      </c>
      <c r="C730" s="1">
        <f>23</f>
        <v>23</v>
      </c>
      <c r="D730" s="1">
        <f>1</f>
        <v>1</v>
      </c>
      <c r="E730" s="1">
        <f>固定流程!C10</f>
        <v>1</v>
      </c>
      <c r="F730" s="1">
        <f>固定流程!G10</f>
        <v>2</v>
      </c>
      <c r="G730" s="1" t="str">
        <f>固定流程!H10</f>
        <v>37_TRIANGLE</v>
      </c>
      <c r="H730" s="1">
        <f>固定流程!F10</f>
        <v>1</v>
      </c>
      <c r="I730" s="1">
        <f>INDEX(配置与结果!$B$15:$B$18,F730)</f>
        <v>2306</v>
      </c>
      <c r="J730" s="1">
        <f>INDEX(配置与结果!$D$15:$D$18,F730)</f>
        <v>0.46</v>
      </c>
      <c r="K730" s="1">
        <f>INDEX(配置与结果!$E$15:$E$18,F730)</f>
        <v>1.9279999999999999</v>
      </c>
      <c r="L730" s="1">
        <f t="shared" si="1020"/>
        <v>1</v>
      </c>
      <c r="M730" s="1">
        <f t="shared" si="1020"/>
        <v>4</v>
      </c>
      <c r="N730" s="1">
        <f t="shared" si="1020"/>
        <v>0</v>
      </c>
      <c r="O730" s="1">
        <f t="shared" si="1020"/>
        <v>6</v>
      </c>
      <c r="P730" s="1">
        <f>MIN(方案参数!$AI$23,AZ729+0+0)</f>
        <v>3</v>
      </c>
      <c r="Q730" s="1">
        <f t="shared" si="1021"/>
        <v>2</v>
      </c>
      <c r="R730" s="1">
        <f t="shared" si="1022"/>
        <v>5</v>
      </c>
      <c r="S730" s="1">
        <f t="shared" si="1023"/>
        <v>0</v>
      </c>
      <c r="T730" s="1">
        <f t="shared" si="1024"/>
        <v>0</v>
      </c>
      <c r="U730" s="1">
        <f t="shared" si="1025"/>
        <v>0</v>
      </c>
      <c r="V730" s="1">
        <f t="shared" si="1026"/>
        <v>0</v>
      </c>
      <c r="W730" s="1">
        <f t="shared" si="1027"/>
        <v>1</v>
      </c>
      <c r="X730" s="1">
        <f t="shared" si="1028"/>
        <v>1</v>
      </c>
      <c r="Y730" s="1">
        <f t="shared" si="1029"/>
        <v>1</v>
      </c>
      <c r="Z730" s="1">
        <f t="shared" si="1030"/>
        <v>0</v>
      </c>
      <c r="AA730" s="1">
        <f t="shared" si="1031"/>
        <v>0</v>
      </c>
      <c r="AB730" s="1">
        <f t="shared" si="1032"/>
        <v>0</v>
      </c>
      <c r="AC730" s="1">
        <f t="shared" si="1033"/>
        <v>0</v>
      </c>
      <c r="AD730" s="1">
        <f>ROUNDDOWN(I730*(1+IF(F730=3,0.05+方案参数!$Y$23+AA730*0.12,IF(F730=4,方案参数!$BZ$23*方案参数!$AS$23,0)))+IF(AND(X730=1,F730&lt;&gt;3),方案参数!$CC$23,0)+AC730*方案参数!$CB$23,0)</f>
        <v>2544</v>
      </c>
      <c r="AE730" s="1">
        <f>IF(OR(F730=1,F730=4),配置与结果!$B$24,配置与结果!$B$25)*MAX(0,1-INDEX(配置与结果!$I$15:$I$18,F730))</f>
        <v>1000</v>
      </c>
      <c r="AF730" s="1">
        <f>方案参数!$BS$23*IF(H730=1,1,IF(H730=2,1.5,2.5))</f>
        <v>2.8</v>
      </c>
      <c r="AG730" s="1">
        <f>MAX(配置与结果!$B$32,1+INDEX(配置与结果!$F$15:$F$18,F730)+0+Q730*方案参数!$W$23+Y730*(方案参数!$AN$23+MIN(方案参数!$AO$23,P730*0.03))+AB730*方案参数!$BZ$23*0.025-配置与结果!$B$28)</f>
        <v>0.8849999999999999</v>
      </c>
      <c r="AH730" s="1">
        <f>MAX(0,1+INDEX(配置与结果!$G$15:$G$18,F730)+W730*方案参数!$AG$23)</f>
        <v>1.3</v>
      </c>
      <c r="AI730" s="1">
        <f>IF(OR(INDEX(配置与结果!$K$15:$K$18,F730)=1,G730="RHI_BERRY"),1+配置与结果!$B$33+P730*方案参数!$AH$23,1)</f>
        <v>1</v>
      </c>
      <c r="AJ730" s="1">
        <f>MIN(1,MAX(0,J730+方案参数!$AB$23-配置与结果!$B$27))</f>
        <v>0.76</v>
      </c>
      <c r="AK730" s="1">
        <f>MAX(1,K730+IF(F730=2,0.15+方案参数!$CH$23,0)+BN730*方案参数!$X$23+R730*方案参数!$AA$23+0-配置与结果!$B$26+Z730*(方案参数!$AP$23+MIN(方案参数!$AQ$23,P730*0.03)))</f>
        <v>1.9780000000000002</v>
      </c>
      <c r="AL730" s="7">
        <f>ROUNDDOWN(MAX(AD730*配置与结果!$B$31,AD730-AE730)*AF730*AG730*AH730*AI730,0)</f>
        <v>4973</v>
      </c>
      <c r="AM730" s="7">
        <f>ROUNDDOWN(MAX(AD730*配置与结果!$B$31,AD730-AE730)*AF730*AG730*AH730*AI730*AK730,0)</f>
        <v>9838</v>
      </c>
      <c r="AN730" s="7">
        <f t="shared" si="1009"/>
        <v>8670.4</v>
      </c>
      <c r="AO730" s="7">
        <f>方案参数!$BU$23*IF(H730=1,1,IF(H730=2,1.5,2.5))</f>
        <v>0.8</v>
      </c>
      <c r="AP730" s="7">
        <f>MAX(0,1+INDEX(配置与结果!$J$15:$J$18,F730)+IF(T730&gt;0,方案参数!$BY$23,0)-配置与结果!$B$30)</f>
        <v>1</v>
      </c>
      <c r="AQ730" s="7">
        <f t="shared" si="1010"/>
        <v>2035</v>
      </c>
      <c r="AR730" s="7">
        <f t="shared" si="1011"/>
        <v>4025</v>
      </c>
      <c r="AS730" s="7">
        <f t="shared" si="1012"/>
        <v>3547.4</v>
      </c>
      <c r="AT730" s="7">
        <f>0</f>
        <v>0</v>
      </c>
      <c r="AU730" s="7">
        <f t="shared" si="1013"/>
        <v>12217.8</v>
      </c>
      <c r="AV730" s="1">
        <f t="shared" si="1014"/>
        <v>1</v>
      </c>
      <c r="AW730" s="1">
        <f>MIN(10,M730+0+0)</f>
        <v>4</v>
      </c>
      <c r="AX730" s="1">
        <f t="shared" si="1015"/>
        <v>0</v>
      </c>
      <c r="AY730" s="1">
        <f t="shared" si="1041"/>
        <v>6</v>
      </c>
      <c r="AZ730" s="1">
        <f t="shared" si="1016"/>
        <v>3</v>
      </c>
      <c r="BA730" s="1">
        <f>MIN(6,Q730+0)</f>
        <v>2</v>
      </c>
      <c r="BB730" s="1">
        <f t="shared" si="1034"/>
        <v>5</v>
      </c>
      <c r="BC730" s="1">
        <f t="shared" si="1007"/>
        <v>0</v>
      </c>
      <c r="BD730" s="1">
        <f>MAX(0,T730-IF(AO730&gt;0,1,0))+1</f>
        <v>1</v>
      </c>
      <c r="BE730" s="1">
        <f t="shared" si="1035"/>
        <v>0</v>
      </c>
      <c r="BF730" s="1">
        <f t="shared" si="1019"/>
        <v>0</v>
      </c>
      <c r="BG730" s="1">
        <f t="shared" si="1039"/>
        <v>1</v>
      </c>
      <c r="BH730" s="1">
        <f t="shared" si="1036"/>
        <v>1</v>
      </c>
      <c r="BI730" s="1">
        <f t="shared" si="1040"/>
        <v>1</v>
      </c>
      <c r="BJ730" s="1">
        <f t="shared" si="1002"/>
        <v>0</v>
      </c>
      <c r="BK730" s="1">
        <f t="shared" si="1003"/>
        <v>0</v>
      </c>
      <c r="BL730" s="1">
        <f t="shared" si="1008"/>
        <v>0</v>
      </c>
      <c r="BM730" s="1">
        <f t="shared" si="1006"/>
        <v>0</v>
      </c>
      <c r="BN730" s="1">
        <f t="shared" si="1037"/>
        <v>1</v>
      </c>
      <c r="BO730" s="1">
        <f t="shared" si="1038"/>
        <v>1</v>
      </c>
    </row>
    <row r="731" spans="1:67" ht="30.95" customHeight="1">
      <c r="A731" s="1">
        <f>20</f>
        <v>20</v>
      </c>
      <c r="B731" s="1">
        <f>固定流程!A11</f>
        <v>6</v>
      </c>
      <c r="C731" s="1">
        <f>23</f>
        <v>23</v>
      </c>
      <c r="D731" s="1">
        <f>1</f>
        <v>1</v>
      </c>
      <c r="E731" s="1">
        <f>固定流程!C11</f>
        <v>1</v>
      </c>
      <c r="F731" s="1">
        <f>固定流程!G11</f>
        <v>2</v>
      </c>
      <c r="G731" s="1" t="str">
        <f>固定流程!H11</f>
        <v>37_FOLLOW</v>
      </c>
      <c r="H731" s="1">
        <f>固定流程!F11</f>
        <v>1</v>
      </c>
      <c r="I731" s="1">
        <f>INDEX(配置与结果!$B$15:$B$18,F731)</f>
        <v>2306</v>
      </c>
      <c r="J731" s="1">
        <f>INDEX(配置与结果!$D$15:$D$18,F731)</f>
        <v>0.46</v>
      </c>
      <c r="K731" s="1">
        <f>INDEX(配置与结果!$E$15:$E$18,F731)</f>
        <v>1.9279999999999999</v>
      </c>
      <c r="L731" s="1">
        <f t="shared" si="1020"/>
        <v>1</v>
      </c>
      <c r="M731" s="1">
        <f t="shared" si="1020"/>
        <v>4</v>
      </c>
      <c r="N731" s="1">
        <f t="shared" si="1020"/>
        <v>0</v>
      </c>
      <c r="O731" s="1">
        <f t="shared" si="1020"/>
        <v>6</v>
      </c>
      <c r="P731" s="1">
        <f>MIN(方案参数!$AI$23,AZ730+0+0)</f>
        <v>3</v>
      </c>
      <c r="Q731" s="1">
        <f t="shared" si="1021"/>
        <v>2</v>
      </c>
      <c r="R731" s="1">
        <f t="shared" si="1022"/>
        <v>5</v>
      </c>
      <c r="S731" s="1">
        <f t="shared" si="1023"/>
        <v>0</v>
      </c>
      <c r="T731" s="1">
        <f t="shared" si="1024"/>
        <v>1</v>
      </c>
      <c r="U731" s="1">
        <f t="shared" si="1025"/>
        <v>0</v>
      </c>
      <c r="V731" s="1">
        <f t="shared" si="1026"/>
        <v>0</v>
      </c>
      <c r="W731" s="1">
        <f t="shared" si="1027"/>
        <v>1</v>
      </c>
      <c r="X731" s="1">
        <f t="shared" si="1028"/>
        <v>1</v>
      </c>
      <c r="Y731" s="1">
        <f t="shared" si="1029"/>
        <v>1</v>
      </c>
      <c r="Z731" s="1">
        <f t="shared" si="1030"/>
        <v>0</v>
      </c>
      <c r="AA731" s="1">
        <f t="shared" si="1031"/>
        <v>0</v>
      </c>
      <c r="AB731" s="1">
        <f t="shared" si="1032"/>
        <v>0</v>
      </c>
      <c r="AC731" s="1">
        <f t="shared" si="1033"/>
        <v>0</v>
      </c>
      <c r="AD731" s="1">
        <f>ROUNDDOWN(I731*(1+IF(F731=3,0.05+方案参数!$Y$23+AA731*0.12,IF(F731=4,方案参数!$BZ$23*方案参数!$AS$23,0)))+IF(AND(X731=1,F731&lt;&gt;3),方案参数!$CC$23,0)+AC731*方案参数!$CB$23,0)</f>
        <v>2544</v>
      </c>
      <c r="AE731" s="1">
        <f>IF(OR(F731=1,F731=4),配置与结果!$B$24,配置与结果!$B$25)*MAX(0,1-INDEX(配置与结果!$I$15:$I$18,F731))</f>
        <v>1000</v>
      </c>
      <c r="AF731" s="1">
        <f>方案参数!$BV$23</f>
        <v>3</v>
      </c>
      <c r="AG731" s="1">
        <f>MAX(配置与结果!$B$32,1+INDEX(配置与结果!$F$15:$F$18,F731)+0+Q731*方案参数!$W$23+Y731*(方案参数!$AN$23+MIN(方案参数!$AO$23,P731*0.03))+AB731*方案参数!$BZ$23*0.025-配置与结果!$B$28)</f>
        <v>0.8849999999999999</v>
      </c>
      <c r="AH731" s="1">
        <f>MAX(0,1+INDEX(配置与结果!$G$15:$G$18,F731)+W731*方案参数!$AG$23)</f>
        <v>1.3</v>
      </c>
      <c r="AI731" s="1">
        <f>IF(OR(INDEX(配置与结果!$K$15:$K$18,F731)=1,G731="RHI_BERRY"),1+配置与结果!$B$33+P731*方案参数!$AH$23,1)</f>
        <v>1</v>
      </c>
      <c r="AJ731" s="1">
        <f>MIN(1,MAX(0,J731+方案参数!$AB$23-配置与结果!$B$27))</f>
        <v>0.76</v>
      </c>
      <c r="AK731" s="1">
        <f>MAX(1,K731+IF(F731=2,0.15+方案参数!$CH$23,0)+BN731*方案参数!$X$23+R731*方案参数!$AA$23+0-配置与结果!$B$26+Z731*(方案参数!$AP$23+MIN(方案参数!$AQ$23,P731*0.03)))</f>
        <v>1.9780000000000002</v>
      </c>
      <c r="AL731" s="7">
        <f>ROUNDDOWN(MAX(AD731*配置与结果!$B$31,AD731-AE731)*AF731*AG731*AH731*AI731,0)</f>
        <v>5329</v>
      </c>
      <c r="AM731" s="7">
        <f>ROUNDDOWN(MAX(AD731*配置与结果!$B$31,AD731-AE731)*AF731*AG731*AH731*AI731*AK731,0)</f>
        <v>10540</v>
      </c>
      <c r="AN731" s="7">
        <f t="shared" si="1009"/>
        <v>9289.36</v>
      </c>
      <c r="AO731" s="7">
        <f>方案参数!$BW$23</f>
        <v>1</v>
      </c>
      <c r="AP731" s="7">
        <f>MAX(0,1+INDEX(配置与结果!$J$15:$J$18,F731)+IF(T731&gt;0,方案参数!$BY$23,0)-配置与结果!$B$30)</f>
        <v>2</v>
      </c>
      <c r="AQ731" s="7">
        <f t="shared" si="1010"/>
        <v>5088</v>
      </c>
      <c r="AR731" s="7">
        <f t="shared" si="1011"/>
        <v>10064</v>
      </c>
      <c r="AS731" s="7">
        <f t="shared" si="1012"/>
        <v>8869.76</v>
      </c>
      <c r="AT731" s="7">
        <f>0</f>
        <v>0</v>
      </c>
      <c r="AU731" s="7">
        <f t="shared" si="1013"/>
        <v>18159.120000000003</v>
      </c>
      <c r="AV731" s="1">
        <f t="shared" si="1014"/>
        <v>1</v>
      </c>
      <c r="AW731" s="1">
        <f>MIN(10,M731+0+0)</f>
        <v>4</v>
      </c>
      <c r="AX731" s="1">
        <f t="shared" si="1015"/>
        <v>0</v>
      </c>
      <c r="AY731" s="1">
        <f t="shared" si="1041"/>
        <v>6</v>
      </c>
      <c r="AZ731" s="1">
        <f t="shared" si="1016"/>
        <v>3</v>
      </c>
      <c r="BA731" s="1">
        <f>MIN(6,Q731+0)</f>
        <v>2</v>
      </c>
      <c r="BB731" s="1">
        <f t="shared" si="1034"/>
        <v>5</v>
      </c>
      <c r="BC731" s="1">
        <f t="shared" si="1007"/>
        <v>0</v>
      </c>
      <c r="BD731" s="1">
        <f t="shared" ref="BD731:BD765" si="1042">MAX(0,T731-IF(AO731&gt;0,1,0))+0</f>
        <v>0</v>
      </c>
      <c r="BE731" s="1">
        <f t="shared" si="1035"/>
        <v>0</v>
      </c>
      <c r="BF731" s="1">
        <f>MIN(4,V731+1)</f>
        <v>1</v>
      </c>
      <c r="BG731" s="1">
        <f t="shared" si="1039"/>
        <v>1</v>
      </c>
      <c r="BH731" s="1">
        <f t="shared" si="1036"/>
        <v>1</v>
      </c>
      <c r="BI731" s="1">
        <f t="shared" si="1040"/>
        <v>1</v>
      </c>
      <c r="BJ731" s="1">
        <f t="shared" si="1002"/>
        <v>0</v>
      </c>
      <c r="BK731" s="1">
        <f t="shared" si="1003"/>
        <v>0</v>
      </c>
      <c r="BL731" s="1">
        <f t="shared" si="1008"/>
        <v>0</v>
      </c>
      <c r="BM731" s="1">
        <f t="shared" si="1006"/>
        <v>0</v>
      </c>
      <c r="BN731" s="1">
        <f t="shared" si="1037"/>
        <v>1</v>
      </c>
      <c r="BO731" s="1">
        <f t="shared" si="1038"/>
        <v>1</v>
      </c>
    </row>
    <row r="732" spans="1:67" ht="30.95" customHeight="1">
      <c r="A732" s="1">
        <f>20</f>
        <v>20</v>
      </c>
      <c r="B732" s="1">
        <f>固定流程!A12</f>
        <v>7</v>
      </c>
      <c r="C732" s="1">
        <f>23</f>
        <v>23</v>
      </c>
      <c r="D732" s="1">
        <f>1</f>
        <v>1</v>
      </c>
      <c r="E732" s="1">
        <f>固定流程!C12</f>
        <v>1</v>
      </c>
      <c r="F732" s="1">
        <f>固定流程!G12</f>
        <v>4</v>
      </c>
      <c r="G732" s="1" t="str">
        <f>固定流程!H12</f>
        <v>J_HARD</v>
      </c>
      <c r="H732" s="1">
        <f>固定流程!F12</f>
        <v>1</v>
      </c>
      <c r="I732" s="1">
        <f>INDEX(配置与结果!$B$15:$B$18,F732)</f>
        <v>1906</v>
      </c>
      <c r="J732" s="1">
        <f>INDEX(配置与结果!$D$15:$D$18,F732)</f>
        <v>0.36699999999999999</v>
      </c>
      <c r="K732" s="1">
        <f>INDEX(配置与结果!$E$15:$E$18,F732)</f>
        <v>1.7170000000000001</v>
      </c>
      <c r="L732" s="1">
        <f t="shared" si="1020"/>
        <v>1</v>
      </c>
      <c r="M732" s="1">
        <f t="shared" si="1020"/>
        <v>4</v>
      </c>
      <c r="N732" s="1">
        <f t="shared" si="1020"/>
        <v>0</v>
      </c>
      <c r="O732" s="1">
        <f t="shared" si="1020"/>
        <v>6</v>
      </c>
      <c r="P732" s="1">
        <f>MIN(方案参数!$AI$23,AZ731+0+0)</f>
        <v>3</v>
      </c>
      <c r="Q732" s="1">
        <f t="shared" si="1021"/>
        <v>2</v>
      </c>
      <c r="R732" s="1">
        <f t="shared" si="1022"/>
        <v>5</v>
      </c>
      <c r="S732" s="1">
        <f t="shared" si="1023"/>
        <v>0</v>
      </c>
      <c r="T732" s="1">
        <f t="shared" si="1024"/>
        <v>0</v>
      </c>
      <c r="U732" s="1">
        <f t="shared" si="1025"/>
        <v>0</v>
      </c>
      <c r="V732" s="1">
        <f t="shared" si="1026"/>
        <v>1</v>
      </c>
      <c r="W732" s="1">
        <f t="shared" si="1027"/>
        <v>1</v>
      </c>
      <c r="X732" s="1">
        <f t="shared" si="1028"/>
        <v>1</v>
      </c>
      <c r="Y732" s="1">
        <f t="shared" si="1029"/>
        <v>1</v>
      </c>
      <c r="Z732" s="1">
        <f t="shared" si="1030"/>
        <v>0</v>
      </c>
      <c r="AA732" s="1">
        <f t="shared" si="1031"/>
        <v>0</v>
      </c>
      <c r="AB732" s="1">
        <f t="shared" si="1032"/>
        <v>0</v>
      </c>
      <c r="AC732" s="1">
        <f t="shared" si="1033"/>
        <v>0</v>
      </c>
      <c r="AD732" s="1">
        <f>ROUNDDOWN(I732*(1+IF(F732=3,0.05+方案参数!$Y$23+AA732*0.12,IF(F732=4,方案参数!$BZ$23*方案参数!$AS$23,0)))+IF(AND(X732=1,F732&lt;&gt;3),方案参数!$CC$23,0)+AC732*方案参数!$CB$23,0)</f>
        <v>2811</v>
      </c>
      <c r="AE732" s="1">
        <f>IF(OR(F732=1,F732=4),配置与结果!$B$24,配置与结果!$B$25)*MAX(0,1-INDEX(配置与结果!$I$15:$I$18,F732))</f>
        <v>1200</v>
      </c>
      <c r="AF732" s="1">
        <f>3.6*IF(H732=1,1,IF(H732=2,1.5,2.5))</f>
        <v>3.6</v>
      </c>
      <c r="AG732" s="1">
        <f>MAX(配置与结果!$B$32,1+INDEX(配置与结果!$F$15:$F$18,F732)+0.08+Q732*方案参数!$W$23+Y732*(方案参数!$AN$23+MIN(方案参数!$AO$23,P732*0.03))+AB732*方案参数!$BZ$23*0.025+0.1+IF(方案参数!$BZ$23&gt;=30,方案参数!$BZ$23*0.01,0)-配置与结果!$B$28)</f>
        <v>1.4350000000000001</v>
      </c>
      <c r="AH732" s="1">
        <f>MAX(0,1+INDEX(配置与结果!$G$15:$G$18,F732)+W732*方案参数!$AG$23)</f>
        <v>1.3</v>
      </c>
      <c r="AI732" s="1">
        <f>IF(OR(INDEX(配置与结果!$K$15:$K$18,F732)=1,G732="RHI_BERRY"),1+配置与结果!$B$33+P732*方案参数!$AH$23,1)</f>
        <v>1</v>
      </c>
      <c r="AJ732" s="1">
        <f>MIN(1,MAX(0,J732+方案参数!$AB$23-配置与结果!$B$27))</f>
        <v>0.66700000000000004</v>
      </c>
      <c r="AK732" s="1">
        <f>MAX(1,K732+IF(F732=2,0.15+方案参数!$CH$23,0)+BN732*方案参数!$X$23+R732*方案参数!$AA$23+0-配置与结果!$B$26+Z732*(方案参数!$AP$23+MIN(方案参数!$AQ$23,P732*0.03)))</f>
        <v>1.4969999999999999</v>
      </c>
      <c r="AL732" s="7">
        <f>ROUNDDOWN(MAX(AD732*配置与结果!$B$31,AD732-AE732)*AF732*AG732*AH732*AI732,0)</f>
        <v>10819</v>
      </c>
      <c r="AM732" s="7">
        <f>ROUNDDOWN(MAX(AD732*配置与结果!$B$31,AD732-AE732)*AF732*AG732*AH732*AI732*AK732,0)</f>
        <v>16196</v>
      </c>
      <c r="AN732" s="7">
        <f t="shared" si="1009"/>
        <v>14405.458999999999</v>
      </c>
      <c r="AO732" s="7">
        <f>0</f>
        <v>0</v>
      </c>
      <c r="AP732" s="7">
        <f>MAX(0,1+INDEX(配置与结果!$J$15:$J$18,F732)+IF(T732&gt;0,方案参数!$BY$23,0)-配置与结果!$B$30)</f>
        <v>1</v>
      </c>
      <c r="AQ732" s="7">
        <f t="shared" si="1010"/>
        <v>0</v>
      </c>
      <c r="AR732" s="7">
        <f t="shared" si="1011"/>
        <v>0</v>
      </c>
      <c r="AS732" s="7">
        <f t="shared" si="1012"/>
        <v>0</v>
      </c>
      <c r="AT732" s="7">
        <f>0</f>
        <v>0</v>
      </c>
      <c r="AU732" s="7">
        <f t="shared" si="1013"/>
        <v>14405.458999999999</v>
      </c>
      <c r="AV732" s="1">
        <f t="shared" si="1014"/>
        <v>1</v>
      </c>
      <c r="AW732" s="1">
        <f>MIN(10,M732+0+0)</f>
        <v>4</v>
      </c>
      <c r="AX732" s="1">
        <f t="shared" si="1015"/>
        <v>0</v>
      </c>
      <c r="AY732" s="1">
        <f t="shared" si="1041"/>
        <v>6</v>
      </c>
      <c r="AZ732" s="1">
        <f t="shared" si="1016"/>
        <v>3</v>
      </c>
      <c r="BA732" s="1">
        <f>MIN(6,Q732+0)</f>
        <v>2</v>
      </c>
      <c r="BB732" s="1">
        <f t="shared" si="1034"/>
        <v>5</v>
      </c>
      <c r="BC732" s="1">
        <f>MIN(3,S732+1)</f>
        <v>1</v>
      </c>
      <c r="BD732" s="1">
        <f t="shared" si="1042"/>
        <v>0</v>
      </c>
      <c r="BE732" s="1">
        <f t="shared" si="1035"/>
        <v>0</v>
      </c>
      <c r="BF732" s="1">
        <f>MIN(4,V732+0)</f>
        <v>1</v>
      </c>
      <c r="BG732" s="1">
        <f t="shared" si="1039"/>
        <v>1</v>
      </c>
      <c r="BH732" s="1">
        <f t="shared" si="1036"/>
        <v>1</v>
      </c>
      <c r="BI732" s="1">
        <f t="shared" si="1040"/>
        <v>1</v>
      </c>
      <c r="BJ732" s="1">
        <f t="shared" si="1002"/>
        <v>0</v>
      </c>
      <c r="BK732" s="1">
        <f t="shared" si="1003"/>
        <v>0</v>
      </c>
      <c r="BL732" s="1">
        <f t="shared" si="1008"/>
        <v>0</v>
      </c>
      <c r="BM732" s="1">
        <f t="shared" si="1006"/>
        <v>0</v>
      </c>
      <c r="BN732" s="1">
        <f t="shared" si="1037"/>
        <v>1</v>
      </c>
      <c r="BO732" s="1">
        <f t="shared" si="1038"/>
        <v>1</v>
      </c>
    </row>
    <row r="733" spans="1:67" ht="30.95" customHeight="1">
      <c r="A733" s="1">
        <f>20</f>
        <v>20</v>
      </c>
      <c r="B733" s="1">
        <f>固定流程!A13</f>
        <v>8</v>
      </c>
      <c r="C733" s="1">
        <f>23</f>
        <v>23</v>
      </c>
      <c r="D733" s="1">
        <f>1</f>
        <v>1</v>
      </c>
      <c r="E733" s="1">
        <f>固定流程!C13</f>
        <v>2</v>
      </c>
      <c r="F733" s="1">
        <f>固定流程!G13</f>
        <v>3</v>
      </c>
      <c r="G733" s="1" t="str">
        <f>固定流程!H13</f>
        <v>RHI_ATTACK</v>
      </c>
      <c r="H733" s="1">
        <f>固定流程!F13</f>
        <v>1</v>
      </c>
      <c r="I733" s="1">
        <f>INDEX(配置与结果!$B$15:$B$18,F733)</f>
        <v>2597</v>
      </c>
      <c r="J733" s="1">
        <f>INDEX(配置与结果!$D$15:$D$18,F733)</f>
        <v>0.255</v>
      </c>
      <c r="K733" s="1">
        <f>INDEX(配置与结果!$E$15:$E$18,F733)</f>
        <v>1.55</v>
      </c>
      <c r="L733" s="1">
        <f>IF(AV732=1,IF(M733&gt;=10,2,1),IF(AV732=2,IF(AX732&lt;=1,0,2),0))</f>
        <v>1</v>
      </c>
      <c r="M733" s="1">
        <f>IF(AND(AV732=2,AX732&lt;=1),0,MIN(10,AW732+IF(AV732=1,3,0)))</f>
        <v>7</v>
      </c>
      <c r="N733" s="1">
        <f>IF(AND(AV732=1,M733&gt;=10),2,IF(AV732=2,MAX(0,AX732-1),0))</f>
        <v>0</v>
      </c>
      <c r="O733" s="1">
        <f t="shared" ref="O733:O761" si="1043">AY732</f>
        <v>6</v>
      </c>
      <c r="P733" s="1">
        <f>MIN(方案参数!$AI$23,AZ732+方案参数!$AJ$23+方案参数!$AK$23)</f>
        <v>5</v>
      </c>
      <c r="Q733" s="1">
        <f t="shared" si="1021"/>
        <v>2</v>
      </c>
      <c r="R733" s="1">
        <f t="shared" si="1022"/>
        <v>5</v>
      </c>
      <c r="S733" s="1">
        <f t="shared" si="1023"/>
        <v>1</v>
      </c>
      <c r="T733" s="1">
        <f t="shared" si="1024"/>
        <v>0</v>
      </c>
      <c r="U733" s="1">
        <f t="shared" si="1025"/>
        <v>0</v>
      </c>
      <c r="V733" s="1">
        <f t="shared" si="1026"/>
        <v>1</v>
      </c>
      <c r="W733" s="1">
        <f t="shared" si="1027"/>
        <v>1</v>
      </c>
      <c r="X733" s="1">
        <f t="shared" si="1028"/>
        <v>1</v>
      </c>
      <c r="Y733" s="1">
        <f t="shared" si="1029"/>
        <v>1</v>
      </c>
      <c r="Z733" s="1">
        <f t="shared" si="1030"/>
        <v>0</v>
      </c>
      <c r="AA733" s="1">
        <f>MAX(BK732,1)</f>
        <v>1</v>
      </c>
      <c r="AB733" s="1">
        <f t="shared" si="1032"/>
        <v>0</v>
      </c>
      <c r="AC733" s="1">
        <f t="shared" si="1033"/>
        <v>0</v>
      </c>
      <c r="AD733" s="1">
        <f>ROUNDDOWN(I733*(1+IF(F733=3,0.05+方案参数!$Y$23+AA733*0.12,IF(F733=4,方案参数!$BZ$23*方案参数!$AS$23,0)))+IF(AND(X733=1,F733&lt;&gt;3),方案参数!$CC$23,0)+AC733*方案参数!$CB$23,0)</f>
        <v>3298</v>
      </c>
      <c r="AE733" s="1">
        <f>IF(OR(F733=1,F733=4),配置与结果!$B$24,配置与结果!$B$25)*MAX(0,1-INDEX(配置与结果!$I$15:$I$18,F733))</f>
        <v>1000</v>
      </c>
      <c r="AF733" s="1">
        <f>4</f>
        <v>4</v>
      </c>
      <c r="AG733" s="1">
        <f>MAX(配置与结果!$B$32,1+INDEX(配置与结果!$F$15:$F$18,F733)+0+Q733*方案参数!$W$23+Y733*(方案参数!$AN$23+MIN(方案参数!$AO$23,P733*0.03))+AB733*方案参数!$BZ$23*0.025-配置与结果!$B$28)</f>
        <v>0.97499999999999998</v>
      </c>
      <c r="AH733" s="1">
        <f>MAX(0,1+INDEX(配置与结果!$G$15:$G$18,F733)+W733*方案参数!$AG$23)</f>
        <v>1.3</v>
      </c>
      <c r="AI733" s="1">
        <f>IF(OR(INDEX(配置与结果!$K$15:$K$18,F733)=1,G733="RHI_BERRY"),1+配置与结果!$B$33+P733*方案参数!$AH$23,1)</f>
        <v>1</v>
      </c>
      <c r="AJ733" s="1">
        <f>MIN(1,MAX(0,J733+方案参数!$AB$23-配置与结果!$B$27))</f>
        <v>0.55499999999999994</v>
      </c>
      <c r="AK733" s="1">
        <f>MAX(1,K733+IF(F733=2,0.15+方案参数!$CH$23,0)+BN733*方案参数!$X$23+R733*方案参数!$AA$23+0-配置与结果!$B$26+Z733*(方案参数!$AP$23+MIN(方案参数!$AQ$23,P733*0.03)))</f>
        <v>1.33</v>
      </c>
      <c r="AL733" s="7">
        <f>ROUNDDOWN(MAX(AD733*配置与结果!$B$31,AD733-AE733)*AF733*AG733*AH733*AI733,0)</f>
        <v>11650</v>
      </c>
      <c r="AM733" s="7">
        <f>ROUNDDOWN(MAX(AD733*配置与结果!$B$31,AD733-AE733)*AF733*AG733*AH733*AI733*AK733,0)</f>
        <v>15495</v>
      </c>
      <c r="AN733" s="7">
        <f t="shared" si="1009"/>
        <v>13783.974999999999</v>
      </c>
      <c r="AO733" s="7">
        <f>0</f>
        <v>0</v>
      </c>
      <c r="AP733" s="7">
        <f>MAX(0,1+INDEX(配置与结果!$J$15:$J$18,F733)+IF(T733&gt;0,方案参数!$BY$23,0)-配置与结果!$B$30)</f>
        <v>1</v>
      </c>
      <c r="AQ733" s="7">
        <f t="shared" si="1010"/>
        <v>0</v>
      </c>
      <c r="AR733" s="7">
        <f t="shared" si="1011"/>
        <v>0</v>
      </c>
      <c r="AS733" s="7">
        <f t="shared" si="1012"/>
        <v>0</v>
      </c>
      <c r="AT733" s="7">
        <f>0</f>
        <v>0</v>
      </c>
      <c r="AU733" s="7">
        <f t="shared" si="1013"/>
        <v>13783.974999999999</v>
      </c>
      <c r="AV733" s="1">
        <f t="shared" si="1014"/>
        <v>1</v>
      </c>
      <c r="AW733" s="1">
        <f>MIN(10,M733+0+0)</f>
        <v>7</v>
      </c>
      <c r="AX733" s="1">
        <f t="shared" si="1015"/>
        <v>0</v>
      </c>
      <c r="AY733" s="1">
        <f t="shared" si="1041"/>
        <v>6</v>
      </c>
      <c r="AZ733" s="1">
        <f t="shared" si="1016"/>
        <v>5</v>
      </c>
      <c r="BA733" s="1">
        <f>MIN(6,Q733+1)</f>
        <v>3</v>
      </c>
      <c r="BB733" s="1">
        <f t="shared" si="1034"/>
        <v>5</v>
      </c>
      <c r="BC733" s="1">
        <f>MIN(3,S733+0)</f>
        <v>1</v>
      </c>
      <c r="BD733" s="1">
        <f t="shared" si="1042"/>
        <v>0</v>
      </c>
      <c r="BE733" s="1">
        <f t="shared" si="1035"/>
        <v>0</v>
      </c>
      <c r="BF733" s="1">
        <f>MIN(4,V733+0)</f>
        <v>1</v>
      </c>
      <c r="BG733" s="1">
        <f t="shared" si="1039"/>
        <v>1</v>
      </c>
      <c r="BH733" s="1">
        <f t="shared" si="1036"/>
        <v>1</v>
      </c>
      <c r="BI733" s="1">
        <f t="shared" si="1040"/>
        <v>1</v>
      </c>
      <c r="BJ733" s="1">
        <f>MAX(Z733,1)</f>
        <v>1</v>
      </c>
      <c r="BK733" s="1">
        <f>MAX(AA733,1)</f>
        <v>1</v>
      </c>
      <c r="BL733" s="1">
        <f t="shared" si="1008"/>
        <v>0</v>
      </c>
      <c r="BM733" s="1">
        <f t="shared" si="1006"/>
        <v>0</v>
      </c>
      <c r="BN733" s="1">
        <f t="shared" si="1037"/>
        <v>1</v>
      </c>
      <c r="BO733" s="1">
        <f t="shared" si="1038"/>
        <v>1</v>
      </c>
    </row>
    <row r="734" spans="1:67" ht="30.95" customHeight="1">
      <c r="A734" s="1">
        <f>20</f>
        <v>20</v>
      </c>
      <c r="B734" s="1">
        <f>固定流程!A14</f>
        <v>9</v>
      </c>
      <c r="C734" s="1">
        <f>23</f>
        <v>23</v>
      </c>
      <c r="D734" s="1">
        <f>1</f>
        <v>1</v>
      </c>
      <c r="E734" s="1">
        <f>固定流程!C14</f>
        <v>2</v>
      </c>
      <c r="F734" s="1">
        <f>固定流程!G14</f>
        <v>1</v>
      </c>
      <c r="G734" s="1" t="str">
        <f>固定流程!H14</f>
        <v>LILYA_DIVE</v>
      </c>
      <c r="H734" s="1">
        <f>固定流程!F14</f>
        <v>3</v>
      </c>
      <c r="I734" s="1">
        <f>INDEX(配置与结果!$B$15:$B$18,F734)</f>
        <v>2296</v>
      </c>
      <c r="J734" s="1">
        <f>INDEX(配置与结果!$D$15:$D$18,F734)</f>
        <v>0.7</v>
      </c>
      <c r="K734" s="1">
        <f>INDEX(配置与结果!$E$15:$E$18,F734)</f>
        <v>2.0249999999999999</v>
      </c>
      <c r="L734" s="1">
        <f t="shared" ref="L734:N738" si="1044">AV733</f>
        <v>1</v>
      </c>
      <c r="M734" s="1">
        <f t="shared" si="1044"/>
        <v>7</v>
      </c>
      <c r="N734" s="1">
        <f t="shared" si="1044"/>
        <v>0</v>
      </c>
      <c r="O734" s="1">
        <f t="shared" si="1043"/>
        <v>6</v>
      </c>
      <c r="P734" s="1">
        <f>MIN(方案参数!$AI$23,AZ733+0+0)</f>
        <v>5</v>
      </c>
      <c r="Q734" s="1">
        <f t="shared" si="1021"/>
        <v>3</v>
      </c>
      <c r="R734" s="1">
        <f t="shared" si="1022"/>
        <v>5</v>
      </c>
      <c r="S734" s="1">
        <f t="shared" si="1023"/>
        <v>1</v>
      </c>
      <c r="T734" s="1">
        <f t="shared" si="1024"/>
        <v>0</v>
      </c>
      <c r="U734" s="1">
        <f t="shared" si="1025"/>
        <v>0</v>
      </c>
      <c r="V734" s="1">
        <f t="shared" si="1026"/>
        <v>1</v>
      </c>
      <c r="W734" s="1">
        <f t="shared" si="1027"/>
        <v>1</v>
      </c>
      <c r="X734" s="1">
        <f t="shared" si="1028"/>
        <v>1</v>
      </c>
      <c r="Y734" s="1">
        <f t="shared" si="1029"/>
        <v>1</v>
      </c>
      <c r="Z734" s="1">
        <f t="shared" si="1030"/>
        <v>1</v>
      </c>
      <c r="AA734" s="1">
        <f t="shared" ref="AA734:AA739" si="1045">MAX(BK733,0)</f>
        <v>1</v>
      </c>
      <c r="AB734" s="1">
        <f t="shared" si="1032"/>
        <v>0</v>
      </c>
      <c r="AC734" s="1">
        <f t="shared" si="1033"/>
        <v>0</v>
      </c>
      <c r="AD734" s="1">
        <f>ROUNDDOWN(I734*(1+IF(F734=3,0.05+方案参数!$Y$23+AA734*0.12,IF(F734=4,方案参数!$BZ$23*方案参数!$AS$23,0)))+IF(AND(X734=1,F734&lt;&gt;3),方案参数!$CC$23,0)+AC734*方案参数!$CB$23,0)</f>
        <v>2534</v>
      </c>
      <c r="AE734" s="1">
        <f>IF(OR(F734=1,F734=4),配置与结果!$B$24,配置与结果!$B$25)*MAX(0,1-INDEX(配置与结果!$I$15:$I$18,F734))</f>
        <v>1200</v>
      </c>
      <c r="AF734" s="1">
        <f>(IF(L734=1,方案参数!$AW$23,IF(L734=2,方案参数!$AX$23,0))+方案参数!$AV$23)*H734</f>
        <v>18</v>
      </c>
      <c r="AG734" s="1">
        <f>MAX(配置与结果!$B$32,1+INDEX(配置与结果!$F$15:$F$18,F734)+0.08+方案参数!$CD$23+Q734*方案参数!$W$23+Y734*(方案参数!$AN$23+MIN(方案参数!$AO$23,P734*0.03))+AB734*方案参数!$BZ$23*0.025+IF(L734=1,方案参数!$AY$23+(H734-1)*0.1,IF(L734=2,方案参数!$AZ$23+(H734-1)*0.2,0))-配置与结果!$B$28)</f>
        <v>1.6</v>
      </c>
      <c r="AH734" s="1">
        <f>MAX(0,1+INDEX(配置与结果!$G$15:$G$18,F734)+W734*方案参数!$AG$23+IF(L734=1,方案参数!$BA$23,IF(L734=2,方案参数!$BB$23,0))+M734*方案参数!$BC$23)</f>
        <v>2.3199999999999998</v>
      </c>
      <c r="AI734" s="1">
        <f>IF(OR(INDEX(配置与结果!$K$15:$K$18,F734)=1,G734="RHI_BERRY"),1+配置与结果!$B$33+P734*方案参数!$AH$23,1)</f>
        <v>1</v>
      </c>
      <c r="AJ734" s="1">
        <f>MIN(1,MAX(0,J734+方案参数!$AB$23-配置与结果!$B$27))</f>
        <v>1</v>
      </c>
      <c r="AK734" s="1">
        <f>MAX(1,K734+IF(F734=2,0.15+方案参数!$CH$23,0)+BN734*方案参数!$X$23+R734*方案参数!$AA$23+0-配置与结果!$B$26+Z734*(方案参数!$AP$23+MIN(方案参数!$AQ$23,P734*0.03)))</f>
        <v>2.105</v>
      </c>
      <c r="AL734" s="7">
        <f>ROUNDDOWN(MAX(AD734*配置与结果!$B$31,AD734-AE734)*AF734*AG734*AH734*AI734,0)</f>
        <v>89132</v>
      </c>
      <c r="AM734" s="7">
        <f>ROUNDDOWN(MAX(AD734*配置与结果!$B$31,AD734-AE734)*AF734*AG734*AH734*AI734*AK734,0)</f>
        <v>187624</v>
      </c>
      <c r="AN734" s="7">
        <f t="shared" si="1009"/>
        <v>187624</v>
      </c>
      <c r="AO734" s="7">
        <f>0</f>
        <v>0</v>
      </c>
      <c r="AP734" s="7">
        <f>MAX(0,1+INDEX(配置与结果!$J$15:$J$18,F734)+IF(T734&gt;0,方案参数!$BY$23,0)-配置与结果!$B$30)</f>
        <v>1</v>
      </c>
      <c r="AQ734" s="7">
        <f t="shared" si="1010"/>
        <v>0</v>
      </c>
      <c r="AR734" s="7">
        <f t="shared" si="1011"/>
        <v>0</v>
      </c>
      <c r="AS734" s="7">
        <f t="shared" si="1012"/>
        <v>0</v>
      </c>
      <c r="AT734" s="7">
        <f>0</f>
        <v>0</v>
      </c>
      <c r="AU734" s="7">
        <f t="shared" si="1013"/>
        <v>187624</v>
      </c>
      <c r="AV734" s="1">
        <f t="shared" si="1014"/>
        <v>1</v>
      </c>
      <c r="AW734" s="1">
        <f>MIN(10,M734+0+IF(L734=1,方案参数!$BE$23,0))</f>
        <v>8</v>
      </c>
      <c r="AX734" s="1">
        <f t="shared" si="1015"/>
        <v>0</v>
      </c>
      <c r="AY734" s="1">
        <f t="shared" si="1041"/>
        <v>6</v>
      </c>
      <c r="AZ734" s="1">
        <f t="shared" si="1016"/>
        <v>5</v>
      </c>
      <c r="BA734" s="1">
        <f>MIN(6,Q734+0)</f>
        <v>3</v>
      </c>
      <c r="BB734" s="1">
        <f t="shared" si="1034"/>
        <v>5</v>
      </c>
      <c r="BC734" s="1">
        <f>MIN(3,S734+0)</f>
        <v>1</v>
      </c>
      <c r="BD734" s="1">
        <f t="shared" si="1042"/>
        <v>0</v>
      </c>
      <c r="BE734" s="1">
        <f t="shared" si="1035"/>
        <v>0</v>
      </c>
      <c r="BF734" s="1">
        <f>MIN(4,V734+0)</f>
        <v>1</v>
      </c>
      <c r="BG734" s="1">
        <f t="shared" si="1039"/>
        <v>1</v>
      </c>
      <c r="BH734" s="1">
        <f t="shared" si="1036"/>
        <v>1</v>
      </c>
      <c r="BI734" s="1">
        <f t="shared" si="1040"/>
        <v>1</v>
      </c>
      <c r="BJ734" s="1">
        <f t="shared" ref="BJ734:BK739" si="1046">MAX(Z734,0)</f>
        <v>1</v>
      </c>
      <c r="BK734" s="1">
        <f t="shared" si="1046"/>
        <v>1</v>
      </c>
      <c r="BL734" s="1">
        <f t="shared" si="1008"/>
        <v>0</v>
      </c>
      <c r="BM734" s="1">
        <f t="shared" si="1006"/>
        <v>0</v>
      </c>
      <c r="BN734" s="1">
        <f t="shared" si="1037"/>
        <v>1</v>
      </c>
      <c r="BO734" s="1">
        <f t="shared" si="1038"/>
        <v>1</v>
      </c>
    </row>
    <row r="735" spans="1:67" ht="30.95" customHeight="1">
      <c r="A735" s="1">
        <f>20</f>
        <v>20</v>
      </c>
      <c r="B735" s="1">
        <f>固定流程!A15</f>
        <v>10</v>
      </c>
      <c r="C735" s="1">
        <f>23</f>
        <v>23</v>
      </c>
      <c r="D735" s="1">
        <f>1</f>
        <v>1</v>
      </c>
      <c r="E735" s="1">
        <f>固定流程!C15</f>
        <v>2</v>
      </c>
      <c r="F735" s="1">
        <f>固定流程!G15</f>
        <v>4</v>
      </c>
      <c r="G735" s="1" t="str">
        <f>固定流程!H15</f>
        <v>J_HARD</v>
      </c>
      <c r="H735" s="1">
        <f>固定流程!F15</f>
        <v>1</v>
      </c>
      <c r="I735" s="1">
        <f>INDEX(配置与结果!$B$15:$B$18,F735)</f>
        <v>1906</v>
      </c>
      <c r="J735" s="1">
        <f>INDEX(配置与结果!$D$15:$D$18,F735)</f>
        <v>0.36699999999999999</v>
      </c>
      <c r="K735" s="1">
        <f>INDEX(配置与结果!$E$15:$E$18,F735)</f>
        <v>1.7170000000000001</v>
      </c>
      <c r="L735" s="1">
        <f t="shared" si="1044"/>
        <v>1</v>
      </c>
      <c r="M735" s="1">
        <f t="shared" si="1044"/>
        <v>8</v>
      </c>
      <c r="N735" s="1">
        <f t="shared" si="1044"/>
        <v>0</v>
      </c>
      <c r="O735" s="1">
        <f t="shared" si="1043"/>
        <v>6</v>
      </c>
      <c r="P735" s="1">
        <f>MIN(方案参数!$AI$23,AZ734+0+0)</f>
        <v>5</v>
      </c>
      <c r="Q735" s="1">
        <f t="shared" si="1021"/>
        <v>3</v>
      </c>
      <c r="R735" s="1">
        <f t="shared" si="1022"/>
        <v>5</v>
      </c>
      <c r="S735" s="1">
        <f t="shared" si="1023"/>
        <v>1</v>
      </c>
      <c r="T735" s="1">
        <f t="shared" si="1024"/>
        <v>0</v>
      </c>
      <c r="U735" s="1">
        <f t="shared" si="1025"/>
        <v>0</v>
      </c>
      <c r="V735" s="1">
        <f t="shared" si="1026"/>
        <v>1</v>
      </c>
      <c r="W735" s="1">
        <f t="shared" si="1027"/>
        <v>1</v>
      </c>
      <c r="X735" s="1">
        <f t="shared" si="1028"/>
        <v>1</v>
      </c>
      <c r="Y735" s="1">
        <f t="shared" si="1029"/>
        <v>1</v>
      </c>
      <c r="Z735" s="1">
        <f t="shared" si="1030"/>
        <v>1</v>
      </c>
      <c r="AA735" s="1">
        <f t="shared" si="1045"/>
        <v>1</v>
      </c>
      <c r="AB735" s="1">
        <f t="shared" si="1032"/>
        <v>0</v>
      </c>
      <c r="AC735" s="1">
        <f t="shared" si="1033"/>
        <v>0</v>
      </c>
      <c r="AD735" s="1">
        <f>ROUNDDOWN(I735*(1+IF(F735=3,0.05+方案参数!$Y$23+AA735*0.12,IF(F735=4,方案参数!$BZ$23*方案参数!$AS$23,0)))+IF(AND(X735=1,F735&lt;&gt;3),方案参数!$CC$23,0)+AC735*方案参数!$CB$23,0)</f>
        <v>2811</v>
      </c>
      <c r="AE735" s="1">
        <f>IF(OR(F735=1,F735=4),配置与结果!$B$24,配置与结果!$B$25)*MAX(0,1-INDEX(配置与结果!$I$15:$I$18,F735))</f>
        <v>1200</v>
      </c>
      <c r="AF735" s="1">
        <f>3.6*IF(H735=1,1,IF(H735=2,1.5,2.5))</f>
        <v>3.6</v>
      </c>
      <c r="AG735" s="1">
        <f>MAX(配置与结果!$B$32,1+INDEX(配置与结果!$F$15:$F$18,F735)+0.08+Q735*方案参数!$W$23+Y735*(方案参数!$AN$23+MIN(方案参数!$AO$23,P735*0.03))+AB735*方案参数!$BZ$23*0.025+0.1+IF(方案参数!$BZ$23&gt;=30,方案参数!$BZ$23*0.01,0)-配置与结果!$B$28)</f>
        <v>1.5150000000000001</v>
      </c>
      <c r="AH735" s="1">
        <f>MAX(0,1+INDEX(配置与结果!$G$15:$G$18,F735)+W735*方案参数!$AG$23)</f>
        <v>1.3</v>
      </c>
      <c r="AI735" s="1">
        <f>IF(OR(INDEX(配置与结果!$K$15:$K$18,F735)=1,G735="RHI_BERRY"),1+配置与结果!$B$33+P735*方案参数!$AH$23,1)</f>
        <v>1</v>
      </c>
      <c r="AJ735" s="1">
        <f>MIN(1,MAX(0,J735+方案参数!$AB$23-配置与结果!$B$27))</f>
        <v>0.66700000000000004</v>
      </c>
      <c r="AK735" s="1">
        <f>MAX(1,K735+IF(F735=2,0.15+方案参数!$CH$23,0)+BN735*方案参数!$X$23+R735*方案参数!$AA$23+0-配置与结果!$B$26+Z735*(方案参数!$AP$23+MIN(方案参数!$AQ$23,P735*0.03)))</f>
        <v>1.7969999999999999</v>
      </c>
      <c r="AL735" s="7">
        <f>ROUNDDOWN(MAX(AD735*配置与结果!$B$31,AD735-AE735)*AF735*AG735*AH735*AI735,0)</f>
        <v>11422</v>
      </c>
      <c r="AM735" s="7">
        <f>ROUNDDOWN(MAX(AD735*配置与结果!$B$31,AD735-AE735)*AF735*AG735*AH735*AI735*AK735,0)</f>
        <v>20525</v>
      </c>
      <c r="AN735" s="7">
        <f t="shared" si="1009"/>
        <v>17493.701000000001</v>
      </c>
      <c r="AO735" s="7">
        <f>0</f>
        <v>0</v>
      </c>
      <c r="AP735" s="7">
        <f>MAX(0,1+INDEX(配置与结果!$J$15:$J$18,F735)+IF(T735&gt;0,方案参数!$BY$23,0)-配置与结果!$B$30)</f>
        <v>1</v>
      </c>
      <c r="AQ735" s="7">
        <f t="shared" si="1010"/>
        <v>0</v>
      </c>
      <c r="AR735" s="7">
        <f t="shared" si="1011"/>
        <v>0</v>
      </c>
      <c r="AS735" s="7">
        <f t="shared" si="1012"/>
        <v>0</v>
      </c>
      <c r="AT735" s="7">
        <f>0</f>
        <v>0</v>
      </c>
      <c r="AU735" s="7">
        <f t="shared" si="1013"/>
        <v>17493.701000000001</v>
      </c>
      <c r="AV735" s="1">
        <f t="shared" si="1014"/>
        <v>1</v>
      </c>
      <c r="AW735" s="1">
        <f t="shared" ref="AW735:AW745" si="1047">MIN(10,M735+0+0)</f>
        <v>8</v>
      </c>
      <c r="AX735" s="1">
        <f t="shared" si="1015"/>
        <v>0</v>
      </c>
      <c r="AY735" s="1">
        <f t="shared" si="1041"/>
        <v>6</v>
      </c>
      <c r="AZ735" s="1">
        <f t="shared" si="1016"/>
        <v>5</v>
      </c>
      <c r="BA735" s="1">
        <f>MIN(6,Q735+0)</f>
        <v>3</v>
      </c>
      <c r="BB735" s="1">
        <f t="shared" si="1034"/>
        <v>5</v>
      </c>
      <c r="BC735" s="1">
        <f>MIN(3,S735+1)</f>
        <v>2</v>
      </c>
      <c r="BD735" s="1">
        <f t="shared" si="1042"/>
        <v>0</v>
      </c>
      <c r="BE735" s="1">
        <f t="shared" si="1035"/>
        <v>0</v>
      </c>
      <c r="BF735" s="1">
        <f>MIN(4,V735+0)</f>
        <v>1</v>
      </c>
      <c r="BG735" s="1">
        <f t="shared" si="1039"/>
        <v>1</v>
      </c>
      <c r="BH735" s="1">
        <f t="shared" si="1036"/>
        <v>1</v>
      </c>
      <c r="BI735" s="1">
        <f t="shared" si="1040"/>
        <v>1</v>
      </c>
      <c r="BJ735" s="1">
        <f t="shared" si="1046"/>
        <v>1</v>
      </c>
      <c r="BK735" s="1">
        <f t="shared" si="1046"/>
        <v>1</v>
      </c>
      <c r="BL735" s="1">
        <f t="shared" si="1008"/>
        <v>0</v>
      </c>
      <c r="BM735" s="1">
        <f t="shared" si="1006"/>
        <v>0</v>
      </c>
      <c r="BN735" s="1">
        <f t="shared" si="1037"/>
        <v>1</v>
      </c>
      <c r="BO735" s="1">
        <f t="shared" si="1038"/>
        <v>1</v>
      </c>
    </row>
    <row r="736" spans="1:67" ht="30.95" customHeight="1">
      <c r="A736" s="1">
        <f>20</f>
        <v>20</v>
      </c>
      <c r="B736" s="1">
        <f>固定流程!A16</f>
        <v>11</v>
      </c>
      <c r="C736" s="1">
        <f>23</f>
        <v>23</v>
      </c>
      <c r="D736" s="1">
        <f>1</f>
        <v>1</v>
      </c>
      <c r="E736" s="1">
        <f>固定流程!C16</f>
        <v>2</v>
      </c>
      <c r="F736" s="1">
        <f>固定流程!G16</f>
        <v>2</v>
      </c>
      <c r="G736" s="1" t="str">
        <f>固定流程!H16</f>
        <v>37_CURVE</v>
      </c>
      <c r="H736" s="1">
        <f>固定流程!F16</f>
        <v>1</v>
      </c>
      <c r="I736" s="1">
        <f>INDEX(配置与结果!$B$15:$B$18,F736)</f>
        <v>2306</v>
      </c>
      <c r="J736" s="1">
        <f>INDEX(配置与结果!$D$15:$D$18,F736)</f>
        <v>0.46</v>
      </c>
      <c r="K736" s="1">
        <f>INDEX(配置与结果!$E$15:$E$18,F736)</f>
        <v>1.9279999999999999</v>
      </c>
      <c r="L736" s="1">
        <f t="shared" si="1044"/>
        <v>1</v>
      </c>
      <c r="M736" s="1">
        <f t="shared" si="1044"/>
        <v>8</v>
      </c>
      <c r="N736" s="1">
        <f t="shared" si="1044"/>
        <v>0</v>
      </c>
      <c r="O736" s="1">
        <f t="shared" si="1043"/>
        <v>6</v>
      </c>
      <c r="P736" s="1">
        <f>MIN(方案参数!$AI$23,AZ735+0+0)</f>
        <v>5</v>
      </c>
      <c r="Q736" s="1">
        <f t="shared" si="1021"/>
        <v>3</v>
      </c>
      <c r="R736" s="1">
        <f t="shared" si="1022"/>
        <v>5</v>
      </c>
      <c r="S736" s="1">
        <f t="shared" si="1023"/>
        <v>2</v>
      </c>
      <c r="T736" s="1">
        <f t="shared" si="1024"/>
        <v>0</v>
      </c>
      <c r="U736" s="1">
        <f t="shared" si="1025"/>
        <v>0</v>
      </c>
      <c r="V736" s="1">
        <f t="shared" si="1026"/>
        <v>1</v>
      </c>
      <c r="W736" s="1">
        <f t="shared" si="1027"/>
        <v>1</v>
      </c>
      <c r="X736" s="1">
        <f t="shared" si="1028"/>
        <v>1</v>
      </c>
      <c r="Y736" s="1">
        <f t="shared" si="1029"/>
        <v>1</v>
      </c>
      <c r="Z736" s="1">
        <f t="shared" si="1030"/>
        <v>1</v>
      </c>
      <c r="AA736" s="1">
        <f t="shared" si="1045"/>
        <v>1</v>
      </c>
      <c r="AB736" s="1">
        <f t="shared" si="1032"/>
        <v>0</v>
      </c>
      <c r="AC736" s="1">
        <f t="shared" si="1033"/>
        <v>0</v>
      </c>
      <c r="AD736" s="1">
        <f>ROUNDDOWN(I736*(1+IF(F736=3,0.05+方案参数!$Y$23+AA736*0.12,IF(F736=4,方案参数!$BZ$23*方案参数!$AS$23,0)))+IF(AND(X736=1,F736&lt;&gt;3),方案参数!$CC$23,0)+AC736*方案参数!$CB$23,0)</f>
        <v>2544</v>
      </c>
      <c r="AE736" s="1">
        <f>IF(OR(F736=1,F736=4),配置与结果!$B$24,配置与结果!$B$25)*MAX(0,1-INDEX(配置与结果!$I$15:$I$18,F736))</f>
        <v>1000</v>
      </c>
      <c r="AF736" s="1">
        <f>方案参数!$BT$23*IF(H736=1,1,IF(H736=2,1.5,2.5))</f>
        <v>1.4</v>
      </c>
      <c r="AG736" s="1">
        <f>MAX(配置与结果!$B$32,1+INDEX(配置与结果!$F$15:$F$18,F736)+0+Q736*方案参数!$W$23+Y736*(方案参数!$AN$23+MIN(方案参数!$AO$23,P736*0.03))+AB736*方案参数!$BZ$23*0.025-配置与结果!$B$28)</f>
        <v>0.96499999999999997</v>
      </c>
      <c r="AH736" s="1">
        <f>MAX(0,1+INDEX(配置与结果!$G$15:$G$18,F736)+W736*方案参数!$AG$23)</f>
        <v>1.3</v>
      </c>
      <c r="AI736" s="1">
        <f>IF(OR(INDEX(配置与结果!$K$15:$K$18,F736)=1,G736="RHI_BERRY"),1+配置与结果!$B$33+P736*方案参数!$AH$23,1)</f>
        <v>1</v>
      </c>
      <c r="AJ736" s="1">
        <f>MIN(1,MAX(0,J736+方案参数!$AB$23-配置与结果!$B$27))</f>
        <v>0.76</v>
      </c>
      <c r="AK736" s="1">
        <f>MAX(1,K736+IF(F736=2,0.15+方案参数!$CH$23,0)+BN736*方案参数!$X$23+R736*方案参数!$AA$23+0-配置与结果!$B$26+Z736*(方案参数!$AP$23+MIN(方案参数!$AQ$23,P736*0.03)))</f>
        <v>2.278</v>
      </c>
      <c r="AL736" s="7">
        <f>ROUNDDOWN(MAX(AD736*配置与结果!$B$31,AD736-AE736)*AF736*AG736*AH736*AI736,0)</f>
        <v>2711</v>
      </c>
      <c r="AM736" s="7">
        <f>ROUNDDOWN(MAX(AD736*配置与结果!$B$31,AD736-AE736)*AF736*AG736*AH736*AI736*AK736,0)</f>
        <v>6177</v>
      </c>
      <c r="AN736" s="7">
        <f t="shared" si="1009"/>
        <v>5345.1600000000008</v>
      </c>
      <c r="AO736" s="7">
        <f>方案参数!$BU$23*IF(H736=1,1,IF(H736=2,1.5,2.5))</f>
        <v>0.8</v>
      </c>
      <c r="AP736" s="7">
        <f>MAX(0,1+INDEX(配置与结果!$J$15:$J$18,F736)+IF(T736&gt;0,方案参数!$BY$23,0)-配置与结果!$B$30)</f>
        <v>1</v>
      </c>
      <c r="AQ736" s="7">
        <f t="shared" si="1010"/>
        <v>2035</v>
      </c>
      <c r="AR736" s="7">
        <f t="shared" si="1011"/>
        <v>4635</v>
      </c>
      <c r="AS736" s="7">
        <f t="shared" si="1012"/>
        <v>4011</v>
      </c>
      <c r="AT736" s="7">
        <f>0</f>
        <v>0</v>
      </c>
      <c r="AU736" s="7">
        <f t="shared" si="1013"/>
        <v>9356.16</v>
      </c>
      <c r="AV736" s="1">
        <f t="shared" si="1014"/>
        <v>1</v>
      </c>
      <c r="AW736" s="1">
        <f t="shared" si="1047"/>
        <v>8</v>
      </c>
      <c r="AX736" s="1">
        <f t="shared" si="1015"/>
        <v>0</v>
      </c>
      <c r="AY736" s="1">
        <f t="shared" si="1041"/>
        <v>6</v>
      </c>
      <c r="AZ736" s="1">
        <f t="shared" si="1016"/>
        <v>5</v>
      </c>
      <c r="BA736" s="1">
        <f>MIN(6,Q736+0)</f>
        <v>3</v>
      </c>
      <c r="BB736" s="1">
        <f t="shared" si="1034"/>
        <v>5</v>
      </c>
      <c r="BC736" s="1">
        <f t="shared" ref="BC736:BC742" si="1048">MIN(3,S736+0)</f>
        <v>2</v>
      </c>
      <c r="BD736" s="1">
        <f t="shared" si="1042"/>
        <v>0</v>
      </c>
      <c r="BE736" s="1">
        <f t="shared" si="1035"/>
        <v>0</v>
      </c>
      <c r="BF736" s="1">
        <f>MIN(4,V736+0)</f>
        <v>1</v>
      </c>
      <c r="BG736" s="1">
        <f t="shared" si="1039"/>
        <v>1</v>
      </c>
      <c r="BH736" s="1">
        <f t="shared" si="1036"/>
        <v>1</v>
      </c>
      <c r="BI736" s="1">
        <f t="shared" si="1040"/>
        <v>1</v>
      </c>
      <c r="BJ736" s="1">
        <f t="shared" si="1046"/>
        <v>1</v>
      </c>
      <c r="BK736" s="1">
        <f t="shared" si="1046"/>
        <v>1</v>
      </c>
      <c r="BL736" s="1">
        <f t="shared" si="1008"/>
        <v>0</v>
      </c>
      <c r="BM736" s="1">
        <f t="shared" si="1006"/>
        <v>0</v>
      </c>
      <c r="BN736" s="1">
        <f t="shared" si="1037"/>
        <v>1</v>
      </c>
      <c r="BO736" s="1">
        <f t="shared" si="1038"/>
        <v>1</v>
      </c>
    </row>
    <row r="737" spans="1:67" ht="30.95" customHeight="1">
      <c r="A737" s="1">
        <f>20</f>
        <v>20</v>
      </c>
      <c r="B737" s="1">
        <f>固定流程!A17</f>
        <v>12</v>
      </c>
      <c r="C737" s="1">
        <f>23</f>
        <v>23</v>
      </c>
      <c r="D737" s="1">
        <f>1</f>
        <v>1</v>
      </c>
      <c r="E737" s="1">
        <f>固定流程!C17</f>
        <v>2</v>
      </c>
      <c r="F737" s="1">
        <f>固定流程!G17</f>
        <v>2</v>
      </c>
      <c r="G737" s="1" t="str">
        <f>固定流程!H17</f>
        <v>37_FOLLOW</v>
      </c>
      <c r="H737" s="1">
        <f>固定流程!F17</f>
        <v>1</v>
      </c>
      <c r="I737" s="1">
        <f>INDEX(配置与结果!$B$15:$B$18,F737)</f>
        <v>2306</v>
      </c>
      <c r="J737" s="1">
        <f>INDEX(配置与结果!$D$15:$D$18,F737)</f>
        <v>0.46</v>
      </c>
      <c r="K737" s="1">
        <f>INDEX(配置与结果!$E$15:$E$18,F737)</f>
        <v>1.9279999999999999</v>
      </c>
      <c r="L737" s="1">
        <f t="shared" si="1044"/>
        <v>1</v>
      </c>
      <c r="M737" s="1">
        <f t="shared" si="1044"/>
        <v>8</v>
      </c>
      <c r="N737" s="1">
        <f t="shared" si="1044"/>
        <v>0</v>
      </c>
      <c r="O737" s="1">
        <f t="shared" si="1043"/>
        <v>6</v>
      </c>
      <c r="P737" s="1">
        <f>MIN(方案参数!$AI$23,AZ736+0+0)</f>
        <v>5</v>
      </c>
      <c r="Q737" s="1">
        <f t="shared" si="1021"/>
        <v>3</v>
      </c>
      <c r="R737" s="1">
        <f t="shared" si="1022"/>
        <v>5</v>
      </c>
      <c r="S737" s="1">
        <f t="shared" si="1023"/>
        <v>2</v>
      </c>
      <c r="T737" s="1">
        <f t="shared" si="1024"/>
        <v>0</v>
      </c>
      <c r="U737" s="1">
        <f t="shared" si="1025"/>
        <v>0</v>
      </c>
      <c r="V737" s="1">
        <f t="shared" si="1026"/>
        <v>1</v>
      </c>
      <c r="W737" s="1">
        <f t="shared" si="1027"/>
        <v>1</v>
      </c>
      <c r="X737" s="1">
        <f t="shared" si="1028"/>
        <v>1</v>
      </c>
      <c r="Y737" s="1">
        <f t="shared" si="1029"/>
        <v>1</v>
      </c>
      <c r="Z737" s="1">
        <f t="shared" si="1030"/>
        <v>1</v>
      </c>
      <c r="AA737" s="1">
        <f t="shared" si="1045"/>
        <v>1</v>
      </c>
      <c r="AB737" s="1">
        <f t="shared" si="1032"/>
        <v>0</v>
      </c>
      <c r="AC737" s="1">
        <f t="shared" si="1033"/>
        <v>0</v>
      </c>
      <c r="AD737" s="1">
        <f>ROUNDDOWN(I737*(1+IF(F737=3,0.05+方案参数!$Y$23+AA737*0.12,IF(F737=4,方案参数!$BZ$23*方案参数!$AS$23,0)))+IF(AND(X737=1,F737&lt;&gt;3),方案参数!$CC$23,0)+AC737*方案参数!$CB$23,0)</f>
        <v>2544</v>
      </c>
      <c r="AE737" s="1">
        <f>IF(OR(F737=1,F737=4),配置与结果!$B$24,配置与结果!$B$25)*MAX(0,1-INDEX(配置与结果!$I$15:$I$18,F737))</f>
        <v>1000</v>
      </c>
      <c r="AF737" s="1">
        <f>方案参数!$BV$23</f>
        <v>3</v>
      </c>
      <c r="AG737" s="1">
        <f>MAX(配置与结果!$B$32,1+INDEX(配置与结果!$F$15:$F$18,F737)+0+Q737*方案参数!$W$23+Y737*(方案参数!$AN$23+MIN(方案参数!$AO$23,P737*0.03))+AB737*方案参数!$BZ$23*0.025-配置与结果!$B$28)</f>
        <v>0.96499999999999997</v>
      </c>
      <c r="AH737" s="1">
        <f>MAX(0,1+INDEX(配置与结果!$G$15:$G$18,F737)+W737*方案参数!$AG$23)</f>
        <v>1.3</v>
      </c>
      <c r="AI737" s="1">
        <f>IF(OR(INDEX(配置与结果!$K$15:$K$18,F737)=1,G737="RHI_BERRY"),1+配置与结果!$B$33+P737*方案参数!$AH$23,1)</f>
        <v>1</v>
      </c>
      <c r="AJ737" s="1">
        <f>MIN(1,MAX(0,J737+方案参数!$AB$23-配置与结果!$B$27))</f>
        <v>0.76</v>
      </c>
      <c r="AK737" s="1">
        <f>MAX(1,K737+IF(F737=2,0.15+方案参数!$CH$23,0)+BN737*方案参数!$X$23+R737*方案参数!$AA$23+0-配置与结果!$B$26+Z737*(方案参数!$AP$23+MIN(方案参数!$AQ$23,P737*0.03)))</f>
        <v>2.278</v>
      </c>
      <c r="AL737" s="7">
        <f>ROUNDDOWN(MAX(AD737*配置与结果!$B$31,AD737-AE737)*AF737*AG737*AH737*AI737,0)</f>
        <v>5810</v>
      </c>
      <c r="AM737" s="7">
        <f>ROUNDDOWN(MAX(AD737*配置与结果!$B$31,AD737-AE737)*AF737*AG737*AH737*AI737*AK737,0)</f>
        <v>13237</v>
      </c>
      <c r="AN737" s="7">
        <f t="shared" si="1009"/>
        <v>11454.52</v>
      </c>
      <c r="AO737" s="7">
        <f>方案参数!$BW$23</f>
        <v>1</v>
      </c>
      <c r="AP737" s="7">
        <f>MAX(0,1+INDEX(配置与结果!$J$15:$J$18,F737)+IF(T737&gt;0,方案参数!$BY$23,0)-配置与结果!$B$30)</f>
        <v>1</v>
      </c>
      <c r="AQ737" s="7">
        <f t="shared" si="1010"/>
        <v>2544</v>
      </c>
      <c r="AR737" s="7">
        <f t="shared" si="1011"/>
        <v>5795</v>
      </c>
      <c r="AS737" s="7">
        <f t="shared" si="1012"/>
        <v>5014.76</v>
      </c>
      <c r="AT737" s="7">
        <f>0</f>
        <v>0</v>
      </c>
      <c r="AU737" s="7">
        <f t="shared" si="1013"/>
        <v>16469.28</v>
      </c>
      <c r="AV737" s="1">
        <f t="shared" si="1014"/>
        <v>1</v>
      </c>
      <c r="AW737" s="1">
        <f t="shared" si="1047"/>
        <v>8</v>
      </c>
      <c r="AX737" s="1">
        <f t="shared" si="1015"/>
        <v>0</v>
      </c>
      <c r="AY737" s="1">
        <f t="shared" si="1041"/>
        <v>6</v>
      </c>
      <c r="AZ737" s="1">
        <f t="shared" si="1016"/>
        <v>5</v>
      </c>
      <c r="BA737" s="1">
        <f>MIN(6,Q737+0)</f>
        <v>3</v>
      </c>
      <c r="BB737" s="1">
        <f t="shared" si="1034"/>
        <v>5</v>
      </c>
      <c r="BC737" s="1">
        <f t="shared" si="1048"/>
        <v>2</v>
      </c>
      <c r="BD737" s="1">
        <f t="shared" si="1042"/>
        <v>0</v>
      </c>
      <c r="BE737" s="1">
        <f t="shared" si="1035"/>
        <v>0</v>
      </c>
      <c r="BF737" s="1">
        <f>MIN(4,V737+1)</f>
        <v>2</v>
      </c>
      <c r="BG737" s="1">
        <f t="shared" si="1039"/>
        <v>1</v>
      </c>
      <c r="BH737" s="1">
        <f t="shared" si="1036"/>
        <v>1</v>
      </c>
      <c r="BI737" s="1">
        <f t="shared" si="1040"/>
        <v>1</v>
      </c>
      <c r="BJ737" s="1">
        <f t="shared" si="1046"/>
        <v>1</v>
      </c>
      <c r="BK737" s="1">
        <f t="shared" si="1046"/>
        <v>1</v>
      </c>
      <c r="BL737" s="1">
        <f t="shared" si="1008"/>
        <v>0</v>
      </c>
      <c r="BM737" s="1">
        <f t="shared" si="1006"/>
        <v>0</v>
      </c>
      <c r="BN737" s="1">
        <f t="shared" si="1037"/>
        <v>1</v>
      </c>
      <c r="BO737" s="1">
        <f t="shared" si="1038"/>
        <v>1</v>
      </c>
    </row>
    <row r="738" spans="1:67" ht="30.95" customHeight="1">
      <c r="A738" s="1">
        <f>20</f>
        <v>20</v>
      </c>
      <c r="B738" s="1">
        <f>固定流程!A18</f>
        <v>13</v>
      </c>
      <c r="C738" s="1">
        <f>23</f>
        <v>23</v>
      </c>
      <c r="D738" s="1">
        <f>1</f>
        <v>1</v>
      </c>
      <c r="E738" s="1">
        <f>固定流程!C18</f>
        <v>2</v>
      </c>
      <c r="F738" s="1">
        <f>固定流程!G18</f>
        <v>3</v>
      </c>
      <c r="G738" s="1" t="str">
        <f>固定流程!H18</f>
        <v>RHI_BERRY</v>
      </c>
      <c r="H738" s="1">
        <f>固定流程!F18</f>
        <v>1</v>
      </c>
      <c r="I738" s="1">
        <f>INDEX(配置与结果!$B$15:$B$18,F738)</f>
        <v>2597</v>
      </c>
      <c r="J738" s="1">
        <f>INDEX(配置与结果!$D$15:$D$18,F738)</f>
        <v>0.255</v>
      </c>
      <c r="K738" s="1">
        <f>INDEX(配置与结果!$E$15:$E$18,F738)</f>
        <v>1.55</v>
      </c>
      <c r="L738" s="1">
        <f t="shared" si="1044"/>
        <v>1</v>
      </c>
      <c r="M738" s="1">
        <f t="shared" si="1044"/>
        <v>8</v>
      </c>
      <c r="N738" s="1">
        <f t="shared" si="1044"/>
        <v>0</v>
      </c>
      <c r="O738" s="1">
        <f t="shared" si="1043"/>
        <v>6</v>
      </c>
      <c r="P738" s="1">
        <f>MIN(方案参数!$AI$23,AZ737+0+0)</f>
        <v>5</v>
      </c>
      <c r="Q738" s="1">
        <f t="shared" si="1021"/>
        <v>3</v>
      </c>
      <c r="R738" s="1">
        <f t="shared" si="1022"/>
        <v>5</v>
      </c>
      <c r="S738" s="1">
        <f t="shared" si="1023"/>
        <v>2</v>
      </c>
      <c r="T738" s="1">
        <f t="shared" si="1024"/>
        <v>0</v>
      </c>
      <c r="U738" s="1">
        <f t="shared" si="1025"/>
        <v>0</v>
      </c>
      <c r="V738" s="1">
        <f t="shared" si="1026"/>
        <v>2</v>
      </c>
      <c r="W738" s="1">
        <f t="shared" si="1027"/>
        <v>1</v>
      </c>
      <c r="X738" s="1">
        <f t="shared" si="1028"/>
        <v>1</v>
      </c>
      <c r="Y738" s="1">
        <f t="shared" si="1029"/>
        <v>1</v>
      </c>
      <c r="Z738" s="1">
        <f t="shared" si="1030"/>
        <v>1</v>
      </c>
      <c r="AA738" s="1">
        <f t="shared" si="1045"/>
        <v>1</v>
      </c>
      <c r="AB738" s="1">
        <f t="shared" si="1032"/>
        <v>0</v>
      </c>
      <c r="AC738" s="1">
        <f t="shared" si="1033"/>
        <v>0</v>
      </c>
      <c r="AD738" s="1">
        <f>ROUNDDOWN(I738*(1+IF(F738=3,0.05+方案参数!$Y$23+AA738*0.12,IF(F738=4,方案参数!$BZ$23*方案参数!$AS$23,0)))+IF(AND(X738=1,F738&lt;&gt;3),方案参数!$CC$23,0)+AC738*方案参数!$CB$23,0)</f>
        <v>3298</v>
      </c>
      <c r="AE738" s="1">
        <f>IF(OR(F738=1,F738=4),配置与结果!$B$24,配置与结果!$B$25)*MAX(0,1-INDEX(配置与结果!$I$15:$I$18,F738))</f>
        <v>1000</v>
      </c>
      <c r="AF738" s="1">
        <f>方案参数!$CF$23+P738*方案参数!$CG$23</f>
        <v>22.5</v>
      </c>
      <c r="AG738" s="1">
        <f>MAX(配置与结果!$B$32,1+INDEX(配置与结果!$F$15:$F$18,F738)+0+Q738*方案参数!$W$23+Y738*(方案参数!$AN$23+MIN(方案参数!$AO$23,P738*0.03))+AB738*方案参数!$BZ$23*0.025-配置与结果!$B$28)</f>
        <v>0.995</v>
      </c>
      <c r="AH738" s="1">
        <f>MAX(0,1+INDEX(配置与结果!$G$15:$G$18,F738)+W738*方案参数!$AG$23)</f>
        <v>1.3</v>
      </c>
      <c r="AI738" s="1">
        <f>IF(OR(INDEX(配置与结果!$K$15:$K$18,F738)=1,G738="RHI_BERRY"),1+配置与结果!$B$33+P738*方案参数!$AH$23,1)</f>
        <v>1.5</v>
      </c>
      <c r="AJ738" s="1">
        <f>MIN(1,MAX(0,J738+方案参数!$AB$23-配置与结果!$B$27))</f>
        <v>0.55499999999999994</v>
      </c>
      <c r="AK738" s="1">
        <f>MAX(1,K738+IF(F738=2,0.15+方案参数!$CH$23,0)+BN738*方案参数!$X$23+R738*方案参数!$AA$23+0-配置与结果!$B$26+Z738*(方案参数!$AP$23+MIN(方案参数!$AQ$23,P738*0.03)))</f>
        <v>1.6300000000000001</v>
      </c>
      <c r="AL738" s="7">
        <f>ROUNDDOWN(MAX(AD738*配置与结果!$B$31,AD738-AE738)*AF738*AG738*AH738*AI738,0)</f>
        <v>100320</v>
      </c>
      <c r="AM738" s="7">
        <f>ROUNDDOWN(MAX(AD738*配置与结果!$B$31,AD738-AE738)*AF738*AG738*AH738*AI738*AK738,0)</f>
        <v>163522</v>
      </c>
      <c r="AN738" s="7">
        <f t="shared" si="1009"/>
        <v>135397.10999999999</v>
      </c>
      <c r="AO738" s="7">
        <f>0</f>
        <v>0</v>
      </c>
      <c r="AP738" s="7">
        <f>MAX(0,1+INDEX(配置与结果!$J$15:$J$18,F738)+IF(T738&gt;0,方案参数!$BY$23,0)-配置与结果!$B$30)</f>
        <v>1</v>
      </c>
      <c r="AQ738" s="7">
        <f t="shared" si="1010"/>
        <v>0</v>
      </c>
      <c r="AR738" s="7">
        <f t="shared" si="1011"/>
        <v>0</v>
      </c>
      <c r="AS738" s="7">
        <f t="shared" si="1012"/>
        <v>0</v>
      </c>
      <c r="AT738" s="7">
        <f>0</f>
        <v>0</v>
      </c>
      <c r="AU738" s="7">
        <f t="shared" si="1013"/>
        <v>135397.10999999999</v>
      </c>
      <c r="AV738" s="1">
        <f t="shared" si="1014"/>
        <v>1</v>
      </c>
      <c r="AW738" s="1">
        <f t="shared" si="1047"/>
        <v>8</v>
      </c>
      <c r="AX738" s="1">
        <f t="shared" si="1015"/>
        <v>0</v>
      </c>
      <c r="AY738" s="1">
        <f t="shared" si="1041"/>
        <v>6</v>
      </c>
      <c r="AZ738" s="1">
        <f t="shared" si="1016"/>
        <v>5</v>
      </c>
      <c r="BA738" s="1">
        <f>MIN(6,Q738+0)</f>
        <v>3</v>
      </c>
      <c r="BB738" s="1">
        <f t="shared" si="1034"/>
        <v>5</v>
      </c>
      <c r="BC738" s="1">
        <f t="shared" si="1048"/>
        <v>2</v>
      </c>
      <c r="BD738" s="1">
        <f t="shared" si="1042"/>
        <v>0</v>
      </c>
      <c r="BE738" s="1">
        <f t="shared" si="1035"/>
        <v>0</v>
      </c>
      <c r="BF738" s="1">
        <f>MIN(4,V738+0)</f>
        <v>2</v>
      </c>
      <c r="BG738" s="1">
        <f t="shared" si="1039"/>
        <v>1</v>
      </c>
      <c r="BH738" s="1">
        <f t="shared" si="1036"/>
        <v>1</v>
      </c>
      <c r="BI738" s="1">
        <f t="shared" si="1040"/>
        <v>1</v>
      </c>
      <c r="BJ738" s="1">
        <f t="shared" si="1046"/>
        <v>1</v>
      </c>
      <c r="BK738" s="1">
        <f t="shared" si="1046"/>
        <v>1</v>
      </c>
      <c r="BL738" s="1">
        <f t="shared" si="1008"/>
        <v>0</v>
      </c>
      <c r="BM738" s="1">
        <f t="shared" si="1006"/>
        <v>0</v>
      </c>
      <c r="BN738" s="1">
        <f t="shared" si="1037"/>
        <v>1</v>
      </c>
      <c r="BO738" s="1">
        <f t="shared" si="1038"/>
        <v>1</v>
      </c>
    </row>
    <row r="739" spans="1:67" ht="30.95" customHeight="1">
      <c r="A739" s="1">
        <f>20</f>
        <v>20</v>
      </c>
      <c r="B739" s="1">
        <f>固定流程!A19</f>
        <v>14</v>
      </c>
      <c r="C739" s="1">
        <f>23</f>
        <v>23</v>
      </c>
      <c r="D739" s="1">
        <f>1</f>
        <v>1</v>
      </c>
      <c r="E739" s="1">
        <f>固定流程!C19</f>
        <v>3</v>
      </c>
      <c r="F739" s="1">
        <f>固定流程!G19</f>
        <v>3</v>
      </c>
      <c r="G739" s="1" t="str">
        <f>固定流程!H19</f>
        <v>RHI_BUFF</v>
      </c>
      <c r="H739" s="1">
        <f>固定流程!F19</f>
        <v>1</v>
      </c>
      <c r="I739" s="1">
        <f>INDEX(配置与结果!$B$15:$B$18,F739)</f>
        <v>2597</v>
      </c>
      <c r="J739" s="1">
        <f>INDEX(配置与结果!$D$15:$D$18,F739)</f>
        <v>0.255</v>
      </c>
      <c r="K739" s="1">
        <f>INDEX(配置与结果!$E$15:$E$18,F739)</f>
        <v>1.55</v>
      </c>
      <c r="L739" s="1">
        <f>IF(AV738=1,IF(M739&gt;=10,2,1),IF(AV738=2,IF(AX738&lt;=1,0,2),0))</f>
        <v>2</v>
      </c>
      <c r="M739" s="1">
        <f>IF(AND(AV738=2,AX738&lt;=1),0,MIN(10,AW738+IF(AV738=1,3,0)))</f>
        <v>10</v>
      </c>
      <c r="N739" s="1">
        <f>IF(AND(AV738=1,M739&gt;=10),2,IF(AV738=2,MAX(0,AX738-1),0))</f>
        <v>2</v>
      </c>
      <c r="O739" s="1">
        <f t="shared" si="1043"/>
        <v>6</v>
      </c>
      <c r="P739" s="1">
        <f>MIN(方案参数!$AI$23,AZ738+方案参数!$AJ$23+方案参数!$AK$23)</f>
        <v>5</v>
      </c>
      <c r="Q739" s="1">
        <f t="shared" si="1021"/>
        <v>3</v>
      </c>
      <c r="R739" s="1">
        <f t="shared" si="1022"/>
        <v>5</v>
      </c>
      <c r="S739" s="1">
        <f t="shared" si="1023"/>
        <v>2</v>
      </c>
      <c r="T739" s="1">
        <f t="shared" si="1024"/>
        <v>0</v>
      </c>
      <c r="U739" s="1">
        <f t="shared" si="1025"/>
        <v>0</v>
      </c>
      <c r="V739" s="1">
        <f t="shared" si="1026"/>
        <v>2</v>
      </c>
      <c r="W739" s="1">
        <f t="shared" si="1027"/>
        <v>1</v>
      </c>
      <c r="X739" s="1">
        <f t="shared" si="1028"/>
        <v>1</v>
      </c>
      <c r="Y739" s="1">
        <f t="shared" si="1029"/>
        <v>1</v>
      </c>
      <c r="Z739" s="1">
        <f t="shared" si="1030"/>
        <v>1</v>
      </c>
      <c r="AA739" s="1">
        <f t="shared" si="1045"/>
        <v>1</v>
      </c>
      <c r="AB739" s="1">
        <f t="shared" si="1032"/>
        <v>0</v>
      </c>
      <c r="AC739" s="1">
        <f t="shared" si="1033"/>
        <v>0</v>
      </c>
      <c r="AD739" s="1">
        <f>ROUNDDOWN(I739*(1+IF(F739=3,0.05+方案参数!$Y$23+AA739*0.12,IF(F739=4,方案参数!$BZ$23*方案参数!$AS$23,0)))+IF(AND(X739=1,F739&lt;&gt;3),方案参数!$CC$23,0)+AC739*方案参数!$CB$23,0)</f>
        <v>3298</v>
      </c>
      <c r="AE739" s="1">
        <f>IF(OR(F739=1,F739=4),配置与结果!$B$24,配置与结果!$B$25)*MAX(0,1-INDEX(配置与结果!$I$15:$I$18,F739))</f>
        <v>1000</v>
      </c>
      <c r="AF739" s="1">
        <f>0</f>
        <v>0</v>
      </c>
      <c r="AG739" s="1">
        <f>MAX(配置与结果!$B$32,1+INDEX(配置与结果!$F$15:$F$18,F739)+0+Q739*方案参数!$W$23+Y739*(方案参数!$AN$23+MIN(方案参数!$AO$23,P739*0.03))+AB739*方案参数!$BZ$23*0.025-配置与结果!$B$28)</f>
        <v>0.995</v>
      </c>
      <c r="AH739" s="1">
        <f>MAX(0,1+INDEX(配置与结果!$G$15:$G$18,F739)+W739*方案参数!$AG$23)</f>
        <v>1.3</v>
      </c>
      <c r="AI739" s="1">
        <f>IF(OR(INDEX(配置与结果!$K$15:$K$18,F739)=1,G739="RHI_BERRY"),1+配置与结果!$B$33+P739*方案参数!$AH$23,1)</f>
        <v>1</v>
      </c>
      <c r="AJ739" s="1">
        <f>MIN(1,MAX(0,J739+方案参数!$AB$23-配置与结果!$B$27))</f>
        <v>0.55499999999999994</v>
      </c>
      <c r="AK739" s="1">
        <f>MAX(1,K739+IF(F739=2,0.15+方案参数!$CH$23,0)+BN739*方案参数!$X$23+R739*方案参数!$AA$23+0-配置与结果!$B$26+Z739*(方案参数!$AP$23+MIN(方案参数!$AQ$23,P739*0.03)))</f>
        <v>1.6300000000000001</v>
      </c>
      <c r="AL739" s="7">
        <f>ROUNDDOWN(MAX(AD739*配置与结果!$B$31,AD739-AE739)*AF739*AG739*AH739*AI739,0)</f>
        <v>0</v>
      </c>
      <c r="AM739" s="7">
        <f>ROUNDDOWN(MAX(AD739*配置与结果!$B$31,AD739-AE739)*AF739*AG739*AH739*AI739*AK739,0)</f>
        <v>0</v>
      </c>
      <c r="AN739" s="7">
        <f t="shared" si="1009"/>
        <v>0</v>
      </c>
      <c r="AO739" s="7">
        <f>0</f>
        <v>0</v>
      </c>
      <c r="AP739" s="7">
        <f>MAX(0,1+INDEX(配置与结果!$J$15:$J$18,F739)+IF(T739&gt;0,方案参数!$BY$23,0)-配置与结果!$B$30)</f>
        <v>1</v>
      </c>
      <c r="AQ739" s="7">
        <f t="shared" si="1010"/>
        <v>0</v>
      </c>
      <c r="AR739" s="7">
        <f t="shared" si="1011"/>
        <v>0</v>
      </c>
      <c r="AS739" s="7">
        <f t="shared" si="1012"/>
        <v>0</v>
      </c>
      <c r="AT739" s="7">
        <f>0</f>
        <v>0</v>
      </c>
      <c r="AU739" s="7">
        <f t="shared" si="1013"/>
        <v>0</v>
      </c>
      <c r="AV739" s="1">
        <f t="shared" si="1014"/>
        <v>2</v>
      </c>
      <c r="AW739" s="1">
        <f t="shared" si="1047"/>
        <v>10</v>
      </c>
      <c r="AX739" s="1">
        <f t="shared" si="1015"/>
        <v>2</v>
      </c>
      <c r="AY739" s="1">
        <f t="shared" si="1041"/>
        <v>6</v>
      </c>
      <c r="AZ739" s="1">
        <f t="shared" si="1016"/>
        <v>5</v>
      </c>
      <c r="BA739" s="1">
        <f>MIN(6,Q739+1)</f>
        <v>4</v>
      </c>
      <c r="BB739" s="1">
        <f t="shared" si="1034"/>
        <v>5</v>
      </c>
      <c r="BC739" s="1">
        <f t="shared" si="1048"/>
        <v>2</v>
      </c>
      <c r="BD739" s="1">
        <f t="shared" si="1042"/>
        <v>0</v>
      </c>
      <c r="BE739" s="1">
        <f t="shared" si="1035"/>
        <v>0</v>
      </c>
      <c r="BF739" s="1">
        <f>MIN(4,V739+0)</f>
        <v>2</v>
      </c>
      <c r="BG739" s="1">
        <f>MAX(W739,1)</f>
        <v>1</v>
      </c>
      <c r="BH739" s="1">
        <f t="shared" si="1036"/>
        <v>1</v>
      </c>
      <c r="BI739" s="1">
        <f>MAX(Y739,1)</f>
        <v>1</v>
      </c>
      <c r="BJ739" s="1">
        <f t="shared" si="1046"/>
        <v>1</v>
      </c>
      <c r="BK739" s="1">
        <f t="shared" si="1046"/>
        <v>1</v>
      </c>
      <c r="BL739" s="1">
        <f t="shared" si="1008"/>
        <v>0</v>
      </c>
      <c r="BM739" s="1">
        <f t="shared" si="1006"/>
        <v>0</v>
      </c>
      <c r="BN739" s="1">
        <f t="shared" si="1037"/>
        <v>1</v>
      </c>
      <c r="BO739" s="1">
        <f t="shared" si="1038"/>
        <v>1</v>
      </c>
    </row>
    <row r="740" spans="1:67" ht="30.95" customHeight="1">
      <c r="A740" s="1">
        <f>20</f>
        <v>20</v>
      </c>
      <c r="B740" s="1">
        <f>固定流程!A20</f>
        <v>15</v>
      </c>
      <c r="C740" s="1">
        <f>23</f>
        <v>23</v>
      </c>
      <c r="D740" s="1">
        <f>1</f>
        <v>1</v>
      </c>
      <c r="E740" s="1">
        <f>固定流程!C20</f>
        <v>3</v>
      </c>
      <c r="F740" s="1">
        <f>固定流程!G20</f>
        <v>3</v>
      </c>
      <c r="G740" s="1" t="str">
        <f>固定流程!H20</f>
        <v>RHI_ATTACK</v>
      </c>
      <c r="H740" s="1">
        <f>固定流程!F20</f>
        <v>1</v>
      </c>
      <c r="I740" s="1">
        <f>INDEX(配置与结果!$B$15:$B$18,F740)</f>
        <v>2597</v>
      </c>
      <c r="J740" s="1">
        <f>INDEX(配置与结果!$D$15:$D$18,F740)</f>
        <v>0.255</v>
      </c>
      <c r="K740" s="1">
        <f>INDEX(配置与结果!$E$15:$E$18,F740)</f>
        <v>1.55</v>
      </c>
      <c r="L740" s="1">
        <f t="shared" ref="L740:L761" si="1049">AV739</f>
        <v>2</v>
      </c>
      <c r="M740" s="1">
        <f t="shared" ref="M740:M761" si="1050">AW739</f>
        <v>10</v>
      </c>
      <c r="N740" s="1">
        <f t="shared" ref="N740:N761" si="1051">AX739</f>
        <v>2</v>
      </c>
      <c r="O740" s="1">
        <f t="shared" si="1043"/>
        <v>6</v>
      </c>
      <c r="P740" s="1">
        <f>MIN(方案参数!$AI$23,AZ739+0+方案参数!$AK$23)</f>
        <v>5</v>
      </c>
      <c r="Q740" s="1">
        <f t="shared" si="1021"/>
        <v>4</v>
      </c>
      <c r="R740" s="1">
        <f t="shared" si="1022"/>
        <v>5</v>
      </c>
      <c r="S740" s="1">
        <f t="shared" si="1023"/>
        <v>2</v>
      </c>
      <c r="T740" s="1">
        <f t="shared" si="1024"/>
        <v>0</v>
      </c>
      <c r="U740" s="1">
        <f t="shared" si="1025"/>
        <v>0</v>
      </c>
      <c r="V740" s="1">
        <f t="shared" si="1026"/>
        <v>2</v>
      </c>
      <c r="W740" s="1">
        <f t="shared" si="1027"/>
        <v>1</v>
      </c>
      <c r="X740" s="1">
        <f t="shared" si="1028"/>
        <v>1</v>
      </c>
      <c r="Y740" s="1">
        <f t="shared" si="1029"/>
        <v>1</v>
      </c>
      <c r="Z740" s="1">
        <f t="shared" si="1030"/>
        <v>1</v>
      </c>
      <c r="AA740" s="1">
        <f>MAX(BK739,1)</f>
        <v>1</v>
      </c>
      <c r="AB740" s="1">
        <f t="shared" si="1032"/>
        <v>0</v>
      </c>
      <c r="AC740" s="1">
        <f t="shared" si="1033"/>
        <v>0</v>
      </c>
      <c r="AD740" s="1">
        <f>ROUNDDOWN(I740*(1+IF(F740=3,0.05+方案参数!$Y$23+AA740*0.12,IF(F740=4,方案参数!$BZ$23*方案参数!$AS$23,0)))+IF(AND(X740=1,F740&lt;&gt;3),方案参数!$CC$23,0)+AC740*方案参数!$CB$23,0)</f>
        <v>3298</v>
      </c>
      <c r="AE740" s="1">
        <f>IF(OR(F740=1,F740=4),配置与结果!$B$24,配置与结果!$B$25)*MAX(0,1-INDEX(配置与结果!$I$15:$I$18,F740))</f>
        <v>1000</v>
      </c>
      <c r="AF740" s="1">
        <f>4</f>
        <v>4</v>
      </c>
      <c r="AG740" s="1">
        <f>MAX(配置与结果!$B$32,1+INDEX(配置与结果!$F$15:$F$18,F740)+0+Q740*方案参数!$W$23+Y740*(方案参数!$AN$23+MIN(方案参数!$AO$23,P740*0.03))+AB740*方案参数!$BZ$23*0.025-配置与结果!$B$28)</f>
        <v>1.0150000000000001</v>
      </c>
      <c r="AH740" s="1">
        <f>MAX(0,1+INDEX(配置与结果!$G$15:$G$18,F740)+W740*方案参数!$AG$23)</f>
        <v>1.3</v>
      </c>
      <c r="AI740" s="1">
        <f>IF(OR(INDEX(配置与结果!$K$15:$K$18,F740)=1,G740="RHI_BERRY"),1+配置与结果!$B$33+P740*方案参数!$AH$23,1)</f>
        <v>1</v>
      </c>
      <c r="AJ740" s="1">
        <f>MIN(1,MAX(0,J740+方案参数!$AB$23-配置与结果!$B$27))</f>
        <v>0.55499999999999994</v>
      </c>
      <c r="AK740" s="1">
        <f>MAX(1,K740+IF(F740=2,0.15+方案参数!$CH$23,0)+BN740*方案参数!$X$23+R740*方案参数!$AA$23+0-配置与结果!$B$26+Z740*(方案参数!$AP$23+MIN(方案参数!$AQ$23,P740*0.03)))</f>
        <v>1.6300000000000001</v>
      </c>
      <c r="AL740" s="7">
        <f>ROUNDDOWN(MAX(AD740*配置与结果!$B$31,AD740-AE740)*AF740*AG740*AH740*AI740,0)</f>
        <v>12128</v>
      </c>
      <c r="AM740" s="7">
        <f>ROUNDDOWN(MAX(AD740*配置与结果!$B$31,AD740-AE740)*AF740*AG740*AH740*AI740*AK740,0)</f>
        <v>19770</v>
      </c>
      <c r="AN740" s="7">
        <f t="shared" si="1009"/>
        <v>16369.31</v>
      </c>
      <c r="AO740" s="7">
        <f>0</f>
        <v>0</v>
      </c>
      <c r="AP740" s="7">
        <f>MAX(0,1+INDEX(配置与结果!$J$15:$J$18,F740)+IF(T740&gt;0,方案参数!$BY$23,0)-配置与结果!$B$30)</f>
        <v>1</v>
      </c>
      <c r="AQ740" s="7">
        <f t="shared" si="1010"/>
        <v>0</v>
      </c>
      <c r="AR740" s="7">
        <f t="shared" si="1011"/>
        <v>0</v>
      </c>
      <c r="AS740" s="7">
        <f t="shared" si="1012"/>
        <v>0</v>
      </c>
      <c r="AT740" s="7">
        <f>0</f>
        <v>0</v>
      </c>
      <c r="AU740" s="7">
        <f t="shared" si="1013"/>
        <v>16369.31</v>
      </c>
      <c r="AV740" s="1">
        <f t="shared" si="1014"/>
        <v>2</v>
      </c>
      <c r="AW740" s="1">
        <f t="shared" si="1047"/>
        <v>10</v>
      </c>
      <c r="AX740" s="1">
        <f t="shared" si="1015"/>
        <v>2</v>
      </c>
      <c r="AY740" s="1">
        <f t="shared" si="1041"/>
        <v>6</v>
      </c>
      <c r="AZ740" s="1">
        <f t="shared" si="1016"/>
        <v>5</v>
      </c>
      <c r="BA740" s="1">
        <f>MIN(6,Q740+1)</f>
        <v>5</v>
      </c>
      <c r="BB740" s="1">
        <f t="shared" si="1034"/>
        <v>5</v>
      </c>
      <c r="BC740" s="1">
        <f t="shared" si="1048"/>
        <v>2</v>
      </c>
      <c r="BD740" s="1">
        <f t="shared" si="1042"/>
        <v>0</v>
      </c>
      <c r="BE740" s="1">
        <f t="shared" si="1035"/>
        <v>0</v>
      </c>
      <c r="BF740" s="1">
        <f>MIN(4,V740+0)</f>
        <v>2</v>
      </c>
      <c r="BG740" s="1">
        <f t="shared" ref="BG740:BG762" si="1052">MAX(W740,0)</f>
        <v>1</v>
      </c>
      <c r="BH740" s="1">
        <f t="shared" si="1036"/>
        <v>1</v>
      </c>
      <c r="BI740" s="1">
        <f t="shared" ref="BI740:BI762" si="1053">MAX(Y740,0)</f>
        <v>1</v>
      </c>
      <c r="BJ740" s="1">
        <f>MAX(Z740,1)</f>
        <v>1</v>
      </c>
      <c r="BK740" s="1">
        <f>MAX(AA740,1)</f>
        <v>1</v>
      </c>
      <c r="BL740" s="1">
        <f t="shared" si="1008"/>
        <v>0</v>
      </c>
      <c r="BM740" s="1">
        <f t="shared" si="1006"/>
        <v>0</v>
      </c>
      <c r="BN740" s="1">
        <f t="shared" si="1037"/>
        <v>1</v>
      </c>
      <c r="BO740" s="1">
        <f t="shared" si="1038"/>
        <v>1</v>
      </c>
    </row>
    <row r="741" spans="1:67" ht="30.95" customHeight="1">
      <c r="A741" s="1">
        <f>20</f>
        <v>20</v>
      </c>
      <c r="B741" s="1">
        <f>固定流程!A21</f>
        <v>16</v>
      </c>
      <c r="C741" s="1">
        <f>23</f>
        <v>23</v>
      </c>
      <c r="D741" s="1">
        <f>1</f>
        <v>1</v>
      </c>
      <c r="E741" s="1">
        <f>固定流程!C21</f>
        <v>3</v>
      </c>
      <c r="F741" s="1">
        <f>固定流程!G21</f>
        <v>2</v>
      </c>
      <c r="G741" s="1" t="str">
        <f>固定流程!H21</f>
        <v>37_ULT</v>
      </c>
      <c r="H741" s="1">
        <f>固定流程!F21</f>
        <v>1</v>
      </c>
      <c r="I741" s="1">
        <f>INDEX(配置与结果!$B$15:$B$18,F741)</f>
        <v>2306</v>
      </c>
      <c r="J741" s="1">
        <f>INDEX(配置与结果!$D$15:$D$18,F741)</f>
        <v>0.46</v>
      </c>
      <c r="K741" s="1">
        <f>INDEX(配置与结果!$E$15:$E$18,F741)</f>
        <v>1.9279999999999999</v>
      </c>
      <c r="L741" s="1">
        <f t="shared" si="1049"/>
        <v>2</v>
      </c>
      <c r="M741" s="1">
        <f t="shared" si="1050"/>
        <v>10</v>
      </c>
      <c r="N741" s="1">
        <f t="shared" si="1051"/>
        <v>2</v>
      </c>
      <c r="O741" s="1">
        <f t="shared" si="1043"/>
        <v>6</v>
      </c>
      <c r="P741" s="1">
        <f>MIN(方案参数!$AI$23,AZ740+0+0)</f>
        <v>5</v>
      </c>
      <c r="Q741" s="1">
        <f t="shared" si="1021"/>
        <v>5</v>
      </c>
      <c r="R741" s="1">
        <f t="shared" si="1022"/>
        <v>5</v>
      </c>
      <c r="S741" s="1">
        <f t="shared" si="1023"/>
        <v>2</v>
      </c>
      <c r="T741" s="1">
        <f>BD740+方案参数!$BX$23</f>
        <v>2</v>
      </c>
      <c r="U741" s="1">
        <f t="shared" si="1025"/>
        <v>0</v>
      </c>
      <c r="V741" s="1">
        <f t="shared" si="1026"/>
        <v>2</v>
      </c>
      <c r="W741" s="1">
        <f t="shared" si="1027"/>
        <v>1</v>
      </c>
      <c r="X741" s="1">
        <f t="shared" si="1028"/>
        <v>1</v>
      </c>
      <c r="Y741" s="1">
        <f t="shared" si="1029"/>
        <v>1</v>
      </c>
      <c r="Z741" s="1">
        <f t="shared" si="1030"/>
        <v>1</v>
      </c>
      <c r="AA741" s="1">
        <f t="shared" ref="AA741:AA761" si="1054">MAX(BK740,0)</f>
        <v>1</v>
      </c>
      <c r="AB741" s="1">
        <f t="shared" si="1032"/>
        <v>0</v>
      </c>
      <c r="AC741" s="1">
        <f>MAX(BM740,1)</f>
        <v>1</v>
      </c>
      <c r="AD741" s="1">
        <f>ROUNDDOWN(I741*(1+IF(F741=3,0.05+方案参数!$Y$23+AA741*0.12,IF(F741=4,方案参数!$BZ$23*方案参数!$AS$23,0)))+IF(AND(X741=1,F741&lt;&gt;3),方案参数!$CC$23,0)+AC741*方案参数!$CB$23,0)</f>
        <v>3044</v>
      </c>
      <c r="AE741" s="1">
        <f>IF(OR(F741=1,F741=4),配置与结果!$B$24,配置与结果!$B$25)*MAX(0,1-INDEX(配置与结果!$I$15:$I$18,F741))</f>
        <v>1000</v>
      </c>
      <c r="AF741" s="1">
        <f>0</f>
        <v>0</v>
      </c>
      <c r="AG741" s="1">
        <f>MAX(配置与结果!$B$32,1+INDEX(配置与结果!$F$15:$F$18,F741)+0+Q741*方案参数!$W$23+Y741*(方案参数!$AN$23+MIN(方案参数!$AO$23,P741*0.03))+AB741*方案参数!$BZ$23*0.025-配置与结果!$B$28)</f>
        <v>1.0049999999999999</v>
      </c>
      <c r="AH741" s="1">
        <f>MAX(0,1+INDEX(配置与结果!$G$15:$G$18,F741)+W741*方案参数!$AG$23)</f>
        <v>1.3</v>
      </c>
      <c r="AI741" s="1">
        <f>IF(OR(INDEX(配置与结果!$K$15:$K$18,F741)=1,G741="RHI_BERRY"),1+配置与结果!$B$33+P741*方案参数!$AH$23,1)</f>
        <v>1</v>
      </c>
      <c r="AJ741" s="1">
        <f>MIN(1,MAX(0,J741+方案参数!$AB$23-配置与结果!$B$27))</f>
        <v>0.76</v>
      </c>
      <c r="AK741" s="1">
        <f>MAX(1,K741+IF(F741=2,0.15+方案参数!$CH$23,0)+BN741*方案参数!$X$23+R741*方案参数!$AA$23+0-配置与结果!$B$26+Z741*(方案参数!$AP$23+MIN(方案参数!$AQ$23,P741*0.03)))</f>
        <v>2.278</v>
      </c>
      <c r="AL741" s="7">
        <f>ROUNDDOWN(MAX(AD741*配置与结果!$B$31,AD741-AE741)*AF741*AG741*AH741*AI741,0)</f>
        <v>0</v>
      </c>
      <c r="AM741" s="7">
        <f>ROUNDDOWN(MAX(AD741*配置与结果!$B$31,AD741-AE741)*AF741*AG741*AH741*AI741*AK741,0)</f>
        <v>0</v>
      </c>
      <c r="AN741" s="7">
        <f t="shared" si="1009"/>
        <v>0</v>
      </c>
      <c r="AO741" s="7">
        <f>0</f>
        <v>0</v>
      </c>
      <c r="AP741" s="7">
        <f>MAX(0,1+INDEX(配置与结果!$J$15:$J$18,F741)+IF(T741&gt;0,方案参数!$BY$23,0)-配置与结果!$B$30)</f>
        <v>2</v>
      </c>
      <c r="AQ741" s="7">
        <f t="shared" si="1010"/>
        <v>0</v>
      </c>
      <c r="AR741" s="7">
        <f t="shared" si="1011"/>
        <v>0</v>
      </c>
      <c r="AS741" s="7">
        <f t="shared" si="1012"/>
        <v>0</v>
      </c>
      <c r="AT741" s="7">
        <f>0</f>
        <v>0</v>
      </c>
      <c r="AU741" s="7">
        <f t="shared" si="1013"/>
        <v>0</v>
      </c>
      <c r="AV741" s="1">
        <f t="shared" si="1014"/>
        <v>2</v>
      </c>
      <c r="AW741" s="1">
        <f t="shared" si="1047"/>
        <v>10</v>
      </c>
      <c r="AX741" s="1">
        <f t="shared" si="1015"/>
        <v>2</v>
      </c>
      <c r="AY741" s="1">
        <f t="shared" si="1041"/>
        <v>6</v>
      </c>
      <c r="AZ741" s="1">
        <f t="shared" si="1016"/>
        <v>5</v>
      </c>
      <c r="BA741" s="1">
        <f t="shared" ref="BA741:BA761" si="1055">MIN(6,Q741+0)</f>
        <v>5</v>
      </c>
      <c r="BB741" s="1">
        <f>MIN(30,R741+5)</f>
        <v>10</v>
      </c>
      <c r="BC741" s="1">
        <f t="shared" si="1048"/>
        <v>2</v>
      </c>
      <c r="BD741" s="1">
        <f t="shared" si="1042"/>
        <v>2</v>
      </c>
      <c r="BE741" s="1">
        <f t="shared" si="1035"/>
        <v>0</v>
      </c>
      <c r="BF741" s="1">
        <f>MIN(4,V741+0)</f>
        <v>2</v>
      </c>
      <c r="BG741" s="1">
        <f t="shared" si="1052"/>
        <v>1</v>
      </c>
      <c r="BH741" s="1">
        <f t="shared" si="1036"/>
        <v>1</v>
      </c>
      <c r="BI741" s="1">
        <f t="shared" si="1053"/>
        <v>1</v>
      </c>
      <c r="BJ741" s="1">
        <f t="shared" ref="BJ741:BJ768" si="1056">MAX(Z741,0)</f>
        <v>1</v>
      </c>
      <c r="BK741" s="1">
        <f t="shared" ref="BK741:BK768" si="1057">MAX(AA741,0)</f>
        <v>1</v>
      </c>
      <c r="BL741" s="1">
        <f t="shared" si="1008"/>
        <v>0</v>
      </c>
      <c r="BM741" s="1">
        <f>MAX(AC741,1)</f>
        <v>1</v>
      </c>
      <c r="BN741" s="1">
        <f t="shared" si="1037"/>
        <v>1</v>
      </c>
      <c r="BO741" s="1">
        <f t="shared" si="1038"/>
        <v>1</v>
      </c>
    </row>
    <row r="742" spans="1:67" ht="30.95" customHeight="1">
      <c r="A742" s="1">
        <f>20</f>
        <v>20</v>
      </c>
      <c r="B742" s="1">
        <f>固定流程!A22</f>
        <v>17</v>
      </c>
      <c r="C742" s="1">
        <f>23</f>
        <v>23</v>
      </c>
      <c r="D742" s="1">
        <f>1</f>
        <v>1</v>
      </c>
      <c r="E742" s="1">
        <f>固定流程!C22</f>
        <v>3</v>
      </c>
      <c r="F742" s="1">
        <f>固定流程!G22</f>
        <v>2</v>
      </c>
      <c r="G742" s="1" t="str">
        <f>固定流程!H22</f>
        <v>37_FOLLOW</v>
      </c>
      <c r="H742" s="1">
        <f>固定流程!F22</f>
        <v>1</v>
      </c>
      <c r="I742" s="1">
        <f>INDEX(配置与结果!$B$15:$B$18,F742)</f>
        <v>2306</v>
      </c>
      <c r="J742" s="1">
        <f>INDEX(配置与结果!$D$15:$D$18,F742)</f>
        <v>0.46</v>
      </c>
      <c r="K742" s="1">
        <f>INDEX(配置与结果!$E$15:$E$18,F742)</f>
        <v>1.9279999999999999</v>
      </c>
      <c r="L742" s="1">
        <f t="shared" si="1049"/>
        <v>2</v>
      </c>
      <c r="M742" s="1">
        <f t="shared" si="1050"/>
        <v>10</v>
      </c>
      <c r="N742" s="1">
        <f t="shared" si="1051"/>
        <v>2</v>
      </c>
      <c r="O742" s="1">
        <f t="shared" si="1043"/>
        <v>6</v>
      </c>
      <c r="P742" s="1">
        <f>MIN(方案参数!$AI$23,AZ741+0+0)</f>
        <v>5</v>
      </c>
      <c r="Q742" s="1">
        <f t="shared" si="1021"/>
        <v>5</v>
      </c>
      <c r="R742" s="1">
        <f t="shared" si="1022"/>
        <v>10</v>
      </c>
      <c r="S742" s="1">
        <f t="shared" si="1023"/>
        <v>2</v>
      </c>
      <c r="T742" s="1">
        <f t="shared" ref="T742:T761" si="1058">BD741+0</f>
        <v>2</v>
      </c>
      <c r="U742" s="1">
        <f t="shared" si="1025"/>
        <v>0</v>
      </c>
      <c r="V742" s="1">
        <f t="shared" si="1026"/>
        <v>2</v>
      </c>
      <c r="W742" s="1">
        <f t="shared" si="1027"/>
        <v>1</v>
      </c>
      <c r="X742" s="1">
        <f t="shared" si="1028"/>
        <v>1</v>
      </c>
      <c r="Y742" s="1">
        <f t="shared" si="1029"/>
        <v>1</v>
      </c>
      <c r="Z742" s="1">
        <f t="shared" si="1030"/>
        <v>1</v>
      </c>
      <c r="AA742" s="1">
        <f t="shared" si="1054"/>
        <v>1</v>
      </c>
      <c r="AB742" s="1">
        <f t="shared" si="1032"/>
        <v>0</v>
      </c>
      <c r="AC742" s="1">
        <f t="shared" ref="AC742:AC761" si="1059">MAX(BM741,0)</f>
        <v>1</v>
      </c>
      <c r="AD742" s="1">
        <f>ROUNDDOWN(I742*(1+IF(F742=3,0.05+方案参数!$Y$23+AA742*0.12,IF(F742=4,方案参数!$BZ$23*方案参数!$AS$23,0)))+IF(AND(X742=1,F742&lt;&gt;3),方案参数!$CC$23,0)+AC742*方案参数!$CB$23,0)</f>
        <v>3044</v>
      </c>
      <c r="AE742" s="1">
        <f>IF(OR(F742=1,F742=4),配置与结果!$B$24,配置与结果!$B$25)*MAX(0,1-INDEX(配置与结果!$I$15:$I$18,F742))</f>
        <v>1000</v>
      </c>
      <c r="AF742" s="1">
        <f>方案参数!$BV$23</f>
        <v>3</v>
      </c>
      <c r="AG742" s="1">
        <f>MAX(配置与结果!$B$32,1+INDEX(配置与结果!$F$15:$F$18,F742)+0+Q742*方案参数!$W$23+Y742*(方案参数!$AN$23+MIN(方案参数!$AO$23,P742*0.03))+AB742*方案参数!$BZ$23*0.025-配置与结果!$B$28)</f>
        <v>1.0049999999999999</v>
      </c>
      <c r="AH742" s="1">
        <f>MAX(0,1+INDEX(配置与结果!$G$15:$G$18,F742)+W742*方案参数!$AG$23)</f>
        <v>1.3</v>
      </c>
      <c r="AI742" s="1">
        <f>IF(OR(INDEX(配置与结果!$K$15:$K$18,F742)=1,G742="RHI_BERRY"),1+配置与结果!$B$33+P742*方案参数!$AH$23,1)</f>
        <v>1</v>
      </c>
      <c r="AJ742" s="1">
        <f>MIN(1,MAX(0,J742+方案参数!$AB$23-配置与结果!$B$27))</f>
        <v>0.76</v>
      </c>
      <c r="AK742" s="1">
        <f>MAX(1,K742+IF(F742=2,0.15+方案参数!$CH$23,0)+BN742*方案参数!$X$23+R742*方案参数!$AA$23+0-配置与结果!$B$26+Z742*(方案参数!$AP$23+MIN(方案参数!$AQ$23,P742*0.03)))</f>
        <v>2.298</v>
      </c>
      <c r="AL742" s="7">
        <f>ROUNDDOWN(MAX(AD742*配置与结果!$B$31,AD742-AE742)*AF742*AG742*AH742*AI742,0)</f>
        <v>8011</v>
      </c>
      <c r="AM742" s="7">
        <f>ROUNDDOWN(MAX(AD742*配置与结果!$B$31,AD742-AE742)*AF742*AG742*AH742*AI742*AK742,0)</f>
        <v>18410</v>
      </c>
      <c r="AN742" s="7">
        <f t="shared" si="1009"/>
        <v>15914.24</v>
      </c>
      <c r="AO742" s="7">
        <f>方案参数!$BW$23</f>
        <v>1</v>
      </c>
      <c r="AP742" s="7">
        <f>MAX(0,1+INDEX(配置与结果!$J$15:$J$18,F742)+IF(T742&gt;0,方案参数!$BY$23,0)-配置与结果!$B$30)</f>
        <v>2</v>
      </c>
      <c r="AQ742" s="7">
        <f t="shared" si="1010"/>
        <v>6088</v>
      </c>
      <c r="AR742" s="7">
        <f t="shared" si="1011"/>
        <v>13990</v>
      </c>
      <c r="AS742" s="7">
        <f t="shared" si="1012"/>
        <v>12093.52</v>
      </c>
      <c r="AT742" s="7">
        <f>0</f>
        <v>0</v>
      </c>
      <c r="AU742" s="7">
        <f t="shared" si="1013"/>
        <v>28007.760000000002</v>
      </c>
      <c r="AV742" s="1">
        <f t="shared" si="1014"/>
        <v>2</v>
      </c>
      <c r="AW742" s="1">
        <f t="shared" si="1047"/>
        <v>10</v>
      </c>
      <c r="AX742" s="1">
        <f t="shared" si="1015"/>
        <v>2</v>
      </c>
      <c r="AY742" s="1">
        <f t="shared" si="1041"/>
        <v>6</v>
      </c>
      <c r="AZ742" s="1">
        <f t="shared" si="1016"/>
        <v>5</v>
      </c>
      <c r="BA742" s="1">
        <f t="shared" si="1055"/>
        <v>5</v>
      </c>
      <c r="BB742" s="1">
        <f>MIN(30,R742+0)</f>
        <v>10</v>
      </c>
      <c r="BC742" s="1">
        <f t="shared" si="1048"/>
        <v>2</v>
      </c>
      <c r="BD742" s="1">
        <f t="shared" si="1042"/>
        <v>1</v>
      </c>
      <c r="BE742" s="1">
        <f t="shared" si="1035"/>
        <v>0</v>
      </c>
      <c r="BF742" s="1">
        <f>MIN(4,V742+1)</f>
        <v>3</v>
      </c>
      <c r="BG742" s="1">
        <f t="shared" si="1052"/>
        <v>1</v>
      </c>
      <c r="BH742" s="1">
        <f t="shared" si="1036"/>
        <v>1</v>
      </c>
      <c r="BI742" s="1">
        <f t="shared" si="1053"/>
        <v>1</v>
      </c>
      <c r="BJ742" s="1">
        <f t="shared" si="1056"/>
        <v>1</v>
      </c>
      <c r="BK742" s="1">
        <f t="shared" si="1057"/>
        <v>1</v>
      </c>
      <c r="BL742" s="1">
        <f t="shared" si="1008"/>
        <v>0</v>
      </c>
      <c r="BM742" s="1">
        <f t="shared" ref="BM742:BM776" si="1060">MAX(AC742,0)</f>
        <v>1</v>
      </c>
      <c r="BN742" s="1">
        <f t="shared" si="1037"/>
        <v>1</v>
      </c>
      <c r="BO742" s="1">
        <f t="shared" si="1038"/>
        <v>1</v>
      </c>
    </row>
    <row r="743" spans="1:67" ht="30.95" customHeight="1">
      <c r="A743" s="1">
        <f>20</f>
        <v>20</v>
      </c>
      <c r="B743" s="1">
        <f>固定流程!A23</f>
        <v>18</v>
      </c>
      <c r="C743" s="1">
        <f>23</f>
        <v>23</v>
      </c>
      <c r="D743" s="1">
        <f>1</f>
        <v>1</v>
      </c>
      <c r="E743" s="1">
        <f>固定流程!C23</f>
        <v>3</v>
      </c>
      <c r="F743" s="1">
        <f>固定流程!G23</f>
        <v>4</v>
      </c>
      <c r="G743" s="1" t="str">
        <f>固定流程!H23</f>
        <v>J_HARD</v>
      </c>
      <c r="H743" s="1">
        <f>固定流程!F23</f>
        <v>1</v>
      </c>
      <c r="I743" s="1">
        <f>INDEX(配置与结果!$B$15:$B$18,F743)</f>
        <v>1906</v>
      </c>
      <c r="J743" s="1">
        <f>INDEX(配置与结果!$D$15:$D$18,F743)</f>
        <v>0.36699999999999999</v>
      </c>
      <c r="K743" s="1">
        <f>INDEX(配置与结果!$E$15:$E$18,F743)</f>
        <v>1.7170000000000001</v>
      </c>
      <c r="L743" s="1">
        <f t="shared" si="1049"/>
        <v>2</v>
      </c>
      <c r="M743" s="1">
        <f t="shared" si="1050"/>
        <v>10</v>
      </c>
      <c r="N743" s="1">
        <f t="shared" si="1051"/>
        <v>2</v>
      </c>
      <c r="O743" s="1">
        <f t="shared" si="1043"/>
        <v>6</v>
      </c>
      <c r="P743" s="1">
        <f>MIN(方案参数!$AI$23,AZ742+0+0)</f>
        <v>5</v>
      </c>
      <c r="Q743" s="1">
        <f t="shared" si="1021"/>
        <v>5</v>
      </c>
      <c r="R743" s="1">
        <f t="shared" si="1022"/>
        <v>10</v>
      </c>
      <c r="S743" s="1">
        <f t="shared" si="1023"/>
        <v>2</v>
      </c>
      <c r="T743" s="1">
        <f t="shared" si="1058"/>
        <v>1</v>
      </c>
      <c r="U743" s="1">
        <f t="shared" si="1025"/>
        <v>0</v>
      </c>
      <c r="V743" s="1">
        <f t="shared" si="1026"/>
        <v>3</v>
      </c>
      <c r="W743" s="1">
        <f t="shared" si="1027"/>
        <v>1</v>
      </c>
      <c r="X743" s="1">
        <f t="shared" si="1028"/>
        <v>1</v>
      </c>
      <c r="Y743" s="1">
        <f t="shared" si="1029"/>
        <v>1</v>
      </c>
      <c r="Z743" s="1">
        <f t="shared" si="1030"/>
        <v>1</v>
      </c>
      <c r="AA743" s="1">
        <f t="shared" si="1054"/>
        <v>1</v>
      </c>
      <c r="AB743" s="1">
        <f t="shared" si="1032"/>
        <v>0</v>
      </c>
      <c r="AC743" s="1">
        <f t="shared" si="1059"/>
        <v>1</v>
      </c>
      <c r="AD743" s="1">
        <f>ROUNDDOWN(I743*(1+IF(F743=3,0.05+方案参数!$Y$23+AA743*0.12,IF(F743=4,方案参数!$BZ$23*方案参数!$AS$23,0)))+IF(AND(X743=1,F743&lt;&gt;3),方案参数!$CC$23,0)+AC743*方案参数!$CB$23,0)</f>
        <v>3311</v>
      </c>
      <c r="AE743" s="1">
        <f>IF(OR(F743=1,F743=4),配置与结果!$B$24,配置与结果!$B$25)*MAX(0,1-INDEX(配置与结果!$I$15:$I$18,F743))</f>
        <v>1200</v>
      </c>
      <c r="AF743" s="1">
        <f>3.6*IF(H743=1,1,IF(H743=2,1.5,2.5))</f>
        <v>3.6</v>
      </c>
      <c r="AG743" s="1">
        <f>MAX(配置与结果!$B$32,1+INDEX(配置与结果!$F$15:$F$18,F743)+0.08+Q743*方案参数!$W$23+Y743*(方案参数!$AN$23+MIN(方案参数!$AO$23,P743*0.03))+AB743*方案参数!$BZ$23*0.025+0.1+IF(方案参数!$BZ$23&gt;=30,方案参数!$BZ$23*0.01,0)-配置与结果!$B$28)</f>
        <v>1.5550000000000002</v>
      </c>
      <c r="AH743" s="1">
        <f>MAX(0,1+INDEX(配置与结果!$G$15:$G$18,F743)+W743*方案参数!$AG$23)</f>
        <v>1.3</v>
      </c>
      <c r="AI743" s="1">
        <f>IF(OR(INDEX(配置与结果!$K$15:$K$18,F743)=1,G743="RHI_BERRY"),1+配置与结果!$B$33+P743*方案参数!$AH$23,1)</f>
        <v>1</v>
      </c>
      <c r="AJ743" s="1">
        <f>MIN(1,MAX(0,J743+方案参数!$AB$23-配置与结果!$B$27))</f>
        <v>0.66700000000000004</v>
      </c>
      <c r="AK743" s="1">
        <f>MAX(1,K743+IF(F743=2,0.15+方案参数!$CH$23,0)+BN743*方案参数!$X$23+R743*方案参数!$AA$23+0-配置与结果!$B$26+Z743*(方案参数!$AP$23+MIN(方案参数!$AQ$23,P743*0.03)))</f>
        <v>1.8169999999999999</v>
      </c>
      <c r="AL743" s="7">
        <f>ROUNDDOWN(MAX(AD743*配置与结果!$B$31,AD743-AE743)*AF743*AG743*AH743*AI743,0)</f>
        <v>15362</v>
      </c>
      <c r="AM743" s="7">
        <f>ROUNDDOWN(MAX(AD743*配置与结果!$B$31,AD743-AE743)*AF743*AG743*AH743*AI743*AK743,0)</f>
        <v>27913</v>
      </c>
      <c r="AN743" s="7">
        <f t="shared" si="1009"/>
        <v>23733.517</v>
      </c>
      <c r="AO743" s="7">
        <f>0</f>
        <v>0</v>
      </c>
      <c r="AP743" s="7">
        <f>MAX(0,1+INDEX(配置与结果!$J$15:$J$18,F743)+IF(T743&gt;0,方案参数!$BY$23,0)-配置与结果!$B$30)</f>
        <v>2</v>
      </c>
      <c r="AQ743" s="7">
        <f t="shared" si="1010"/>
        <v>0</v>
      </c>
      <c r="AR743" s="7">
        <f t="shared" si="1011"/>
        <v>0</v>
      </c>
      <c r="AS743" s="7">
        <f t="shared" si="1012"/>
        <v>0</v>
      </c>
      <c r="AT743" s="7">
        <f>0</f>
        <v>0</v>
      </c>
      <c r="AU743" s="7">
        <f t="shared" si="1013"/>
        <v>23733.517</v>
      </c>
      <c r="AV743" s="1">
        <f t="shared" si="1014"/>
        <v>2</v>
      </c>
      <c r="AW743" s="1">
        <f t="shared" si="1047"/>
        <v>10</v>
      </c>
      <c r="AX743" s="1">
        <f t="shared" si="1015"/>
        <v>2</v>
      </c>
      <c r="AY743" s="1">
        <f t="shared" si="1041"/>
        <v>6</v>
      </c>
      <c r="AZ743" s="1">
        <f t="shared" si="1016"/>
        <v>5</v>
      </c>
      <c r="BA743" s="1">
        <f t="shared" si="1055"/>
        <v>5</v>
      </c>
      <c r="BB743" s="1">
        <f>MIN(30,R743+0)</f>
        <v>10</v>
      </c>
      <c r="BC743" s="1">
        <f>MIN(3,S743+1)</f>
        <v>3</v>
      </c>
      <c r="BD743" s="1">
        <f t="shared" si="1042"/>
        <v>1</v>
      </c>
      <c r="BE743" s="1">
        <f t="shared" si="1035"/>
        <v>0</v>
      </c>
      <c r="BF743" s="1">
        <f>MIN(4,V743+0)</f>
        <v>3</v>
      </c>
      <c r="BG743" s="1">
        <f t="shared" si="1052"/>
        <v>1</v>
      </c>
      <c r="BH743" s="1">
        <f t="shared" si="1036"/>
        <v>1</v>
      </c>
      <c r="BI743" s="1">
        <f t="shared" si="1053"/>
        <v>1</v>
      </c>
      <c r="BJ743" s="1">
        <f t="shared" si="1056"/>
        <v>1</v>
      </c>
      <c r="BK743" s="1">
        <f t="shared" si="1057"/>
        <v>1</v>
      </c>
      <c r="BL743" s="1">
        <f t="shared" si="1008"/>
        <v>0</v>
      </c>
      <c r="BM743" s="1">
        <f t="shared" si="1060"/>
        <v>1</v>
      </c>
      <c r="BN743" s="1">
        <f t="shared" si="1037"/>
        <v>1</v>
      </c>
      <c r="BO743" s="1">
        <f t="shared" si="1038"/>
        <v>1</v>
      </c>
    </row>
    <row r="744" spans="1:67" ht="30.95" customHeight="1">
      <c r="A744" s="1">
        <f>20</f>
        <v>20</v>
      </c>
      <c r="B744" s="1">
        <f>固定流程!A24</f>
        <v>19</v>
      </c>
      <c r="C744" s="1">
        <f>23</f>
        <v>23</v>
      </c>
      <c r="D744" s="1">
        <f>1</f>
        <v>1</v>
      </c>
      <c r="E744" s="1">
        <f>固定流程!C24</f>
        <v>3</v>
      </c>
      <c r="F744" s="1">
        <f>固定流程!G24</f>
        <v>4</v>
      </c>
      <c r="G744" s="1" t="str">
        <f>固定流程!H24</f>
        <v>J_ULT</v>
      </c>
      <c r="H744" s="1">
        <f>固定流程!F24</f>
        <v>1</v>
      </c>
      <c r="I744" s="1">
        <f>INDEX(配置与结果!$B$15:$B$18,F744)</f>
        <v>1906</v>
      </c>
      <c r="J744" s="1">
        <f>INDEX(配置与结果!$D$15:$D$18,F744)</f>
        <v>0.36699999999999999</v>
      </c>
      <c r="K744" s="1">
        <f>INDEX(配置与结果!$E$15:$E$18,F744)</f>
        <v>1.7170000000000001</v>
      </c>
      <c r="L744" s="1">
        <f t="shared" si="1049"/>
        <v>2</v>
      </c>
      <c r="M744" s="1">
        <f t="shared" si="1050"/>
        <v>10</v>
      </c>
      <c r="N744" s="1">
        <f t="shared" si="1051"/>
        <v>2</v>
      </c>
      <c r="O744" s="1">
        <f t="shared" si="1043"/>
        <v>6</v>
      </c>
      <c r="P744" s="1">
        <f>MIN(方案参数!$AI$23,AZ743+0+0)</f>
        <v>5</v>
      </c>
      <c r="Q744" s="1">
        <f t="shared" si="1021"/>
        <v>5</v>
      </c>
      <c r="R744" s="1">
        <f t="shared" si="1022"/>
        <v>10</v>
      </c>
      <c r="S744" s="1">
        <f t="shared" si="1023"/>
        <v>3</v>
      </c>
      <c r="T744" s="1">
        <f t="shared" si="1058"/>
        <v>1</v>
      </c>
      <c r="U744" s="1">
        <f t="shared" si="1025"/>
        <v>0</v>
      </c>
      <c r="V744" s="1">
        <f t="shared" si="1026"/>
        <v>3</v>
      </c>
      <c r="W744" s="1">
        <f t="shared" si="1027"/>
        <v>1</v>
      </c>
      <c r="X744" s="1">
        <f t="shared" si="1028"/>
        <v>1</v>
      </c>
      <c r="Y744" s="1">
        <f t="shared" si="1029"/>
        <v>1</v>
      </c>
      <c r="Z744" s="1">
        <f t="shared" si="1030"/>
        <v>1</v>
      </c>
      <c r="AA744" s="1">
        <f t="shared" si="1054"/>
        <v>1</v>
      </c>
      <c r="AB744" s="1">
        <f t="shared" si="1032"/>
        <v>0</v>
      </c>
      <c r="AC744" s="1">
        <f t="shared" si="1059"/>
        <v>1</v>
      </c>
      <c r="AD744" s="1">
        <f>ROUNDDOWN(I744*(1+IF(F744=3,0.05+方案参数!$Y$23+AA744*0.12,IF(F744=4,方案参数!$BZ$23*方案参数!$AS$23,0)))+IF(AND(X744=1,F744&lt;&gt;3),方案参数!$CC$23,0)+AC744*方案参数!$CB$23,0)</f>
        <v>3311</v>
      </c>
      <c r="AE744" s="1">
        <f>IF(OR(F744=1,F744=4),配置与结果!$B$24,配置与结果!$B$25)*MAX(0,1-INDEX(配置与结果!$I$15:$I$18,F744))</f>
        <v>1200</v>
      </c>
      <c r="AF744" s="1">
        <f>方案参数!$AT$23+MAX(0,配置与结果!$H$26+方案参数!$BZ$23-30)*方案参数!$AU$23*配置与结果!$H$27</f>
        <v>42</v>
      </c>
      <c r="AG744" s="1">
        <f>MAX(配置与结果!$B$32,1+INDEX(配置与结果!$F$15:$F$18,F744)+0.08+Q744*方案参数!$W$23+Y744*(方案参数!$AN$23+MIN(方案参数!$AO$23,P744*0.03))+AB744*方案参数!$BZ$23*0.025-配置与结果!$B$28)</f>
        <v>1.105</v>
      </c>
      <c r="AH744" s="1">
        <f>MAX(0,1+INDEX(配置与结果!$H$15:$H$18,F744)+W744*方案参数!$AG$23+S744*方案参数!$Z$23)</f>
        <v>1.42</v>
      </c>
      <c r="AI744" s="1">
        <f>IF(OR(INDEX(配置与结果!$K$15:$K$18,F744)=1,G744="RHI_BERRY"),1+配置与结果!$B$33+P744*方案参数!$AH$23,1)</f>
        <v>1</v>
      </c>
      <c r="AJ744" s="1">
        <f>MIN(1,MAX(0,J744+方案参数!$AB$23-配置与结果!$B$27))</f>
        <v>0.66700000000000004</v>
      </c>
      <c r="AK744" s="1">
        <f>MAX(1,K744+IF(F744=2,0.15+方案参数!$CH$23,0)+BN744*方案参数!$X$23+R744*方案参数!$AA$23+0-配置与结果!$B$26+Z744*(方案参数!$AP$23+MIN(方案参数!$AQ$23,P744*0.03)))</f>
        <v>1.8169999999999999</v>
      </c>
      <c r="AL744" s="7">
        <f>ROUNDDOWN(MAX(AD744*配置与结果!$B$31,AD744-AE744)*AF744*AG744*AH744*AI744,0)</f>
        <v>139119</v>
      </c>
      <c r="AM744" s="7">
        <f>ROUNDDOWN(MAX(AD744*配置与结果!$B$31,AD744-AE744)*AF744*AG744*AH744*AI744*AK744,0)</f>
        <v>252780</v>
      </c>
      <c r="AN744" s="7">
        <f t="shared" si="1009"/>
        <v>214930.88699999999</v>
      </c>
      <c r="AO744" s="7">
        <f>0</f>
        <v>0</v>
      </c>
      <c r="AP744" s="7">
        <f>MAX(0,1+INDEX(配置与结果!$J$15:$J$18,F744)+IF(T744&gt;0,方案参数!$BY$23,0)-配置与结果!$B$30)</f>
        <v>2</v>
      </c>
      <c r="AQ744" s="7">
        <f t="shared" si="1010"/>
        <v>0</v>
      </c>
      <c r="AR744" s="7">
        <f t="shared" si="1011"/>
        <v>0</v>
      </c>
      <c r="AS744" s="7">
        <f t="shared" si="1012"/>
        <v>0</v>
      </c>
      <c r="AT744" s="7">
        <f>0</f>
        <v>0</v>
      </c>
      <c r="AU744" s="7">
        <f t="shared" si="1013"/>
        <v>214930.88699999999</v>
      </c>
      <c r="AV744" s="1">
        <f t="shared" si="1014"/>
        <v>2</v>
      </c>
      <c r="AW744" s="1">
        <f t="shared" si="1047"/>
        <v>10</v>
      </c>
      <c r="AX744" s="1">
        <f t="shared" si="1015"/>
        <v>2</v>
      </c>
      <c r="AY744" s="1">
        <f t="shared" si="1041"/>
        <v>6</v>
      </c>
      <c r="AZ744" s="1">
        <f t="shared" si="1016"/>
        <v>5</v>
      </c>
      <c r="BA744" s="1">
        <f t="shared" si="1055"/>
        <v>5</v>
      </c>
      <c r="BB744" s="1">
        <f>MIN(30,R744+5)</f>
        <v>15</v>
      </c>
      <c r="BC744" s="1">
        <f t="shared" ref="BC744:BC767" si="1061">MIN(3,S744+0)</f>
        <v>3</v>
      </c>
      <c r="BD744" s="1">
        <f t="shared" si="1042"/>
        <v>1</v>
      </c>
      <c r="BE744" s="1">
        <f t="shared" si="1035"/>
        <v>0</v>
      </c>
      <c r="BF744" s="1">
        <f>MIN(4,V744+0)</f>
        <v>3</v>
      </c>
      <c r="BG744" s="1">
        <f t="shared" si="1052"/>
        <v>1</v>
      </c>
      <c r="BH744" s="1">
        <f t="shared" si="1036"/>
        <v>1</v>
      </c>
      <c r="BI744" s="1">
        <f t="shared" si="1053"/>
        <v>1</v>
      </c>
      <c r="BJ744" s="1">
        <f t="shared" si="1056"/>
        <v>1</v>
      </c>
      <c r="BK744" s="1">
        <f t="shared" si="1057"/>
        <v>1</v>
      </c>
      <c r="BL744" s="1">
        <f>MAX(AB744,1)</f>
        <v>1</v>
      </c>
      <c r="BM744" s="1">
        <f t="shared" si="1060"/>
        <v>1</v>
      </c>
      <c r="BN744" s="1">
        <f t="shared" si="1037"/>
        <v>1</v>
      </c>
      <c r="BO744" s="1">
        <f t="shared" si="1038"/>
        <v>1</v>
      </c>
    </row>
    <row r="745" spans="1:67" ht="30.95" customHeight="1">
      <c r="A745" s="1">
        <f>20</f>
        <v>20</v>
      </c>
      <c r="B745" s="1">
        <f>固定流程!A25</f>
        <v>20</v>
      </c>
      <c r="C745" s="1">
        <f>23</f>
        <v>23</v>
      </c>
      <c r="D745" s="1">
        <f>1</f>
        <v>1</v>
      </c>
      <c r="E745" s="1">
        <f>固定流程!C25</f>
        <v>3</v>
      </c>
      <c r="F745" s="1">
        <f>固定流程!G25</f>
        <v>1</v>
      </c>
      <c r="G745" s="1" t="str">
        <f>固定流程!H25</f>
        <v>LILYA_ULT</v>
      </c>
      <c r="H745" s="1">
        <f>固定流程!F25</f>
        <v>1</v>
      </c>
      <c r="I745" s="1">
        <f>INDEX(配置与结果!$B$15:$B$18,F745)</f>
        <v>2296</v>
      </c>
      <c r="J745" s="1">
        <f>INDEX(配置与结果!$D$15:$D$18,F745)</f>
        <v>0.7</v>
      </c>
      <c r="K745" s="1">
        <f>INDEX(配置与结果!$E$15:$E$18,F745)</f>
        <v>2.0249999999999999</v>
      </c>
      <c r="L745" s="1">
        <f t="shared" si="1049"/>
        <v>2</v>
      </c>
      <c r="M745" s="1">
        <f t="shared" si="1050"/>
        <v>10</v>
      </c>
      <c r="N745" s="1">
        <f t="shared" si="1051"/>
        <v>2</v>
      </c>
      <c r="O745" s="1">
        <f t="shared" si="1043"/>
        <v>6</v>
      </c>
      <c r="P745" s="1">
        <f>MIN(方案参数!$AI$23,AZ744+0+0)</f>
        <v>5</v>
      </c>
      <c r="Q745" s="1">
        <f t="shared" si="1021"/>
        <v>5</v>
      </c>
      <c r="R745" s="1">
        <f t="shared" si="1022"/>
        <v>15</v>
      </c>
      <c r="S745" s="1">
        <f t="shared" si="1023"/>
        <v>3</v>
      </c>
      <c r="T745" s="1">
        <f t="shared" si="1058"/>
        <v>1</v>
      </c>
      <c r="U745" s="1">
        <f t="shared" si="1025"/>
        <v>0</v>
      </c>
      <c r="V745" s="1">
        <f t="shared" si="1026"/>
        <v>3</v>
      </c>
      <c r="W745" s="1">
        <f t="shared" si="1027"/>
        <v>1</v>
      </c>
      <c r="X745" s="1">
        <f t="shared" si="1028"/>
        <v>1</v>
      </c>
      <c r="Y745" s="1">
        <f t="shared" si="1029"/>
        <v>1</v>
      </c>
      <c r="Z745" s="1">
        <f t="shared" si="1030"/>
        <v>1</v>
      </c>
      <c r="AA745" s="1">
        <f t="shared" si="1054"/>
        <v>1</v>
      </c>
      <c r="AB745" s="1">
        <f t="shared" si="1032"/>
        <v>1</v>
      </c>
      <c r="AC745" s="1">
        <f t="shared" si="1059"/>
        <v>1</v>
      </c>
      <c r="AD745" s="1">
        <f>ROUNDDOWN(I745*(1+IF(F745=3,0.05+方案参数!$Y$23+AA745*0.12,IF(F745=4,方案参数!$BZ$23*方案参数!$AS$23,0)))+IF(AND(X745=1,F745&lt;&gt;3),方案参数!$CC$23,0)+AC745*方案参数!$CB$23,0)</f>
        <v>3034</v>
      </c>
      <c r="AE745" s="1">
        <f>IF(OR(F745=1,F745=4),配置与结果!$B$24,配置与结果!$B$25)*MAX(0,1-INDEX(配置与结果!$I$15:$I$18,F745)+IF(O745&gt;=6,方案参数!$BK$23,0))</f>
        <v>1440</v>
      </c>
      <c r="AF745" s="1">
        <f>方案参数!$BG$23+IF(O745&gt;=6,方案参数!$BH$23,0)</f>
        <v>36</v>
      </c>
      <c r="AG745" s="1">
        <f>MAX(配置与结果!$B$32,1+INDEX(配置与结果!$F$15:$F$18,F745)+0.08+方案参数!$CD$23+Q745*方案参数!$W$23+Y745*(方案参数!$AN$23+MIN(方案参数!$AO$23,P745*0.03))+AB745*方案参数!$BZ$23*0.025-配置与结果!$B$28)</f>
        <v>2.2150000000000003</v>
      </c>
      <c r="AH745" s="1">
        <f>MAX(0,1+INDEX(配置与结果!$H$15:$H$18,F745)+W745*方案参数!$AG$23+O745*方案参数!$BF$23+IF(O745&gt;=6,方案参数!$BI$23,0))</f>
        <v>2.4500000000000002</v>
      </c>
      <c r="AI745" s="1">
        <f>IF(OR(INDEX(配置与结果!$K$15:$K$18,F745)=1,G745="RHI_BERRY"),1+配置与结果!$B$33+P745*方案参数!$AH$23,1)</f>
        <v>1</v>
      </c>
      <c r="AJ745" s="1">
        <f>MIN(1,MAX(0,J745+方案参数!$AB$23-配置与结果!$B$27))</f>
        <v>1</v>
      </c>
      <c r="AK745" s="1">
        <f>MAX(1,K745+IF(F745=2,0.15+方案参数!$CH$23,0)+BN745*方案参数!$X$23+R745*方案参数!$AA$23+IF(O745&gt;=6,方案参数!$BJ$23,0)-配置与结果!$B$26+Z745*(方案参数!$AP$23+MIN(方案参数!$AQ$23,P745*0.03)))</f>
        <v>3.145</v>
      </c>
      <c r="AL745" s="7">
        <f>ROUNDDOWN(MAX(AD745*配置与结果!$B$31,AD745-AE745)*AF745*AG745*AH745*AI745,0)</f>
        <v>311408</v>
      </c>
      <c r="AM745" s="7">
        <f>ROUNDDOWN(MAX(AD745*配置与结果!$B$31,AD745-AE745)*AF745*AG745*AH745*AI745*AK745,0)</f>
        <v>979380</v>
      </c>
      <c r="AN745" s="7">
        <f t="shared" si="1009"/>
        <v>979380</v>
      </c>
      <c r="AO745" s="7">
        <f>0</f>
        <v>0</v>
      </c>
      <c r="AP745" s="7">
        <f>MAX(0,1+INDEX(配置与结果!$J$15:$J$18,F745)+IF(T745&gt;0,方案参数!$BY$23,0)-配置与结果!$B$30)</f>
        <v>2</v>
      </c>
      <c r="AQ745" s="7">
        <f t="shared" si="1010"/>
        <v>0</v>
      </c>
      <c r="AR745" s="7">
        <f t="shared" si="1011"/>
        <v>0</v>
      </c>
      <c r="AS745" s="7">
        <f t="shared" si="1012"/>
        <v>0</v>
      </c>
      <c r="AT745" s="7">
        <f>0</f>
        <v>0</v>
      </c>
      <c r="AU745" s="7">
        <f t="shared" si="1013"/>
        <v>979380</v>
      </c>
      <c r="AV745" s="1">
        <f t="shared" si="1014"/>
        <v>2</v>
      </c>
      <c r="AW745" s="1">
        <f t="shared" si="1047"/>
        <v>10</v>
      </c>
      <c r="AX745" s="1">
        <f t="shared" si="1015"/>
        <v>2</v>
      </c>
      <c r="AY745" s="1">
        <f>MIN(20,MAX(0,O745+0+0-IF(O745&gt;=6,6,0)))</f>
        <v>0</v>
      </c>
      <c r="AZ745" s="1">
        <f t="shared" si="1016"/>
        <v>5</v>
      </c>
      <c r="BA745" s="1">
        <f t="shared" si="1055"/>
        <v>5</v>
      </c>
      <c r="BB745" s="1">
        <f>MIN(30,R745+5)</f>
        <v>20</v>
      </c>
      <c r="BC745" s="1">
        <f t="shared" si="1061"/>
        <v>3</v>
      </c>
      <c r="BD745" s="1">
        <f t="shared" si="1042"/>
        <v>1</v>
      </c>
      <c r="BE745" s="1">
        <f t="shared" si="1035"/>
        <v>0</v>
      </c>
      <c r="BF745" s="1">
        <f>MIN(4,V745+0)</f>
        <v>3</v>
      </c>
      <c r="BG745" s="1">
        <f t="shared" si="1052"/>
        <v>1</v>
      </c>
      <c r="BH745" s="1">
        <f t="shared" si="1036"/>
        <v>1</v>
      </c>
      <c r="BI745" s="1">
        <f t="shared" si="1053"/>
        <v>1</v>
      </c>
      <c r="BJ745" s="1">
        <f t="shared" si="1056"/>
        <v>1</v>
      </c>
      <c r="BK745" s="1">
        <f t="shared" si="1057"/>
        <v>1</v>
      </c>
      <c r="BL745" s="1">
        <f t="shared" ref="BL745:BL779" si="1062">MAX(AB745,0)</f>
        <v>1</v>
      </c>
      <c r="BM745" s="1">
        <f t="shared" si="1060"/>
        <v>1</v>
      </c>
      <c r="BN745" s="1">
        <f t="shared" si="1037"/>
        <v>1</v>
      </c>
      <c r="BO745" s="1">
        <f t="shared" si="1038"/>
        <v>1</v>
      </c>
    </row>
    <row r="746" spans="1:67" ht="30.95" customHeight="1">
      <c r="A746" s="1">
        <f>20</f>
        <v>20</v>
      </c>
      <c r="B746" s="1">
        <f>固定流程!A26</f>
        <v>21</v>
      </c>
      <c r="C746" s="1">
        <f>23</f>
        <v>23</v>
      </c>
      <c r="D746" s="1">
        <f>1</f>
        <v>1</v>
      </c>
      <c r="E746" s="1">
        <f>固定流程!C26</f>
        <v>3</v>
      </c>
      <c r="F746" s="1">
        <f>固定流程!G26</f>
        <v>1</v>
      </c>
      <c r="G746" s="1" t="str">
        <f>固定流程!H26</f>
        <v>LILYA_DIVE</v>
      </c>
      <c r="H746" s="1">
        <f>固定流程!F26</f>
        <v>3</v>
      </c>
      <c r="I746" s="1">
        <f>INDEX(配置与结果!$B$15:$B$18,F746)</f>
        <v>2296</v>
      </c>
      <c r="J746" s="1">
        <f>INDEX(配置与结果!$D$15:$D$18,F746)</f>
        <v>0.7</v>
      </c>
      <c r="K746" s="1">
        <f>INDEX(配置与结果!$E$15:$E$18,F746)</f>
        <v>2.0249999999999999</v>
      </c>
      <c r="L746" s="1">
        <f t="shared" si="1049"/>
        <v>2</v>
      </c>
      <c r="M746" s="1">
        <f t="shared" si="1050"/>
        <v>10</v>
      </c>
      <c r="N746" s="1">
        <f t="shared" si="1051"/>
        <v>2</v>
      </c>
      <c r="O746" s="1">
        <f t="shared" si="1043"/>
        <v>0</v>
      </c>
      <c r="P746" s="1">
        <f>MIN(方案参数!$AI$23,AZ745+0+0)</f>
        <v>5</v>
      </c>
      <c r="Q746" s="1">
        <f t="shared" si="1021"/>
        <v>5</v>
      </c>
      <c r="R746" s="1">
        <f t="shared" si="1022"/>
        <v>20</v>
      </c>
      <c r="S746" s="1">
        <f t="shared" si="1023"/>
        <v>3</v>
      </c>
      <c r="T746" s="1">
        <f t="shared" si="1058"/>
        <v>1</v>
      </c>
      <c r="U746" s="1">
        <f t="shared" si="1025"/>
        <v>0</v>
      </c>
      <c r="V746" s="1">
        <f t="shared" si="1026"/>
        <v>3</v>
      </c>
      <c r="W746" s="1">
        <f t="shared" si="1027"/>
        <v>1</v>
      </c>
      <c r="X746" s="1">
        <f t="shared" si="1028"/>
        <v>1</v>
      </c>
      <c r="Y746" s="1">
        <f t="shared" si="1029"/>
        <v>1</v>
      </c>
      <c r="Z746" s="1">
        <f t="shared" si="1030"/>
        <v>1</v>
      </c>
      <c r="AA746" s="1">
        <f t="shared" si="1054"/>
        <v>1</v>
      </c>
      <c r="AB746" s="1">
        <f t="shared" si="1032"/>
        <v>1</v>
      </c>
      <c r="AC746" s="1">
        <f t="shared" si="1059"/>
        <v>1</v>
      </c>
      <c r="AD746" s="1">
        <f>ROUNDDOWN(I746*(1+IF(F746=3,0.05+方案参数!$Y$23+AA746*0.12,IF(F746=4,方案参数!$BZ$23*方案参数!$AS$23,0)))+IF(AND(X746=1,F746&lt;&gt;3),方案参数!$CC$23,0)+AC746*方案参数!$CB$23,0)</f>
        <v>3034</v>
      </c>
      <c r="AE746" s="1">
        <f>IF(OR(F746=1,F746=4),配置与结果!$B$24,配置与结果!$B$25)*MAX(0,1-INDEX(配置与结果!$I$15:$I$18,F746))</f>
        <v>1200</v>
      </c>
      <c r="AF746" s="1">
        <f>(IF(L746=1,方案参数!$AW$23,IF(L746=2,方案参数!$AX$23,0))+方案参数!$AV$23)*H746</f>
        <v>30</v>
      </c>
      <c r="AG746" s="1">
        <f>MAX(配置与结果!$B$32,1+INDEX(配置与结果!$F$15:$F$18,F746)+0.08+方案参数!$CD$23+Q746*方案参数!$W$23+Y746*(方案参数!$AN$23+MIN(方案参数!$AO$23,P746*0.03))+AB746*方案参数!$BZ$23*0.025+IF(L746=1,方案参数!$AY$23+(H746-1)*0.1,IF(L746=2,方案参数!$AZ$23+(H746-1)*0.2,0))-配置与结果!$B$28)</f>
        <v>2.8150000000000004</v>
      </c>
      <c r="AH746" s="1">
        <f>MAX(0,1+INDEX(配置与结果!$G$15:$G$18,F746)+W746*方案参数!$AG$23+IF(L746=1,方案参数!$BA$23,IF(L746=2,方案参数!$BB$23,0))+M746*方案参数!$BC$23)</f>
        <v>3.1</v>
      </c>
      <c r="AI746" s="1">
        <f>IF(OR(INDEX(配置与结果!$K$15:$K$18,F746)=1,G746="RHI_BERRY"),1+配置与结果!$B$33+P746*方案参数!$AH$23,1)</f>
        <v>1</v>
      </c>
      <c r="AJ746" s="1">
        <f>MIN(1,MAX(0,J746+方案参数!$AB$23-配置与结果!$B$27))</f>
        <v>1</v>
      </c>
      <c r="AK746" s="1">
        <f>MAX(1,K746+IF(F746=2,0.15+方案参数!$CH$23,0)+BN746*方案参数!$X$23+R746*方案参数!$AA$23+0-配置与结果!$B$26+Z746*(方案参数!$AP$23+MIN(方案参数!$AQ$23,P746*0.03)))</f>
        <v>2.165</v>
      </c>
      <c r="AL746" s="7">
        <f>ROUNDDOWN(MAX(AD746*配置与结果!$B$31,AD746-AE746)*AF746*AG746*AH746*AI746,0)</f>
        <v>480132</v>
      </c>
      <c r="AM746" s="7">
        <f>ROUNDDOWN(MAX(AD746*配置与结果!$B$31,AD746-AE746)*AF746*AG746*AH746*AI746*AK746,0)</f>
        <v>1039485</v>
      </c>
      <c r="AN746" s="7">
        <f t="shared" si="1009"/>
        <v>1039485</v>
      </c>
      <c r="AO746" s="7">
        <f>0</f>
        <v>0</v>
      </c>
      <c r="AP746" s="7">
        <f>MAX(0,1+INDEX(配置与结果!$J$15:$J$18,F746)+IF(T746&gt;0,方案参数!$BY$23,0)-配置与结果!$B$30)</f>
        <v>2</v>
      </c>
      <c r="AQ746" s="7">
        <f t="shared" si="1010"/>
        <v>0</v>
      </c>
      <c r="AR746" s="7">
        <f t="shared" si="1011"/>
        <v>0</v>
      </c>
      <c r="AS746" s="7">
        <f t="shared" si="1012"/>
        <v>0</v>
      </c>
      <c r="AT746" s="7">
        <f>0</f>
        <v>0</v>
      </c>
      <c r="AU746" s="7">
        <f t="shared" si="1013"/>
        <v>1039485</v>
      </c>
      <c r="AV746" s="1">
        <f t="shared" si="1014"/>
        <v>2</v>
      </c>
      <c r="AW746" s="1">
        <f>MIN(10,M746+0+IF(L746=1,方案参数!$BE$23,0))</f>
        <v>10</v>
      </c>
      <c r="AX746" s="1">
        <f t="shared" si="1015"/>
        <v>2</v>
      </c>
      <c r="AY746" s="1">
        <f>MIN(20,MAX(0,O746+0+0-0))</f>
        <v>0</v>
      </c>
      <c r="AZ746" s="1">
        <f t="shared" si="1016"/>
        <v>5</v>
      </c>
      <c r="BA746" s="1">
        <f t="shared" si="1055"/>
        <v>5</v>
      </c>
      <c r="BB746" s="1">
        <f t="shared" ref="BB746:BB761" si="1063">MIN(30,R746+0)</f>
        <v>20</v>
      </c>
      <c r="BC746" s="1">
        <f t="shared" si="1061"/>
        <v>3</v>
      </c>
      <c r="BD746" s="1">
        <f t="shared" si="1042"/>
        <v>1</v>
      </c>
      <c r="BE746" s="1">
        <f t="shared" si="1035"/>
        <v>0</v>
      </c>
      <c r="BF746" s="1">
        <f>MIN(4,V746+0)</f>
        <v>3</v>
      </c>
      <c r="BG746" s="1">
        <f t="shared" si="1052"/>
        <v>1</v>
      </c>
      <c r="BH746" s="1">
        <f t="shared" si="1036"/>
        <v>1</v>
      </c>
      <c r="BI746" s="1">
        <f t="shared" si="1053"/>
        <v>1</v>
      </c>
      <c r="BJ746" s="1">
        <f t="shared" si="1056"/>
        <v>1</v>
      </c>
      <c r="BK746" s="1">
        <f t="shared" si="1057"/>
        <v>1</v>
      </c>
      <c r="BL746" s="1">
        <f t="shared" si="1062"/>
        <v>1</v>
      </c>
      <c r="BM746" s="1">
        <f t="shared" si="1060"/>
        <v>1</v>
      </c>
      <c r="BN746" s="1">
        <f t="shared" si="1037"/>
        <v>1</v>
      </c>
      <c r="BO746" s="1">
        <f t="shared" si="1038"/>
        <v>1</v>
      </c>
    </row>
    <row r="747" spans="1:67" ht="30.95" customHeight="1">
      <c r="A747" s="1">
        <f>20</f>
        <v>20</v>
      </c>
      <c r="B747" s="1">
        <f>固定流程!A27</f>
        <v>22</v>
      </c>
      <c r="C747" s="1">
        <f>23</f>
        <v>23</v>
      </c>
      <c r="D747" s="1">
        <f>1</f>
        <v>1</v>
      </c>
      <c r="E747" s="1">
        <f>固定流程!C27</f>
        <v>3</v>
      </c>
      <c r="F747" s="1">
        <f>固定流程!G27</f>
        <v>3</v>
      </c>
      <c r="G747" s="1" t="str">
        <f>固定流程!H27</f>
        <v>RHI_BERRY</v>
      </c>
      <c r="H747" s="1">
        <f>固定流程!F27</f>
        <v>1</v>
      </c>
      <c r="I747" s="1">
        <f>INDEX(配置与结果!$B$15:$B$18,F747)</f>
        <v>2597</v>
      </c>
      <c r="J747" s="1">
        <f>INDEX(配置与结果!$D$15:$D$18,F747)</f>
        <v>0.255</v>
      </c>
      <c r="K747" s="1">
        <f>INDEX(配置与结果!$E$15:$E$18,F747)</f>
        <v>1.55</v>
      </c>
      <c r="L747" s="1">
        <f t="shared" si="1049"/>
        <v>2</v>
      </c>
      <c r="M747" s="1">
        <f t="shared" si="1050"/>
        <v>10</v>
      </c>
      <c r="N747" s="1">
        <f t="shared" si="1051"/>
        <v>2</v>
      </c>
      <c r="O747" s="1">
        <f t="shared" si="1043"/>
        <v>0</v>
      </c>
      <c r="P747" s="1">
        <f>MIN(方案参数!$AI$23,AZ746+0+0)</f>
        <v>5</v>
      </c>
      <c r="Q747" s="1">
        <f t="shared" si="1021"/>
        <v>5</v>
      </c>
      <c r="R747" s="1">
        <f t="shared" si="1022"/>
        <v>20</v>
      </c>
      <c r="S747" s="1">
        <f t="shared" si="1023"/>
        <v>3</v>
      </c>
      <c r="T747" s="1">
        <f t="shared" si="1058"/>
        <v>1</v>
      </c>
      <c r="U747" s="1">
        <f t="shared" si="1025"/>
        <v>0</v>
      </c>
      <c r="V747" s="1">
        <f t="shared" si="1026"/>
        <v>3</v>
      </c>
      <c r="W747" s="1">
        <f t="shared" si="1027"/>
        <v>1</v>
      </c>
      <c r="X747" s="1">
        <f t="shared" si="1028"/>
        <v>1</v>
      </c>
      <c r="Y747" s="1">
        <f t="shared" si="1029"/>
        <v>1</v>
      </c>
      <c r="Z747" s="1">
        <f t="shared" si="1030"/>
        <v>1</v>
      </c>
      <c r="AA747" s="1">
        <f t="shared" si="1054"/>
        <v>1</v>
      </c>
      <c r="AB747" s="1">
        <f t="shared" si="1032"/>
        <v>1</v>
      </c>
      <c r="AC747" s="1">
        <f t="shared" si="1059"/>
        <v>1</v>
      </c>
      <c r="AD747" s="1">
        <f>ROUNDDOWN(I747*(1+IF(F747=3,0.05+方案参数!$Y$23+AA747*0.12,IF(F747=4,方案参数!$BZ$23*方案参数!$AS$23,0)))+IF(AND(X747=1,F747&lt;&gt;3),方案参数!$CC$23,0)+AC747*方案参数!$CB$23,0)</f>
        <v>3798</v>
      </c>
      <c r="AE747" s="1">
        <f>IF(OR(F747=1,F747=4),配置与结果!$B$24,配置与结果!$B$25)*MAX(0,1-INDEX(配置与结果!$I$15:$I$18,F747))</f>
        <v>1000</v>
      </c>
      <c r="AF747" s="1">
        <f>方案参数!$CF$23+P747*方案参数!$CG$23</f>
        <v>22.5</v>
      </c>
      <c r="AG747" s="1">
        <f>MAX(配置与结果!$B$32,1+INDEX(配置与结果!$F$15:$F$18,F747)+0+Q747*方案参数!$W$23+Y747*(方案参数!$AN$23+MIN(方案参数!$AO$23,P747*0.03))+AB747*方案参数!$BZ$23*0.025-配置与结果!$B$28)</f>
        <v>1.9100000000000001</v>
      </c>
      <c r="AH747" s="1">
        <f>MAX(0,1+INDEX(配置与结果!$G$15:$G$18,F747)+W747*方案参数!$AG$23)</f>
        <v>1.3</v>
      </c>
      <c r="AI747" s="1">
        <f>IF(OR(INDEX(配置与结果!$K$15:$K$18,F747)=1,G747="RHI_BERRY"),1+配置与结果!$B$33+P747*方案参数!$AH$23,1)</f>
        <v>1.5</v>
      </c>
      <c r="AJ747" s="1">
        <f>MIN(1,MAX(0,J747+方案参数!$AB$23-配置与结果!$B$27))</f>
        <v>0.55499999999999994</v>
      </c>
      <c r="AK747" s="1">
        <f>MAX(1,K747+IF(F747=2,0.15+方案参数!$CH$23,0)+BN747*方案参数!$X$23+R747*方案参数!$AA$23+0-配置与结果!$B$26+Z747*(方案参数!$AP$23+MIN(方案参数!$AQ$23,P747*0.03)))</f>
        <v>1.6900000000000002</v>
      </c>
      <c r="AL747" s="7">
        <f>ROUNDDOWN(MAX(AD747*配置与结果!$B$31,AD747-AE747)*AF747*AG747*AH747*AI747,0)</f>
        <v>234475</v>
      </c>
      <c r="AM747" s="7">
        <f>ROUNDDOWN(MAX(AD747*配置与结果!$B$31,AD747-AE747)*AF747*AG747*AH747*AI747*AK747,0)</f>
        <v>396264</v>
      </c>
      <c r="AN747" s="7">
        <f t="shared" si="1009"/>
        <v>324267.89500000002</v>
      </c>
      <c r="AO747" s="7">
        <f>0</f>
        <v>0</v>
      </c>
      <c r="AP747" s="7">
        <f>MAX(0,1+INDEX(配置与结果!$J$15:$J$18,F747)+IF(T747&gt;0,方案参数!$BY$23,0)-配置与结果!$B$30)</f>
        <v>2</v>
      </c>
      <c r="AQ747" s="7">
        <f t="shared" si="1010"/>
        <v>0</v>
      </c>
      <c r="AR747" s="7">
        <f t="shared" si="1011"/>
        <v>0</v>
      </c>
      <c r="AS747" s="7">
        <f t="shared" si="1012"/>
        <v>0</v>
      </c>
      <c r="AT747" s="7">
        <f>0</f>
        <v>0</v>
      </c>
      <c r="AU747" s="7">
        <f t="shared" si="1013"/>
        <v>324267.89500000002</v>
      </c>
      <c r="AV747" s="1">
        <f t="shared" si="1014"/>
        <v>2</v>
      </c>
      <c r="AW747" s="1">
        <f t="shared" ref="AW747:AW763" si="1064">MIN(10,M747+0+0)</f>
        <v>10</v>
      </c>
      <c r="AX747" s="1">
        <f t="shared" si="1015"/>
        <v>2</v>
      </c>
      <c r="AY747" s="1">
        <f>MIN(20,MAX(0,O747+0+0-0))</f>
        <v>0</v>
      </c>
      <c r="AZ747" s="1">
        <f t="shared" si="1016"/>
        <v>5</v>
      </c>
      <c r="BA747" s="1">
        <f t="shared" si="1055"/>
        <v>5</v>
      </c>
      <c r="BB747" s="1">
        <f t="shared" si="1063"/>
        <v>20</v>
      </c>
      <c r="BC747" s="1">
        <f t="shared" si="1061"/>
        <v>3</v>
      </c>
      <c r="BD747" s="1">
        <f t="shared" si="1042"/>
        <v>1</v>
      </c>
      <c r="BE747" s="1">
        <f t="shared" si="1035"/>
        <v>0</v>
      </c>
      <c r="BF747" s="1">
        <f>MIN(4,V747+0)</f>
        <v>3</v>
      </c>
      <c r="BG747" s="1">
        <f t="shared" si="1052"/>
        <v>1</v>
      </c>
      <c r="BH747" s="1">
        <f t="shared" si="1036"/>
        <v>1</v>
      </c>
      <c r="BI747" s="1">
        <f t="shared" si="1053"/>
        <v>1</v>
      </c>
      <c r="BJ747" s="1">
        <f t="shared" si="1056"/>
        <v>1</v>
      </c>
      <c r="BK747" s="1">
        <f t="shared" si="1057"/>
        <v>1</v>
      </c>
      <c r="BL747" s="1">
        <f t="shared" si="1062"/>
        <v>1</v>
      </c>
      <c r="BM747" s="1">
        <f t="shared" si="1060"/>
        <v>1</v>
      </c>
      <c r="BN747" s="1">
        <f t="shared" si="1037"/>
        <v>1</v>
      </c>
      <c r="BO747" s="1">
        <f t="shared" si="1038"/>
        <v>1</v>
      </c>
    </row>
    <row r="748" spans="1:67" ht="30.95" customHeight="1">
      <c r="A748" s="1">
        <f>20</f>
        <v>20</v>
      </c>
      <c r="B748" s="1">
        <f>固定流程!A28</f>
        <v>23</v>
      </c>
      <c r="C748" s="1">
        <f>23</f>
        <v>23</v>
      </c>
      <c r="D748" s="1">
        <f>1</f>
        <v>1</v>
      </c>
      <c r="E748" s="1">
        <f>固定流程!C28</f>
        <v>3</v>
      </c>
      <c r="F748" s="1">
        <f>固定流程!G28</f>
        <v>2</v>
      </c>
      <c r="G748" s="1" t="str">
        <f>固定流程!H28</f>
        <v>37_FOLLOW</v>
      </c>
      <c r="H748" s="1">
        <f>固定流程!F28</f>
        <v>1</v>
      </c>
      <c r="I748" s="1">
        <f>INDEX(配置与结果!$B$15:$B$18,F748)</f>
        <v>2306</v>
      </c>
      <c r="J748" s="1">
        <f>INDEX(配置与结果!$D$15:$D$18,F748)</f>
        <v>0.46</v>
      </c>
      <c r="K748" s="1">
        <f>INDEX(配置与结果!$E$15:$E$18,F748)</f>
        <v>1.9279999999999999</v>
      </c>
      <c r="L748" s="1">
        <f t="shared" si="1049"/>
        <v>2</v>
      </c>
      <c r="M748" s="1">
        <f t="shared" si="1050"/>
        <v>10</v>
      </c>
      <c r="N748" s="1">
        <f t="shared" si="1051"/>
        <v>2</v>
      </c>
      <c r="O748" s="1">
        <f t="shared" si="1043"/>
        <v>0</v>
      </c>
      <c r="P748" s="1">
        <f>MIN(方案参数!$AI$23,AZ747+0+0)</f>
        <v>5</v>
      </c>
      <c r="Q748" s="1">
        <f t="shared" si="1021"/>
        <v>5</v>
      </c>
      <c r="R748" s="1">
        <f t="shared" si="1022"/>
        <v>20</v>
      </c>
      <c r="S748" s="1">
        <f t="shared" si="1023"/>
        <v>3</v>
      </c>
      <c r="T748" s="1">
        <f t="shared" si="1058"/>
        <v>1</v>
      </c>
      <c r="U748" s="1">
        <f t="shared" si="1025"/>
        <v>0</v>
      </c>
      <c r="V748" s="1">
        <f t="shared" si="1026"/>
        <v>3</v>
      </c>
      <c r="W748" s="1">
        <f t="shared" si="1027"/>
        <v>1</v>
      </c>
      <c r="X748" s="1">
        <f t="shared" si="1028"/>
        <v>1</v>
      </c>
      <c r="Y748" s="1">
        <f t="shared" si="1029"/>
        <v>1</v>
      </c>
      <c r="Z748" s="1">
        <f t="shared" si="1030"/>
        <v>1</v>
      </c>
      <c r="AA748" s="1">
        <f t="shared" si="1054"/>
        <v>1</v>
      </c>
      <c r="AB748" s="1">
        <f t="shared" si="1032"/>
        <v>1</v>
      </c>
      <c r="AC748" s="1">
        <f t="shared" si="1059"/>
        <v>1</v>
      </c>
      <c r="AD748" s="1">
        <f>ROUNDDOWN(I748*(1+IF(F748=3,0.05+方案参数!$Y$23+AA748*0.12,IF(F748=4,方案参数!$BZ$23*方案参数!$AS$23,0)))+IF(AND(X748=1,F748&lt;&gt;3),方案参数!$CC$23,0)+AC748*方案参数!$CB$23,0)</f>
        <v>3044</v>
      </c>
      <c r="AE748" s="1">
        <f>IF(OR(F748=1,F748=4),配置与结果!$B$24,配置与结果!$B$25)*MAX(0,1-INDEX(配置与结果!$I$15:$I$18,F748))</f>
        <v>1000</v>
      </c>
      <c r="AF748" s="1">
        <f>方案参数!$BV$23</f>
        <v>3</v>
      </c>
      <c r="AG748" s="1">
        <f>MAX(配置与结果!$B$32,1+INDEX(配置与结果!$F$15:$F$18,F748)+0+Q748*方案参数!$W$23+Y748*(方案参数!$AN$23+MIN(方案参数!$AO$23,P748*0.03))+AB748*方案参数!$BZ$23*0.025-配置与结果!$B$28)</f>
        <v>1.8800000000000003</v>
      </c>
      <c r="AH748" s="1">
        <f>MAX(0,1+INDEX(配置与结果!$G$15:$G$18,F748)+W748*方案参数!$AG$23)</f>
        <v>1.3</v>
      </c>
      <c r="AI748" s="1">
        <f>IF(OR(INDEX(配置与结果!$K$15:$K$18,F748)=1,G748="RHI_BERRY"),1+配置与结果!$B$33+P748*方案参数!$AH$23,1)</f>
        <v>1</v>
      </c>
      <c r="AJ748" s="1">
        <f>MIN(1,MAX(0,J748+方案参数!$AB$23-配置与结果!$B$27))</f>
        <v>0.76</v>
      </c>
      <c r="AK748" s="1">
        <f>MAX(1,K748+IF(F748=2,0.15+方案参数!$CH$23,0)+BN748*方案参数!$X$23+R748*方案参数!$AA$23+0-配置与结果!$B$26+Z748*(方案参数!$AP$23+MIN(方案参数!$AQ$23,P748*0.03)))</f>
        <v>2.3380000000000001</v>
      </c>
      <c r="AL748" s="7">
        <f>ROUNDDOWN(MAX(AD748*配置与结果!$B$31,AD748-AE748)*AF748*AG748*AH748*AI748,0)</f>
        <v>14986</v>
      </c>
      <c r="AM748" s="7">
        <f>ROUNDDOWN(MAX(AD748*配置与结果!$B$31,AD748-AE748)*AF748*AG748*AH748*AI748*AK748,0)</f>
        <v>35038</v>
      </c>
      <c r="AN748" s="7">
        <f t="shared" si="1009"/>
        <v>30225.52</v>
      </c>
      <c r="AO748" s="7">
        <f>方案参数!$BW$23</f>
        <v>1</v>
      </c>
      <c r="AP748" s="7">
        <f>MAX(0,1+INDEX(配置与结果!$J$15:$J$18,F748)+IF(T748&gt;0,方案参数!$BY$23,0)-配置与结果!$B$30)</f>
        <v>2</v>
      </c>
      <c r="AQ748" s="7">
        <f t="shared" si="1010"/>
        <v>6088</v>
      </c>
      <c r="AR748" s="7">
        <f t="shared" si="1011"/>
        <v>14233</v>
      </c>
      <c r="AS748" s="7">
        <f t="shared" si="1012"/>
        <v>12278.2</v>
      </c>
      <c r="AT748" s="7">
        <f>0</f>
        <v>0</v>
      </c>
      <c r="AU748" s="7">
        <f t="shared" si="1013"/>
        <v>42503.72</v>
      </c>
      <c r="AV748" s="1">
        <f t="shared" si="1014"/>
        <v>2</v>
      </c>
      <c r="AW748" s="1">
        <f t="shared" si="1064"/>
        <v>10</v>
      </c>
      <c r="AX748" s="1">
        <f t="shared" si="1015"/>
        <v>2</v>
      </c>
      <c r="AY748" s="1">
        <f>MIN(20,MAX(0,O748+0+0-0))</f>
        <v>0</v>
      </c>
      <c r="AZ748" s="1">
        <f t="shared" si="1016"/>
        <v>5</v>
      </c>
      <c r="BA748" s="1">
        <f t="shared" si="1055"/>
        <v>5</v>
      </c>
      <c r="BB748" s="1">
        <f t="shared" si="1063"/>
        <v>20</v>
      </c>
      <c r="BC748" s="1">
        <f t="shared" si="1061"/>
        <v>3</v>
      </c>
      <c r="BD748" s="1">
        <f t="shared" si="1042"/>
        <v>0</v>
      </c>
      <c r="BE748" s="1">
        <f t="shared" si="1035"/>
        <v>0</v>
      </c>
      <c r="BF748" s="1">
        <f>MIN(4,V748+1)</f>
        <v>4</v>
      </c>
      <c r="BG748" s="1">
        <f t="shared" si="1052"/>
        <v>1</v>
      </c>
      <c r="BH748" s="1">
        <f t="shared" si="1036"/>
        <v>1</v>
      </c>
      <c r="BI748" s="1">
        <f t="shared" si="1053"/>
        <v>1</v>
      </c>
      <c r="BJ748" s="1">
        <f t="shared" si="1056"/>
        <v>1</v>
      </c>
      <c r="BK748" s="1">
        <f t="shared" si="1057"/>
        <v>1</v>
      </c>
      <c r="BL748" s="1">
        <f t="shared" si="1062"/>
        <v>1</v>
      </c>
      <c r="BM748" s="1">
        <f t="shared" si="1060"/>
        <v>1</v>
      </c>
      <c r="BN748" s="1">
        <f t="shared" si="1037"/>
        <v>1</v>
      </c>
      <c r="BO748" s="1">
        <f t="shared" si="1038"/>
        <v>1</v>
      </c>
    </row>
    <row r="749" spans="1:67" ht="30.95" customHeight="1">
      <c r="A749" s="1">
        <f>20</f>
        <v>20</v>
      </c>
      <c r="B749" s="1">
        <f>固定流程!A29</f>
        <v>24</v>
      </c>
      <c r="C749" s="1">
        <f>23</f>
        <v>23</v>
      </c>
      <c r="D749" s="1">
        <f>2</f>
        <v>2</v>
      </c>
      <c r="E749" s="1">
        <f>固定流程!C29</f>
        <v>3</v>
      </c>
      <c r="F749" s="1">
        <f>固定流程!G29</f>
        <v>1</v>
      </c>
      <c r="G749" s="1" t="str">
        <f>固定流程!H29</f>
        <v>LILYA_WEAK</v>
      </c>
      <c r="H749" s="1">
        <f>固定流程!F29</f>
        <v>1</v>
      </c>
      <c r="I749" s="1">
        <f>INDEX(配置与结果!$B$15:$B$18,F749)</f>
        <v>2296</v>
      </c>
      <c r="J749" s="1">
        <f>INDEX(配置与结果!$D$15:$D$18,F749)</f>
        <v>0.7</v>
      </c>
      <c r="K749" s="1">
        <f>INDEX(配置与结果!$E$15:$E$18,F749)</f>
        <v>2.0249999999999999</v>
      </c>
      <c r="L749" s="1">
        <f t="shared" si="1049"/>
        <v>2</v>
      </c>
      <c r="M749" s="1">
        <f t="shared" si="1050"/>
        <v>10</v>
      </c>
      <c r="N749" s="1">
        <f t="shared" si="1051"/>
        <v>2</v>
      </c>
      <c r="O749" s="1">
        <f t="shared" si="1043"/>
        <v>0</v>
      </c>
      <c r="P749" s="1">
        <f>MIN(方案参数!$AI$23,AZ748+0+0)</f>
        <v>5</v>
      </c>
      <c r="Q749" s="1">
        <f t="shared" si="1021"/>
        <v>5</v>
      </c>
      <c r="R749" s="1">
        <f t="shared" si="1022"/>
        <v>20</v>
      </c>
      <c r="S749" s="1">
        <f t="shared" si="1023"/>
        <v>3</v>
      </c>
      <c r="T749" s="1">
        <f t="shared" si="1058"/>
        <v>0</v>
      </c>
      <c r="U749" s="1">
        <f t="shared" si="1025"/>
        <v>0</v>
      </c>
      <c r="V749" s="1">
        <f t="shared" si="1026"/>
        <v>4</v>
      </c>
      <c r="W749" s="1">
        <f t="shared" si="1027"/>
        <v>1</v>
      </c>
      <c r="X749" s="1">
        <f t="shared" si="1028"/>
        <v>1</v>
      </c>
      <c r="Y749" s="1">
        <f t="shared" si="1029"/>
        <v>1</v>
      </c>
      <c r="Z749" s="1">
        <f t="shared" si="1030"/>
        <v>1</v>
      </c>
      <c r="AA749" s="1">
        <f t="shared" si="1054"/>
        <v>1</v>
      </c>
      <c r="AB749" s="1">
        <f t="shared" si="1032"/>
        <v>1</v>
      </c>
      <c r="AC749" s="1">
        <f t="shared" si="1059"/>
        <v>1</v>
      </c>
      <c r="AD749" s="1">
        <f>ROUNDDOWN(I749*(1+IF(F749=3,0.05+方案参数!$Y$23+AA749*0.12,IF(F749=4,方案参数!$BZ$23*方案参数!$AS$23,0)))+IF(AND(X749=1,F749&lt;&gt;3),方案参数!$CC$23,0)+AC749*方案参数!$CB$23,0)</f>
        <v>3034</v>
      </c>
      <c r="AE749" s="1">
        <f>IF(OR(F749=1,F749=4),配置与结果!$B$24,配置与结果!$B$25)*MAX(0,1-INDEX(配置与结果!$I$15:$I$18,F749))</f>
        <v>1200</v>
      </c>
      <c r="AF749" s="1">
        <f>方案参数!$BL$23</f>
        <v>9</v>
      </c>
      <c r="AG749" s="1">
        <f>MAX(配置与结果!$B$32,1+INDEX(配置与结果!$F$15:$F$18,F749)+0.08+方案参数!$CD$23+Q749*方案参数!$W$23+Y749*(方案参数!$AN$23+MIN(方案参数!$AO$23,P749*0.03))+AB749*方案参数!$BZ$23*0.025-配置与结果!$B$28+方案参数!$AE$23)</f>
        <v>2.6150000000000002</v>
      </c>
      <c r="AH749" s="1">
        <f>MAX(0,1+V749*方案参数!$U$23+0*方案参数!$V$23+方案参数!$AE$23-配置与结果!$B$29)</f>
        <v>1.56</v>
      </c>
      <c r="AI749" s="1">
        <f>IF(OR(INDEX(配置与结果!$K$15:$K$18,F749)=1,G749="RHI_BERRY"),1+配置与结果!$B$33+P749*方案参数!$AH$23,1)</f>
        <v>1</v>
      </c>
      <c r="AJ749" s="1">
        <f>MIN(1,MAX(0,J749+方案参数!$AB$23-配置与结果!$B$27))</f>
        <v>1</v>
      </c>
      <c r="AK749" s="1">
        <f>MAX(1,K749+IF(F749=2,0.15+方案参数!$CH$23,0)+BN749*方案参数!$X$23+R749*方案参数!$AA$23+方案参数!$BP$23-配置与结果!$B$26+Z749*(方案参数!$AP$23+MIN(方案参数!$AQ$23,P749*0.03)))</f>
        <v>2.7650000000000001</v>
      </c>
      <c r="AL749" s="7">
        <f>ROUNDDOWN(MAX(AD749*配置与结果!$B$31,AD749-AE749)*AF749*AG749*AH749*AI749,0)</f>
        <v>67334</v>
      </c>
      <c r="AM749" s="7">
        <f>ROUNDDOWN(MAX(AD749*配置与结果!$B$31,AD749-AE749)*AF749*AG749*AH749*AI749*AK749,0)</f>
        <v>186180</v>
      </c>
      <c r="AN749" s="7">
        <f t="shared" si="1009"/>
        <v>186180</v>
      </c>
      <c r="AO749" s="7">
        <f>0</f>
        <v>0</v>
      </c>
      <c r="AP749" s="7">
        <f>MAX(0,1+INDEX(配置与结果!$J$15:$J$18,F749)+IF(T749&gt;0,方案参数!$BY$23,0)-配置与结果!$B$30)</f>
        <v>1</v>
      </c>
      <c r="AQ749" s="7">
        <f t="shared" si="1010"/>
        <v>0</v>
      </c>
      <c r="AR749" s="7">
        <f t="shared" si="1011"/>
        <v>0</v>
      </c>
      <c r="AS749" s="7">
        <f t="shared" si="1012"/>
        <v>0</v>
      </c>
      <c r="AT749" s="7">
        <f>IF(U749&gt;0,ROUNDDOWN(AL749*方案参数!$AF$23,0)*(1-AJ749)+ROUNDDOWN(AM749*方案参数!$AF$23,0)*AJ749,0)</f>
        <v>0</v>
      </c>
      <c r="AU749" s="7">
        <f t="shared" si="1013"/>
        <v>186180</v>
      </c>
      <c r="AV749" s="1">
        <f t="shared" si="1014"/>
        <v>2</v>
      </c>
      <c r="AW749" s="1">
        <f t="shared" si="1064"/>
        <v>10</v>
      </c>
      <c r="AX749" s="1">
        <f t="shared" si="1015"/>
        <v>2</v>
      </c>
      <c r="AY749" s="1">
        <f>MIN(20,MAX(0,O749+0+1-0))</f>
        <v>1</v>
      </c>
      <c r="AZ749" s="1">
        <f t="shared" si="1016"/>
        <v>5</v>
      </c>
      <c r="BA749" s="1">
        <f t="shared" si="1055"/>
        <v>5</v>
      </c>
      <c r="BB749" s="1">
        <f t="shared" si="1063"/>
        <v>20</v>
      </c>
      <c r="BC749" s="1">
        <f t="shared" si="1061"/>
        <v>3</v>
      </c>
      <c r="BD749" s="1">
        <f t="shared" si="1042"/>
        <v>0</v>
      </c>
      <c r="BE749" s="1">
        <f>MAX(0,U749-IF(AF749&gt;0,1,0))+0</f>
        <v>0</v>
      </c>
      <c r="BF749" s="1">
        <f t="shared" ref="BF749:BF766" si="1065">MIN(4,V749+0)</f>
        <v>4</v>
      </c>
      <c r="BG749" s="1">
        <f t="shared" si="1052"/>
        <v>1</v>
      </c>
      <c r="BH749" s="1">
        <f t="shared" si="1036"/>
        <v>1</v>
      </c>
      <c r="BI749" s="1">
        <f t="shared" si="1053"/>
        <v>1</v>
      </c>
      <c r="BJ749" s="1">
        <f t="shared" si="1056"/>
        <v>1</v>
      </c>
      <c r="BK749" s="1">
        <f t="shared" si="1057"/>
        <v>1</v>
      </c>
      <c r="BL749" s="1">
        <f t="shared" si="1062"/>
        <v>1</v>
      </c>
      <c r="BM749" s="1">
        <f t="shared" si="1060"/>
        <v>1</v>
      </c>
      <c r="BN749" s="1">
        <f t="shared" si="1037"/>
        <v>1</v>
      </c>
      <c r="BO749" s="1">
        <f t="shared" si="1038"/>
        <v>1</v>
      </c>
    </row>
    <row r="750" spans="1:67" ht="30.95" customHeight="1">
      <c r="A750" s="1">
        <f>20</f>
        <v>20</v>
      </c>
      <c r="B750" s="1">
        <f>固定流程!A30</f>
        <v>25</v>
      </c>
      <c r="C750" s="1">
        <f>23</f>
        <v>23</v>
      </c>
      <c r="D750" s="1">
        <f>2</f>
        <v>2</v>
      </c>
      <c r="E750" s="1">
        <f>固定流程!C30</f>
        <v>3</v>
      </c>
      <c r="F750" s="1">
        <f>固定流程!G30</f>
        <v>1</v>
      </c>
      <c r="G750" s="1" t="str">
        <f>固定流程!H30</f>
        <v>LILYA_WEAK</v>
      </c>
      <c r="H750" s="1">
        <f>固定流程!F30</f>
        <v>1</v>
      </c>
      <c r="I750" s="1">
        <f>INDEX(配置与结果!$B$15:$B$18,F750)</f>
        <v>2296</v>
      </c>
      <c r="J750" s="1">
        <f>INDEX(配置与结果!$D$15:$D$18,F750)</f>
        <v>0.7</v>
      </c>
      <c r="K750" s="1">
        <f>INDEX(配置与结果!$E$15:$E$18,F750)</f>
        <v>2.0249999999999999</v>
      </c>
      <c r="L750" s="1">
        <f t="shared" si="1049"/>
        <v>2</v>
      </c>
      <c r="M750" s="1">
        <f t="shared" si="1050"/>
        <v>10</v>
      </c>
      <c r="N750" s="1">
        <f t="shared" si="1051"/>
        <v>2</v>
      </c>
      <c r="O750" s="1">
        <f t="shared" si="1043"/>
        <v>1</v>
      </c>
      <c r="P750" s="1">
        <f>MIN(方案参数!$AI$23,AZ749+0+0)</f>
        <v>5</v>
      </c>
      <c r="Q750" s="1">
        <f t="shared" si="1021"/>
        <v>5</v>
      </c>
      <c r="R750" s="1">
        <f t="shared" si="1022"/>
        <v>20</v>
      </c>
      <c r="S750" s="1">
        <f t="shared" si="1023"/>
        <v>3</v>
      </c>
      <c r="T750" s="1">
        <f t="shared" si="1058"/>
        <v>0</v>
      </c>
      <c r="U750" s="1">
        <f t="shared" si="1025"/>
        <v>0</v>
      </c>
      <c r="V750" s="1">
        <f t="shared" si="1026"/>
        <v>4</v>
      </c>
      <c r="W750" s="1">
        <f t="shared" si="1027"/>
        <v>1</v>
      </c>
      <c r="X750" s="1">
        <f t="shared" si="1028"/>
        <v>1</v>
      </c>
      <c r="Y750" s="1">
        <f t="shared" si="1029"/>
        <v>1</v>
      </c>
      <c r="Z750" s="1">
        <f t="shared" si="1030"/>
        <v>1</v>
      </c>
      <c r="AA750" s="1">
        <f t="shared" si="1054"/>
        <v>1</v>
      </c>
      <c r="AB750" s="1">
        <f t="shared" si="1032"/>
        <v>1</v>
      </c>
      <c r="AC750" s="1">
        <f t="shared" si="1059"/>
        <v>1</v>
      </c>
      <c r="AD750" s="1">
        <f>ROUNDDOWN(I750*(1+IF(F750=3,0.05+方案参数!$Y$23+AA750*0.12,IF(F750=4,方案参数!$BZ$23*方案参数!$AS$23,0)))+IF(AND(X750=1,F750&lt;&gt;3),方案参数!$CC$23,0)+AC750*方案参数!$CB$23,0)</f>
        <v>3034</v>
      </c>
      <c r="AE750" s="1">
        <f>IF(OR(F750=1,F750=4),配置与结果!$B$24,配置与结果!$B$25)*MAX(0,1-INDEX(配置与结果!$I$15:$I$18,F750))</f>
        <v>1200</v>
      </c>
      <c r="AF750" s="1">
        <f>方案参数!$BL$23</f>
        <v>9</v>
      </c>
      <c r="AG750" s="1">
        <f>MAX(配置与结果!$B$32,1+INDEX(配置与结果!$F$15:$F$18,F750)+0.08+方案参数!$CD$23+Q750*方案参数!$W$23+Y750*(方案参数!$AN$23+MIN(方案参数!$AO$23,P750*0.03))+AB750*方案参数!$BZ$23*0.025-配置与结果!$B$28+方案参数!$AE$23)</f>
        <v>2.6150000000000002</v>
      </c>
      <c r="AH750" s="1">
        <f>MAX(0,1+V750*方案参数!$U$23+1*方案参数!$V$23+方案参数!$AE$23-配置与结果!$B$29)</f>
        <v>1.62</v>
      </c>
      <c r="AI750" s="1">
        <f>IF(OR(INDEX(配置与结果!$K$15:$K$18,F750)=1,G750="RHI_BERRY"),1+配置与结果!$B$33+P750*方案参数!$AH$23,1)</f>
        <v>1</v>
      </c>
      <c r="AJ750" s="1">
        <f>MIN(1,MAX(0,J750+方案参数!$AB$23-配置与结果!$B$27))</f>
        <v>1</v>
      </c>
      <c r="AK750" s="1">
        <f>MAX(1,K750+IF(F750=2,0.15+方案参数!$CH$23,0)+BN750*方案参数!$X$23+R750*方案参数!$AA$23+方案参数!$BP$23-配置与结果!$B$26+Z750*(方案参数!$AP$23+MIN(方案参数!$AQ$23,P750*0.03)))</f>
        <v>2.7650000000000001</v>
      </c>
      <c r="AL750" s="7">
        <f>ROUNDDOWN(MAX(AD750*配置与结果!$B$31,AD750-AE750)*AF750*AG750*AH750*AI750,0)</f>
        <v>69924</v>
      </c>
      <c r="AM750" s="7">
        <f>ROUNDDOWN(MAX(AD750*配置与结果!$B$31,AD750-AE750)*AF750*AG750*AH750*AI750*AK750,0)</f>
        <v>193340</v>
      </c>
      <c r="AN750" s="7">
        <f t="shared" si="1009"/>
        <v>193340</v>
      </c>
      <c r="AO750" s="7">
        <f>0</f>
        <v>0</v>
      </c>
      <c r="AP750" s="7">
        <f>MAX(0,1+INDEX(配置与结果!$J$15:$J$18,F750)+IF(T750&gt;0,方案参数!$BY$23,0)-配置与结果!$B$30)</f>
        <v>1</v>
      </c>
      <c r="AQ750" s="7">
        <f t="shared" si="1010"/>
        <v>0</v>
      </c>
      <c r="AR750" s="7">
        <f t="shared" si="1011"/>
        <v>0</v>
      </c>
      <c r="AS750" s="7">
        <f t="shared" si="1012"/>
        <v>0</v>
      </c>
      <c r="AT750" s="7">
        <f>IF(U750&gt;0,ROUNDDOWN(AL750*方案参数!$AF$23,0)*(1-AJ750)+ROUNDDOWN(AM750*方案参数!$AF$23,0)*AJ750,0)</f>
        <v>0</v>
      </c>
      <c r="AU750" s="7">
        <f t="shared" si="1013"/>
        <v>193340</v>
      </c>
      <c r="AV750" s="1">
        <f t="shared" si="1014"/>
        <v>2</v>
      </c>
      <c r="AW750" s="1">
        <f t="shared" si="1064"/>
        <v>10</v>
      </c>
      <c r="AX750" s="1">
        <f t="shared" si="1015"/>
        <v>2</v>
      </c>
      <c r="AY750" s="1">
        <f>MIN(20,MAX(0,O750+0+1-0))</f>
        <v>2</v>
      </c>
      <c r="AZ750" s="1">
        <f t="shared" si="1016"/>
        <v>5</v>
      </c>
      <c r="BA750" s="1">
        <f t="shared" si="1055"/>
        <v>5</v>
      </c>
      <c r="BB750" s="1">
        <f t="shared" si="1063"/>
        <v>20</v>
      </c>
      <c r="BC750" s="1">
        <f t="shared" si="1061"/>
        <v>3</v>
      </c>
      <c r="BD750" s="1">
        <f t="shared" si="1042"/>
        <v>0</v>
      </c>
      <c r="BE750" s="1">
        <f>MAX(0,U750-IF(AF750&gt;0,1,0))+0</f>
        <v>0</v>
      </c>
      <c r="BF750" s="1">
        <f t="shared" si="1065"/>
        <v>4</v>
      </c>
      <c r="BG750" s="1">
        <f t="shared" si="1052"/>
        <v>1</v>
      </c>
      <c r="BH750" s="1">
        <f t="shared" si="1036"/>
        <v>1</v>
      </c>
      <c r="BI750" s="1">
        <f t="shared" si="1053"/>
        <v>1</v>
      </c>
      <c r="BJ750" s="1">
        <f t="shared" si="1056"/>
        <v>1</v>
      </c>
      <c r="BK750" s="1">
        <f t="shared" si="1057"/>
        <v>1</v>
      </c>
      <c r="BL750" s="1">
        <f t="shared" si="1062"/>
        <v>1</v>
      </c>
      <c r="BM750" s="1">
        <f t="shared" si="1060"/>
        <v>1</v>
      </c>
      <c r="BN750" s="1">
        <f t="shared" si="1037"/>
        <v>1</v>
      </c>
      <c r="BO750" s="1">
        <f t="shared" si="1038"/>
        <v>1</v>
      </c>
    </row>
    <row r="751" spans="1:67" ht="30.95" customHeight="1">
      <c r="A751" s="1">
        <f>20</f>
        <v>20</v>
      </c>
      <c r="B751" s="1">
        <f>固定流程!A31</f>
        <v>26</v>
      </c>
      <c r="C751" s="1">
        <f>23</f>
        <v>23</v>
      </c>
      <c r="D751" s="1">
        <f>2</f>
        <v>2</v>
      </c>
      <c r="E751" s="1">
        <f>固定流程!C31</f>
        <v>3</v>
      </c>
      <c r="F751" s="1">
        <f>固定流程!G31</f>
        <v>2</v>
      </c>
      <c r="G751" s="1" t="str">
        <f>固定流程!H31</f>
        <v>37_WEAK</v>
      </c>
      <c r="H751" s="1">
        <f>固定流程!F31</f>
        <v>1</v>
      </c>
      <c r="I751" s="1">
        <f>INDEX(配置与结果!$B$15:$B$18,F751)</f>
        <v>2306</v>
      </c>
      <c r="J751" s="1">
        <f>INDEX(配置与结果!$D$15:$D$18,F751)</f>
        <v>0.46</v>
      </c>
      <c r="K751" s="1">
        <f>INDEX(配置与结果!$E$15:$E$18,F751)</f>
        <v>1.9279999999999999</v>
      </c>
      <c r="L751" s="1">
        <f t="shared" si="1049"/>
        <v>2</v>
      </c>
      <c r="M751" s="1">
        <f t="shared" si="1050"/>
        <v>10</v>
      </c>
      <c r="N751" s="1">
        <f t="shared" si="1051"/>
        <v>2</v>
      </c>
      <c r="O751" s="1">
        <f t="shared" si="1043"/>
        <v>2</v>
      </c>
      <c r="P751" s="1">
        <f>MIN(方案参数!$AI$23,AZ750+0+0)</f>
        <v>5</v>
      </c>
      <c r="Q751" s="1">
        <f t="shared" si="1021"/>
        <v>5</v>
      </c>
      <c r="R751" s="1">
        <f t="shared" si="1022"/>
        <v>20</v>
      </c>
      <c r="S751" s="1">
        <f t="shared" si="1023"/>
        <v>3</v>
      </c>
      <c r="T751" s="1">
        <f t="shared" si="1058"/>
        <v>0</v>
      </c>
      <c r="U751" s="1">
        <f t="shared" si="1025"/>
        <v>0</v>
      </c>
      <c r="V751" s="1">
        <f t="shared" si="1026"/>
        <v>4</v>
      </c>
      <c r="W751" s="1">
        <f t="shared" si="1027"/>
        <v>1</v>
      </c>
      <c r="X751" s="1">
        <f t="shared" si="1028"/>
        <v>1</v>
      </c>
      <c r="Y751" s="1">
        <f t="shared" si="1029"/>
        <v>1</v>
      </c>
      <c r="Z751" s="1">
        <f t="shared" si="1030"/>
        <v>1</v>
      </c>
      <c r="AA751" s="1">
        <f t="shared" si="1054"/>
        <v>1</v>
      </c>
      <c r="AB751" s="1">
        <f t="shared" si="1032"/>
        <v>1</v>
      </c>
      <c r="AC751" s="1">
        <f t="shared" si="1059"/>
        <v>1</v>
      </c>
      <c r="AD751" s="1">
        <f>ROUNDDOWN(I751*(1+IF(F751=3,0.05+方案参数!$Y$23+AA751*0.12,IF(F751=4,方案参数!$BZ$23*方案参数!$AS$23,0)))+IF(AND(X751=1,F751&lt;&gt;3),方案参数!$CC$23,0)+AC751*方案参数!$CB$23,0)</f>
        <v>3044</v>
      </c>
      <c r="AE751" s="1">
        <f>IF(OR(F751=1,F751=4),配置与结果!$B$24,配置与结果!$B$25)*MAX(0,1-INDEX(配置与结果!$I$15:$I$18,F751))</f>
        <v>1000</v>
      </c>
      <c r="AF751" s="1">
        <f>方案参数!$CE$23</f>
        <v>8</v>
      </c>
      <c r="AG751" s="1">
        <f>MAX(配置与结果!$B$32,1+INDEX(配置与结果!$F$15:$F$18,F751)+0+Q751*方案参数!$W$23+Y751*(方案参数!$AN$23+MIN(方案参数!$AO$23,P751*0.03))+AB751*方案参数!$BZ$23*0.025-配置与结果!$B$28+方案参数!$AE$23)</f>
        <v>2.2800000000000002</v>
      </c>
      <c r="AH751" s="1">
        <f>MAX(0,1+V751*方案参数!$U$23+方案参数!$AE$23-配置与结果!$B$29)</f>
        <v>1.56</v>
      </c>
      <c r="AI751" s="1">
        <f>IF(OR(INDEX(配置与结果!$K$15:$K$18,F751)=1,G751="RHI_BERRY"),1+配置与结果!$B$33+P751*方案参数!$AH$23,1)</f>
        <v>1</v>
      </c>
      <c r="AJ751" s="1">
        <f>MIN(1,MAX(0,J751+方案参数!$AB$23-配置与结果!$B$27))</f>
        <v>0.76</v>
      </c>
      <c r="AK751" s="1">
        <f>MAX(1,K751+IF(F751=2,0.15+方案参数!$CH$23,0)+BN751*方案参数!$X$23+R751*方案参数!$AA$23+0-配置与结果!$B$26+Z751*(方案参数!$AP$23+MIN(方案参数!$AQ$23,P751*0.03)))</f>
        <v>2.3380000000000001</v>
      </c>
      <c r="AL751" s="7">
        <f>ROUNDDOWN(MAX(AD751*配置与结果!$B$31,AD751-AE751)*AF751*AG751*AH751*AI751,0)</f>
        <v>58160</v>
      </c>
      <c r="AM751" s="7">
        <f>ROUNDDOWN(MAX(AD751*配置与结果!$B$31,AD751-AE751)*AF751*AG751*AH751*AI751*AK751,0)</f>
        <v>135979</v>
      </c>
      <c r="AN751" s="7">
        <f t="shared" si="1009"/>
        <v>117302.44</v>
      </c>
      <c r="AO751" s="7">
        <f>0</f>
        <v>0</v>
      </c>
      <c r="AP751" s="7">
        <f>MAX(0,1+INDEX(配置与结果!$J$15:$J$18,F751)+IF(T751&gt;0,方案参数!$BY$23,0)-配置与结果!$B$30)</f>
        <v>1</v>
      </c>
      <c r="AQ751" s="7">
        <f t="shared" si="1010"/>
        <v>0</v>
      </c>
      <c r="AR751" s="7">
        <f t="shared" si="1011"/>
        <v>0</v>
      </c>
      <c r="AS751" s="7">
        <f t="shared" si="1012"/>
        <v>0</v>
      </c>
      <c r="AT751" s="7">
        <f>IF(U751&gt;0,ROUNDDOWN(AL751*方案参数!$AF$23,0)*(1-AJ751)+ROUNDDOWN(AM751*方案参数!$AF$23,0)*AJ751,0)</f>
        <v>0</v>
      </c>
      <c r="AU751" s="7">
        <f t="shared" si="1013"/>
        <v>117302.44</v>
      </c>
      <c r="AV751" s="1">
        <f t="shared" si="1014"/>
        <v>2</v>
      </c>
      <c r="AW751" s="1">
        <f t="shared" si="1064"/>
        <v>10</v>
      </c>
      <c r="AX751" s="1">
        <f t="shared" si="1015"/>
        <v>2</v>
      </c>
      <c r="AY751" s="1">
        <f>MIN(20,MAX(0,O751+0+0-0))</f>
        <v>2</v>
      </c>
      <c r="AZ751" s="1">
        <f t="shared" si="1016"/>
        <v>5</v>
      </c>
      <c r="BA751" s="1">
        <f t="shared" si="1055"/>
        <v>5</v>
      </c>
      <c r="BB751" s="1">
        <f t="shared" si="1063"/>
        <v>20</v>
      </c>
      <c r="BC751" s="1">
        <f t="shared" si="1061"/>
        <v>3</v>
      </c>
      <c r="BD751" s="1">
        <f t="shared" si="1042"/>
        <v>0</v>
      </c>
      <c r="BE751" s="1">
        <f>MAX(0,U751-IF(AF751&gt;0,1,0))+1</f>
        <v>1</v>
      </c>
      <c r="BF751" s="1">
        <f t="shared" si="1065"/>
        <v>4</v>
      </c>
      <c r="BG751" s="1">
        <f t="shared" si="1052"/>
        <v>1</v>
      </c>
      <c r="BH751" s="1">
        <f t="shared" si="1036"/>
        <v>1</v>
      </c>
      <c r="BI751" s="1">
        <f t="shared" si="1053"/>
        <v>1</v>
      </c>
      <c r="BJ751" s="1">
        <f t="shared" si="1056"/>
        <v>1</v>
      </c>
      <c r="BK751" s="1">
        <f t="shared" si="1057"/>
        <v>1</v>
      </c>
      <c r="BL751" s="1">
        <f t="shared" si="1062"/>
        <v>1</v>
      </c>
      <c r="BM751" s="1">
        <f t="shared" si="1060"/>
        <v>1</v>
      </c>
      <c r="BN751" s="1">
        <f t="shared" si="1037"/>
        <v>1</v>
      </c>
      <c r="BO751" s="1">
        <f t="shared" si="1038"/>
        <v>1</v>
      </c>
    </row>
    <row r="752" spans="1:67" ht="30.95" customHeight="1">
      <c r="A752" s="1">
        <f>20</f>
        <v>20</v>
      </c>
      <c r="B752" s="1">
        <f>固定流程!A32</f>
        <v>27</v>
      </c>
      <c r="C752" s="1">
        <f>23</f>
        <v>23</v>
      </c>
      <c r="D752" s="1">
        <f>2</f>
        <v>2</v>
      </c>
      <c r="E752" s="1">
        <f>固定流程!C32</f>
        <v>3</v>
      </c>
      <c r="F752" s="1">
        <f>固定流程!G32</f>
        <v>1</v>
      </c>
      <c r="G752" s="1" t="str">
        <f>固定流程!H32</f>
        <v>LILYA_THIRD</v>
      </c>
      <c r="H752" s="1">
        <f>固定流程!F32</f>
        <v>1</v>
      </c>
      <c r="I752" s="1">
        <f>INDEX(配置与结果!$B$15:$B$18,F752)</f>
        <v>2296</v>
      </c>
      <c r="J752" s="1">
        <f>INDEX(配置与结果!$D$15:$D$18,F752)</f>
        <v>0.7</v>
      </c>
      <c r="K752" s="1">
        <f>INDEX(配置与结果!$E$15:$E$18,F752)</f>
        <v>2.0249999999999999</v>
      </c>
      <c r="L752" s="1">
        <f t="shared" si="1049"/>
        <v>2</v>
      </c>
      <c r="M752" s="1">
        <f t="shared" si="1050"/>
        <v>10</v>
      </c>
      <c r="N752" s="1">
        <f t="shared" si="1051"/>
        <v>2</v>
      </c>
      <c r="O752" s="1">
        <f t="shared" si="1043"/>
        <v>2</v>
      </c>
      <c r="P752" s="1">
        <f>MIN(方案参数!$AI$23,AZ751+0+0)</f>
        <v>5</v>
      </c>
      <c r="Q752" s="1">
        <f t="shared" si="1021"/>
        <v>5</v>
      </c>
      <c r="R752" s="1">
        <f t="shared" si="1022"/>
        <v>20</v>
      </c>
      <c r="S752" s="1">
        <f t="shared" si="1023"/>
        <v>3</v>
      </c>
      <c r="T752" s="1">
        <f t="shared" si="1058"/>
        <v>0</v>
      </c>
      <c r="U752" s="1">
        <f t="shared" si="1025"/>
        <v>1</v>
      </c>
      <c r="V752" s="1">
        <f t="shared" si="1026"/>
        <v>4</v>
      </c>
      <c r="W752" s="1">
        <f t="shared" si="1027"/>
        <v>1</v>
      </c>
      <c r="X752" s="1">
        <f t="shared" si="1028"/>
        <v>1</v>
      </c>
      <c r="Y752" s="1">
        <f t="shared" si="1029"/>
        <v>1</v>
      </c>
      <c r="Z752" s="1">
        <f t="shared" si="1030"/>
        <v>1</v>
      </c>
      <c r="AA752" s="1">
        <f t="shared" si="1054"/>
        <v>1</v>
      </c>
      <c r="AB752" s="1">
        <f t="shared" si="1032"/>
        <v>1</v>
      </c>
      <c r="AC752" s="1">
        <f t="shared" si="1059"/>
        <v>1</v>
      </c>
      <c r="AD752" s="1">
        <f>ROUNDDOWN(I752*(1+IF(F752=3,0.05+方案参数!$Y$23+AA752*0.12,IF(F752=4,方案参数!$BZ$23*方案参数!$AS$23,0)))+IF(AND(X752=1,F752&lt;&gt;3),方案参数!$CC$23,0)+AC752*方案参数!$CB$23,0)</f>
        <v>3034</v>
      </c>
      <c r="AE752" s="1">
        <f>IF(OR(F752=1,F752=4),配置与结果!$B$24,配置与结果!$B$25)*MAX(0,1-INDEX(配置与结果!$I$15:$I$18,F752))</f>
        <v>1200</v>
      </c>
      <c r="AF752" s="1">
        <f>方案参数!$BM$23</f>
        <v>20</v>
      </c>
      <c r="AG752" s="1">
        <f>MAX(配置与结果!$B$32,1+INDEX(配置与结果!$F$15:$F$18,F752)+0.08+方案参数!$CD$23+Q752*方案参数!$W$23+Y752*(方案参数!$AN$23+MIN(方案参数!$AO$23,P752*0.03))+AB752*方案参数!$BZ$23*0.025-配置与结果!$B$28+方案参数!$AE$23)</f>
        <v>2.6150000000000002</v>
      </c>
      <c r="AH752" s="1">
        <f>MAX(0,1+V752*方案参数!$U$23+3*方案参数!$V$23+方案参数!$AE$23-配置与结果!$B$29)</f>
        <v>1.7399999999999998</v>
      </c>
      <c r="AI752" s="1">
        <f>IF(OR(INDEX(配置与结果!$K$15:$K$18,F752)=1,G752="RHI_BERRY"),1+配置与结果!$B$33+P752*方案参数!$AH$23,1)</f>
        <v>1</v>
      </c>
      <c r="AJ752" s="1">
        <f>MIN(1,MAX(0,J752+方案参数!$AB$23-配置与结果!$B$27))</f>
        <v>1</v>
      </c>
      <c r="AK752" s="1">
        <f>MAX(1,K752+IF(F752=2,0.15+方案参数!$CH$23,0)+BN752*方案参数!$X$23+R752*方案参数!$AA$23+方案参数!$BQ$23-配置与结果!$B$26+Z752*(方案参数!$AP$23+MIN(方案参数!$AQ$23,P752*0.03)))</f>
        <v>2.9650000000000003</v>
      </c>
      <c r="AL752" s="7">
        <f>ROUNDDOWN(MAX(AD752*配置与结果!$B$31,AD752-AE752)*AF752*AG752*AH752*AI752,0)</f>
        <v>166897</v>
      </c>
      <c r="AM752" s="7">
        <f>ROUNDDOWN(MAX(AD752*配置与结果!$B$31,AD752-AE752)*AF752*AG752*AH752*AI752*AK752,0)</f>
        <v>494851</v>
      </c>
      <c r="AN752" s="7">
        <f t="shared" si="1009"/>
        <v>494851</v>
      </c>
      <c r="AO752" s="7">
        <f>0</f>
        <v>0</v>
      </c>
      <c r="AP752" s="7">
        <f>MAX(0,1+INDEX(配置与结果!$J$15:$J$18,F752)+IF(T752&gt;0,方案参数!$BY$23,0)-配置与结果!$B$30)</f>
        <v>1</v>
      </c>
      <c r="AQ752" s="7">
        <f t="shared" si="1010"/>
        <v>0</v>
      </c>
      <c r="AR752" s="7">
        <f t="shared" si="1011"/>
        <v>0</v>
      </c>
      <c r="AS752" s="7">
        <f t="shared" si="1012"/>
        <v>0</v>
      </c>
      <c r="AT752" s="7">
        <f>IF(U752&gt;0,ROUNDDOWN(AL752*方案参数!$AF$23,0)*(1-AJ752)+ROUNDDOWN(AM752*方案参数!$AF$23,0)*AJ752,0)</f>
        <v>197940</v>
      </c>
      <c r="AU752" s="7">
        <f t="shared" si="1013"/>
        <v>692791</v>
      </c>
      <c r="AV752" s="1">
        <f t="shared" si="1014"/>
        <v>2</v>
      </c>
      <c r="AW752" s="1">
        <f t="shared" si="1064"/>
        <v>10</v>
      </c>
      <c r="AX752" s="1">
        <f t="shared" si="1015"/>
        <v>2</v>
      </c>
      <c r="AY752" s="1">
        <f>MIN(20,MAX(0,O752+0+1-0))</f>
        <v>3</v>
      </c>
      <c r="AZ752" s="1">
        <f t="shared" si="1016"/>
        <v>5</v>
      </c>
      <c r="BA752" s="1">
        <f t="shared" si="1055"/>
        <v>5</v>
      </c>
      <c r="BB752" s="1">
        <f t="shared" si="1063"/>
        <v>20</v>
      </c>
      <c r="BC752" s="1">
        <f t="shared" si="1061"/>
        <v>3</v>
      </c>
      <c r="BD752" s="1">
        <f t="shared" si="1042"/>
        <v>0</v>
      </c>
      <c r="BE752" s="1">
        <f>MAX(0,U752-IF(AF752&gt;0,1,0))+0</f>
        <v>0</v>
      </c>
      <c r="BF752" s="1">
        <f t="shared" si="1065"/>
        <v>4</v>
      </c>
      <c r="BG752" s="1">
        <f t="shared" si="1052"/>
        <v>1</v>
      </c>
      <c r="BH752" s="1">
        <f t="shared" si="1036"/>
        <v>1</v>
      </c>
      <c r="BI752" s="1">
        <f t="shared" si="1053"/>
        <v>1</v>
      </c>
      <c r="BJ752" s="1">
        <f t="shared" si="1056"/>
        <v>1</v>
      </c>
      <c r="BK752" s="1">
        <f t="shared" si="1057"/>
        <v>1</v>
      </c>
      <c r="BL752" s="1">
        <f t="shared" si="1062"/>
        <v>1</v>
      </c>
      <c r="BM752" s="1">
        <f t="shared" si="1060"/>
        <v>1</v>
      </c>
      <c r="BN752" s="1">
        <f t="shared" si="1037"/>
        <v>1</v>
      </c>
      <c r="BO752" s="1">
        <f t="shared" si="1038"/>
        <v>1</v>
      </c>
    </row>
    <row r="753" spans="1:67" ht="30.95" customHeight="1">
      <c r="A753" s="1">
        <f>20</f>
        <v>20</v>
      </c>
      <c r="B753" s="1">
        <f>固定流程!A33</f>
        <v>28</v>
      </c>
      <c r="C753" s="1">
        <f>23</f>
        <v>23</v>
      </c>
      <c r="D753" s="1">
        <f>2</f>
        <v>2</v>
      </c>
      <c r="E753" s="1">
        <f>固定流程!C33</f>
        <v>3</v>
      </c>
      <c r="F753" s="1">
        <f>固定流程!G33</f>
        <v>1</v>
      </c>
      <c r="G753" s="1" t="str">
        <f>固定流程!H33</f>
        <v>LILYA_WEAK</v>
      </c>
      <c r="H753" s="1">
        <f>固定流程!F33</f>
        <v>1</v>
      </c>
      <c r="I753" s="1">
        <f>INDEX(配置与结果!$B$15:$B$18,F753)</f>
        <v>2296</v>
      </c>
      <c r="J753" s="1">
        <f>INDEX(配置与结果!$D$15:$D$18,F753)</f>
        <v>0.7</v>
      </c>
      <c r="K753" s="1">
        <f>INDEX(配置与结果!$E$15:$E$18,F753)</f>
        <v>2.0249999999999999</v>
      </c>
      <c r="L753" s="1">
        <f t="shared" si="1049"/>
        <v>2</v>
      </c>
      <c r="M753" s="1">
        <f t="shared" si="1050"/>
        <v>10</v>
      </c>
      <c r="N753" s="1">
        <f t="shared" si="1051"/>
        <v>2</v>
      </c>
      <c r="O753" s="1">
        <f t="shared" si="1043"/>
        <v>3</v>
      </c>
      <c r="P753" s="1">
        <f>MIN(方案参数!$AI$23,AZ752+0+0)</f>
        <v>5</v>
      </c>
      <c r="Q753" s="1">
        <f t="shared" si="1021"/>
        <v>5</v>
      </c>
      <c r="R753" s="1">
        <f t="shared" si="1022"/>
        <v>20</v>
      </c>
      <c r="S753" s="1">
        <f t="shared" si="1023"/>
        <v>3</v>
      </c>
      <c r="T753" s="1">
        <f t="shared" si="1058"/>
        <v>0</v>
      </c>
      <c r="U753" s="1">
        <f t="shared" si="1025"/>
        <v>0</v>
      </c>
      <c r="V753" s="1">
        <f t="shared" si="1026"/>
        <v>4</v>
      </c>
      <c r="W753" s="1">
        <f t="shared" si="1027"/>
        <v>1</v>
      </c>
      <c r="X753" s="1">
        <f t="shared" si="1028"/>
        <v>1</v>
      </c>
      <c r="Y753" s="1">
        <f t="shared" si="1029"/>
        <v>1</v>
      </c>
      <c r="Z753" s="1">
        <f t="shared" si="1030"/>
        <v>1</v>
      </c>
      <c r="AA753" s="1">
        <f t="shared" si="1054"/>
        <v>1</v>
      </c>
      <c r="AB753" s="1">
        <f t="shared" si="1032"/>
        <v>1</v>
      </c>
      <c r="AC753" s="1">
        <f t="shared" si="1059"/>
        <v>1</v>
      </c>
      <c r="AD753" s="1">
        <f>ROUNDDOWN(I753*(1+IF(F753=3,0.05+方案参数!$Y$23+AA753*0.12,IF(F753=4,方案参数!$BZ$23*方案参数!$AS$23,0)))+IF(AND(X753=1,F753&lt;&gt;3),方案参数!$CC$23,0)+AC753*方案参数!$CB$23,0)</f>
        <v>3034</v>
      </c>
      <c r="AE753" s="1">
        <f>IF(OR(F753=1,F753=4),配置与结果!$B$24,配置与结果!$B$25)*MAX(0,1-INDEX(配置与结果!$I$15:$I$18,F753))</f>
        <v>1200</v>
      </c>
      <c r="AF753" s="1">
        <f>方案参数!$BL$23</f>
        <v>9</v>
      </c>
      <c r="AG753" s="1">
        <f>MAX(配置与结果!$B$32,1+INDEX(配置与结果!$F$15:$F$18,F753)+0.08+方案参数!$CD$23+Q753*方案参数!$W$23+Y753*(方案参数!$AN$23+MIN(方案参数!$AO$23,P753*0.03))+AB753*方案参数!$BZ$23*0.025-配置与结果!$B$28+方案参数!$AE$23)</f>
        <v>2.6150000000000002</v>
      </c>
      <c r="AH753" s="1">
        <f>MAX(0,1+V753*方案参数!$U$23+4*方案参数!$V$23+方案参数!$AE$23-配置与结果!$B$29)</f>
        <v>1.7999999999999998</v>
      </c>
      <c r="AI753" s="1">
        <f>IF(OR(INDEX(配置与结果!$K$15:$K$18,F753)=1,G753="RHI_BERRY"),1+配置与结果!$B$33+P753*方案参数!$AH$23,1)</f>
        <v>1</v>
      </c>
      <c r="AJ753" s="1">
        <f>MIN(1,MAX(0,J753+方案参数!$AB$23-配置与结果!$B$27))</f>
        <v>1</v>
      </c>
      <c r="AK753" s="1">
        <f>MAX(1,K753+IF(F753=2,0.15+方案参数!$CH$23,0)+BN753*方案参数!$X$23+R753*方案参数!$AA$23+方案参数!$BP$23-配置与结果!$B$26+Z753*(方案参数!$AP$23+MIN(方案参数!$AQ$23,P753*0.03)))</f>
        <v>2.7650000000000001</v>
      </c>
      <c r="AL753" s="7">
        <f>ROUNDDOWN(MAX(AD753*配置与结果!$B$31,AD753-AE753)*AF753*AG753*AH753*AI753,0)</f>
        <v>77693</v>
      </c>
      <c r="AM753" s="7">
        <f>ROUNDDOWN(MAX(AD753*配置与结果!$B$31,AD753-AE753)*AF753*AG753*AH753*AI753*AK753,0)</f>
        <v>214823</v>
      </c>
      <c r="AN753" s="7">
        <f t="shared" si="1009"/>
        <v>214823</v>
      </c>
      <c r="AO753" s="7">
        <f>0</f>
        <v>0</v>
      </c>
      <c r="AP753" s="7">
        <f>MAX(0,1+INDEX(配置与结果!$J$15:$J$18,F753)+IF(T753&gt;0,方案参数!$BY$23,0)-配置与结果!$B$30)</f>
        <v>1</v>
      </c>
      <c r="AQ753" s="7">
        <f t="shared" si="1010"/>
        <v>0</v>
      </c>
      <c r="AR753" s="7">
        <f t="shared" si="1011"/>
        <v>0</v>
      </c>
      <c r="AS753" s="7">
        <f t="shared" si="1012"/>
        <v>0</v>
      </c>
      <c r="AT753" s="7">
        <f>IF(U753&gt;0,ROUNDDOWN(AL753*方案参数!$AF$23,0)*(1-AJ753)+ROUNDDOWN(AM753*方案参数!$AF$23,0)*AJ753,0)</f>
        <v>0</v>
      </c>
      <c r="AU753" s="7">
        <f t="shared" si="1013"/>
        <v>214823</v>
      </c>
      <c r="AV753" s="1">
        <f t="shared" si="1014"/>
        <v>2</v>
      </c>
      <c r="AW753" s="1">
        <f t="shared" si="1064"/>
        <v>10</v>
      </c>
      <c r="AX753" s="1">
        <f t="shared" si="1015"/>
        <v>2</v>
      </c>
      <c r="AY753" s="1">
        <f>MIN(20,MAX(0,O753+0+1-0))</f>
        <v>4</v>
      </c>
      <c r="AZ753" s="1">
        <f t="shared" si="1016"/>
        <v>5</v>
      </c>
      <c r="BA753" s="1">
        <f t="shared" si="1055"/>
        <v>5</v>
      </c>
      <c r="BB753" s="1">
        <f t="shared" si="1063"/>
        <v>20</v>
      </c>
      <c r="BC753" s="1">
        <f t="shared" si="1061"/>
        <v>3</v>
      </c>
      <c r="BD753" s="1">
        <f t="shared" si="1042"/>
        <v>0</v>
      </c>
      <c r="BE753" s="1">
        <f>MAX(0,U753-IF(AF753&gt;0,1,0))+0</f>
        <v>0</v>
      </c>
      <c r="BF753" s="1">
        <f t="shared" si="1065"/>
        <v>4</v>
      </c>
      <c r="BG753" s="1">
        <f t="shared" si="1052"/>
        <v>1</v>
      </c>
      <c r="BH753" s="1">
        <f t="shared" si="1036"/>
        <v>1</v>
      </c>
      <c r="BI753" s="1">
        <f t="shared" si="1053"/>
        <v>1</v>
      </c>
      <c r="BJ753" s="1">
        <f t="shared" si="1056"/>
        <v>1</v>
      </c>
      <c r="BK753" s="1">
        <f t="shared" si="1057"/>
        <v>1</v>
      </c>
      <c r="BL753" s="1">
        <f t="shared" si="1062"/>
        <v>1</v>
      </c>
      <c r="BM753" s="1">
        <f t="shared" si="1060"/>
        <v>1</v>
      </c>
      <c r="BN753" s="1">
        <f t="shared" si="1037"/>
        <v>1</v>
      </c>
      <c r="BO753" s="1">
        <f t="shared" si="1038"/>
        <v>1</v>
      </c>
    </row>
    <row r="754" spans="1:67" ht="30.95" customHeight="1">
      <c r="A754" s="1">
        <f>20</f>
        <v>20</v>
      </c>
      <c r="B754" s="1">
        <f>固定流程!A34</f>
        <v>29</v>
      </c>
      <c r="C754" s="1">
        <f>23</f>
        <v>23</v>
      </c>
      <c r="D754" s="1">
        <f>2</f>
        <v>2</v>
      </c>
      <c r="E754" s="1">
        <f>固定流程!C34</f>
        <v>3</v>
      </c>
      <c r="F754" s="1">
        <f>固定流程!G34</f>
        <v>1</v>
      </c>
      <c r="G754" s="1" t="str">
        <f>固定流程!H34</f>
        <v>LILYA_WEAK</v>
      </c>
      <c r="H754" s="1">
        <f>固定流程!F34</f>
        <v>1</v>
      </c>
      <c r="I754" s="1">
        <f>INDEX(配置与结果!$B$15:$B$18,F754)</f>
        <v>2296</v>
      </c>
      <c r="J754" s="1">
        <f>INDEX(配置与结果!$D$15:$D$18,F754)</f>
        <v>0.7</v>
      </c>
      <c r="K754" s="1">
        <f>INDEX(配置与结果!$E$15:$E$18,F754)</f>
        <v>2.0249999999999999</v>
      </c>
      <c r="L754" s="1">
        <f t="shared" si="1049"/>
        <v>2</v>
      </c>
      <c r="M754" s="1">
        <f t="shared" si="1050"/>
        <v>10</v>
      </c>
      <c r="N754" s="1">
        <f t="shared" si="1051"/>
        <v>2</v>
      </c>
      <c r="O754" s="1">
        <f t="shared" si="1043"/>
        <v>4</v>
      </c>
      <c r="P754" s="1">
        <f>MIN(方案参数!$AI$23,AZ753+0+0)</f>
        <v>5</v>
      </c>
      <c r="Q754" s="1">
        <f t="shared" si="1021"/>
        <v>5</v>
      </c>
      <c r="R754" s="1">
        <f t="shared" si="1022"/>
        <v>20</v>
      </c>
      <c r="S754" s="1">
        <f t="shared" si="1023"/>
        <v>3</v>
      </c>
      <c r="T754" s="1">
        <f t="shared" si="1058"/>
        <v>0</v>
      </c>
      <c r="U754" s="1">
        <f t="shared" si="1025"/>
        <v>0</v>
      </c>
      <c r="V754" s="1">
        <f t="shared" si="1026"/>
        <v>4</v>
      </c>
      <c r="W754" s="1">
        <f t="shared" si="1027"/>
        <v>1</v>
      </c>
      <c r="X754" s="1">
        <f t="shared" si="1028"/>
        <v>1</v>
      </c>
      <c r="Y754" s="1">
        <f t="shared" si="1029"/>
        <v>1</v>
      </c>
      <c r="Z754" s="1">
        <f t="shared" si="1030"/>
        <v>1</v>
      </c>
      <c r="AA754" s="1">
        <f t="shared" si="1054"/>
        <v>1</v>
      </c>
      <c r="AB754" s="1">
        <f t="shared" si="1032"/>
        <v>1</v>
      </c>
      <c r="AC754" s="1">
        <f t="shared" si="1059"/>
        <v>1</v>
      </c>
      <c r="AD754" s="1">
        <f>ROUNDDOWN(I754*(1+IF(F754=3,0.05+方案参数!$Y$23+AA754*0.12,IF(F754=4,方案参数!$BZ$23*方案参数!$AS$23,0)))+IF(AND(X754=1,F754&lt;&gt;3),方案参数!$CC$23,0)+AC754*方案参数!$CB$23,0)</f>
        <v>3034</v>
      </c>
      <c r="AE754" s="1">
        <f>IF(OR(F754=1,F754=4),配置与结果!$B$24,配置与结果!$B$25)*MAX(0,1-INDEX(配置与结果!$I$15:$I$18,F754))</f>
        <v>1200</v>
      </c>
      <c r="AF754" s="1">
        <f>方案参数!$BL$23</f>
        <v>9</v>
      </c>
      <c r="AG754" s="1">
        <f>MAX(配置与结果!$B$32,1+INDEX(配置与结果!$F$15:$F$18,F754)+0.08+方案参数!$CD$23+Q754*方案参数!$W$23+Y754*(方案参数!$AN$23+MIN(方案参数!$AO$23,P754*0.03))+AB754*方案参数!$BZ$23*0.025-配置与结果!$B$28+方案参数!$AE$23)</f>
        <v>2.6150000000000002</v>
      </c>
      <c r="AH754" s="1">
        <f>MAX(0,1+V754*方案参数!$U$23+5*方案参数!$V$23+方案参数!$AE$23-配置与结果!$B$29)</f>
        <v>1.8599999999999999</v>
      </c>
      <c r="AI754" s="1">
        <f>IF(OR(INDEX(配置与结果!$K$15:$K$18,F754)=1,G754="RHI_BERRY"),1+配置与结果!$B$33+P754*方案参数!$AH$23,1)</f>
        <v>1</v>
      </c>
      <c r="AJ754" s="1">
        <f>MIN(1,MAX(0,J754+方案参数!$AB$23-配置与结果!$B$27))</f>
        <v>1</v>
      </c>
      <c r="AK754" s="1">
        <f>MAX(1,K754+IF(F754=2,0.15+方案参数!$CH$23,0)+BN754*方案参数!$X$23+R754*方案参数!$AA$23+方案参数!$BP$23-配置与结果!$B$26+Z754*(方案参数!$AP$23+MIN(方案参数!$AQ$23,P754*0.03)))</f>
        <v>2.7650000000000001</v>
      </c>
      <c r="AL754" s="7">
        <f>ROUNDDOWN(MAX(AD754*配置与结果!$B$31,AD754-AE754)*AF754*AG754*AH754*AI754,0)</f>
        <v>80283</v>
      </c>
      <c r="AM754" s="7">
        <f>ROUNDDOWN(MAX(AD754*配置与结果!$B$31,AD754-AE754)*AF754*AG754*AH754*AI754*AK754,0)</f>
        <v>221983</v>
      </c>
      <c r="AN754" s="7">
        <f t="shared" si="1009"/>
        <v>221983</v>
      </c>
      <c r="AO754" s="7">
        <f>0</f>
        <v>0</v>
      </c>
      <c r="AP754" s="7">
        <f>MAX(0,1+INDEX(配置与结果!$J$15:$J$18,F754)+IF(T754&gt;0,方案参数!$BY$23,0)-配置与结果!$B$30)</f>
        <v>1</v>
      </c>
      <c r="AQ754" s="7">
        <f t="shared" si="1010"/>
        <v>0</v>
      </c>
      <c r="AR754" s="7">
        <f t="shared" si="1011"/>
        <v>0</v>
      </c>
      <c r="AS754" s="7">
        <f t="shared" si="1012"/>
        <v>0</v>
      </c>
      <c r="AT754" s="7">
        <f>IF(U754&gt;0,ROUNDDOWN(AL754*方案参数!$AF$23,0)*(1-AJ754)+ROUNDDOWN(AM754*方案参数!$AF$23,0)*AJ754,0)</f>
        <v>0</v>
      </c>
      <c r="AU754" s="7">
        <f t="shared" si="1013"/>
        <v>221983</v>
      </c>
      <c r="AV754" s="1">
        <f t="shared" si="1014"/>
        <v>2</v>
      </c>
      <c r="AW754" s="1">
        <f t="shared" si="1064"/>
        <v>10</v>
      </c>
      <c r="AX754" s="1">
        <f t="shared" si="1015"/>
        <v>2</v>
      </c>
      <c r="AY754" s="1">
        <f>MIN(20,MAX(0,O754+0+1-0))</f>
        <v>5</v>
      </c>
      <c r="AZ754" s="1">
        <f t="shared" si="1016"/>
        <v>5</v>
      </c>
      <c r="BA754" s="1">
        <f t="shared" si="1055"/>
        <v>5</v>
      </c>
      <c r="BB754" s="1">
        <f t="shared" si="1063"/>
        <v>20</v>
      </c>
      <c r="BC754" s="1">
        <f t="shared" si="1061"/>
        <v>3</v>
      </c>
      <c r="BD754" s="1">
        <f t="shared" si="1042"/>
        <v>0</v>
      </c>
      <c r="BE754" s="1">
        <f>MAX(0,U754-IF(AF754&gt;0,1,0))+0</f>
        <v>0</v>
      </c>
      <c r="BF754" s="1">
        <f t="shared" si="1065"/>
        <v>4</v>
      </c>
      <c r="BG754" s="1">
        <f t="shared" si="1052"/>
        <v>1</v>
      </c>
      <c r="BH754" s="1">
        <f t="shared" si="1036"/>
        <v>1</v>
      </c>
      <c r="BI754" s="1">
        <f t="shared" si="1053"/>
        <v>1</v>
      </c>
      <c r="BJ754" s="1">
        <f t="shared" si="1056"/>
        <v>1</v>
      </c>
      <c r="BK754" s="1">
        <f t="shared" si="1057"/>
        <v>1</v>
      </c>
      <c r="BL754" s="1">
        <f t="shared" si="1062"/>
        <v>1</v>
      </c>
      <c r="BM754" s="1">
        <f t="shared" si="1060"/>
        <v>1</v>
      </c>
      <c r="BN754" s="1">
        <f t="shared" si="1037"/>
        <v>1</v>
      </c>
      <c r="BO754" s="1">
        <f t="shared" si="1038"/>
        <v>1</v>
      </c>
    </row>
    <row r="755" spans="1:67" ht="30.95" customHeight="1">
      <c r="A755" s="1">
        <f>20</f>
        <v>20</v>
      </c>
      <c r="B755" s="1">
        <f>固定流程!A35</f>
        <v>30</v>
      </c>
      <c r="C755" s="1">
        <f>23</f>
        <v>23</v>
      </c>
      <c r="D755" s="1">
        <f>2</f>
        <v>2</v>
      </c>
      <c r="E755" s="1">
        <f>固定流程!C35</f>
        <v>3</v>
      </c>
      <c r="F755" s="1">
        <f>固定流程!G35</f>
        <v>2</v>
      </c>
      <c r="G755" s="1" t="str">
        <f>固定流程!H35</f>
        <v>37_WEAK</v>
      </c>
      <c r="H755" s="1">
        <f>固定流程!F35</f>
        <v>1</v>
      </c>
      <c r="I755" s="1">
        <f>INDEX(配置与结果!$B$15:$B$18,F755)</f>
        <v>2306</v>
      </c>
      <c r="J755" s="1">
        <f>INDEX(配置与结果!$D$15:$D$18,F755)</f>
        <v>0.46</v>
      </c>
      <c r="K755" s="1">
        <f>INDEX(配置与结果!$E$15:$E$18,F755)</f>
        <v>1.9279999999999999</v>
      </c>
      <c r="L755" s="1">
        <f t="shared" si="1049"/>
        <v>2</v>
      </c>
      <c r="M755" s="1">
        <f t="shared" si="1050"/>
        <v>10</v>
      </c>
      <c r="N755" s="1">
        <f t="shared" si="1051"/>
        <v>2</v>
      </c>
      <c r="O755" s="1">
        <f t="shared" si="1043"/>
        <v>5</v>
      </c>
      <c r="P755" s="1">
        <f>MIN(方案参数!$AI$23,AZ754+0+0)</f>
        <v>5</v>
      </c>
      <c r="Q755" s="1">
        <f t="shared" si="1021"/>
        <v>5</v>
      </c>
      <c r="R755" s="1">
        <f t="shared" si="1022"/>
        <v>20</v>
      </c>
      <c r="S755" s="1">
        <f t="shared" si="1023"/>
        <v>3</v>
      </c>
      <c r="T755" s="1">
        <f t="shared" si="1058"/>
        <v>0</v>
      </c>
      <c r="U755" s="1">
        <f t="shared" si="1025"/>
        <v>0</v>
      </c>
      <c r="V755" s="1">
        <f t="shared" si="1026"/>
        <v>4</v>
      </c>
      <c r="W755" s="1">
        <f t="shared" si="1027"/>
        <v>1</v>
      </c>
      <c r="X755" s="1">
        <f t="shared" si="1028"/>
        <v>1</v>
      </c>
      <c r="Y755" s="1">
        <f t="shared" si="1029"/>
        <v>1</v>
      </c>
      <c r="Z755" s="1">
        <f t="shared" si="1030"/>
        <v>1</v>
      </c>
      <c r="AA755" s="1">
        <f t="shared" si="1054"/>
        <v>1</v>
      </c>
      <c r="AB755" s="1">
        <f t="shared" si="1032"/>
        <v>1</v>
      </c>
      <c r="AC755" s="1">
        <f t="shared" si="1059"/>
        <v>1</v>
      </c>
      <c r="AD755" s="1">
        <f>ROUNDDOWN(I755*(1+IF(F755=3,0.05+方案参数!$Y$23+AA755*0.12,IF(F755=4,方案参数!$BZ$23*方案参数!$AS$23,0)))+IF(AND(X755=1,F755&lt;&gt;3),方案参数!$CC$23,0)+AC755*方案参数!$CB$23,0)</f>
        <v>3044</v>
      </c>
      <c r="AE755" s="1">
        <f>IF(OR(F755=1,F755=4),配置与结果!$B$24,配置与结果!$B$25)*MAX(0,1-INDEX(配置与结果!$I$15:$I$18,F755))</f>
        <v>1000</v>
      </c>
      <c r="AF755" s="1">
        <f>方案参数!$CE$23</f>
        <v>8</v>
      </c>
      <c r="AG755" s="1">
        <f>MAX(配置与结果!$B$32,1+INDEX(配置与结果!$F$15:$F$18,F755)+0+Q755*方案参数!$W$23+Y755*(方案参数!$AN$23+MIN(方案参数!$AO$23,P755*0.03))+AB755*方案参数!$BZ$23*0.025-配置与结果!$B$28+方案参数!$AE$23)</f>
        <v>2.2800000000000002</v>
      </c>
      <c r="AH755" s="1">
        <f>MAX(0,1+V755*方案参数!$U$23+方案参数!$AE$23-配置与结果!$B$29)</f>
        <v>1.56</v>
      </c>
      <c r="AI755" s="1">
        <f>IF(OR(INDEX(配置与结果!$K$15:$K$18,F755)=1,G755="RHI_BERRY"),1+配置与结果!$B$33+P755*方案参数!$AH$23,1)</f>
        <v>1</v>
      </c>
      <c r="AJ755" s="1">
        <f>MIN(1,MAX(0,J755+方案参数!$AB$23-配置与结果!$B$27))</f>
        <v>0.76</v>
      </c>
      <c r="AK755" s="1">
        <f>MAX(1,K755+IF(F755=2,0.15+方案参数!$CH$23,0)+BN755*方案参数!$X$23+R755*方案参数!$AA$23+0-配置与结果!$B$26+Z755*(方案参数!$AP$23+MIN(方案参数!$AQ$23,P755*0.03)))</f>
        <v>2.3380000000000001</v>
      </c>
      <c r="AL755" s="7">
        <f>ROUNDDOWN(MAX(AD755*配置与结果!$B$31,AD755-AE755)*AF755*AG755*AH755*AI755,0)</f>
        <v>58160</v>
      </c>
      <c r="AM755" s="7">
        <f>ROUNDDOWN(MAX(AD755*配置与结果!$B$31,AD755-AE755)*AF755*AG755*AH755*AI755*AK755,0)</f>
        <v>135979</v>
      </c>
      <c r="AN755" s="7">
        <f t="shared" si="1009"/>
        <v>117302.44</v>
      </c>
      <c r="AO755" s="7">
        <f>0</f>
        <v>0</v>
      </c>
      <c r="AP755" s="7">
        <f>MAX(0,1+INDEX(配置与结果!$J$15:$J$18,F755)+IF(T755&gt;0,方案参数!$BY$23,0)-配置与结果!$B$30)</f>
        <v>1</v>
      </c>
      <c r="AQ755" s="7">
        <f t="shared" si="1010"/>
        <v>0</v>
      </c>
      <c r="AR755" s="7">
        <f t="shared" si="1011"/>
        <v>0</v>
      </c>
      <c r="AS755" s="7">
        <f t="shared" si="1012"/>
        <v>0</v>
      </c>
      <c r="AT755" s="7">
        <f>IF(U755&gt;0,ROUNDDOWN(AL755*方案参数!$AF$23,0)*(1-AJ755)+ROUNDDOWN(AM755*方案参数!$AF$23,0)*AJ755,0)</f>
        <v>0</v>
      </c>
      <c r="AU755" s="7">
        <f t="shared" si="1013"/>
        <v>117302.44</v>
      </c>
      <c r="AV755" s="1">
        <f t="shared" si="1014"/>
        <v>2</v>
      </c>
      <c r="AW755" s="1">
        <f t="shared" si="1064"/>
        <v>10</v>
      </c>
      <c r="AX755" s="1">
        <f t="shared" si="1015"/>
        <v>2</v>
      </c>
      <c r="AY755" s="1">
        <f>MIN(20,MAX(0,O755+0+0-0))</f>
        <v>5</v>
      </c>
      <c r="AZ755" s="1">
        <f t="shared" si="1016"/>
        <v>5</v>
      </c>
      <c r="BA755" s="1">
        <f t="shared" si="1055"/>
        <v>5</v>
      </c>
      <c r="BB755" s="1">
        <f t="shared" si="1063"/>
        <v>20</v>
      </c>
      <c r="BC755" s="1">
        <f t="shared" si="1061"/>
        <v>3</v>
      </c>
      <c r="BD755" s="1">
        <f t="shared" si="1042"/>
        <v>0</v>
      </c>
      <c r="BE755" s="1">
        <f>MAX(0,U755-IF(AF755&gt;0,1,0))+1</f>
        <v>1</v>
      </c>
      <c r="BF755" s="1">
        <f t="shared" si="1065"/>
        <v>4</v>
      </c>
      <c r="BG755" s="1">
        <f t="shared" si="1052"/>
        <v>1</v>
      </c>
      <c r="BH755" s="1">
        <f t="shared" si="1036"/>
        <v>1</v>
      </c>
      <c r="BI755" s="1">
        <f t="shared" si="1053"/>
        <v>1</v>
      </c>
      <c r="BJ755" s="1">
        <f t="shared" si="1056"/>
        <v>1</v>
      </c>
      <c r="BK755" s="1">
        <f t="shared" si="1057"/>
        <v>1</v>
      </c>
      <c r="BL755" s="1">
        <f t="shared" si="1062"/>
        <v>1</v>
      </c>
      <c r="BM755" s="1">
        <f t="shared" si="1060"/>
        <v>1</v>
      </c>
      <c r="BN755" s="1">
        <f t="shared" si="1037"/>
        <v>1</v>
      </c>
      <c r="BO755" s="1">
        <f t="shared" si="1038"/>
        <v>1</v>
      </c>
    </row>
    <row r="756" spans="1:67" ht="30.95" customHeight="1">
      <c r="A756" s="1">
        <f>20</f>
        <v>20</v>
      </c>
      <c r="B756" s="1">
        <f>固定流程!A36</f>
        <v>31</v>
      </c>
      <c r="C756" s="1">
        <f>23</f>
        <v>23</v>
      </c>
      <c r="D756" s="1">
        <f>2</f>
        <v>2</v>
      </c>
      <c r="E756" s="1">
        <f>固定流程!C36</f>
        <v>3</v>
      </c>
      <c r="F756" s="1">
        <f>固定流程!G36</f>
        <v>1</v>
      </c>
      <c r="G756" s="1" t="str">
        <f>固定流程!H36</f>
        <v>LILYA_THIRD</v>
      </c>
      <c r="H756" s="1">
        <f>固定流程!F36</f>
        <v>1</v>
      </c>
      <c r="I756" s="1">
        <f>INDEX(配置与结果!$B$15:$B$18,F756)</f>
        <v>2296</v>
      </c>
      <c r="J756" s="1">
        <f>INDEX(配置与结果!$D$15:$D$18,F756)</f>
        <v>0.7</v>
      </c>
      <c r="K756" s="1">
        <f>INDEX(配置与结果!$E$15:$E$18,F756)</f>
        <v>2.0249999999999999</v>
      </c>
      <c r="L756" s="1">
        <f t="shared" si="1049"/>
        <v>2</v>
      </c>
      <c r="M756" s="1">
        <f t="shared" si="1050"/>
        <v>10</v>
      </c>
      <c r="N756" s="1">
        <f t="shared" si="1051"/>
        <v>2</v>
      </c>
      <c r="O756" s="1">
        <f t="shared" si="1043"/>
        <v>5</v>
      </c>
      <c r="P756" s="1">
        <f>MIN(方案参数!$AI$23,AZ755+0+0)</f>
        <v>5</v>
      </c>
      <c r="Q756" s="1">
        <f t="shared" si="1021"/>
        <v>5</v>
      </c>
      <c r="R756" s="1">
        <f t="shared" si="1022"/>
        <v>20</v>
      </c>
      <c r="S756" s="1">
        <f t="shared" si="1023"/>
        <v>3</v>
      </c>
      <c r="T756" s="1">
        <f t="shared" si="1058"/>
        <v>0</v>
      </c>
      <c r="U756" s="1">
        <f t="shared" si="1025"/>
        <v>1</v>
      </c>
      <c r="V756" s="1">
        <f t="shared" si="1026"/>
        <v>4</v>
      </c>
      <c r="W756" s="1">
        <f t="shared" si="1027"/>
        <v>1</v>
      </c>
      <c r="X756" s="1">
        <f t="shared" si="1028"/>
        <v>1</v>
      </c>
      <c r="Y756" s="1">
        <f t="shared" si="1029"/>
        <v>1</v>
      </c>
      <c r="Z756" s="1">
        <f t="shared" si="1030"/>
        <v>1</v>
      </c>
      <c r="AA756" s="1">
        <f t="shared" si="1054"/>
        <v>1</v>
      </c>
      <c r="AB756" s="1">
        <f t="shared" si="1032"/>
        <v>1</v>
      </c>
      <c r="AC756" s="1">
        <f t="shared" si="1059"/>
        <v>1</v>
      </c>
      <c r="AD756" s="1">
        <f>ROUNDDOWN(I756*(1+IF(F756=3,0.05+方案参数!$Y$23+AA756*0.12,IF(F756=4,方案参数!$BZ$23*方案参数!$AS$23,0)))+IF(AND(X756=1,F756&lt;&gt;3),方案参数!$CC$23,0)+AC756*方案参数!$CB$23,0)</f>
        <v>3034</v>
      </c>
      <c r="AE756" s="1">
        <f>IF(OR(F756=1,F756=4),配置与结果!$B$24,配置与结果!$B$25)*MAX(0,1-INDEX(配置与结果!$I$15:$I$18,F756))</f>
        <v>1200</v>
      </c>
      <c r="AF756" s="1">
        <f>方案参数!$BM$23</f>
        <v>20</v>
      </c>
      <c r="AG756" s="1">
        <f>MAX(配置与结果!$B$32,1+INDEX(配置与结果!$F$15:$F$18,F756)+0.08+方案参数!$CD$23+Q756*方案参数!$W$23+Y756*(方案参数!$AN$23+MIN(方案参数!$AO$23,P756*0.03))+AB756*方案参数!$BZ$23*0.025-配置与结果!$B$28+方案参数!$AE$23)</f>
        <v>2.6150000000000002</v>
      </c>
      <c r="AH756" s="1">
        <f>MAX(0,1+V756*方案参数!$U$23+7*方案参数!$V$23+方案参数!$AE$23-配置与结果!$B$29)</f>
        <v>1.98</v>
      </c>
      <c r="AI756" s="1">
        <f>IF(OR(INDEX(配置与结果!$K$15:$K$18,F756)=1,G756="RHI_BERRY"),1+配置与结果!$B$33+P756*方案参数!$AH$23,1)</f>
        <v>1</v>
      </c>
      <c r="AJ756" s="1">
        <f>MIN(1,MAX(0,J756+方案参数!$AB$23-配置与结果!$B$27))</f>
        <v>1</v>
      </c>
      <c r="AK756" s="1">
        <f>MAX(1,K756+IF(F756=2,0.15+方案参数!$CH$23,0)+BN756*方案参数!$X$23+R756*方案参数!$AA$23+方案参数!$BQ$23-配置与结果!$B$26+Z756*(方案参数!$AP$23+MIN(方案参数!$AQ$23,P756*0.03)))</f>
        <v>2.9650000000000003</v>
      </c>
      <c r="AL756" s="7">
        <f>ROUNDDOWN(MAX(AD756*配置与结果!$B$31,AD756-AE756)*AF756*AG756*AH756*AI756,0)</f>
        <v>189918</v>
      </c>
      <c r="AM756" s="7">
        <f>ROUNDDOWN(MAX(AD756*配置与结果!$B$31,AD756-AE756)*AF756*AG756*AH756*AI756*AK756,0)</f>
        <v>563106</v>
      </c>
      <c r="AN756" s="7">
        <f t="shared" si="1009"/>
        <v>563106</v>
      </c>
      <c r="AO756" s="7">
        <f>0</f>
        <v>0</v>
      </c>
      <c r="AP756" s="7">
        <f>MAX(0,1+INDEX(配置与结果!$J$15:$J$18,F756)+IF(T756&gt;0,方案参数!$BY$23,0)-配置与结果!$B$30)</f>
        <v>1</v>
      </c>
      <c r="AQ756" s="7">
        <f t="shared" si="1010"/>
        <v>0</v>
      </c>
      <c r="AR756" s="7">
        <f t="shared" si="1011"/>
        <v>0</v>
      </c>
      <c r="AS756" s="7">
        <f t="shared" si="1012"/>
        <v>0</v>
      </c>
      <c r="AT756" s="7">
        <f>IF(U756&gt;0,ROUNDDOWN(AL756*方案参数!$AF$23,0)*(1-AJ756)+ROUNDDOWN(AM756*方案参数!$AF$23,0)*AJ756,0)</f>
        <v>225242</v>
      </c>
      <c r="AU756" s="7">
        <f t="shared" si="1013"/>
        <v>788348</v>
      </c>
      <c r="AV756" s="1">
        <f t="shared" si="1014"/>
        <v>2</v>
      </c>
      <c r="AW756" s="1">
        <f t="shared" si="1064"/>
        <v>10</v>
      </c>
      <c r="AX756" s="1">
        <f t="shared" si="1015"/>
        <v>2</v>
      </c>
      <c r="AY756" s="1">
        <f>MIN(20,MAX(0,O756+0+1-0))</f>
        <v>6</v>
      </c>
      <c r="AZ756" s="1">
        <f t="shared" si="1016"/>
        <v>5</v>
      </c>
      <c r="BA756" s="1">
        <f t="shared" si="1055"/>
        <v>5</v>
      </c>
      <c r="BB756" s="1">
        <f t="shared" si="1063"/>
        <v>20</v>
      </c>
      <c r="BC756" s="1">
        <f t="shared" si="1061"/>
        <v>3</v>
      </c>
      <c r="BD756" s="1">
        <f t="shared" si="1042"/>
        <v>0</v>
      </c>
      <c r="BE756" s="1">
        <f>MAX(0,U756-IF(AF756&gt;0,1,0))+0</f>
        <v>0</v>
      </c>
      <c r="BF756" s="1">
        <f t="shared" si="1065"/>
        <v>4</v>
      </c>
      <c r="BG756" s="1">
        <f t="shared" si="1052"/>
        <v>1</v>
      </c>
      <c r="BH756" s="1">
        <f t="shared" si="1036"/>
        <v>1</v>
      </c>
      <c r="BI756" s="1">
        <f t="shared" si="1053"/>
        <v>1</v>
      </c>
      <c r="BJ756" s="1">
        <f t="shared" si="1056"/>
        <v>1</v>
      </c>
      <c r="BK756" s="1">
        <f t="shared" si="1057"/>
        <v>1</v>
      </c>
      <c r="BL756" s="1">
        <f t="shared" si="1062"/>
        <v>1</v>
      </c>
      <c r="BM756" s="1">
        <f t="shared" si="1060"/>
        <v>1</v>
      </c>
      <c r="BN756" s="1">
        <f t="shared" si="1037"/>
        <v>1</v>
      </c>
      <c r="BO756" s="1">
        <f t="shared" si="1038"/>
        <v>1</v>
      </c>
    </row>
    <row r="757" spans="1:67" ht="30.95" customHeight="1">
      <c r="A757" s="1">
        <f>20</f>
        <v>20</v>
      </c>
      <c r="B757" s="1">
        <f>固定流程!A37</f>
        <v>32</v>
      </c>
      <c r="C757" s="1">
        <f>23</f>
        <v>23</v>
      </c>
      <c r="D757" s="1">
        <f>2</f>
        <v>2</v>
      </c>
      <c r="E757" s="1">
        <f>固定流程!C37</f>
        <v>3</v>
      </c>
      <c r="F757" s="1">
        <f>固定流程!G37</f>
        <v>1</v>
      </c>
      <c r="G757" s="1" t="str">
        <f>固定流程!H37</f>
        <v>LILYA_WEAK</v>
      </c>
      <c r="H757" s="1">
        <f>固定流程!F37</f>
        <v>1</v>
      </c>
      <c r="I757" s="1">
        <f>INDEX(配置与结果!$B$15:$B$18,F757)</f>
        <v>2296</v>
      </c>
      <c r="J757" s="1">
        <f>INDEX(配置与结果!$D$15:$D$18,F757)</f>
        <v>0.7</v>
      </c>
      <c r="K757" s="1">
        <f>INDEX(配置与结果!$E$15:$E$18,F757)</f>
        <v>2.0249999999999999</v>
      </c>
      <c r="L757" s="1">
        <f t="shared" si="1049"/>
        <v>2</v>
      </c>
      <c r="M757" s="1">
        <f t="shared" si="1050"/>
        <v>10</v>
      </c>
      <c r="N757" s="1">
        <f t="shared" si="1051"/>
        <v>2</v>
      </c>
      <c r="O757" s="1">
        <f t="shared" si="1043"/>
        <v>6</v>
      </c>
      <c r="P757" s="1">
        <f>MIN(方案参数!$AI$23,AZ756+0+0)</f>
        <v>5</v>
      </c>
      <c r="Q757" s="1">
        <f t="shared" si="1021"/>
        <v>5</v>
      </c>
      <c r="R757" s="1">
        <f t="shared" si="1022"/>
        <v>20</v>
      </c>
      <c r="S757" s="1">
        <f t="shared" si="1023"/>
        <v>3</v>
      </c>
      <c r="T757" s="1">
        <f t="shared" si="1058"/>
        <v>0</v>
      </c>
      <c r="U757" s="1">
        <f t="shared" si="1025"/>
        <v>0</v>
      </c>
      <c r="V757" s="1">
        <f t="shared" si="1026"/>
        <v>4</v>
      </c>
      <c r="W757" s="1">
        <f t="shared" si="1027"/>
        <v>1</v>
      </c>
      <c r="X757" s="1">
        <f t="shared" si="1028"/>
        <v>1</v>
      </c>
      <c r="Y757" s="1">
        <f t="shared" si="1029"/>
        <v>1</v>
      </c>
      <c r="Z757" s="1">
        <f t="shared" si="1030"/>
        <v>1</v>
      </c>
      <c r="AA757" s="1">
        <f t="shared" si="1054"/>
        <v>1</v>
      </c>
      <c r="AB757" s="1">
        <f t="shared" si="1032"/>
        <v>1</v>
      </c>
      <c r="AC757" s="1">
        <f t="shared" si="1059"/>
        <v>1</v>
      </c>
      <c r="AD757" s="1">
        <f>ROUNDDOWN(I757*(1+IF(F757=3,0.05+方案参数!$Y$23+AA757*0.12,IF(F757=4,方案参数!$BZ$23*方案参数!$AS$23,0)))+IF(AND(X757=1,F757&lt;&gt;3),方案参数!$CC$23,0)+AC757*方案参数!$CB$23,0)</f>
        <v>3034</v>
      </c>
      <c r="AE757" s="1">
        <f>IF(OR(F757=1,F757=4),配置与结果!$B$24,配置与结果!$B$25)*MAX(0,1-INDEX(配置与结果!$I$15:$I$18,F757))</f>
        <v>1200</v>
      </c>
      <c r="AF757" s="1">
        <f>方案参数!$BL$23</f>
        <v>9</v>
      </c>
      <c r="AG757" s="1">
        <f>MAX(配置与结果!$B$32,1+INDEX(配置与结果!$F$15:$F$18,F757)+0.08+方案参数!$CD$23+Q757*方案参数!$W$23+Y757*(方案参数!$AN$23+MIN(方案参数!$AO$23,P757*0.03))+AB757*方案参数!$BZ$23*0.025-配置与结果!$B$28+方案参数!$AE$23)</f>
        <v>2.6150000000000002</v>
      </c>
      <c r="AH757" s="1">
        <f>MAX(0,1+V757*方案参数!$U$23+8*方案参数!$V$23+方案参数!$AE$23-配置与结果!$B$29)</f>
        <v>2.04</v>
      </c>
      <c r="AI757" s="1">
        <f>IF(OR(INDEX(配置与结果!$K$15:$K$18,F757)=1,G757="RHI_BERRY"),1+配置与结果!$B$33+P757*方案参数!$AH$23,1)</f>
        <v>1</v>
      </c>
      <c r="AJ757" s="1">
        <f>MIN(1,MAX(0,J757+方案参数!$AB$23-配置与结果!$B$27))</f>
        <v>1</v>
      </c>
      <c r="AK757" s="1">
        <f>MAX(1,K757+IF(F757=2,0.15+方案参数!$CH$23,0)+BN757*方案参数!$X$23+R757*方案参数!$AA$23+方案参数!$BP$23-配置与结果!$B$26+Z757*(方案参数!$AP$23+MIN(方案参数!$AQ$23,P757*0.03)))</f>
        <v>2.7650000000000001</v>
      </c>
      <c r="AL757" s="7">
        <f>ROUNDDOWN(MAX(AD757*配置与结果!$B$31,AD757-AE757)*AF757*AG757*AH757*AI757,0)</f>
        <v>88052</v>
      </c>
      <c r="AM757" s="7">
        <f>ROUNDDOWN(MAX(AD757*配置与结果!$B$31,AD757-AE757)*AF757*AG757*AH757*AI757*AK757,0)</f>
        <v>243466</v>
      </c>
      <c r="AN757" s="7">
        <f t="shared" si="1009"/>
        <v>243466</v>
      </c>
      <c r="AO757" s="7">
        <f>0</f>
        <v>0</v>
      </c>
      <c r="AP757" s="7">
        <f>MAX(0,1+INDEX(配置与结果!$J$15:$J$18,F757)+IF(T757&gt;0,方案参数!$BY$23,0)-配置与结果!$B$30)</f>
        <v>1</v>
      </c>
      <c r="AQ757" s="7">
        <f t="shared" si="1010"/>
        <v>0</v>
      </c>
      <c r="AR757" s="7">
        <f t="shared" si="1011"/>
        <v>0</v>
      </c>
      <c r="AS757" s="7">
        <f t="shared" si="1012"/>
        <v>0</v>
      </c>
      <c r="AT757" s="7">
        <f>IF(U757&gt;0,ROUNDDOWN(AL757*方案参数!$AF$23,0)*(1-AJ757)+ROUNDDOWN(AM757*方案参数!$AF$23,0)*AJ757,0)</f>
        <v>0</v>
      </c>
      <c r="AU757" s="7">
        <f t="shared" si="1013"/>
        <v>243466</v>
      </c>
      <c r="AV757" s="1">
        <f t="shared" si="1014"/>
        <v>2</v>
      </c>
      <c r="AW757" s="1">
        <f t="shared" si="1064"/>
        <v>10</v>
      </c>
      <c r="AX757" s="1">
        <f t="shared" si="1015"/>
        <v>2</v>
      </c>
      <c r="AY757" s="1">
        <f>MIN(20,MAX(0,O757+0+1-0))</f>
        <v>7</v>
      </c>
      <c r="AZ757" s="1">
        <f t="shared" si="1016"/>
        <v>5</v>
      </c>
      <c r="BA757" s="1">
        <f t="shared" si="1055"/>
        <v>5</v>
      </c>
      <c r="BB757" s="1">
        <f t="shared" si="1063"/>
        <v>20</v>
      </c>
      <c r="BC757" s="1">
        <f t="shared" si="1061"/>
        <v>3</v>
      </c>
      <c r="BD757" s="1">
        <f t="shared" si="1042"/>
        <v>0</v>
      </c>
      <c r="BE757" s="1">
        <f>MAX(0,U757-IF(AF757&gt;0,1,0))+0</f>
        <v>0</v>
      </c>
      <c r="BF757" s="1">
        <f t="shared" si="1065"/>
        <v>4</v>
      </c>
      <c r="BG757" s="1">
        <f t="shared" si="1052"/>
        <v>1</v>
      </c>
      <c r="BH757" s="1">
        <f t="shared" si="1036"/>
        <v>1</v>
      </c>
      <c r="BI757" s="1">
        <f t="shared" si="1053"/>
        <v>1</v>
      </c>
      <c r="BJ757" s="1">
        <f t="shared" si="1056"/>
        <v>1</v>
      </c>
      <c r="BK757" s="1">
        <f t="shared" si="1057"/>
        <v>1</v>
      </c>
      <c r="BL757" s="1">
        <f t="shared" si="1062"/>
        <v>1</v>
      </c>
      <c r="BM757" s="1">
        <f t="shared" si="1060"/>
        <v>1</v>
      </c>
      <c r="BN757" s="1">
        <f t="shared" si="1037"/>
        <v>1</v>
      </c>
      <c r="BO757" s="1">
        <f t="shared" si="1038"/>
        <v>1</v>
      </c>
    </row>
    <row r="758" spans="1:67" ht="30.95" customHeight="1">
      <c r="A758" s="1">
        <f>20</f>
        <v>20</v>
      </c>
      <c r="B758" s="1">
        <f>固定流程!A38</f>
        <v>33</v>
      </c>
      <c r="C758" s="1">
        <f>23</f>
        <v>23</v>
      </c>
      <c r="D758" s="1">
        <f>2</f>
        <v>2</v>
      </c>
      <c r="E758" s="1">
        <f>固定流程!C38</f>
        <v>3</v>
      </c>
      <c r="F758" s="1">
        <f>固定流程!G38</f>
        <v>1</v>
      </c>
      <c r="G758" s="1" t="str">
        <f>固定流程!H38</f>
        <v>LILYA_WEAK</v>
      </c>
      <c r="H758" s="1">
        <f>固定流程!F38</f>
        <v>1</v>
      </c>
      <c r="I758" s="1">
        <f>INDEX(配置与结果!$B$15:$B$18,F758)</f>
        <v>2296</v>
      </c>
      <c r="J758" s="1">
        <f>INDEX(配置与结果!$D$15:$D$18,F758)</f>
        <v>0.7</v>
      </c>
      <c r="K758" s="1">
        <f>INDEX(配置与结果!$E$15:$E$18,F758)</f>
        <v>2.0249999999999999</v>
      </c>
      <c r="L758" s="1">
        <f t="shared" si="1049"/>
        <v>2</v>
      </c>
      <c r="M758" s="1">
        <f t="shared" si="1050"/>
        <v>10</v>
      </c>
      <c r="N758" s="1">
        <f t="shared" si="1051"/>
        <v>2</v>
      </c>
      <c r="O758" s="1">
        <f t="shared" si="1043"/>
        <v>7</v>
      </c>
      <c r="P758" s="1">
        <f>MIN(方案参数!$AI$23,AZ757+0+0)</f>
        <v>5</v>
      </c>
      <c r="Q758" s="1">
        <f t="shared" si="1021"/>
        <v>5</v>
      </c>
      <c r="R758" s="1">
        <f t="shared" si="1022"/>
        <v>20</v>
      </c>
      <c r="S758" s="1">
        <f t="shared" si="1023"/>
        <v>3</v>
      </c>
      <c r="T758" s="1">
        <f t="shared" si="1058"/>
        <v>0</v>
      </c>
      <c r="U758" s="1">
        <f t="shared" si="1025"/>
        <v>0</v>
      </c>
      <c r="V758" s="1">
        <f t="shared" si="1026"/>
        <v>4</v>
      </c>
      <c r="W758" s="1">
        <f t="shared" si="1027"/>
        <v>1</v>
      </c>
      <c r="X758" s="1">
        <f t="shared" si="1028"/>
        <v>1</v>
      </c>
      <c r="Y758" s="1">
        <f t="shared" si="1029"/>
        <v>1</v>
      </c>
      <c r="Z758" s="1">
        <f t="shared" si="1030"/>
        <v>1</v>
      </c>
      <c r="AA758" s="1">
        <f t="shared" si="1054"/>
        <v>1</v>
      </c>
      <c r="AB758" s="1">
        <f t="shared" si="1032"/>
        <v>1</v>
      </c>
      <c r="AC758" s="1">
        <f t="shared" si="1059"/>
        <v>1</v>
      </c>
      <c r="AD758" s="1">
        <f>ROUNDDOWN(I758*(1+IF(F758=3,0.05+方案参数!$Y$23+AA758*0.12,IF(F758=4,方案参数!$BZ$23*方案参数!$AS$23,0)))+IF(AND(X758=1,F758&lt;&gt;3),方案参数!$CC$23,0)+AC758*方案参数!$CB$23,0)</f>
        <v>3034</v>
      </c>
      <c r="AE758" s="1">
        <f>IF(OR(F758=1,F758=4),配置与结果!$B$24,配置与结果!$B$25)*MAX(0,1-INDEX(配置与结果!$I$15:$I$18,F758))</f>
        <v>1200</v>
      </c>
      <c r="AF758" s="1">
        <f>方案参数!$BL$23</f>
        <v>9</v>
      </c>
      <c r="AG758" s="1">
        <f>MAX(配置与结果!$B$32,1+INDEX(配置与结果!$F$15:$F$18,F758)+0.08+方案参数!$CD$23+Q758*方案参数!$W$23+Y758*(方案参数!$AN$23+MIN(方案参数!$AO$23,P758*0.03))+AB758*方案参数!$BZ$23*0.025-配置与结果!$B$28+方案参数!$AE$23)</f>
        <v>2.6150000000000002</v>
      </c>
      <c r="AH758" s="1">
        <f>MAX(0,1+V758*方案参数!$U$23+9*方案参数!$V$23+方案参数!$AE$23-配置与结果!$B$29)</f>
        <v>2.1</v>
      </c>
      <c r="AI758" s="1">
        <f>IF(OR(INDEX(配置与结果!$K$15:$K$18,F758)=1,G758="RHI_BERRY"),1+配置与结果!$B$33+P758*方案参数!$AH$23,1)</f>
        <v>1</v>
      </c>
      <c r="AJ758" s="1">
        <f>MIN(1,MAX(0,J758+方案参数!$AB$23-配置与结果!$B$27))</f>
        <v>1</v>
      </c>
      <c r="AK758" s="1">
        <f>MAX(1,K758+IF(F758=2,0.15+方案参数!$CH$23,0)+BN758*方案参数!$X$23+R758*方案参数!$AA$23+方案参数!$BP$23-配置与结果!$B$26+Z758*(方案参数!$AP$23+MIN(方案参数!$AQ$23,P758*0.03)))</f>
        <v>2.7650000000000001</v>
      </c>
      <c r="AL758" s="7">
        <f>ROUNDDOWN(MAX(AD758*配置与结果!$B$31,AD758-AE758)*AF758*AG758*AH758*AI758,0)</f>
        <v>90642</v>
      </c>
      <c r="AM758" s="7">
        <f>ROUNDDOWN(MAX(AD758*配置与结果!$B$31,AD758-AE758)*AF758*AG758*AH758*AI758*AK758,0)</f>
        <v>250627</v>
      </c>
      <c r="AN758" s="7">
        <f t="shared" si="1009"/>
        <v>250627</v>
      </c>
      <c r="AO758" s="7">
        <f>0</f>
        <v>0</v>
      </c>
      <c r="AP758" s="7">
        <f>MAX(0,1+INDEX(配置与结果!$J$15:$J$18,F758)+IF(T758&gt;0,方案参数!$BY$23,0)-配置与结果!$B$30)</f>
        <v>1</v>
      </c>
      <c r="AQ758" s="7">
        <f t="shared" si="1010"/>
        <v>0</v>
      </c>
      <c r="AR758" s="7">
        <f t="shared" si="1011"/>
        <v>0</v>
      </c>
      <c r="AS758" s="7">
        <f t="shared" si="1012"/>
        <v>0</v>
      </c>
      <c r="AT758" s="7">
        <f>IF(U758&gt;0,ROUNDDOWN(AL758*方案参数!$AF$23,0)*(1-AJ758)+ROUNDDOWN(AM758*方案参数!$AF$23,0)*AJ758,0)</f>
        <v>0</v>
      </c>
      <c r="AU758" s="7">
        <f t="shared" si="1013"/>
        <v>250627</v>
      </c>
      <c r="AV758" s="1">
        <f t="shared" si="1014"/>
        <v>2</v>
      </c>
      <c r="AW758" s="1">
        <f t="shared" si="1064"/>
        <v>10</v>
      </c>
      <c r="AX758" s="1">
        <f t="shared" si="1015"/>
        <v>2</v>
      </c>
      <c r="AY758" s="1">
        <f>MIN(20,MAX(0,O758+0+1-0))</f>
        <v>8</v>
      </c>
      <c r="AZ758" s="1">
        <f t="shared" si="1016"/>
        <v>5</v>
      </c>
      <c r="BA758" s="1">
        <f t="shared" si="1055"/>
        <v>5</v>
      </c>
      <c r="BB758" s="1">
        <f t="shared" si="1063"/>
        <v>20</v>
      </c>
      <c r="BC758" s="1">
        <f t="shared" si="1061"/>
        <v>3</v>
      </c>
      <c r="BD758" s="1">
        <f t="shared" si="1042"/>
        <v>0</v>
      </c>
      <c r="BE758" s="1">
        <f>MAX(0,U758-IF(AF758&gt;0,1,0))+0</f>
        <v>0</v>
      </c>
      <c r="BF758" s="1">
        <f t="shared" si="1065"/>
        <v>4</v>
      </c>
      <c r="BG758" s="1">
        <f t="shared" si="1052"/>
        <v>1</v>
      </c>
      <c r="BH758" s="1">
        <f t="shared" si="1036"/>
        <v>1</v>
      </c>
      <c r="BI758" s="1">
        <f t="shared" si="1053"/>
        <v>1</v>
      </c>
      <c r="BJ758" s="1">
        <f t="shared" si="1056"/>
        <v>1</v>
      </c>
      <c r="BK758" s="1">
        <f t="shared" si="1057"/>
        <v>1</v>
      </c>
      <c r="BL758" s="1">
        <f t="shared" si="1062"/>
        <v>1</v>
      </c>
      <c r="BM758" s="1">
        <f t="shared" si="1060"/>
        <v>1</v>
      </c>
      <c r="BN758" s="1">
        <f t="shared" si="1037"/>
        <v>1</v>
      </c>
      <c r="BO758" s="1">
        <f t="shared" si="1038"/>
        <v>1</v>
      </c>
    </row>
    <row r="759" spans="1:67" ht="30.95" customHeight="1">
      <c r="A759" s="1">
        <f>20</f>
        <v>20</v>
      </c>
      <c r="B759" s="1">
        <f>固定流程!A39</f>
        <v>34</v>
      </c>
      <c r="C759" s="1">
        <f>23</f>
        <v>23</v>
      </c>
      <c r="D759" s="1">
        <f>2</f>
        <v>2</v>
      </c>
      <c r="E759" s="1">
        <f>固定流程!C39</f>
        <v>3</v>
      </c>
      <c r="F759" s="1">
        <f>固定流程!G39</f>
        <v>2</v>
      </c>
      <c r="G759" s="1" t="str">
        <f>固定流程!H39</f>
        <v>37_WEAK</v>
      </c>
      <c r="H759" s="1">
        <f>固定流程!F39</f>
        <v>1</v>
      </c>
      <c r="I759" s="1">
        <f>INDEX(配置与结果!$B$15:$B$18,F759)</f>
        <v>2306</v>
      </c>
      <c r="J759" s="1">
        <f>INDEX(配置与结果!$D$15:$D$18,F759)</f>
        <v>0.46</v>
      </c>
      <c r="K759" s="1">
        <f>INDEX(配置与结果!$E$15:$E$18,F759)</f>
        <v>1.9279999999999999</v>
      </c>
      <c r="L759" s="1">
        <f t="shared" si="1049"/>
        <v>2</v>
      </c>
      <c r="M759" s="1">
        <f t="shared" si="1050"/>
        <v>10</v>
      </c>
      <c r="N759" s="1">
        <f t="shared" si="1051"/>
        <v>2</v>
      </c>
      <c r="O759" s="1">
        <f t="shared" si="1043"/>
        <v>8</v>
      </c>
      <c r="P759" s="1">
        <f>MIN(方案参数!$AI$23,AZ758+0+0)</f>
        <v>5</v>
      </c>
      <c r="Q759" s="1">
        <f t="shared" si="1021"/>
        <v>5</v>
      </c>
      <c r="R759" s="1">
        <f t="shared" si="1022"/>
        <v>20</v>
      </c>
      <c r="S759" s="1">
        <f t="shared" si="1023"/>
        <v>3</v>
      </c>
      <c r="T759" s="1">
        <f t="shared" si="1058"/>
        <v>0</v>
      </c>
      <c r="U759" s="1">
        <f t="shared" si="1025"/>
        <v>0</v>
      </c>
      <c r="V759" s="1">
        <f t="shared" si="1026"/>
        <v>4</v>
      </c>
      <c r="W759" s="1">
        <f t="shared" si="1027"/>
        <v>1</v>
      </c>
      <c r="X759" s="1">
        <f t="shared" si="1028"/>
        <v>1</v>
      </c>
      <c r="Y759" s="1">
        <f t="shared" si="1029"/>
        <v>1</v>
      </c>
      <c r="Z759" s="1">
        <f t="shared" si="1030"/>
        <v>1</v>
      </c>
      <c r="AA759" s="1">
        <f t="shared" si="1054"/>
        <v>1</v>
      </c>
      <c r="AB759" s="1">
        <f t="shared" si="1032"/>
        <v>1</v>
      </c>
      <c r="AC759" s="1">
        <f t="shared" si="1059"/>
        <v>1</v>
      </c>
      <c r="AD759" s="1">
        <f>ROUNDDOWN(I759*(1+IF(F759=3,0.05+方案参数!$Y$23+AA759*0.12,IF(F759=4,方案参数!$BZ$23*方案参数!$AS$23,0)))+IF(AND(X759=1,F759&lt;&gt;3),方案参数!$CC$23,0)+AC759*方案参数!$CB$23,0)</f>
        <v>3044</v>
      </c>
      <c r="AE759" s="1">
        <f>IF(OR(F759=1,F759=4),配置与结果!$B$24,配置与结果!$B$25)*MAX(0,1-INDEX(配置与结果!$I$15:$I$18,F759))</f>
        <v>1000</v>
      </c>
      <c r="AF759" s="1">
        <f>方案参数!$CE$23</f>
        <v>8</v>
      </c>
      <c r="AG759" s="1">
        <f>MAX(配置与结果!$B$32,1+INDEX(配置与结果!$F$15:$F$18,F759)+0+Q759*方案参数!$W$23+Y759*(方案参数!$AN$23+MIN(方案参数!$AO$23,P759*0.03))+AB759*方案参数!$BZ$23*0.025-配置与结果!$B$28+方案参数!$AE$23)</f>
        <v>2.2800000000000002</v>
      </c>
      <c r="AH759" s="1">
        <f>MAX(0,1+V759*方案参数!$U$23+方案参数!$AE$23-配置与结果!$B$29)</f>
        <v>1.56</v>
      </c>
      <c r="AI759" s="1">
        <f>IF(OR(INDEX(配置与结果!$K$15:$K$18,F759)=1,G759="RHI_BERRY"),1+配置与结果!$B$33+P759*方案参数!$AH$23,1)</f>
        <v>1</v>
      </c>
      <c r="AJ759" s="1">
        <f>MIN(1,MAX(0,J759+方案参数!$AB$23-配置与结果!$B$27))</f>
        <v>0.76</v>
      </c>
      <c r="AK759" s="1">
        <f>MAX(1,K759+IF(F759=2,0.15+方案参数!$CH$23,0)+BN759*方案参数!$X$23+R759*方案参数!$AA$23+0-配置与结果!$B$26+Z759*(方案参数!$AP$23+MIN(方案参数!$AQ$23,P759*0.03)))</f>
        <v>2.3380000000000001</v>
      </c>
      <c r="AL759" s="7">
        <f>ROUNDDOWN(MAX(AD759*配置与结果!$B$31,AD759-AE759)*AF759*AG759*AH759*AI759,0)</f>
        <v>58160</v>
      </c>
      <c r="AM759" s="7">
        <f>ROUNDDOWN(MAX(AD759*配置与结果!$B$31,AD759-AE759)*AF759*AG759*AH759*AI759*AK759,0)</f>
        <v>135979</v>
      </c>
      <c r="AN759" s="7">
        <f t="shared" si="1009"/>
        <v>117302.44</v>
      </c>
      <c r="AO759" s="7">
        <f>0</f>
        <v>0</v>
      </c>
      <c r="AP759" s="7">
        <f>MAX(0,1+INDEX(配置与结果!$J$15:$J$18,F759)+IF(T759&gt;0,方案参数!$BY$23,0)-配置与结果!$B$30)</f>
        <v>1</v>
      </c>
      <c r="AQ759" s="7">
        <f t="shared" si="1010"/>
        <v>0</v>
      </c>
      <c r="AR759" s="7">
        <f t="shared" si="1011"/>
        <v>0</v>
      </c>
      <c r="AS759" s="7">
        <f t="shared" si="1012"/>
        <v>0</v>
      </c>
      <c r="AT759" s="7">
        <f>IF(U759&gt;0,ROUNDDOWN(AL759*方案参数!$AF$23,0)*(1-AJ759)+ROUNDDOWN(AM759*方案参数!$AF$23,0)*AJ759,0)</f>
        <v>0</v>
      </c>
      <c r="AU759" s="7">
        <f t="shared" si="1013"/>
        <v>117302.44</v>
      </c>
      <c r="AV759" s="1">
        <f t="shared" si="1014"/>
        <v>2</v>
      </c>
      <c r="AW759" s="1">
        <f t="shared" si="1064"/>
        <v>10</v>
      </c>
      <c r="AX759" s="1">
        <f t="shared" si="1015"/>
        <v>2</v>
      </c>
      <c r="AY759" s="1">
        <f>MIN(20,MAX(0,O759+0+0-0))</f>
        <v>8</v>
      </c>
      <c r="AZ759" s="1">
        <f t="shared" si="1016"/>
        <v>5</v>
      </c>
      <c r="BA759" s="1">
        <f t="shared" si="1055"/>
        <v>5</v>
      </c>
      <c r="BB759" s="1">
        <f t="shared" si="1063"/>
        <v>20</v>
      </c>
      <c r="BC759" s="1">
        <f t="shared" si="1061"/>
        <v>3</v>
      </c>
      <c r="BD759" s="1">
        <f t="shared" si="1042"/>
        <v>0</v>
      </c>
      <c r="BE759" s="1">
        <f>MAX(0,U759-IF(AF759&gt;0,1,0))+1</f>
        <v>1</v>
      </c>
      <c r="BF759" s="1">
        <f t="shared" si="1065"/>
        <v>4</v>
      </c>
      <c r="BG759" s="1">
        <f t="shared" si="1052"/>
        <v>1</v>
      </c>
      <c r="BH759" s="1">
        <f t="shared" si="1036"/>
        <v>1</v>
      </c>
      <c r="BI759" s="1">
        <f t="shared" si="1053"/>
        <v>1</v>
      </c>
      <c r="BJ759" s="1">
        <f t="shared" si="1056"/>
        <v>1</v>
      </c>
      <c r="BK759" s="1">
        <f t="shared" si="1057"/>
        <v>1</v>
      </c>
      <c r="BL759" s="1">
        <f t="shared" si="1062"/>
        <v>1</v>
      </c>
      <c r="BM759" s="1">
        <f t="shared" si="1060"/>
        <v>1</v>
      </c>
      <c r="BN759" s="1">
        <f t="shared" si="1037"/>
        <v>1</v>
      </c>
      <c r="BO759" s="1">
        <f t="shared" si="1038"/>
        <v>1</v>
      </c>
    </row>
    <row r="760" spans="1:67" ht="30.95" customHeight="1">
      <c r="A760" s="1">
        <f>20</f>
        <v>20</v>
      </c>
      <c r="B760" s="1">
        <f>固定流程!A40</f>
        <v>35</v>
      </c>
      <c r="C760" s="1">
        <f>23</f>
        <v>23</v>
      </c>
      <c r="D760" s="1">
        <f>2</f>
        <v>2</v>
      </c>
      <c r="E760" s="1">
        <f>固定流程!C40</f>
        <v>3</v>
      </c>
      <c r="F760" s="1">
        <f>固定流程!G40</f>
        <v>2</v>
      </c>
      <c r="G760" s="1" t="str">
        <f>固定流程!H40</f>
        <v>37_WEAK</v>
      </c>
      <c r="H760" s="1">
        <f>固定流程!F40</f>
        <v>1</v>
      </c>
      <c r="I760" s="1">
        <f>INDEX(配置与结果!$B$15:$B$18,F760)</f>
        <v>2306</v>
      </c>
      <c r="J760" s="1">
        <f>INDEX(配置与结果!$D$15:$D$18,F760)</f>
        <v>0.46</v>
      </c>
      <c r="K760" s="1">
        <f>INDEX(配置与结果!$E$15:$E$18,F760)</f>
        <v>1.9279999999999999</v>
      </c>
      <c r="L760" s="1">
        <f t="shared" si="1049"/>
        <v>2</v>
      </c>
      <c r="M760" s="1">
        <f t="shared" si="1050"/>
        <v>10</v>
      </c>
      <c r="N760" s="1">
        <f t="shared" si="1051"/>
        <v>2</v>
      </c>
      <c r="O760" s="1">
        <f t="shared" si="1043"/>
        <v>8</v>
      </c>
      <c r="P760" s="1">
        <f>MIN(方案参数!$AI$23,AZ759+0+0)</f>
        <v>5</v>
      </c>
      <c r="Q760" s="1">
        <f t="shared" si="1021"/>
        <v>5</v>
      </c>
      <c r="R760" s="1">
        <f t="shared" si="1022"/>
        <v>20</v>
      </c>
      <c r="S760" s="1">
        <f t="shared" si="1023"/>
        <v>3</v>
      </c>
      <c r="T760" s="1">
        <f t="shared" si="1058"/>
        <v>0</v>
      </c>
      <c r="U760" s="1">
        <f t="shared" si="1025"/>
        <v>1</v>
      </c>
      <c r="V760" s="1">
        <f t="shared" si="1026"/>
        <v>4</v>
      </c>
      <c r="W760" s="1">
        <f t="shared" si="1027"/>
        <v>1</v>
      </c>
      <c r="X760" s="1">
        <f t="shared" si="1028"/>
        <v>1</v>
      </c>
      <c r="Y760" s="1">
        <f t="shared" si="1029"/>
        <v>1</v>
      </c>
      <c r="Z760" s="1">
        <f t="shared" si="1030"/>
        <v>1</v>
      </c>
      <c r="AA760" s="1">
        <f t="shared" si="1054"/>
        <v>1</v>
      </c>
      <c r="AB760" s="1">
        <f t="shared" si="1032"/>
        <v>1</v>
      </c>
      <c r="AC760" s="1">
        <f t="shared" si="1059"/>
        <v>1</v>
      </c>
      <c r="AD760" s="1">
        <f>ROUNDDOWN(I760*(1+IF(F760=3,0.05+方案参数!$Y$23+AA760*0.12,IF(F760=4,方案参数!$BZ$23*方案参数!$AS$23,0)))+IF(AND(X760=1,F760&lt;&gt;3),方案参数!$CC$23,0)+AC760*方案参数!$CB$23,0)</f>
        <v>3044</v>
      </c>
      <c r="AE760" s="1">
        <f>IF(OR(F760=1,F760=4),配置与结果!$B$24,配置与结果!$B$25)*MAX(0,1-INDEX(配置与结果!$I$15:$I$18,F760))</f>
        <v>1000</v>
      </c>
      <c r="AF760" s="1">
        <f>方案参数!$CE$23</f>
        <v>8</v>
      </c>
      <c r="AG760" s="1">
        <f>MAX(配置与结果!$B$32,1+INDEX(配置与结果!$F$15:$F$18,F760)+0+Q760*方案参数!$W$23+Y760*(方案参数!$AN$23+MIN(方案参数!$AO$23,P760*0.03))+AB760*方案参数!$BZ$23*0.025-配置与结果!$B$28+方案参数!$AE$23)</f>
        <v>2.2800000000000002</v>
      </c>
      <c r="AH760" s="1">
        <f>MAX(0,1+V760*方案参数!$U$23+方案参数!$AE$23-配置与结果!$B$29)</f>
        <v>1.56</v>
      </c>
      <c r="AI760" s="1">
        <f>IF(OR(INDEX(配置与结果!$K$15:$K$18,F760)=1,G760="RHI_BERRY"),1+配置与结果!$B$33+P760*方案参数!$AH$23,1)</f>
        <v>1</v>
      </c>
      <c r="AJ760" s="1">
        <f>MIN(1,MAX(0,J760+方案参数!$AB$23-配置与结果!$B$27))</f>
        <v>0.76</v>
      </c>
      <c r="AK760" s="1">
        <f>MAX(1,K760+IF(F760=2,0.15+方案参数!$CH$23,0)+BN760*方案参数!$X$23+R760*方案参数!$AA$23+0-配置与结果!$B$26+Z760*(方案参数!$AP$23+MIN(方案参数!$AQ$23,P760*0.03)))</f>
        <v>2.3380000000000001</v>
      </c>
      <c r="AL760" s="7">
        <f>ROUNDDOWN(MAX(AD760*配置与结果!$B$31,AD760-AE760)*AF760*AG760*AH760*AI760,0)</f>
        <v>58160</v>
      </c>
      <c r="AM760" s="7">
        <f>ROUNDDOWN(MAX(AD760*配置与结果!$B$31,AD760-AE760)*AF760*AG760*AH760*AI760*AK760,0)</f>
        <v>135979</v>
      </c>
      <c r="AN760" s="7">
        <f t="shared" si="1009"/>
        <v>117302.44</v>
      </c>
      <c r="AO760" s="7">
        <f>0</f>
        <v>0</v>
      </c>
      <c r="AP760" s="7">
        <f>MAX(0,1+INDEX(配置与结果!$J$15:$J$18,F760)+IF(T760&gt;0,方案参数!$BY$23,0)-配置与结果!$B$30)</f>
        <v>1</v>
      </c>
      <c r="AQ760" s="7">
        <f t="shared" si="1010"/>
        <v>0</v>
      </c>
      <c r="AR760" s="7">
        <f t="shared" si="1011"/>
        <v>0</v>
      </c>
      <c r="AS760" s="7">
        <f t="shared" si="1012"/>
        <v>0</v>
      </c>
      <c r="AT760" s="7">
        <f>IF(U760&gt;0,ROUNDDOWN(AL760*方案参数!$AF$23,0)*(1-AJ760)+ROUNDDOWN(AM760*方案参数!$AF$23,0)*AJ760,0)</f>
        <v>46920.520000000004</v>
      </c>
      <c r="AU760" s="7">
        <f t="shared" si="1013"/>
        <v>164222.96000000002</v>
      </c>
      <c r="AV760" s="1">
        <f t="shared" si="1014"/>
        <v>2</v>
      </c>
      <c r="AW760" s="1">
        <f t="shared" si="1064"/>
        <v>10</v>
      </c>
      <c r="AX760" s="1">
        <f t="shared" si="1015"/>
        <v>2</v>
      </c>
      <c r="AY760" s="1">
        <f>MIN(20,MAX(0,O760+0+0-0))</f>
        <v>8</v>
      </c>
      <c r="AZ760" s="1">
        <f t="shared" si="1016"/>
        <v>5</v>
      </c>
      <c r="BA760" s="1">
        <f t="shared" si="1055"/>
        <v>5</v>
      </c>
      <c r="BB760" s="1">
        <f t="shared" si="1063"/>
        <v>20</v>
      </c>
      <c r="BC760" s="1">
        <f t="shared" si="1061"/>
        <v>3</v>
      </c>
      <c r="BD760" s="1">
        <f t="shared" si="1042"/>
        <v>0</v>
      </c>
      <c r="BE760" s="1">
        <f>MAX(0,U760-IF(AF760&gt;0,1,0))+1</f>
        <v>1</v>
      </c>
      <c r="BF760" s="1">
        <f t="shared" si="1065"/>
        <v>4</v>
      </c>
      <c r="BG760" s="1">
        <f t="shared" si="1052"/>
        <v>1</v>
      </c>
      <c r="BH760" s="1">
        <f t="shared" si="1036"/>
        <v>1</v>
      </c>
      <c r="BI760" s="1">
        <f t="shared" si="1053"/>
        <v>1</v>
      </c>
      <c r="BJ760" s="1">
        <f t="shared" si="1056"/>
        <v>1</v>
      </c>
      <c r="BK760" s="1">
        <f t="shared" si="1057"/>
        <v>1</v>
      </c>
      <c r="BL760" s="1">
        <f t="shared" si="1062"/>
        <v>1</v>
      </c>
      <c r="BM760" s="1">
        <f t="shared" si="1060"/>
        <v>1</v>
      </c>
      <c r="BN760" s="1">
        <f t="shared" si="1037"/>
        <v>1</v>
      </c>
      <c r="BO760" s="1">
        <f t="shared" si="1038"/>
        <v>1</v>
      </c>
    </row>
    <row r="761" spans="1:67" ht="30.95" customHeight="1">
      <c r="A761" s="1">
        <f>20</f>
        <v>20</v>
      </c>
      <c r="B761" s="1">
        <f>固定流程!A41</f>
        <v>36</v>
      </c>
      <c r="C761" s="1">
        <f>23</f>
        <v>23</v>
      </c>
      <c r="D761" s="1">
        <f>2</f>
        <v>2</v>
      </c>
      <c r="E761" s="1">
        <f>固定流程!C41</f>
        <v>3</v>
      </c>
      <c r="F761" s="1">
        <f>固定流程!G41</f>
        <v>1</v>
      </c>
      <c r="G761" s="1" t="str">
        <f>固定流程!H41</f>
        <v>LILYA_FINISH</v>
      </c>
      <c r="H761" s="1">
        <f>固定流程!F41</f>
        <v>1</v>
      </c>
      <c r="I761" s="1">
        <f>INDEX(配置与结果!$B$15:$B$18,F761)</f>
        <v>2296</v>
      </c>
      <c r="J761" s="1">
        <f>INDEX(配置与结果!$D$15:$D$18,F761)</f>
        <v>0.7</v>
      </c>
      <c r="K761" s="1">
        <f>INDEX(配置与结果!$E$15:$E$18,F761)</f>
        <v>2.0249999999999999</v>
      </c>
      <c r="L761" s="1">
        <f t="shared" si="1049"/>
        <v>2</v>
      </c>
      <c r="M761" s="1">
        <f t="shared" si="1050"/>
        <v>10</v>
      </c>
      <c r="N761" s="1">
        <f t="shared" si="1051"/>
        <v>2</v>
      </c>
      <c r="O761" s="1">
        <f t="shared" si="1043"/>
        <v>8</v>
      </c>
      <c r="P761" s="1">
        <f>MIN(方案参数!$AI$23,AZ760+0+0)</f>
        <v>5</v>
      </c>
      <c r="Q761" s="1">
        <f t="shared" si="1021"/>
        <v>5</v>
      </c>
      <c r="R761" s="1">
        <f t="shared" si="1022"/>
        <v>20</v>
      </c>
      <c r="S761" s="1">
        <f t="shared" si="1023"/>
        <v>3</v>
      </c>
      <c r="T761" s="1">
        <f t="shared" si="1058"/>
        <v>0</v>
      </c>
      <c r="U761" s="1">
        <f t="shared" si="1025"/>
        <v>1</v>
      </c>
      <c r="V761" s="1">
        <f t="shared" si="1026"/>
        <v>4</v>
      </c>
      <c r="W761" s="1">
        <f t="shared" si="1027"/>
        <v>1</v>
      </c>
      <c r="X761" s="1">
        <f t="shared" si="1028"/>
        <v>1</v>
      </c>
      <c r="Y761" s="1">
        <f t="shared" si="1029"/>
        <v>1</v>
      </c>
      <c r="Z761" s="1">
        <f t="shared" si="1030"/>
        <v>1</v>
      </c>
      <c r="AA761" s="1">
        <f t="shared" si="1054"/>
        <v>1</v>
      </c>
      <c r="AB761" s="1">
        <f t="shared" si="1032"/>
        <v>1</v>
      </c>
      <c r="AC761" s="1">
        <f t="shared" si="1059"/>
        <v>1</v>
      </c>
      <c r="AD761" s="1">
        <f>ROUNDDOWN(I761*(1+IF(F761=3,0.05+方案参数!$Y$23+AA761*0.12,IF(F761=4,方案参数!$BZ$23*方案参数!$AS$23,0)))+IF(AND(X761=1,F761&lt;&gt;3),方案参数!$CC$23,0)+AC761*方案参数!$CB$23,0)</f>
        <v>3034</v>
      </c>
      <c r="AE761" s="1">
        <f>IF(OR(F761=1,F761=4),配置与结果!$B$24,配置与结果!$B$25)*MAX(0,1-INDEX(配置与结果!$I$15:$I$18,F761))</f>
        <v>1200</v>
      </c>
      <c r="AF761" s="1">
        <f>方案参数!$BN$23+12*方案参数!$BO$23</f>
        <v>48</v>
      </c>
      <c r="AG761" s="1">
        <f>MAX(配置与结果!$B$32,1+INDEX(配置与结果!$F$15:$F$18,F761)+0.08+方案参数!$CD$23+Q761*方案参数!$W$23+Y761*(方案参数!$AN$23+MIN(方案参数!$AO$23,P761*0.03))+AB761*方案参数!$BZ$23*0.025-配置与结果!$B$28+方案参数!$AE$23)</f>
        <v>2.6150000000000002</v>
      </c>
      <c r="AH761" s="1">
        <f>MAX(0,1+V761*方案参数!$U$23+12*方案参数!$V$23+方案参数!$AE$23-配置与结果!$B$29)</f>
        <v>2.2799999999999998</v>
      </c>
      <c r="AI761" s="1">
        <f>IF(OR(INDEX(配置与结果!$K$15:$K$18,F761)=1,G761="RHI_BERRY"),1+配置与结果!$B$33+P761*方案参数!$AH$23,1)</f>
        <v>1</v>
      </c>
      <c r="AJ761" s="1">
        <f>MIN(1,MAX(0,J761+方案参数!$AB$23-配置与结果!$B$27))</f>
        <v>1</v>
      </c>
      <c r="AK761" s="1">
        <f>MAX(1,K761+IF(F761=2,0.15+方案参数!$CH$23,0)+BN761*方案参数!$X$23+R761*方案参数!$AA$23+方案参数!$BR$23-配置与结果!$B$26+Z761*(方案参数!$AP$23+MIN(方案参数!$AQ$23,P761*0.03)))</f>
        <v>3.165</v>
      </c>
      <c r="AL761" s="7">
        <f>ROUNDDOWN(MAX(AD761*配置与结果!$B$31,AD761-AE761)*AF761*AG761*AH761*AI761,0)</f>
        <v>524864</v>
      </c>
      <c r="AM761" s="7">
        <f>ROUNDDOWN(MAX(AD761*配置与结果!$B$31,AD761-AE761)*AF761*AG761*AH761*AI761*AK761,0)</f>
        <v>1661195</v>
      </c>
      <c r="AN761" s="7">
        <f t="shared" si="1009"/>
        <v>1661195</v>
      </c>
      <c r="AO761" s="7">
        <f>0</f>
        <v>0</v>
      </c>
      <c r="AP761" s="7">
        <f>MAX(0,1+INDEX(配置与结果!$J$15:$J$18,F761)+IF(T761&gt;0,方案参数!$BY$23,0)-配置与结果!$B$30)</f>
        <v>1</v>
      </c>
      <c r="AQ761" s="7">
        <f t="shared" si="1010"/>
        <v>0</v>
      </c>
      <c r="AR761" s="7">
        <f t="shared" si="1011"/>
        <v>0</v>
      </c>
      <c r="AS761" s="7">
        <f t="shared" si="1012"/>
        <v>0</v>
      </c>
      <c r="AT761" s="7">
        <f>IF(U761&gt;0,ROUNDDOWN(AL761*方案参数!$AF$23,0)*(1-AJ761)+ROUNDDOWN(AM761*方案参数!$AF$23,0)*AJ761,0)</f>
        <v>664478</v>
      </c>
      <c r="AU761" s="7">
        <f t="shared" si="1013"/>
        <v>2325673</v>
      </c>
      <c r="AV761" s="1">
        <f t="shared" si="1014"/>
        <v>2</v>
      </c>
      <c r="AW761" s="1">
        <f t="shared" si="1064"/>
        <v>10</v>
      </c>
      <c r="AX761" s="1">
        <f t="shared" si="1015"/>
        <v>2</v>
      </c>
      <c r="AY761" s="1">
        <f>MIN(20,MAX(0,O761+0+1-0))</f>
        <v>9</v>
      </c>
      <c r="AZ761" s="1">
        <f t="shared" si="1016"/>
        <v>5</v>
      </c>
      <c r="BA761" s="1">
        <f t="shared" si="1055"/>
        <v>5</v>
      </c>
      <c r="BB761" s="1">
        <f t="shared" si="1063"/>
        <v>20</v>
      </c>
      <c r="BC761" s="1">
        <f t="shared" si="1061"/>
        <v>3</v>
      </c>
      <c r="BD761" s="1">
        <f t="shared" si="1042"/>
        <v>0</v>
      </c>
      <c r="BE761" s="1">
        <f>MAX(0,U761-IF(AF761&gt;0,1,0))+0</f>
        <v>0</v>
      </c>
      <c r="BF761" s="1">
        <f t="shared" si="1065"/>
        <v>4</v>
      </c>
      <c r="BG761" s="1">
        <f t="shared" si="1052"/>
        <v>1</v>
      </c>
      <c r="BH761" s="1">
        <f t="shared" si="1036"/>
        <v>1</v>
      </c>
      <c r="BI761" s="1">
        <f t="shared" si="1053"/>
        <v>1</v>
      </c>
      <c r="BJ761" s="1">
        <f t="shared" si="1056"/>
        <v>1</v>
      </c>
      <c r="BK761" s="1">
        <f t="shared" si="1057"/>
        <v>1</v>
      </c>
      <c r="BL761" s="1">
        <f t="shared" si="1062"/>
        <v>1</v>
      </c>
      <c r="BM761" s="1">
        <f t="shared" si="1060"/>
        <v>1</v>
      </c>
      <c r="BN761" s="1">
        <f t="shared" si="1037"/>
        <v>1</v>
      </c>
      <c r="BO761" s="1">
        <f t="shared" si="1038"/>
        <v>1</v>
      </c>
    </row>
    <row r="762" spans="1:67" ht="30.95" customHeight="1">
      <c r="A762" s="1">
        <f>21</f>
        <v>21</v>
      </c>
      <c r="B762" s="1">
        <f>固定流程!A6</f>
        <v>1</v>
      </c>
      <c r="C762" s="1">
        <f>24</f>
        <v>24</v>
      </c>
      <c r="D762" s="1">
        <f>1</f>
        <v>1</v>
      </c>
      <c r="E762" s="1">
        <f>固定流程!C6</f>
        <v>1</v>
      </c>
      <c r="F762" s="1">
        <f>固定流程!G6</f>
        <v>3</v>
      </c>
      <c r="G762" s="1" t="str">
        <f>固定流程!H6</f>
        <v>RHI_ULT</v>
      </c>
      <c r="H762" s="1">
        <f>固定流程!F6</f>
        <v>1</v>
      </c>
      <c r="I762" s="1">
        <f>INDEX(配置与结果!$B$15:$B$18,F762)</f>
        <v>2597</v>
      </c>
      <c r="J762" s="1">
        <f>INDEX(配置与结果!$D$15:$D$18,F762)</f>
        <v>0.255</v>
      </c>
      <c r="K762" s="1">
        <f>INDEX(配置与结果!$E$15:$E$18,F762)</f>
        <v>1.55</v>
      </c>
      <c r="L762" s="1">
        <f>0</f>
        <v>0</v>
      </c>
      <c r="M762" s="1">
        <f>0</f>
        <v>0</v>
      </c>
      <c r="N762" s="1">
        <f>0</f>
        <v>0</v>
      </c>
      <c r="O762" s="1">
        <f>0</f>
        <v>0</v>
      </c>
      <c r="P762" s="1">
        <f>MIN(方案参数!$AI$24,0+方案参数!$AJ$24+0)</f>
        <v>1</v>
      </c>
      <c r="Q762" s="1">
        <f>0</f>
        <v>0</v>
      </c>
      <c r="R762" s="1">
        <f>0</f>
        <v>0</v>
      </c>
      <c r="S762" s="1">
        <f>0</f>
        <v>0</v>
      </c>
      <c r="T762" s="1">
        <f>0+0</f>
        <v>0</v>
      </c>
      <c r="U762" s="1">
        <f>0</f>
        <v>0</v>
      </c>
      <c r="V762" s="1">
        <f>0</f>
        <v>0</v>
      </c>
      <c r="W762" s="1">
        <f>0</f>
        <v>0</v>
      </c>
      <c r="X762" s="1">
        <f>0</f>
        <v>0</v>
      </c>
      <c r="Y762" s="1">
        <f>0</f>
        <v>0</v>
      </c>
      <c r="Z762" s="1">
        <f>0</f>
        <v>0</v>
      </c>
      <c r="AA762" s="1">
        <f>MAX(0,0)</f>
        <v>0</v>
      </c>
      <c r="AB762" s="1">
        <f>0</f>
        <v>0</v>
      </c>
      <c r="AC762" s="1">
        <f>MAX(0,0)</f>
        <v>0</v>
      </c>
      <c r="AD762" s="1">
        <f>ROUNDDOWN(I762*(1+IF(F762=3,0.05+方案参数!$Y$24+AA762*0.12,IF(F762=4,方案参数!$BZ$24*方案参数!$AS$24,0)))+IF(AND(X762=1,F762&lt;&gt;3),方案参数!$CC$24,0)+AC762*方案参数!$CB$24,0)</f>
        <v>2986</v>
      </c>
      <c r="AE762" s="1">
        <f>IF(OR(F762=1,F762=4),配置与结果!$B$24,配置与结果!$B$25)*MAX(0,1-INDEX(配置与结果!$I$15:$I$18,F762))</f>
        <v>1000</v>
      </c>
      <c r="AF762" s="1">
        <f>0</f>
        <v>0</v>
      </c>
      <c r="AG762" s="1">
        <f>MAX(配置与结果!$B$32,1+INDEX(配置与结果!$F$15:$F$18,F762)+0+Q762*方案参数!$W$24+Y762*(方案参数!$AN$24+MIN(方案参数!$AO$24,P762*0.03))+AB762*方案参数!$BZ$24*0.025-配置与结果!$B$28)</f>
        <v>0.6349999999999999</v>
      </c>
      <c r="AH762" s="1">
        <f>MAX(0,1+INDEX(配置与结果!$G$15:$G$18,F762)+W762*方案参数!$AG$24)</f>
        <v>1</v>
      </c>
      <c r="AI762" s="1">
        <f>IF(OR(INDEX(配置与结果!$K$15:$K$18,F762)=1,G762="RHI_BERRY"),1+配置与结果!$B$33+P762*方案参数!$AH$24,1)</f>
        <v>1</v>
      </c>
      <c r="AJ762" s="1">
        <f>MIN(1,MAX(0,J762+方案参数!$AB$24-配置与结果!$B$27))</f>
        <v>0.55499999999999994</v>
      </c>
      <c r="AK762" s="1">
        <f>MAX(1,K762+IF(F762=2,0.15+方案参数!$CH$24,0)+BN762*方案参数!$X$24+R762*方案参数!$AA$24+0-配置与结果!$B$26+Z762*(方案参数!$AP$24+MIN(方案参数!$AQ$24,P762*0.03)))</f>
        <v>1.1499999999999999</v>
      </c>
      <c r="AL762" s="7">
        <f>ROUNDDOWN(MAX(AD762*配置与结果!$B$31,AD762-AE762)*AF762*AG762*AH762*AI762,0)</f>
        <v>0</v>
      </c>
      <c r="AM762" s="7">
        <f>ROUNDDOWN(MAX(AD762*配置与结果!$B$31,AD762-AE762)*AF762*AG762*AH762*AI762*AK762,0)</f>
        <v>0</v>
      </c>
      <c r="AN762" s="7">
        <f t="shared" si="1009"/>
        <v>0</v>
      </c>
      <c r="AO762" s="7">
        <f>0</f>
        <v>0</v>
      </c>
      <c r="AP762" s="7">
        <f>MAX(0,1+INDEX(配置与结果!$J$15:$J$18,F762)+IF(T762&gt;0,方案参数!$BY$24,0)-配置与结果!$B$30)</f>
        <v>1</v>
      </c>
      <c r="AQ762" s="7">
        <f t="shared" si="1010"/>
        <v>0</v>
      </c>
      <c r="AR762" s="7">
        <f t="shared" si="1011"/>
        <v>0</v>
      </c>
      <c r="AS762" s="7">
        <f t="shared" si="1012"/>
        <v>0</v>
      </c>
      <c r="AT762" s="7">
        <f>0</f>
        <v>0</v>
      </c>
      <c r="AU762" s="7">
        <f t="shared" si="1013"/>
        <v>0</v>
      </c>
      <c r="AV762" s="1">
        <f t="shared" si="1014"/>
        <v>0</v>
      </c>
      <c r="AW762" s="1">
        <f t="shared" si="1064"/>
        <v>0</v>
      </c>
      <c r="AX762" s="1">
        <f t="shared" si="1015"/>
        <v>0</v>
      </c>
      <c r="AY762" s="1">
        <f>MIN(20,MAX(0,O762+0+0-0))</f>
        <v>0</v>
      </c>
      <c r="AZ762" s="1">
        <f t="shared" si="1016"/>
        <v>1</v>
      </c>
      <c r="BA762" s="1">
        <f>MIN(6,Q762+1)</f>
        <v>1</v>
      </c>
      <c r="BB762" s="1">
        <f>MIN(30,R762+5)</f>
        <v>5</v>
      </c>
      <c r="BC762" s="1">
        <f t="shared" si="1061"/>
        <v>0</v>
      </c>
      <c r="BD762" s="1">
        <f t="shared" si="1042"/>
        <v>0</v>
      </c>
      <c r="BE762" s="1">
        <f>0</f>
        <v>0</v>
      </c>
      <c r="BF762" s="1">
        <f t="shared" si="1065"/>
        <v>0</v>
      </c>
      <c r="BG762" s="1">
        <f t="shared" si="1052"/>
        <v>0</v>
      </c>
      <c r="BH762" s="1">
        <f>MAX(X762,1)</f>
        <v>1</v>
      </c>
      <c r="BI762" s="1">
        <f t="shared" si="1053"/>
        <v>0</v>
      </c>
      <c r="BJ762" s="1">
        <f t="shared" si="1056"/>
        <v>0</v>
      </c>
      <c r="BK762" s="1">
        <f t="shared" si="1057"/>
        <v>0</v>
      </c>
      <c r="BL762" s="1">
        <f t="shared" si="1062"/>
        <v>0</v>
      </c>
      <c r="BM762" s="1">
        <f t="shared" si="1060"/>
        <v>0</v>
      </c>
      <c r="BN762" s="1">
        <f>0</f>
        <v>0</v>
      </c>
      <c r="BO762" s="1">
        <f>MAX(BN762,1)</f>
        <v>1</v>
      </c>
    </row>
    <row r="763" spans="1:67" ht="30.95" customHeight="1">
      <c r="A763" s="1">
        <f>21</f>
        <v>21</v>
      </c>
      <c r="B763" s="1">
        <f>固定流程!A7</f>
        <v>2</v>
      </c>
      <c r="C763" s="1">
        <f>24</f>
        <v>24</v>
      </c>
      <c r="D763" s="1">
        <f>1</f>
        <v>1</v>
      </c>
      <c r="E763" s="1">
        <f>固定流程!C7</f>
        <v>1</v>
      </c>
      <c r="F763" s="1">
        <f>固定流程!G7</f>
        <v>3</v>
      </c>
      <c r="G763" s="1" t="str">
        <f>固定流程!H7</f>
        <v>RHI_BUFF</v>
      </c>
      <c r="H763" s="1">
        <f>固定流程!F7</f>
        <v>1</v>
      </c>
      <c r="I763" s="1">
        <f>INDEX(配置与结果!$B$15:$B$18,F763)</f>
        <v>2597</v>
      </c>
      <c r="J763" s="1">
        <f>INDEX(配置与结果!$D$15:$D$18,F763)</f>
        <v>0.255</v>
      </c>
      <c r="K763" s="1">
        <f>INDEX(配置与结果!$E$15:$E$18,F763)</f>
        <v>1.55</v>
      </c>
      <c r="L763" s="1">
        <f t="shared" ref="L763:O768" si="1066">AV762</f>
        <v>0</v>
      </c>
      <c r="M763" s="1">
        <f t="shared" si="1066"/>
        <v>0</v>
      </c>
      <c r="N763" s="1">
        <f t="shared" si="1066"/>
        <v>0</v>
      </c>
      <c r="O763" s="1">
        <f t="shared" si="1066"/>
        <v>0</v>
      </c>
      <c r="P763" s="1">
        <f>MIN(方案参数!$AI$24,AZ762+0+方案参数!$AK$24)</f>
        <v>3</v>
      </c>
      <c r="Q763" s="1">
        <f t="shared" ref="Q763:Q797" si="1067">BA762</f>
        <v>1</v>
      </c>
      <c r="R763" s="1">
        <f t="shared" ref="R763:R797" si="1068">BB762</f>
        <v>5</v>
      </c>
      <c r="S763" s="1">
        <f t="shared" ref="S763:S797" si="1069">BC762</f>
        <v>0</v>
      </c>
      <c r="T763" s="1">
        <f t="shared" ref="T763:T776" si="1070">BD762+0</f>
        <v>0</v>
      </c>
      <c r="U763" s="1">
        <f t="shared" ref="U763:U797" si="1071">BE762</f>
        <v>0</v>
      </c>
      <c r="V763" s="1">
        <f t="shared" ref="V763:V797" si="1072">BF762</f>
        <v>0</v>
      </c>
      <c r="W763" s="1">
        <f t="shared" ref="W763:W797" si="1073">BG762</f>
        <v>0</v>
      </c>
      <c r="X763" s="1">
        <f t="shared" ref="X763:X797" si="1074">BH762</f>
        <v>1</v>
      </c>
      <c r="Y763" s="1">
        <f t="shared" ref="Y763:Y797" si="1075">BI762</f>
        <v>0</v>
      </c>
      <c r="Z763" s="1">
        <f t="shared" ref="Z763:Z797" si="1076">BJ762</f>
        <v>0</v>
      </c>
      <c r="AA763" s="1">
        <f t="shared" ref="AA763:AA768" si="1077">MAX(BK762,0)</f>
        <v>0</v>
      </c>
      <c r="AB763" s="1">
        <f t="shared" ref="AB763:AB797" si="1078">BL762</f>
        <v>0</v>
      </c>
      <c r="AC763" s="1">
        <f t="shared" ref="AC763:AC776" si="1079">MAX(BM762,0)</f>
        <v>0</v>
      </c>
      <c r="AD763" s="1">
        <f>ROUNDDOWN(I763*(1+IF(F763=3,0.05+方案参数!$Y$24+AA763*0.12,IF(F763=4,方案参数!$BZ$24*方案参数!$AS$24,0)))+IF(AND(X763=1,F763&lt;&gt;3),方案参数!$CC$24,0)+AC763*方案参数!$CB$24,0)</f>
        <v>2986</v>
      </c>
      <c r="AE763" s="1">
        <f>IF(OR(F763=1,F763=4),配置与结果!$B$24,配置与结果!$B$25)*MAX(0,1-INDEX(配置与结果!$I$15:$I$18,F763))</f>
        <v>1000</v>
      </c>
      <c r="AF763" s="1">
        <f>0</f>
        <v>0</v>
      </c>
      <c r="AG763" s="1">
        <f>MAX(配置与结果!$B$32,1+INDEX(配置与结果!$F$15:$F$18,F763)+0+Q763*方案参数!$W$24+Y763*(方案参数!$AN$24+MIN(方案参数!$AO$24,P763*0.03))+AB763*方案参数!$BZ$24*0.025-配置与结果!$B$28)</f>
        <v>0.65499999999999992</v>
      </c>
      <c r="AH763" s="1">
        <f>MAX(0,1+INDEX(配置与结果!$G$15:$G$18,F763)+W763*方案参数!$AG$24)</f>
        <v>1</v>
      </c>
      <c r="AI763" s="1">
        <f>IF(OR(INDEX(配置与结果!$K$15:$K$18,F763)=1,G763="RHI_BERRY"),1+配置与结果!$B$33+P763*方案参数!$AH$24,1)</f>
        <v>1</v>
      </c>
      <c r="AJ763" s="1">
        <f>MIN(1,MAX(0,J763+方案参数!$AB$24-配置与结果!$B$27))</f>
        <v>0.55499999999999994</v>
      </c>
      <c r="AK763" s="1">
        <f>MAX(1,K763+IF(F763=2,0.15+方案参数!$CH$24,0)+BN763*方案参数!$X$24+R763*方案参数!$AA$24+0-配置与结果!$B$26+Z763*(方案参数!$AP$24+MIN(方案参数!$AQ$24,P763*0.03)))</f>
        <v>1.33</v>
      </c>
      <c r="AL763" s="7">
        <f>ROUNDDOWN(MAX(AD763*配置与结果!$B$31,AD763-AE763)*AF763*AG763*AH763*AI763,0)</f>
        <v>0</v>
      </c>
      <c r="AM763" s="7">
        <f>ROUNDDOWN(MAX(AD763*配置与结果!$B$31,AD763-AE763)*AF763*AG763*AH763*AI763*AK763,0)</f>
        <v>0</v>
      </c>
      <c r="AN763" s="7">
        <f t="shared" si="1009"/>
        <v>0</v>
      </c>
      <c r="AO763" s="7">
        <f>0</f>
        <v>0</v>
      </c>
      <c r="AP763" s="7">
        <f>MAX(0,1+INDEX(配置与结果!$J$15:$J$18,F763)+IF(T763&gt;0,方案参数!$BY$24,0)-配置与结果!$B$30)</f>
        <v>1</v>
      </c>
      <c r="AQ763" s="7">
        <f t="shared" si="1010"/>
        <v>0</v>
      </c>
      <c r="AR763" s="7">
        <f t="shared" si="1011"/>
        <v>0</v>
      </c>
      <c r="AS763" s="7">
        <f t="shared" si="1012"/>
        <v>0</v>
      </c>
      <c r="AT763" s="7">
        <f>0</f>
        <v>0</v>
      </c>
      <c r="AU763" s="7">
        <f t="shared" si="1013"/>
        <v>0</v>
      </c>
      <c r="AV763" s="1">
        <f t="shared" si="1014"/>
        <v>0</v>
      </c>
      <c r="AW763" s="1">
        <f t="shared" si="1064"/>
        <v>0</v>
      </c>
      <c r="AX763" s="1">
        <f t="shared" si="1015"/>
        <v>0</v>
      </c>
      <c r="AY763" s="1">
        <f>MIN(20,MAX(0,O763+0+0-0))</f>
        <v>0</v>
      </c>
      <c r="AZ763" s="1">
        <f t="shared" si="1016"/>
        <v>3</v>
      </c>
      <c r="BA763" s="1">
        <f>MIN(6,Q763+1)</f>
        <v>2</v>
      </c>
      <c r="BB763" s="1">
        <f t="shared" ref="BB763:BB776" si="1080">MIN(30,R763+0)</f>
        <v>5</v>
      </c>
      <c r="BC763" s="1">
        <f t="shared" si="1061"/>
        <v>0</v>
      </c>
      <c r="BD763" s="1">
        <f t="shared" si="1042"/>
        <v>0</v>
      </c>
      <c r="BE763" s="1">
        <f t="shared" ref="BE763:BE784" si="1081">BE762</f>
        <v>0</v>
      </c>
      <c r="BF763" s="1">
        <f t="shared" si="1065"/>
        <v>0</v>
      </c>
      <c r="BG763" s="1">
        <f>MAX(W763,1)</f>
        <v>1</v>
      </c>
      <c r="BH763" s="1">
        <f t="shared" ref="BH763:BH797" si="1082">MAX(X763,0)</f>
        <v>1</v>
      </c>
      <c r="BI763" s="1">
        <f>MAX(Y763,1)</f>
        <v>1</v>
      </c>
      <c r="BJ763" s="1">
        <f t="shared" si="1056"/>
        <v>0</v>
      </c>
      <c r="BK763" s="1">
        <f t="shared" si="1057"/>
        <v>0</v>
      </c>
      <c r="BL763" s="1">
        <f t="shared" si="1062"/>
        <v>0</v>
      </c>
      <c r="BM763" s="1">
        <f t="shared" si="1060"/>
        <v>0</v>
      </c>
      <c r="BN763" s="1">
        <f t="shared" ref="BN763:BN797" si="1083">BO762</f>
        <v>1</v>
      </c>
      <c r="BO763" s="1">
        <f t="shared" ref="BO763:BO797" si="1084">MAX(BN763,0)</f>
        <v>1</v>
      </c>
    </row>
    <row r="764" spans="1:67" ht="30.95" customHeight="1">
      <c r="A764" s="1">
        <f>21</f>
        <v>21</v>
      </c>
      <c r="B764" s="1">
        <f>固定流程!A8</f>
        <v>3</v>
      </c>
      <c r="C764" s="1">
        <f>24</f>
        <v>24</v>
      </c>
      <c r="D764" s="1">
        <f>1</f>
        <v>1</v>
      </c>
      <c r="E764" s="1">
        <f>固定流程!C8</f>
        <v>1</v>
      </c>
      <c r="F764" s="1">
        <f>固定流程!G8</f>
        <v>1</v>
      </c>
      <c r="G764" s="1" t="str">
        <f>固定流程!H8</f>
        <v>LILYA_COBRA</v>
      </c>
      <c r="H764" s="1">
        <f>固定流程!F8</f>
        <v>1</v>
      </c>
      <c r="I764" s="1">
        <f>INDEX(配置与结果!$B$15:$B$18,F764)</f>
        <v>2296</v>
      </c>
      <c r="J764" s="1">
        <f>INDEX(配置与结果!$D$15:$D$18,F764)</f>
        <v>0.7</v>
      </c>
      <c r="K764" s="1">
        <f>INDEX(配置与结果!$E$15:$E$18,F764)</f>
        <v>2.0249999999999999</v>
      </c>
      <c r="L764" s="1">
        <f t="shared" si="1066"/>
        <v>0</v>
      </c>
      <c r="M764" s="1">
        <f t="shared" si="1066"/>
        <v>0</v>
      </c>
      <c r="N764" s="1">
        <f t="shared" si="1066"/>
        <v>0</v>
      </c>
      <c r="O764" s="1">
        <f t="shared" si="1066"/>
        <v>0</v>
      </c>
      <c r="P764" s="1">
        <f>MIN(方案参数!$AI$24,AZ763+0+0)</f>
        <v>3</v>
      </c>
      <c r="Q764" s="1">
        <f t="shared" si="1067"/>
        <v>2</v>
      </c>
      <c r="R764" s="1">
        <f t="shared" si="1068"/>
        <v>5</v>
      </c>
      <c r="S764" s="1">
        <f t="shared" si="1069"/>
        <v>0</v>
      </c>
      <c r="T764" s="1">
        <f t="shared" si="1070"/>
        <v>0</v>
      </c>
      <c r="U764" s="1">
        <f t="shared" si="1071"/>
        <v>0</v>
      </c>
      <c r="V764" s="1">
        <f t="shared" si="1072"/>
        <v>0</v>
      </c>
      <c r="W764" s="1">
        <f t="shared" si="1073"/>
        <v>1</v>
      </c>
      <c r="X764" s="1">
        <f t="shared" si="1074"/>
        <v>1</v>
      </c>
      <c r="Y764" s="1">
        <f t="shared" si="1075"/>
        <v>1</v>
      </c>
      <c r="Z764" s="1">
        <f t="shared" si="1076"/>
        <v>0</v>
      </c>
      <c r="AA764" s="1">
        <f t="shared" si="1077"/>
        <v>0</v>
      </c>
      <c r="AB764" s="1">
        <f t="shared" si="1078"/>
        <v>0</v>
      </c>
      <c r="AC764" s="1">
        <f t="shared" si="1079"/>
        <v>0</v>
      </c>
      <c r="AD764" s="1">
        <f>ROUNDDOWN(I764*(1+IF(F764=3,0.05+方案参数!$Y$24+AA764*0.12,IF(F764=4,方案参数!$BZ$24*方案参数!$AS$24,0)))+IF(AND(X764=1,F764&lt;&gt;3),方案参数!$CC$24,0)+AC764*方案参数!$CB$24,0)</f>
        <v>2534</v>
      </c>
      <c r="AE764" s="1">
        <f>IF(OR(F764=1,F764=4),配置与结果!$B$24,配置与结果!$B$25)*MAX(0,1-INDEX(配置与结果!$I$15:$I$18,F764))</f>
        <v>1200</v>
      </c>
      <c r="AF764" s="1">
        <f>0</f>
        <v>0</v>
      </c>
      <c r="AG764" s="1">
        <f>MAX(配置与结果!$B$32,1+INDEX(配置与结果!$F$15:$F$18,F764)+0.08+方案参数!$CD$24+Q764*方案参数!$W$24+Y764*(方案参数!$AN$24+MIN(方案参数!$AO$24,P764*0.03))+AB764*方案参数!$BZ$24*0.025-配置与结果!$B$28)</f>
        <v>1.2200000000000002</v>
      </c>
      <c r="AH764" s="1">
        <f>MAX(0,1+INDEX(配置与结果!$G$15:$G$18,F764)+W764*方案参数!$AG$24)</f>
        <v>1.3</v>
      </c>
      <c r="AI764" s="1">
        <f>IF(OR(INDEX(配置与结果!$K$15:$K$18,F764)=1,G764="RHI_BERRY"),1+配置与结果!$B$33+P764*方案参数!$AH$24,1)</f>
        <v>1</v>
      </c>
      <c r="AJ764" s="1">
        <f>MIN(1,MAX(0,J764+方案参数!$AB$24-配置与结果!$B$27))</f>
        <v>1</v>
      </c>
      <c r="AK764" s="1">
        <f>MAX(1,K764+IF(F764=2,0.15+方案参数!$CH$24,0)+BN764*方案参数!$X$24+R764*方案参数!$AA$24+0-配置与结果!$B$26+Z764*(方案参数!$AP$24+MIN(方案参数!$AQ$24,P764*0.03)))</f>
        <v>1.8050000000000002</v>
      </c>
      <c r="AL764" s="7">
        <f>ROUNDDOWN(MAX(AD764*配置与结果!$B$31,AD764-AE764)*AF764*AG764*AH764*AI764,0)</f>
        <v>0</v>
      </c>
      <c r="AM764" s="7">
        <f>ROUNDDOWN(MAX(AD764*配置与结果!$B$31,AD764-AE764)*AF764*AG764*AH764*AI764*AK764,0)</f>
        <v>0</v>
      </c>
      <c r="AN764" s="7">
        <f t="shared" si="1009"/>
        <v>0</v>
      </c>
      <c r="AO764" s="7">
        <f>0</f>
        <v>0</v>
      </c>
      <c r="AP764" s="7">
        <f>MAX(0,1+INDEX(配置与结果!$J$15:$J$18,F764)+IF(T764&gt;0,方案参数!$BY$24,0)-配置与结果!$B$30)</f>
        <v>1</v>
      </c>
      <c r="AQ764" s="7">
        <f t="shared" si="1010"/>
        <v>0</v>
      </c>
      <c r="AR764" s="7">
        <f t="shared" si="1011"/>
        <v>0</v>
      </c>
      <c r="AS764" s="7">
        <f t="shared" si="1012"/>
        <v>0</v>
      </c>
      <c r="AT764" s="7">
        <f>0</f>
        <v>0</v>
      </c>
      <c r="AU764" s="7">
        <f t="shared" si="1013"/>
        <v>0</v>
      </c>
      <c r="AV764" s="1">
        <f t="shared" si="1014"/>
        <v>1</v>
      </c>
      <c r="AW764" s="1">
        <f>MIN(10,M764+方案参数!$BD$24+0)</f>
        <v>3</v>
      </c>
      <c r="AX764" s="1">
        <f t="shared" si="1015"/>
        <v>0</v>
      </c>
      <c r="AY764" s="1">
        <f>MIN(20,MAX(0,O764+6+0-0))</f>
        <v>6</v>
      </c>
      <c r="AZ764" s="1">
        <f t="shared" si="1016"/>
        <v>3</v>
      </c>
      <c r="BA764" s="1">
        <f>MIN(6,Q764+0)</f>
        <v>2</v>
      </c>
      <c r="BB764" s="1">
        <f t="shared" si="1080"/>
        <v>5</v>
      </c>
      <c r="BC764" s="1">
        <f t="shared" si="1061"/>
        <v>0</v>
      </c>
      <c r="BD764" s="1">
        <f t="shared" si="1042"/>
        <v>0</v>
      </c>
      <c r="BE764" s="1">
        <f t="shared" si="1081"/>
        <v>0</v>
      </c>
      <c r="BF764" s="1">
        <f t="shared" si="1065"/>
        <v>0</v>
      </c>
      <c r="BG764" s="1">
        <f t="shared" ref="BG764:BG774" si="1085">MAX(W764,0)</f>
        <v>1</v>
      </c>
      <c r="BH764" s="1">
        <f t="shared" si="1082"/>
        <v>1</v>
      </c>
      <c r="BI764" s="1">
        <f t="shared" ref="BI764:BI774" si="1086">MAX(Y764,0)</f>
        <v>1</v>
      </c>
      <c r="BJ764" s="1">
        <f t="shared" si="1056"/>
        <v>0</v>
      </c>
      <c r="BK764" s="1">
        <f t="shared" si="1057"/>
        <v>0</v>
      </c>
      <c r="BL764" s="1">
        <f t="shared" si="1062"/>
        <v>0</v>
      </c>
      <c r="BM764" s="1">
        <f t="shared" si="1060"/>
        <v>0</v>
      </c>
      <c r="BN764" s="1">
        <f t="shared" si="1083"/>
        <v>1</v>
      </c>
      <c r="BO764" s="1">
        <f t="shared" si="1084"/>
        <v>1</v>
      </c>
    </row>
    <row r="765" spans="1:67" ht="30.95" customHeight="1">
      <c r="A765" s="1">
        <f>21</f>
        <v>21</v>
      </c>
      <c r="B765" s="1">
        <f>固定流程!A9</f>
        <v>4</v>
      </c>
      <c r="C765" s="1">
        <f>24</f>
        <v>24</v>
      </c>
      <c r="D765" s="1">
        <f>1</f>
        <v>1</v>
      </c>
      <c r="E765" s="1">
        <f>固定流程!C9</f>
        <v>1</v>
      </c>
      <c r="F765" s="1">
        <f>固定流程!G9</f>
        <v>1</v>
      </c>
      <c r="G765" s="1" t="str">
        <f>固定流程!H9</f>
        <v>LILYA_DIVE</v>
      </c>
      <c r="H765" s="1">
        <f>固定流程!F9</f>
        <v>1</v>
      </c>
      <c r="I765" s="1">
        <f>INDEX(配置与结果!$B$15:$B$18,F765)</f>
        <v>2296</v>
      </c>
      <c r="J765" s="1">
        <f>INDEX(配置与结果!$D$15:$D$18,F765)</f>
        <v>0.7</v>
      </c>
      <c r="K765" s="1">
        <f>INDEX(配置与结果!$E$15:$E$18,F765)</f>
        <v>2.0249999999999999</v>
      </c>
      <c r="L765" s="1">
        <f t="shared" si="1066"/>
        <v>1</v>
      </c>
      <c r="M765" s="1">
        <f t="shared" si="1066"/>
        <v>3</v>
      </c>
      <c r="N765" s="1">
        <f t="shared" si="1066"/>
        <v>0</v>
      </c>
      <c r="O765" s="1">
        <f t="shared" si="1066"/>
        <v>6</v>
      </c>
      <c r="P765" s="1">
        <f>MIN(方案参数!$AI$24,AZ764+0+0)</f>
        <v>3</v>
      </c>
      <c r="Q765" s="1">
        <f t="shared" si="1067"/>
        <v>2</v>
      </c>
      <c r="R765" s="1">
        <f t="shared" si="1068"/>
        <v>5</v>
      </c>
      <c r="S765" s="1">
        <f t="shared" si="1069"/>
        <v>0</v>
      </c>
      <c r="T765" s="1">
        <f t="shared" si="1070"/>
        <v>0</v>
      </c>
      <c r="U765" s="1">
        <f t="shared" si="1071"/>
        <v>0</v>
      </c>
      <c r="V765" s="1">
        <f t="shared" si="1072"/>
        <v>0</v>
      </c>
      <c r="W765" s="1">
        <f t="shared" si="1073"/>
        <v>1</v>
      </c>
      <c r="X765" s="1">
        <f t="shared" si="1074"/>
        <v>1</v>
      </c>
      <c r="Y765" s="1">
        <f t="shared" si="1075"/>
        <v>1</v>
      </c>
      <c r="Z765" s="1">
        <f t="shared" si="1076"/>
        <v>0</v>
      </c>
      <c r="AA765" s="1">
        <f t="shared" si="1077"/>
        <v>0</v>
      </c>
      <c r="AB765" s="1">
        <f t="shared" si="1078"/>
        <v>0</v>
      </c>
      <c r="AC765" s="1">
        <f t="shared" si="1079"/>
        <v>0</v>
      </c>
      <c r="AD765" s="1">
        <f>ROUNDDOWN(I765*(1+IF(F765=3,0.05+方案参数!$Y$24+AA765*0.12,IF(F765=4,方案参数!$BZ$24*方案参数!$AS$24,0)))+IF(AND(X765=1,F765&lt;&gt;3),方案参数!$CC$24,0)+AC765*方案参数!$CB$24,0)</f>
        <v>2534</v>
      </c>
      <c r="AE765" s="1">
        <f>IF(OR(F765=1,F765=4),配置与结果!$B$24,配置与结果!$B$25)*MAX(0,1-INDEX(配置与结果!$I$15:$I$18,F765))</f>
        <v>1200</v>
      </c>
      <c r="AF765" s="1">
        <f>(IF(L765=1,方案参数!$AW$24,IF(L765=2,方案参数!$AX$24,0))+方案参数!$AV$24)*H765</f>
        <v>6</v>
      </c>
      <c r="AG765" s="1">
        <f>MAX(配置与结果!$B$32,1+INDEX(配置与结果!$F$15:$F$18,F765)+0.08+方案参数!$CD$24+Q765*方案参数!$W$24+Y765*(方案参数!$AN$24+MIN(方案参数!$AO$24,P765*0.03))+AB765*方案参数!$BZ$24*0.025+IF(L765=1,方案参数!$AY$24+(H765-1)*0.1,IF(L765=2,方案参数!$AZ$24+(H765-1)*0.2,0))-配置与结果!$B$28)</f>
        <v>1.3200000000000003</v>
      </c>
      <c r="AH765" s="1">
        <f>MAX(0,1+INDEX(配置与结果!$G$15:$G$18,F765)+W765*方案参数!$AG$24+IF(L765=1,方案参数!$BA$24,IF(L765=2,方案参数!$BB$24,0))+M765*方案参数!$BC$24)</f>
        <v>2.08</v>
      </c>
      <c r="AI765" s="1">
        <f>IF(OR(INDEX(配置与结果!$K$15:$K$18,F765)=1,G765="RHI_BERRY"),1+配置与结果!$B$33+P765*方案参数!$AH$24,1)</f>
        <v>1</v>
      </c>
      <c r="AJ765" s="1">
        <f>MIN(1,MAX(0,J765+方案参数!$AB$24-配置与结果!$B$27))</f>
        <v>1</v>
      </c>
      <c r="AK765" s="1">
        <f>MAX(1,K765+IF(F765=2,0.15+方案参数!$CH$24,0)+BN765*方案参数!$X$24+R765*方案参数!$AA$24+0-配置与结果!$B$26+Z765*(方案参数!$AP$24+MIN(方案参数!$AQ$24,P765*0.03)))</f>
        <v>1.8050000000000002</v>
      </c>
      <c r="AL765" s="7">
        <f>ROUNDDOWN(MAX(AD765*配置与结果!$B$31,AD765-AE765)*AF765*AG765*AH765*AI765,0)</f>
        <v>21975</v>
      </c>
      <c r="AM765" s="7">
        <f>ROUNDDOWN(MAX(AD765*配置与结果!$B$31,AD765-AE765)*AF765*AG765*AH765*AI765*AK765,0)</f>
        <v>39666</v>
      </c>
      <c r="AN765" s="7">
        <f t="shared" si="1009"/>
        <v>39666</v>
      </c>
      <c r="AO765" s="7">
        <f>0</f>
        <v>0</v>
      </c>
      <c r="AP765" s="7">
        <f>MAX(0,1+INDEX(配置与结果!$J$15:$J$18,F765)+IF(T765&gt;0,方案参数!$BY$24,0)-配置与结果!$B$30)</f>
        <v>1</v>
      </c>
      <c r="AQ765" s="7">
        <f t="shared" si="1010"/>
        <v>0</v>
      </c>
      <c r="AR765" s="7">
        <f t="shared" si="1011"/>
        <v>0</v>
      </c>
      <c r="AS765" s="7">
        <f t="shared" si="1012"/>
        <v>0</v>
      </c>
      <c r="AT765" s="7">
        <f>0</f>
        <v>0</v>
      </c>
      <c r="AU765" s="7">
        <f t="shared" si="1013"/>
        <v>39666</v>
      </c>
      <c r="AV765" s="1">
        <f t="shared" si="1014"/>
        <v>1</v>
      </c>
      <c r="AW765" s="1">
        <f>MIN(10,M765+0+IF(L765=1,方案参数!$BE$24,0))</f>
        <v>4</v>
      </c>
      <c r="AX765" s="1">
        <f t="shared" si="1015"/>
        <v>0</v>
      </c>
      <c r="AY765" s="1">
        <f t="shared" ref="AY765:AY780" si="1087">MIN(20,MAX(0,O765+0+0-0))</f>
        <v>6</v>
      </c>
      <c r="AZ765" s="1">
        <f t="shared" si="1016"/>
        <v>3</v>
      </c>
      <c r="BA765" s="1">
        <f>MIN(6,Q765+0)</f>
        <v>2</v>
      </c>
      <c r="BB765" s="1">
        <f t="shared" si="1080"/>
        <v>5</v>
      </c>
      <c r="BC765" s="1">
        <f t="shared" si="1061"/>
        <v>0</v>
      </c>
      <c r="BD765" s="1">
        <f t="shared" si="1042"/>
        <v>0</v>
      </c>
      <c r="BE765" s="1">
        <f t="shared" si="1081"/>
        <v>0</v>
      </c>
      <c r="BF765" s="1">
        <f t="shared" si="1065"/>
        <v>0</v>
      </c>
      <c r="BG765" s="1">
        <f t="shared" si="1085"/>
        <v>1</v>
      </c>
      <c r="BH765" s="1">
        <f t="shared" si="1082"/>
        <v>1</v>
      </c>
      <c r="BI765" s="1">
        <f t="shared" si="1086"/>
        <v>1</v>
      </c>
      <c r="BJ765" s="1">
        <f t="shared" si="1056"/>
        <v>0</v>
      </c>
      <c r="BK765" s="1">
        <f t="shared" si="1057"/>
        <v>0</v>
      </c>
      <c r="BL765" s="1">
        <f t="shared" si="1062"/>
        <v>0</v>
      </c>
      <c r="BM765" s="1">
        <f t="shared" si="1060"/>
        <v>0</v>
      </c>
      <c r="BN765" s="1">
        <f t="shared" si="1083"/>
        <v>1</v>
      </c>
      <c r="BO765" s="1">
        <f t="shared" si="1084"/>
        <v>1</v>
      </c>
    </row>
    <row r="766" spans="1:67" ht="30.95" customHeight="1">
      <c r="A766" s="1">
        <f>21</f>
        <v>21</v>
      </c>
      <c r="B766" s="1">
        <f>固定流程!A10</f>
        <v>5</v>
      </c>
      <c r="C766" s="1">
        <f>24</f>
        <v>24</v>
      </c>
      <c r="D766" s="1">
        <f>1</f>
        <v>1</v>
      </c>
      <c r="E766" s="1">
        <f>固定流程!C10</f>
        <v>1</v>
      </c>
      <c r="F766" s="1">
        <f>固定流程!G10</f>
        <v>2</v>
      </c>
      <c r="G766" s="1" t="str">
        <f>固定流程!H10</f>
        <v>37_TRIANGLE</v>
      </c>
      <c r="H766" s="1">
        <f>固定流程!F10</f>
        <v>1</v>
      </c>
      <c r="I766" s="1">
        <f>INDEX(配置与结果!$B$15:$B$18,F766)</f>
        <v>2306</v>
      </c>
      <c r="J766" s="1">
        <f>INDEX(配置与结果!$D$15:$D$18,F766)</f>
        <v>0.46</v>
      </c>
      <c r="K766" s="1">
        <f>INDEX(配置与结果!$E$15:$E$18,F766)</f>
        <v>1.9279999999999999</v>
      </c>
      <c r="L766" s="1">
        <f t="shared" si="1066"/>
        <v>1</v>
      </c>
      <c r="M766" s="1">
        <f t="shared" si="1066"/>
        <v>4</v>
      </c>
      <c r="N766" s="1">
        <f t="shared" si="1066"/>
        <v>0</v>
      </c>
      <c r="O766" s="1">
        <f t="shared" si="1066"/>
        <v>6</v>
      </c>
      <c r="P766" s="1">
        <f>MIN(方案参数!$AI$24,AZ765+0+0)</f>
        <v>3</v>
      </c>
      <c r="Q766" s="1">
        <f t="shared" si="1067"/>
        <v>2</v>
      </c>
      <c r="R766" s="1">
        <f t="shared" si="1068"/>
        <v>5</v>
      </c>
      <c r="S766" s="1">
        <f t="shared" si="1069"/>
        <v>0</v>
      </c>
      <c r="T766" s="1">
        <f t="shared" si="1070"/>
        <v>0</v>
      </c>
      <c r="U766" s="1">
        <f t="shared" si="1071"/>
        <v>0</v>
      </c>
      <c r="V766" s="1">
        <f t="shared" si="1072"/>
        <v>0</v>
      </c>
      <c r="W766" s="1">
        <f t="shared" si="1073"/>
        <v>1</v>
      </c>
      <c r="X766" s="1">
        <f t="shared" si="1074"/>
        <v>1</v>
      </c>
      <c r="Y766" s="1">
        <f t="shared" si="1075"/>
        <v>1</v>
      </c>
      <c r="Z766" s="1">
        <f t="shared" si="1076"/>
        <v>0</v>
      </c>
      <c r="AA766" s="1">
        <f t="shared" si="1077"/>
        <v>0</v>
      </c>
      <c r="AB766" s="1">
        <f t="shared" si="1078"/>
        <v>0</v>
      </c>
      <c r="AC766" s="1">
        <f t="shared" si="1079"/>
        <v>0</v>
      </c>
      <c r="AD766" s="1">
        <f>ROUNDDOWN(I766*(1+IF(F766=3,0.05+方案参数!$Y$24+AA766*0.12,IF(F766=4,方案参数!$BZ$24*方案参数!$AS$24,0)))+IF(AND(X766=1,F766&lt;&gt;3),方案参数!$CC$24,0)+AC766*方案参数!$CB$24,0)</f>
        <v>2544</v>
      </c>
      <c r="AE766" s="1">
        <f>IF(OR(F766=1,F766=4),配置与结果!$B$24,配置与结果!$B$25)*MAX(0,1-INDEX(配置与结果!$I$15:$I$18,F766))</f>
        <v>1000</v>
      </c>
      <c r="AF766" s="1">
        <f>方案参数!$BS$24*IF(H766=1,1,IF(H766=2,1.5,2.5))</f>
        <v>2.8</v>
      </c>
      <c r="AG766" s="1">
        <f>MAX(配置与结果!$B$32,1+INDEX(配置与结果!$F$15:$F$18,F766)+0+Q766*方案参数!$W$24+Y766*(方案参数!$AN$24+MIN(方案参数!$AO$24,P766*0.03))+AB766*方案参数!$BZ$24*0.025-配置与结果!$B$28)</f>
        <v>0.8849999999999999</v>
      </c>
      <c r="AH766" s="1">
        <f>MAX(0,1+INDEX(配置与结果!$G$15:$G$18,F766)+W766*方案参数!$AG$24)</f>
        <v>1.3</v>
      </c>
      <c r="AI766" s="1">
        <f>IF(OR(INDEX(配置与结果!$K$15:$K$18,F766)=1,G766="RHI_BERRY"),1+配置与结果!$B$33+P766*方案参数!$AH$24,1)</f>
        <v>1</v>
      </c>
      <c r="AJ766" s="1">
        <f>MIN(1,MAX(0,J766+方案参数!$AB$24-配置与结果!$B$27))</f>
        <v>0.76</v>
      </c>
      <c r="AK766" s="1">
        <f>MAX(1,K766+IF(F766=2,0.15+方案参数!$CH$24,0)+BN766*方案参数!$X$24+R766*方案参数!$AA$24+0-配置与结果!$B$26+Z766*(方案参数!$AP$24+MIN(方案参数!$AQ$24,P766*0.03)))</f>
        <v>1.9780000000000002</v>
      </c>
      <c r="AL766" s="7">
        <f>ROUNDDOWN(MAX(AD766*配置与结果!$B$31,AD766-AE766)*AF766*AG766*AH766*AI766,0)</f>
        <v>4973</v>
      </c>
      <c r="AM766" s="7">
        <f>ROUNDDOWN(MAX(AD766*配置与结果!$B$31,AD766-AE766)*AF766*AG766*AH766*AI766*AK766,0)</f>
        <v>9838</v>
      </c>
      <c r="AN766" s="7">
        <f t="shared" si="1009"/>
        <v>8670.4</v>
      </c>
      <c r="AO766" s="7">
        <f>方案参数!$BU$24*IF(H766=1,1,IF(H766=2,1.5,2.5))</f>
        <v>0.8</v>
      </c>
      <c r="AP766" s="7">
        <f>MAX(0,1+INDEX(配置与结果!$J$15:$J$18,F766)+IF(T766&gt;0,方案参数!$BY$24,0)-配置与结果!$B$30)</f>
        <v>1</v>
      </c>
      <c r="AQ766" s="7">
        <f t="shared" si="1010"/>
        <v>2035</v>
      </c>
      <c r="AR766" s="7">
        <f t="shared" si="1011"/>
        <v>4025</v>
      </c>
      <c r="AS766" s="7">
        <f t="shared" si="1012"/>
        <v>3547.4</v>
      </c>
      <c r="AT766" s="7">
        <f>0</f>
        <v>0</v>
      </c>
      <c r="AU766" s="7">
        <f t="shared" si="1013"/>
        <v>12217.8</v>
      </c>
      <c r="AV766" s="1">
        <f t="shared" si="1014"/>
        <v>1</v>
      </c>
      <c r="AW766" s="1">
        <f>MIN(10,M766+0+0)</f>
        <v>4</v>
      </c>
      <c r="AX766" s="1">
        <f t="shared" si="1015"/>
        <v>0</v>
      </c>
      <c r="AY766" s="1">
        <f t="shared" si="1087"/>
        <v>6</v>
      </c>
      <c r="AZ766" s="1">
        <f t="shared" si="1016"/>
        <v>3</v>
      </c>
      <c r="BA766" s="1">
        <f>MIN(6,Q766+0)</f>
        <v>2</v>
      </c>
      <c r="BB766" s="1">
        <f t="shared" si="1080"/>
        <v>5</v>
      </c>
      <c r="BC766" s="1">
        <f t="shared" si="1061"/>
        <v>0</v>
      </c>
      <c r="BD766" s="1">
        <f>MAX(0,T766-IF(AO766&gt;0,1,0))+1</f>
        <v>1</v>
      </c>
      <c r="BE766" s="1">
        <f t="shared" si="1081"/>
        <v>0</v>
      </c>
      <c r="BF766" s="1">
        <f t="shared" si="1065"/>
        <v>0</v>
      </c>
      <c r="BG766" s="1">
        <f t="shared" si="1085"/>
        <v>1</v>
      </c>
      <c r="BH766" s="1">
        <f t="shared" si="1082"/>
        <v>1</v>
      </c>
      <c r="BI766" s="1">
        <f t="shared" si="1086"/>
        <v>1</v>
      </c>
      <c r="BJ766" s="1">
        <f t="shared" si="1056"/>
        <v>0</v>
      </c>
      <c r="BK766" s="1">
        <f t="shared" si="1057"/>
        <v>0</v>
      </c>
      <c r="BL766" s="1">
        <f t="shared" si="1062"/>
        <v>0</v>
      </c>
      <c r="BM766" s="1">
        <f t="shared" si="1060"/>
        <v>0</v>
      </c>
      <c r="BN766" s="1">
        <f t="shared" si="1083"/>
        <v>1</v>
      </c>
      <c r="BO766" s="1">
        <f t="shared" si="1084"/>
        <v>1</v>
      </c>
    </row>
    <row r="767" spans="1:67" ht="30.95" customHeight="1">
      <c r="A767" s="1">
        <f>21</f>
        <v>21</v>
      </c>
      <c r="B767" s="1">
        <f>固定流程!A11</f>
        <v>6</v>
      </c>
      <c r="C767" s="1">
        <f>24</f>
        <v>24</v>
      </c>
      <c r="D767" s="1">
        <f>1</f>
        <v>1</v>
      </c>
      <c r="E767" s="1">
        <f>固定流程!C11</f>
        <v>1</v>
      </c>
      <c r="F767" s="1">
        <f>固定流程!G11</f>
        <v>2</v>
      </c>
      <c r="G767" s="1" t="str">
        <f>固定流程!H11</f>
        <v>37_FOLLOW</v>
      </c>
      <c r="H767" s="1">
        <f>固定流程!F11</f>
        <v>1</v>
      </c>
      <c r="I767" s="1">
        <f>INDEX(配置与结果!$B$15:$B$18,F767)</f>
        <v>2306</v>
      </c>
      <c r="J767" s="1">
        <f>INDEX(配置与结果!$D$15:$D$18,F767)</f>
        <v>0.46</v>
      </c>
      <c r="K767" s="1">
        <f>INDEX(配置与结果!$E$15:$E$18,F767)</f>
        <v>1.9279999999999999</v>
      </c>
      <c r="L767" s="1">
        <f t="shared" si="1066"/>
        <v>1</v>
      </c>
      <c r="M767" s="1">
        <f t="shared" si="1066"/>
        <v>4</v>
      </c>
      <c r="N767" s="1">
        <f t="shared" si="1066"/>
        <v>0</v>
      </c>
      <c r="O767" s="1">
        <f t="shared" si="1066"/>
        <v>6</v>
      </c>
      <c r="P767" s="1">
        <f>MIN(方案参数!$AI$24,AZ766+0+0)</f>
        <v>3</v>
      </c>
      <c r="Q767" s="1">
        <f t="shared" si="1067"/>
        <v>2</v>
      </c>
      <c r="R767" s="1">
        <f t="shared" si="1068"/>
        <v>5</v>
      </c>
      <c r="S767" s="1">
        <f t="shared" si="1069"/>
        <v>0</v>
      </c>
      <c r="T767" s="1">
        <f t="shared" si="1070"/>
        <v>1</v>
      </c>
      <c r="U767" s="1">
        <f t="shared" si="1071"/>
        <v>0</v>
      </c>
      <c r="V767" s="1">
        <f t="shared" si="1072"/>
        <v>0</v>
      </c>
      <c r="W767" s="1">
        <f t="shared" si="1073"/>
        <v>1</v>
      </c>
      <c r="X767" s="1">
        <f t="shared" si="1074"/>
        <v>1</v>
      </c>
      <c r="Y767" s="1">
        <f t="shared" si="1075"/>
        <v>1</v>
      </c>
      <c r="Z767" s="1">
        <f t="shared" si="1076"/>
        <v>0</v>
      </c>
      <c r="AA767" s="1">
        <f t="shared" si="1077"/>
        <v>0</v>
      </c>
      <c r="AB767" s="1">
        <f t="shared" si="1078"/>
        <v>0</v>
      </c>
      <c r="AC767" s="1">
        <f t="shared" si="1079"/>
        <v>0</v>
      </c>
      <c r="AD767" s="1">
        <f>ROUNDDOWN(I767*(1+IF(F767=3,0.05+方案参数!$Y$24+AA767*0.12,IF(F767=4,方案参数!$BZ$24*方案参数!$AS$24,0)))+IF(AND(X767=1,F767&lt;&gt;3),方案参数!$CC$24,0)+AC767*方案参数!$CB$24,0)</f>
        <v>2544</v>
      </c>
      <c r="AE767" s="1">
        <f>IF(OR(F767=1,F767=4),配置与结果!$B$24,配置与结果!$B$25)*MAX(0,1-INDEX(配置与结果!$I$15:$I$18,F767))</f>
        <v>1000</v>
      </c>
      <c r="AF767" s="1">
        <f>方案参数!$BV$24</f>
        <v>3</v>
      </c>
      <c r="AG767" s="1">
        <f>MAX(配置与结果!$B$32,1+INDEX(配置与结果!$F$15:$F$18,F767)+0+Q767*方案参数!$W$24+Y767*(方案参数!$AN$24+MIN(方案参数!$AO$24,P767*0.03))+AB767*方案参数!$BZ$24*0.025-配置与结果!$B$28)</f>
        <v>0.8849999999999999</v>
      </c>
      <c r="AH767" s="1">
        <f>MAX(0,1+INDEX(配置与结果!$G$15:$G$18,F767)+W767*方案参数!$AG$24)</f>
        <v>1.3</v>
      </c>
      <c r="AI767" s="1">
        <f>IF(OR(INDEX(配置与结果!$K$15:$K$18,F767)=1,G767="RHI_BERRY"),1+配置与结果!$B$33+P767*方案参数!$AH$24,1)</f>
        <v>1</v>
      </c>
      <c r="AJ767" s="1">
        <f>MIN(1,MAX(0,J767+方案参数!$AB$24-配置与结果!$B$27))</f>
        <v>0.76</v>
      </c>
      <c r="AK767" s="1">
        <f>MAX(1,K767+IF(F767=2,0.15+方案参数!$CH$24,0)+BN767*方案参数!$X$24+R767*方案参数!$AA$24+0-配置与结果!$B$26+Z767*(方案参数!$AP$24+MIN(方案参数!$AQ$24,P767*0.03)))</f>
        <v>1.9780000000000002</v>
      </c>
      <c r="AL767" s="7">
        <f>ROUNDDOWN(MAX(AD767*配置与结果!$B$31,AD767-AE767)*AF767*AG767*AH767*AI767,0)</f>
        <v>5329</v>
      </c>
      <c r="AM767" s="7">
        <f>ROUNDDOWN(MAX(AD767*配置与结果!$B$31,AD767-AE767)*AF767*AG767*AH767*AI767*AK767,0)</f>
        <v>10540</v>
      </c>
      <c r="AN767" s="7">
        <f t="shared" si="1009"/>
        <v>9289.36</v>
      </c>
      <c r="AO767" s="7">
        <f>方案参数!$BW$24</f>
        <v>1</v>
      </c>
      <c r="AP767" s="7">
        <f>MAX(0,1+INDEX(配置与结果!$J$15:$J$18,F767)+IF(T767&gt;0,方案参数!$BY$24,0)-配置与结果!$B$30)</f>
        <v>2</v>
      </c>
      <c r="AQ767" s="7">
        <f t="shared" si="1010"/>
        <v>5088</v>
      </c>
      <c r="AR767" s="7">
        <f t="shared" si="1011"/>
        <v>10064</v>
      </c>
      <c r="AS767" s="7">
        <f t="shared" si="1012"/>
        <v>8869.76</v>
      </c>
      <c r="AT767" s="7">
        <f>0</f>
        <v>0</v>
      </c>
      <c r="AU767" s="7">
        <f t="shared" si="1013"/>
        <v>18159.120000000003</v>
      </c>
      <c r="AV767" s="1">
        <f t="shared" si="1014"/>
        <v>1</v>
      </c>
      <c r="AW767" s="1">
        <f>MIN(10,M767+0+0)</f>
        <v>4</v>
      </c>
      <c r="AX767" s="1">
        <f t="shared" si="1015"/>
        <v>0</v>
      </c>
      <c r="AY767" s="1">
        <f t="shared" si="1087"/>
        <v>6</v>
      </c>
      <c r="AZ767" s="1">
        <f t="shared" si="1016"/>
        <v>3</v>
      </c>
      <c r="BA767" s="1">
        <f>MIN(6,Q767+0)</f>
        <v>2</v>
      </c>
      <c r="BB767" s="1">
        <f t="shared" si="1080"/>
        <v>5</v>
      </c>
      <c r="BC767" s="1">
        <f t="shared" si="1061"/>
        <v>0</v>
      </c>
      <c r="BD767" s="1">
        <f t="shared" ref="BD767:BD801" si="1088">MAX(0,T767-IF(AO767&gt;0,1,0))+0</f>
        <v>0</v>
      </c>
      <c r="BE767" s="1">
        <f t="shared" si="1081"/>
        <v>0</v>
      </c>
      <c r="BF767" s="1">
        <f>MIN(4,V767+1)</f>
        <v>1</v>
      </c>
      <c r="BG767" s="1">
        <f t="shared" si="1085"/>
        <v>1</v>
      </c>
      <c r="BH767" s="1">
        <f t="shared" si="1082"/>
        <v>1</v>
      </c>
      <c r="BI767" s="1">
        <f t="shared" si="1086"/>
        <v>1</v>
      </c>
      <c r="BJ767" s="1">
        <f t="shared" si="1056"/>
        <v>0</v>
      </c>
      <c r="BK767" s="1">
        <f t="shared" si="1057"/>
        <v>0</v>
      </c>
      <c r="BL767" s="1">
        <f t="shared" si="1062"/>
        <v>0</v>
      </c>
      <c r="BM767" s="1">
        <f t="shared" si="1060"/>
        <v>0</v>
      </c>
      <c r="BN767" s="1">
        <f t="shared" si="1083"/>
        <v>1</v>
      </c>
      <c r="BO767" s="1">
        <f t="shared" si="1084"/>
        <v>1</v>
      </c>
    </row>
    <row r="768" spans="1:67" ht="30.95" customHeight="1">
      <c r="A768" s="1">
        <f>21</f>
        <v>21</v>
      </c>
      <c r="B768" s="1">
        <f>固定流程!A12</f>
        <v>7</v>
      </c>
      <c r="C768" s="1">
        <f>24</f>
        <v>24</v>
      </c>
      <c r="D768" s="1">
        <f>1</f>
        <v>1</v>
      </c>
      <c r="E768" s="1">
        <f>固定流程!C12</f>
        <v>1</v>
      </c>
      <c r="F768" s="1">
        <f>固定流程!G12</f>
        <v>4</v>
      </c>
      <c r="G768" s="1" t="str">
        <f>固定流程!H12</f>
        <v>J_HARD</v>
      </c>
      <c r="H768" s="1">
        <f>固定流程!F12</f>
        <v>1</v>
      </c>
      <c r="I768" s="1">
        <f>INDEX(配置与结果!$B$15:$B$18,F768)</f>
        <v>1906</v>
      </c>
      <c r="J768" s="1">
        <f>INDEX(配置与结果!$D$15:$D$18,F768)</f>
        <v>0.36699999999999999</v>
      </c>
      <c r="K768" s="1">
        <f>INDEX(配置与结果!$E$15:$E$18,F768)</f>
        <v>1.7170000000000001</v>
      </c>
      <c r="L768" s="1">
        <f t="shared" si="1066"/>
        <v>1</v>
      </c>
      <c r="M768" s="1">
        <f t="shared" si="1066"/>
        <v>4</v>
      </c>
      <c r="N768" s="1">
        <f t="shared" si="1066"/>
        <v>0</v>
      </c>
      <c r="O768" s="1">
        <f t="shared" si="1066"/>
        <v>6</v>
      </c>
      <c r="P768" s="1">
        <f>MIN(方案参数!$AI$24,AZ767+0+0)</f>
        <v>3</v>
      </c>
      <c r="Q768" s="1">
        <f t="shared" si="1067"/>
        <v>2</v>
      </c>
      <c r="R768" s="1">
        <f t="shared" si="1068"/>
        <v>5</v>
      </c>
      <c r="S768" s="1">
        <f t="shared" si="1069"/>
        <v>0</v>
      </c>
      <c r="T768" s="1">
        <f t="shared" si="1070"/>
        <v>0</v>
      </c>
      <c r="U768" s="1">
        <f t="shared" si="1071"/>
        <v>0</v>
      </c>
      <c r="V768" s="1">
        <f t="shared" si="1072"/>
        <v>1</v>
      </c>
      <c r="W768" s="1">
        <f t="shared" si="1073"/>
        <v>1</v>
      </c>
      <c r="X768" s="1">
        <f t="shared" si="1074"/>
        <v>1</v>
      </c>
      <c r="Y768" s="1">
        <f t="shared" si="1075"/>
        <v>1</v>
      </c>
      <c r="Z768" s="1">
        <f t="shared" si="1076"/>
        <v>0</v>
      </c>
      <c r="AA768" s="1">
        <f t="shared" si="1077"/>
        <v>0</v>
      </c>
      <c r="AB768" s="1">
        <f t="shared" si="1078"/>
        <v>0</v>
      </c>
      <c r="AC768" s="1">
        <f t="shared" si="1079"/>
        <v>0</v>
      </c>
      <c r="AD768" s="1">
        <f>ROUNDDOWN(I768*(1+IF(F768=3,0.05+方案参数!$Y$24+AA768*0.12,IF(F768=4,方案参数!$BZ$24*方案参数!$AS$24,0)))+IF(AND(X768=1,F768&lt;&gt;3),方案参数!$CC$24,0)+AC768*方案参数!$CB$24,0)</f>
        <v>2811</v>
      </c>
      <c r="AE768" s="1">
        <f>IF(OR(F768=1,F768=4),配置与结果!$B$24,配置与结果!$B$25)*MAX(0,1-INDEX(配置与结果!$I$15:$I$18,F768))</f>
        <v>1200</v>
      </c>
      <c r="AF768" s="1">
        <f>3.6*IF(H768=1,1,IF(H768=2,1.5,2.5))</f>
        <v>3.6</v>
      </c>
      <c r="AG768" s="1">
        <f>MAX(配置与结果!$B$32,1+INDEX(配置与结果!$F$15:$F$18,F768)+0.08+Q768*方案参数!$W$24+Y768*(方案参数!$AN$24+MIN(方案参数!$AO$24,P768*0.03))+AB768*方案参数!$BZ$24*0.025+0.1+IF(方案参数!$BZ$24&gt;=30,方案参数!$BZ$24*0.01,0)-配置与结果!$B$28)</f>
        <v>1.4350000000000001</v>
      </c>
      <c r="AH768" s="1">
        <f>MAX(0,1+INDEX(配置与结果!$G$15:$G$18,F768)+W768*方案参数!$AG$24)</f>
        <v>1.3</v>
      </c>
      <c r="AI768" s="1">
        <f>IF(OR(INDEX(配置与结果!$K$15:$K$18,F768)=1,G768="RHI_BERRY"),1+配置与结果!$B$33+P768*方案参数!$AH$24,1)</f>
        <v>1</v>
      </c>
      <c r="AJ768" s="1">
        <f>MIN(1,MAX(0,J768+方案参数!$AB$24-配置与结果!$B$27))</f>
        <v>0.66700000000000004</v>
      </c>
      <c r="AK768" s="1">
        <f>MAX(1,K768+IF(F768=2,0.15+方案参数!$CH$24,0)+BN768*方案参数!$X$24+R768*方案参数!$AA$24+0-配置与结果!$B$26+Z768*(方案参数!$AP$24+MIN(方案参数!$AQ$24,P768*0.03)))</f>
        <v>1.4969999999999999</v>
      </c>
      <c r="AL768" s="7">
        <f>ROUNDDOWN(MAX(AD768*配置与结果!$B$31,AD768-AE768)*AF768*AG768*AH768*AI768,0)</f>
        <v>10819</v>
      </c>
      <c r="AM768" s="7">
        <f>ROUNDDOWN(MAX(AD768*配置与结果!$B$31,AD768-AE768)*AF768*AG768*AH768*AI768*AK768,0)</f>
        <v>16196</v>
      </c>
      <c r="AN768" s="7">
        <f t="shared" si="1009"/>
        <v>14405.458999999999</v>
      </c>
      <c r="AO768" s="7">
        <f>0</f>
        <v>0</v>
      </c>
      <c r="AP768" s="7">
        <f>MAX(0,1+INDEX(配置与结果!$J$15:$J$18,F768)+IF(T768&gt;0,方案参数!$BY$24,0)-配置与结果!$B$30)</f>
        <v>1</v>
      </c>
      <c r="AQ768" s="7">
        <f t="shared" si="1010"/>
        <v>0</v>
      </c>
      <c r="AR768" s="7">
        <f t="shared" si="1011"/>
        <v>0</v>
      </c>
      <c r="AS768" s="7">
        <f t="shared" si="1012"/>
        <v>0</v>
      </c>
      <c r="AT768" s="7">
        <f>0</f>
        <v>0</v>
      </c>
      <c r="AU768" s="7">
        <f t="shared" si="1013"/>
        <v>14405.458999999999</v>
      </c>
      <c r="AV768" s="1">
        <f t="shared" si="1014"/>
        <v>1</v>
      </c>
      <c r="AW768" s="1">
        <f>MIN(10,M768+0+0)</f>
        <v>4</v>
      </c>
      <c r="AX768" s="1">
        <f t="shared" si="1015"/>
        <v>0</v>
      </c>
      <c r="AY768" s="1">
        <f t="shared" si="1087"/>
        <v>6</v>
      </c>
      <c r="AZ768" s="1">
        <f t="shared" si="1016"/>
        <v>3</v>
      </c>
      <c r="BA768" s="1">
        <f>MIN(6,Q768+0)</f>
        <v>2</v>
      </c>
      <c r="BB768" s="1">
        <f t="shared" si="1080"/>
        <v>5</v>
      </c>
      <c r="BC768" s="1">
        <f>MIN(3,S768+1)</f>
        <v>1</v>
      </c>
      <c r="BD768" s="1">
        <f t="shared" si="1088"/>
        <v>0</v>
      </c>
      <c r="BE768" s="1">
        <f t="shared" si="1081"/>
        <v>0</v>
      </c>
      <c r="BF768" s="1">
        <f>MIN(4,V768+0)</f>
        <v>1</v>
      </c>
      <c r="BG768" s="1">
        <f t="shared" si="1085"/>
        <v>1</v>
      </c>
      <c r="BH768" s="1">
        <f t="shared" si="1082"/>
        <v>1</v>
      </c>
      <c r="BI768" s="1">
        <f t="shared" si="1086"/>
        <v>1</v>
      </c>
      <c r="BJ768" s="1">
        <f t="shared" si="1056"/>
        <v>0</v>
      </c>
      <c r="BK768" s="1">
        <f t="shared" si="1057"/>
        <v>0</v>
      </c>
      <c r="BL768" s="1">
        <f t="shared" si="1062"/>
        <v>0</v>
      </c>
      <c r="BM768" s="1">
        <f t="shared" si="1060"/>
        <v>0</v>
      </c>
      <c r="BN768" s="1">
        <f t="shared" si="1083"/>
        <v>1</v>
      </c>
      <c r="BO768" s="1">
        <f t="shared" si="1084"/>
        <v>1</v>
      </c>
    </row>
    <row r="769" spans="1:67" ht="30.95" customHeight="1">
      <c r="A769" s="1">
        <f>21</f>
        <v>21</v>
      </c>
      <c r="B769" s="1">
        <f>固定流程!A13</f>
        <v>8</v>
      </c>
      <c r="C769" s="1">
        <f>24</f>
        <v>24</v>
      </c>
      <c r="D769" s="1">
        <f>1</f>
        <v>1</v>
      </c>
      <c r="E769" s="1">
        <f>固定流程!C13</f>
        <v>2</v>
      </c>
      <c r="F769" s="1">
        <f>固定流程!G13</f>
        <v>3</v>
      </c>
      <c r="G769" s="1" t="str">
        <f>固定流程!H13</f>
        <v>RHI_ATTACK</v>
      </c>
      <c r="H769" s="1">
        <f>固定流程!F13</f>
        <v>1</v>
      </c>
      <c r="I769" s="1">
        <f>INDEX(配置与结果!$B$15:$B$18,F769)</f>
        <v>2597</v>
      </c>
      <c r="J769" s="1">
        <f>INDEX(配置与结果!$D$15:$D$18,F769)</f>
        <v>0.255</v>
      </c>
      <c r="K769" s="1">
        <f>INDEX(配置与结果!$E$15:$E$18,F769)</f>
        <v>1.55</v>
      </c>
      <c r="L769" s="1">
        <f>IF(AV768=1,IF(M769&gt;=10,2,1),IF(AV768=2,IF(AX768&lt;=1,0,2),0))</f>
        <v>1</v>
      </c>
      <c r="M769" s="1">
        <f>IF(AND(AV768=2,AX768&lt;=1),0,MIN(10,AW768+IF(AV768=1,3,0)))</f>
        <v>7</v>
      </c>
      <c r="N769" s="1">
        <f>IF(AND(AV768=1,M769&gt;=10),2,IF(AV768=2,MAX(0,AX768-1),0))</f>
        <v>0</v>
      </c>
      <c r="O769" s="1">
        <f t="shared" ref="O769:O797" si="1089">AY768</f>
        <v>6</v>
      </c>
      <c r="P769" s="1">
        <f>MIN(方案参数!$AI$24,AZ768+方案参数!$AJ$24+方案参数!$AK$24)</f>
        <v>5</v>
      </c>
      <c r="Q769" s="1">
        <f t="shared" si="1067"/>
        <v>2</v>
      </c>
      <c r="R769" s="1">
        <f t="shared" si="1068"/>
        <v>5</v>
      </c>
      <c r="S769" s="1">
        <f t="shared" si="1069"/>
        <v>1</v>
      </c>
      <c r="T769" s="1">
        <f t="shared" si="1070"/>
        <v>0</v>
      </c>
      <c r="U769" s="1">
        <f t="shared" si="1071"/>
        <v>0</v>
      </c>
      <c r="V769" s="1">
        <f t="shared" si="1072"/>
        <v>1</v>
      </c>
      <c r="W769" s="1">
        <f t="shared" si="1073"/>
        <v>1</v>
      </c>
      <c r="X769" s="1">
        <f t="shared" si="1074"/>
        <v>1</v>
      </c>
      <c r="Y769" s="1">
        <f t="shared" si="1075"/>
        <v>1</v>
      </c>
      <c r="Z769" s="1">
        <f t="shared" si="1076"/>
        <v>0</v>
      </c>
      <c r="AA769" s="1">
        <f>MAX(BK768,1)</f>
        <v>1</v>
      </c>
      <c r="AB769" s="1">
        <f t="shared" si="1078"/>
        <v>0</v>
      </c>
      <c r="AC769" s="1">
        <f t="shared" si="1079"/>
        <v>0</v>
      </c>
      <c r="AD769" s="1">
        <f>ROUNDDOWN(I769*(1+IF(F769=3,0.05+方案参数!$Y$24+AA769*0.12,IF(F769=4,方案参数!$BZ$24*方案参数!$AS$24,0)))+IF(AND(X769=1,F769&lt;&gt;3),方案参数!$CC$24,0)+AC769*方案参数!$CB$24,0)</f>
        <v>3298</v>
      </c>
      <c r="AE769" s="1">
        <f>IF(OR(F769=1,F769=4),配置与结果!$B$24,配置与结果!$B$25)*MAX(0,1-INDEX(配置与结果!$I$15:$I$18,F769))</f>
        <v>1000</v>
      </c>
      <c r="AF769" s="1">
        <f>4</f>
        <v>4</v>
      </c>
      <c r="AG769" s="1">
        <f>MAX(配置与结果!$B$32,1+INDEX(配置与结果!$F$15:$F$18,F769)+0+Q769*方案参数!$W$24+Y769*(方案参数!$AN$24+MIN(方案参数!$AO$24,P769*0.03))+AB769*方案参数!$BZ$24*0.025-配置与结果!$B$28)</f>
        <v>0.97499999999999998</v>
      </c>
      <c r="AH769" s="1">
        <f>MAX(0,1+INDEX(配置与结果!$G$15:$G$18,F769)+W769*方案参数!$AG$24)</f>
        <v>1.3</v>
      </c>
      <c r="AI769" s="1">
        <f>IF(OR(INDEX(配置与结果!$K$15:$K$18,F769)=1,G769="RHI_BERRY"),1+配置与结果!$B$33+P769*方案参数!$AH$24,1)</f>
        <v>1</v>
      </c>
      <c r="AJ769" s="1">
        <f>MIN(1,MAX(0,J769+方案参数!$AB$24-配置与结果!$B$27))</f>
        <v>0.55499999999999994</v>
      </c>
      <c r="AK769" s="1">
        <f>MAX(1,K769+IF(F769=2,0.15+方案参数!$CH$24,0)+BN769*方案参数!$X$24+R769*方案参数!$AA$24+0-配置与结果!$B$26+Z769*(方案参数!$AP$24+MIN(方案参数!$AQ$24,P769*0.03)))</f>
        <v>1.33</v>
      </c>
      <c r="AL769" s="7">
        <f>ROUNDDOWN(MAX(AD769*配置与结果!$B$31,AD769-AE769)*AF769*AG769*AH769*AI769,0)</f>
        <v>11650</v>
      </c>
      <c r="AM769" s="7">
        <f>ROUNDDOWN(MAX(AD769*配置与结果!$B$31,AD769-AE769)*AF769*AG769*AH769*AI769*AK769,0)</f>
        <v>15495</v>
      </c>
      <c r="AN769" s="7">
        <f t="shared" si="1009"/>
        <v>13783.974999999999</v>
      </c>
      <c r="AO769" s="7">
        <f>0</f>
        <v>0</v>
      </c>
      <c r="AP769" s="7">
        <f>MAX(0,1+INDEX(配置与结果!$J$15:$J$18,F769)+IF(T769&gt;0,方案参数!$BY$24,0)-配置与结果!$B$30)</f>
        <v>1</v>
      </c>
      <c r="AQ769" s="7">
        <f t="shared" si="1010"/>
        <v>0</v>
      </c>
      <c r="AR769" s="7">
        <f t="shared" si="1011"/>
        <v>0</v>
      </c>
      <c r="AS769" s="7">
        <f t="shared" si="1012"/>
        <v>0</v>
      </c>
      <c r="AT769" s="7">
        <f>0</f>
        <v>0</v>
      </c>
      <c r="AU769" s="7">
        <f t="shared" si="1013"/>
        <v>13783.974999999999</v>
      </c>
      <c r="AV769" s="1">
        <f t="shared" si="1014"/>
        <v>1</v>
      </c>
      <c r="AW769" s="1">
        <f>MIN(10,M769+0+0)</f>
        <v>7</v>
      </c>
      <c r="AX769" s="1">
        <f t="shared" si="1015"/>
        <v>0</v>
      </c>
      <c r="AY769" s="1">
        <f t="shared" si="1087"/>
        <v>6</v>
      </c>
      <c r="AZ769" s="1">
        <f t="shared" si="1016"/>
        <v>5</v>
      </c>
      <c r="BA769" s="1">
        <f>MIN(6,Q769+1)</f>
        <v>3</v>
      </c>
      <c r="BB769" s="1">
        <f t="shared" si="1080"/>
        <v>5</v>
      </c>
      <c r="BC769" s="1">
        <f>MIN(3,S769+0)</f>
        <v>1</v>
      </c>
      <c r="BD769" s="1">
        <f t="shared" si="1088"/>
        <v>0</v>
      </c>
      <c r="BE769" s="1">
        <f t="shared" si="1081"/>
        <v>0</v>
      </c>
      <c r="BF769" s="1">
        <f>MIN(4,V769+0)</f>
        <v>1</v>
      </c>
      <c r="BG769" s="1">
        <f t="shared" si="1085"/>
        <v>1</v>
      </c>
      <c r="BH769" s="1">
        <f t="shared" si="1082"/>
        <v>1</v>
      </c>
      <c r="BI769" s="1">
        <f t="shared" si="1086"/>
        <v>1</v>
      </c>
      <c r="BJ769" s="1">
        <f>MAX(Z769,1)</f>
        <v>1</v>
      </c>
      <c r="BK769" s="1">
        <f>MAX(AA769,1)</f>
        <v>1</v>
      </c>
      <c r="BL769" s="1">
        <f t="shared" si="1062"/>
        <v>0</v>
      </c>
      <c r="BM769" s="1">
        <f t="shared" si="1060"/>
        <v>0</v>
      </c>
      <c r="BN769" s="1">
        <f t="shared" si="1083"/>
        <v>1</v>
      </c>
      <c r="BO769" s="1">
        <f t="shared" si="1084"/>
        <v>1</v>
      </c>
    </row>
    <row r="770" spans="1:67" ht="30.95" customHeight="1">
      <c r="A770" s="1">
        <f>21</f>
        <v>21</v>
      </c>
      <c r="B770" s="1">
        <f>固定流程!A14</f>
        <v>9</v>
      </c>
      <c r="C770" s="1">
        <f>24</f>
        <v>24</v>
      </c>
      <c r="D770" s="1">
        <f>1</f>
        <v>1</v>
      </c>
      <c r="E770" s="1">
        <f>固定流程!C14</f>
        <v>2</v>
      </c>
      <c r="F770" s="1">
        <f>固定流程!G14</f>
        <v>1</v>
      </c>
      <c r="G770" s="1" t="str">
        <f>固定流程!H14</f>
        <v>LILYA_DIVE</v>
      </c>
      <c r="H770" s="1">
        <f>固定流程!F14</f>
        <v>3</v>
      </c>
      <c r="I770" s="1">
        <f>INDEX(配置与结果!$B$15:$B$18,F770)</f>
        <v>2296</v>
      </c>
      <c r="J770" s="1">
        <f>INDEX(配置与结果!$D$15:$D$18,F770)</f>
        <v>0.7</v>
      </c>
      <c r="K770" s="1">
        <f>INDEX(配置与结果!$E$15:$E$18,F770)</f>
        <v>2.0249999999999999</v>
      </c>
      <c r="L770" s="1">
        <f t="shared" ref="L770:N774" si="1090">AV769</f>
        <v>1</v>
      </c>
      <c r="M770" s="1">
        <f t="shared" si="1090"/>
        <v>7</v>
      </c>
      <c r="N770" s="1">
        <f t="shared" si="1090"/>
        <v>0</v>
      </c>
      <c r="O770" s="1">
        <f t="shared" si="1089"/>
        <v>6</v>
      </c>
      <c r="P770" s="1">
        <f>MIN(方案参数!$AI$24,AZ769+0+0)</f>
        <v>5</v>
      </c>
      <c r="Q770" s="1">
        <f t="shared" si="1067"/>
        <v>3</v>
      </c>
      <c r="R770" s="1">
        <f t="shared" si="1068"/>
        <v>5</v>
      </c>
      <c r="S770" s="1">
        <f t="shared" si="1069"/>
        <v>1</v>
      </c>
      <c r="T770" s="1">
        <f t="shared" si="1070"/>
        <v>0</v>
      </c>
      <c r="U770" s="1">
        <f t="shared" si="1071"/>
        <v>0</v>
      </c>
      <c r="V770" s="1">
        <f t="shared" si="1072"/>
        <v>1</v>
      </c>
      <c r="W770" s="1">
        <f t="shared" si="1073"/>
        <v>1</v>
      </c>
      <c r="X770" s="1">
        <f t="shared" si="1074"/>
        <v>1</v>
      </c>
      <c r="Y770" s="1">
        <f t="shared" si="1075"/>
        <v>1</v>
      </c>
      <c r="Z770" s="1">
        <f t="shared" si="1076"/>
        <v>1</v>
      </c>
      <c r="AA770" s="1">
        <f t="shared" ref="AA770:AA775" si="1091">MAX(BK769,0)</f>
        <v>1</v>
      </c>
      <c r="AB770" s="1">
        <f t="shared" si="1078"/>
        <v>0</v>
      </c>
      <c r="AC770" s="1">
        <f t="shared" si="1079"/>
        <v>0</v>
      </c>
      <c r="AD770" s="1">
        <f>ROUNDDOWN(I770*(1+IF(F770=3,0.05+方案参数!$Y$24+AA770*0.12,IF(F770=4,方案参数!$BZ$24*方案参数!$AS$24,0)))+IF(AND(X770=1,F770&lt;&gt;3),方案参数!$CC$24,0)+AC770*方案参数!$CB$24,0)</f>
        <v>2534</v>
      </c>
      <c r="AE770" s="1">
        <f>IF(OR(F770=1,F770=4),配置与结果!$B$24,配置与结果!$B$25)*MAX(0,1-INDEX(配置与结果!$I$15:$I$18,F770))</f>
        <v>1200</v>
      </c>
      <c r="AF770" s="1">
        <f>(IF(L770=1,方案参数!$AW$24,IF(L770=2,方案参数!$AX$24,0))+方案参数!$AV$24)*H770</f>
        <v>18</v>
      </c>
      <c r="AG770" s="1">
        <f>MAX(配置与结果!$B$32,1+INDEX(配置与结果!$F$15:$F$18,F770)+0.08+方案参数!$CD$24+Q770*方案参数!$W$24+Y770*(方案参数!$AN$24+MIN(方案参数!$AO$24,P770*0.03))+AB770*方案参数!$BZ$24*0.025+IF(L770=1,方案参数!$AY$24+(H770-1)*0.1,IF(L770=2,方案参数!$AZ$24+(H770-1)*0.2,0))-配置与结果!$B$28)</f>
        <v>1.6</v>
      </c>
      <c r="AH770" s="1">
        <f>MAX(0,1+INDEX(配置与结果!$G$15:$G$18,F770)+W770*方案参数!$AG$24+IF(L770=1,方案参数!$BA$24,IF(L770=2,方案参数!$BB$24,0))+M770*方案参数!$BC$24)</f>
        <v>2.3199999999999998</v>
      </c>
      <c r="AI770" s="1">
        <f>IF(OR(INDEX(配置与结果!$K$15:$K$18,F770)=1,G770="RHI_BERRY"),1+配置与结果!$B$33+P770*方案参数!$AH$24,1)</f>
        <v>1</v>
      </c>
      <c r="AJ770" s="1">
        <f>MIN(1,MAX(0,J770+方案参数!$AB$24-配置与结果!$B$27))</f>
        <v>1</v>
      </c>
      <c r="AK770" s="1">
        <f>MAX(1,K770+IF(F770=2,0.15+方案参数!$CH$24,0)+BN770*方案参数!$X$24+R770*方案参数!$AA$24+0-配置与结果!$B$26+Z770*(方案参数!$AP$24+MIN(方案参数!$AQ$24,P770*0.03)))</f>
        <v>2.105</v>
      </c>
      <c r="AL770" s="7">
        <f>ROUNDDOWN(MAX(AD770*配置与结果!$B$31,AD770-AE770)*AF770*AG770*AH770*AI770,0)</f>
        <v>89132</v>
      </c>
      <c r="AM770" s="7">
        <f>ROUNDDOWN(MAX(AD770*配置与结果!$B$31,AD770-AE770)*AF770*AG770*AH770*AI770*AK770,0)</f>
        <v>187624</v>
      </c>
      <c r="AN770" s="7">
        <f t="shared" si="1009"/>
        <v>187624</v>
      </c>
      <c r="AO770" s="7">
        <f>0</f>
        <v>0</v>
      </c>
      <c r="AP770" s="7">
        <f>MAX(0,1+INDEX(配置与结果!$J$15:$J$18,F770)+IF(T770&gt;0,方案参数!$BY$24,0)-配置与结果!$B$30)</f>
        <v>1</v>
      </c>
      <c r="AQ770" s="7">
        <f t="shared" si="1010"/>
        <v>0</v>
      </c>
      <c r="AR770" s="7">
        <f t="shared" si="1011"/>
        <v>0</v>
      </c>
      <c r="AS770" s="7">
        <f t="shared" si="1012"/>
        <v>0</v>
      </c>
      <c r="AT770" s="7">
        <f>0</f>
        <v>0</v>
      </c>
      <c r="AU770" s="7">
        <f t="shared" si="1013"/>
        <v>187624</v>
      </c>
      <c r="AV770" s="1">
        <f t="shared" si="1014"/>
        <v>1</v>
      </c>
      <c r="AW770" s="1">
        <f>MIN(10,M770+0+IF(L770=1,方案参数!$BE$24,0))</f>
        <v>8</v>
      </c>
      <c r="AX770" s="1">
        <f t="shared" si="1015"/>
        <v>0</v>
      </c>
      <c r="AY770" s="1">
        <f t="shared" si="1087"/>
        <v>6</v>
      </c>
      <c r="AZ770" s="1">
        <f t="shared" si="1016"/>
        <v>5</v>
      </c>
      <c r="BA770" s="1">
        <f>MIN(6,Q770+0)</f>
        <v>3</v>
      </c>
      <c r="BB770" s="1">
        <f t="shared" si="1080"/>
        <v>5</v>
      </c>
      <c r="BC770" s="1">
        <f>MIN(3,S770+0)</f>
        <v>1</v>
      </c>
      <c r="BD770" s="1">
        <f t="shared" si="1088"/>
        <v>0</v>
      </c>
      <c r="BE770" s="1">
        <f t="shared" si="1081"/>
        <v>0</v>
      </c>
      <c r="BF770" s="1">
        <f>MIN(4,V770+0)</f>
        <v>1</v>
      </c>
      <c r="BG770" s="1">
        <f t="shared" si="1085"/>
        <v>1</v>
      </c>
      <c r="BH770" s="1">
        <f t="shared" si="1082"/>
        <v>1</v>
      </c>
      <c r="BI770" s="1">
        <f t="shared" si="1086"/>
        <v>1</v>
      </c>
      <c r="BJ770" s="1">
        <f t="shared" ref="BJ770:BK775" si="1092">MAX(Z770,0)</f>
        <v>1</v>
      </c>
      <c r="BK770" s="1">
        <f t="shared" si="1092"/>
        <v>1</v>
      </c>
      <c r="BL770" s="1">
        <f t="shared" si="1062"/>
        <v>0</v>
      </c>
      <c r="BM770" s="1">
        <f t="shared" si="1060"/>
        <v>0</v>
      </c>
      <c r="BN770" s="1">
        <f t="shared" si="1083"/>
        <v>1</v>
      </c>
      <c r="BO770" s="1">
        <f t="shared" si="1084"/>
        <v>1</v>
      </c>
    </row>
    <row r="771" spans="1:67" ht="30.95" customHeight="1">
      <c r="A771" s="1">
        <f>21</f>
        <v>21</v>
      </c>
      <c r="B771" s="1">
        <f>固定流程!A15</f>
        <v>10</v>
      </c>
      <c r="C771" s="1">
        <f>24</f>
        <v>24</v>
      </c>
      <c r="D771" s="1">
        <f>1</f>
        <v>1</v>
      </c>
      <c r="E771" s="1">
        <f>固定流程!C15</f>
        <v>2</v>
      </c>
      <c r="F771" s="1">
        <f>固定流程!G15</f>
        <v>4</v>
      </c>
      <c r="G771" s="1" t="str">
        <f>固定流程!H15</f>
        <v>J_HARD</v>
      </c>
      <c r="H771" s="1">
        <f>固定流程!F15</f>
        <v>1</v>
      </c>
      <c r="I771" s="1">
        <f>INDEX(配置与结果!$B$15:$B$18,F771)</f>
        <v>1906</v>
      </c>
      <c r="J771" s="1">
        <f>INDEX(配置与结果!$D$15:$D$18,F771)</f>
        <v>0.36699999999999999</v>
      </c>
      <c r="K771" s="1">
        <f>INDEX(配置与结果!$E$15:$E$18,F771)</f>
        <v>1.7170000000000001</v>
      </c>
      <c r="L771" s="1">
        <f t="shared" si="1090"/>
        <v>1</v>
      </c>
      <c r="M771" s="1">
        <f t="shared" si="1090"/>
        <v>8</v>
      </c>
      <c r="N771" s="1">
        <f t="shared" si="1090"/>
        <v>0</v>
      </c>
      <c r="O771" s="1">
        <f t="shared" si="1089"/>
        <v>6</v>
      </c>
      <c r="P771" s="1">
        <f>MIN(方案参数!$AI$24,AZ770+0+0)</f>
        <v>5</v>
      </c>
      <c r="Q771" s="1">
        <f t="shared" si="1067"/>
        <v>3</v>
      </c>
      <c r="R771" s="1">
        <f t="shared" si="1068"/>
        <v>5</v>
      </c>
      <c r="S771" s="1">
        <f t="shared" si="1069"/>
        <v>1</v>
      </c>
      <c r="T771" s="1">
        <f t="shared" si="1070"/>
        <v>0</v>
      </c>
      <c r="U771" s="1">
        <f t="shared" si="1071"/>
        <v>0</v>
      </c>
      <c r="V771" s="1">
        <f t="shared" si="1072"/>
        <v>1</v>
      </c>
      <c r="W771" s="1">
        <f t="shared" si="1073"/>
        <v>1</v>
      </c>
      <c r="X771" s="1">
        <f t="shared" si="1074"/>
        <v>1</v>
      </c>
      <c r="Y771" s="1">
        <f t="shared" si="1075"/>
        <v>1</v>
      </c>
      <c r="Z771" s="1">
        <f t="shared" si="1076"/>
        <v>1</v>
      </c>
      <c r="AA771" s="1">
        <f t="shared" si="1091"/>
        <v>1</v>
      </c>
      <c r="AB771" s="1">
        <f t="shared" si="1078"/>
        <v>0</v>
      </c>
      <c r="AC771" s="1">
        <f t="shared" si="1079"/>
        <v>0</v>
      </c>
      <c r="AD771" s="1">
        <f>ROUNDDOWN(I771*(1+IF(F771=3,0.05+方案参数!$Y$24+AA771*0.12,IF(F771=4,方案参数!$BZ$24*方案参数!$AS$24,0)))+IF(AND(X771=1,F771&lt;&gt;3),方案参数!$CC$24,0)+AC771*方案参数!$CB$24,0)</f>
        <v>2811</v>
      </c>
      <c r="AE771" s="1">
        <f>IF(OR(F771=1,F771=4),配置与结果!$B$24,配置与结果!$B$25)*MAX(0,1-INDEX(配置与结果!$I$15:$I$18,F771))</f>
        <v>1200</v>
      </c>
      <c r="AF771" s="1">
        <f>3.6*IF(H771=1,1,IF(H771=2,1.5,2.5))</f>
        <v>3.6</v>
      </c>
      <c r="AG771" s="1">
        <f>MAX(配置与结果!$B$32,1+INDEX(配置与结果!$F$15:$F$18,F771)+0.08+Q771*方案参数!$W$24+Y771*(方案参数!$AN$24+MIN(方案参数!$AO$24,P771*0.03))+AB771*方案参数!$BZ$24*0.025+0.1+IF(方案参数!$BZ$24&gt;=30,方案参数!$BZ$24*0.01,0)-配置与结果!$B$28)</f>
        <v>1.5150000000000001</v>
      </c>
      <c r="AH771" s="1">
        <f>MAX(0,1+INDEX(配置与结果!$G$15:$G$18,F771)+W771*方案参数!$AG$24)</f>
        <v>1.3</v>
      </c>
      <c r="AI771" s="1">
        <f>IF(OR(INDEX(配置与结果!$K$15:$K$18,F771)=1,G771="RHI_BERRY"),1+配置与结果!$B$33+P771*方案参数!$AH$24,1)</f>
        <v>1</v>
      </c>
      <c r="AJ771" s="1">
        <f>MIN(1,MAX(0,J771+方案参数!$AB$24-配置与结果!$B$27))</f>
        <v>0.66700000000000004</v>
      </c>
      <c r="AK771" s="1">
        <f>MAX(1,K771+IF(F771=2,0.15+方案参数!$CH$24,0)+BN771*方案参数!$X$24+R771*方案参数!$AA$24+0-配置与结果!$B$26+Z771*(方案参数!$AP$24+MIN(方案参数!$AQ$24,P771*0.03)))</f>
        <v>1.7969999999999999</v>
      </c>
      <c r="AL771" s="7">
        <f>ROUNDDOWN(MAX(AD771*配置与结果!$B$31,AD771-AE771)*AF771*AG771*AH771*AI771,0)</f>
        <v>11422</v>
      </c>
      <c r="AM771" s="7">
        <f>ROUNDDOWN(MAX(AD771*配置与结果!$B$31,AD771-AE771)*AF771*AG771*AH771*AI771*AK771,0)</f>
        <v>20525</v>
      </c>
      <c r="AN771" s="7">
        <f t="shared" si="1009"/>
        <v>17493.701000000001</v>
      </c>
      <c r="AO771" s="7">
        <f>0</f>
        <v>0</v>
      </c>
      <c r="AP771" s="7">
        <f>MAX(0,1+INDEX(配置与结果!$J$15:$J$18,F771)+IF(T771&gt;0,方案参数!$BY$24,0)-配置与结果!$B$30)</f>
        <v>1</v>
      </c>
      <c r="AQ771" s="7">
        <f t="shared" si="1010"/>
        <v>0</v>
      </c>
      <c r="AR771" s="7">
        <f t="shared" si="1011"/>
        <v>0</v>
      </c>
      <c r="AS771" s="7">
        <f t="shared" si="1012"/>
        <v>0</v>
      </c>
      <c r="AT771" s="7">
        <f>0</f>
        <v>0</v>
      </c>
      <c r="AU771" s="7">
        <f t="shared" si="1013"/>
        <v>17493.701000000001</v>
      </c>
      <c r="AV771" s="1">
        <f t="shared" si="1014"/>
        <v>1</v>
      </c>
      <c r="AW771" s="1">
        <f t="shared" ref="AW771:AW781" si="1093">MIN(10,M771+0+0)</f>
        <v>8</v>
      </c>
      <c r="AX771" s="1">
        <f t="shared" si="1015"/>
        <v>0</v>
      </c>
      <c r="AY771" s="1">
        <f t="shared" si="1087"/>
        <v>6</v>
      </c>
      <c r="AZ771" s="1">
        <f t="shared" si="1016"/>
        <v>5</v>
      </c>
      <c r="BA771" s="1">
        <f>MIN(6,Q771+0)</f>
        <v>3</v>
      </c>
      <c r="BB771" s="1">
        <f t="shared" si="1080"/>
        <v>5</v>
      </c>
      <c r="BC771" s="1">
        <f>MIN(3,S771+1)</f>
        <v>2</v>
      </c>
      <c r="BD771" s="1">
        <f t="shared" si="1088"/>
        <v>0</v>
      </c>
      <c r="BE771" s="1">
        <f t="shared" si="1081"/>
        <v>0</v>
      </c>
      <c r="BF771" s="1">
        <f>MIN(4,V771+0)</f>
        <v>1</v>
      </c>
      <c r="BG771" s="1">
        <f t="shared" si="1085"/>
        <v>1</v>
      </c>
      <c r="BH771" s="1">
        <f t="shared" si="1082"/>
        <v>1</v>
      </c>
      <c r="BI771" s="1">
        <f t="shared" si="1086"/>
        <v>1</v>
      </c>
      <c r="BJ771" s="1">
        <f t="shared" si="1092"/>
        <v>1</v>
      </c>
      <c r="BK771" s="1">
        <f t="shared" si="1092"/>
        <v>1</v>
      </c>
      <c r="BL771" s="1">
        <f t="shared" si="1062"/>
        <v>0</v>
      </c>
      <c r="BM771" s="1">
        <f t="shared" si="1060"/>
        <v>0</v>
      </c>
      <c r="BN771" s="1">
        <f t="shared" si="1083"/>
        <v>1</v>
      </c>
      <c r="BO771" s="1">
        <f t="shared" si="1084"/>
        <v>1</v>
      </c>
    </row>
    <row r="772" spans="1:67" ht="30.95" customHeight="1">
      <c r="A772" s="1">
        <f>21</f>
        <v>21</v>
      </c>
      <c r="B772" s="1">
        <f>固定流程!A16</f>
        <v>11</v>
      </c>
      <c r="C772" s="1">
        <f>24</f>
        <v>24</v>
      </c>
      <c r="D772" s="1">
        <f>1</f>
        <v>1</v>
      </c>
      <c r="E772" s="1">
        <f>固定流程!C16</f>
        <v>2</v>
      </c>
      <c r="F772" s="1">
        <f>固定流程!G16</f>
        <v>2</v>
      </c>
      <c r="G772" s="1" t="str">
        <f>固定流程!H16</f>
        <v>37_CURVE</v>
      </c>
      <c r="H772" s="1">
        <f>固定流程!F16</f>
        <v>1</v>
      </c>
      <c r="I772" s="1">
        <f>INDEX(配置与结果!$B$15:$B$18,F772)</f>
        <v>2306</v>
      </c>
      <c r="J772" s="1">
        <f>INDEX(配置与结果!$D$15:$D$18,F772)</f>
        <v>0.46</v>
      </c>
      <c r="K772" s="1">
        <f>INDEX(配置与结果!$E$15:$E$18,F772)</f>
        <v>1.9279999999999999</v>
      </c>
      <c r="L772" s="1">
        <f t="shared" si="1090"/>
        <v>1</v>
      </c>
      <c r="M772" s="1">
        <f t="shared" si="1090"/>
        <v>8</v>
      </c>
      <c r="N772" s="1">
        <f t="shared" si="1090"/>
        <v>0</v>
      </c>
      <c r="O772" s="1">
        <f t="shared" si="1089"/>
        <v>6</v>
      </c>
      <c r="P772" s="1">
        <f>MIN(方案参数!$AI$24,AZ771+0+0)</f>
        <v>5</v>
      </c>
      <c r="Q772" s="1">
        <f t="shared" si="1067"/>
        <v>3</v>
      </c>
      <c r="R772" s="1">
        <f t="shared" si="1068"/>
        <v>5</v>
      </c>
      <c r="S772" s="1">
        <f t="shared" si="1069"/>
        <v>2</v>
      </c>
      <c r="T772" s="1">
        <f t="shared" si="1070"/>
        <v>0</v>
      </c>
      <c r="U772" s="1">
        <f t="shared" si="1071"/>
        <v>0</v>
      </c>
      <c r="V772" s="1">
        <f t="shared" si="1072"/>
        <v>1</v>
      </c>
      <c r="W772" s="1">
        <f t="shared" si="1073"/>
        <v>1</v>
      </c>
      <c r="X772" s="1">
        <f t="shared" si="1074"/>
        <v>1</v>
      </c>
      <c r="Y772" s="1">
        <f t="shared" si="1075"/>
        <v>1</v>
      </c>
      <c r="Z772" s="1">
        <f t="shared" si="1076"/>
        <v>1</v>
      </c>
      <c r="AA772" s="1">
        <f t="shared" si="1091"/>
        <v>1</v>
      </c>
      <c r="AB772" s="1">
        <f t="shared" si="1078"/>
        <v>0</v>
      </c>
      <c r="AC772" s="1">
        <f t="shared" si="1079"/>
        <v>0</v>
      </c>
      <c r="AD772" s="1">
        <f>ROUNDDOWN(I772*(1+IF(F772=3,0.05+方案参数!$Y$24+AA772*0.12,IF(F772=4,方案参数!$BZ$24*方案参数!$AS$24,0)))+IF(AND(X772=1,F772&lt;&gt;3),方案参数!$CC$24,0)+AC772*方案参数!$CB$24,0)</f>
        <v>2544</v>
      </c>
      <c r="AE772" s="1">
        <f>IF(OR(F772=1,F772=4),配置与结果!$B$24,配置与结果!$B$25)*MAX(0,1-INDEX(配置与结果!$I$15:$I$18,F772))</f>
        <v>1000</v>
      </c>
      <c r="AF772" s="1">
        <f>方案参数!$BT$24*IF(H772=1,1,IF(H772=2,1.5,2.5))</f>
        <v>1.4</v>
      </c>
      <c r="AG772" s="1">
        <f>MAX(配置与结果!$B$32,1+INDEX(配置与结果!$F$15:$F$18,F772)+0+Q772*方案参数!$W$24+Y772*(方案参数!$AN$24+MIN(方案参数!$AO$24,P772*0.03))+AB772*方案参数!$BZ$24*0.025-配置与结果!$B$28)</f>
        <v>0.96499999999999997</v>
      </c>
      <c r="AH772" s="1">
        <f>MAX(0,1+INDEX(配置与结果!$G$15:$G$18,F772)+W772*方案参数!$AG$24)</f>
        <v>1.3</v>
      </c>
      <c r="AI772" s="1">
        <f>IF(OR(INDEX(配置与结果!$K$15:$K$18,F772)=1,G772="RHI_BERRY"),1+配置与结果!$B$33+P772*方案参数!$AH$24,1)</f>
        <v>1</v>
      </c>
      <c r="AJ772" s="1">
        <f>MIN(1,MAX(0,J772+方案参数!$AB$24-配置与结果!$B$27))</f>
        <v>0.76</v>
      </c>
      <c r="AK772" s="1">
        <f>MAX(1,K772+IF(F772=2,0.15+方案参数!$CH$24,0)+BN772*方案参数!$X$24+R772*方案参数!$AA$24+0-配置与结果!$B$26+Z772*(方案参数!$AP$24+MIN(方案参数!$AQ$24,P772*0.03)))</f>
        <v>2.278</v>
      </c>
      <c r="AL772" s="7">
        <f>ROUNDDOWN(MAX(AD772*配置与结果!$B$31,AD772-AE772)*AF772*AG772*AH772*AI772,0)</f>
        <v>2711</v>
      </c>
      <c r="AM772" s="7">
        <f>ROUNDDOWN(MAX(AD772*配置与结果!$B$31,AD772-AE772)*AF772*AG772*AH772*AI772*AK772,0)</f>
        <v>6177</v>
      </c>
      <c r="AN772" s="7">
        <f t="shared" si="1009"/>
        <v>5345.1600000000008</v>
      </c>
      <c r="AO772" s="7">
        <f>方案参数!$BU$24*IF(H772=1,1,IF(H772=2,1.5,2.5))</f>
        <v>0.8</v>
      </c>
      <c r="AP772" s="7">
        <f>MAX(0,1+INDEX(配置与结果!$J$15:$J$18,F772)+IF(T772&gt;0,方案参数!$BY$24,0)-配置与结果!$B$30)</f>
        <v>1</v>
      </c>
      <c r="AQ772" s="7">
        <f t="shared" si="1010"/>
        <v>2035</v>
      </c>
      <c r="AR772" s="7">
        <f t="shared" si="1011"/>
        <v>4635</v>
      </c>
      <c r="AS772" s="7">
        <f t="shared" si="1012"/>
        <v>4011</v>
      </c>
      <c r="AT772" s="7">
        <f>0</f>
        <v>0</v>
      </c>
      <c r="AU772" s="7">
        <f t="shared" si="1013"/>
        <v>9356.16</v>
      </c>
      <c r="AV772" s="1">
        <f t="shared" si="1014"/>
        <v>1</v>
      </c>
      <c r="AW772" s="1">
        <f t="shared" si="1093"/>
        <v>8</v>
      </c>
      <c r="AX772" s="1">
        <f t="shared" si="1015"/>
        <v>0</v>
      </c>
      <c r="AY772" s="1">
        <f t="shared" si="1087"/>
        <v>6</v>
      </c>
      <c r="AZ772" s="1">
        <f t="shared" si="1016"/>
        <v>5</v>
      </c>
      <c r="BA772" s="1">
        <f>MIN(6,Q772+0)</f>
        <v>3</v>
      </c>
      <c r="BB772" s="1">
        <f t="shared" si="1080"/>
        <v>5</v>
      </c>
      <c r="BC772" s="1">
        <f t="shared" ref="BC772:BC778" si="1094">MIN(3,S772+0)</f>
        <v>2</v>
      </c>
      <c r="BD772" s="1">
        <f t="shared" si="1088"/>
        <v>0</v>
      </c>
      <c r="BE772" s="1">
        <f t="shared" si="1081"/>
        <v>0</v>
      </c>
      <c r="BF772" s="1">
        <f>MIN(4,V772+0)</f>
        <v>1</v>
      </c>
      <c r="BG772" s="1">
        <f t="shared" si="1085"/>
        <v>1</v>
      </c>
      <c r="BH772" s="1">
        <f t="shared" si="1082"/>
        <v>1</v>
      </c>
      <c r="BI772" s="1">
        <f t="shared" si="1086"/>
        <v>1</v>
      </c>
      <c r="BJ772" s="1">
        <f t="shared" si="1092"/>
        <v>1</v>
      </c>
      <c r="BK772" s="1">
        <f t="shared" si="1092"/>
        <v>1</v>
      </c>
      <c r="BL772" s="1">
        <f t="shared" si="1062"/>
        <v>0</v>
      </c>
      <c r="BM772" s="1">
        <f t="shared" si="1060"/>
        <v>0</v>
      </c>
      <c r="BN772" s="1">
        <f t="shared" si="1083"/>
        <v>1</v>
      </c>
      <c r="BO772" s="1">
        <f t="shared" si="1084"/>
        <v>1</v>
      </c>
    </row>
    <row r="773" spans="1:67" ht="30.95" customHeight="1">
      <c r="A773" s="1">
        <f>21</f>
        <v>21</v>
      </c>
      <c r="B773" s="1">
        <f>固定流程!A17</f>
        <v>12</v>
      </c>
      <c r="C773" s="1">
        <f>24</f>
        <v>24</v>
      </c>
      <c r="D773" s="1">
        <f>1</f>
        <v>1</v>
      </c>
      <c r="E773" s="1">
        <f>固定流程!C17</f>
        <v>2</v>
      </c>
      <c r="F773" s="1">
        <f>固定流程!G17</f>
        <v>2</v>
      </c>
      <c r="G773" s="1" t="str">
        <f>固定流程!H17</f>
        <v>37_FOLLOW</v>
      </c>
      <c r="H773" s="1">
        <f>固定流程!F17</f>
        <v>1</v>
      </c>
      <c r="I773" s="1">
        <f>INDEX(配置与结果!$B$15:$B$18,F773)</f>
        <v>2306</v>
      </c>
      <c r="J773" s="1">
        <f>INDEX(配置与结果!$D$15:$D$18,F773)</f>
        <v>0.46</v>
      </c>
      <c r="K773" s="1">
        <f>INDEX(配置与结果!$E$15:$E$18,F773)</f>
        <v>1.9279999999999999</v>
      </c>
      <c r="L773" s="1">
        <f t="shared" si="1090"/>
        <v>1</v>
      </c>
      <c r="M773" s="1">
        <f t="shared" si="1090"/>
        <v>8</v>
      </c>
      <c r="N773" s="1">
        <f t="shared" si="1090"/>
        <v>0</v>
      </c>
      <c r="O773" s="1">
        <f t="shared" si="1089"/>
        <v>6</v>
      </c>
      <c r="P773" s="1">
        <f>MIN(方案参数!$AI$24,AZ772+0+0)</f>
        <v>5</v>
      </c>
      <c r="Q773" s="1">
        <f t="shared" si="1067"/>
        <v>3</v>
      </c>
      <c r="R773" s="1">
        <f t="shared" si="1068"/>
        <v>5</v>
      </c>
      <c r="S773" s="1">
        <f t="shared" si="1069"/>
        <v>2</v>
      </c>
      <c r="T773" s="1">
        <f t="shared" si="1070"/>
        <v>0</v>
      </c>
      <c r="U773" s="1">
        <f t="shared" si="1071"/>
        <v>0</v>
      </c>
      <c r="V773" s="1">
        <f t="shared" si="1072"/>
        <v>1</v>
      </c>
      <c r="W773" s="1">
        <f t="shared" si="1073"/>
        <v>1</v>
      </c>
      <c r="X773" s="1">
        <f t="shared" si="1074"/>
        <v>1</v>
      </c>
      <c r="Y773" s="1">
        <f t="shared" si="1075"/>
        <v>1</v>
      </c>
      <c r="Z773" s="1">
        <f t="shared" si="1076"/>
        <v>1</v>
      </c>
      <c r="AA773" s="1">
        <f t="shared" si="1091"/>
        <v>1</v>
      </c>
      <c r="AB773" s="1">
        <f t="shared" si="1078"/>
        <v>0</v>
      </c>
      <c r="AC773" s="1">
        <f t="shared" si="1079"/>
        <v>0</v>
      </c>
      <c r="AD773" s="1">
        <f>ROUNDDOWN(I773*(1+IF(F773=3,0.05+方案参数!$Y$24+AA773*0.12,IF(F773=4,方案参数!$BZ$24*方案参数!$AS$24,0)))+IF(AND(X773=1,F773&lt;&gt;3),方案参数!$CC$24,0)+AC773*方案参数!$CB$24,0)</f>
        <v>2544</v>
      </c>
      <c r="AE773" s="1">
        <f>IF(OR(F773=1,F773=4),配置与结果!$B$24,配置与结果!$B$25)*MAX(0,1-INDEX(配置与结果!$I$15:$I$18,F773))</f>
        <v>1000</v>
      </c>
      <c r="AF773" s="1">
        <f>方案参数!$BV$24</f>
        <v>3</v>
      </c>
      <c r="AG773" s="1">
        <f>MAX(配置与结果!$B$32,1+INDEX(配置与结果!$F$15:$F$18,F773)+0+Q773*方案参数!$W$24+Y773*(方案参数!$AN$24+MIN(方案参数!$AO$24,P773*0.03))+AB773*方案参数!$BZ$24*0.025-配置与结果!$B$28)</f>
        <v>0.96499999999999997</v>
      </c>
      <c r="AH773" s="1">
        <f>MAX(0,1+INDEX(配置与结果!$G$15:$G$18,F773)+W773*方案参数!$AG$24)</f>
        <v>1.3</v>
      </c>
      <c r="AI773" s="1">
        <f>IF(OR(INDEX(配置与结果!$K$15:$K$18,F773)=1,G773="RHI_BERRY"),1+配置与结果!$B$33+P773*方案参数!$AH$24,1)</f>
        <v>1</v>
      </c>
      <c r="AJ773" s="1">
        <f>MIN(1,MAX(0,J773+方案参数!$AB$24-配置与结果!$B$27))</f>
        <v>0.76</v>
      </c>
      <c r="AK773" s="1">
        <f>MAX(1,K773+IF(F773=2,0.15+方案参数!$CH$24,0)+BN773*方案参数!$X$24+R773*方案参数!$AA$24+0-配置与结果!$B$26+Z773*(方案参数!$AP$24+MIN(方案参数!$AQ$24,P773*0.03)))</f>
        <v>2.278</v>
      </c>
      <c r="AL773" s="7">
        <f>ROUNDDOWN(MAX(AD773*配置与结果!$B$31,AD773-AE773)*AF773*AG773*AH773*AI773,0)</f>
        <v>5810</v>
      </c>
      <c r="AM773" s="7">
        <f>ROUNDDOWN(MAX(AD773*配置与结果!$B$31,AD773-AE773)*AF773*AG773*AH773*AI773*AK773,0)</f>
        <v>13237</v>
      </c>
      <c r="AN773" s="7">
        <f t="shared" si="1009"/>
        <v>11454.52</v>
      </c>
      <c r="AO773" s="7">
        <f>方案参数!$BW$24</f>
        <v>1</v>
      </c>
      <c r="AP773" s="7">
        <f>MAX(0,1+INDEX(配置与结果!$J$15:$J$18,F773)+IF(T773&gt;0,方案参数!$BY$24,0)-配置与结果!$B$30)</f>
        <v>1</v>
      </c>
      <c r="AQ773" s="7">
        <f t="shared" si="1010"/>
        <v>2544</v>
      </c>
      <c r="AR773" s="7">
        <f t="shared" si="1011"/>
        <v>5795</v>
      </c>
      <c r="AS773" s="7">
        <f t="shared" si="1012"/>
        <v>5014.76</v>
      </c>
      <c r="AT773" s="7">
        <f>0</f>
        <v>0</v>
      </c>
      <c r="AU773" s="7">
        <f t="shared" si="1013"/>
        <v>16469.28</v>
      </c>
      <c r="AV773" s="1">
        <f t="shared" si="1014"/>
        <v>1</v>
      </c>
      <c r="AW773" s="1">
        <f t="shared" si="1093"/>
        <v>8</v>
      </c>
      <c r="AX773" s="1">
        <f t="shared" si="1015"/>
        <v>0</v>
      </c>
      <c r="AY773" s="1">
        <f t="shared" si="1087"/>
        <v>6</v>
      </c>
      <c r="AZ773" s="1">
        <f t="shared" si="1016"/>
        <v>5</v>
      </c>
      <c r="BA773" s="1">
        <f>MIN(6,Q773+0)</f>
        <v>3</v>
      </c>
      <c r="BB773" s="1">
        <f t="shared" si="1080"/>
        <v>5</v>
      </c>
      <c r="BC773" s="1">
        <f t="shared" si="1094"/>
        <v>2</v>
      </c>
      <c r="BD773" s="1">
        <f t="shared" si="1088"/>
        <v>0</v>
      </c>
      <c r="BE773" s="1">
        <f t="shared" si="1081"/>
        <v>0</v>
      </c>
      <c r="BF773" s="1">
        <f>MIN(4,V773+1)</f>
        <v>2</v>
      </c>
      <c r="BG773" s="1">
        <f t="shared" si="1085"/>
        <v>1</v>
      </c>
      <c r="BH773" s="1">
        <f t="shared" si="1082"/>
        <v>1</v>
      </c>
      <c r="BI773" s="1">
        <f t="shared" si="1086"/>
        <v>1</v>
      </c>
      <c r="BJ773" s="1">
        <f t="shared" si="1092"/>
        <v>1</v>
      </c>
      <c r="BK773" s="1">
        <f t="shared" si="1092"/>
        <v>1</v>
      </c>
      <c r="BL773" s="1">
        <f t="shared" si="1062"/>
        <v>0</v>
      </c>
      <c r="BM773" s="1">
        <f t="shared" si="1060"/>
        <v>0</v>
      </c>
      <c r="BN773" s="1">
        <f t="shared" si="1083"/>
        <v>1</v>
      </c>
      <c r="BO773" s="1">
        <f t="shared" si="1084"/>
        <v>1</v>
      </c>
    </row>
    <row r="774" spans="1:67" ht="30.95" customHeight="1">
      <c r="A774" s="1">
        <f>21</f>
        <v>21</v>
      </c>
      <c r="B774" s="1">
        <f>固定流程!A18</f>
        <v>13</v>
      </c>
      <c r="C774" s="1">
        <f>24</f>
        <v>24</v>
      </c>
      <c r="D774" s="1">
        <f>1</f>
        <v>1</v>
      </c>
      <c r="E774" s="1">
        <f>固定流程!C18</f>
        <v>2</v>
      </c>
      <c r="F774" s="1">
        <f>固定流程!G18</f>
        <v>3</v>
      </c>
      <c r="G774" s="1" t="str">
        <f>固定流程!H18</f>
        <v>RHI_BERRY</v>
      </c>
      <c r="H774" s="1">
        <f>固定流程!F18</f>
        <v>1</v>
      </c>
      <c r="I774" s="1">
        <f>INDEX(配置与结果!$B$15:$B$18,F774)</f>
        <v>2597</v>
      </c>
      <c r="J774" s="1">
        <f>INDEX(配置与结果!$D$15:$D$18,F774)</f>
        <v>0.255</v>
      </c>
      <c r="K774" s="1">
        <f>INDEX(配置与结果!$E$15:$E$18,F774)</f>
        <v>1.55</v>
      </c>
      <c r="L774" s="1">
        <f t="shared" si="1090"/>
        <v>1</v>
      </c>
      <c r="M774" s="1">
        <f t="shared" si="1090"/>
        <v>8</v>
      </c>
      <c r="N774" s="1">
        <f t="shared" si="1090"/>
        <v>0</v>
      </c>
      <c r="O774" s="1">
        <f t="shared" si="1089"/>
        <v>6</v>
      </c>
      <c r="P774" s="1">
        <f>MIN(方案参数!$AI$24,AZ773+0+0)</f>
        <v>5</v>
      </c>
      <c r="Q774" s="1">
        <f t="shared" si="1067"/>
        <v>3</v>
      </c>
      <c r="R774" s="1">
        <f t="shared" si="1068"/>
        <v>5</v>
      </c>
      <c r="S774" s="1">
        <f t="shared" si="1069"/>
        <v>2</v>
      </c>
      <c r="T774" s="1">
        <f t="shared" si="1070"/>
        <v>0</v>
      </c>
      <c r="U774" s="1">
        <f t="shared" si="1071"/>
        <v>0</v>
      </c>
      <c r="V774" s="1">
        <f t="shared" si="1072"/>
        <v>2</v>
      </c>
      <c r="W774" s="1">
        <f t="shared" si="1073"/>
        <v>1</v>
      </c>
      <c r="X774" s="1">
        <f t="shared" si="1074"/>
        <v>1</v>
      </c>
      <c r="Y774" s="1">
        <f t="shared" si="1075"/>
        <v>1</v>
      </c>
      <c r="Z774" s="1">
        <f t="shared" si="1076"/>
        <v>1</v>
      </c>
      <c r="AA774" s="1">
        <f t="shared" si="1091"/>
        <v>1</v>
      </c>
      <c r="AB774" s="1">
        <f t="shared" si="1078"/>
        <v>0</v>
      </c>
      <c r="AC774" s="1">
        <f t="shared" si="1079"/>
        <v>0</v>
      </c>
      <c r="AD774" s="1">
        <f>ROUNDDOWN(I774*(1+IF(F774=3,0.05+方案参数!$Y$24+AA774*0.12,IF(F774=4,方案参数!$BZ$24*方案参数!$AS$24,0)))+IF(AND(X774=1,F774&lt;&gt;3),方案参数!$CC$24,0)+AC774*方案参数!$CB$24,0)</f>
        <v>3298</v>
      </c>
      <c r="AE774" s="1">
        <f>IF(OR(F774=1,F774=4),配置与结果!$B$24,配置与结果!$B$25)*MAX(0,1-INDEX(配置与结果!$I$15:$I$18,F774))</f>
        <v>1000</v>
      </c>
      <c r="AF774" s="1">
        <f>方案参数!$CF$24+P774*方案参数!$CG$24</f>
        <v>22.5</v>
      </c>
      <c r="AG774" s="1">
        <f>MAX(配置与结果!$B$32,1+INDEX(配置与结果!$F$15:$F$18,F774)+0+Q774*方案参数!$W$24+Y774*(方案参数!$AN$24+MIN(方案参数!$AO$24,P774*0.03))+AB774*方案参数!$BZ$24*0.025-配置与结果!$B$28)</f>
        <v>0.995</v>
      </c>
      <c r="AH774" s="1">
        <f>MAX(0,1+INDEX(配置与结果!$G$15:$G$18,F774)+W774*方案参数!$AG$24)</f>
        <v>1.3</v>
      </c>
      <c r="AI774" s="1">
        <f>IF(OR(INDEX(配置与结果!$K$15:$K$18,F774)=1,G774="RHI_BERRY"),1+配置与结果!$B$33+P774*方案参数!$AH$24,1)</f>
        <v>1.5</v>
      </c>
      <c r="AJ774" s="1">
        <f>MIN(1,MAX(0,J774+方案参数!$AB$24-配置与结果!$B$27))</f>
        <v>0.55499999999999994</v>
      </c>
      <c r="AK774" s="1">
        <f>MAX(1,K774+IF(F774=2,0.15+方案参数!$CH$24,0)+BN774*方案参数!$X$24+R774*方案参数!$AA$24+0-配置与结果!$B$26+Z774*(方案参数!$AP$24+MIN(方案参数!$AQ$24,P774*0.03)))</f>
        <v>1.6300000000000001</v>
      </c>
      <c r="AL774" s="7">
        <f>ROUNDDOWN(MAX(AD774*配置与结果!$B$31,AD774-AE774)*AF774*AG774*AH774*AI774,0)</f>
        <v>100320</v>
      </c>
      <c r="AM774" s="7">
        <f>ROUNDDOWN(MAX(AD774*配置与结果!$B$31,AD774-AE774)*AF774*AG774*AH774*AI774*AK774,0)</f>
        <v>163522</v>
      </c>
      <c r="AN774" s="7">
        <f t="shared" ref="AN774:AN837" si="1095">AL774*(1-AJ774)+AM774*AJ774</f>
        <v>135397.10999999999</v>
      </c>
      <c r="AO774" s="7">
        <f>0</f>
        <v>0</v>
      </c>
      <c r="AP774" s="7">
        <f>MAX(0,1+INDEX(配置与结果!$J$15:$J$18,F774)+IF(T774&gt;0,方案参数!$BY$24,0)-配置与结果!$B$30)</f>
        <v>1</v>
      </c>
      <c r="AQ774" s="7">
        <f t="shared" ref="AQ774:AQ837" si="1096">ROUNDDOWN(ROUNDDOWN(AD774*AO774,0)*AP774,0)</f>
        <v>0</v>
      </c>
      <c r="AR774" s="7">
        <f t="shared" ref="AR774:AR837" si="1097">ROUNDDOWN(ROUNDDOWN(AD774*AO774,0)*AP774*AK774,0)</f>
        <v>0</v>
      </c>
      <c r="AS774" s="7">
        <f t="shared" ref="AS774:AS837" si="1098">AQ774*(1-AJ774)+AR774*AJ774</f>
        <v>0</v>
      </c>
      <c r="AT774" s="7">
        <f>0</f>
        <v>0</v>
      </c>
      <c r="AU774" s="7">
        <f t="shared" ref="AU774:AU837" si="1099">AN774+AS774+AT774</f>
        <v>135397.10999999999</v>
      </c>
      <c r="AV774" s="1">
        <f t="shared" ref="AV774:AV837" si="1100">IF(G774="LILYA_COBRA",IF(L774=0,1,L774),L774)</f>
        <v>1</v>
      </c>
      <c r="AW774" s="1">
        <f t="shared" si="1093"/>
        <v>8</v>
      </c>
      <c r="AX774" s="1">
        <f t="shared" ref="AX774:AX837" si="1101">N774</f>
        <v>0</v>
      </c>
      <c r="AY774" s="1">
        <f t="shared" si="1087"/>
        <v>6</v>
      </c>
      <c r="AZ774" s="1">
        <f t="shared" ref="AZ774:AZ837" si="1102">P774</f>
        <v>5</v>
      </c>
      <c r="BA774" s="1">
        <f>MIN(6,Q774+0)</f>
        <v>3</v>
      </c>
      <c r="BB774" s="1">
        <f t="shared" si="1080"/>
        <v>5</v>
      </c>
      <c r="BC774" s="1">
        <f t="shared" si="1094"/>
        <v>2</v>
      </c>
      <c r="BD774" s="1">
        <f t="shared" si="1088"/>
        <v>0</v>
      </c>
      <c r="BE774" s="1">
        <f t="shared" si="1081"/>
        <v>0</v>
      </c>
      <c r="BF774" s="1">
        <f>MIN(4,V774+0)</f>
        <v>2</v>
      </c>
      <c r="BG774" s="1">
        <f t="shared" si="1085"/>
        <v>1</v>
      </c>
      <c r="BH774" s="1">
        <f t="shared" si="1082"/>
        <v>1</v>
      </c>
      <c r="BI774" s="1">
        <f t="shared" si="1086"/>
        <v>1</v>
      </c>
      <c r="BJ774" s="1">
        <f t="shared" si="1092"/>
        <v>1</v>
      </c>
      <c r="BK774" s="1">
        <f t="shared" si="1092"/>
        <v>1</v>
      </c>
      <c r="BL774" s="1">
        <f t="shared" si="1062"/>
        <v>0</v>
      </c>
      <c r="BM774" s="1">
        <f t="shared" si="1060"/>
        <v>0</v>
      </c>
      <c r="BN774" s="1">
        <f t="shared" si="1083"/>
        <v>1</v>
      </c>
      <c r="BO774" s="1">
        <f t="shared" si="1084"/>
        <v>1</v>
      </c>
    </row>
    <row r="775" spans="1:67" ht="30.95" customHeight="1">
      <c r="A775" s="1">
        <f>21</f>
        <v>21</v>
      </c>
      <c r="B775" s="1">
        <f>固定流程!A19</f>
        <v>14</v>
      </c>
      <c r="C775" s="1">
        <f>24</f>
        <v>24</v>
      </c>
      <c r="D775" s="1">
        <f>1</f>
        <v>1</v>
      </c>
      <c r="E775" s="1">
        <f>固定流程!C19</f>
        <v>3</v>
      </c>
      <c r="F775" s="1">
        <f>固定流程!G19</f>
        <v>3</v>
      </c>
      <c r="G775" s="1" t="str">
        <f>固定流程!H19</f>
        <v>RHI_BUFF</v>
      </c>
      <c r="H775" s="1">
        <f>固定流程!F19</f>
        <v>1</v>
      </c>
      <c r="I775" s="1">
        <f>INDEX(配置与结果!$B$15:$B$18,F775)</f>
        <v>2597</v>
      </c>
      <c r="J775" s="1">
        <f>INDEX(配置与结果!$D$15:$D$18,F775)</f>
        <v>0.255</v>
      </c>
      <c r="K775" s="1">
        <f>INDEX(配置与结果!$E$15:$E$18,F775)</f>
        <v>1.55</v>
      </c>
      <c r="L775" s="1">
        <f>IF(AV774=1,IF(M775&gt;=10,2,1),IF(AV774=2,IF(AX774&lt;=1,0,2),0))</f>
        <v>2</v>
      </c>
      <c r="M775" s="1">
        <f>IF(AND(AV774=2,AX774&lt;=1),0,MIN(10,AW774+IF(AV774=1,3,0)))</f>
        <v>10</v>
      </c>
      <c r="N775" s="1">
        <f>IF(AND(AV774=1,M775&gt;=10),2,IF(AV774=2,MAX(0,AX774-1),0))</f>
        <v>2</v>
      </c>
      <c r="O775" s="1">
        <f t="shared" si="1089"/>
        <v>6</v>
      </c>
      <c r="P775" s="1">
        <f>MIN(方案参数!$AI$24,AZ774+方案参数!$AJ$24+方案参数!$AK$24)</f>
        <v>5</v>
      </c>
      <c r="Q775" s="1">
        <f t="shared" si="1067"/>
        <v>3</v>
      </c>
      <c r="R775" s="1">
        <f t="shared" si="1068"/>
        <v>5</v>
      </c>
      <c r="S775" s="1">
        <f t="shared" si="1069"/>
        <v>2</v>
      </c>
      <c r="T775" s="1">
        <f t="shared" si="1070"/>
        <v>0</v>
      </c>
      <c r="U775" s="1">
        <f t="shared" si="1071"/>
        <v>0</v>
      </c>
      <c r="V775" s="1">
        <f t="shared" si="1072"/>
        <v>2</v>
      </c>
      <c r="W775" s="1">
        <f t="shared" si="1073"/>
        <v>1</v>
      </c>
      <c r="X775" s="1">
        <f t="shared" si="1074"/>
        <v>1</v>
      </c>
      <c r="Y775" s="1">
        <f t="shared" si="1075"/>
        <v>1</v>
      </c>
      <c r="Z775" s="1">
        <f t="shared" si="1076"/>
        <v>1</v>
      </c>
      <c r="AA775" s="1">
        <f t="shared" si="1091"/>
        <v>1</v>
      </c>
      <c r="AB775" s="1">
        <f t="shared" si="1078"/>
        <v>0</v>
      </c>
      <c r="AC775" s="1">
        <f t="shared" si="1079"/>
        <v>0</v>
      </c>
      <c r="AD775" s="1">
        <f>ROUNDDOWN(I775*(1+IF(F775=3,0.05+方案参数!$Y$24+AA775*0.12,IF(F775=4,方案参数!$BZ$24*方案参数!$AS$24,0)))+IF(AND(X775=1,F775&lt;&gt;3),方案参数!$CC$24,0)+AC775*方案参数!$CB$24,0)</f>
        <v>3298</v>
      </c>
      <c r="AE775" s="1">
        <f>IF(OR(F775=1,F775=4),配置与结果!$B$24,配置与结果!$B$25)*MAX(0,1-INDEX(配置与结果!$I$15:$I$18,F775))</f>
        <v>1000</v>
      </c>
      <c r="AF775" s="1">
        <f>0</f>
        <v>0</v>
      </c>
      <c r="AG775" s="1">
        <f>MAX(配置与结果!$B$32,1+INDEX(配置与结果!$F$15:$F$18,F775)+0+Q775*方案参数!$W$24+Y775*(方案参数!$AN$24+MIN(方案参数!$AO$24,P775*0.03))+AB775*方案参数!$BZ$24*0.025-配置与结果!$B$28)</f>
        <v>0.995</v>
      </c>
      <c r="AH775" s="1">
        <f>MAX(0,1+INDEX(配置与结果!$G$15:$G$18,F775)+W775*方案参数!$AG$24)</f>
        <v>1.3</v>
      </c>
      <c r="AI775" s="1">
        <f>IF(OR(INDEX(配置与结果!$K$15:$K$18,F775)=1,G775="RHI_BERRY"),1+配置与结果!$B$33+P775*方案参数!$AH$24,1)</f>
        <v>1</v>
      </c>
      <c r="AJ775" s="1">
        <f>MIN(1,MAX(0,J775+方案参数!$AB$24-配置与结果!$B$27))</f>
        <v>0.55499999999999994</v>
      </c>
      <c r="AK775" s="1">
        <f>MAX(1,K775+IF(F775=2,0.15+方案参数!$CH$24,0)+BN775*方案参数!$X$24+R775*方案参数!$AA$24+0-配置与结果!$B$26+Z775*(方案参数!$AP$24+MIN(方案参数!$AQ$24,P775*0.03)))</f>
        <v>1.6300000000000001</v>
      </c>
      <c r="AL775" s="7">
        <f>ROUNDDOWN(MAX(AD775*配置与结果!$B$31,AD775-AE775)*AF775*AG775*AH775*AI775,0)</f>
        <v>0</v>
      </c>
      <c r="AM775" s="7">
        <f>ROUNDDOWN(MAX(AD775*配置与结果!$B$31,AD775-AE775)*AF775*AG775*AH775*AI775*AK775,0)</f>
        <v>0</v>
      </c>
      <c r="AN775" s="7">
        <f t="shared" si="1095"/>
        <v>0</v>
      </c>
      <c r="AO775" s="7">
        <f>0</f>
        <v>0</v>
      </c>
      <c r="AP775" s="7">
        <f>MAX(0,1+INDEX(配置与结果!$J$15:$J$18,F775)+IF(T775&gt;0,方案参数!$BY$24,0)-配置与结果!$B$30)</f>
        <v>1</v>
      </c>
      <c r="AQ775" s="7">
        <f t="shared" si="1096"/>
        <v>0</v>
      </c>
      <c r="AR775" s="7">
        <f t="shared" si="1097"/>
        <v>0</v>
      </c>
      <c r="AS775" s="7">
        <f t="shared" si="1098"/>
        <v>0</v>
      </c>
      <c r="AT775" s="7">
        <f>0</f>
        <v>0</v>
      </c>
      <c r="AU775" s="7">
        <f t="shared" si="1099"/>
        <v>0</v>
      </c>
      <c r="AV775" s="1">
        <f t="shared" si="1100"/>
        <v>2</v>
      </c>
      <c r="AW775" s="1">
        <f t="shared" si="1093"/>
        <v>10</v>
      </c>
      <c r="AX775" s="1">
        <f t="shared" si="1101"/>
        <v>2</v>
      </c>
      <c r="AY775" s="1">
        <f t="shared" si="1087"/>
        <v>6</v>
      </c>
      <c r="AZ775" s="1">
        <f t="shared" si="1102"/>
        <v>5</v>
      </c>
      <c r="BA775" s="1">
        <f>MIN(6,Q775+1)</f>
        <v>4</v>
      </c>
      <c r="BB775" s="1">
        <f t="shared" si="1080"/>
        <v>5</v>
      </c>
      <c r="BC775" s="1">
        <f t="shared" si="1094"/>
        <v>2</v>
      </c>
      <c r="BD775" s="1">
        <f t="shared" si="1088"/>
        <v>0</v>
      </c>
      <c r="BE775" s="1">
        <f t="shared" si="1081"/>
        <v>0</v>
      </c>
      <c r="BF775" s="1">
        <f>MIN(4,V775+0)</f>
        <v>2</v>
      </c>
      <c r="BG775" s="1">
        <f>MAX(W775,1)</f>
        <v>1</v>
      </c>
      <c r="BH775" s="1">
        <f t="shared" si="1082"/>
        <v>1</v>
      </c>
      <c r="BI775" s="1">
        <f>MAX(Y775,1)</f>
        <v>1</v>
      </c>
      <c r="BJ775" s="1">
        <f t="shared" si="1092"/>
        <v>1</v>
      </c>
      <c r="BK775" s="1">
        <f t="shared" si="1092"/>
        <v>1</v>
      </c>
      <c r="BL775" s="1">
        <f t="shared" si="1062"/>
        <v>0</v>
      </c>
      <c r="BM775" s="1">
        <f t="shared" si="1060"/>
        <v>0</v>
      </c>
      <c r="BN775" s="1">
        <f t="shared" si="1083"/>
        <v>1</v>
      </c>
      <c r="BO775" s="1">
        <f t="shared" si="1084"/>
        <v>1</v>
      </c>
    </row>
    <row r="776" spans="1:67" ht="30.95" customHeight="1">
      <c r="A776" s="1">
        <f>21</f>
        <v>21</v>
      </c>
      <c r="B776" s="1">
        <f>固定流程!A20</f>
        <v>15</v>
      </c>
      <c r="C776" s="1">
        <f>24</f>
        <v>24</v>
      </c>
      <c r="D776" s="1">
        <f>1</f>
        <v>1</v>
      </c>
      <c r="E776" s="1">
        <f>固定流程!C20</f>
        <v>3</v>
      </c>
      <c r="F776" s="1">
        <f>固定流程!G20</f>
        <v>3</v>
      </c>
      <c r="G776" s="1" t="str">
        <f>固定流程!H20</f>
        <v>RHI_ATTACK</v>
      </c>
      <c r="H776" s="1">
        <f>固定流程!F20</f>
        <v>1</v>
      </c>
      <c r="I776" s="1">
        <f>INDEX(配置与结果!$B$15:$B$18,F776)</f>
        <v>2597</v>
      </c>
      <c r="J776" s="1">
        <f>INDEX(配置与结果!$D$15:$D$18,F776)</f>
        <v>0.255</v>
      </c>
      <c r="K776" s="1">
        <f>INDEX(配置与结果!$E$15:$E$18,F776)</f>
        <v>1.55</v>
      </c>
      <c r="L776" s="1">
        <f t="shared" ref="L776:L797" si="1103">AV775</f>
        <v>2</v>
      </c>
      <c r="M776" s="1">
        <f t="shared" ref="M776:M797" si="1104">AW775</f>
        <v>10</v>
      </c>
      <c r="N776" s="1">
        <f t="shared" ref="N776:N797" si="1105">AX775</f>
        <v>2</v>
      </c>
      <c r="O776" s="1">
        <f t="shared" si="1089"/>
        <v>6</v>
      </c>
      <c r="P776" s="1">
        <f>MIN(方案参数!$AI$24,AZ775+0+方案参数!$AK$24)</f>
        <v>5</v>
      </c>
      <c r="Q776" s="1">
        <f t="shared" si="1067"/>
        <v>4</v>
      </c>
      <c r="R776" s="1">
        <f t="shared" si="1068"/>
        <v>5</v>
      </c>
      <c r="S776" s="1">
        <f t="shared" si="1069"/>
        <v>2</v>
      </c>
      <c r="T776" s="1">
        <f t="shared" si="1070"/>
        <v>0</v>
      </c>
      <c r="U776" s="1">
        <f t="shared" si="1071"/>
        <v>0</v>
      </c>
      <c r="V776" s="1">
        <f t="shared" si="1072"/>
        <v>2</v>
      </c>
      <c r="W776" s="1">
        <f t="shared" si="1073"/>
        <v>1</v>
      </c>
      <c r="X776" s="1">
        <f t="shared" si="1074"/>
        <v>1</v>
      </c>
      <c r="Y776" s="1">
        <f t="shared" si="1075"/>
        <v>1</v>
      </c>
      <c r="Z776" s="1">
        <f t="shared" si="1076"/>
        <v>1</v>
      </c>
      <c r="AA776" s="1">
        <f>MAX(BK775,1)</f>
        <v>1</v>
      </c>
      <c r="AB776" s="1">
        <f t="shared" si="1078"/>
        <v>0</v>
      </c>
      <c r="AC776" s="1">
        <f t="shared" si="1079"/>
        <v>0</v>
      </c>
      <c r="AD776" s="1">
        <f>ROUNDDOWN(I776*(1+IF(F776=3,0.05+方案参数!$Y$24+AA776*0.12,IF(F776=4,方案参数!$BZ$24*方案参数!$AS$24,0)))+IF(AND(X776=1,F776&lt;&gt;3),方案参数!$CC$24,0)+AC776*方案参数!$CB$24,0)</f>
        <v>3298</v>
      </c>
      <c r="AE776" s="1">
        <f>IF(OR(F776=1,F776=4),配置与结果!$B$24,配置与结果!$B$25)*MAX(0,1-INDEX(配置与结果!$I$15:$I$18,F776))</f>
        <v>1000</v>
      </c>
      <c r="AF776" s="1">
        <f>4</f>
        <v>4</v>
      </c>
      <c r="AG776" s="1">
        <f>MAX(配置与结果!$B$32,1+INDEX(配置与结果!$F$15:$F$18,F776)+0+Q776*方案参数!$W$24+Y776*(方案参数!$AN$24+MIN(方案参数!$AO$24,P776*0.03))+AB776*方案参数!$BZ$24*0.025-配置与结果!$B$28)</f>
        <v>1.0150000000000001</v>
      </c>
      <c r="AH776" s="1">
        <f>MAX(0,1+INDEX(配置与结果!$G$15:$G$18,F776)+W776*方案参数!$AG$24)</f>
        <v>1.3</v>
      </c>
      <c r="AI776" s="1">
        <f>IF(OR(INDEX(配置与结果!$K$15:$K$18,F776)=1,G776="RHI_BERRY"),1+配置与结果!$B$33+P776*方案参数!$AH$24,1)</f>
        <v>1</v>
      </c>
      <c r="AJ776" s="1">
        <f>MIN(1,MAX(0,J776+方案参数!$AB$24-配置与结果!$B$27))</f>
        <v>0.55499999999999994</v>
      </c>
      <c r="AK776" s="1">
        <f>MAX(1,K776+IF(F776=2,0.15+方案参数!$CH$24,0)+BN776*方案参数!$X$24+R776*方案参数!$AA$24+0-配置与结果!$B$26+Z776*(方案参数!$AP$24+MIN(方案参数!$AQ$24,P776*0.03)))</f>
        <v>1.6300000000000001</v>
      </c>
      <c r="AL776" s="7">
        <f>ROUNDDOWN(MAX(AD776*配置与结果!$B$31,AD776-AE776)*AF776*AG776*AH776*AI776,0)</f>
        <v>12128</v>
      </c>
      <c r="AM776" s="7">
        <f>ROUNDDOWN(MAX(AD776*配置与结果!$B$31,AD776-AE776)*AF776*AG776*AH776*AI776*AK776,0)</f>
        <v>19770</v>
      </c>
      <c r="AN776" s="7">
        <f t="shared" si="1095"/>
        <v>16369.31</v>
      </c>
      <c r="AO776" s="7">
        <f>0</f>
        <v>0</v>
      </c>
      <c r="AP776" s="7">
        <f>MAX(0,1+INDEX(配置与结果!$J$15:$J$18,F776)+IF(T776&gt;0,方案参数!$BY$24,0)-配置与结果!$B$30)</f>
        <v>1</v>
      </c>
      <c r="AQ776" s="7">
        <f t="shared" si="1096"/>
        <v>0</v>
      </c>
      <c r="AR776" s="7">
        <f t="shared" si="1097"/>
        <v>0</v>
      </c>
      <c r="AS776" s="7">
        <f t="shared" si="1098"/>
        <v>0</v>
      </c>
      <c r="AT776" s="7">
        <f>0</f>
        <v>0</v>
      </c>
      <c r="AU776" s="7">
        <f t="shared" si="1099"/>
        <v>16369.31</v>
      </c>
      <c r="AV776" s="1">
        <f t="shared" si="1100"/>
        <v>2</v>
      </c>
      <c r="AW776" s="1">
        <f t="shared" si="1093"/>
        <v>10</v>
      </c>
      <c r="AX776" s="1">
        <f t="shared" si="1101"/>
        <v>2</v>
      </c>
      <c r="AY776" s="1">
        <f t="shared" si="1087"/>
        <v>6</v>
      </c>
      <c r="AZ776" s="1">
        <f t="shared" si="1102"/>
        <v>5</v>
      </c>
      <c r="BA776" s="1">
        <f>MIN(6,Q776+1)</f>
        <v>5</v>
      </c>
      <c r="BB776" s="1">
        <f t="shared" si="1080"/>
        <v>5</v>
      </c>
      <c r="BC776" s="1">
        <f t="shared" si="1094"/>
        <v>2</v>
      </c>
      <c r="BD776" s="1">
        <f t="shared" si="1088"/>
        <v>0</v>
      </c>
      <c r="BE776" s="1">
        <f t="shared" si="1081"/>
        <v>0</v>
      </c>
      <c r="BF776" s="1">
        <f>MIN(4,V776+0)</f>
        <v>2</v>
      </c>
      <c r="BG776" s="1">
        <f t="shared" ref="BG776:BG798" si="1106">MAX(W776,0)</f>
        <v>1</v>
      </c>
      <c r="BH776" s="1">
        <f t="shared" si="1082"/>
        <v>1</v>
      </c>
      <c r="BI776" s="1">
        <f t="shared" ref="BI776:BI798" si="1107">MAX(Y776,0)</f>
        <v>1</v>
      </c>
      <c r="BJ776" s="1">
        <f>MAX(Z776,1)</f>
        <v>1</v>
      </c>
      <c r="BK776" s="1">
        <f>MAX(AA776,1)</f>
        <v>1</v>
      </c>
      <c r="BL776" s="1">
        <f t="shared" si="1062"/>
        <v>0</v>
      </c>
      <c r="BM776" s="1">
        <f t="shared" si="1060"/>
        <v>0</v>
      </c>
      <c r="BN776" s="1">
        <f t="shared" si="1083"/>
        <v>1</v>
      </c>
      <c r="BO776" s="1">
        <f t="shared" si="1084"/>
        <v>1</v>
      </c>
    </row>
    <row r="777" spans="1:67" ht="30.95" customHeight="1">
      <c r="A777" s="1">
        <f>21</f>
        <v>21</v>
      </c>
      <c r="B777" s="1">
        <f>固定流程!A21</f>
        <v>16</v>
      </c>
      <c r="C777" s="1">
        <f>24</f>
        <v>24</v>
      </c>
      <c r="D777" s="1">
        <f>1</f>
        <v>1</v>
      </c>
      <c r="E777" s="1">
        <f>固定流程!C21</f>
        <v>3</v>
      </c>
      <c r="F777" s="1">
        <f>固定流程!G21</f>
        <v>2</v>
      </c>
      <c r="G777" s="1" t="str">
        <f>固定流程!H21</f>
        <v>37_ULT</v>
      </c>
      <c r="H777" s="1">
        <f>固定流程!F21</f>
        <v>1</v>
      </c>
      <c r="I777" s="1">
        <f>INDEX(配置与结果!$B$15:$B$18,F777)</f>
        <v>2306</v>
      </c>
      <c r="J777" s="1">
        <f>INDEX(配置与结果!$D$15:$D$18,F777)</f>
        <v>0.46</v>
      </c>
      <c r="K777" s="1">
        <f>INDEX(配置与结果!$E$15:$E$18,F777)</f>
        <v>1.9279999999999999</v>
      </c>
      <c r="L777" s="1">
        <f t="shared" si="1103"/>
        <v>2</v>
      </c>
      <c r="M777" s="1">
        <f t="shared" si="1104"/>
        <v>10</v>
      </c>
      <c r="N777" s="1">
        <f t="shared" si="1105"/>
        <v>2</v>
      </c>
      <c r="O777" s="1">
        <f t="shared" si="1089"/>
        <v>6</v>
      </c>
      <c r="P777" s="1">
        <f>MIN(方案参数!$AI$24,AZ776+0+0)</f>
        <v>5</v>
      </c>
      <c r="Q777" s="1">
        <f t="shared" si="1067"/>
        <v>5</v>
      </c>
      <c r="R777" s="1">
        <f t="shared" si="1068"/>
        <v>5</v>
      </c>
      <c r="S777" s="1">
        <f t="shared" si="1069"/>
        <v>2</v>
      </c>
      <c r="T777" s="1">
        <f>BD776+方案参数!$BX$24</f>
        <v>2</v>
      </c>
      <c r="U777" s="1">
        <f t="shared" si="1071"/>
        <v>0</v>
      </c>
      <c r="V777" s="1">
        <f t="shared" si="1072"/>
        <v>2</v>
      </c>
      <c r="W777" s="1">
        <f t="shared" si="1073"/>
        <v>1</v>
      </c>
      <c r="X777" s="1">
        <f t="shared" si="1074"/>
        <v>1</v>
      </c>
      <c r="Y777" s="1">
        <f t="shared" si="1075"/>
        <v>1</v>
      </c>
      <c r="Z777" s="1">
        <f t="shared" si="1076"/>
        <v>1</v>
      </c>
      <c r="AA777" s="1">
        <f t="shared" ref="AA777:AA797" si="1108">MAX(BK776,0)</f>
        <v>1</v>
      </c>
      <c r="AB777" s="1">
        <f t="shared" si="1078"/>
        <v>0</v>
      </c>
      <c r="AC777" s="1">
        <f>MAX(BM776,1)</f>
        <v>1</v>
      </c>
      <c r="AD777" s="1">
        <f>ROUNDDOWN(I777*(1+IF(F777=3,0.05+方案参数!$Y$24+AA777*0.12,IF(F777=4,方案参数!$BZ$24*方案参数!$AS$24,0)))+IF(AND(X777=1,F777&lt;&gt;3),方案参数!$CC$24,0)+AC777*方案参数!$CB$24,0)</f>
        <v>3044</v>
      </c>
      <c r="AE777" s="1">
        <f>IF(OR(F777=1,F777=4),配置与结果!$B$24,配置与结果!$B$25)*MAX(0,1-INDEX(配置与结果!$I$15:$I$18,F777))</f>
        <v>1000</v>
      </c>
      <c r="AF777" s="1">
        <f>0</f>
        <v>0</v>
      </c>
      <c r="AG777" s="1">
        <f>MAX(配置与结果!$B$32,1+INDEX(配置与结果!$F$15:$F$18,F777)+0+Q777*方案参数!$W$24+Y777*(方案参数!$AN$24+MIN(方案参数!$AO$24,P777*0.03))+AB777*方案参数!$BZ$24*0.025-配置与结果!$B$28)</f>
        <v>1.0049999999999999</v>
      </c>
      <c r="AH777" s="1">
        <f>MAX(0,1+INDEX(配置与结果!$G$15:$G$18,F777)+W777*方案参数!$AG$24)</f>
        <v>1.3</v>
      </c>
      <c r="AI777" s="1">
        <f>IF(OR(INDEX(配置与结果!$K$15:$K$18,F777)=1,G777="RHI_BERRY"),1+配置与结果!$B$33+P777*方案参数!$AH$24,1)</f>
        <v>1</v>
      </c>
      <c r="AJ777" s="1">
        <f>MIN(1,MAX(0,J777+方案参数!$AB$24-配置与结果!$B$27))</f>
        <v>0.76</v>
      </c>
      <c r="AK777" s="1">
        <f>MAX(1,K777+IF(F777=2,0.15+方案参数!$CH$24,0)+BN777*方案参数!$X$24+R777*方案参数!$AA$24+0-配置与结果!$B$26+Z777*(方案参数!$AP$24+MIN(方案参数!$AQ$24,P777*0.03)))</f>
        <v>2.278</v>
      </c>
      <c r="AL777" s="7">
        <f>ROUNDDOWN(MAX(AD777*配置与结果!$B$31,AD777-AE777)*AF777*AG777*AH777*AI777,0)</f>
        <v>0</v>
      </c>
      <c r="AM777" s="7">
        <f>ROUNDDOWN(MAX(AD777*配置与结果!$B$31,AD777-AE777)*AF777*AG777*AH777*AI777*AK777,0)</f>
        <v>0</v>
      </c>
      <c r="AN777" s="7">
        <f t="shared" si="1095"/>
        <v>0</v>
      </c>
      <c r="AO777" s="7">
        <f>0</f>
        <v>0</v>
      </c>
      <c r="AP777" s="7">
        <f>MAX(0,1+INDEX(配置与结果!$J$15:$J$18,F777)+IF(T777&gt;0,方案参数!$BY$24,0)-配置与结果!$B$30)</f>
        <v>2</v>
      </c>
      <c r="AQ777" s="7">
        <f t="shared" si="1096"/>
        <v>0</v>
      </c>
      <c r="AR777" s="7">
        <f t="shared" si="1097"/>
        <v>0</v>
      </c>
      <c r="AS777" s="7">
        <f t="shared" si="1098"/>
        <v>0</v>
      </c>
      <c r="AT777" s="7">
        <f>0</f>
        <v>0</v>
      </c>
      <c r="AU777" s="7">
        <f t="shared" si="1099"/>
        <v>0</v>
      </c>
      <c r="AV777" s="1">
        <f t="shared" si="1100"/>
        <v>2</v>
      </c>
      <c r="AW777" s="1">
        <f t="shared" si="1093"/>
        <v>10</v>
      </c>
      <c r="AX777" s="1">
        <f t="shared" si="1101"/>
        <v>2</v>
      </c>
      <c r="AY777" s="1">
        <f t="shared" si="1087"/>
        <v>6</v>
      </c>
      <c r="AZ777" s="1">
        <f t="shared" si="1102"/>
        <v>5</v>
      </c>
      <c r="BA777" s="1">
        <f t="shared" ref="BA777:BA797" si="1109">MIN(6,Q777+0)</f>
        <v>5</v>
      </c>
      <c r="BB777" s="1">
        <f>MIN(30,R777+5)</f>
        <v>10</v>
      </c>
      <c r="BC777" s="1">
        <f t="shared" si="1094"/>
        <v>2</v>
      </c>
      <c r="BD777" s="1">
        <f t="shared" si="1088"/>
        <v>2</v>
      </c>
      <c r="BE777" s="1">
        <f t="shared" si="1081"/>
        <v>0</v>
      </c>
      <c r="BF777" s="1">
        <f>MIN(4,V777+0)</f>
        <v>2</v>
      </c>
      <c r="BG777" s="1">
        <f t="shared" si="1106"/>
        <v>1</v>
      </c>
      <c r="BH777" s="1">
        <f t="shared" si="1082"/>
        <v>1</v>
      </c>
      <c r="BI777" s="1">
        <f t="shared" si="1107"/>
        <v>1</v>
      </c>
      <c r="BJ777" s="1">
        <f t="shared" ref="BJ777:BJ804" si="1110">MAX(Z777,0)</f>
        <v>1</v>
      </c>
      <c r="BK777" s="1">
        <f t="shared" ref="BK777:BK804" si="1111">MAX(AA777,0)</f>
        <v>1</v>
      </c>
      <c r="BL777" s="1">
        <f t="shared" si="1062"/>
        <v>0</v>
      </c>
      <c r="BM777" s="1">
        <f>MAX(AC777,1)</f>
        <v>1</v>
      </c>
      <c r="BN777" s="1">
        <f t="shared" si="1083"/>
        <v>1</v>
      </c>
      <c r="BO777" s="1">
        <f t="shared" si="1084"/>
        <v>1</v>
      </c>
    </row>
    <row r="778" spans="1:67" ht="30.95" customHeight="1">
      <c r="A778" s="1">
        <f>21</f>
        <v>21</v>
      </c>
      <c r="B778" s="1">
        <f>固定流程!A22</f>
        <v>17</v>
      </c>
      <c r="C778" s="1">
        <f>24</f>
        <v>24</v>
      </c>
      <c r="D778" s="1">
        <f>1</f>
        <v>1</v>
      </c>
      <c r="E778" s="1">
        <f>固定流程!C22</f>
        <v>3</v>
      </c>
      <c r="F778" s="1">
        <f>固定流程!G22</f>
        <v>2</v>
      </c>
      <c r="G778" s="1" t="str">
        <f>固定流程!H22</f>
        <v>37_FOLLOW</v>
      </c>
      <c r="H778" s="1">
        <f>固定流程!F22</f>
        <v>1</v>
      </c>
      <c r="I778" s="1">
        <f>INDEX(配置与结果!$B$15:$B$18,F778)</f>
        <v>2306</v>
      </c>
      <c r="J778" s="1">
        <f>INDEX(配置与结果!$D$15:$D$18,F778)</f>
        <v>0.46</v>
      </c>
      <c r="K778" s="1">
        <f>INDEX(配置与结果!$E$15:$E$18,F778)</f>
        <v>1.9279999999999999</v>
      </c>
      <c r="L778" s="1">
        <f t="shared" si="1103"/>
        <v>2</v>
      </c>
      <c r="M778" s="1">
        <f t="shared" si="1104"/>
        <v>10</v>
      </c>
      <c r="N778" s="1">
        <f t="shared" si="1105"/>
        <v>2</v>
      </c>
      <c r="O778" s="1">
        <f t="shared" si="1089"/>
        <v>6</v>
      </c>
      <c r="P778" s="1">
        <f>MIN(方案参数!$AI$24,AZ777+0+0)</f>
        <v>5</v>
      </c>
      <c r="Q778" s="1">
        <f t="shared" si="1067"/>
        <v>5</v>
      </c>
      <c r="R778" s="1">
        <f t="shared" si="1068"/>
        <v>10</v>
      </c>
      <c r="S778" s="1">
        <f t="shared" si="1069"/>
        <v>2</v>
      </c>
      <c r="T778" s="1">
        <f t="shared" ref="T778:T797" si="1112">BD777+0</f>
        <v>2</v>
      </c>
      <c r="U778" s="1">
        <f t="shared" si="1071"/>
        <v>0</v>
      </c>
      <c r="V778" s="1">
        <f t="shared" si="1072"/>
        <v>2</v>
      </c>
      <c r="W778" s="1">
        <f t="shared" si="1073"/>
        <v>1</v>
      </c>
      <c r="X778" s="1">
        <f t="shared" si="1074"/>
        <v>1</v>
      </c>
      <c r="Y778" s="1">
        <f t="shared" si="1075"/>
        <v>1</v>
      </c>
      <c r="Z778" s="1">
        <f t="shared" si="1076"/>
        <v>1</v>
      </c>
      <c r="AA778" s="1">
        <f t="shared" si="1108"/>
        <v>1</v>
      </c>
      <c r="AB778" s="1">
        <f t="shared" si="1078"/>
        <v>0</v>
      </c>
      <c r="AC778" s="1">
        <f t="shared" ref="AC778:AC797" si="1113">MAX(BM777,0)</f>
        <v>1</v>
      </c>
      <c r="AD778" s="1">
        <f>ROUNDDOWN(I778*(1+IF(F778=3,0.05+方案参数!$Y$24+AA778*0.12,IF(F778=4,方案参数!$BZ$24*方案参数!$AS$24,0)))+IF(AND(X778=1,F778&lt;&gt;3),方案参数!$CC$24,0)+AC778*方案参数!$CB$24,0)</f>
        <v>3044</v>
      </c>
      <c r="AE778" s="1">
        <f>IF(OR(F778=1,F778=4),配置与结果!$B$24,配置与结果!$B$25)*MAX(0,1-INDEX(配置与结果!$I$15:$I$18,F778))</f>
        <v>1000</v>
      </c>
      <c r="AF778" s="1">
        <f>方案参数!$BV$24</f>
        <v>3</v>
      </c>
      <c r="AG778" s="1">
        <f>MAX(配置与结果!$B$32,1+INDEX(配置与结果!$F$15:$F$18,F778)+0+Q778*方案参数!$W$24+Y778*(方案参数!$AN$24+MIN(方案参数!$AO$24,P778*0.03))+AB778*方案参数!$BZ$24*0.025-配置与结果!$B$28)</f>
        <v>1.0049999999999999</v>
      </c>
      <c r="AH778" s="1">
        <f>MAX(0,1+INDEX(配置与结果!$G$15:$G$18,F778)+W778*方案参数!$AG$24)</f>
        <v>1.3</v>
      </c>
      <c r="AI778" s="1">
        <f>IF(OR(INDEX(配置与结果!$K$15:$K$18,F778)=1,G778="RHI_BERRY"),1+配置与结果!$B$33+P778*方案参数!$AH$24,1)</f>
        <v>1</v>
      </c>
      <c r="AJ778" s="1">
        <f>MIN(1,MAX(0,J778+方案参数!$AB$24-配置与结果!$B$27))</f>
        <v>0.76</v>
      </c>
      <c r="AK778" s="1">
        <f>MAX(1,K778+IF(F778=2,0.15+方案参数!$CH$24,0)+BN778*方案参数!$X$24+R778*方案参数!$AA$24+0-配置与结果!$B$26+Z778*(方案参数!$AP$24+MIN(方案参数!$AQ$24,P778*0.03)))</f>
        <v>2.298</v>
      </c>
      <c r="AL778" s="7">
        <f>ROUNDDOWN(MAX(AD778*配置与结果!$B$31,AD778-AE778)*AF778*AG778*AH778*AI778,0)</f>
        <v>8011</v>
      </c>
      <c r="AM778" s="7">
        <f>ROUNDDOWN(MAX(AD778*配置与结果!$B$31,AD778-AE778)*AF778*AG778*AH778*AI778*AK778,0)</f>
        <v>18410</v>
      </c>
      <c r="AN778" s="7">
        <f t="shared" si="1095"/>
        <v>15914.24</v>
      </c>
      <c r="AO778" s="7">
        <f>方案参数!$BW$24</f>
        <v>1</v>
      </c>
      <c r="AP778" s="7">
        <f>MAX(0,1+INDEX(配置与结果!$J$15:$J$18,F778)+IF(T778&gt;0,方案参数!$BY$24,0)-配置与结果!$B$30)</f>
        <v>2</v>
      </c>
      <c r="AQ778" s="7">
        <f t="shared" si="1096"/>
        <v>6088</v>
      </c>
      <c r="AR778" s="7">
        <f t="shared" si="1097"/>
        <v>13990</v>
      </c>
      <c r="AS778" s="7">
        <f t="shared" si="1098"/>
        <v>12093.52</v>
      </c>
      <c r="AT778" s="7">
        <f>0</f>
        <v>0</v>
      </c>
      <c r="AU778" s="7">
        <f t="shared" si="1099"/>
        <v>28007.760000000002</v>
      </c>
      <c r="AV778" s="1">
        <f t="shared" si="1100"/>
        <v>2</v>
      </c>
      <c r="AW778" s="1">
        <f t="shared" si="1093"/>
        <v>10</v>
      </c>
      <c r="AX778" s="1">
        <f t="shared" si="1101"/>
        <v>2</v>
      </c>
      <c r="AY778" s="1">
        <f t="shared" si="1087"/>
        <v>6</v>
      </c>
      <c r="AZ778" s="1">
        <f t="shared" si="1102"/>
        <v>5</v>
      </c>
      <c r="BA778" s="1">
        <f t="shared" si="1109"/>
        <v>5</v>
      </c>
      <c r="BB778" s="1">
        <f>MIN(30,R778+0)</f>
        <v>10</v>
      </c>
      <c r="BC778" s="1">
        <f t="shared" si="1094"/>
        <v>2</v>
      </c>
      <c r="BD778" s="1">
        <f t="shared" si="1088"/>
        <v>1</v>
      </c>
      <c r="BE778" s="1">
        <f t="shared" si="1081"/>
        <v>0</v>
      </c>
      <c r="BF778" s="1">
        <f>MIN(4,V778+1)</f>
        <v>3</v>
      </c>
      <c r="BG778" s="1">
        <f t="shared" si="1106"/>
        <v>1</v>
      </c>
      <c r="BH778" s="1">
        <f t="shared" si="1082"/>
        <v>1</v>
      </c>
      <c r="BI778" s="1">
        <f t="shared" si="1107"/>
        <v>1</v>
      </c>
      <c r="BJ778" s="1">
        <f t="shared" si="1110"/>
        <v>1</v>
      </c>
      <c r="BK778" s="1">
        <f t="shared" si="1111"/>
        <v>1</v>
      </c>
      <c r="BL778" s="1">
        <f t="shared" si="1062"/>
        <v>0</v>
      </c>
      <c r="BM778" s="1">
        <f t="shared" ref="BM778:BM812" si="1114">MAX(AC778,0)</f>
        <v>1</v>
      </c>
      <c r="BN778" s="1">
        <f t="shared" si="1083"/>
        <v>1</v>
      </c>
      <c r="BO778" s="1">
        <f t="shared" si="1084"/>
        <v>1</v>
      </c>
    </row>
    <row r="779" spans="1:67" ht="30.95" customHeight="1">
      <c r="A779" s="1">
        <f>21</f>
        <v>21</v>
      </c>
      <c r="B779" s="1">
        <f>固定流程!A23</f>
        <v>18</v>
      </c>
      <c r="C779" s="1">
        <f>24</f>
        <v>24</v>
      </c>
      <c r="D779" s="1">
        <f>1</f>
        <v>1</v>
      </c>
      <c r="E779" s="1">
        <f>固定流程!C23</f>
        <v>3</v>
      </c>
      <c r="F779" s="1">
        <f>固定流程!G23</f>
        <v>4</v>
      </c>
      <c r="G779" s="1" t="str">
        <f>固定流程!H23</f>
        <v>J_HARD</v>
      </c>
      <c r="H779" s="1">
        <f>固定流程!F23</f>
        <v>1</v>
      </c>
      <c r="I779" s="1">
        <f>INDEX(配置与结果!$B$15:$B$18,F779)</f>
        <v>1906</v>
      </c>
      <c r="J779" s="1">
        <f>INDEX(配置与结果!$D$15:$D$18,F779)</f>
        <v>0.36699999999999999</v>
      </c>
      <c r="K779" s="1">
        <f>INDEX(配置与结果!$E$15:$E$18,F779)</f>
        <v>1.7170000000000001</v>
      </c>
      <c r="L779" s="1">
        <f t="shared" si="1103"/>
        <v>2</v>
      </c>
      <c r="M779" s="1">
        <f t="shared" si="1104"/>
        <v>10</v>
      </c>
      <c r="N779" s="1">
        <f t="shared" si="1105"/>
        <v>2</v>
      </c>
      <c r="O779" s="1">
        <f t="shared" si="1089"/>
        <v>6</v>
      </c>
      <c r="P779" s="1">
        <f>MIN(方案参数!$AI$24,AZ778+0+0)</f>
        <v>5</v>
      </c>
      <c r="Q779" s="1">
        <f t="shared" si="1067"/>
        <v>5</v>
      </c>
      <c r="R779" s="1">
        <f t="shared" si="1068"/>
        <v>10</v>
      </c>
      <c r="S779" s="1">
        <f t="shared" si="1069"/>
        <v>2</v>
      </c>
      <c r="T779" s="1">
        <f t="shared" si="1112"/>
        <v>1</v>
      </c>
      <c r="U779" s="1">
        <f t="shared" si="1071"/>
        <v>0</v>
      </c>
      <c r="V779" s="1">
        <f t="shared" si="1072"/>
        <v>3</v>
      </c>
      <c r="W779" s="1">
        <f t="shared" si="1073"/>
        <v>1</v>
      </c>
      <c r="X779" s="1">
        <f t="shared" si="1074"/>
        <v>1</v>
      </c>
      <c r="Y779" s="1">
        <f t="shared" si="1075"/>
        <v>1</v>
      </c>
      <c r="Z779" s="1">
        <f t="shared" si="1076"/>
        <v>1</v>
      </c>
      <c r="AA779" s="1">
        <f t="shared" si="1108"/>
        <v>1</v>
      </c>
      <c r="AB779" s="1">
        <f t="shared" si="1078"/>
        <v>0</v>
      </c>
      <c r="AC779" s="1">
        <f t="shared" si="1113"/>
        <v>1</v>
      </c>
      <c r="AD779" s="1">
        <f>ROUNDDOWN(I779*(1+IF(F779=3,0.05+方案参数!$Y$24+AA779*0.12,IF(F779=4,方案参数!$BZ$24*方案参数!$AS$24,0)))+IF(AND(X779=1,F779&lt;&gt;3),方案参数!$CC$24,0)+AC779*方案参数!$CB$24,0)</f>
        <v>3311</v>
      </c>
      <c r="AE779" s="1">
        <f>IF(OR(F779=1,F779=4),配置与结果!$B$24,配置与结果!$B$25)*MAX(0,1-INDEX(配置与结果!$I$15:$I$18,F779))</f>
        <v>1200</v>
      </c>
      <c r="AF779" s="1">
        <f>3.6*IF(H779=1,1,IF(H779=2,1.5,2.5))</f>
        <v>3.6</v>
      </c>
      <c r="AG779" s="1">
        <f>MAX(配置与结果!$B$32,1+INDEX(配置与结果!$F$15:$F$18,F779)+0.08+Q779*方案参数!$W$24+Y779*(方案参数!$AN$24+MIN(方案参数!$AO$24,P779*0.03))+AB779*方案参数!$BZ$24*0.025+0.1+IF(方案参数!$BZ$24&gt;=30,方案参数!$BZ$24*0.01,0)-配置与结果!$B$28)</f>
        <v>1.5550000000000002</v>
      </c>
      <c r="AH779" s="1">
        <f>MAX(0,1+INDEX(配置与结果!$G$15:$G$18,F779)+W779*方案参数!$AG$24)</f>
        <v>1.3</v>
      </c>
      <c r="AI779" s="1">
        <f>IF(OR(INDEX(配置与结果!$K$15:$K$18,F779)=1,G779="RHI_BERRY"),1+配置与结果!$B$33+P779*方案参数!$AH$24,1)</f>
        <v>1</v>
      </c>
      <c r="AJ779" s="1">
        <f>MIN(1,MAX(0,J779+方案参数!$AB$24-配置与结果!$B$27))</f>
        <v>0.66700000000000004</v>
      </c>
      <c r="AK779" s="1">
        <f>MAX(1,K779+IF(F779=2,0.15+方案参数!$CH$24,0)+BN779*方案参数!$X$24+R779*方案参数!$AA$24+0-配置与结果!$B$26+Z779*(方案参数!$AP$24+MIN(方案参数!$AQ$24,P779*0.03)))</f>
        <v>1.8169999999999999</v>
      </c>
      <c r="AL779" s="7">
        <f>ROUNDDOWN(MAX(AD779*配置与结果!$B$31,AD779-AE779)*AF779*AG779*AH779*AI779,0)</f>
        <v>15362</v>
      </c>
      <c r="AM779" s="7">
        <f>ROUNDDOWN(MAX(AD779*配置与结果!$B$31,AD779-AE779)*AF779*AG779*AH779*AI779*AK779,0)</f>
        <v>27913</v>
      </c>
      <c r="AN779" s="7">
        <f t="shared" si="1095"/>
        <v>23733.517</v>
      </c>
      <c r="AO779" s="7">
        <f>0</f>
        <v>0</v>
      </c>
      <c r="AP779" s="7">
        <f>MAX(0,1+INDEX(配置与结果!$J$15:$J$18,F779)+IF(T779&gt;0,方案参数!$BY$24,0)-配置与结果!$B$30)</f>
        <v>2</v>
      </c>
      <c r="AQ779" s="7">
        <f t="shared" si="1096"/>
        <v>0</v>
      </c>
      <c r="AR779" s="7">
        <f t="shared" si="1097"/>
        <v>0</v>
      </c>
      <c r="AS779" s="7">
        <f t="shared" si="1098"/>
        <v>0</v>
      </c>
      <c r="AT779" s="7">
        <f>0</f>
        <v>0</v>
      </c>
      <c r="AU779" s="7">
        <f t="shared" si="1099"/>
        <v>23733.517</v>
      </c>
      <c r="AV779" s="1">
        <f t="shared" si="1100"/>
        <v>2</v>
      </c>
      <c r="AW779" s="1">
        <f t="shared" si="1093"/>
        <v>10</v>
      </c>
      <c r="AX779" s="1">
        <f t="shared" si="1101"/>
        <v>2</v>
      </c>
      <c r="AY779" s="1">
        <f t="shared" si="1087"/>
        <v>6</v>
      </c>
      <c r="AZ779" s="1">
        <f t="shared" si="1102"/>
        <v>5</v>
      </c>
      <c r="BA779" s="1">
        <f t="shared" si="1109"/>
        <v>5</v>
      </c>
      <c r="BB779" s="1">
        <f>MIN(30,R779+0)</f>
        <v>10</v>
      </c>
      <c r="BC779" s="1">
        <f>MIN(3,S779+1)</f>
        <v>3</v>
      </c>
      <c r="BD779" s="1">
        <f t="shared" si="1088"/>
        <v>1</v>
      </c>
      <c r="BE779" s="1">
        <f t="shared" si="1081"/>
        <v>0</v>
      </c>
      <c r="BF779" s="1">
        <f>MIN(4,V779+0)</f>
        <v>3</v>
      </c>
      <c r="BG779" s="1">
        <f t="shared" si="1106"/>
        <v>1</v>
      </c>
      <c r="BH779" s="1">
        <f t="shared" si="1082"/>
        <v>1</v>
      </c>
      <c r="BI779" s="1">
        <f t="shared" si="1107"/>
        <v>1</v>
      </c>
      <c r="BJ779" s="1">
        <f t="shared" si="1110"/>
        <v>1</v>
      </c>
      <c r="BK779" s="1">
        <f t="shared" si="1111"/>
        <v>1</v>
      </c>
      <c r="BL779" s="1">
        <f t="shared" si="1062"/>
        <v>0</v>
      </c>
      <c r="BM779" s="1">
        <f t="shared" si="1114"/>
        <v>1</v>
      </c>
      <c r="BN779" s="1">
        <f t="shared" si="1083"/>
        <v>1</v>
      </c>
      <c r="BO779" s="1">
        <f t="shared" si="1084"/>
        <v>1</v>
      </c>
    </row>
    <row r="780" spans="1:67" ht="30.95" customHeight="1">
      <c r="A780" s="1">
        <f>21</f>
        <v>21</v>
      </c>
      <c r="B780" s="1">
        <f>固定流程!A24</f>
        <v>19</v>
      </c>
      <c r="C780" s="1">
        <f>24</f>
        <v>24</v>
      </c>
      <c r="D780" s="1">
        <f>1</f>
        <v>1</v>
      </c>
      <c r="E780" s="1">
        <f>固定流程!C24</f>
        <v>3</v>
      </c>
      <c r="F780" s="1">
        <f>固定流程!G24</f>
        <v>4</v>
      </c>
      <c r="G780" s="1" t="str">
        <f>固定流程!H24</f>
        <v>J_ULT</v>
      </c>
      <c r="H780" s="1">
        <f>固定流程!F24</f>
        <v>1</v>
      </c>
      <c r="I780" s="1">
        <f>INDEX(配置与结果!$B$15:$B$18,F780)</f>
        <v>1906</v>
      </c>
      <c r="J780" s="1">
        <f>INDEX(配置与结果!$D$15:$D$18,F780)</f>
        <v>0.36699999999999999</v>
      </c>
      <c r="K780" s="1">
        <f>INDEX(配置与结果!$E$15:$E$18,F780)</f>
        <v>1.7170000000000001</v>
      </c>
      <c r="L780" s="1">
        <f t="shared" si="1103"/>
        <v>2</v>
      </c>
      <c r="M780" s="1">
        <f t="shared" si="1104"/>
        <v>10</v>
      </c>
      <c r="N780" s="1">
        <f t="shared" si="1105"/>
        <v>2</v>
      </c>
      <c r="O780" s="1">
        <f t="shared" si="1089"/>
        <v>6</v>
      </c>
      <c r="P780" s="1">
        <f>MIN(方案参数!$AI$24,AZ779+0+0)</f>
        <v>5</v>
      </c>
      <c r="Q780" s="1">
        <f t="shared" si="1067"/>
        <v>5</v>
      </c>
      <c r="R780" s="1">
        <f t="shared" si="1068"/>
        <v>10</v>
      </c>
      <c r="S780" s="1">
        <f t="shared" si="1069"/>
        <v>3</v>
      </c>
      <c r="T780" s="1">
        <f t="shared" si="1112"/>
        <v>1</v>
      </c>
      <c r="U780" s="1">
        <f t="shared" si="1071"/>
        <v>0</v>
      </c>
      <c r="V780" s="1">
        <f t="shared" si="1072"/>
        <v>3</v>
      </c>
      <c r="W780" s="1">
        <f t="shared" si="1073"/>
        <v>1</v>
      </c>
      <c r="X780" s="1">
        <f t="shared" si="1074"/>
        <v>1</v>
      </c>
      <c r="Y780" s="1">
        <f t="shared" si="1075"/>
        <v>1</v>
      </c>
      <c r="Z780" s="1">
        <f t="shared" si="1076"/>
        <v>1</v>
      </c>
      <c r="AA780" s="1">
        <f t="shared" si="1108"/>
        <v>1</v>
      </c>
      <c r="AB780" s="1">
        <f t="shared" si="1078"/>
        <v>0</v>
      </c>
      <c r="AC780" s="1">
        <f t="shared" si="1113"/>
        <v>1</v>
      </c>
      <c r="AD780" s="1">
        <f>ROUNDDOWN(I780*(1+IF(F780=3,0.05+方案参数!$Y$24+AA780*0.12,IF(F780=4,方案参数!$BZ$24*方案参数!$AS$24,0)))+IF(AND(X780=1,F780&lt;&gt;3),方案参数!$CC$24,0)+AC780*方案参数!$CB$24,0)</f>
        <v>3311</v>
      </c>
      <c r="AE780" s="1">
        <f>IF(OR(F780=1,F780=4),配置与结果!$B$24,配置与结果!$B$25)*MAX(0,1-INDEX(配置与结果!$I$15:$I$18,F780))</f>
        <v>1200</v>
      </c>
      <c r="AF780" s="1">
        <f>方案参数!$AT$24+MAX(0,配置与结果!$H$26+方案参数!$BZ$24-30)*方案参数!$AU$24*配置与结果!$H$27</f>
        <v>42</v>
      </c>
      <c r="AG780" s="1">
        <f>MAX(配置与结果!$B$32,1+INDEX(配置与结果!$F$15:$F$18,F780)+0.08+Q780*方案参数!$W$24+Y780*(方案参数!$AN$24+MIN(方案参数!$AO$24,P780*0.03))+AB780*方案参数!$BZ$24*0.025-配置与结果!$B$28)</f>
        <v>1.105</v>
      </c>
      <c r="AH780" s="1">
        <f>MAX(0,1+INDEX(配置与结果!$H$15:$H$18,F780)+W780*方案参数!$AG$24+S780*方案参数!$Z$24)</f>
        <v>1.42</v>
      </c>
      <c r="AI780" s="1">
        <f>IF(OR(INDEX(配置与结果!$K$15:$K$18,F780)=1,G780="RHI_BERRY"),1+配置与结果!$B$33+P780*方案参数!$AH$24,1)</f>
        <v>1</v>
      </c>
      <c r="AJ780" s="1">
        <f>MIN(1,MAX(0,J780+方案参数!$AB$24-配置与结果!$B$27))</f>
        <v>0.66700000000000004</v>
      </c>
      <c r="AK780" s="1">
        <f>MAX(1,K780+IF(F780=2,0.15+方案参数!$CH$24,0)+BN780*方案参数!$X$24+R780*方案参数!$AA$24+0-配置与结果!$B$26+Z780*(方案参数!$AP$24+MIN(方案参数!$AQ$24,P780*0.03)))</f>
        <v>1.8169999999999999</v>
      </c>
      <c r="AL780" s="7">
        <f>ROUNDDOWN(MAX(AD780*配置与结果!$B$31,AD780-AE780)*AF780*AG780*AH780*AI780,0)</f>
        <v>139119</v>
      </c>
      <c r="AM780" s="7">
        <f>ROUNDDOWN(MAX(AD780*配置与结果!$B$31,AD780-AE780)*AF780*AG780*AH780*AI780*AK780,0)</f>
        <v>252780</v>
      </c>
      <c r="AN780" s="7">
        <f t="shared" si="1095"/>
        <v>214930.88699999999</v>
      </c>
      <c r="AO780" s="7">
        <f>0</f>
        <v>0</v>
      </c>
      <c r="AP780" s="7">
        <f>MAX(0,1+INDEX(配置与结果!$J$15:$J$18,F780)+IF(T780&gt;0,方案参数!$BY$24,0)-配置与结果!$B$30)</f>
        <v>2</v>
      </c>
      <c r="AQ780" s="7">
        <f t="shared" si="1096"/>
        <v>0</v>
      </c>
      <c r="AR780" s="7">
        <f t="shared" si="1097"/>
        <v>0</v>
      </c>
      <c r="AS780" s="7">
        <f t="shared" si="1098"/>
        <v>0</v>
      </c>
      <c r="AT780" s="7">
        <f>0</f>
        <v>0</v>
      </c>
      <c r="AU780" s="7">
        <f t="shared" si="1099"/>
        <v>214930.88699999999</v>
      </c>
      <c r="AV780" s="1">
        <f t="shared" si="1100"/>
        <v>2</v>
      </c>
      <c r="AW780" s="1">
        <f t="shared" si="1093"/>
        <v>10</v>
      </c>
      <c r="AX780" s="1">
        <f t="shared" si="1101"/>
        <v>2</v>
      </c>
      <c r="AY780" s="1">
        <f t="shared" si="1087"/>
        <v>6</v>
      </c>
      <c r="AZ780" s="1">
        <f t="shared" si="1102"/>
        <v>5</v>
      </c>
      <c r="BA780" s="1">
        <f t="shared" si="1109"/>
        <v>5</v>
      </c>
      <c r="BB780" s="1">
        <f>MIN(30,R780+5)</f>
        <v>15</v>
      </c>
      <c r="BC780" s="1">
        <f t="shared" ref="BC780:BC803" si="1115">MIN(3,S780+0)</f>
        <v>3</v>
      </c>
      <c r="BD780" s="1">
        <f t="shared" si="1088"/>
        <v>1</v>
      </c>
      <c r="BE780" s="1">
        <f t="shared" si="1081"/>
        <v>0</v>
      </c>
      <c r="BF780" s="1">
        <f>MIN(4,V780+0)</f>
        <v>3</v>
      </c>
      <c r="BG780" s="1">
        <f t="shared" si="1106"/>
        <v>1</v>
      </c>
      <c r="BH780" s="1">
        <f t="shared" si="1082"/>
        <v>1</v>
      </c>
      <c r="BI780" s="1">
        <f t="shared" si="1107"/>
        <v>1</v>
      </c>
      <c r="BJ780" s="1">
        <f t="shared" si="1110"/>
        <v>1</v>
      </c>
      <c r="BK780" s="1">
        <f t="shared" si="1111"/>
        <v>1</v>
      </c>
      <c r="BL780" s="1">
        <f>MAX(AB780,1)</f>
        <v>1</v>
      </c>
      <c r="BM780" s="1">
        <f t="shared" si="1114"/>
        <v>1</v>
      </c>
      <c r="BN780" s="1">
        <f t="shared" si="1083"/>
        <v>1</v>
      </c>
      <c r="BO780" s="1">
        <f t="shared" si="1084"/>
        <v>1</v>
      </c>
    </row>
    <row r="781" spans="1:67" ht="30.95" customHeight="1">
      <c r="A781" s="1">
        <f>21</f>
        <v>21</v>
      </c>
      <c r="B781" s="1">
        <f>固定流程!A25</f>
        <v>20</v>
      </c>
      <c r="C781" s="1">
        <f>24</f>
        <v>24</v>
      </c>
      <c r="D781" s="1">
        <f>1</f>
        <v>1</v>
      </c>
      <c r="E781" s="1">
        <f>固定流程!C25</f>
        <v>3</v>
      </c>
      <c r="F781" s="1">
        <f>固定流程!G25</f>
        <v>1</v>
      </c>
      <c r="G781" s="1" t="str">
        <f>固定流程!H25</f>
        <v>LILYA_ULT</v>
      </c>
      <c r="H781" s="1">
        <f>固定流程!F25</f>
        <v>1</v>
      </c>
      <c r="I781" s="1">
        <f>INDEX(配置与结果!$B$15:$B$18,F781)</f>
        <v>2296</v>
      </c>
      <c r="J781" s="1">
        <f>INDEX(配置与结果!$D$15:$D$18,F781)</f>
        <v>0.7</v>
      </c>
      <c r="K781" s="1">
        <f>INDEX(配置与结果!$E$15:$E$18,F781)</f>
        <v>2.0249999999999999</v>
      </c>
      <c r="L781" s="1">
        <f t="shared" si="1103"/>
        <v>2</v>
      </c>
      <c r="M781" s="1">
        <f t="shared" si="1104"/>
        <v>10</v>
      </c>
      <c r="N781" s="1">
        <f t="shared" si="1105"/>
        <v>2</v>
      </c>
      <c r="O781" s="1">
        <f t="shared" si="1089"/>
        <v>6</v>
      </c>
      <c r="P781" s="1">
        <f>MIN(方案参数!$AI$24,AZ780+0+0)</f>
        <v>5</v>
      </c>
      <c r="Q781" s="1">
        <f t="shared" si="1067"/>
        <v>5</v>
      </c>
      <c r="R781" s="1">
        <f t="shared" si="1068"/>
        <v>15</v>
      </c>
      <c r="S781" s="1">
        <f t="shared" si="1069"/>
        <v>3</v>
      </c>
      <c r="T781" s="1">
        <f t="shared" si="1112"/>
        <v>1</v>
      </c>
      <c r="U781" s="1">
        <f t="shared" si="1071"/>
        <v>0</v>
      </c>
      <c r="V781" s="1">
        <f t="shared" si="1072"/>
        <v>3</v>
      </c>
      <c r="W781" s="1">
        <f t="shared" si="1073"/>
        <v>1</v>
      </c>
      <c r="X781" s="1">
        <f t="shared" si="1074"/>
        <v>1</v>
      </c>
      <c r="Y781" s="1">
        <f t="shared" si="1075"/>
        <v>1</v>
      </c>
      <c r="Z781" s="1">
        <f t="shared" si="1076"/>
        <v>1</v>
      </c>
      <c r="AA781" s="1">
        <f t="shared" si="1108"/>
        <v>1</v>
      </c>
      <c r="AB781" s="1">
        <f t="shared" si="1078"/>
        <v>1</v>
      </c>
      <c r="AC781" s="1">
        <f t="shared" si="1113"/>
        <v>1</v>
      </c>
      <c r="AD781" s="1">
        <f>ROUNDDOWN(I781*(1+IF(F781=3,0.05+方案参数!$Y$24+AA781*0.12,IF(F781=4,方案参数!$BZ$24*方案参数!$AS$24,0)))+IF(AND(X781=1,F781&lt;&gt;3),方案参数!$CC$24,0)+AC781*方案参数!$CB$24,0)</f>
        <v>3034</v>
      </c>
      <c r="AE781" s="1">
        <f>IF(OR(F781=1,F781=4),配置与结果!$B$24,配置与结果!$B$25)*MAX(0,1-INDEX(配置与结果!$I$15:$I$18,F781)+IF(O781&gt;=6,方案参数!$BK$24,0))</f>
        <v>1440</v>
      </c>
      <c r="AF781" s="1">
        <f>方案参数!$BG$24+IF(O781&gt;=6,方案参数!$BH$24,0)</f>
        <v>36</v>
      </c>
      <c r="AG781" s="1">
        <f>MAX(配置与结果!$B$32,1+INDEX(配置与结果!$F$15:$F$18,F781)+0.08+方案参数!$CD$24+Q781*方案参数!$W$24+Y781*(方案参数!$AN$24+MIN(方案参数!$AO$24,P781*0.03))+AB781*方案参数!$BZ$24*0.025-配置与结果!$B$28)</f>
        <v>2.2150000000000003</v>
      </c>
      <c r="AH781" s="1">
        <f>MAX(0,1+INDEX(配置与结果!$H$15:$H$18,F781)+W781*方案参数!$AG$24+O781*方案参数!$BF$24+IF(O781&gt;=6,方案参数!$BI$24,0))</f>
        <v>2.4500000000000002</v>
      </c>
      <c r="AI781" s="1">
        <f>IF(OR(INDEX(配置与结果!$K$15:$K$18,F781)=1,G781="RHI_BERRY"),1+配置与结果!$B$33+P781*方案参数!$AH$24,1)</f>
        <v>1</v>
      </c>
      <c r="AJ781" s="1">
        <f>MIN(1,MAX(0,J781+方案参数!$AB$24-配置与结果!$B$27))</f>
        <v>1</v>
      </c>
      <c r="AK781" s="1">
        <f>MAX(1,K781+IF(F781=2,0.15+方案参数!$CH$24,0)+BN781*方案参数!$X$24+R781*方案参数!$AA$24+IF(O781&gt;=6,方案参数!$BJ$24,0)-配置与结果!$B$26+Z781*(方案参数!$AP$24+MIN(方案参数!$AQ$24,P781*0.03)))</f>
        <v>3.145</v>
      </c>
      <c r="AL781" s="7">
        <f>ROUNDDOWN(MAX(AD781*配置与结果!$B$31,AD781-AE781)*AF781*AG781*AH781*AI781,0)</f>
        <v>311408</v>
      </c>
      <c r="AM781" s="7">
        <f>ROUNDDOWN(MAX(AD781*配置与结果!$B$31,AD781-AE781)*AF781*AG781*AH781*AI781*AK781,0)</f>
        <v>979380</v>
      </c>
      <c r="AN781" s="7">
        <f t="shared" si="1095"/>
        <v>979380</v>
      </c>
      <c r="AO781" s="7">
        <f>0</f>
        <v>0</v>
      </c>
      <c r="AP781" s="7">
        <f>MAX(0,1+INDEX(配置与结果!$J$15:$J$18,F781)+IF(T781&gt;0,方案参数!$BY$24,0)-配置与结果!$B$30)</f>
        <v>2</v>
      </c>
      <c r="AQ781" s="7">
        <f t="shared" si="1096"/>
        <v>0</v>
      </c>
      <c r="AR781" s="7">
        <f t="shared" si="1097"/>
        <v>0</v>
      </c>
      <c r="AS781" s="7">
        <f t="shared" si="1098"/>
        <v>0</v>
      </c>
      <c r="AT781" s="7">
        <f>0</f>
        <v>0</v>
      </c>
      <c r="AU781" s="7">
        <f t="shared" si="1099"/>
        <v>979380</v>
      </c>
      <c r="AV781" s="1">
        <f t="shared" si="1100"/>
        <v>2</v>
      </c>
      <c r="AW781" s="1">
        <f t="shared" si="1093"/>
        <v>10</v>
      </c>
      <c r="AX781" s="1">
        <f t="shared" si="1101"/>
        <v>2</v>
      </c>
      <c r="AY781" s="1">
        <f>MIN(20,MAX(0,O781+0+0-IF(O781&gt;=6,6,0)))</f>
        <v>0</v>
      </c>
      <c r="AZ781" s="1">
        <f t="shared" si="1102"/>
        <v>5</v>
      </c>
      <c r="BA781" s="1">
        <f t="shared" si="1109"/>
        <v>5</v>
      </c>
      <c r="BB781" s="1">
        <f>MIN(30,R781+5)</f>
        <v>20</v>
      </c>
      <c r="BC781" s="1">
        <f t="shared" si="1115"/>
        <v>3</v>
      </c>
      <c r="BD781" s="1">
        <f t="shared" si="1088"/>
        <v>1</v>
      </c>
      <c r="BE781" s="1">
        <f t="shared" si="1081"/>
        <v>0</v>
      </c>
      <c r="BF781" s="1">
        <f>MIN(4,V781+0)</f>
        <v>3</v>
      </c>
      <c r="BG781" s="1">
        <f t="shared" si="1106"/>
        <v>1</v>
      </c>
      <c r="BH781" s="1">
        <f t="shared" si="1082"/>
        <v>1</v>
      </c>
      <c r="BI781" s="1">
        <f t="shared" si="1107"/>
        <v>1</v>
      </c>
      <c r="BJ781" s="1">
        <f t="shared" si="1110"/>
        <v>1</v>
      </c>
      <c r="BK781" s="1">
        <f t="shared" si="1111"/>
        <v>1</v>
      </c>
      <c r="BL781" s="1">
        <f t="shared" ref="BL781:BL815" si="1116">MAX(AB781,0)</f>
        <v>1</v>
      </c>
      <c r="BM781" s="1">
        <f t="shared" si="1114"/>
        <v>1</v>
      </c>
      <c r="BN781" s="1">
        <f t="shared" si="1083"/>
        <v>1</v>
      </c>
      <c r="BO781" s="1">
        <f t="shared" si="1084"/>
        <v>1</v>
      </c>
    </row>
    <row r="782" spans="1:67" ht="30.95" customHeight="1">
      <c r="A782" s="1">
        <f>21</f>
        <v>21</v>
      </c>
      <c r="B782" s="1">
        <f>固定流程!A26</f>
        <v>21</v>
      </c>
      <c r="C782" s="1">
        <f>24</f>
        <v>24</v>
      </c>
      <c r="D782" s="1">
        <f>1</f>
        <v>1</v>
      </c>
      <c r="E782" s="1">
        <f>固定流程!C26</f>
        <v>3</v>
      </c>
      <c r="F782" s="1">
        <f>固定流程!G26</f>
        <v>1</v>
      </c>
      <c r="G782" s="1" t="str">
        <f>固定流程!H26</f>
        <v>LILYA_DIVE</v>
      </c>
      <c r="H782" s="1">
        <f>固定流程!F26</f>
        <v>3</v>
      </c>
      <c r="I782" s="1">
        <f>INDEX(配置与结果!$B$15:$B$18,F782)</f>
        <v>2296</v>
      </c>
      <c r="J782" s="1">
        <f>INDEX(配置与结果!$D$15:$D$18,F782)</f>
        <v>0.7</v>
      </c>
      <c r="K782" s="1">
        <f>INDEX(配置与结果!$E$15:$E$18,F782)</f>
        <v>2.0249999999999999</v>
      </c>
      <c r="L782" s="1">
        <f t="shared" si="1103"/>
        <v>2</v>
      </c>
      <c r="M782" s="1">
        <f t="shared" si="1104"/>
        <v>10</v>
      </c>
      <c r="N782" s="1">
        <f t="shared" si="1105"/>
        <v>2</v>
      </c>
      <c r="O782" s="1">
        <f t="shared" si="1089"/>
        <v>0</v>
      </c>
      <c r="P782" s="1">
        <f>MIN(方案参数!$AI$24,AZ781+0+0)</f>
        <v>5</v>
      </c>
      <c r="Q782" s="1">
        <f t="shared" si="1067"/>
        <v>5</v>
      </c>
      <c r="R782" s="1">
        <f t="shared" si="1068"/>
        <v>20</v>
      </c>
      <c r="S782" s="1">
        <f t="shared" si="1069"/>
        <v>3</v>
      </c>
      <c r="T782" s="1">
        <f t="shared" si="1112"/>
        <v>1</v>
      </c>
      <c r="U782" s="1">
        <f t="shared" si="1071"/>
        <v>0</v>
      </c>
      <c r="V782" s="1">
        <f t="shared" si="1072"/>
        <v>3</v>
      </c>
      <c r="W782" s="1">
        <f t="shared" si="1073"/>
        <v>1</v>
      </c>
      <c r="X782" s="1">
        <f t="shared" si="1074"/>
        <v>1</v>
      </c>
      <c r="Y782" s="1">
        <f t="shared" si="1075"/>
        <v>1</v>
      </c>
      <c r="Z782" s="1">
        <f t="shared" si="1076"/>
        <v>1</v>
      </c>
      <c r="AA782" s="1">
        <f t="shared" si="1108"/>
        <v>1</v>
      </c>
      <c r="AB782" s="1">
        <f t="shared" si="1078"/>
        <v>1</v>
      </c>
      <c r="AC782" s="1">
        <f t="shared" si="1113"/>
        <v>1</v>
      </c>
      <c r="AD782" s="1">
        <f>ROUNDDOWN(I782*(1+IF(F782=3,0.05+方案参数!$Y$24+AA782*0.12,IF(F782=4,方案参数!$BZ$24*方案参数!$AS$24,0)))+IF(AND(X782=1,F782&lt;&gt;3),方案参数!$CC$24,0)+AC782*方案参数!$CB$24,0)</f>
        <v>3034</v>
      </c>
      <c r="AE782" s="1">
        <f>IF(OR(F782=1,F782=4),配置与结果!$B$24,配置与结果!$B$25)*MAX(0,1-INDEX(配置与结果!$I$15:$I$18,F782))</f>
        <v>1200</v>
      </c>
      <c r="AF782" s="1">
        <f>(IF(L782=1,方案参数!$AW$24,IF(L782=2,方案参数!$AX$24,0))+方案参数!$AV$24)*H782</f>
        <v>30</v>
      </c>
      <c r="AG782" s="1">
        <f>MAX(配置与结果!$B$32,1+INDEX(配置与结果!$F$15:$F$18,F782)+0.08+方案参数!$CD$24+Q782*方案参数!$W$24+Y782*(方案参数!$AN$24+MIN(方案参数!$AO$24,P782*0.03))+AB782*方案参数!$BZ$24*0.025+IF(L782=1,方案参数!$AY$24+(H782-1)*0.1,IF(L782=2,方案参数!$AZ$24+(H782-1)*0.2,0))-配置与结果!$B$28)</f>
        <v>2.8150000000000004</v>
      </c>
      <c r="AH782" s="1">
        <f>MAX(0,1+INDEX(配置与结果!$G$15:$G$18,F782)+W782*方案参数!$AG$24+IF(L782=1,方案参数!$BA$24,IF(L782=2,方案参数!$BB$24,0))+M782*方案参数!$BC$24)</f>
        <v>3.1</v>
      </c>
      <c r="AI782" s="1">
        <f>IF(OR(INDEX(配置与结果!$K$15:$K$18,F782)=1,G782="RHI_BERRY"),1+配置与结果!$B$33+P782*方案参数!$AH$24,1)</f>
        <v>1</v>
      </c>
      <c r="AJ782" s="1">
        <f>MIN(1,MAX(0,J782+方案参数!$AB$24-配置与结果!$B$27))</f>
        <v>1</v>
      </c>
      <c r="AK782" s="1">
        <f>MAX(1,K782+IF(F782=2,0.15+方案参数!$CH$24,0)+BN782*方案参数!$X$24+R782*方案参数!$AA$24+0-配置与结果!$B$26+Z782*(方案参数!$AP$24+MIN(方案参数!$AQ$24,P782*0.03)))</f>
        <v>2.165</v>
      </c>
      <c r="AL782" s="7">
        <f>ROUNDDOWN(MAX(AD782*配置与结果!$B$31,AD782-AE782)*AF782*AG782*AH782*AI782,0)</f>
        <v>480132</v>
      </c>
      <c r="AM782" s="7">
        <f>ROUNDDOWN(MAX(AD782*配置与结果!$B$31,AD782-AE782)*AF782*AG782*AH782*AI782*AK782,0)</f>
        <v>1039485</v>
      </c>
      <c r="AN782" s="7">
        <f t="shared" si="1095"/>
        <v>1039485</v>
      </c>
      <c r="AO782" s="7">
        <f>0</f>
        <v>0</v>
      </c>
      <c r="AP782" s="7">
        <f>MAX(0,1+INDEX(配置与结果!$J$15:$J$18,F782)+IF(T782&gt;0,方案参数!$BY$24,0)-配置与结果!$B$30)</f>
        <v>2</v>
      </c>
      <c r="AQ782" s="7">
        <f t="shared" si="1096"/>
        <v>0</v>
      </c>
      <c r="AR782" s="7">
        <f t="shared" si="1097"/>
        <v>0</v>
      </c>
      <c r="AS782" s="7">
        <f t="shared" si="1098"/>
        <v>0</v>
      </c>
      <c r="AT782" s="7">
        <f>0</f>
        <v>0</v>
      </c>
      <c r="AU782" s="7">
        <f t="shared" si="1099"/>
        <v>1039485</v>
      </c>
      <c r="AV782" s="1">
        <f t="shared" si="1100"/>
        <v>2</v>
      </c>
      <c r="AW782" s="1">
        <f>MIN(10,M782+0+IF(L782=1,方案参数!$BE$24,0))</f>
        <v>10</v>
      </c>
      <c r="AX782" s="1">
        <f t="shared" si="1101"/>
        <v>2</v>
      </c>
      <c r="AY782" s="1">
        <f>MIN(20,MAX(0,O782+0+0-0))</f>
        <v>0</v>
      </c>
      <c r="AZ782" s="1">
        <f t="shared" si="1102"/>
        <v>5</v>
      </c>
      <c r="BA782" s="1">
        <f t="shared" si="1109"/>
        <v>5</v>
      </c>
      <c r="BB782" s="1">
        <f t="shared" ref="BB782:BB797" si="1117">MIN(30,R782+0)</f>
        <v>20</v>
      </c>
      <c r="BC782" s="1">
        <f t="shared" si="1115"/>
        <v>3</v>
      </c>
      <c r="BD782" s="1">
        <f t="shared" si="1088"/>
        <v>1</v>
      </c>
      <c r="BE782" s="1">
        <f t="shared" si="1081"/>
        <v>0</v>
      </c>
      <c r="BF782" s="1">
        <f>MIN(4,V782+0)</f>
        <v>3</v>
      </c>
      <c r="BG782" s="1">
        <f t="shared" si="1106"/>
        <v>1</v>
      </c>
      <c r="BH782" s="1">
        <f t="shared" si="1082"/>
        <v>1</v>
      </c>
      <c r="BI782" s="1">
        <f t="shared" si="1107"/>
        <v>1</v>
      </c>
      <c r="BJ782" s="1">
        <f t="shared" si="1110"/>
        <v>1</v>
      </c>
      <c r="BK782" s="1">
        <f t="shared" si="1111"/>
        <v>1</v>
      </c>
      <c r="BL782" s="1">
        <f t="shared" si="1116"/>
        <v>1</v>
      </c>
      <c r="BM782" s="1">
        <f t="shared" si="1114"/>
        <v>1</v>
      </c>
      <c r="BN782" s="1">
        <f t="shared" si="1083"/>
        <v>1</v>
      </c>
      <c r="BO782" s="1">
        <f t="shared" si="1084"/>
        <v>1</v>
      </c>
    </row>
    <row r="783" spans="1:67" ht="30.95" customHeight="1">
      <c r="A783" s="1">
        <f>21</f>
        <v>21</v>
      </c>
      <c r="B783" s="1">
        <f>固定流程!A27</f>
        <v>22</v>
      </c>
      <c r="C783" s="1">
        <f>24</f>
        <v>24</v>
      </c>
      <c r="D783" s="1">
        <f>1</f>
        <v>1</v>
      </c>
      <c r="E783" s="1">
        <f>固定流程!C27</f>
        <v>3</v>
      </c>
      <c r="F783" s="1">
        <f>固定流程!G27</f>
        <v>3</v>
      </c>
      <c r="G783" s="1" t="str">
        <f>固定流程!H27</f>
        <v>RHI_BERRY</v>
      </c>
      <c r="H783" s="1">
        <f>固定流程!F27</f>
        <v>1</v>
      </c>
      <c r="I783" s="1">
        <f>INDEX(配置与结果!$B$15:$B$18,F783)</f>
        <v>2597</v>
      </c>
      <c r="J783" s="1">
        <f>INDEX(配置与结果!$D$15:$D$18,F783)</f>
        <v>0.255</v>
      </c>
      <c r="K783" s="1">
        <f>INDEX(配置与结果!$E$15:$E$18,F783)</f>
        <v>1.55</v>
      </c>
      <c r="L783" s="1">
        <f t="shared" si="1103"/>
        <v>2</v>
      </c>
      <c r="M783" s="1">
        <f t="shared" si="1104"/>
        <v>10</v>
      </c>
      <c r="N783" s="1">
        <f t="shared" si="1105"/>
        <v>2</v>
      </c>
      <c r="O783" s="1">
        <f t="shared" si="1089"/>
        <v>0</v>
      </c>
      <c r="P783" s="1">
        <f>MIN(方案参数!$AI$24,AZ782+0+0)</f>
        <v>5</v>
      </c>
      <c r="Q783" s="1">
        <f t="shared" si="1067"/>
        <v>5</v>
      </c>
      <c r="R783" s="1">
        <f t="shared" si="1068"/>
        <v>20</v>
      </c>
      <c r="S783" s="1">
        <f t="shared" si="1069"/>
        <v>3</v>
      </c>
      <c r="T783" s="1">
        <f t="shared" si="1112"/>
        <v>1</v>
      </c>
      <c r="U783" s="1">
        <f t="shared" si="1071"/>
        <v>0</v>
      </c>
      <c r="V783" s="1">
        <f t="shared" si="1072"/>
        <v>3</v>
      </c>
      <c r="W783" s="1">
        <f t="shared" si="1073"/>
        <v>1</v>
      </c>
      <c r="X783" s="1">
        <f t="shared" si="1074"/>
        <v>1</v>
      </c>
      <c r="Y783" s="1">
        <f t="shared" si="1075"/>
        <v>1</v>
      </c>
      <c r="Z783" s="1">
        <f t="shared" si="1076"/>
        <v>1</v>
      </c>
      <c r="AA783" s="1">
        <f t="shared" si="1108"/>
        <v>1</v>
      </c>
      <c r="AB783" s="1">
        <f t="shared" si="1078"/>
        <v>1</v>
      </c>
      <c r="AC783" s="1">
        <f t="shared" si="1113"/>
        <v>1</v>
      </c>
      <c r="AD783" s="1">
        <f>ROUNDDOWN(I783*(1+IF(F783=3,0.05+方案参数!$Y$24+AA783*0.12,IF(F783=4,方案参数!$BZ$24*方案参数!$AS$24,0)))+IF(AND(X783=1,F783&lt;&gt;3),方案参数!$CC$24,0)+AC783*方案参数!$CB$24,0)</f>
        <v>3798</v>
      </c>
      <c r="AE783" s="1">
        <f>IF(OR(F783=1,F783=4),配置与结果!$B$24,配置与结果!$B$25)*MAX(0,1-INDEX(配置与结果!$I$15:$I$18,F783))</f>
        <v>1000</v>
      </c>
      <c r="AF783" s="1">
        <f>方案参数!$CF$24+P783*方案参数!$CG$24</f>
        <v>22.5</v>
      </c>
      <c r="AG783" s="1">
        <f>MAX(配置与结果!$B$32,1+INDEX(配置与结果!$F$15:$F$18,F783)+0+Q783*方案参数!$W$24+Y783*(方案参数!$AN$24+MIN(方案参数!$AO$24,P783*0.03))+AB783*方案参数!$BZ$24*0.025-配置与结果!$B$28)</f>
        <v>1.9100000000000001</v>
      </c>
      <c r="AH783" s="1">
        <f>MAX(0,1+INDEX(配置与结果!$G$15:$G$18,F783)+W783*方案参数!$AG$24)</f>
        <v>1.3</v>
      </c>
      <c r="AI783" s="1">
        <f>IF(OR(INDEX(配置与结果!$K$15:$K$18,F783)=1,G783="RHI_BERRY"),1+配置与结果!$B$33+P783*方案参数!$AH$24,1)</f>
        <v>1.5</v>
      </c>
      <c r="AJ783" s="1">
        <f>MIN(1,MAX(0,J783+方案参数!$AB$24-配置与结果!$B$27))</f>
        <v>0.55499999999999994</v>
      </c>
      <c r="AK783" s="1">
        <f>MAX(1,K783+IF(F783=2,0.15+方案参数!$CH$24,0)+BN783*方案参数!$X$24+R783*方案参数!$AA$24+0-配置与结果!$B$26+Z783*(方案参数!$AP$24+MIN(方案参数!$AQ$24,P783*0.03)))</f>
        <v>1.6900000000000002</v>
      </c>
      <c r="AL783" s="7">
        <f>ROUNDDOWN(MAX(AD783*配置与结果!$B$31,AD783-AE783)*AF783*AG783*AH783*AI783,0)</f>
        <v>234475</v>
      </c>
      <c r="AM783" s="7">
        <f>ROUNDDOWN(MAX(AD783*配置与结果!$B$31,AD783-AE783)*AF783*AG783*AH783*AI783*AK783,0)</f>
        <v>396264</v>
      </c>
      <c r="AN783" s="7">
        <f t="shared" si="1095"/>
        <v>324267.89500000002</v>
      </c>
      <c r="AO783" s="7">
        <f>0</f>
        <v>0</v>
      </c>
      <c r="AP783" s="7">
        <f>MAX(0,1+INDEX(配置与结果!$J$15:$J$18,F783)+IF(T783&gt;0,方案参数!$BY$24,0)-配置与结果!$B$30)</f>
        <v>2</v>
      </c>
      <c r="AQ783" s="7">
        <f t="shared" si="1096"/>
        <v>0</v>
      </c>
      <c r="AR783" s="7">
        <f t="shared" si="1097"/>
        <v>0</v>
      </c>
      <c r="AS783" s="7">
        <f t="shared" si="1098"/>
        <v>0</v>
      </c>
      <c r="AT783" s="7">
        <f>0</f>
        <v>0</v>
      </c>
      <c r="AU783" s="7">
        <f t="shared" si="1099"/>
        <v>324267.89500000002</v>
      </c>
      <c r="AV783" s="1">
        <f t="shared" si="1100"/>
        <v>2</v>
      </c>
      <c r="AW783" s="1">
        <f t="shared" ref="AW783:AW799" si="1118">MIN(10,M783+0+0)</f>
        <v>10</v>
      </c>
      <c r="AX783" s="1">
        <f t="shared" si="1101"/>
        <v>2</v>
      </c>
      <c r="AY783" s="1">
        <f>MIN(20,MAX(0,O783+0+0-0))</f>
        <v>0</v>
      </c>
      <c r="AZ783" s="1">
        <f t="shared" si="1102"/>
        <v>5</v>
      </c>
      <c r="BA783" s="1">
        <f t="shared" si="1109"/>
        <v>5</v>
      </c>
      <c r="BB783" s="1">
        <f t="shared" si="1117"/>
        <v>20</v>
      </c>
      <c r="BC783" s="1">
        <f t="shared" si="1115"/>
        <v>3</v>
      </c>
      <c r="BD783" s="1">
        <f t="shared" si="1088"/>
        <v>1</v>
      </c>
      <c r="BE783" s="1">
        <f t="shared" si="1081"/>
        <v>0</v>
      </c>
      <c r="BF783" s="1">
        <f>MIN(4,V783+0)</f>
        <v>3</v>
      </c>
      <c r="BG783" s="1">
        <f t="shared" si="1106"/>
        <v>1</v>
      </c>
      <c r="BH783" s="1">
        <f t="shared" si="1082"/>
        <v>1</v>
      </c>
      <c r="BI783" s="1">
        <f t="shared" si="1107"/>
        <v>1</v>
      </c>
      <c r="BJ783" s="1">
        <f t="shared" si="1110"/>
        <v>1</v>
      </c>
      <c r="BK783" s="1">
        <f t="shared" si="1111"/>
        <v>1</v>
      </c>
      <c r="BL783" s="1">
        <f t="shared" si="1116"/>
        <v>1</v>
      </c>
      <c r="BM783" s="1">
        <f t="shared" si="1114"/>
        <v>1</v>
      </c>
      <c r="BN783" s="1">
        <f t="shared" si="1083"/>
        <v>1</v>
      </c>
      <c r="BO783" s="1">
        <f t="shared" si="1084"/>
        <v>1</v>
      </c>
    </row>
    <row r="784" spans="1:67" ht="30.95" customHeight="1">
      <c r="A784" s="1">
        <f>21</f>
        <v>21</v>
      </c>
      <c r="B784" s="1">
        <f>固定流程!A28</f>
        <v>23</v>
      </c>
      <c r="C784" s="1">
        <f>24</f>
        <v>24</v>
      </c>
      <c r="D784" s="1">
        <f>1</f>
        <v>1</v>
      </c>
      <c r="E784" s="1">
        <f>固定流程!C28</f>
        <v>3</v>
      </c>
      <c r="F784" s="1">
        <f>固定流程!G28</f>
        <v>2</v>
      </c>
      <c r="G784" s="1" t="str">
        <f>固定流程!H28</f>
        <v>37_FOLLOW</v>
      </c>
      <c r="H784" s="1">
        <f>固定流程!F28</f>
        <v>1</v>
      </c>
      <c r="I784" s="1">
        <f>INDEX(配置与结果!$B$15:$B$18,F784)</f>
        <v>2306</v>
      </c>
      <c r="J784" s="1">
        <f>INDEX(配置与结果!$D$15:$D$18,F784)</f>
        <v>0.46</v>
      </c>
      <c r="K784" s="1">
        <f>INDEX(配置与结果!$E$15:$E$18,F784)</f>
        <v>1.9279999999999999</v>
      </c>
      <c r="L784" s="1">
        <f t="shared" si="1103"/>
        <v>2</v>
      </c>
      <c r="M784" s="1">
        <f t="shared" si="1104"/>
        <v>10</v>
      </c>
      <c r="N784" s="1">
        <f t="shared" si="1105"/>
        <v>2</v>
      </c>
      <c r="O784" s="1">
        <f t="shared" si="1089"/>
        <v>0</v>
      </c>
      <c r="P784" s="1">
        <f>MIN(方案参数!$AI$24,AZ783+0+0)</f>
        <v>5</v>
      </c>
      <c r="Q784" s="1">
        <f t="shared" si="1067"/>
        <v>5</v>
      </c>
      <c r="R784" s="1">
        <f t="shared" si="1068"/>
        <v>20</v>
      </c>
      <c r="S784" s="1">
        <f t="shared" si="1069"/>
        <v>3</v>
      </c>
      <c r="T784" s="1">
        <f t="shared" si="1112"/>
        <v>1</v>
      </c>
      <c r="U784" s="1">
        <f t="shared" si="1071"/>
        <v>0</v>
      </c>
      <c r="V784" s="1">
        <f t="shared" si="1072"/>
        <v>3</v>
      </c>
      <c r="W784" s="1">
        <f t="shared" si="1073"/>
        <v>1</v>
      </c>
      <c r="X784" s="1">
        <f t="shared" si="1074"/>
        <v>1</v>
      </c>
      <c r="Y784" s="1">
        <f t="shared" si="1075"/>
        <v>1</v>
      </c>
      <c r="Z784" s="1">
        <f t="shared" si="1076"/>
        <v>1</v>
      </c>
      <c r="AA784" s="1">
        <f t="shared" si="1108"/>
        <v>1</v>
      </c>
      <c r="AB784" s="1">
        <f t="shared" si="1078"/>
        <v>1</v>
      </c>
      <c r="AC784" s="1">
        <f t="shared" si="1113"/>
        <v>1</v>
      </c>
      <c r="AD784" s="1">
        <f>ROUNDDOWN(I784*(1+IF(F784=3,0.05+方案参数!$Y$24+AA784*0.12,IF(F784=4,方案参数!$BZ$24*方案参数!$AS$24,0)))+IF(AND(X784=1,F784&lt;&gt;3),方案参数!$CC$24,0)+AC784*方案参数!$CB$24,0)</f>
        <v>3044</v>
      </c>
      <c r="AE784" s="1">
        <f>IF(OR(F784=1,F784=4),配置与结果!$B$24,配置与结果!$B$25)*MAX(0,1-INDEX(配置与结果!$I$15:$I$18,F784))</f>
        <v>1000</v>
      </c>
      <c r="AF784" s="1">
        <f>方案参数!$BV$24</f>
        <v>3</v>
      </c>
      <c r="AG784" s="1">
        <f>MAX(配置与结果!$B$32,1+INDEX(配置与结果!$F$15:$F$18,F784)+0+Q784*方案参数!$W$24+Y784*(方案参数!$AN$24+MIN(方案参数!$AO$24,P784*0.03))+AB784*方案参数!$BZ$24*0.025-配置与结果!$B$28)</f>
        <v>1.8800000000000003</v>
      </c>
      <c r="AH784" s="1">
        <f>MAX(0,1+INDEX(配置与结果!$G$15:$G$18,F784)+W784*方案参数!$AG$24)</f>
        <v>1.3</v>
      </c>
      <c r="AI784" s="1">
        <f>IF(OR(INDEX(配置与结果!$K$15:$K$18,F784)=1,G784="RHI_BERRY"),1+配置与结果!$B$33+P784*方案参数!$AH$24,1)</f>
        <v>1</v>
      </c>
      <c r="AJ784" s="1">
        <f>MIN(1,MAX(0,J784+方案参数!$AB$24-配置与结果!$B$27))</f>
        <v>0.76</v>
      </c>
      <c r="AK784" s="1">
        <f>MAX(1,K784+IF(F784=2,0.15+方案参数!$CH$24,0)+BN784*方案参数!$X$24+R784*方案参数!$AA$24+0-配置与结果!$B$26+Z784*(方案参数!$AP$24+MIN(方案参数!$AQ$24,P784*0.03)))</f>
        <v>2.3380000000000001</v>
      </c>
      <c r="AL784" s="7">
        <f>ROUNDDOWN(MAX(AD784*配置与结果!$B$31,AD784-AE784)*AF784*AG784*AH784*AI784,0)</f>
        <v>14986</v>
      </c>
      <c r="AM784" s="7">
        <f>ROUNDDOWN(MAX(AD784*配置与结果!$B$31,AD784-AE784)*AF784*AG784*AH784*AI784*AK784,0)</f>
        <v>35038</v>
      </c>
      <c r="AN784" s="7">
        <f t="shared" si="1095"/>
        <v>30225.52</v>
      </c>
      <c r="AO784" s="7">
        <f>方案参数!$BW$24</f>
        <v>1</v>
      </c>
      <c r="AP784" s="7">
        <f>MAX(0,1+INDEX(配置与结果!$J$15:$J$18,F784)+IF(T784&gt;0,方案参数!$BY$24,0)-配置与结果!$B$30)</f>
        <v>2</v>
      </c>
      <c r="AQ784" s="7">
        <f t="shared" si="1096"/>
        <v>6088</v>
      </c>
      <c r="AR784" s="7">
        <f t="shared" si="1097"/>
        <v>14233</v>
      </c>
      <c r="AS784" s="7">
        <f t="shared" si="1098"/>
        <v>12278.2</v>
      </c>
      <c r="AT784" s="7">
        <f>0</f>
        <v>0</v>
      </c>
      <c r="AU784" s="7">
        <f t="shared" si="1099"/>
        <v>42503.72</v>
      </c>
      <c r="AV784" s="1">
        <f t="shared" si="1100"/>
        <v>2</v>
      </c>
      <c r="AW784" s="1">
        <f t="shared" si="1118"/>
        <v>10</v>
      </c>
      <c r="AX784" s="1">
        <f t="shared" si="1101"/>
        <v>2</v>
      </c>
      <c r="AY784" s="1">
        <f>MIN(20,MAX(0,O784+0+0-0))</f>
        <v>0</v>
      </c>
      <c r="AZ784" s="1">
        <f t="shared" si="1102"/>
        <v>5</v>
      </c>
      <c r="BA784" s="1">
        <f t="shared" si="1109"/>
        <v>5</v>
      </c>
      <c r="BB784" s="1">
        <f t="shared" si="1117"/>
        <v>20</v>
      </c>
      <c r="BC784" s="1">
        <f t="shared" si="1115"/>
        <v>3</v>
      </c>
      <c r="BD784" s="1">
        <f t="shared" si="1088"/>
        <v>0</v>
      </c>
      <c r="BE784" s="1">
        <f t="shared" si="1081"/>
        <v>0</v>
      </c>
      <c r="BF784" s="1">
        <f>MIN(4,V784+1)</f>
        <v>4</v>
      </c>
      <c r="BG784" s="1">
        <f t="shared" si="1106"/>
        <v>1</v>
      </c>
      <c r="BH784" s="1">
        <f t="shared" si="1082"/>
        <v>1</v>
      </c>
      <c r="BI784" s="1">
        <f t="shared" si="1107"/>
        <v>1</v>
      </c>
      <c r="BJ784" s="1">
        <f t="shared" si="1110"/>
        <v>1</v>
      </c>
      <c r="BK784" s="1">
        <f t="shared" si="1111"/>
        <v>1</v>
      </c>
      <c r="BL784" s="1">
        <f t="shared" si="1116"/>
        <v>1</v>
      </c>
      <c r="BM784" s="1">
        <f t="shared" si="1114"/>
        <v>1</v>
      </c>
      <c r="BN784" s="1">
        <f t="shared" si="1083"/>
        <v>1</v>
      </c>
      <c r="BO784" s="1">
        <f t="shared" si="1084"/>
        <v>1</v>
      </c>
    </row>
    <row r="785" spans="1:67" ht="30.95" customHeight="1">
      <c r="A785" s="1">
        <f>21</f>
        <v>21</v>
      </c>
      <c r="B785" s="1">
        <f>固定流程!A29</f>
        <v>24</v>
      </c>
      <c r="C785" s="1">
        <f>24</f>
        <v>24</v>
      </c>
      <c r="D785" s="1">
        <f>2</f>
        <v>2</v>
      </c>
      <c r="E785" s="1">
        <f>固定流程!C29</f>
        <v>3</v>
      </c>
      <c r="F785" s="1">
        <f>固定流程!G29</f>
        <v>1</v>
      </c>
      <c r="G785" s="1" t="str">
        <f>固定流程!H29</f>
        <v>LILYA_WEAK</v>
      </c>
      <c r="H785" s="1">
        <f>固定流程!F29</f>
        <v>1</v>
      </c>
      <c r="I785" s="1">
        <f>INDEX(配置与结果!$B$15:$B$18,F785)</f>
        <v>2296</v>
      </c>
      <c r="J785" s="1">
        <f>INDEX(配置与结果!$D$15:$D$18,F785)</f>
        <v>0.7</v>
      </c>
      <c r="K785" s="1">
        <f>INDEX(配置与结果!$E$15:$E$18,F785)</f>
        <v>2.0249999999999999</v>
      </c>
      <c r="L785" s="1">
        <f t="shared" si="1103"/>
        <v>2</v>
      </c>
      <c r="M785" s="1">
        <f t="shared" si="1104"/>
        <v>10</v>
      </c>
      <c r="N785" s="1">
        <f t="shared" si="1105"/>
        <v>2</v>
      </c>
      <c r="O785" s="1">
        <f t="shared" si="1089"/>
        <v>0</v>
      </c>
      <c r="P785" s="1">
        <f>MIN(方案参数!$AI$24,AZ784+0+0)</f>
        <v>5</v>
      </c>
      <c r="Q785" s="1">
        <f t="shared" si="1067"/>
        <v>5</v>
      </c>
      <c r="R785" s="1">
        <f t="shared" si="1068"/>
        <v>20</v>
      </c>
      <c r="S785" s="1">
        <f t="shared" si="1069"/>
        <v>3</v>
      </c>
      <c r="T785" s="1">
        <f t="shared" si="1112"/>
        <v>0</v>
      </c>
      <c r="U785" s="1">
        <f t="shared" si="1071"/>
        <v>0</v>
      </c>
      <c r="V785" s="1">
        <f t="shared" si="1072"/>
        <v>4</v>
      </c>
      <c r="W785" s="1">
        <f t="shared" si="1073"/>
        <v>1</v>
      </c>
      <c r="X785" s="1">
        <f t="shared" si="1074"/>
        <v>1</v>
      </c>
      <c r="Y785" s="1">
        <f t="shared" si="1075"/>
        <v>1</v>
      </c>
      <c r="Z785" s="1">
        <f t="shared" si="1076"/>
        <v>1</v>
      </c>
      <c r="AA785" s="1">
        <f t="shared" si="1108"/>
        <v>1</v>
      </c>
      <c r="AB785" s="1">
        <f t="shared" si="1078"/>
        <v>1</v>
      </c>
      <c r="AC785" s="1">
        <f t="shared" si="1113"/>
        <v>1</v>
      </c>
      <c r="AD785" s="1">
        <f>ROUNDDOWN(I785*(1+IF(F785=3,0.05+方案参数!$Y$24+AA785*0.12,IF(F785=4,方案参数!$BZ$24*方案参数!$AS$24,0)))+IF(AND(X785=1,F785&lt;&gt;3),方案参数!$CC$24,0)+AC785*方案参数!$CB$24,0)</f>
        <v>3034</v>
      </c>
      <c r="AE785" s="1">
        <f>IF(OR(F785=1,F785=4),配置与结果!$B$24,配置与结果!$B$25)*MAX(0,1-INDEX(配置与结果!$I$15:$I$18,F785))</f>
        <v>1200</v>
      </c>
      <c r="AF785" s="1">
        <f>方案参数!$BL$24</f>
        <v>9</v>
      </c>
      <c r="AG785" s="1">
        <f>MAX(配置与结果!$B$32,1+INDEX(配置与结果!$F$15:$F$18,F785)+0.08+方案参数!$CD$24+Q785*方案参数!$W$24+Y785*(方案参数!$AN$24+MIN(方案参数!$AO$24,P785*0.03))+AB785*方案参数!$BZ$24*0.025-配置与结果!$B$28+方案参数!$AE$24)</f>
        <v>2.6150000000000002</v>
      </c>
      <c r="AH785" s="1">
        <f>MAX(0,1+V785*方案参数!$U$24+0*方案参数!$V$24+方案参数!$AE$24-配置与结果!$B$29)</f>
        <v>1.56</v>
      </c>
      <c r="AI785" s="1">
        <f>IF(OR(INDEX(配置与结果!$K$15:$K$18,F785)=1,G785="RHI_BERRY"),1+配置与结果!$B$33+P785*方案参数!$AH$24,1)</f>
        <v>1</v>
      </c>
      <c r="AJ785" s="1">
        <f>MIN(1,MAX(0,J785+方案参数!$AB$24-配置与结果!$B$27))</f>
        <v>1</v>
      </c>
      <c r="AK785" s="1">
        <f>MAX(1,K785+IF(F785=2,0.15+方案参数!$CH$24,0)+BN785*方案参数!$X$24+R785*方案参数!$AA$24+方案参数!$BP$24-配置与结果!$B$26+Z785*(方案参数!$AP$24+MIN(方案参数!$AQ$24,P785*0.03)))</f>
        <v>2.7650000000000001</v>
      </c>
      <c r="AL785" s="7">
        <f>ROUNDDOWN(MAX(AD785*配置与结果!$B$31,AD785-AE785)*AF785*AG785*AH785*AI785,0)</f>
        <v>67334</v>
      </c>
      <c r="AM785" s="7">
        <f>ROUNDDOWN(MAX(AD785*配置与结果!$B$31,AD785-AE785)*AF785*AG785*AH785*AI785*AK785,0)</f>
        <v>186180</v>
      </c>
      <c r="AN785" s="7">
        <f t="shared" si="1095"/>
        <v>186180</v>
      </c>
      <c r="AO785" s="7">
        <f>0</f>
        <v>0</v>
      </c>
      <c r="AP785" s="7">
        <f>MAX(0,1+INDEX(配置与结果!$J$15:$J$18,F785)+IF(T785&gt;0,方案参数!$BY$24,0)-配置与结果!$B$30)</f>
        <v>1</v>
      </c>
      <c r="AQ785" s="7">
        <f t="shared" si="1096"/>
        <v>0</v>
      </c>
      <c r="AR785" s="7">
        <f t="shared" si="1097"/>
        <v>0</v>
      </c>
      <c r="AS785" s="7">
        <f t="shared" si="1098"/>
        <v>0</v>
      </c>
      <c r="AT785" s="7">
        <f>IF(U785&gt;0,ROUNDDOWN(AL785*方案参数!$AF$24,0)*(1-AJ785)+ROUNDDOWN(AM785*方案参数!$AF$24,0)*AJ785,0)</f>
        <v>0</v>
      </c>
      <c r="AU785" s="7">
        <f t="shared" si="1099"/>
        <v>186180</v>
      </c>
      <c r="AV785" s="1">
        <f t="shared" si="1100"/>
        <v>2</v>
      </c>
      <c r="AW785" s="1">
        <f t="shared" si="1118"/>
        <v>10</v>
      </c>
      <c r="AX785" s="1">
        <f t="shared" si="1101"/>
        <v>2</v>
      </c>
      <c r="AY785" s="1">
        <f>MIN(20,MAX(0,O785+0+1-0))</f>
        <v>1</v>
      </c>
      <c r="AZ785" s="1">
        <f t="shared" si="1102"/>
        <v>5</v>
      </c>
      <c r="BA785" s="1">
        <f t="shared" si="1109"/>
        <v>5</v>
      </c>
      <c r="BB785" s="1">
        <f t="shared" si="1117"/>
        <v>20</v>
      </c>
      <c r="BC785" s="1">
        <f t="shared" si="1115"/>
        <v>3</v>
      </c>
      <c r="BD785" s="1">
        <f t="shared" si="1088"/>
        <v>0</v>
      </c>
      <c r="BE785" s="1">
        <f>MAX(0,U785-IF(AF785&gt;0,1,0))+0</f>
        <v>0</v>
      </c>
      <c r="BF785" s="1">
        <f t="shared" ref="BF785:BF802" si="1119">MIN(4,V785+0)</f>
        <v>4</v>
      </c>
      <c r="BG785" s="1">
        <f t="shared" si="1106"/>
        <v>1</v>
      </c>
      <c r="BH785" s="1">
        <f t="shared" si="1082"/>
        <v>1</v>
      </c>
      <c r="BI785" s="1">
        <f t="shared" si="1107"/>
        <v>1</v>
      </c>
      <c r="BJ785" s="1">
        <f t="shared" si="1110"/>
        <v>1</v>
      </c>
      <c r="BK785" s="1">
        <f t="shared" si="1111"/>
        <v>1</v>
      </c>
      <c r="BL785" s="1">
        <f t="shared" si="1116"/>
        <v>1</v>
      </c>
      <c r="BM785" s="1">
        <f t="shared" si="1114"/>
        <v>1</v>
      </c>
      <c r="BN785" s="1">
        <f t="shared" si="1083"/>
        <v>1</v>
      </c>
      <c r="BO785" s="1">
        <f t="shared" si="1084"/>
        <v>1</v>
      </c>
    </row>
    <row r="786" spans="1:67" ht="30.95" customHeight="1">
      <c r="A786" s="1">
        <f>21</f>
        <v>21</v>
      </c>
      <c r="B786" s="1">
        <f>固定流程!A30</f>
        <v>25</v>
      </c>
      <c r="C786" s="1">
        <f>24</f>
        <v>24</v>
      </c>
      <c r="D786" s="1">
        <f>2</f>
        <v>2</v>
      </c>
      <c r="E786" s="1">
        <f>固定流程!C30</f>
        <v>3</v>
      </c>
      <c r="F786" s="1">
        <f>固定流程!G30</f>
        <v>1</v>
      </c>
      <c r="G786" s="1" t="str">
        <f>固定流程!H30</f>
        <v>LILYA_WEAK</v>
      </c>
      <c r="H786" s="1">
        <f>固定流程!F30</f>
        <v>1</v>
      </c>
      <c r="I786" s="1">
        <f>INDEX(配置与结果!$B$15:$B$18,F786)</f>
        <v>2296</v>
      </c>
      <c r="J786" s="1">
        <f>INDEX(配置与结果!$D$15:$D$18,F786)</f>
        <v>0.7</v>
      </c>
      <c r="K786" s="1">
        <f>INDEX(配置与结果!$E$15:$E$18,F786)</f>
        <v>2.0249999999999999</v>
      </c>
      <c r="L786" s="1">
        <f t="shared" si="1103"/>
        <v>2</v>
      </c>
      <c r="M786" s="1">
        <f t="shared" si="1104"/>
        <v>10</v>
      </c>
      <c r="N786" s="1">
        <f t="shared" si="1105"/>
        <v>2</v>
      </c>
      <c r="O786" s="1">
        <f t="shared" si="1089"/>
        <v>1</v>
      </c>
      <c r="P786" s="1">
        <f>MIN(方案参数!$AI$24,AZ785+0+0)</f>
        <v>5</v>
      </c>
      <c r="Q786" s="1">
        <f t="shared" si="1067"/>
        <v>5</v>
      </c>
      <c r="R786" s="1">
        <f t="shared" si="1068"/>
        <v>20</v>
      </c>
      <c r="S786" s="1">
        <f t="shared" si="1069"/>
        <v>3</v>
      </c>
      <c r="T786" s="1">
        <f t="shared" si="1112"/>
        <v>0</v>
      </c>
      <c r="U786" s="1">
        <f t="shared" si="1071"/>
        <v>0</v>
      </c>
      <c r="V786" s="1">
        <f t="shared" si="1072"/>
        <v>4</v>
      </c>
      <c r="W786" s="1">
        <f t="shared" si="1073"/>
        <v>1</v>
      </c>
      <c r="X786" s="1">
        <f t="shared" si="1074"/>
        <v>1</v>
      </c>
      <c r="Y786" s="1">
        <f t="shared" si="1075"/>
        <v>1</v>
      </c>
      <c r="Z786" s="1">
        <f t="shared" si="1076"/>
        <v>1</v>
      </c>
      <c r="AA786" s="1">
        <f t="shared" si="1108"/>
        <v>1</v>
      </c>
      <c r="AB786" s="1">
        <f t="shared" si="1078"/>
        <v>1</v>
      </c>
      <c r="AC786" s="1">
        <f t="shared" si="1113"/>
        <v>1</v>
      </c>
      <c r="AD786" s="1">
        <f>ROUNDDOWN(I786*(1+IF(F786=3,0.05+方案参数!$Y$24+AA786*0.12,IF(F786=4,方案参数!$BZ$24*方案参数!$AS$24,0)))+IF(AND(X786=1,F786&lt;&gt;3),方案参数!$CC$24,0)+AC786*方案参数!$CB$24,0)</f>
        <v>3034</v>
      </c>
      <c r="AE786" s="1">
        <f>IF(OR(F786=1,F786=4),配置与结果!$B$24,配置与结果!$B$25)*MAX(0,1-INDEX(配置与结果!$I$15:$I$18,F786))</f>
        <v>1200</v>
      </c>
      <c r="AF786" s="1">
        <f>方案参数!$BL$24</f>
        <v>9</v>
      </c>
      <c r="AG786" s="1">
        <f>MAX(配置与结果!$B$32,1+INDEX(配置与结果!$F$15:$F$18,F786)+0.08+方案参数!$CD$24+Q786*方案参数!$W$24+Y786*(方案参数!$AN$24+MIN(方案参数!$AO$24,P786*0.03))+AB786*方案参数!$BZ$24*0.025-配置与结果!$B$28+方案参数!$AE$24)</f>
        <v>2.6150000000000002</v>
      </c>
      <c r="AH786" s="1">
        <f>MAX(0,1+V786*方案参数!$U$24+1*方案参数!$V$24+方案参数!$AE$24-配置与结果!$B$29)</f>
        <v>1.62</v>
      </c>
      <c r="AI786" s="1">
        <f>IF(OR(INDEX(配置与结果!$K$15:$K$18,F786)=1,G786="RHI_BERRY"),1+配置与结果!$B$33+P786*方案参数!$AH$24,1)</f>
        <v>1</v>
      </c>
      <c r="AJ786" s="1">
        <f>MIN(1,MAX(0,J786+方案参数!$AB$24-配置与结果!$B$27))</f>
        <v>1</v>
      </c>
      <c r="AK786" s="1">
        <f>MAX(1,K786+IF(F786=2,0.15+方案参数!$CH$24,0)+BN786*方案参数!$X$24+R786*方案参数!$AA$24+方案参数!$BP$24-配置与结果!$B$26+Z786*(方案参数!$AP$24+MIN(方案参数!$AQ$24,P786*0.03)))</f>
        <v>2.7650000000000001</v>
      </c>
      <c r="AL786" s="7">
        <f>ROUNDDOWN(MAX(AD786*配置与结果!$B$31,AD786-AE786)*AF786*AG786*AH786*AI786,0)</f>
        <v>69924</v>
      </c>
      <c r="AM786" s="7">
        <f>ROUNDDOWN(MAX(AD786*配置与结果!$B$31,AD786-AE786)*AF786*AG786*AH786*AI786*AK786,0)</f>
        <v>193340</v>
      </c>
      <c r="AN786" s="7">
        <f t="shared" si="1095"/>
        <v>193340</v>
      </c>
      <c r="AO786" s="7">
        <f>0</f>
        <v>0</v>
      </c>
      <c r="AP786" s="7">
        <f>MAX(0,1+INDEX(配置与结果!$J$15:$J$18,F786)+IF(T786&gt;0,方案参数!$BY$24,0)-配置与结果!$B$30)</f>
        <v>1</v>
      </c>
      <c r="AQ786" s="7">
        <f t="shared" si="1096"/>
        <v>0</v>
      </c>
      <c r="AR786" s="7">
        <f t="shared" si="1097"/>
        <v>0</v>
      </c>
      <c r="AS786" s="7">
        <f t="shared" si="1098"/>
        <v>0</v>
      </c>
      <c r="AT786" s="7">
        <f>IF(U786&gt;0,ROUNDDOWN(AL786*方案参数!$AF$24,0)*(1-AJ786)+ROUNDDOWN(AM786*方案参数!$AF$24,0)*AJ786,0)</f>
        <v>0</v>
      </c>
      <c r="AU786" s="7">
        <f t="shared" si="1099"/>
        <v>193340</v>
      </c>
      <c r="AV786" s="1">
        <f t="shared" si="1100"/>
        <v>2</v>
      </c>
      <c r="AW786" s="1">
        <f t="shared" si="1118"/>
        <v>10</v>
      </c>
      <c r="AX786" s="1">
        <f t="shared" si="1101"/>
        <v>2</v>
      </c>
      <c r="AY786" s="1">
        <f>MIN(20,MAX(0,O786+0+1-0))</f>
        <v>2</v>
      </c>
      <c r="AZ786" s="1">
        <f t="shared" si="1102"/>
        <v>5</v>
      </c>
      <c r="BA786" s="1">
        <f t="shared" si="1109"/>
        <v>5</v>
      </c>
      <c r="BB786" s="1">
        <f t="shared" si="1117"/>
        <v>20</v>
      </c>
      <c r="BC786" s="1">
        <f t="shared" si="1115"/>
        <v>3</v>
      </c>
      <c r="BD786" s="1">
        <f t="shared" si="1088"/>
        <v>0</v>
      </c>
      <c r="BE786" s="1">
        <f>MAX(0,U786-IF(AF786&gt;0,1,0))+0</f>
        <v>0</v>
      </c>
      <c r="BF786" s="1">
        <f t="shared" si="1119"/>
        <v>4</v>
      </c>
      <c r="BG786" s="1">
        <f t="shared" si="1106"/>
        <v>1</v>
      </c>
      <c r="BH786" s="1">
        <f t="shared" si="1082"/>
        <v>1</v>
      </c>
      <c r="BI786" s="1">
        <f t="shared" si="1107"/>
        <v>1</v>
      </c>
      <c r="BJ786" s="1">
        <f t="shared" si="1110"/>
        <v>1</v>
      </c>
      <c r="BK786" s="1">
        <f t="shared" si="1111"/>
        <v>1</v>
      </c>
      <c r="BL786" s="1">
        <f t="shared" si="1116"/>
        <v>1</v>
      </c>
      <c r="BM786" s="1">
        <f t="shared" si="1114"/>
        <v>1</v>
      </c>
      <c r="BN786" s="1">
        <f t="shared" si="1083"/>
        <v>1</v>
      </c>
      <c r="BO786" s="1">
        <f t="shared" si="1084"/>
        <v>1</v>
      </c>
    </row>
    <row r="787" spans="1:67" ht="30.95" customHeight="1">
      <c r="A787" s="1">
        <f>21</f>
        <v>21</v>
      </c>
      <c r="B787" s="1">
        <f>固定流程!A31</f>
        <v>26</v>
      </c>
      <c r="C787" s="1">
        <f>24</f>
        <v>24</v>
      </c>
      <c r="D787" s="1">
        <f>2</f>
        <v>2</v>
      </c>
      <c r="E787" s="1">
        <f>固定流程!C31</f>
        <v>3</v>
      </c>
      <c r="F787" s="1">
        <f>固定流程!G31</f>
        <v>2</v>
      </c>
      <c r="G787" s="1" t="str">
        <f>固定流程!H31</f>
        <v>37_WEAK</v>
      </c>
      <c r="H787" s="1">
        <f>固定流程!F31</f>
        <v>1</v>
      </c>
      <c r="I787" s="1">
        <f>INDEX(配置与结果!$B$15:$B$18,F787)</f>
        <v>2306</v>
      </c>
      <c r="J787" s="1">
        <f>INDEX(配置与结果!$D$15:$D$18,F787)</f>
        <v>0.46</v>
      </c>
      <c r="K787" s="1">
        <f>INDEX(配置与结果!$E$15:$E$18,F787)</f>
        <v>1.9279999999999999</v>
      </c>
      <c r="L787" s="1">
        <f t="shared" si="1103"/>
        <v>2</v>
      </c>
      <c r="M787" s="1">
        <f t="shared" si="1104"/>
        <v>10</v>
      </c>
      <c r="N787" s="1">
        <f t="shared" si="1105"/>
        <v>2</v>
      </c>
      <c r="O787" s="1">
        <f t="shared" si="1089"/>
        <v>2</v>
      </c>
      <c r="P787" s="1">
        <f>MIN(方案参数!$AI$24,AZ786+0+0)</f>
        <v>5</v>
      </c>
      <c r="Q787" s="1">
        <f t="shared" si="1067"/>
        <v>5</v>
      </c>
      <c r="R787" s="1">
        <f t="shared" si="1068"/>
        <v>20</v>
      </c>
      <c r="S787" s="1">
        <f t="shared" si="1069"/>
        <v>3</v>
      </c>
      <c r="T787" s="1">
        <f t="shared" si="1112"/>
        <v>0</v>
      </c>
      <c r="U787" s="1">
        <f t="shared" si="1071"/>
        <v>0</v>
      </c>
      <c r="V787" s="1">
        <f t="shared" si="1072"/>
        <v>4</v>
      </c>
      <c r="W787" s="1">
        <f t="shared" si="1073"/>
        <v>1</v>
      </c>
      <c r="X787" s="1">
        <f t="shared" si="1074"/>
        <v>1</v>
      </c>
      <c r="Y787" s="1">
        <f t="shared" si="1075"/>
        <v>1</v>
      </c>
      <c r="Z787" s="1">
        <f t="shared" si="1076"/>
        <v>1</v>
      </c>
      <c r="AA787" s="1">
        <f t="shared" si="1108"/>
        <v>1</v>
      </c>
      <c r="AB787" s="1">
        <f t="shared" si="1078"/>
        <v>1</v>
      </c>
      <c r="AC787" s="1">
        <f t="shared" si="1113"/>
        <v>1</v>
      </c>
      <c r="AD787" s="1">
        <f>ROUNDDOWN(I787*(1+IF(F787=3,0.05+方案参数!$Y$24+AA787*0.12,IF(F787=4,方案参数!$BZ$24*方案参数!$AS$24,0)))+IF(AND(X787=1,F787&lt;&gt;3),方案参数!$CC$24,0)+AC787*方案参数!$CB$24,0)</f>
        <v>3044</v>
      </c>
      <c r="AE787" s="1">
        <f>IF(OR(F787=1,F787=4),配置与结果!$B$24,配置与结果!$B$25)*MAX(0,1-INDEX(配置与结果!$I$15:$I$18,F787))</f>
        <v>1000</v>
      </c>
      <c r="AF787" s="1">
        <f>方案参数!$CE$24</f>
        <v>8</v>
      </c>
      <c r="AG787" s="1">
        <f>MAX(配置与结果!$B$32,1+INDEX(配置与结果!$F$15:$F$18,F787)+0+Q787*方案参数!$W$24+Y787*(方案参数!$AN$24+MIN(方案参数!$AO$24,P787*0.03))+AB787*方案参数!$BZ$24*0.025-配置与结果!$B$28+方案参数!$AE$24)</f>
        <v>2.2800000000000002</v>
      </c>
      <c r="AH787" s="1">
        <f>MAX(0,1+V787*方案参数!$U$24+方案参数!$AE$24-配置与结果!$B$29)</f>
        <v>1.56</v>
      </c>
      <c r="AI787" s="1">
        <f>IF(OR(INDEX(配置与结果!$K$15:$K$18,F787)=1,G787="RHI_BERRY"),1+配置与结果!$B$33+P787*方案参数!$AH$24,1)</f>
        <v>1</v>
      </c>
      <c r="AJ787" s="1">
        <f>MIN(1,MAX(0,J787+方案参数!$AB$24-配置与结果!$B$27))</f>
        <v>0.76</v>
      </c>
      <c r="AK787" s="1">
        <f>MAX(1,K787+IF(F787=2,0.15+方案参数!$CH$24,0)+BN787*方案参数!$X$24+R787*方案参数!$AA$24+0-配置与结果!$B$26+Z787*(方案参数!$AP$24+MIN(方案参数!$AQ$24,P787*0.03)))</f>
        <v>2.3380000000000001</v>
      </c>
      <c r="AL787" s="7">
        <f>ROUNDDOWN(MAX(AD787*配置与结果!$B$31,AD787-AE787)*AF787*AG787*AH787*AI787,0)</f>
        <v>58160</v>
      </c>
      <c r="AM787" s="7">
        <f>ROUNDDOWN(MAX(AD787*配置与结果!$B$31,AD787-AE787)*AF787*AG787*AH787*AI787*AK787,0)</f>
        <v>135979</v>
      </c>
      <c r="AN787" s="7">
        <f t="shared" si="1095"/>
        <v>117302.44</v>
      </c>
      <c r="AO787" s="7">
        <f>0</f>
        <v>0</v>
      </c>
      <c r="AP787" s="7">
        <f>MAX(0,1+INDEX(配置与结果!$J$15:$J$18,F787)+IF(T787&gt;0,方案参数!$BY$24,0)-配置与结果!$B$30)</f>
        <v>1</v>
      </c>
      <c r="AQ787" s="7">
        <f t="shared" si="1096"/>
        <v>0</v>
      </c>
      <c r="AR787" s="7">
        <f t="shared" si="1097"/>
        <v>0</v>
      </c>
      <c r="AS787" s="7">
        <f t="shared" si="1098"/>
        <v>0</v>
      </c>
      <c r="AT787" s="7">
        <f>IF(U787&gt;0,ROUNDDOWN(AL787*方案参数!$AF$24,0)*(1-AJ787)+ROUNDDOWN(AM787*方案参数!$AF$24,0)*AJ787,0)</f>
        <v>0</v>
      </c>
      <c r="AU787" s="7">
        <f t="shared" si="1099"/>
        <v>117302.44</v>
      </c>
      <c r="AV787" s="1">
        <f t="shared" si="1100"/>
        <v>2</v>
      </c>
      <c r="AW787" s="1">
        <f t="shared" si="1118"/>
        <v>10</v>
      </c>
      <c r="AX787" s="1">
        <f t="shared" si="1101"/>
        <v>2</v>
      </c>
      <c r="AY787" s="1">
        <f>MIN(20,MAX(0,O787+0+0-0))</f>
        <v>2</v>
      </c>
      <c r="AZ787" s="1">
        <f t="shared" si="1102"/>
        <v>5</v>
      </c>
      <c r="BA787" s="1">
        <f t="shared" si="1109"/>
        <v>5</v>
      </c>
      <c r="BB787" s="1">
        <f t="shared" si="1117"/>
        <v>20</v>
      </c>
      <c r="BC787" s="1">
        <f t="shared" si="1115"/>
        <v>3</v>
      </c>
      <c r="BD787" s="1">
        <f t="shared" si="1088"/>
        <v>0</v>
      </c>
      <c r="BE787" s="1">
        <f>MAX(0,U787-IF(AF787&gt;0,1,0))+1</f>
        <v>1</v>
      </c>
      <c r="BF787" s="1">
        <f t="shared" si="1119"/>
        <v>4</v>
      </c>
      <c r="BG787" s="1">
        <f t="shared" si="1106"/>
        <v>1</v>
      </c>
      <c r="BH787" s="1">
        <f t="shared" si="1082"/>
        <v>1</v>
      </c>
      <c r="BI787" s="1">
        <f t="shared" si="1107"/>
        <v>1</v>
      </c>
      <c r="BJ787" s="1">
        <f t="shared" si="1110"/>
        <v>1</v>
      </c>
      <c r="BK787" s="1">
        <f t="shared" si="1111"/>
        <v>1</v>
      </c>
      <c r="BL787" s="1">
        <f t="shared" si="1116"/>
        <v>1</v>
      </c>
      <c r="BM787" s="1">
        <f t="shared" si="1114"/>
        <v>1</v>
      </c>
      <c r="BN787" s="1">
        <f t="shared" si="1083"/>
        <v>1</v>
      </c>
      <c r="BO787" s="1">
        <f t="shared" si="1084"/>
        <v>1</v>
      </c>
    </row>
    <row r="788" spans="1:67" ht="30.95" customHeight="1">
      <c r="A788" s="1">
        <f>21</f>
        <v>21</v>
      </c>
      <c r="B788" s="1">
        <f>固定流程!A32</f>
        <v>27</v>
      </c>
      <c r="C788" s="1">
        <f>24</f>
        <v>24</v>
      </c>
      <c r="D788" s="1">
        <f>2</f>
        <v>2</v>
      </c>
      <c r="E788" s="1">
        <f>固定流程!C32</f>
        <v>3</v>
      </c>
      <c r="F788" s="1">
        <f>固定流程!G32</f>
        <v>1</v>
      </c>
      <c r="G788" s="1" t="str">
        <f>固定流程!H32</f>
        <v>LILYA_THIRD</v>
      </c>
      <c r="H788" s="1">
        <f>固定流程!F32</f>
        <v>1</v>
      </c>
      <c r="I788" s="1">
        <f>INDEX(配置与结果!$B$15:$B$18,F788)</f>
        <v>2296</v>
      </c>
      <c r="J788" s="1">
        <f>INDEX(配置与结果!$D$15:$D$18,F788)</f>
        <v>0.7</v>
      </c>
      <c r="K788" s="1">
        <f>INDEX(配置与结果!$E$15:$E$18,F788)</f>
        <v>2.0249999999999999</v>
      </c>
      <c r="L788" s="1">
        <f t="shared" si="1103"/>
        <v>2</v>
      </c>
      <c r="M788" s="1">
        <f t="shared" si="1104"/>
        <v>10</v>
      </c>
      <c r="N788" s="1">
        <f t="shared" si="1105"/>
        <v>2</v>
      </c>
      <c r="O788" s="1">
        <f t="shared" si="1089"/>
        <v>2</v>
      </c>
      <c r="P788" s="1">
        <f>MIN(方案参数!$AI$24,AZ787+0+0)</f>
        <v>5</v>
      </c>
      <c r="Q788" s="1">
        <f t="shared" si="1067"/>
        <v>5</v>
      </c>
      <c r="R788" s="1">
        <f t="shared" si="1068"/>
        <v>20</v>
      </c>
      <c r="S788" s="1">
        <f t="shared" si="1069"/>
        <v>3</v>
      </c>
      <c r="T788" s="1">
        <f t="shared" si="1112"/>
        <v>0</v>
      </c>
      <c r="U788" s="1">
        <f t="shared" si="1071"/>
        <v>1</v>
      </c>
      <c r="V788" s="1">
        <f t="shared" si="1072"/>
        <v>4</v>
      </c>
      <c r="W788" s="1">
        <f t="shared" si="1073"/>
        <v>1</v>
      </c>
      <c r="X788" s="1">
        <f t="shared" si="1074"/>
        <v>1</v>
      </c>
      <c r="Y788" s="1">
        <f t="shared" si="1075"/>
        <v>1</v>
      </c>
      <c r="Z788" s="1">
        <f t="shared" si="1076"/>
        <v>1</v>
      </c>
      <c r="AA788" s="1">
        <f t="shared" si="1108"/>
        <v>1</v>
      </c>
      <c r="AB788" s="1">
        <f t="shared" si="1078"/>
        <v>1</v>
      </c>
      <c r="AC788" s="1">
        <f t="shared" si="1113"/>
        <v>1</v>
      </c>
      <c r="AD788" s="1">
        <f>ROUNDDOWN(I788*(1+IF(F788=3,0.05+方案参数!$Y$24+AA788*0.12,IF(F788=4,方案参数!$BZ$24*方案参数!$AS$24,0)))+IF(AND(X788=1,F788&lt;&gt;3),方案参数!$CC$24,0)+AC788*方案参数!$CB$24,0)</f>
        <v>3034</v>
      </c>
      <c r="AE788" s="1">
        <f>IF(OR(F788=1,F788=4),配置与结果!$B$24,配置与结果!$B$25)*MAX(0,1-INDEX(配置与结果!$I$15:$I$18,F788))</f>
        <v>1200</v>
      </c>
      <c r="AF788" s="1">
        <f>方案参数!$BM$24</f>
        <v>20</v>
      </c>
      <c r="AG788" s="1">
        <f>MAX(配置与结果!$B$32,1+INDEX(配置与结果!$F$15:$F$18,F788)+0.08+方案参数!$CD$24+Q788*方案参数!$W$24+Y788*(方案参数!$AN$24+MIN(方案参数!$AO$24,P788*0.03))+AB788*方案参数!$BZ$24*0.025-配置与结果!$B$28+方案参数!$AE$24)</f>
        <v>2.6150000000000002</v>
      </c>
      <c r="AH788" s="1">
        <f>MAX(0,1+V788*方案参数!$U$24+3*方案参数!$V$24+方案参数!$AE$24-配置与结果!$B$29)</f>
        <v>1.7399999999999998</v>
      </c>
      <c r="AI788" s="1">
        <f>IF(OR(INDEX(配置与结果!$K$15:$K$18,F788)=1,G788="RHI_BERRY"),1+配置与结果!$B$33+P788*方案参数!$AH$24,1)</f>
        <v>1</v>
      </c>
      <c r="AJ788" s="1">
        <f>MIN(1,MAX(0,J788+方案参数!$AB$24-配置与结果!$B$27))</f>
        <v>1</v>
      </c>
      <c r="AK788" s="1">
        <f>MAX(1,K788+IF(F788=2,0.15+方案参数!$CH$24,0)+BN788*方案参数!$X$24+R788*方案参数!$AA$24+方案参数!$BQ$24-配置与结果!$B$26+Z788*(方案参数!$AP$24+MIN(方案参数!$AQ$24,P788*0.03)))</f>
        <v>2.9650000000000003</v>
      </c>
      <c r="AL788" s="7">
        <f>ROUNDDOWN(MAX(AD788*配置与结果!$B$31,AD788-AE788)*AF788*AG788*AH788*AI788,0)</f>
        <v>166897</v>
      </c>
      <c r="AM788" s="7">
        <f>ROUNDDOWN(MAX(AD788*配置与结果!$B$31,AD788-AE788)*AF788*AG788*AH788*AI788*AK788,0)</f>
        <v>494851</v>
      </c>
      <c r="AN788" s="7">
        <f t="shared" si="1095"/>
        <v>494851</v>
      </c>
      <c r="AO788" s="7">
        <f>0</f>
        <v>0</v>
      </c>
      <c r="AP788" s="7">
        <f>MAX(0,1+INDEX(配置与结果!$J$15:$J$18,F788)+IF(T788&gt;0,方案参数!$BY$24,0)-配置与结果!$B$30)</f>
        <v>1</v>
      </c>
      <c r="AQ788" s="7">
        <f t="shared" si="1096"/>
        <v>0</v>
      </c>
      <c r="AR788" s="7">
        <f t="shared" si="1097"/>
        <v>0</v>
      </c>
      <c r="AS788" s="7">
        <f t="shared" si="1098"/>
        <v>0</v>
      </c>
      <c r="AT788" s="7">
        <f>IF(U788&gt;0,ROUNDDOWN(AL788*方案参数!$AF$24,0)*(1-AJ788)+ROUNDDOWN(AM788*方案参数!$AF$24,0)*AJ788,0)</f>
        <v>197940</v>
      </c>
      <c r="AU788" s="7">
        <f t="shared" si="1099"/>
        <v>692791</v>
      </c>
      <c r="AV788" s="1">
        <f t="shared" si="1100"/>
        <v>2</v>
      </c>
      <c r="AW788" s="1">
        <f t="shared" si="1118"/>
        <v>10</v>
      </c>
      <c r="AX788" s="1">
        <f t="shared" si="1101"/>
        <v>2</v>
      </c>
      <c r="AY788" s="1">
        <f>MIN(20,MAX(0,O788+0+1-0))</f>
        <v>3</v>
      </c>
      <c r="AZ788" s="1">
        <f t="shared" si="1102"/>
        <v>5</v>
      </c>
      <c r="BA788" s="1">
        <f t="shared" si="1109"/>
        <v>5</v>
      </c>
      <c r="BB788" s="1">
        <f t="shared" si="1117"/>
        <v>20</v>
      </c>
      <c r="BC788" s="1">
        <f t="shared" si="1115"/>
        <v>3</v>
      </c>
      <c r="BD788" s="1">
        <f t="shared" si="1088"/>
        <v>0</v>
      </c>
      <c r="BE788" s="1">
        <f>MAX(0,U788-IF(AF788&gt;0,1,0))+0</f>
        <v>0</v>
      </c>
      <c r="BF788" s="1">
        <f t="shared" si="1119"/>
        <v>4</v>
      </c>
      <c r="BG788" s="1">
        <f t="shared" si="1106"/>
        <v>1</v>
      </c>
      <c r="BH788" s="1">
        <f t="shared" si="1082"/>
        <v>1</v>
      </c>
      <c r="BI788" s="1">
        <f t="shared" si="1107"/>
        <v>1</v>
      </c>
      <c r="BJ788" s="1">
        <f t="shared" si="1110"/>
        <v>1</v>
      </c>
      <c r="BK788" s="1">
        <f t="shared" si="1111"/>
        <v>1</v>
      </c>
      <c r="BL788" s="1">
        <f t="shared" si="1116"/>
        <v>1</v>
      </c>
      <c r="BM788" s="1">
        <f t="shared" si="1114"/>
        <v>1</v>
      </c>
      <c r="BN788" s="1">
        <f t="shared" si="1083"/>
        <v>1</v>
      </c>
      <c r="BO788" s="1">
        <f t="shared" si="1084"/>
        <v>1</v>
      </c>
    </row>
    <row r="789" spans="1:67" ht="30.95" customHeight="1">
      <c r="A789" s="1">
        <f>21</f>
        <v>21</v>
      </c>
      <c r="B789" s="1">
        <f>固定流程!A33</f>
        <v>28</v>
      </c>
      <c r="C789" s="1">
        <f>24</f>
        <v>24</v>
      </c>
      <c r="D789" s="1">
        <f>2</f>
        <v>2</v>
      </c>
      <c r="E789" s="1">
        <f>固定流程!C33</f>
        <v>3</v>
      </c>
      <c r="F789" s="1">
        <f>固定流程!G33</f>
        <v>1</v>
      </c>
      <c r="G789" s="1" t="str">
        <f>固定流程!H33</f>
        <v>LILYA_WEAK</v>
      </c>
      <c r="H789" s="1">
        <f>固定流程!F33</f>
        <v>1</v>
      </c>
      <c r="I789" s="1">
        <f>INDEX(配置与结果!$B$15:$B$18,F789)</f>
        <v>2296</v>
      </c>
      <c r="J789" s="1">
        <f>INDEX(配置与结果!$D$15:$D$18,F789)</f>
        <v>0.7</v>
      </c>
      <c r="K789" s="1">
        <f>INDEX(配置与结果!$E$15:$E$18,F789)</f>
        <v>2.0249999999999999</v>
      </c>
      <c r="L789" s="1">
        <f t="shared" si="1103"/>
        <v>2</v>
      </c>
      <c r="M789" s="1">
        <f t="shared" si="1104"/>
        <v>10</v>
      </c>
      <c r="N789" s="1">
        <f t="shared" si="1105"/>
        <v>2</v>
      </c>
      <c r="O789" s="1">
        <f t="shared" si="1089"/>
        <v>3</v>
      </c>
      <c r="P789" s="1">
        <f>MIN(方案参数!$AI$24,AZ788+0+0)</f>
        <v>5</v>
      </c>
      <c r="Q789" s="1">
        <f t="shared" si="1067"/>
        <v>5</v>
      </c>
      <c r="R789" s="1">
        <f t="shared" si="1068"/>
        <v>20</v>
      </c>
      <c r="S789" s="1">
        <f t="shared" si="1069"/>
        <v>3</v>
      </c>
      <c r="T789" s="1">
        <f t="shared" si="1112"/>
        <v>0</v>
      </c>
      <c r="U789" s="1">
        <f t="shared" si="1071"/>
        <v>0</v>
      </c>
      <c r="V789" s="1">
        <f t="shared" si="1072"/>
        <v>4</v>
      </c>
      <c r="W789" s="1">
        <f t="shared" si="1073"/>
        <v>1</v>
      </c>
      <c r="X789" s="1">
        <f t="shared" si="1074"/>
        <v>1</v>
      </c>
      <c r="Y789" s="1">
        <f t="shared" si="1075"/>
        <v>1</v>
      </c>
      <c r="Z789" s="1">
        <f t="shared" si="1076"/>
        <v>1</v>
      </c>
      <c r="AA789" s="1">
        <f t="shared" si="1108"/>
        <v>1</v>
      </c>
      <c r="AB789" s="1">
        <f t="shared" si="1078"/>
        <v>1</v>
      </c>
      <c r="AC789" s="1">
        <f t="shared" si="1113"/>
        <v>1</v>
      </c>
      <c r="AD789" s="1">
        <f>ROUNDDOWN(I789*(1+IF(F789=3,0.05+方案参数!$Y$24+AA789*0.12,IF(F789=4,方案参数!$BZ$24*方案参数!$AS$24,0)))+IF(AND(X789=1,F789&lt;&gt;3),方案参数!$CC$24,0)+AC789*方案参数!$CB$24,0)</f>
        <v>3034</v>
      </c>
      <c r="AE789" s="1">
        <f>IF(OR(F789=1,F789=4),配置与结果!$B$24,配置与结果!$B$25)*MAX(0,1-INDEX(配置与结果!$I$15:$I$18,F789))</f>
        <v>1200</v>
      </c>
      <c r="AF789" s="1">
        <f>方案参数!$BL$24</f>
        <v>9</v>
      </c>
      <c r="AG789" s="1">
        <f>MAX(配置与结果!$B$32,1+INDEX(配置与结果!$F$15:$F$18,F789)+0.08+方案参数!$CD$24+Q789*方案参数!$W$24+Y789*(方案参数!$AN$24+MIN(方案参数!$AO$24,P789*0.03))+AB789*方案参数!$BZ$24*0.025-配置与结果!$B$28+方案参数!$AE$24)</f>
        <v>2.6150000000000002</v>
      </c>
      <c r="AH789" s="1">
        <f>MAX(0,1+V789*方案参数!$U$24+4*方案参数!$V$24+方案参数!$AE$24-配置与结果!$B$29)</f>
        <v>1.7999999999999998</v>
      </c>
      <c r="AI789" s="1">
        <f>IF(OR(INDEX(配置与结果!$K$15:$K$18,F789)=1,G789="RHI_BERRY"),1+配置与结果!$B$33+P789*方案参数!$AH$24,1)</f>
        <v>1</v>
      </c>
      <c r="AJ789" s="1">
        <f>MIN(1,MAX(0,J789+方案参数!$AB$24-配置与结果!$B$27))</f>
        <v>1</v>
      </c>
      <c r="AK789" s="1">
        <f>MAX(1,K789+IF(F789=2,0.15+方案参数!$CH$24,0)+BN789*方案参数!$X$24+R789*方案参数!$AA$24+方案参数!$BP$24-配置与结果!$B$26+Z789*(方案参数!$AP$24+MIN(方案参数!$AQ$24,P789*0.03)))</f>
        <v>2.7650000000000001</v>
      </c>
      <c r="AL789" s="7">
        <f>ROUNDDOWN(MAX(AD789*配置与结果!$B$31,AD789-AE789)*AF789*AG789*AH789*AI789,0)</f>
        <v>77693</v>
      </c>
      <c r="AM789" s="7">
        <f>ROUNDDOWN(MAX(AD789*配置与结果!$B$31,AD789-AE789)*AF789*AG789*AH789*AI789*AK789,0)</f>
        <v>214823</v>
      </c>
      <c r="AN789" s="7">
        <f t="shared" si="1095"/>
        <v>214823</v>
      </c>
      <c r="AO789" s="7">
        <f>0</f>
        <v>0</v>
      </c>
      <c r="AP789" s="7">
        <f>MAX(0,1+INDEX(配置与结果!$J$15:$J$18,F789)+IF(T789&gt;0,方案参数!$BY$24,0)-配置与结果!$B$30)</f>
        <v>1</v>
      </c>
      <c r="AQ789" s="7">
        <f t="shared" si="1096"/>
        <v>0</v>
      </c>
      <c r="AR789" s="7">
        <f t="shared" si="1097"/>
        <v>0</v>
      </c>
      <c r="AS789" s="7">
        <f t="shared" si="1098"/>
        <v>0</v>
      </c>
      <c r="AT789" s="7">
        <f>IF(U789&gt;0,ROUNDDOWN(AL789*方案参数!$AF$24,0)*(1-AJ789)+ROUNDDOWN(AM789*方案参数!$AF$24,0)*AJ789,0)</f>
        <v>0</v>
      </c>
      <c r="AU789" s="7">
        <f t="shared" si="1099"/>
        <v>214823</v>
      </c>
      <c r="AV789" s="1">
        <f t="shared" si="1100"/>
        <v>2</v>
      </c>
      <c r="AW789" s="1">
        <f t="shared" si="1118"/>
        <v>10</v>
      </c>
      <c r="AX789" s="1">
        <f t="shared" si="1101"/>
        <v>2</v>
      </c>
      <c r="AY789" s="1">
        <f>MIN(20,MAX(0,O789+0+1-0))</f>
        <v>4</v>
      </c>
      <c r="AZ789" s="1">
        <f t="shared" si="1102"/>
        <v>5</v>
      </c>
      <c r="BA789" s="1">
        <f t="shared" si="1109"/>
        <v>5</v>
      </c>
      <c r="BB789" s="1">
        <f t="shared" si="1117"/>
        <v>20</v>
      </c>
      <c r="BC789" s="1">
        <f t="shared" si="1115"/>
        <v>3</v>
      </c>
      <c r="BD789" s="1">
        <f t="shared" si="1088"/>
        <v>0</v>
      </c>
      <c r="BE789" s="1">
        <f>MAX(0,U789-IF(AF789&gt;0,1,0))+0</f>
        <v>0</v>
      </c>
      <c r="BF789" s="1">
        <f t="shared" si="1119"/>
        <v>4</v>
      </c>
      <c r="BG789" s="1">
        <f t="shared" si="1106"/>
        <v>1</v>
      </c>
      <c r="BH789" s="1">
        <f t="shared" si="1082"/>
        <v>1</v>
      </c>
      <c r="BI789" s="1">
        <f t="shared" si="1107"/>
        <v>1</v>
      </c>
      <c r="BJ789" s="1">
        <f t="shared" si="1110"/>
        <v>1</v>
      </c>
      <c r="BK789" s="1">
        <f t="shared" si="1111"/>
        <v>1</v>
      </c>
      <c r="BL789" s="1">
        <f t="shared" si="1116"/>
        <v>1</v>
      </c>
      <c r="BM789" s="1">
        <f t="shared" si="1114"/>
        <v>1</v>
      </c>
      <c r="BN789" s="1">
        <f t="shared" si="1083"/>
        <v>1</v>
      </c>
      <c r="BO789" s="1">
        <f t="shared" si="1084"/>
        <v>1</v>
      </c>
    </row>
    <row r="790" spans="1:67" ht="30.95" customHeight="1">
      <c r="A790" s="1">
        <f>21</f>
        <v>21</v>
      </c>
      <c r="B790" s="1">
        <f>固定流程!A34</f>
        <v>29</v>
      </c>
      <c r="C790" s="1">
        <f>24</f>
        <v>24</v>
      </c>
      <c r="D790" s="1">
        <f>2</f>
        <v>2</v>
      </c>
      <c r="E790" s="1">
        <f>固定流程!C34</f>
        <v>3</v>
      </c>
      <c r="F790" s="1">
        <f>固定流程!G34</f>
        <v>1</v>
      </c>
      <c r="G790" s="1" t="str">
        <f>固定流程!H34</f>
        <v>LILYA_WEAK</v>
      </c>
      <c r="H790" s="1">
        <f>固定流程!F34</f>
        <v>1</v>
      </c>
      <c r="I790" s="1">
        <f>INDEX(配置与结果!$B$15:$B$18,F790)</f>
        <v>2296</v>
      </c>
      <c r="J790" s="1">
        <f>INDEX(配置与结果!$D$15:$D$18,F790)</f>
        <v>0.7</v>
      </c>
      <c r="K790" s="1">
        <f>INDEX(配置与结果!$E$15:$E$18,F790)</f>
        <v>2.0249999999999999</v>
      </c>
      <c r="L790" s="1">
        <f t="shared" si="1103"/>
        <v>2</v>
      </c>
      <c r="M790" s="1">
        <f t="shared" si="1104"/>
        <v>10</v>
      </c>
      <c r="N790" s="1">
        <f t="shared" si="1105"/>
        <v>2</v>
      </c>
      <c r="O790" s="1">
        <f t="shared" si="1089"/>
        <v>4</v>
      </c>
      <c r="P790" s="1">
        <f>MIN(方案参数!$AI$24,AZ789+0+0)</f>
        <v>5</v>
      </c>
      <c r="Q790" s="1">
        <f t="shared" si="1067"/>
        <v>5</v>
      </c>
      <c r="R790" s="1">
        <f t="shared" si="1068"/>
        <v>20</v>
      </c>
      <c r="S790" s="1">
        <f t="shared" si="1069"/>
        <v>3</v>
      </c>
      <c r="T790" s="1">
        <f t="shared" si="1112"/>
        <v>0</v>
      </c>
      <c r="U790" s="1">
        <f t="shared" si="1071"/>
        <v>0</v>
      </c>
      <c r="V790" s="1">
        <f t="shared" si="1072"/>
        <v>4</v>
      </c>
      <c r="W790" s="1">
        <f t="shared" si="1073"/>
        <v>1</v>
      </c>
      <c r="X790" s="1">
        <f t="shared" si="1074"/>
        <v>1</v>
      </c>
      <c r="Y790" s="1">
        <f t="shared" si="1075"/>
        <v>1</v>
      </c>
      <c r="Z790" s="1">
        <f t="shared" si="1076"/>
        <v>1</v>
      </c>
      <c r="AA790" s="1">
        <f t="shared" si="1108"/>
        <v>1</v>
      </c>
      <c r="AB790" s="1">
        <f t="shared" si="1078"/>
        <v>1</v>
      </c>
      <c r="AC790" s="1">
        <f t="shared" si="1113"/>
        <v>1</v>
      </c>
      <c r="AD790" s="1">
        <f>ROUNDDOWN(I790*(1+IF(F790=3,0.05+方案参数!$Y$24+AA790*0.12,IF(F790=4,方案参数!$BZ$24*方案参数!$AS$24,0)))+IF(AND(X790=1,F790&lt;&gt;3),方案参数!$CC$24,0)+AC790*方案参数!$CB$24,0)</f>
        <v>3034</v>
      </c>
      <c r="AE790" s="1">
        <f>IF(OR(F790=1,F790=4),配置与结果!$B$24,配置与结果!$B$25)*MAX(0,1-INDEX(配置与结果!$I$15:$I$18,F790))</f>
        <v>1200</v>
      </c>
      <c r="AF790" s="1">
        <f>方案参数!$BL$24</f>
        <v>9</v>
      </c>
      <c r="AG790" s="1">
        <f>MAX(配置与结果!$B$32,1+INDEX(配置与结果!$F$15:$F$18,F790)+0.08+方案参数!$CD$24+Q790*方案参数!$W$24+Y790*(方案参数!$AN$24+MIN(方案参数!$AO$24,P790*0.03))+AB790*方案参数!$BZ$24*0.025-配置与结果!$B$28+方案参数!$AE$24)</f>
        <v>2.6150000000000002</v>
      </c>
      <c r="AH790" s="1">
        <f>MAX(0,1+V790*方案参数!$U$24+5*方案参数!$V$24+方案参数!$AE$24-配置与结果!$B$29)</f>
        <v>1.8599999999999999</v>
      </c>
      <c r="AI790" s="1">
        <f>IF(OR(INDEX(配置与结果!$K$15:$K$18,F790)=1,G790="RHI_BERRY"),1+配置与结果!$B$33+P790*方案参数!$AH$24,1)</f>
        <v>1</v>
      </c>
      <c r="AJ790" s="1">
        <f>MIN(1,MAX(0,J790+方案参数!$AB$24-配置与结果!$B$27))</f>
        <v>1</v>
      </c>
      <c r="AK790" s="1">
        <f>MAX(1,K790+IF(F790=2,0.15+方案参数!$CH$24,0)+BN790*方案参数!$X$24+R790*方案参数!$AA$24+方案参数!$BP$24-配置与结果!$B$26+Z790*(方案参数!$AP$24+MIN(方案参数!$AQ$24,P790*0.03)))</f>
        <v>2.7650000000000001</v>
      </c>
      <c r="AL790" s="7">
        <f>ROUNDDOWN(MAX(AD790*配置与结果!$B$31,AD790-AE790)*AF790*AG790*AH790*AI790,0)</f>
        <v>80283</v>
      </c>
      <c r="AM790" s="7">
        <f>ROUNDDOWN(MAX(AD790*配置与结果!$B$31,AD790-AE790)*AF790*AG790*AH790*AI790*AK790,0)</f>
        <v>221983</v>
      </c>
      <c r="AN790" s="7">
        <f t="shared" si="1095"/>
        <v>221983</v>
      </c>
      <c r="AO790" s="7">
        <f>0</f>
        <v>0</v>
      </c>
      <c r="AP790" s="7">
        <f>MAX(0,1+INDEX(配置与结果!$J$15:$J$18,F790)+IF(T790&gt;0,方案参数!$BY$24,0)-配置与结果!$B$30)</f>
        <v>1</v>
      </c>
      <c r="AQ790" s="7">
        <f t="shared" si="1096"/>
        <v>0</v>
      </c>
      <c r="AR790" s="7">
        <f t="shared" si="1097"/>
        <v>0</v>
      </c>
      <c r="AS790" s="7">
        <f t="shared" si="1098"/>
        <v>0</v>
      </c>
      <c r="AT790" s="7">
        <f>IF(U790&gt;0,ROUNDDOWN(AL790*方案参数!$AF$24,0)*(1-AJ790)+ROUNDDOWN(AM790*方案参数!$AF$24,0)*AJ790,0)</f>
        <v>0</v>
      </c>
      <c r="AU790" s="7">
        <f t="shared" si="1099"/>
        <v>221983</v>
      </c>
      <c r="AV790" s="1">
        <f t="shared" si="1100"/>
        <v>2</v>
      </c>
      <c r="AW790" s="1">
        <f t="shared" si="1118"/>
        <v>10</v>
      </c>
      <c r="AX790" s="1">
        <f t="shared" si="1101"/>
        <v>2</v>
      </c>
      <c r="AY790" s="1">
        <f>MIN(20,MAX(0,O790+0+1-0))</f>
        <v>5</v>
      </c>
      <c r="AZ790" s="1">
        <f t="shared" si="1102"/>
        <v>5</v>
      </c>
      <c r="BA790" s="1">
        <f t="shared" si="1109"/>
        <v>5</v>
      </c>
      <c r="BB790" s="1">
        <f t="shared" si="1117"/>
        <v>20</v>
      </c>
      <c r="BC790" s="1">
        <f t="shared" si="1115"/>
        <v>3</v>
      </c>
      <c r="BD790" s="1">
        <f t="shared" si="1088"/>
        <v>0</v>
      </c>
      <c r="BE790" s="1">
        <f>MAX(0,U790-IF(AF790&gt;0,1,0))+0</f>
        <v>0</v>
      </c>
      <c r="BF790" s="1">
        <f t="shared" si="1119"/>
        <v>4</v>
      </c>
      <c r="BG790" s="1">
        <f t="shared" si="1106"/>
        <v>1</v>
      </c>
      <c r="BH790" s="1">
        <f t="shared" si="1082"/>
        <v>1</v>
      </c>
      <c r="BI790" s="1">
        <f t="shared" si="1107"/>
        <v>1</v>
      </c>
      <c r="BJ790" s="1">
        <f t="shared" si="1110"/>
        <v>1</v>
      </c>
      <c r="BK790" s="1">
        <f t="shared" si="1111"/>
        <v>1</v>
      </c>
      <c r="BL790" s="1">
        <f t="shared" si="1116"/>
        <v>1</v>
      </c>
      <c r="BM790" s="1">
        <f t="shared" si="1114"/>
        <v>1</v>
      </c>
      <c r="BN790" s="1">
        <f t="shared" si="1083"/>
        <v>1</v>
      </c>
      <c r="BO790" s="1">
        <f t="shared" si="1084"/>
        <v>1</v>
      </c>
    </row>
    <row r="791" spans="1:67" ht="30.95" customHeight="1">
      <c r="A791" s="1">
        <f>21</f>
        <v>21</v>
      </c>
      <c r="B791" s="1">
        <f>固定流程!A35</f>
        <v>30</v>
      </c>
      <c r="C791" s="1">
        <f>24</f>
        <v>24</v>
      </c>
      <c r="D791" s="1">
        <f>2</f>
        <v>2</v>
      </c>
      <c r="E791" s="1">
        <f>固定流程!C35</f>
        <v>3</v>
      </c>
      <c r="F791" s="1">
        <f>固定流程!G35</f>
        <v>2</v>
      </c>
      <c r="G791" s="1" t="str">
        <f>固定流程!H35</f>
        <v>37_WEAK</v>
      </c>
      <c r="H791" s="1">
        <f>固定流程!F35</f>
        <v>1</v>
      </c>
      <c r="I791" s="1">
        <f>INDEX(配置与结果!$B$15:$B$18,F791)</f>
        <v>2306</v>
      </c>
      <c r="J791" s="1">
        <f>INDEX(配置与结果!$D$15:$D$18,F791)</f>
        <v>0.46</v>
      </c>
      <c r="K791" s="1">
        <f>INDEX(配置与结果!$E$15:$E$18,F791)</f>
        <v>1.9279999999999999</v>
      </c>
      <c r="L791" s="1">
        <f t="shared" si="1103"/>
        <v>2</v>
      </c>
      <c r="M791" s="1">
        <f t="shared" si="1104"/>
        <v>10</v>
      </c>
      <c r="N791" s="1">
        <f t="shared" si="1105"/>
        <v>2</v>
      </c>
      <c r="O791" s="1">
        <f t="shared" si="1089"/>
        <v>5</v>
      </c>
      <c r="P791" s="1">
        <f>MIN(方案参数!$AI$24,AZ790+0+0)</f>
        <v>5</v>
      </c>
      <c r="Q791" s="1">
        <f t="shared" si="1067"/>
        <v>5</v>
      </c>
      <c r="R791" s="1">
        <f t="shared" si="1068"/>
        <v>20</v>
      </c>
      <c r="S791" s="1">
        <f t="shared" si="1069"/>
        <v>3</v>
      </c>
      <c r="T791" s="1">
        <f t="shared" si="1112"/>
        <v>0</v>
      </c>
      <c r="U791" s="1">
        <f t="shared" si="1071"/>
        <v>0</v>
      </c>
      <c r="V791" s="1">
        <f t="shared" si="1072"/>
        <v>4</v>
      </c>
      <c r="W791" s="1">
        <f t="shared" si="1073"/>
        <v>1</v>
      </c>
      <c r="X791" s="1">
        <f t="shared" si="1074"/>
        <v>1</v>
      </c>
      <c r="Y791" s="1">
        <f t="shared" si="1075"/>
        <v>1</v>
      </c>
      <c r="Z791" s="1">
        <f t="shared" si="1076"/>
        <v>1</v>
      </c>
      <c r="AA791" s="1">
        <f t="shared" si="1108"/>
        <v>1</v>
      </c>
      <c r="AB791" s="1">
        <f t="shared" si="1078"/>
        <v>1</v>
      </c>
      <c r="AC791" s="1">
        <f t="shared" si="1113"/>
        <v>1</v>
      </c>
      <c r="AD791" s="1">
        <f>ROUNDDOWN(I791*(1+IF(F791=3,0.05+方案参数!$Y$24+AA791*0.12,IF(F791=4,方案参数!$BZ$24*方案参数!$AS$24,0)))+IF(AND(X791=1,F791&lt;&gt;3),方案参数!$CC$24,0)+AC791*方案参数!$CB$24,0)</f>
        <v>3044</v>
      </c>
      <c r="AE791" s="1">
        <f>IF(OR(F791=1,F791=4),配置与结果!$B$24,配置与结果!$B$25)*MAX(0,1-INDEX(配置与结果!$I$15:$I$18,F791))</f>
        <v>1000</v>
      </c>
      <c r="AF791" s="1">
        <f>方案参数!$CE$24</f>
        <v>8</v>
      </c>
      <c r="AG791" s="1">
        <f>MAX(配置与结果!$B$32,1+INDEX(配置与结果!$F$15:$F$18,F791)+0+Q791*方案参数!$W$24+Y791*(方案参数!$AN$24+MIN(方案参数!$AO$24,P791*0.03))+AB791*方案参数!$BZ$24*0.025-配置与结果!$B$28+方案参数!$AE$24)</f>
        <v>2.2800000000000002</v>
      </c>
      <c r="AH791" s="1">
        <f>MAX(0,1+V791*方案参数!$U$24+方案参数!$AE$24-配置与结果!$B$29)</f>
        <v>1.56</v>
      </c>
      <c r="AI791" s="1">
        <f>IF(OR(INDEX(配置与结果!$K$15:$K$18,F791)=1,G791="RHI_BERRY"),1+配置与结果!$B$33+P791*方案参数!$AH$24,1)</f>
        <v>1</v>
      </c>
      <c r="AJ791" s="1">
        <f>MIN(1,MAX(0,J791+方案参数!$AB$24-配置与结果!$B$27))</f>
        <v>0.76</v>
      </c>
      <c r="AK791" s="1">
        <f>MAX(1,K791+IF(F791=2,0.15+方案参数!$CH$24,0)+BN791*方案参数!$X$24+R791*方案参数!$AA$24+0-配置与结果!$B$26+Z791*(方案参数!$AP$24+MIN(方案参数!$AQ$24,P791*0.03)))</f>
        <v>2.3380000000000001</v>
      </c>
      <c r="AL791" s="7">
        <f>ROUNDDOWN(MAX(AD791*配置与结果!$B$31,AD791-AE791)*AF791*AG791*AH791*AI791,0)</f>
        <v>58160</v>
      </c>
      <c r="AM791" s="7">
        <f>ROUNDDOWN(MAX(AD791*配置与结果!$B$31,AD791-AE791)*AF791*AG791*AH791*AI791*AK791,0)</f>
        <v>135979</v>
      </c>
      <c r="AN791" s="7">
        <f t="shared" si="1095"/>
        <v>117302.44</v>
      </c>
      <c r="AO791" s="7">
        <f>0</f>
        <v>0</v>
      </c>
      <c r="AP791" s="7">
        <f>MAX(0,1+INDEX(配置与结果!$J$15:$J$18,F791)+IF(T791&gt;0,方案参数!$BY$24,0)-配置与结果!$B$30)</f>
        <v>1</v>
      </c>
      <c r="AQ791" s="7">
        <f t="shared" si="1096"/>
        <v>0</v>
      </c>
      <c r="AR791" s="7">
        <f t="shared" si="1097"/>
        <v>0</v>
      </c>
      <c r="AS791" s="7">
        <f t="shared" si="1098"/>
        <v>0</v>
      </c>
      <c r="AT791" s="7">
        <f>IF(U791&gt;0,ROUNDDOWN(AL791*方案参数!$AF$24,0)*(1-AJ791)+ROUNDDOWN(AM791*方案参数!$AF$24,0)*AJ791,0)</f>
        <v>0</v>
      </c>
      <c r="AU791" s="7">
        <f t="shared" si="1099"/>
        <v>117302.44</v>
      </c>
      <c r="AV791" s="1">
        <f t="shared" si="1100"/>
        <v>2</v>
      </c>
      <c r="AW791" s="1">
        <f t="shared" si="1118"/>
        <v>10</v>
      </c>
      <c r="AX791" s="1">
        <f t="shared" si="1101"/>
        <v>2</v>
      </c>
      <c r="AY791" s="1">
        <f>MIN(20,MAX(0,O791+0+0-0))</f>
        <v>5</v>
      </c>
      <c r="AZ791" s="1">
        <f t="shared" si="1102"/>
        <v>5</v>
      </c>
      <c r="BA791" s="1">
        <f t="shared" si="1109"/>
        <v>5</v>
      </c>
      <c r="BB791" s="1">
        <f t="shared" si="1117"/>
        <v>20</v>
      </c>
      <c r="BC791" s="1">
        <f t="shared" si="1115"/>
        <v>3</v>
      </c>
      <c r="BD791" s="1">
        <f t="shared" si="1088"/>
        <v>0</v>
      </c>
      <c r="BE791" s="1">
        <f>MAX(0,U791-IF(AF791&gt;0,1,0))+1</f>
        <v>1</v>
      </c>
      <c r="BF791" s="1">
        <f t="shared" si="1119"/>
        <v>4</v>
      </c>
      <c r="BG791" s="1">
        <f t="shared" si="1106"/>
        <v>1</v>
      </c>
      <c r="BH791" s="1">
        <f t="shared" si="1082"/>
        <v>1</v>
      </c>
      <c r="BI791" s="1">
        <f t="shared" si="1107"/>
        <v>1</v>
      </c>
      <c r="BJ791" s="1">
        <f t="shared" si="1110"/>
        <v>1</v>
      </c>
      <c r="BK791" s="1">
        <f t="shared" si="1111"/>
        <v>1</v>
      </c>
      <c r="BL791" s="1">
        <f t="shared" si="1116"/>
        <v>1</v>
      </c>
      <c r="BM791" s="1">
        <f t="shared" si="1114"/>
        <v>1</v>
      </c>
      <c r="BN791" s="1">
        <f t="shared" si="1083"/>
        <v>1</v>
      </c>
      <c r="BO791" s="1">
        <f t="shared" si="1084"/>
        <v>1</v>
      </c>
    </row>
    <row r="792" spans="1:67" ht="30.95" customHeight="1">
      <c r="A792" s="1">
        <f>21</f>
        <v>21</v>
      </c>
      <c r="B792" s="1">
        <f>固定流程!A36</f>
        <v>31</v>
      </c>
      <c r="C792" s="1">
        <f>24</f>
        <v>24</v>
      </c>
      <c r="D792" s="1">
        <f>2</f>
        <v>2</v>
      </c>
      <c r="E792" s="1">
        <f>固定流程!C36</f>
        <v>3</v>
      </c>
      <c r="F792" s="1">
        <f>固定流程!G36</f>
        <v>1</v>
      </c>
      <c r="G792" s="1" t="str">
        <f>固定流程!H36</f>
        <v>LILYA_THIRD</v>
      </c>
      <c r="H792" s="1">
        <f>固定流程!F36</f>
        <v>1</v>
      </c>
      <c r="I792" s="1">
        <f>INDEX(配置与结果!$B$15:$B$18,F792)</f>
        <v>2296</v>
      </c>
      <c r="J792" s="1">
        <f>INDEX(配置与结果!$D$15:$D$18,F792)</f>
        <v>0.7</v>
      </c>
      <c r="K792" s="1">
        <f>INDEX(配置与结果!$E$15:$E$18,F792)</f>
        <v>2.0249999999999999</v>
      </c>
      <c r="L792" s="1">
        <f t="shared" si="1103"/>
        <v>2</v>
      </c>
      <c r="M792" s="1">
        <f t="shared" si="1104"/>
        <v>10</v>
      </c>
      <c r="N792" s="1">
        <f t="shared" si="1105"/>
        <v>2</v>
      </c>
      <c r="O792" s="1">
        <f t="shared" si="1089"/>
        <v>5</v>
      </c>
      <c r="P792" s="1">
        <f>MIN(方案参数!$AI$24,AZ791+0+0)</f>
        <v>5</v>
      </c>
      <c r="Q792" s="1">
        <f t="shared" si="1067"/>
        <v>5</v>
      </c>
      <c r="R792" s="1">
        <f t="shared" si="1068"/>
        <v>20</v>
      </c>
      <c r="S792" s="1">
        <f t="shared" si="1069"/>
        <v>3</v>
      </c>
      <c r="T792" s="1">
        <f t="shared" si="1112"/>
        <v>0</v>
      </c>
      <c r="U792" s="1">
        <f t="shared" si="1071"/>
        <v>1</v>
      </c>
      <c r="V792" s="1">
        <f t="shared" si="1072"/>
        <v>4</v>
      </c>
      <c r="W792" s="1">
        <f t="shared" si="1073"/>
        <v>1</v>
      </c>
      <c r="X792" s="1">
        <f t="shared" si="1074"/>
        <v>1</v>
      </c>
      <c r="Y792" s="1">
        <f t="shared" si="1075"/>
        <v>1</v>
      </c>
      <c r="Z792" s="1">
        <f t="shared" si="1076"/>
        <v>1</v>
      </c>
      <c r="AA792" s="1">
        <f t="shared" si="1108"/>
        <v>1</v>
      </c>
      <c r="AB792" s="1">
        <f t="shared" si="1078"/>
        <v>1</v>
      </c>
      <c r="AC792" s="1">
        <f t="shared" si="1113"/>
        <v>1</v>
      </c>
      <c r="AD792" s="1">
        <f>ROUNDDOWN(I792*(1+IF(F792=3,0.05+方案参数!$Y$24+AA792*0.12,IF(F792=4,方案参数!$BZ$24*方案参数!$AS$24,0)))+IF(AND(X792=1,F792&lt;&gt;3),方案参数!$CC$24,0)+AC792*方案参数!$CB$24,0)</f>
        <v>3034</v>
      </c>
      <c r="AE792" s="1">
        <f>IF(OR(F792=1,F792=4),配置与结果!$B$24,配置与结果!$B$25)*MAX(0,1-INDEX(配置与结果!$I$15:$I$18,F792))</f>
        <v>1200</v>
      </c>
      <c r="AF792" s="1">
        <f>方案参数!$BM$24</f>
        <v>20</v>
      </c>
      <c r="AG792" s="1">
        <f>MAX(配置与结果!$B$32,1+INDEX(配置与结果!$F$15:$F$18,F792)+0.08+方案参数!$CD$24+Q792*方案参数!$W$24+Y792*(方案参数!$AN$24+MIN(方案参数!$AO$24,P792*0.03))+AB792*方案参数!$BZ$24*0.025-配置与结果!$B$28+方案参数!$AE$24)</f>
        <v>2.6150000000000002</v>
      </c>
      <c r="AH792" s="1">
        <f>MAX(0,1+V792*方案参数!$U$24+7*方案参数!$V$24+方案参数!$AE$24-配置与结果!$B$29)</f>
        <v>1.98</v>
      </c>
      <c r="AI792" s="1">
        <f>IF(OR(INDEX(配置与结果!$K$15:$K$18,F792)=1,G792="RHI_BERRY"),1+配置与结果!$B$33+P792*方案参数!$AH$24,1)</f>
        <v>1</v>
      </c>
      <c r="AJ792" s="1">
        <f>MIN(1,MAX(0,J792+方案参数!$AB$24-配置与结果!$B$27))</f>
        <v>1</v>
      </c>
      <c r="AK792" s="1">
        <f>MAX(1,K792+IF(F792=2,0.15+方案参数!$CH$24,0)+BN792*方案参数!$X$24+R792*方案参数!$AA$24+方案参数!$BQ$24-配置与结果!$B$26+Z792*(方案参数!$AP$24+MIN(方案参数!$AQ$24,P792*0.03)))</f>
        <v>2.9650000000000003</v>
      </c>
      <c r="AL792" s="7">
        <f>ROUNDDOWN(MAX(AD792*配置与结果!$B$31,AD792-AE792)*AF792*AG792*AH792*AI792,0)</f>
        <v>189918</v>
      </c>
      <c r="AM792" s="7">
        <f>ROUNDDOWN(MAX(AD792*配置与结果!$B$31,AD792-AE792)*AF792*AG792*AH792*AI792*AK792,0)</f>
        <v>563106</v>
      </c>
      <c r="AN792" s="7">
        <f t="shared" si="1095"/>
        <v>563106</v>
      </c>
      <c r="AO792" s="7">
        <f>0</f>
        <v>0</v>
      </c>
      <c r="AP792" s="7">
        <f>MAX(0,1+INDEX(配置与结果!$J$15:$J$18,F792)+IF(T792&gt;0,方案参数!$BY$24,0)-配置与结果!$B$30)</f>
        <v>1</v>
      </c>
      <c r="AQ792" s="7">
        <f t="shared" si="1096"/>
        <v>0</v>
      </c>
      <c r="AR792" s="7">
        <f t="shared" si="1097"/>
        <v>0</v>
      </c>
      <c r="AS792" s="7">
        <f t="shared" si="1098"/>
        <v>0</v>
      </c>
      <c r="AT792" s="7">
        <f>IF(U792&gt;0,ROUNDDOWN(AL792*方案参数!$AF$24,0)*(1-AJ792)+ROUNDDOWN(AM792*方案参数!$AF$24,0)*AJ792,0)</f>
        <v>225242</v>
      </c>
      <c r="AU792" s="7">
        <f t="shared" si="1099"/>
        <v>788348</v>
      </c>
      <c r="AV792" s="1">
        <f t="shared" si="1100"/>
        <v>2</v>
      </c>
      <c r="AW792" s="1">
        <f t="shared" si="1118"/>
        <v>10</v>
      </c>
      <c r="AX792" s="1">
        <f t="shared" si="1101"/>
        <v>2</v>
      </c>
      <c r="AY792" s="1">
        <f>MIN(20,MAX(0,O792+0+1-0))</f>
        <v>6</v>
      </c>
      <c r="AZ792" s="1">
        <f t="shared" si="1102"/>
        <v>5</v>
      </c>
      <c r="BA792" s="1">
        <f t="shared" si="1109"/>
        <v>5</v>
      </c>
      <c r="BB792" s="1">
        <f t="shared" si="1117"/>
        <v>20</v>
      </c>
      <c r="BC792" s="1">
        <f t="shared" si="1115"/>
        <v>3</v>
      </c>
      <c r="BD792" s="1">
        <f t="shared" si="1088"/>
        <v>0</v>
      </c>
      <c r="BE792" s="1">
        <f>MAX(0,U792-IF(AF792&gt;0,1,0))+0</f>
        <v>0</v>
      </c>
      <c r="BF792" s="1">
        <f t="shared" si="1119"/>
        <v>4</v>
      </c>
      <c r="BG792" s="1">
        <f t="shared" si="1106"/>
        <v>1</v>
      </c>
      <c r="BH792" s="1">
        <f t="shared" si="1082"/>
        <v>1</v>
      </c>
      <c r="BI792" s="1">
        <f t="shared" si="1107"/>
        <v>1</v>
      </c>
      <c r="BJ792" s="1">
        <f t="shared" si="1110"/>
        <v>1</v>
      </c>
      <c r="BK792" s="1">
        <f t="shared" si="1111"/>
        <v>1</v>
      </c>
      <c r="BL792" s="1">
        <f t="shared" si="1116"/>
        <v>1</v>
      </c>
      <c r="BM792" s="1">
        <f t="shared" si="1114"/>
        <v>1</v>
      </c>
      <c r="BN792" s="1">
        <f t="shared" si="1083"/>
        <v>1</v>
      </c>
      <c r="BO792" s="1">
        <f t="shared" si="1084"/>
        <v>1</v>
      </c>
    </row>
    <row r="793" spans="1:67" ht="30.95" customHeight="1">
      <c r="A793" s="1">
        <f>21</f>
        <v>21</v>
      </c>
      <c r="B793" s="1">
        <f>固定流程!A37</f>
        <v>32</v>
      </c>
      <c r="C793" s="1">
        <f>24</f>
        <v>24</v>
      </c>
      <c r="D793" s="1">
        <f>2</f>
        <v>2</v>
      </c>
      <c r="E793" s="1">
        <f>固定流程!C37</f>
        <v>3</v>
      </c>
      <c r="F793" s="1">
        <f>固定流程!G37</f>
        <v>1</v>
      </c>
      <c r="G793" s="1" t="str">
        <f>固定流程!H37</f>
        <v>LILYA_WEAK</v>
      </c>
      <c r="H793" s="1">
        <f>固定流程!F37</f>
        <v>1</v>
      </c>
      <c r="I793" s="1">
        <f>INDEX(配置与结果!$B$15:$B$18,F793)</f>
        <v>2296</v>
      </c>
      <c r="J793" s="1">
        <f>INDEX(配置与结果!$D$15:$D$18,F793)</f>
        <v>0.7</v>
      </c>
      <c r="K793" s="1">
        <f>INDEX(配置与结果!$E$15:$E$18,F793)</f>
        <v>2.0249999999999999</v>
      </c>
      <c r="L793" s="1">
        <f t="shared" si="1103"/>
        <v>2</v>
      </c>
      <c r="M793" s="1">
        <f t="shared" si="1104"/>
        <v>10</v>
      </c>
      <c r="N793" s="1">
        <f t="shared" si="1105"/>
        <v>2</v>
      </c>
      <c r="O793" s="1">
        <f t="shared" si="1089"/>
        <v>6</v>
      </c>
      <c r="P793" s="1">
        <f>MIN(方案参数!$AI$24,AZ792+0+0)</f>
        <v>5</v>
      </c>
      <c r="Q793" s="1">
        <f t="shared" si="1067"/>
        <v>5</v>
      </c>
      <c r="R793" s="1">
        <f t="shared" si="1068"/>
        <v>20</v>
      </c>
      <c r="S793" s="1">
        <f t="shared" si="1069"/>
        <v>3</v>
      </c>
      <c r="T793" s="1">
        <f t="shared" si="1112"/>
        <v>0</v>
      </c>
      <c r="U793" s="1">
        <f t="shared" si="1071"/>
        <v>0</v>
      </c>
      <c r="V793" s="1">
        <f t="shared" si="1072"/>
        <v>4</v>
      </c>
      <c r="W793" s="1">
        <f t="shared" si="1073"/>
        <v>1</v>
      </c>
      <c r="X793" s="1">
        <f t="shared" si="1074"/>
        <v>1</v>
      </c>
      <c r="Y793" s="1">
        <f t="shared" si="1075"/>
        <v>1</v>
      </c>
      <c r="Z793" s="1">
        <f t="shared" si="1076"/>
        <v>1</v>
      </c>
      <c r="AA793" s="1">
        <f t="shared" si="1108"/>
        <v>1</v>
      </c>
      <c r="AB793" s="1">
        <f t="shared" si="1078"/>
        <v>1</v>
      </c>
      <c r="AC793" s="1">
        <f t="shared" si="1113"/>
        <v>1</v>
      </c>
      <c r="AD793" s="1">
        <f>ROUNDDOWN(I793*(1+IF(F793=3,0.05+方案参数!$Y$24+AA793*0.12,IF(F793=4,方案参数!$BZ$24*方案参数!$AS$24,0)))+IF(AND(X793=1,F793&lt;&gt;3),方案参数!$CC$24,0)+AC793*方案参数!$CB$24,0)</f>
        <v>3034</v>
      </c>
      <c r="AE793" s="1">
        <f>IF(OR(F793=1,F793=4),配置与结果!$B$24,配置与结果!$B$25)*MAX(0,1-INDEX(配置与结果!$I$15:$I$18,F793))</f>
        <v>1200</v>
      </c>
      <c r="AF793" s="1">
        <f>方案参数!$BL$24</f>
        <v>9</v>
      </c>
      <c r="AG793" s="1">
        <f>MAX(配置与结果!$B$32,1+INDEX(配置与结果!$F$15:$F$18,F793)+0.08+方案参数!$CD$24+Q793*方案参数!$W$24+Y793*(方案参数!$AN$24+MIN(方案参数!$AO$24,P793*0.03))+AB793*方案参数!$BZ$24*0.025-配置与结果!$B$28+方案参数!$AE$24)</f>
        <v>2.6150000000000002</v>
      </c>
      <c r="AH793" s="1">
        <f>MAX(0,1+V793*方案参数!$U$24+8*方案参数!$V$24+方案参数!$AE$24-配置与结果!$B$29)</f>
        <v>2.04</v>
      </c>
      <c r="AI793" s="1">
        <f>IF(OR(INDEX(配置与结果!$K$15:$K$18,F793)=1,G793="RHI_BERRY"),1+配置与结果!$B$33+P793*方案参数!$AH$24,1)</f>
        <v>1</v>
      </c>
      <c r="AJ793" s="1">
        <f>MIN(1,MAX(0,J793+方案参数!$AB$24-配置与结果!$B$27))</f>
        <v>1</v>
      </c>
      <c r="AK793" s="1">
        <f>MAX(1,K793+IF(F793=2,0.15+方案参数!$CH$24,0)+BN793*方案参数!$X$24+R793*方案参数!$AA$24+方案参数!$BP$24-配置与结果!$B$26+Z793*(方案参数!$AP$24+MIN(方案参数!$AQ$24,P793*0.03)))</f>
        <v>2.7650000000000001</v>
      </c>
      <c r="AL793" s="7">
        <f>ROUNDDOWN(MAX(AD793*配置与结果!$B$31,AD793-AE793)*AF793*AG793*AH793*AI793,0)</f>
        <v>88052</v>
      </c>
      <c r="AM793" s="7">
        <f>ROUNDDOWN(MAX(AD793*配置与结果!$B$31,AD793-AE793)*AF793*AG793*AH793*AI793*AK793,0)</f>
        <v>243466</v>
      </c>
      <c r="AN793" s="7">
        <f t="shared" si="1095"/>
        <v>243466</v>
      </c>
      <c r="AO793" s="7">
        <f>0</f>
        <v>0</v>
      </c>
      <c r="AP793" s="7">
        <f>MAX(0,1+INDEX(配置与结果!$J$15:$J$18,F793)+IF(T793&gt;0,方案参数!$BY$24,0)-配置与结果!$B$30)</f>
        <v>1</v>
      </c>
      <c r="AQ793" s="7">
        <f t="shared" si="1096"/>
        <v>0</v>
      </c>
      <c r="AR793" s="7">
        <f t="shared" si="1097"/>
        <v>0</v>
      </c>
      <c r="AS793" s="7">
        <f t="shared" si="1098"/>
        <v>0</v>
      </c>
      <c r="AT793" s="7">
        <f>IF(U793&gt;0,ROUNDDOWN(AL793*方案参数!$AF$24,0)*(1-AJ793)+ROUNDDOWN(AM793*方案参数!$AF$24,0)*AJ793,0)</f>
        <v>0</v>
      </c>
      <c r="AU793" s="7">
        <f t="shared" si="1099"/>
        <v>243466</v>
      </c>
      <c r="AV793" s="1">
        <f t="shared" si="1100"/>
        <v>2</v>
      </c>
      <c r="AW793" s="1">
        <f t="shared" si="1118"/>
        <v>10</v>
      </c>
      <c r="AX793" s="1">
        <f t="shared" si="1101"/>
        <v>2</v>
      </c>
      <c r="AY793" s="1">
        <f>MIN(20,MAX(0,O793+0+1-0))</f>
        <v>7</v>
      </c>
      <c r="AZ793" s="1">
        <f t="shared" si="1102"/>
        <v>5</v>
      </c>
      <c r="BA793" s="1">
        <f t="shared" si="1109"/>
        <v>5</v>
      </c>
      <c r="BB793" s="1">
        <f t="shared" si="1117"/>
        <v>20</v>
      </c>
      <c r="BC793" s="1">
        <f t="shared" si="1115"/>
        <v>3</v>
      </c>
      <c r="BD793" s="1">
        <f t="shared" si="1088"/>
        <v>0</v>
      </c>
      <c r="BE793" s="1">
        <f>MAX(0,U793-IF(AF793&gt;0,1,0))+0</f>
        <v>0</v>
      </c>
      <c r="BF793" s="1">
        <f t="shared" si="1119"/>
        <v>4</v>
      </c>
      <c r="BG793" s="1">
        <f t="shared" si="1106"/>
        <v>1</v>
      </c>
      <c r="BH793" s="1">
        <f t="shared" si="1082"/>
        <v>1</v>
      </c>
      <c r="BI793" s="1">
        <f t="shared" si="1107"/>
        <v>1</v>
      </c>
      <c r="BJ793" s="1">
        <f t="shared" si="1110"/>
        <v>1</v>
      </c>
      <c r="BK793" s="1">
        <f t="shared" si="1111"/>
        <v>1</v>
      </c>
      <c r="BL793" s="1">
        <f t="shared" si="1116"/>
        <v>1</v>
      </c>
      <c r="BM793" s="1">
        <f t="shared" si="1114"/>
        <v>1</v>
      </c>
      <c r="BN793" s="1">
        <f t="shared" si="1083"/>
        <v>1</v>
      </c>
      <c r="BO793" s="1">
        <f t="shared" si="1084"/>
        <v>1</v>
      </c>
    </row>
    <row r="794" spans="1:67" ht="30.95" customHeight="1">
      <c r="A794" s="1">
        <f>21</f>
        <v>21</v>
      </c>
      <c r="B794" s="1">
        <f>固定流程!A38</f>
        <v>33</v>
      </c>
      <c r="C794" s="1">
        <f>24</f>
        <v>24</v>
      </c>
      <c r="D794" s="1">
        <f>2</f>
        <v>2</v>
      </c>
      <c r="E794" s="1">
        <f>固定流程!C38</f>
        <v>3</v>
      </c>
      <c r="F794" s="1">
        <f>固定流程!G38</f>
        <v>1</v>
      </c>
      <c r="G794" s="1" t="str">
        <f>固定流程!H38</f>
        <v>LILYA_WEAK</v>
      </c>
      <c r="H794" s="1">
        <f>固定流程!F38</f>
        <v>1</v>
      </c>
      <c r="I794" s="1">
        <f>INDEX(配置与结果!$B$15:$B$18,F794)</f>
        <v>2296</v>
      </c>
      <c r="J794" s="1">
        <f>INDEX(配置与结果!$D$15:$D$18,F794)</f>
        <v>0.7</v>
      </c>
      <c r="K794" s="1">
        <f>INDEX(配置与结果!$E$15:$E$18,F794)</f>
        <v>2.0249999999999999</v>
      </c>
      <c r="L794" s="1">
        <f t="shared" si="1103"/>
        <v>2</v>
      </c>
      <c r="M794" s="1">
        <f t="shared" si="1104"/>
        <v>10</v>
      </c>
      <c r="N794" s="1">
        <f t="shared" si="1105"/>
        <v>2</v>
      </c>
      <c r="O794" s="1">
        <f t="shared" si="1089"/>
        <v>7</v>
      </c>
      <c r="P794" s="1">
        <f>MIN(方案参数!$AI$24,AZ793+0+0)</f>
        <v>5</v>
      </c>
      <c r="Q794" s="1">
        <f t="shared" si="1067"/>
        <v>5</v>
      </c>
      <c r="R794" s="1">
        <f t="shared" si="1068"/>
        <v>20</v>
      </c>
      <c r="S794" s="1">
        <f t="shared" si="1069"/>
        <v>3</v>
      </c>
      <c r="T794" s="1">
        <f t="shared" si="1112"/>
        <v>0</v>
      </c>
      <c r="U794" s="1">
        <f t="shared" si="1071"/>
        <v>0</v>
      </c>
      <c r="V794" s="1">
        <f t="shared" si="1072"/>
        <v>4</v>
      </c>
      <c r="W794" s="1">
        <f t="shared" si="1073"/>
        <v>1</v>
      </c>
      <c r="X794" s="1">
        <f t="shared" si="1074"/>
        <v>1</v>
      </c>
      <c r="Y794" s="1">
        <f t="shared" si="1075"/>
        <v>1</v>
      </c>
      <c r="Z794" s="1">
        <f t="shared" si="1076"/>
        <v>1</v>
      </c>
      <c r="AA794" s="1">
        <f t="shared" si="1108"/>
        <v>1</v>
      </c>
      <c r="AB794" s="1">
        <f t="shared" si="1078"/>
        <v>1</v>
      </c>
      <c r="AC794" s="1">
        <f t="shared" si="1113"/>
        <v>1</v>
      </c>
      <c r="AD794" s="1">
        <f>ROUNDDOWN(I794*(1+IF(F794=3,0.05+方案参数!$Y$24+AA794*0.12,IF(F794=4,方案参数!$BZ$24*方案参数!$AS$24,0)))+IF(AND(X794=1,F794&lt;&gt;3),方案参数!$CC$24,0)+AC794*方案参数!$CB$24,0)</f>
        <v>3034</v>
      </c>
      <c r="AE794" s="1">
        <f>IF(OR(F794=1,F794=4),配置与结果!$B$24,配置与结果!$B$25)*MAX(0,1-INDEX(配置与结果!$I$15:$I$18,F794))</f>
        <v>1200</v>
      </c>
      <c r="AF794" s="1">
        <f>方案参数!$BL$24</f>
        <v>9</v>
      </c>
      <c r="AG794" s="1">
        <f>MAX(配置与结果!$B$32,1+INDEX(配置与结果!$F$15:$F$18,F794)+0.08+方案参数!$CD$24+Q794*方案参数!$W$24+Y794*(方案参数!$AN$24+MIN(方案参数!$AO$24,P794*0.03))+AB794*方案参数!$BZ$24*0.025-配置与结果!$B$28+方案参数!$AE$24)</f>
        <v>2.6150000000000002</v>
      </c>
      <c r="AH794" s="1">
        <f>MAX(0,1+V794*方案参数!$U$24+9*方案参数!$V$24+方案参数!$AE$24-配置与结果!$B$29)</f>
        <v>2.1</v>
      </c>
      <c r="AI794" s="1">
        <f>IF(OR(INDEX(配置与结果!$K$15:$K$18,F794)=1,G794="RHI_BERRY"),1+配置与结果!$B$33+P794*方案参数!$AH$24,1)</f>
        <v>1</v>
      </c>
      <c r="AJ794" s="1">
        <f>MIN(1,MAX(0,J794+方案参数!$AB$24-配置与结果!$B$27))</f>
        <v>1</v>
      </c>
      <c r="AK794" s="1">
        <f>MAX(1,K794+IF(F794=2,0.15+方案参数!$CH$24,0)+BN794*方案参数!$X$24+R794*方案参数!$AA$24+方案参数!$BP$24-配置与结果!$B$26+Z794*(方案参数!$AP$24+MIN(方案参数!$AQ$24,P794*0.03)))</f>
        <v>2.7650000000000001</v>
      </c>
      <c r="AL794" s="7">
        <f>ROUNDDOWN(MAX(AD794*配置与结果!$B$31,AD794-AE794)*AF794*AG794*AH794*AI794,0)</f>
        <v>90642</v>
      </c>
      <c r="AM794" s="7">
        <f>ROUNDDOWN(MAX(AD794*配置与结果!$B$31,AD794-AE794)*AF794*AG794*AH794*AI794*AK794,0)</f>
        <v>250627</v>
      </c>
      <c r="AN794" s="7">
        <f t="shared" si="1095"/>
        <v>250627</v>
      </c>
      <c r="AO794" s="7">
        <f>0</f>
        <v>0</v>
      </c>
      <c r="AP794" s="7">
        <f>MAX(0,1+INDEX(配置与结果!$J$15:$J$18,F794)+IF(T794&gt;0,方案参数!$BY$24,0)-配置与结果!$B$30)</f>
        <v>1</v>
      </c>
      <c r="AQ794" s="7">
        <f t="shared" si="1096"/>
        <v>0</v>
      </c>
      <c r="AR794" s="7">
        <f t="shared" si="1097"/>
        <v>0</v>
      </c>
      <c r="AS794" s="7">
        <f t="shared" si="1098"/>
        <v>0</v>
      </c>
      <c r="AT794" s="7">
        <f>IF(U794&gt;0,ROUNDDOWN(AL794*方案参数!$AF$24,0)*(1-AJ794)+ROUNDDOWN(AM794*方案参数!$AF$24,0)*AJ794,0)</f>
        <v>0</v>
      </c>
      <c r="AU794" s="7">
        <f t="shared" si="1099"/>
        <v>250627</v>
      </c>
      <c r="AV794" s="1">
        <f t="shared" si="1100"/>
        <v>2</v>
      </c>
      <c r="AW794" s="1">
        <f t="shared" si="1118"/>
        <v>10</v>
      </c>
      <c r="AX794" s="1">
        <f t="shared" si="1101"/>
        <v>2</v>
      </c>
      <c r="AY794" s="1">
        <f>MIN(20,MAX(0,O794+0+1-0))</f>
        <v>8</v>
      </c>
      <c r="AZ794" s="1">
        <f t="shared" si="1102"/>
        <v>5</v>
      </c>
      <c r="BA794" s="1">
        <f t="shared" si="1109"/>
        <v>5</v>
      </c>
      <c r="BB794" s="1">
        <f t="shared" si="1117"/>
        <v>20</v>
      </c>
      <c r="BC794" s="1">
        <f t="shared" si="1115"/>
        <v>3</v>
      </c>
      <c r="BD794" s="1">
        <f t="shared" si="1088"/>
        <v>0</v>
      </c>
      <c r="BE794" s="1">
        <f>MAX(0,U794-IF(AF794&gt;0,1,0))+0</f>
        <v>0</v>
      </c>
      <c r="BF794" s="1">
        <f t="shared" si="1119"/>
        <v>4</v>
      </c>
      <c r="BG794" s="1">
        <f t="shared" si="1106"/>
        <v>1</v>
      </c>
      <c r="BH794" s="1">
        <f t="shared" si="1082"/>
        <v>1</v>
      </c>
      <c r="BI794" s="1">
        <f t="shared" si="1107"/>
        <v>1</v>
      </c>
      <c r="BJ794" s="1">
        <f t="shared" si="1110"/>
        <v>1</v>
      </c>
      <c r="BK794" s="1">
        <f t="shared" si="1111"/>
        <v>1</v>
      </c>
      <c r="BL794" s="1">
        <f t="shared" si="1116"/>
        <v>1</v>
      </c>
      <c r="BM794" s="1">
        <f t="shared" si="1114"/>
        <v>1</v>
      </c>
      <c r="BN794" s="1">
        <f t="shared" si="1083"/>
        <v>1</v>
      </c>
      <c r="BO794" s="1">
        <f t="shared" si="1084"/>
        <v>1</v>
      </c>
    </row>
    <row r="795" spans="1:67" ht="30.95" customHeight="1">
      <c r="A795" s="1">
        <f>21</f>
        <v>21</v>
      </c>
      <c r="B795" s="1">
        <f>固定流程!A39</f>
        <v>34</v>
      </c>
      <c r="C795" s="1">
        <f>24</f>
        <v>24</v>
      </c>
      <c r="D795" s="1">
        <f>2</f>
        <v>2</v>
      </c>
      <c r="E795" s="1">
        <f>固定流程!C39</f>
        <v>3</v>
      </c>
      <c r="F795" s="1">
        <f>固定流程!G39</f>
        <v>2</v>
      </c>
      <c r="G795" s="1" t="str">
        <f>固定流程!H39</f>
        <v>37_WEAK</v>
      </c>
      <c r="H795" s="1">
        <f>固定流程!F39</f>
        <v>1</v>
      </c>
      <c r="I795" s="1">
        <f>INDEX(配置与结果!$B$15:$B$18,F795)</f>
        <v>2306</v>
      </c>
      <c r="J795" s="1">
        <f>INDEX(配置与结果!$D$15:$D$18,F795)</f>
        <v>0.46</v>
      </c>
      <c r="K795" s="1">
        <f>INDEX(配置与结果!$E$15:$E$18,F795)</f>
        <v>1.9279999999999999</v>
      </c>
      <c r="L795" s="1">
        <f t="shared" si="1103"/>
        <v>2</v>
      </c>
      <c r="M795" s="1">
        <f t="shared" si="1104"/>
        <v>10</v>
      </c>
      <c r="N795" s="1">
        <f t="shared" si="1105"/>
        <v>2</v>
      </c>
      <c r="O795" s="1">
        <f t="shared" si="1089"/>
        <v>8</v>
      </c>
      <c r="P795" s="1">
        <f>MIN(方案参数!$AI$24,AZ794+0+0)</f>
        <v>5</v>
      </c>
      <c r="Q795" s="1">
        <f t="shared" si="1067"/>
        <v>5</v>
      </c>
      <c r="R795" s="1">
        <f t="shared" si="1068"/>
        <v>20</v>
      </c>
      <c r="S795" s="1">
        <f t="shared" si="1069"/>
        <v>3</v>
      </c>
      <c r="T795" s="1">
        <f t="shared" si="1112"/>
        <v>0</v>
      </c>
      <c r="U795" s="1">
        <f t="shared" si="1071"/>
        <v>0</v>
      </c>
      <c r="V795" s="1">
        <f t="shared" si="1072"/>
        <v>4</v>
      </c>
      <c r="W795" s="1">
        <f t="shared" si="1073"/>
        <v>1</v>
      </c>
      <c r="X795" s="1">
        <f t="shared" si="1074"/>
        <v>1</v>
      </c>
      <c r="Y795" s="1">
        <f t="shared" si="1075"/>
        <v>1</v>
      </c>
      <c r="Z795" s="1">
        <f t="shared" si="1076"/>
        <v>1</v>
      </c>
      <c r="AA795" s="1">
        <f t="shared" si="1108"/>
        <v>1</v>
      </c>
      <c r="AB795" s="1">
        <f t="shared" si="1078"/>
        <v>1</v>
      </c>
      <c r="AC795" s="1">
        <f t="shared" si="1113"/>
        <v>1</v>
      </c>
      <c r="AD795" s="1">
        <f>ROUNDDOWN(I795*(1+IF(F795=3,0.05+方案参数!$Y$24+AA795*0.12,IF(F795=4,方案参数!$BZ$24*方案参数!$AS$24,0)))+IF(AND(X795=1,F795&lt;&gt;3),方案参数!$CC$24,0)+AC795*方案参数!$CB$24,0)</f>
        <v>3044</v>
      </c>
      <c r="AE795" s="1">
        <f>IF(OR(F795=1,F795=4),配置与结果!$B$24,配置与结果!$B$25)*MAX(0,1-INDEX(配置与结果!$I$15:$I$18,F795))</f>
        <v>1000</v>
      </c>
      <c r="AF795" s="1">
        <f>方案参数!$CE$24</f>
        <v>8</v>
      </c>
      <c r="AG795" s="1">
        <f>MAX(配置与结果!$B$32,1+INDEX(配置与结果!$F$15:$F$18,F795)+0+Q795*方案参数!$W$24+Y795*(方案参数!$AN$24+MIN(方案参数!$AO$24,P795*0.03))+AB795*方案参数!$BZ$24*0.025-配置与结果!$B$28+方案参数!$AE$24)</f>
        <v>2.2800000000000002</v>
      </c>
      <c r="AH795" s="1">
        <f>MAX(0,1+V795*方案参数!$U$24+方案参数!$AE$24-配置与结果!$B$29)</f>
        <v>1.56</v>
      </c>
      <c r="AI795" s="1">
        <f>IF(OR(INDEX(配置与结果!$K$15:$K$18,F795)=1,G795="RHI_BERRY"),1+配置与结果!$B$33+P795*方案参数!$AH$24,1)</f>
        <v>1</v>
      </c>
      <c r="AJ795" s="1">
        <f>MIN(1,MAX(0,J795+方案参数!$AB$24-配置与结果!$B$27))</f>
        <v>0.76</v>
      </c>
      <c r="AK795" s="1">
        <f>MAX(1,K795+IF(F795=2,0.15+方案参数!$CH$24,0)+BN795*方案参数!$X$24+R795*方案参数!$AA$24+0-配置与结果!$B$26+Z795*(方案参数!$AP$24+MIN(方案参数!$AQ$24,P795*0.03)))</f>
        <v>2.3380000000000001</v>
      </c>
      <c r="AL795" s="7">
        <f>ROUNDDOWN(MAX(AD795*配置与结果!$B$31,AD795-AE795)*AF795*AG795*AH795*AI795,0)</f>
        <v>58160</v>
      </c>
      <c r="AM795" s="7">
        <f>ROUNDDOWN(MAX(AD795*配置与结果!$B$31,AD795-AE795)*AF795*AG795*AH795*AI795*AK795,0)</f>
        <v>135979</v>
      </c>
      <c r="AN795" s="7">
        <f t="shared" si="1095"/>
        <v>117302.44</v>
      </c>
      <c r="AO795" s="7">
        <f>0</f>
        <v>0</v>
      </c>
      <c r="AP795" s="7">
        <f>MAX(0,1+INDEX(配置与结果!$J$15:$J$18,F795)+IF(T795&gt;0,方案参数!$BY$24,0)-配置与结果!$B$30)</f>
        <v>1</v>
      </c>
      <c r="AQ795" s="7">
        <f t="shared" si="1096"/>
        <v>0</v>
      </c>
      <c r="AR795" s="7">
        <f t="shared" si="1097"/>
        <v>0</v>
      </c>
      <c r="AS795" s="7">
        <f t="shared" si="1098"/>
        <v>0</v>
      </c>
      <c r="AT795" s="7">
        <f>IF(U795&gt;0,ROUNDDOWN(AL795*方案参数!$AF$24,0)*(1-AJ795)+ROUNDDOWN(AM795*方案参数!$AF$24,0)*AJ795,0)</f>
        <v>0</v>
      </c>
      <c r="AU795" s="7">
        <f t="shared" si="1099"/>
        <v>117302.44</v>
      </c>
      <c r="AV795" s="1">
        <f t="shared" si="1100"/>
        <v>2</v>
      </c>
      <c r="AW795" s="1">
        <f t="shared" si="1118"/>
        <v>10</v>
      </c>
      <c r="AX795" s="1">
        <f t="shared" si="1101"/>
        <v>2</v>
      </c>
      <c r="AY795" s="1">
        <f>MIN(20,MAX(0,O795+0+0-0))</f>
        <v>8</v>
      </c>
      <c r="AZ795" s="1">
        <f t="shared" si="1102"/>
        <v>5</v>
      </c>
      <c r="BA795" s="1">
        <f t="shared" si="1109"/>
        <v>5</v>
      </c>
      <c r="BB795" s="1">
        <f t="shared" si="1117"/>
        <v>20</v>
      </c>
      <c r="BC795" s="1">
        <f t="shared" si="1115"/>
        <v>3</v>
      </c>
      <c r="BD795" s="1">
        <f t="shared" si="1088"/>
        <v>0</v>
      </c>
      <c r="BE795" s="1">
        <f>MAX(0,U795-IF(AF795&gt;0,1,0))+1</f>
        <v>1</v>
      </c>
      <c r="BF795" s="1">
        <f t="shared" si="1119"/>
        <v>4</v>
      </c>
      <c r="BG795" s="1">
        <f t="shared" si="1106"/>
        <v>1</v>
      </c>
      <c r="BH795" s="1">
        <f t="shared" si="1082"/>
        <v>1</v>
      </c>
      <c r="BI795" s="1">
        <f t="shared" si="1107"/>
        <v>1</v>
      </c>
      <c r="BJ795" s="1">
        <f t="shared" si="1110"/>
        <v>1</v>
      </c>
      <c r="BK795" s="1">
        <f t="shared" si="1111"/>
        <v>1</v>
      </c>
      <c r="BL795" s="1">
        <f t="shared" si="1116"/>
        <v>1</v>
      </c>
      <c r="BM795" s="1">
        <f t="shared" si="1114"/>
        <v>1</v>
      </c>
      <c r="BN795" s="1">
        <f t="shared" si="1083"/>
        <v>1</v>
      </c>
      <c r="BO795" s="1">
        <f t="shared" si="1084"/>
        <v>1</v>
      </c>
    </row>
    <row r="796" spans="1:67" ht="30.95" customHeight="1">
      <c r="A796" s="1">
        <f>21</f>
        <v>21</v>
      </c>
      <c r="B796" s="1">
        <f>固定流程!A40</f>
        <v>35</v>
      </c>
      <c r="C796" s="1">
        <f>24</f>
        <v>24</v>
      </c>
      <c r="D796" s="1">
        <f>2</f>
        <v>2</v>
      </c>
      <c r="E796" s="1">
        <f>固定流程!C40</f>
        <v>3</v>
      </c>
      <c r="F796" s="1">
        <f>固定流程!G40</f>
        <v>2</v>
      </c>
      <c r="G796" s="1" t="str">
        <f>固定流程!H40</f>
        <v>37_WEAK</v>
      </c>
      <c r="H796" s="1">
        <f>固定流程!F40</f>
        <v>1</v>
      </c>
      <c r="I796" s="1">
        <f>INDEX(配置与结果!$B$15:$B$18,F796)</f>
        <v>2306</v>
      </c>
      <c r="J796" s="1">
        <f>INDEX(配置与结果!$D$15:$D$18,F796)</f>
        <v>0.46</v>
      </c>
      <c r="K796" s="1">
        <f>INDEX(配置与结果!$E$15:$E$18,F796)</f>
        <v>1.9279999999999999</v>
      </c>
      <c r="L796" s="1">
        <f t="shared" si="1103"/>
        <v>2</v>
      </c>
      <c r="M796" s="1">
        <f t="shared" si="1104"/>
        <v>10</v>
      </c>
      <c r="N796" s="1">
        <f t="shared" si="1105"/>
        <v>2</v>
      </c>
      <c r="O796" s="1">
        <f t="shared" si="1089"/>
        <v>8</v>
      </c>
      <c r="P796" s="1">
        <f>MIN(方案参数!$AI$24,AZ795+0+0)</f>
        <v>5</v>
      </c>
      <c r="Q796" s="1">
        <f t="shared" si="1067"/>
        <v>5</v>
      </c>
      <c r="R796" s="1">
        <f t="shared" si="1068"/>
        <v>20</v>
      </c>
      <c r="S796" s="1">
        <f t="shared" si="1069"/>
        <v>3</v>
      </c>
      <c r="T796" s="1">
        <f t="shared" si="1112"/>
        <v>0</v>
      </c>
      <c r="U796" s="1">
        <f t="shared" si="1071"/>
        <v>1</v>
      </c>
      <c r="V796" s="1">
        <f t="shared" si="1072"/>
        <v>4</v>
      </c>
      <c r="W796" s="1">
        <f t="shared" si="1073"/>
        <v>1</v>
      </c>
      <c r="X796" s="1">
        <f t="shared" si="1074"/>
        <v>1</v>
      </c>
      <c r="Y796" s="1">
        <f t="shared" si="1075"/>
        <v>1</v>
      </c>
      <c r="Z796" s="1">
        <f t="shared" si="1076"/>
        <v>1</v>
      </c>
      <c r="AA796" s="1">
        <f t="shared" si="1108"/>
        <v>1</v>
      </c>
      <c r="AB796" s="1">
        <f t="shared" si="1078"/>
        <v>1</v>
      </c>
      <c r="AC796" s="1">
        <f t="shared" si="1113"/>
        <v>1</v>
      </c>
      <c r="AD796" s="1">
        <f>ROUNDDOWN(I796*(1+IF(F796=3,0.05+方案参数!$Y$24+AA796*0.12,IF(F796=4,方案参数!$BZ$24*方案参数!$AS$24,0)))+IF(AND(X796=1,F796&lt;&gt;3),方案参数!$CC$24,0)+AC796*方案参数!$CB$24,0)</f>
        <v>3044</v>
      </c>
      <c r="AE796" s="1">
        <f>IF(OR(F796=1,F796=4),配置与结果!$B$24,配置与结果!$B$25)*MAX(0,1-INDEX(配置与结果!$I$15:$I$18,F796))</f>
        <v>1000</v>
      </c>
      <c r="AF796" s="1">
        <f>方案参数!$CE$24</f>
        <v>8</v>
      </c>
      <c r="AG796" s="1">
        <f>MAX(配置与结果!$B$32,1+INDEX(配置与结果!$F$15:$F$18,F796)+0+Q796*方案参数!$W$24+Y796*(方案参数!$AN$24+MIN(方案参数!$AO$24,P796*0.03))+AB796*方案参数!$BZ$24*0.025-配置与结果!$B$28+方案参数!$AE$24)</f>
        <v>2.2800000000000002</v>
      </c>
      <c r="AH796" s="1">
        <f>MAX(0,1+V796*方案参数!$U$24+方案参数!$AE$24-配置与结果!$B$29)</f>
        <v>1.56</v>
      </c>
      <c r="AI796" s="1">
        <f>IF(OR(INDEX(配置与结果!$K$15:$K$18,F796)=1,G796="RHI_BERRY"),1+配置与结果!$B$33+P796*方案参数!$AH$24,1)</f>
        <v>1</v>
      </c>
      <c r="AJ796" s="1">
        <f>MIN(1,MAX(0,J796+方案参数!$AB$24-配置与结果!$B$27))</f>
        <v>0.76</v>
      </c>
      <c r="AK796" s="1">
        <f>MAX(1,K796+IF(F796=2,0.15+方案参数!$CH$24,0)+BN796*方案参数!$X$24+R796*方案参数!$AA$24+0-配置与结果!$B$26+Z796*(方案参数!$AP$24+MIN(方案参数!$AQ$24,P796*0.03)))</f>
        <v>2.3380000000000001</v>
      </c>
      <c r="AL796" s="7">
        <f>ROUNDDOWN(MAX(AD796*配置与结果!$B$31,AD796-AE796)*AF796*AG796*AH796*AI796,0)</f>
        <v>58160</v>
      </c>
      <c r="AM796" s="7">
        <f>ROUNDDOWN(MAX(AD796*配置与结果!$B$31,AD796-AE796)*AF796*AG796*AH796*AI796*AK796,0)</f>
        <v>135979</v>
      </c>
      <c r="AN796" s="7">
        <f t="shared" si="1095"/>
        <v>117302.44</v>
      </c>
      <c r="AO796" s="7">
        <f>0</f>
        <v>0</v>
      </c>
      <c r="AP796" s="7">
        <f>MAX(0,1+INDEX(配置与结果!$J$15:$J$18,F796)+IF(T796&gt;0,方案参数!$BY$24,0)-配置与结果!$B$30)</f>
        <v>1</v>
      </c>
      <c r="AQ796" s="7">
        <f t="shared" si="1096"/>
        <v>0</v>
      </c>
      <c r="AR796" s="7">
        <f t="shared" si="1097"/>
        <v>0</v>
      </c>
      <c r="AS796" s="7">
        <f t="shared" si="1098"/>
        <v>0</v>
      </c>
      <c r="AT796" s="7">
        <f>IF(U796&gt;0,ROUNDDOWN(AL796*方案参数!$AF$24,0)*(1-AJ796)+ROUNDDOWN(AM796*方案参数!$AF$24,0)*AJ796,0)</f>
        <v>46920.520000000004</v>
      </c>
      <c r="AU796" s="7">
        <f t="shared" si="1099"/>
        <v>164222.96000000002</v>
      </c>
      <c r="AV796" s="1">
        <f t="shared" si="1100"/>
        <v>2</v>
      </c>
      <c r="AW796" s="1">
        <f t="shared" si="1118"/>
        <v>10</v>
      </c>
      <c r="AX796" s="1">
        <f t="shared" si="1101"/>
        <v>2</v>
      </c>
      <c r="AY796" s="1">
        <f>MIN(20,MAX(0,O796+0+0-0))</f>
        <v>8</v>
      </c>
      <c r="AZ796" s="1">
        <f t="shared" si="1102"/>
        <v>5</v>
      </c>
      <c r="BA796" s="1">
        <f t="shared" si="1109"/>
        <v>5</v>
      </c>
      <c r="BB796" s="1">
        <f t="shared" si="1117"/>
        <v>20</v>
      </c>
      <c r="BC796" s="1">
        <f t="shared" si="1115"/>
        <v>3</v>
      </c>
      <c r="BD796" s="1">
        <f t="shared" si="1088"/>
        <v>0</v>
      </c>
      <c r="BE796" s="1">
        <f>MAX(0,U796-IF(AF796&gt;0,1,0))+1</f>
        <v>1</v>
      </c>
      <c r="BF796" s="1">
        <f t="shared" si="1119"/>
        <v>4</v>
      </c>
      <c r="BG796" s="1">
        <f t="shared" si="1106"/>
        <v>1</v>
      </c>
      <c r="BH796" s="1">
        <f t="shared" si="1082"/>
        <v>1</v>
      </c>
      <c r="BI796" s="1">
        <f t="shared" si="1107"/>
        <v>1</v>
      </c>
      <c r="BJ796" s="1">
        <f t="shared" si="1110"/>
        <v>1</v>
      </c>
      <c r="BK796" s="1">
        <f t="shared" si="1111"/>
        <v>1</v>
      </c>
      <c r="BL796" s="1">
        <f t="shared" si="1116"/>
        <v>1</v>
      </c>
      <c r="BM796" s="1">
        <f t="shared" si="1114"/>
        <v>1</v>
      </c>
      <c r="BN796" s="1">
        <f t="shared" si="1083"/>
        <v>1</v>
      </c>
      <c r="BO796" s="1">
        <f t="shared" si="1084"/>
        <v>1</v>
      </c>
    </row>
    <row r="797" spans="1:67" ht="30.95" customHeight="1">
      <c r="A797" s="1">
        <f>21</f>
        <v>21</v>
      </c>
      <c r="B797" s="1">
        <f>固定流程!A41</f>
        <v>36</v>
      </c>
      <c r="C797" s="1">
        <f>24</f>
        <v>24</v>
      </c>
      <c r="D797" s="1">
        <f>2</f>
        <v>2</v>
      </c>
      <c r="E797" s="1">
        <f>固定流程!C41</f>
        <v>3</v>
      </c>
      <c r="F797" s="1">
        <f>固定流程!G41</f>
        <v>1</v>
      </c>
      <c r="G797" s="1" t="str">
        <f>固定流程!H41</f>
        <v>LILYA_FINISH</v>
      </c>
      <c r="H797" s="1">
        <f>固定流程!F41</f>
        <v>1</v>
      </c>
      <c r="I797" s="1">
        <f>INDEX(配置与结果!$B$15:$B$18,F797)</f>
        <v>2296</v>
      </c>
      <c r="J797" s="1">
        <f>INDEX(配置与结果!$D$15:$D$18,F797)</f>
        <v>0.7</v>
      </c>
      <c r="K797" s="1">
        <f>INDEX(配置与结果!$E$15:$E$18,F797)</f>
        <v>2.0249999999999999</v>
      </c>
      <c r="L797" s="1">
        <f t="shared" si="1103"/>
        <v>2</v>
      </c>
      <c r="M797" s="1">
        <f t="shared" si="1104"/>
        <v>10</v>
      </c>
      <c r="N797" s="1">
        <f t="shared" si="1105"/>
        <v>2</v>
      </c>
      <c r="O797" s="1">
        <f t="shared" si="1089"/>
        <v>8</v>
      </c>
      <c r="P797" s="1">
        <f>MIN(方案参数!$AI$24,AZ796+0+0)</f>
        <v>5</v>
      </c>
      <c r="Q797" s="1">
        <f t="shared" si="1067"/>
        <v>5</v>
      </c>
      <c r="R797" s="1">
        <f t="shared" si="1068"/>
        <v>20</v>
      </c>
      <c r="S797" s="1">
        <f t="shared" si="1069"/>
        <v>3</v>
      </c>
      <c r="T797" s="1">
        <f t="shared" si="1112"/>
        <v>0</v>
      </c>
      <c r="U797" s="1">
        <f t="shared" si="1071"/>
        <v>1</v>
      </c>
      <c r="V797" s="1">
        <f t="shared" si="1072"/>
        <v>4</v>
      </c>
      <c r="W797" s="1">
        <f t="shared" si="1073"/>
        <v>1</v>
      </c>
      <c r="X797" s="1">
        <f t="shared" si="1074"/>
        <v>1</v>
      </c>
      <c r="Y797" s="1">
        <f t="shared" si="1075"/>
        <v>1</v>
      </c>
      <c r="Z797" s="1">
        <f t="shared" si="1076"/>
        <v>1</v>
      </c>
      <c r="AA797" s="1">
        <f t="shared" si="1108"/>
        <v>1</v>
      </c>
      <c r="AB797" s="1">
        <f t="shared" si="1078"/>
        <v>1</v>
      </c>
      <c r="AC797" s="1">
        <f t="shared" si="1113"/>
        <v>1</v>
      </c>
      <c r="AD797" s="1">
        <f>ROUNDDOWN(I797*(1+IF(F797=3,0.05+方案参数!$Y$24+AA797*0.12,IF(F797=4,方案参数!$BZ$24*方案参数!$AS$24,0)))+IF(AND(X797=1,F797&lt;&gt;3),方案参数!$CC$24,0)+AC797*方案参数!$CB$24,0)</f>
        <v>3034</v>
      </c>
      <c r="AE797" s="1">
        <f>IF(OR(F797=1,F797=4),配置与结果!$B$24,配置与结果!$B$25)*MAX(0,1-INDEX(配置与结果!$I$15:$I$18,F797))</f>
        <v>1200</v>
      </c>
      <c r="AF797" s="1">
        <f>方案参数!$BN$24+12*方案参数!$BO$24</f>
        <v>48</v>
      </c>
      <c r="AG797" s="1">
        <f>MAX(配置与结果!$B$32,1+INDEX(配置与结果!$F$15:$F$18,F797)+0.08+方案参数!$CD$24+Q797*方案参数!$W$24+Y797*(方案参数!$AN$24+MIN(方案参数!$AO$24,P797*0.03))+AB797*方案参数!$BZ$24*0.025-配置与结果!$B$28+方案参数!$AE$24)</f>
        <v>2.6150000000000002</v>
      </c>
      <c r="AH797" s="1">
        <f>MAX(0,1+V797*方案参数!$U$24+12*方案参数!$V$24+方案参数!$AE$24-配置与结果!$B$29)</f>
        <v>2.2799999999999998</v>
      </c>
      <c r="AI797" s="1">
        <f>IF(OR(INDEX(配置与结果!$K$15:$K$18,F797)=1,G797="RHI_BERRY"),1+配置与结果!$B$33+P797*方案参数!$AH$24,1)</f>
        <v>1</v>
      </c>
      <c r="AJ797" s="1">
        <f>MIN(1,MAX(0,J797+方案参数!$AB$24-配置与结果!$B$27))</f>
        <v>1</v>
      </c>
      <c r="AK797" s="1">
        <f>MAX(1,K797+IF(F797=2,0.15+方案参数!$CH$24,0)+BN797*方案参数!$X$24+R797*方案参数!$AA$24+方案参数!$BR$24-配置与结果!$B$26+Z797*(方案参数!$AP$24+MIN(方案参数!$AQ$24,P797*0.03)))</f>
        <v>3.165</v>
      </c>
      <c r="AL797" s="7">
        <f>ROUNDDOWN(MAX(AD797*配置与结果!$B$31,AD797-AE797)*AF797*AG797*AH797*AI797,0)</f>
        <v>524864</v>
      </c>
      <c r="AM797" s="7">
        <f>ROUNDDOWN(MAX(AD797*配置与结果!$B$31,AD797-AE797)*AF797*AG797*AH797*AI797*AK797,0)</f>
        <v>1661195</v>
      </c>
      <c r="AN797" s="7">
        <f t="shared" si="1095"/>
        <v>1661195</v>
      </c>
      <c r="AO797" s="7">
        <f>0</f>
        <v>0</v>
      </c>
      <c r="AP797" s="7">
        <f>MAX(0,1+INDEX(配置与结果!$J$15:$J$18,F797)+IF(T797&gt;0,方案参数!$BY$24,0)-配置与结果!$B$30)</f>
        <v>1</v>
      </c>
      <c r="AQ797" s="7">
        <f t="shared" si="1096"/>
        <v>0</v>
      </c>
      <c r="AR797" s="7">
        <f t="shared" si="1097"/>
        <v>0</v>
      </c>
      <c r="AS797" s="7">
        <f t="shared" si="1098"/>
        <v>0</v>
      </c>
      <c r="AT797" s="7">
        <f>IF(U797&gt;0,ROUNDDOWN(AL797*方案参数!$AF$24,0)*(1-AJ797)+ROUNDDOWN(AM797*方案参数!$AF$24,0)*AJ797,0)</f>
        <v>664478</v>
      </c>
      <c r="AU797" s="7">
        <f t="shared" si="1099"/>
        <v>2325673</v>
      </c>
      <c r="AV797" s="1">
        <f t="shared" si="1100"/>
        <v>2</v>
      </c>
      <c r="AW797" s="1">
        <f t="shared" si="1118"/>
        <v>10</v>
      </c>
      <c r="AX797" s="1">
        <f t="shared" si="1101"/>
        <v>2</v>
      </c>
      <c r="AY797" s="1">
        <f>MIN(20,MAX(0,O797+0+1-0))</f>
        <v>9</v>
      </c>
      <c r="AZ797" s="1">
        <f t="shared" si="1102"/>
        <v>5</v>
      </c>
      <c r="BA797" s="1">
        <f t="shared" si="1109"/>
        <v>5</v>
      </c>
      <c r="BB797" s="1">
        <f t="shared" si="1117"/>
        <v>20</v>
      </c>
      <c r="BC797" s="1">
        <f t="shared" si="1115"/>
        <v>3</v>
      </c>
      <c r="BD797" s="1">
        <f t="shared" si="1088"/>
        <v>0</v>
      </c>
      <c r="BE797" s="1">
        <f>MAX(0,U797-IF(AF797&gt;0,1,0))+0</f>
        <v>0</v>
      </c>
      <c r="BF797" s="1">
        <f t="shared" si="1119"/>
        <v>4</v>
      </c>
      <c r="BG797" s="1">
        <f t="shared" si="1106"/>
        <v>1</v>
      </c>
      <c r="BH797" s="1">
        <f t="shared" si="1082"/>
        <v>1</v>
      </c>
      <c r="BI797" s="1">
        <f t="shared" si="1107"/>
        <v>1</v>
      </c>
      <c r="BJ797" s="1">
        <f t="shared" si="1110"/>
        <v>1</v>
      </c>
      <c r="BK797" s="1">
        <f t="shared" si="1111"/>
        <v>1</v>
      </c>
      <c r="BL797" s="1">
        <f t="shared" si="1116"/>
        <v>1</v>
      </c>
      <c r="BM797" s="1">
        <f t="shared" si="1114"/>
        <v>1</v>
      </c>
      <c r="BN797" s="1">
        <f t="shared" si="1083"/>
        <v>1</v>
      </c>
      <c r="BO797" s="1">
        <f t="shared" si="1084"/>
        <v>1</v>
      </c>
    </row>
    <row r="798" spans="1:67" ht="30.95" customHeight="1">
      <c r="A798" s="1">
        <f>22</f>
        <v>22</v>
      </c>
      <c r="B798" s="1">
        <f>固定流程!A6</f>
        <v>1</v>
      </c>
      <c r="C798" s="1">
        <f>25</f>
        <v>25</v>
      </c>
      <c r="D798" s="1">
        <f>1</f>
        <v>1</v>
      </c>
      <c r="E798" s="1">
        <f>固定流程!C6</f>
        <v>1</v>
      </c>
      <c r="F798" s="1">
        <f>固定流程!G6</f>
        <v>3</v>
      </c>
      <c r="G798" s="1" t="str">
        <f>固定流程!H6</f>
        <v>RHI_ULT</v>
      </c>
      <c r="H798" s="1">
        <f>固定流程!F6</f>
        <v>1</v>
      </c>
      <c r="I798" s="1">
        <f>INDEX(配置与结果!$B$15:$B$18,F798)</f>
        <v>2597</v>
      </c>
      <c r="J798" s="1">
        <f>INDEX(配置与结果!$D$15:$D$18,F798)</f>
        <v>0.255</v>
      </c>
      <c r="K798" s="1">
        <f>INDEX(配置与结果!$E$15:$E$18,F798)</f>
        <v>1.55</v>
      </c>
      <c r="L798" s="1">
        <f>0</f>
        <v>0</v>
      </c>
      <c r="M798" s="1">
        <f>0</f>
        <v>0</v>
      </c>
      <c r="N798" s="1">
        <f>0</f>
        <v>0</v>
      </c>
      <c r="O798" s="1">
        <f>0</f>
        <v>0</v>
      </c>
      <c r="P798" s="1">
        <f>MIN(方案参数!$AI$25,0+方案参数!$AJ$25+0)</f>
        <v>1</v>
      </c>
      <c r="Q798" s="1">
        <f>0</f>
        <v>0</v>
      </c>
      <c r="R798" s="1">
        <f>0</f>
        <v>0</v>
      </c>
      <c r="S798" s="1">
        <f>0</f>
        <v>0</v>
      </c>
      <c r="T798" s="1">
        <f>0+0</f>
        <v>0</v>
      </c>
      <c r="U798" s="1">
        <f>0</f>
        <v>0</v>
      </c>
      <c r="V798" s="1">
        <f>0</f>
        <v>0</v>
      </c>
      <c r="W798" s="1">
        <f>0</f>
        <v>0</v>
      </c>
      <c r="X798" s="1">
        <f>0</f>
        <v>0</v>
      </c>
      <c r="Y798" s="1">
        <f>0</f>
        <v>0</v>
      </c>
      <c r="Z798" s="1">
        <f>0</f>
        <v>0</v>
      </c>
      <c r="AA798" s="1">
        <f>MAX(0,0)</f>
        <v>0</v>
      </c>
      <c r="AB798" s="1">
        <f>0</f>
        <v>0</v>
      </c>
      <c r="AC798" s="1">
        <f>MAX(0,0)</f>
        <v>0</v>
      </c>
      <c r="AD798" s="1">
        <f>ROUNDDOWN(I798*(1+IF(F798=3,0.05+方案参数!$Y$25+AA798*0.12,IF(F798=4,方案参数!$BZ$25*方案参数!$AS$25,0)))+IF(AND(X798=1,F798&lt;&gt;3),方案参数!$CC$25,0)+AC798*方案参数!$CB$25,0)</f>
        <v>2986</v>
      </c>
      <c r="AE798" s="1">
        <f>IF(OR(F798=1,F798=4),配置与结果!$B$24,配置与结果!$B$25)*MAX(0,1-INDEX(配置与结果!$I$15:$I$18,F798))</f>
        <v>1000</v>
      </c>
      <c r="AF798" s="1">
        <f>0</f>
        <v>0</v>
      </c>
      <c r="AG798" s="1">
        <f>MAX(配置与结果!$B$32,1+INDEX(配置与结果!$F$15:$F$18,F798)+0+Q798*方案参数!$W$25+Y798*(方案参数!$AN$25+MIN(方案参数!$AO$25,P798*0.03))+AB798*方案参数!$BZ$25*0.025-配置与结果!$B$28)</f>
        <v>0.6349999999999999</v>
      </c>
      <c r="AH798" s="1">
        <f>MAX(0,1+INDEX(配置与结果!$G$15:$G$18,F798)+W798*方案参数!$AG$25)</f>
        <v>1</v>
      </c>
      <c r="AI798" s="1">
        <f>IF(OR(INDEX(配置与结果!$K$15:$K$18,F798)=1,G798="RHI_BERRY"),1+配置与结果!$B$33+P798*方案参数!$AH$25,1)</f>
        <v>1</v>
      </c>
      <c r="AJ798" s="1">
        <f>MIN(1,MAX(0,J798+方案参数!$AB$25-配置与结果!$B$27))</f>
        <v>0.55499999999999994</v>
      </c>
      <c r="AK798" s="1">
        <f>MAX(1,K798+IF(F798=2,0.15+方案参数!$CH$25,0)+BN798*方案参数!$X$25+R798*方案参数!$AA$25+0-配置与结果!$B$26+Z798*(方案参数!$AP$25+MIN(方案参数!$AQ$25,P798*0.03)))</f>
        <v>1.1499999999999999</v>
      </c>
      <c r="AL798" s="7">
        <f>ROUNDDOWN(MAX(AD798*配置与结果!$B$31,AD798-AE798)*AF798*AG798*AH798*AI798,0)</f>
        <v>0</v>
      </c>
      <c r="AM798" s="7">
        <f>ROUNDDOWN(MAX(AD798*配置与结果!$B$31,AD798-AE798)*AF798*AG798*AH798*AI798*AK798,0)</f>
        <v>0</v>
      </c>
      <c r="AN798" s="7">
        <f t="shared" si="1095"/>
        <v>0</v>
      </c>
      <c r="AO798" s="7">
        <f>0</f>
        <v>0</v>
      </c>
      <c r="AP798" s="7">
        <f>MAX(0,1+INDEX(配置与结果!$J$15:$J$18,F798)+IF(T798&gt;0,方案参数!$BY$25,0)-配置与结果!$B$30)</f>
        <v>1</v>
      </c>
      <c r="AQ798" s="7">
        <f t="shared" si="1096"/>
        <v>0</v>
      </c>
      <c r="AR798" s="7">
        <f t="shared" si="1097"/>
        <v>0</v>
      </c>
      <c r="AS798" s="7">
        <f t="shared" si="1098"/>
        <v>0</v>
      </c>
      <c r="AT798" s="7">
        <f>0</f>
        <v>0</v>
      </c>
      <c r="AU798" s="7">
        <f t="shared" si="1099"/>
        <v>0</v>
      </c>
      <c r="AV798" s="1">
        <f t="shared" si="1100"/>
        <v>0</v>
      </c>
      <c r="AW798" s="1">
        <f t="shared" si="1118"/>
        <v>0</v>
      </c>
      <c r="AX798" s="1">
        <f t="shared" si="1101"/>
        <v>0</v>
      </c>
      <c r="AY798" s="1">
        <f>MIN(20,MAX(0,O798+0+0-0))</f>
        <v>0</v>
      </c>
      <c r="AZ798" s="1">
        <f t="shared" si="1102"/>
        <v>1</v>
      </c>
      <c r="BA798" s="1">
        <f>MIN(6,Q798+1)</f>
        <v>1</v>
      </c>
      <c r="BB798" s="1">
        <f>MIN(30,R798+5)</f>
        <v>5</v>
      </c>
      <c r="BC798" s="1">
        <f t="shared" si="1115"/>
        <v>0</v>
      </c>
      <c r="BD798" s="1">
        <f t="shared" si="1088"/>
        <v>0</v>
      </c>
      <c r="BE798" s="1">
        <f>0</f>
        <v>0</v>
      </c>
      <c r="BF798" s="1">
        <f t="shared" si="1119"/>
        <v>0</v>
      </c>
      <c r="BG798" s="1">
        <f t="shared" si="1106"/>
        <v>0</v>
      </c>
      <c r="BH798" s="1">
        <f>MAX(X798,1)</f>
        <v>1</v>
      </c>
      <c r="BI798" s="1">
        <f t="shared" si="1107"/>
        <v>0</v>
      </c>
      <c r="BJ798" s="1">
        <f t="shared" si="1110"/>
        <v>0</v>
      </c>
      <c r="BK798" s="1">
        <f t="shared" si="1111"/>
        <v>0</v>
      </c>
      <c r="BL798" s="1">
        <f t="shared" si="1116"/>
        <v>0</v>
      </c>
      <c r="BM798" s="1">
        <f t="shared" si="1114"/>
        <v>0</v>
      </c>
      <c r="BN798" s="1">
        <f>0</f>
        <v>0</v>
      </c>
      <c r="BO798" s="1">
        <f>MAX(BN798,1)</f>
        <v>1</v>
      </c>
    </row>
    <row r="799" spans="1:67" ht="30.95" customHeight="1">
      <c r="A799" s="1">
        <f>22</f>
        <v>22</v>
      </c>
      <c r="B799" s="1">
        <f>固定流程!A7</f>
        <v>2</v>
      </c>
      <c r="C799" s="1">
        <f>25</f>
        <v>25</v>
      </c>
      <c r="D799" s="1">
        <f>1</f>
        <v>1</v>
      </c>
      <c r="E799" s="1">
        <f>固定流程!C7</f>
        <v>1</v>
      </c>
      <c r="F799" s="1">
        <f>固定流程!G7</f>
        <v>3</v>
      </c>
      <c r="G799" s="1" t="str">
        <f>固定流程!H7</f>
        <v>RHI_BUFF</v>
      </c>
      <c r="H799" s="1">
        <f>固定流程!F7</f>
        <v>1</v>
      </c>
      <c r="I799" s="1">
        <f>INDEX(配置与结果!$B$15:$B$18,F799)</f>
        <v>2597</v>
      </c>
      <c r="J799" s="1">
        <f>INDEX(配置与结果!$D$15:$D$18,F799)</f>
        <v>0.255</v>
      </c>
      <c r="K799" s="1">
        <f>INDEX(配置与结果!$E$15:$E$18,F799)</f>
        <v>1.55</v>
      </c>
      <c r="L799" s="1">
        <f t="shared" ref="L799:O804" si="1120">AV798</f>
        <v>0</v>
      </c>
      <c r="M799" s="1">
        <f t="shared" si="1120"/>
        <v>0</v>
      </c>
      <c r="N799" s="1">
        <f t="shared" si="1120"/>
        <v>0</v>
      </c>
      <c r="O799" s="1">
        <f t="shared" si="1120"/>
        <v>0</v>
      </c>
      <c r="P799" s="1">
        <f>MIN(方案参数!$AI$25,AZ798+0+方案参数!$AK$25)</f>
        <v>3</v>
      </c>
      <c r="Q799" s="1">
        <f t="shared" ref="Q799:Q833" si="1121">BA798</f>
        <v>1</v>
      </c>
      <c r="R799" s="1">
        <f t="shared" ref="R799:R833" si="1122">BB798</f>
        <v>5</v>
      </c>
      <c r="S799" s="1">
        <f t="shared" ref="S799:S833" si="1123">BC798</f>
        <v>0</v>
      </c>
      <c r="T799" s="1">
        <f t="shared" ref="T799:T812" si="1124">BD798+0</f>
        <v>0</v>
      </c>
      <c r="U799" s="1">
        <f t="shared" ref="U799:U833" si="1125">BE798</f>
        <v>0</v>
      </c>
      <c r="V799" s="1">
        <f t="shared" ref="V799:V833" si="1126">BF798</f>
        <v>0</v>
      </c>
      <c r="W799" s="1">
        <f t="shared" ref="W799:W833" si="1127">BG798</f>
        <v>0</v>
      </c>
      <c r="X799" s="1">
        <f t="shared" ref="X799:X833" si="1128">BH798</f>
        <v>1</v>
      </c>
      <c r="Y799" s="1">
        <f t="shared" ref="Y799:Y833" si="1129">BI798</f>
        <v>0</v>
      </c>
      <c r="Z799" s="1">
        <f t="shared" ref="Z799:Z833" si="1130">BJ798</f>
        <v>0</v>
      </c>
      <c r="AA799" s="1">
        <f t="shared" ref="AA799:AA804" si="1131">MAX(BK798,0)</f>
        <v>0</v>
      </c>
      <c r="AB799" s="1">
        <f t="shared" ref="AB799:AB833" si="1132">BL798</f>
        <v>0</v>
      </c>
      <c r="AC799" s="1">
        <f t="shared" ref="AC799:AC812" si="1133">MAX(BM798,0)</f>
        <v>0</v>
      </c>
      <c r="AD799" s="1">
        <f>ROUNDDOWN(I799*(1+IF(F799=3,0.05+方案参数!$Y$25+AA799*0.12,IF(F799=4,方案参数!$BZ$25*方案参数!$AS$25,0)))+IF(AND(X799=1,F799&lt;&gt;3),方案参数!$CC$25,0)+AC799*方案参数!$CB$25,0)</f>
        <v>2986</v>
      </c>
      <c r="AE799" s="1">
        <f>IF(OR(F799=1,F799=4),配置与结果!$B$24,配置与结果!$B$25)*MAX(0,1-INDEX(配置与结果!$I$15:$I$18,F799))</f>
        <v>1000</v>
      </c>
      <c r="AF799" s="1">
        <f>0</f>
        <v>0</v>
      </c>
      <c r="AG799" s="1">
        <f>MAX(配置与结果!$B$32,1+INDEX(配置与结果!$F$15:$F$18,F799)+0+Q799*方案参数!$W$25+Y799*(方案参数!$AN$25+MIN(方案参数!$AO$25,P799*0.03))+AB799*方案参数!$BZ$25*0.025-配置与结果!$B$28)</f>
        <v>0.65499999999999992</v>
      </c>
      <c r="AH799" s="1">
        <f>MAX(0,1+INDEX(配置与结果!$G$15:$G$18,F799)+W799*方案参数!$AG$25)</f>
        <v>1</v>
      </c>
      <c r="AI799" s="1">
        <f>IF(OR(INDEX(配置与结果!$K$15:$K$18,F799)=1,G799="RHI_BERRY"),1+配置与结果!$B$33+P799*方案参数!$AH$25,1)</f>
        <v>1</v>
      </c>
      <c r="AJ799" s="1">
        <f>MIN(1,MAX(0,J799+方案参数!$AB$25-配置与结果!$B$27))</f>
        <v>0.55499999999999994</v>
      </c>
      <c r="AK799" s="1">
        <f>MAX(1,K799+IF(F799=2,0.15+方案参数!$CH$25,0)+BN799*方案参数!$X$25+R799*方案参数!$AA$25+0-配置与结果!$B$26+Z799*(方案参数!$AP$25+MIN(方案参数!$AQ$25,P799*0.03)))</f>
        <v>1.33</v>
      </c>
      <c r="AL799" s="7">
        <f>ROUNDDOWN(MAX(AD799*配置与结果!$B$31,AD799-AE799)*AF799*AG799*AH799*AI799,0)</f>
        <v>0</v>
      </c>
      <c r="AM799" s="7">
        <f>ROUNDDOWN(MAX(AD799*配置与结果!$B$31,AD799-AE799)*AF799*AG799*AH799*AI799*AK799,0)</f>
        <v>0</v>
      </c>
      <c r="AN799" s="7">
        <f t="shared" si="1095"/>
        <v>0</v>
      </c>
      <c r="AO799" s="7">
        <f>0</f>
        <v>0</v>
      </c>
      <c r="AP799" s="7">
        <f>MAX(0,1+INDEX(配置与结果!$J$15:$J$18,F799)+IF(T799&gt;0,方案参数!$BY$25,0)-配置与结果!$B$30)</f>
        <v>1</v>
      </c>
      <c r="AQ799" s="7">
        <f t="shared" si="1096"/>
        <v>0</v>
      </c>
      <c r="AR799" s="7">
        <f t="shared" si="1097"/>
        <v>0</v>
      </c>
      <c r="AS799" s="7">
        <f t="shared" si="1098"/>
        <v>0</v>
      </c>
      <c r="AT799" s="7">
        <f>0</f>
        <v>0</v>
      </c>
      <c r="AU799" s="7">
        <f t="shared" si="1099"/>
        <v>0</v>
      </c>
      <c r="AV799" s="1">
        <f t="shared" si="1100"/>
        <v>0</v>
      </c>
      <c r="AW799" s="1">
        <f t="shared" si="1118"/>
        <v>0</v>
      </c>
      <c r="AX799" s="1">
        <f t="shared" si="1101"/>
        <v>0</v>
      </c>
      <c r="AY799" s="1">
        <f>MIN(20,MAX(0,O799+0+0-0))</f>
        <v>0</v>
      </c>
      <c r="AZ799" s="1">
        <f t="shared" si="1102"/>
        <v>3</v>
      </c>
      <c r="BA799" s="1">
        <f>MIN(6,Q799+1)</f>
        <v>2</v>
      </c>
      <c r="BB799" s="1">
        <f t="shared" ref="BB799:BB812" si="1134">MIN(30,R799+0)</f>
        <v>5</v>
      </c>
      <c r="BC799" s="1">
        <f t="shared" si="1115"/>
        <v>0</v>
      </c>
      <c r="BD799" s="1">
        <f t="shared" si="1088"/>
        <v>0</v>
      </c>
      <c r="BE799" s="1">
        <f t="shared" ref="BE799:BE820" si="1135">BE798</f>
        <v>0</v>
      </c>
      <c r="BF799" s="1">
        <f t="shared" si="1119"/>
        <v>0</v>
      </c>
      <c r="BG799" s="1">
        <f>MAX(W799,1)</f>
        <v>1</v>
      </c>
      <c r="BH799" s="1">
        <f t="shared" ref="BH799:BH833" si="1136">MAX(X799,0)</f>
        <v>1</v>
      </c>
      <c r="BI799" s="1">
        <f>MAX(Y799,1)</f>
        <v>1</v>
      </c>
      <c r="BJ799" s="1">
        <f t="shared" si="1110"/>
        <v>0</v>
      </c>
      <c r="BK799" s="1">
        <f t="shared" si="1111"/>
        <v>0</v>
      </c>
      <c r="BL799" s="1">
        <f t="shared" si="1116"/>
        <v>0</v>
      </c>
      <c r="BM799" s="1">
        <f t="shared" si="1114"/>
        <v>0</v>
      </c>
      <c r="BN799" s="1">
        <f t="shared" ref="BN799:BN833" si="1137">BO798</f>
        <v>1</v>
      </c>
      <c r="BO799" s="1">
        <f t="shared" ref="BO799:BO833" si="1138">MAX(BN799,0)</f>
        <v>1</v>
      </c>
    </row>
    <row r="800" spans="1:67" ht="30.95" customHeight="1">
      <c r="A800" s="1">
        <f>22</f>
        <v>22</v>
      </c>
      <c r="B800" s="1">
        <f>固定流程!A8</f>
        <v>3</v>
      </c>
      <c r="C800" s="1">
        <f>25</f>
        <v>25</v>
      </c>
      <c r="D800" s="1">
        <f>1</f>
        <v>1</v>
      </c>
      <c r="E800" s="1">
        <f>固定流程!C8</f>
        <v>1</v>
      </c>
      <c r="F800" s="1">
        <f>固定流程!G8</f>
        <v>1</v>
      </c>
      <c r="G800" s="1" t="str">
        <f>固定流程!H8</f>
        <v>LILYA_COBRA</v>
      </c>
      <c r="H800" s="1">
        <f>固定流程!F8</f>
        <v>1</v>
      </c>
      <c r="I800" s="1">
        <f>INDEX(配置与结果!$B$15:$B$18,F800)</f>
        <v>2296</v>
      </c>
      <c r="J800" s="1">
        <f>INDEX(配置与结果!$D$15:$D$18,F800)</f>
        <v>0.7</v>
      </c>
      <c r="K800" s="1">
        <f>INDEX(配置与结果!$E$15:$E$18,F800)</f>
        <v>2.0249999999999999</v>
      </c>
      <c r="L800" s="1">
        <f t="shared" si="1120"/>
        <v>0</v>
      </c>
      <c r="M800" s="1">
        <f t="shared" si="1120"/>
        <v>0</v>
      </c>
      <c r="N800" s="1">
        <f t="shared" si="1120"/>
        <v>0</v>
      </c>
      <c r="O800" s="1">
        <f t="shared" si="1120"/>
        <v>0</v>
      </c>
      <c r="P800" s="1">
        <f>MIN(方案参数!$AI$25,AZ799+0+0)</f>
        <v>3</v>
      </c>
      <c r="Q800" s="1">
        <f t="shared" si="1121"/>
        <v>2</v>
      </c>
      <c r="R800" s="1">
        <f t="shared" si="1122"/>
        <v>5</v>
      </c>
      <c r="S800" s="1">
        <f t="shared" si="1123"/>
        <v>0</v>
      </c>
      <c r="T800" s="1">
        <f t="shared" si="1124"/>
        <v>0</v>
      </c>
      <c r="U800" s="1">
        <f t="shared" si="1125"/>
        <v>0</v>
      </c>
      <c r="V800" s="1">
        <f t="shared" si="1126"/>
        <v>0</v>
      </c>
      <c r="W800" s="1">
        <f t="shared" si="1127"/>
        <v>1</v>
      </c>
      <c r="X800" s="1">
        <f t="shared" si="1128"/>
        <v>1</v>
      </c>
      <c r="Y800" s="1">
        <f t="shared" si="1129"/>
        <v>1</v>
      </c>
      <c r="Z800" s="1">
        <f t="shared" si="1130"/>
        <v>0</v>
      </c>
      <c r="AA800" s="1">
        <f t="shared" si="1131"/>
        <v>0</v>
      </c>
      <c r="AB800" s="1">
        <f t="shared" si="1132"/>
        <v>0</v>
      </c>
      <c r="AC800" s="1">
        <f t="shared" si="1133"/>
        <v>0</v>
      </c>
      <c r="AD800" s="1">
        <f>ROUNDDOWN(I800*(1+IF(F800=3,0.05+方案参数!$Y$25+AA800*0.12,IF(F800=4,方案参数!$BZ$25*方案参数!$AS$25,0)))+IF(AND(X800=1,F800&lt;&gt;3),方案参数!$CC$25,0)+AC800*方案参数!$CB$25,0)</f>
        <v>2534</v>
      </c>
      <c r="AE800" s="1">
        <f>IF(OR(F800=1,F800=4),配置与结果!$B$24,配置与结果!$B$25)*MAX(0,1-INDEX(配置与结果!$I$15:$I$18,F800))</f>
        <v>1200</v>
      </c>
      <c r="AF800" s="1">
        <f>0</f>
        <v>0</v>
      </c>
      <c r="AG800" s="1">
        <f>MAX(配置与结果!$B$32,1+INDEX(配置与结果!$F$15:$F$18,F800)+0.08+方案参数!$CD$25+Q800*方案参数!$W$25+Y800*(方案参数!$AN$25+MIN(方案参数!$AO$25,P800*0.03))+AB800*方案参数!$BZ$25*0.025-配置与结果!$B$28)</f>
        <v>1.2200000000000002</v>
      </c>
      <c r="AH800" s="1">
        <f>MAX(0,1+INDEX(配置与结果!$G$15:$G$18,F800)+W800*方案参数!$AG$25)</f>
        <v>1.3</v>
      </c>
      <c r="AI800" s="1">
        <f>IF(OR(INDEX(配置与结果!$K$15:$K$18,F800)=1,G800="RHI_BERRY"),1+配置与结果!$B$33+P800*方案参数!$AH$25,1)</f>
        <v>1</v>
      </c>
      <c r="AJ800" s="1">
        <f>MIN(1,MAX(0,J800+方案参数!$AB$25-配置与结果!$B$27))</f>
        <v>1</v>
      </c>
      <c r="AK800" s="1">
        <f>MAX(1,K800+IF(F800=2,0.15+方案参数!$CH$25,0)+BN800*方案参数!$X$25+R800*方案参数!$AA$25+0-配置与结果!$B$26+Z800*(方案参数!$AP$25+MIN(方案参数!$AQ$25,P800*0.03)))</f>
        <v>1.8050000000000002</v>
      </c>
      <c r="AL800" s="7">
        <f>ROUNDDOWN(MAX(AD800*配置与结果!$B$31,AD800-AE800)*AF800*AG800*AH800*AI800,0)</f>
        <v>0</v>
      </c>
      <c r="AM800" s="7">
        <f>ROUNDDOWN(MAX(AD800*配置与结果!$B$31,AD800-AE800)*AF800*AG800*AH800*AI800*AK800,0)</f>
        <v>0</v>
      </c>
      <c r="AN800" s="7">
        <f t="shared" si="1095"/>
        <v>0</v>
      </c>
      <c r="AO800" s="7">
        <f>0</f>
        <v>0</v>
      </c>
      <c r="AP800" s="7">
        <f>MAX(0,1+INDEX(配置与结果!$J$15:$J$18,F800)+IF(T800&gt;0,方案参数!$BY$25,0)-配置与结果!$B$30)</f>
        <v>1</v>
      </c>
      <c r="AQ800" s="7">
        <f t="shared" si="1096"/>
        <v>0</v>
      </c>
      <c r="AR800" s="7">
        <f t="shared" si="1097"/>
        <v>0</v>
      </c>
      <c r="AS800" s="7">
        <f t="shared" si="1098"/>
        <v>0</v>
      </c>
      <c r="AT800" s="7">
        <f>0</f>
        <v>0</v>
      </c>
      <c r="AU800" s="7">
        <f t="shared" si="1099"/>
        <v>0</v>
      </c>
      <c r="AV800" s="1">
        <f t="shared" si="1100"/>
        <v>1</v>
      </c>
      <c r="AW800" s="1">
        <f>MIN(10,M800+方案参数!$BD$25+0)</f>
        <v>3</v>
      </c>
      <c r="AX800" s="1">
        <f t="shared" si="1101"/>
        <v>0</v>
      </c>
      <c r="AY800" s="1">
        <f>MIN(20,MAX(0,O800+6+0-0))</f>
        <v>6</v>
      </c>
      <c r="AZ800" s="1">
        <f t="shared" si="1102"/>
        <v>3</v>
      </c>
      <c r="BA800" s="1">
        <f>MIN(6,Q800+0)</f>
        <v>2</v>
      </c>
      <c r="BB800" s="1">
        <f t="shared" si="1134"/>
        <v>5</v>
      </c>
      <c r="BC800" s="1">
        <f t="shared" si="1115"/>
        <v>0</v>
      </c>
      <c r="BD800" s="1">
        <f t="shared" si="1088"/>
        <v>0</v>
      </c>
      <c r="BE800" s="1">
        <f t="shared" si="1135"/>
        <v>0</v>
      </c>
      <c r="BF800" s="1">
        <f t="shared" si="1119"/>
        <v>0</v>
      </c>
      <c r="BG800" s="1">
        <f t="shared" ref="BG800:BG810" si="1139">MAX(W800,0)</f>
        <v>1</v>
      </c>
      <c r="BH800" s="1">
        <f t="shared" si="1136"/>
        <v>1</v>
      </c>
      <c r="BI800" s="1">
        <f t="shared" ref="BI800:BI810" si="1140">MAX(Y800,0)</f>
        <v>1</v>
      </c>
      <c r="BJ800" s="1">
        <f t="shared" si="1110"/>
        <v>0</v>
      </c>
      <c r="BK800" s="1">
        <f t="shared" si="1111"/>
        <v>0</v>
      </c>
      <c r="BL800" s="1">
        <f t="shared" si="1116"/>
        <v>0</v>
      </c>
      <c r="BM800" s="1">
        <f t="shared" si="1114"/>
        <v>0</v>
      </c>
      <c r="BN800" s="1">
        <f t="shared" si="1137"/>
        <v>1</v>
      </c>
      <c r="BO800" s="1">
        <f t="shared" si="1138"/>
        <v>1</v>
      </c>
    </row>
    <row r="801" spans="1:67" ht="30.95" customHeight="1">
      <c r="A801" s="1">
        <f>22</f>
        <v>22</v>
      </c>
      <c r="B801" s="1">
        <f>固定流程!A9</f>
        <v>4</v>
      </c>
      <c r="C801" s="1">
        <f>25</f>
        <v>25</v>
      </c>
      <c r="D801" s="1">
        <f>1</f>
        <v>1</v>
      </c>
      <c r="E801" s="1">
        <f>固定流程!C9</f>
        <v>1</v>
      </c>
      <c r="F801" s="1">
        <f>固定流程!G9</f>
        <v>1</v>
      </c>
      <c r="G801" s="1" t="str">
        <f>固定流程!H9</f>
        <v>LILYA_DIVE</v>
      </c>
      <c r="H801" s="1">
        <f>固定流程!F9</f>
        <v>1</v>
      </c>
      <c r="I801" s="1">
        <f>INDEX(配置与结果!$B$15:$B$18,F801)</f>
        <v>2296</v>
      </c>
      <c r="J801" s="1">
        <f>INDEX(配置与结果!$D$15:$D$18,F801)</f>
        <v>0.7</v>
      </c>
      <c r="K801" s="1">
        <f>INDEX(配置与结果!$E$15:$E$18,F801)</f>
        <v>2.0249999999999999</v>
      </c>
      <c r="L801" s="1">
        <f t="shared" si="1120"/>
        <v>1</v>
      </c>
      <c r="M801" s="1">
        <f t="shared" si="1120"/>
        <v>3</v>
      </c>
      <c r="N801" s="1">
        <f t="shared" si="1120"/>
        <v>0</v>
      </c>
      <c r="O801" s="1">
        <f t="shared" si="1120"/>
        <v>6</v>
      </c>
      <c r="P801" s="1">
        <f>MIN(方案参数!$AI$25,AZ800+0+0)</f>
        <v>3</v>
      </c>
      <c r="Q801" s="1">
        <f t="shared" si="1121"/>
        <v>2</v>
      </c>
      <c r="R801" s="1">
        <f t="shared" si="1122"/>
        <v>5</v>
      </c>
      <c r="S801" s="1">
        <f t="shared" si="1123"/>
        <v>0</v>
      </c>
      <c r="T801" s="1">
        <f t="shared" si="1124"/>
        <v>0</v>
      </c>
      <c r="U801" s="1">
        <f t="shared" si="1125"/>
        <v>0</v>
      </c>
      <c r="V801" s="1">
        <f t="shared" si="1126"/>
        <v>0</v>
      </c>
      <c r="W801" s="1">
        <f t="shared" si="1127"/>
        <v>1</v>
      </c>
      <c r="X801" s="1">
        <f t="shared" si="1128"/>
        <v>1</v>
      </c>
      <c r="Y801" s="1">
        <f t="shared" si="1129"/>
        <v>1</v>
      </c>
      <c r="Z801" s="1">
        <f t="shared" si="1130"/>
        <v>0</v>
      </c>
      <c r="AA801" s="1">
        <f t="shared" si="1131"/>
        <v>0</v>
      </c>
      <c r="AB801" s="1">
        <f t="shared" si="1132"/>
        <v>0</v>
      </c>
      <c r="AC801" s="1">
        <f t="shared" si="1133"/>
        <v>0</v>
      </c>
      <c r="AD801" s="1">
        <f>ROUNDDOWN(I801*(1+IF(F801=3,0.05+方案参数!$Y$25+AA801*0.12,IF(F801=4,方案参数!$BZ$25*方案参数!$AS$25,0)))+IF(AND(X801=1,F801&lt;&gt;3),方案参数!$CC$25,0)+AC801*方案参数!$CB$25,0)</f>
        <v>2534</v>
      </c>
      <c r="AE801" s="1">
        <f>IF(OR(F801=1,F801=4),配置与结果!$B$24,配置与结果!$B$25)*MAX(0,1-INDEX(配置与结果!$I$15:$I$18,F801))</f>
        <v>1200</v>
      </c>
      <c r="AF801" s="1">
        <f>(IF(L801=1,方案参数!$AW$25,IF(L801=2,方案参数!$AX$25,0))+方案参数!$AV$25)*H801</f>
        <v>6</v>
      </c>
      <c r="AG801" s="1">
        <f>MAX(配置与结果!$B$32,1+INDEX(配置与结果!$F$15:$F$18,F801)+0.08+方案参数!$CD$25+Q801*方案参数!$W$25+Y801*(方案参数!$AN$25+MIN(方案参数!$AO$25,P801*0.03))+AB801*方案参数!$BZ$25*0.025+IF(L801=1,方案参数!$AY$25+(H801-1)*0.1,IF(L801=2,方案参数!$AZ$25+(H801-1)*0.2,0))-配置与结果!$B$28)</f>
        <v>1.3200000000000003</v>
      </c>
      <c r="AH801" s="1">
        <f>MAX(0,1+INDEX(配置与结果!$G$15:$G$18,F801)+W801*方案参数!$AG$25+IF(L801=1,方案参数!$BA$25,IF(L801=2,方案参数!$BB$25,0))+M801*方案参数!$BC$25)</f>
        <v>2.08</v>
      </c>
      <c r="AI801" s="1">
        <f>IF(OR(INDEX(配置与结果!$K$15:$K$18,F801)=1,G801="RHI_BERRY"),1+配置与结果!$B$33+P801*方案参数!$AH$25,1)</f>
        <v>1</v>
      </c>
      <c r="AJ801" s="1">
        <f>MIN(1,MAX(0,J801+方案参数!$AB$25-配置与结果!$B$27))</f>
        <v>1</v>
      </c>
      <c r="AK801" s="1">
        <f>MAX(1,K801+IF(F801=2,0.15+方案参数!$CH$25,0)+BN801*方案参数!$X$25+R801*方案参数!$AA$25+0-配置与结果!$B$26+Z801*(方案参数!$AP$25+MIN(方案参数!$AQ$25,P801*0.03)))</f>
        <v>1.8050000000000002</v>
      </c>
      <c r="AL801" s="7">
        <f>ROUNDDOWN(MAX(AD801*配置与结果!$B$31,AD801-AE801)*AF801*AG801*AH801*AI801,0)</f>
        <v>21975</v>
      </c>
      <c r="AM801" s="7">
        <f>ROUNDDOWN(MAX(AD801*配置与结果!$B$31,AD801-AE801)*AF801*AG801*AH801*AI801*AK801,0)</f>
        <v>39666</v>
      </c>
      <c r="AN801" s="7">
        <f t="shared" si="1095"/>
        <v>39666</v>
      </c>
      <c r="AO801" s="7">
        <f>0</f>
        <v>0</v>
      </c>
      <c r="AP801" s="7">
        <f>MAX(0,1+INDEX(配置与结果!$J$15:$J$18,F801)+IF(T801&gt;0,方案参数!$BY$25,0)-配置与结果!$B$30)</f>
        <v>1</v>
      </c>
      <c r="AQ801" s="7">
        <f t="shared" si="1096"/>
        <v>0</v>
      </c>
      <c r="AR801" s="7">
        <f t="shared" si="1097"/>
        <v>0</v>
      </c>
      <c r="AS801" s="7">
        <f t="shared" si="1098"/>
        <v>0</v>
      </c>
      <c r="AT801" s="7">
        <f>0</f>
        <v>0</v>
      </c>
      <c r="AU801" s="7">
        <f t="shared" si="1099"/>
        <v>39666</v>
      </c>
      <c r="AV801" s="1">
        <f t="shared" si="1100"/>
        <v>1</v>
      </c>
      <c r="AW801" s="1">
        <f>MIN(10,M801+0+IF(L801=1,方案参数!$BE$25,0))</f>
        <v>4</v>
      </c>
      <c r="AX801" s="1">
        <f t="shared" si="1101"/>
        <v>0</v>
      </c>
      <c r="AY801" s="1">
        <f t="shared" ref="AY801:AY816" si="1141">MIN(20,MAX(0,O801+0+0-0))</f>
        <v>6</v>
      </c>
      <c r="AZ801" s="1">
        <f t="shared" si="1102"/>
        <v>3</v>
      </c>
      <c r="BA801" s="1">
        <f>MIN(6,Q801+0)</f>
        <v>2</v>
      </c>
      <c r="BB801" s="1">
        <f t="shared" si="1134"/>
        <v>5</v>
      </c>
      <c r="BC801" s="1">
        <f t="shared" si="1115"/>
        <v>0</v>
      </c>
      <c r="BD801" s="1">
        <f t="shared" si="1088"/>
        <v>0</v>
      </c>
      <c r="BE801" s="1">
        <f t="shared" si="1135"/>
        <v>0</v>
      </c>
      <c r="BF801" s="1">
        <f t="shared" si="1119"/>
        <v>0</v>
      </c>
      <c r="BG801" s="1">
        <f t="shared" si="1139"/>
        <v>1</v>
      </c>
      <c r="BH801" s="1">
        <f t="shared" si="1136"/>
        <v>1</v>
      </c>
      <c r="BI801" s="1">
        <f t="shared" si="1140"/>
        <v>1</v>
      </c>
      <c r="BJ801" s="1">
        <f t="shared" si="1110"/>
        <v>0</v>
      </c>
      <c r="BK801" s="1">
        <f t="shared" si="1111"/>
        <v>0</v>
      </c>
      <c r="BL801" s="1">
        <f t="shared" si="1116"/>
        <v>0</v>
      </c>
      <c r="BM801" s="1">
        <f t="shared" si="1114"/>
        <v>0</v>
      </c>
      <c r="BN801" s="1">
        <f t="shared" si="1137"/>
        <v>1</v>
      </c>
      <c r="BO801" s="1">
        <f t="shared" si="1138"/>
        <v>1</v>
      </c>
    </row>
    <row r="802" spans="1:67" ht="30.95" customHeight="1">
      <c r="A802" s="1">
        <f>22</f>
        <v>22</v>
      </c>
      <c r="B802" s="1">
        <f>固定流程!A10</f>
        <v>5</v>
      </c>
      <c r="C802" s="1">
        <f>25</f>
        <v>25</v>
      </c>
      <c r="D802" s="1">
        <f>1</f>
        <v>1</v>
      </c>
      <c r="E802" s="1">
        <f>固定流程!C10</f>
        <v>1</v>
      </c>
      <c r="F802" s="1">
        <f>固定流程!G10</f>
        <v>2</v>
      </c>
      <c r="G802" s="1" t="str">
        <f>固定流程!H10</f>
        <v>37_TRIANGLE</v>
      </c>
      <c r="H802" s="1">
        <f>固定流程!F10</f>
        <v>1</v>
      </c>
      <c r="I802" s="1">
        <f>INDEX(配置与结果!$B$15:$B$18,F802)</f>
        <v>2306</v>
      </c>
      <c r="J802" s="1">
        <f>INDEX(配置与结果!$D$15:$D$18,F802)</f>
        <v>0.46</v>
      </c>
      <c r="K802" s="1">
        <f>INDEX(配置与结果!$E$15:$E$18,F802)</f>
        <v>1.9279999999999999</v>
      </c>
      <c r="L802" s="1">
        <f t="shared" si="1120"/>
        <v>1</v>
      </c>
      <c r="M802" s="1">
        <f t="shared" si="1120"/>
        <v>4</v>
      </c>
      <c r="N802" s="1">
        <f t="shared" si="1120"/>
        <v>0</v>
      </c>
      <c r="O802" s="1">
        <f t="shared" si="1120"/>
        <v>6</v>
      </c>
      <c r="P802" s="1">
        <f>MIN(方案参数!$AI$25,AZ801+0+0)</f>
        <v>3</v>
      </c>
      <c r="Q802" s="1">
        <f t="shared" si="1121"/>
        <v>2</v>
      </c>
      <c r="R802" s="1">
        <f t="shared" si="1122"/>
        <v>5</v>
      </c>
      <c r="S802" s="1">
        <f t="shared" si="1123"/>
        <v>0</v>
      </c>
      <c r="T802" s="1">
        <f t="shared" si="1124"/>
        <v>0</v>
      </c>
      <c r="U802" s="1">
        <f t="shared" si="1125"/>
        <v>0</v>
      </c>
      <c r="V802" s="1">
        <f t="shared" si="1126"/>
        <v>0</v>
      </c>
      <c r="W802" s="1">
        <f t="shared" si="1127"/>
        <v>1</v>
      </c>
      <c r="X802" s="1">
        <f t="shared" si="1128"/>
        <v>1</v>
      </c>
      <c r="Y802" s="1">
        <f t="shared" si="1129"/>
        <v>1</v>
      </c>
      <c r="Z802" s="1">
        <f t="shared" si="1130"/>
        <v>0</v>
      </c>
      <c r="AA802" s="1">
        <f t="shared" si="1131"/>
        <v>0</v>
      </c>
      <c r="AB802" s="1">
        <f t="shared" si="1132"/>
        <v>0</v>
      </c>
      <c r="AC802" s="1">
        <f t="shared" si="1133"/>
        <v>0</v>
      </c>
      <c r="AD802" s="1">
        <f>ROUNDDOWN(I802*(1+IF(F802=3,0.05+方案参数!$Y$25+AA802*0.12,IF(F802=4,方案参数!$BZ$25*方案参数!$AS$25,0)))+IF(AND(X802=1,F802&lt;&gt;3),方案参数!$CC$25,0)+AC802*方案参数!$CB$25,0)</f>
        <v>2544</v>
      </c>
      <c r="AE802" s="1">
        <f>IF(OR(F802=1,F802=4),配置与结果!$B$24,配置与结果!$B$25)*MAX(0,1-INDEX(配置与结果!$I$15:$I$18,F802))</f>
        <v>1000</v>
      </c>
      <c r="AF802" s="1">
        <f>方案参数!$BS$25*IF(H802=1,1,IF(H802=2,1.5,2.5))</f>
        <v>2.8</v>
      </c>
      <c r="AG802" s="1">
        <f>MAX(配置与结果!$B$32,1+INDEX(配置与结果!$F$15:$F$18,F802)+0+Q802*方案参数!$W$25+Y802*(方案参数!$AN$25+MIN(方案参数!$AO$25,P802*0.03))+AB802*方案参数!$BZ$25*0.025-配置与结果!$B$28)</f>
        <v>0.8849999999999999</v>
      </c>
      <c r="AH802" s="1">
        <f>MAX(0,1+INDEX(配置与结果!$G$15:$G$18,F802)+W802*方案参数!$AG$25)</f>
        <v>1.3</v>
      </c>
      <c r="AI802" s="1">
        <f>IF(OR(INDEX(配置与结果!$K$15:$K$18,F802)=1,G802="RHI_BERRY"),1+配置与结果!$B$33+P802*方案参数!$AH$25,1)</f>
        <v>1</v>
      </c>
      <c r="AJ802" s="1">
        <f>MIN(1,MAX(0,J802+方案参数!$AB$25-配置与结果!$B$27))</f>
        <v>0.76</v>
      </c>
      <c r="AK802" s="1">
        <f>MAX(1,K802+IF(F802=2,0.15+方案参数!$CH$25,0)+BN802*方案参数!$X$25+R802*方案参数!$AA$25+0-配置与结果!$B$26+Z802*(方案参数!$AP$25+MIN(方案参数!$AQ$25,P802*0.03)))</f>
        <v>1.9780000000000002</v>
      </c>
      <c r="AL802" s="7">
        <f>ROUNDDOWN(MAX(AD802*配置与结果!$B$31,AD802-AE802)*AF802*AG802*AH802*AI802,0)</f>
        <v>4973</v>
      </c>
      <c r="AM802" s="7">
        <f>ROUNDDOWN(MAX(AD802*配置与结果!$B$31,AD802-AE802)*AF802*AG802*AH802*AI802*AK802,0)</f>
        <v>9838</v>
      </c>
      <c r="AN802" s="7">
        <f t="shared" si="1095"/>
        <v>8670.4</v>
      </c>
      <c r="AO802" s="7">
        <f>方案参数!$BU$25*IF(H802=1,1,IF(H802=2,1.5,2.5))</f>
        <v>0.8</v>
      </c>
      <c r="AP802" s="7">
        <f>MAX(0,1+INDEX(配置与结果!$J$15:$J$18,F802)+IF(T802&gt;0,方案参数!$BY$25,0)-配置与结果!$B$30)</f>
        <v>1</v>
      </c>
      <c r="AQ802" s="7">
        <f t="shared" si="1096"/>
        <v>2035</v>
      </c>
      <c r="AR802" s="7">
        <f t="shared" si="1097"/>
        <v>4025</v>
      </c>
      <c r="AS802" s="7">
        <f t="shared" si="1098"/>
        <v>3547.4</v>
      </c>
      <c r="AT802" s="7">
        <f>0</f>
        <v>0</v>
      </c>
      <c r="AU802" s="7">
        <f t="shared" si="1099"/>
        <v>12217.8</v>
      </c>
      <c r="AV802" s="1">
        <f t="shared" si="1100"/>
        <v>1</v>
      </c>
      <c r="AW802" s="1">
        <f>MIN(10,M802+0+0)</f>
        <v>4</v>
      </c>
      <c r="AX802" s="1">
        <f t="shared" si="1101"/>
        <v>0</v>
      </c>
      <c r="AY802" s="1">
        <f t="shared" si="1141"/>
        <v>6</v>
      </c>
      <c r="AZ802" s="1">
        <f t="shared" si="1102"/>
        <v>3</v>
      </c>
      <c r="BA802" s="1">
        <f>MIN(6,Q802+0)</f>
        <v>2</v>
      </c>
      <c r="BB802" s="1">
        <f t="shared" si="1134"/>
        <v>5</v>
      </c>
      <c r="BC802" s="1">
        <f t="shared" si="1115"/>
        <v>0</v>
      </c>
      <c r="BD802" s="1">
        <f>MAX(0,T802-IF(AO802&gt;0,1,0))+1</f>
        <v>1</v>
      </c>
      <c r="BE802" s="1">
        <f t="shared" si="1135"/>
        <v>0</v>
      </c>
      <c r="BF802" s="1">
        <f t="shared" si="1119"/>
        <v>0</v>
      </c>
      <c r="BG802" s="1">
        <f t="shared" si="1139"/>
        <v>1</v>
      </c>
      <c r="BH802" s="1">
        <f t="shared" si="1136"/>
        <v>1</v>
      </c>
      <c r="BI802" s="1">
        <f t="shared" si="1140"/>
        <v>1</v>
      </c>
      <c r="BJ802" s="1">
        <f t="shared" si="1110"/>
        <v>0</v>
      </c>
      <c r="BK802" s="1">
        <f t="shared" si="1111"/>
        <v>0</v>
      </c>
      <c r="BL802" s="1">
        <f t="shared" si="1116"/>
        <v>0</v>
      </c>
      <c r="BM802" s="1">
        <f t="shared" si="1114"/>
        <v>0</v>
      </c>
      <c r="BN802" s="1">
        <f t="shared" si="1137"/>
        <v>1</v>
      </c>
      <c r="BO802" s="1">
        <f t="shared" si="1138"/>
        <v>1</v>
      </c>
    </row>
    <row r="803" spans="1:67" ht="30.95" customHeight="1">
      <c r="A803" s="1">
        <f>22</f>
        <v>22</v>
      </c>
      <c r="B803" s="1">
        <f>固定流程!A11</f>
        <v>6</v>
      </c>
      <c r="C803" s="1">
        <f>25</f>
        <v>25</v>
      </c>
      <c r="D803" s="1">
        <f>1</f>
        <v>1</v>
      </c>
      <c r="E803" s="1">
        <f>固定流程!C11</f>
        <v>1</v>
      </c>
      <c r="F803" s="1">
        <f>固定流程!G11</f>
        <v>2</v>
      </c>
      <c r="G803" s="1" t="str">
        <f>固定流程!H11</f>
        <v>37_FOLLOW</v>
      </c>
      <c r="H803" s="1">
        <f>固定流程!F11</f>
        <v>1</v>
      </c>
      <c r="I803" s="1">
        <f>INDEX(配置与结果!$B$15:$B$18,F803)</f>
        <v>2306</v>
      </c>
      <c r="J803" s="1">
        <f>INDEX(配置与结果!$D$15:$D$18,F803)</f>
        <v>0.46</v>
      </c>
      <c r="K803" s="1">
        <f>INDEX(配置与结果!$E$15:$E$18,F803)</f>
        <v>1.9279999999999999</v>
      </c>
      <c r="L803" s="1">
        <f t="shared" si="1120"/>
        <v>1</v>
      </c>
      <c r="M803" s="1">
        <f t="shared" si="1120"/>
        <v>4</v>
      </c>
      <c r="N803" s="1">
        <f t="shared" si="1120"/>
        <v>0</v>
      </c>
      <c r="O803" s="1">
        <f t="shared" si="1120"/>
        <v>6</v>
      </c>
      <c r="P803" s="1">
        <f>MIN(方案参数!$AI$25,AZ802+0+0)</f>
        <v>3</v>
      </c>
      <c r="Q803" s="1">
        <f t="shared" si="1121"/>
        <v>2</v>
      </c>
      <c r="R803" s="1">
        <f t="shared" si="1122"/>
        <v>5</v>
      </c>
      <c r="S803" s="1">
        <f t="shared" si="1123"/>
        <v>0</v>
      </c>
      <c r="T803" s="1">
        <f t="shared" si="1124"/>
        <v>1</v>
      </c>
      <c r="U803" s="1">
        <f t="shared" si="1125"/>
        <v>0</v>
      </c>
      <c r="V803" s="1">
        <f t="shared" si="1126"/>
        <v>0</v>
      </c>
      <c r="W803" s="1">
        <f t="shared" si="1127"/>
        <v>1</v>
      </c>
      <c r="X803" s="1">
        <f t="shared" si="1128"/>
        <v>1</v>
      </c>
      <c r="Y803" s="1">
        <f t="shared" si="1129"/>
        <v>1</v>
      </c>
      <c r="Z803" s="1">
        <f t="shared" si="1130"/>
        <v>0</v>
      </c>
      <c r="AA803" s="1">
        <f t="shared" si="1131"/>
        <v>0</v>
      </c>
      <c r="AB803" s="1">
        <f t="shared" si="1132"/>
        <v>0</v>
      </c>
      <c r="AC803" s="1">
        <f t="shared" si="1133"/>
        <v>0</v>
      </c>
      <c r="AD803" s="1">
        <f>ROUNDDOWN(I803*(1+IF(F803=3,0.05+方案参数!$Y$25+AA803*0.12,IF(F803=4,方案参数!$BZ$25*方案参数!$AS$25,0)))+IF(AND(X803=1,F803&lt;&gt;3),方案参数!$CC$25,0)+AC803*方案参数!$CB$25,0)</f>
        <v>2544</v>
      </c>
      <c r="AE803" s="1">
        <f>IF(OR(F803=1,F803=4),配置与结果!$B$24,配置与结果!$B$25)*MAX(0,1-INDEX(配置与结果!$I$15:$I$18,F803))</f>
        <v>1000</v>
      </c>
      <c r="AF803" s="1">
        <f>方案参数!$BV$25</f>
        <v>3</v>
      </c>
      <c r="AG803" s="1">
        <f>MAX(配置与结果!$B$32,1+INDEX(配置与结果!$F$15:$F$18,F803)+0+Q803*方案参数!$W$25+Y803*(方案参数!$AN$25+MIN(方案参数!$AO$25,P803*0.03))+AB803*方案参数!$BZ$25*0.025-配置与结果!$B$28)</f>
        <v>0.8849999999999999</v>
      </c>
      <c r="AH803" s="1">
        <f>MAX(0,1+INDEX(配置与结果!$G$15:$G$18,F803)+W803*方案参数!$AG$25)</f>
        <v>1.3</v>
      </c>
      <c r="AI803" s="1">
        <f>IF(OR(INDEX(配置与结果!$K$15:$K$18,F803)=1,G803="RHI_BERRY"),1+配置与结果!$B$33+P803*方案参数!$AH$25,1)</f>
        <v>1</v>
      </c>
      <c r="AJ803" s="1">
        <f>MIN(1,MAX(0,J803+方案参数!$AB$25-配置与结果!$B$27))</f>
        <v>0.76</v>
      </c>
      <c r="AK803" s="1">
        <f>MAX(1,K803+IF(F803=2,0.15+方案参数!$CH$25,0)+BN803*方案参数!$X$25+R803*方案参数!$AA$25+0-配置与结果!$B$26+Z803*(方案参数!$AP$25+MIN(方案参数!$AQ$25,P803*0.03)))</f>
        <v>1.9780000000000002</v>
      </c>
      <c r="AL803" s="7">
        <f>ROUNDDOWN(MAX(AD803*配置与结果!$B$31,AD803-AE803)*AF803*AG803*AH803*AI803,0)</f>
        <v>5329</v>
      </c>
      <c r="AM803" s="7">
        <f>ROUNDDOWN(MAX(AD803*配置与结果!$B$31,AD803-AE803)*AF803*AG803*AH803*AI803*AK803,0)</f>
        <v>10540</v>
      </c>
      <c r="AN803" s="7">
        <f t="shared" si="1095"/>
        <v>9289.36</v>
      </c>
      <c r="AO803" s="7">
        <f>方案参数!$BW$25</f>
        <v>1</v>
      </c>
      <c r="AP803" s="7">
        <f>MAX(0,1+INDEX(配置与结果!$J$15:$J$18,F803)+IF(T803&gt;0,方案参数!$BY$25,0)-配置与结果!$B$30)</f>
        <v>2</v>
      </c>
      <c r="AQ803" s="7">
        <f t="shared" si="1096"/>
        <v>5088</v>
      </c>
      <c r="AR803" s="7">
        <f t="shared" si="1097"/>
        <v>10064</v>
      </c>
      <c r="AS803" s="7">
        <f t="shared" si="1098"/>
        <v>8869.76</v>
      </c>
      <c r="AT803" s="7">
        <f>0</f>
        <v>0</v>
      </c>
      <c r="AU803" s="7">
        <f t="shared" si="1099"/>
        <v>18159.120000000003</v>
      </c>
      <c r="AV803" s="1">
        <f t="shared" si="1100"/>
        <v>1</v>
      </c>
      <c r="AW803" s="1">
        <f>MIN(10,M803+0+0)</f>
        <v>4</v>
      </c>
      <c r="AX803" s="1">
        <f t="shared" si="1101"/>
        <v>0</v>
      </c>
      <c r="AY803" s="1">
        <f t="shared" si="1141"/>
        <v>6</v>
      </c>
      <c r="AZ803" s="1">
        <f t="shared" si="1102"/>
        <v>3</v>
      </c>
      <c r="BA803" s="1">
        <f>MIN(6,Q803+0)</f>
        <v>2</v>
      </c>
      <c r="BB803" s="1">
        <f t="shared" si="1134"/>
        <v>5</v>
      </c>
      <c r="BC803" s="1">
        <f t="shared" si="1115"/>
        <v>0</v>
      </c>
      <c r="BD803" s="1">
        <f t="shared" ref="BD803:BD837" si="1142">MAX(0,T803-IF(AO803&gt;0,1,0))+0</f>
        <v>0</v>
      </c>
      <c r="BE803" s="1">
        <f t="shared" si="1135"/>
        <v>0</v>
      </c>
      <c r="BF803" s="1">
        <f>MIN(4,V803+1)</f>
        <v>1</v>
      </c>
      <c r="BG803" s="1">
        <f t="shared" si="1139"/>
        <v>1</v>
      </c>
      <c r="BH803" s="1">
        <f t="shared" si="1136"/>
        <v>1</v>
      </c>
      <c r="BI803" s="1">
        <f t="shared" si="1140"/>
        <v>1</v>
      </c>
      <c r="BJ803" s="1">
        <f t="shared" si="1110"/>
        <v>0</v>
      </c>
      <c r="BK803" s="1">
        <f t="shared" si="1111"/>
        <v>0</v>
      </c>
      <c r="BL803" s="1">
        <f t="shared" si="1116"/>
        <v>0</v>
      </c>
      <c r="BM803" s="1">
        <f t="shared" si="1114"/>
        <v>0</v>
      </c>
      <c r="BN803" s="1">
        <f t="shared" si="1137"/>
        <v>1</v>
      </c>
      <c r="BO803" s="1">
        <f t="shared" si="1138"/>
        <v>1</v>
      </c>
    </row>
    <row r="804" spans="1:67" ht="30.95" customHeight="1">
      <c r="A804" s="1">
        <f>22</f>
        <v>22</v>
      </c>
      <c r="B804" s="1">
        <f>固定流程!A12</f>
        <v>7</v>
      </c>
      <c r="C804" s="1">
        <f>25</f>
        <v>25</v>
      </c>
      <c r="D804" s="1">
        <f>1</f>
        <v>1</v>
      </c>
      <c r="E804" s="1">
        <f>固定流程!C12</f>
        <v>1</v>
      </c>
      <c r="F804" s="1">
        <f>固定流程!G12</f>
        <v>4</v>
      </c>
      <c r="G804" s="1" t="str">
        <f>固定流程!H12</f>
        <v>J_HARD</v>
      </c>
      <c r="H804" s="1">
        <f>固定流程!F12</f>
        <v>1</v>
      </c>
      <c r="I804" s="1">
        <f>INDEX(配置与结果!$B$15:$B$18,F804)</f>
        <v>1906</v>
      </c>
      <c r="J804" s="1">
        <f>INDEX(配置与结果!$D$15:$D$18,F804)</f>
        <v>0.36699999999999999</v>
      </c>
      <c r="K804" s="1">
        <f>INDEX(配置与结果!$E$15:$E$18,F804)</f>
        <v>1.7170000000000001</v>
      </c>
      <c r="L804" s="1">
        <f t="shared" si="1120"/>
        <v>1</v>
      </c>
      <c r="M804" s="1">
        <f t="shared" si="1120"/>
        <v>4</v>
      </c>
      <c r="N804" s="1">
        <f t="shared" si="1120"/>
        <v>0</v>
      </c>
      <c r="O804" s="1">
        <f t="shared" si="1120"/>
        <v>6</v>
      </c>
      <c r="P804" s="1">
        <f>MIN(方案参数!$AI$25,AZ803+0+0)</f>
        <v>3</v>
      </c>
      <c r="Q804" s="1">
        <f t="shared" si="1121"/>
        <v>2</v>
      </c>
      <c r="R804" s="1">
        <f t="shared" si="1122"/>
        <v>5</v>
      </c>
      <c r="S804" s="1">
        <f t="shared" si="1123"/>
        <v>0</v>
      </c>
      <c r="T804" s="1">
        <f t="shared" si="1124"/>
        <v>0</v>
      </c>
      <c r="U804" s="1">
        <f t="shared" si="1125"/>
        <v>0</v>
      </c>
      <c r="V804" s="1">
        <f t="shared" si="1126"/>
        <v>1</v>
      </c>
      <c r="W804" s="1">
        <f t="shared" si="1127"/>
        <v>1</v>
      </c>
      <c r="X804" s="1">
        <f t="shared" si="1128"/>
        <v>1</v>
      </c>
      <c r="Y804" s="1">
        <f t="shared" si="1129"/>
        <v>1</v>
      </c>
      <c r="Z804" s="1">
        <f t="shared" si="1130"/>
        <v>0</v>
      </c>
      <c r="AA804" s="1">
        <f t="shared" si="1131"/>
        <v>0</v>
      </c>
      <c r="AB804" s="1">
        <f t="shared" si="1132"/>
        <v>0</v>
      </c>
      <c r="AC804" s="1">
        <f t="shared" si="1133"/>
        <v>0</v>
      </c>
      <c r="AD804" s="1">
        <f>ROUNDDOWN(I804*(1+IF(F804=3,0.05+方案参数!$Y$25+AA804*0.12,IF(F804=4,方案参数!$BZ$25*方案参数!$AS$25,0)))+IF(AND(X804=1,F804&lt;&gt;3),方案参数!$CC$25,0)+AC804*方案参数!$CB$25,0)</f>
        <v>3478</v>
      </c>
      <c r="AE804" s="1">
        <f>IF(OR(F804=1,F804=4),配置与结果!$B$24,配置与结果!$B$25)*MAX(0,1-INDEX(配置与结果!$I$15:$I$18,F804))</f>
        <v>1200</v>
      </c>
      <c r="AF804" s="1">
        <f>3.6*IF(H804=1,1,IF(H804=2,1.5,2.5))</f>
        <v>3.6</v>
      </c>
      <c r="AG804" s="1">
        <f>MAX(配置与结果!$B$32,1+INDEX(配置与结果!$F$15:$F$18,F804)+0.08+Q804*方案参数!$W$25+Y804*(方案参数!$AN$25+MIN(方案参数!$AO$25,P804*0.03))+AB804*方案参数!$BZ$25*0.025+0.1+IF(方案参数!$BZ$25&gt;=30,方案参数!$BZ$25*0.01,0)-配置与结果!$B$28)</f>
        <v>1.4350000000000001</v>
      </c>
      <c r="AH804" s="1">
        <f>MAX(0,1+INDEX(配置与结果!$G$15:$G$18,F804)+W804*方案参数!$AG$25)</f>
        <v>1.3</v>
      </c>
      <c r="AI804" s="1">
        <f>IF(OR(INDEX(配置与结果!$K$15:$K$18,F804)=1,G804="RHI_BERRY"),1+配置与结果!$B$33+P804*方案参数!$AH$25,1)</f>
        <v>1</v>
      </c>
      <c r="AJ804" s="1">
        <f>MIN(1,MAX(0,J804+方案参数!$AB$25-配置与结果!$B$27))</f>
        <v>0.66700000000000004</v>
      </c>
      <c r="AK804" s="1">
        <f>MAX(1,K804+IF(F804=2,0.15+方案参数!$CH$25,0)+BN804*方案参数!$X$25+R804*方案参数!$AA$25+0-配置与结果!$B$26+Z804*(方案参数!$AP$25+MIN(方案参数!$AQ$25,P804*0.03)))</f>
        <v>1.4969999999999999</v>
      </c>
      <c r="AL804" s="7">
        <f>ROUNDDOWN(MAX(AD804*配置与结果!$B$31,AD804-AE804)*AF804*AG804*AH804*AI804,0)</f>
        <v>15298</v>
      </c>
      <c r="AM804" s="7">
        <f>ROUNDDOWN(MAX(AD804*配置与结果!$B$31,AD804-AE804)*AF804*AG804*AH804*AI804*AK804,0)</f>
        <v>22901</v>
      </c>
      <c r="AN804" s="7">
        <f t="shared" si="1095"/>
        <v>20369.201000000001</v>
      </c>
      <c r="AO804" s="7">
        <f>0</f>
        <v>0</v>
      </c>
      <c r="AP804" s="7">
        <f>MAX(0,1+INDEX(配置与结果!$J$15:$J$18,F804)+IF(T804&gt;0,方案参数!$BY$25,0)-配置与结果!$B$30)</f>
        <v>1</v>
      </c>
      <c r="AQ804" s="7">
        <f t="shared" si="1096"/>
        <v>0</v>
      </c>
      <c r="AR804" s="7">
        <f t="shared" si="1097"/>
        <v>0</v>
      </c>
      <c r="AS804" s="7">
        <f t="shared" si="1098"/>
        <v>0</v>
      </c>
      <c r="AT804" s="7">
        <f>0</f>
        <v>0</v>
      </c>
      <c r="AU804" s="7">
        <f t="shared" si="1099"/>
        <v>20369.201000000001</v>
      </c>
      <c r="AV804" s="1">
        <f t="shared" si="1100"/>
        <v>1</v>
      </c>
      <c r="AW804" s="1">
        <f>MIN(10,M804+0+0)</f>
        <v>4</v>
      </c>
      <c r="AX804" s="1">
        <f t="shared" si="1101"/>
        <v>0</v>
      </c>
      <c r="AY804" s="1">
        <f t="shared" si="1141"/>
        <v>6</v>
      </c>
      <c r="AZ804" s="1">
        <f t="shared" si="1102"/>
        <v>3</v>
      </c>
      <c r="BA804" s="1">
        <f>MIN(6,Q804+0)</f>
        <v>2</v>
      </c>
      <c r="BB804" s="1">
        <f t="shared" si="1134"/>
        <v>5</v>
      </c>
      <c r="BC804" s="1">
        <f>MIN(3,S804+1)</f>
        <v>1</v>
      </c>
      <c r="BD804" s="1">
        <f t="shared" si="1142"/>
        <v>0</v>
      </c>
      <c r="BE804" s="1">
        <f t="shared" si="1135"/>
        <v>0</v>
      </c>
      <c r="BF804" s="1">
        <f>MIN(4,V804+0)</f>
        <v>1</v>
      </c>
      <c r="BG804" s="1">
        <f t="shared" si="1139"/>
        <v>1</v>
      </c>
      <c r="BH804" s="1">
        <f t="shared" si="1136"/>
        <v>1</v>
      </c>
      <c r="BI804" s="1">
        <f t="shared" si="1140"/>
        <v>1</v>
      </c>
      <c r="BJ804" s="1">
        <f t="shared" si="1110"/>
        <v>0</v>
      </c>
      <c r="BK804" s="1">
        <f t="shared" si="1111"/>
        <v>0</v>
      </c>
      <c r="BL804" s="1">
        <f t="shared" si="1116"/>
        <v>0</v>
      </c>
      <c r="BM804" s="1">
        <f t="shared" si="1114"/>
        <v>0</v>
      </c>
      <c r="BN804" s="1">
        <f t="shared" si="1137"/>
        <v>1</v>
      </c>
      <c r="BO804" s="1">
        <f t="shared" si="1138"/>
        <v>1</v>
      </c>
    </row>
    <row r="805" spans="1:67" ht="30.95" customHeight="1">
      <c r="A805" s="1">
        <f>22</f>
        <v>22</v>
      </c>
      <c r="B805" s="1">
        <f>固定流程!A13</f>
        <v>8</v>
      </c>
      <c r="C805" s="1">
        <f>25</f>
        <v>25</v>
      </c>
      <c r="D805" s="1">
        <f>1</f>
        <v>1</v>
      </c>
      <c r="E805" s="1">
        <f>固定流程!C13</f>
        <v>2</v>
      </c>
      <c r="F805" s="1">
        <f>固定流程!G13</f>
        <v>3</v>
      </c>
      <c r="G805" s="1" t="str">
        <f>固定流程!H13</f>
        <v>RHI_ATTACK</v>
      </c>
      <c r="H805" s="1">
        <f>固定流程!F13</f>
        <v>1</v>
      </c>
      <c r="I805" s="1">
        <f>INDEX(配置与结果!$B$15:$B$18,F805)</f>
        <v>2597</v>
      </c>
      <c r="J805" s="1">
        <f>INDEX(配置与结果!$D$15:$D$18,F805)</f>
        <v>0.255</v>
      </c>
      <c r="K805" s="1">
        <f>INDEX(配置与结果!$E$15:$E$18,F805)</f>
        <v>1.55</v>
      </c>
      <c r="L805" s="1">
        <f>IF(AV804=1,IF(M805&gt;=10,2,1),IF(AV804=2,IF(AX804&lt;=1,0,2),0))</f>
        <v>1</v>
      </c>
      <c r="M805" s="1">
        <f>IF(AND(AV804=2,AX804&lt;=1),0,MIN(10,AW804+IF(AV804=1,3,0)))</f>
        <v>7</v>
      </c>
      <c r="N805" s="1">
        <f>IF(AND(AV804=1,M805&gt;=10),2,IF(AV804=2,MAX(0,AX804-1),0))</f>
        <v>0</v>
      </c>
      <c r="O805" s="1">
        <f t="shared" ref="O805:O833" si="1143">AY804</f>
        <v>6</v>
      </c>
      <c r="P805" s="1">
        <f>MIN(方案参数!$AI$25,AZ804+方案参数!$AJ$25+方案参数!$AK$25)</f>
        <v>5</v>
      </c>
      <c r="Q805" s="1">
        <f t="shared" si="1121"/>
        <v>2</v>
      </c>
      <c r="R805" s="1">
        <f t="shared" si="1122"/>
        <v>5</v>
      </c>
      <c r="S805" s="1">
        <f t="shared" si="1123"/>
        <v>1</v>
      </c>
      <c r="T805" s="1">
        <f t="shared" si="1124"/>
        <v>0</v>
      </c>
      <c r="U805" s="1">
        <f t="shared" si="1125"/>
        <v>0</v>
      </c>
      <c r="V805" s="1">
        <f t="shared" si="1126"/>
        <v>1</v>
      </c>
      <c r="W805" s="1">
        <f t="shared" si="1127"/>
        <v>1</v>
      </c>
      <c r="X805" s="1">
        <f t="shared" si="1128"/>
        <v>1</v>
      </c>
      <c r="Y805" s="1">
        <f t="shared" si="1129"/>
        <v>1</v>
      </c>
      <c r="Z805" s="1">
        <f t="shared" si="1130"/>
        <v>0</v>
      </c>
      <c r="AA805" s="1">
        <f>MAX(BK804,1)</f>
        <v>1</v>
      </c>
      <c r="AB805" s="1">
        <f t="shared" si="1132"/>
        <v>0</v>
      </c>
      <c r="AC805" s="1">
        <f t="shared" si="1133"/>
        <v>0</v>
      </c>
      <c r="AD805" s="1">
        <f>ROUNDDOWN(I805*(1+IF(F805=3,0.05+方案参数!$Y$25+AA805*0.12,IF(F805=4,方案参数!$BZ$25*方案参数!$AS$25,0)))+IF(AND(X805=1,F805&lt;&gt;3),方案参数!$CC$25,0)+AC805*方案参数!$CB$25,0)</f>
        <v>3298</v>
      </c>
      <c r="AE805" s="1">
        <f>IF(OR(F805=1,F805=4),配置与结果!$B$24,配置与结果!$B$25)*MAX(0,1-INDEX(配置与结果!$I$15:$I$18,F805))</f>
        <v>1000</v>
      </c>
      <c r="AF805" s="1">
        <f>4</f>
        <v>4</v>
      </c>
      <c r="AG805" s="1">
        <f>MAX(配置与结果!$B$32,1+INDEX(配置与结果!$F$15:$F$18,F805)+0+Q805*方案参数!$W$25+Y805*(方案参数!$AN$25+MIN(方案参数!$AO$25,P805*0.03))+AB805*方案参数!$BZ$25*0.025-配置与结果!$B$28)</f>
        <v>0.97499999999999998</v>
      </c>
      <c r="AH805" s="1">
        <f>MAX(0,1+INDEX(配置与结果!$G$15:$G$18,F805)+W805*方案参数!$AG$25)</f>
        <v>1.3</v>
      </c>
      <c r="AI805" s="1">
        <f>IF(OR(INDEX(配置与结果!$K$15:$K$18,F805)=1,G805="RHI_BERRY"),1+配置与结果!$B$33+P805*方案参数!$AH$25,1)</f>
        <v>1</v>
      </c>
      <c r="AJ805" s="1">
        <f>MIN(1,MAX(0,J805+方案参数!$AB$25-配置与结果!$B$27))</f>
        <v>0.55499999999999994</v>
      </c>
      <c r="AK805" s="1">
        <f>MAX(1,K805+IF(F805=2,0.15+方案参数!$CH$25,0)+BN805*方案参数!$X$25+R805*方案参数!$AA$25+0-配置与结果!$B$26+Z805*(方案参数!$AP$25+MIN(方案参数!$AQ$25,P805*0.03)))</f>
        <v>1.33</v>
      </c>
      <c r="AL805" s="7">
        <f>ROUNDDOWN(MAX(AD805*配置与结果!$B$31,AD805-AE805)*AF805*AG805*AH805*AI805,0)</f>
        <v>11650</v>
      </c>
      <c r="AM805" s="7">
        <f>ROUNDDOWN(MAX(AD805*配置与结果!$B$31,AD805-AE805)*AF805*AG805*AH805*AI805*AK805,0)</f>
        <v>15495</v>
      </c>
      <c r="AN805" s="7">
        <f t="shared" si="1095"/>
        <v>13783.974999999999</v>
      </c>
      <c r="AO805" s="7">
        <f>0</f>
        <v>0</v>
      </c>
      <c r="AP805" s="7">
        <f>MAX(0,1+INDEX(配置与结果!$J$15:$J$18,F805)+IF(T805&gt;0,方案参数!$BY$25,0)-配置与结果!$B$30)</f>
        <v>1</v>
      </c>
      <c r="AQ805" s="7">
        <f t="shared" si="1096"/>
        <v>0</v>
      </c>
      <c r="AR805" s="7">
        <f t="shared" si="1097"/>
        <v>0</v>
      </c>
      <c r="AS805" s="7">
        <f t="shared" si="1098"/>
        <v>0</v>
      </c>
      <c r="AT805" s="7">
        <f>0</f>
        <v>0</v>
      </c>
      <c r="AU805" s="7">
        <f t="shared" si="1099"/>
        <v>13783.974999999999</v>
      </c>
      <c r="AV805" s="1">
        <f t="shared" si="1100"/>
        <v>1</v>
      </c>
      <c r="AW805" s="1">
        <f>MIN(10,M805+0+0)</f>
        <v>7</v>
      </c>
      <c r="AX805" s="1">
        <f t="shared" si="1101"/>
        <v>0</v>
      </c>
      <c r="AY805" s="1">
        <f t="shared" si="1141"/>
        <v>6</v>
      </c>
      <c r="AZ805" s="1">
        <f t="shared" si="1102"/>
        <v>5</v>
      </c>
      <c r="BA805" s="1">
        <f>MIN(6,Q805+1)</f>
        <v>3</v>
      </c>
      <c r="BB805" s="1">
        <f t="shared" si="1134"/>
        <v>5</v>
      </c>
      <c r="BC805" s="1">
        <f>MIN(3,S805+0)</f>
        <v>1</v>
      </c>
      <c r="BD805" s="1">
        <f t="shared" si="1142"/>
        <v>0</v>
      </c>
      <c r="BE805" s="1">
        <f t="shared" si="1135"/>
        <v>0</v>
      </c>
      <c r="BF805" s="1">
        <f>MIN(4,V805+0)</f>
        <v>1</v>
      </c>
      <c r="BG805" s="1">
        <f t="shared" si="1139"/>
        <v>1</v>
      </c>
      <c r="BH805" s="1">
        <f t="shared" si="1136"/>
        <v>1</v>
      </c>
      <c r="BI805" s="1">
        <f t="shared" si="1140"/>
        <v>1</v>
      </c>
      <c r="BJ805" s="1">
        <f>MAX(Z805,1)</f>
        <v>1</v>
      </c>
      <c r="BK805" s="1">
        <f>MAX(AA805,1)</f>
        <v>1</v>
      </c>
      <c r="BL805" s="1">
        <f t="shared" si="1116"/>
        <v>0</v>
      </c>
      <c r="BM805" s="1">
        <f t="shared" si="1114"/>
        <v>0</v>
      </c>
      <c r="BN805" s="1">
        <f t="shared" si="1137"/>
        <v>1</v>
      </c>
      <c r="BO805" s="1">
        <f t="shared" si="1138"/>
        <v>1</v>
      </c>
    </row>
    <row r="806" spans="1:67" ht="30.95" customHeight="1">
      <c r="A806" s="1">
        <f>22</f>
        <v>22</v>
      </c>
      <c r="B806" s="1">
        <f>固定流程!A14</f>
        <v>9</v>
      </c>
      <c r="C806" s="1">
        <f>25</f>
        <v>25</v>
      </c>
      <c r="D806" s="1">
        <f>1</f>
        <v>1</v>
      </c>
      <c r="E806" s="1">
        <f>固定流程!C14</f>
        <v>2</v>
      </c>
      <c r="F806" s="1">
        <f>固定流程!G14</f>
        <v>1</v>
      </c>
      <c r="G806" s="1" t="str">
        <f>固定流程!H14</f>
        <v>LILYA_DIVE</v>
      </c>
      <c r="H806" s="1">
        <f>固定流程!F14</f>
        <v>3</v>
      </c>
      <c r="I806" s="1">
        <f>INDEX(配置与结果!$B$15:$B$18,F806)</f>
        <v>2296</v>
      </c>
      <c r="J806" s="1">
        <f>INDEX(配置与结果!$D$15:$D$18,F806)</f>
        <v>0.7</v>
      </c>
      <c r="K806" s="1">
        <f>INDEX(配置与结果!$E$15:$E$18,F806)</f>
        <v>2.0249999999999999</v>
      </c>
      <c r="L806" s="1">
        <f t="shared" ref="L806:N810" si="1144">AV805</f>
        <v>1</v>
      </c>
      <c r="M806" s="1">
        <f t="shared" si="1144"/>
        <v>7</v>
      </c>
      <c r="N806" s="1">
        <f t="shared" si="1144"/>
        <v>0</v>
      </c>
      <c r="O806" s="1">
        <f t="shared" si="1143"/>
        <v>6</v>
      </c>
      <c r="P806" s="1">
        <f>MIN(方案参数!$AI$25,AZ805+0+0)</f>
        <v>5</v>
      </c>
      <c r="Q806" s="1">
        <f t="shared" si="1121"/>
        <v>3</v>
      </c>
      <c r="R806" s="1">
        <f t="shared" si="1122"/>
        <v>5</v>
      </c>
      <c r="S806" s="1">
        <f t="shared" si="1123"/>
        <v>1</v>
      </c>
      <c r="T806" s="1">
        <f t="shared" si="1124"/>
        <v>0</v>
      </c>
      <c r="U806" s="1">
        <f t="shared" si="1125"/>
        <v>0</v>
      </c>
      <c r="V806" s="1">
        <f t="shared" si="1126"/>
        <v>1</v>
      </c>
      <c r="W806" s="1">
        <f t="shared" si="1127"/>
        <v>1</v>
      </c>
      <c r="X806" s="1">
        <f t="shared" si="1128"/>
        <v>1</v>
      </c>
      <c r="Y806" s="1">
        <f t="shared" si="1129"/>
        <v>1</v>
      </c>
      <c r="Z806" s="1">
        <f t="shared" si="1130"/>
        <v>1</v>
      </c>
      <c r="AA806" s="1">
        <f t="shared" ref="AA806:AA811" si="1145">MAX(BK805,0)</f>
        <v>1</v>
      </c>
      <c r="AB806" s="1">
        <f t="shared" si="1132"/>
        <v>0</v>
      </c>
      <c r="AC806" s="1">
        <f t="shared" si="1133"/>
        <v>0</v>
      </c>
      <c r="AD806" s="1">
        <f>ROUNDDOWN(I806*(1+IF(F806=3,0.05+方案参数!$Y$25+AA806*0.12,IF(F806=4,方案参数!$BZ$25*方案参数!$AS$25,0)))+IF(AND(X806=1,F806&lt;&gt;3),方案参数!$CC$25,0)+AC806*方案参数!$CB$25,0)</f>
        <v>2534</v>
      </c>
      <c r="AE806" s="1">
        <f>IF(OR(F806=1,F806=4),配置与结果!$B$24,配置与结果!$B$25)*MAX(0,1-INDEX(配置与结果!$I$15:$I$18,F806))</f>
        <v>1200</v>
      </c>
      <c r="AF806" s="1">
        <f>(IF(L806=1,方案参数!$AW$25,IF(L806=2,方案参数!$AX$25,0))+方案参数!$AV$25)*H806</f>
        <v>18</v>
      </c>
      <c r="AG806" s="1">
        <f>MAX(配置与结果!$B$32,1+INDEX(配置与结果!$F$15:$F$18,F806)+0.08+方案参数!$CD$25+Q806*方案参数!$W$25+Y806*(方案参数!$AN$25+MIN(方案参数!$AO$25,P806*0.03))+AB806*方案参数!$BZ$25*0.025+IF(L806=1,方案参数!$AY$25+(H806-1)*0.1,IF(L806=2,方案参数!$AZ$25+(H806-1)*0.2,0))-配置与结果!$B$28)</f>
        <v>1.6</v>
      </c>
      <c r="AH806" s="1">
        <f>MAX(0,1+INDEX(配置与结果!$G$15:$G$18,F806)+W806*方案参数!$AG$25+IF(L806=1,方案参数!$BA$25,IF(L806=2,方案参数!$BB$25,0))+M806*方案参数!$BC$25)</f>
        <v>2.3199999999999998</v>
      </c>
      <c r="AI806" s="1">
        <f>IF(OR(INDEX(配置与结果!$K$15:$K$18,F806)=1,G806="RHI_BERRY"),1+配置与结果!$B$33+P806*方案参数!$AH$25,1)</f>
        <v>1</v>
      </c>
      <c r="AJ806" s="1">
        <f>MIN(1,MAX(0,J806+方案参数!$AB$25-配置与结果!$B$27))</f>
        <v>1</v>
      </c>
      <c r="AK806" s="1">
        <f>MAX(1,K806+IF(F806=2,0.15+方案参数!$CH$25,0)+BN806*方案参数!$X$25+R806*方案参数!$AA$25+0-配置与结果!$B$26+Z806*(方案参数!$AP$25+MIN(方案参数!$AQ$25,P806*0.03)))</f>
        <v>2.105</v>
      </c>
      <c r="AL806" s="7">
        <f>ROUNDDOWN(MAX(AD806*配置与结果!$B$31,AD806-AE806)*AF806*AG806*AH806*AI806,0)</f>
        <v>89132</v>
      </c>
      <c r="AM806" s="7">
        <f>ROUNDDOWN(MAX(AD806*配置与结果!$B$31,AD806-AE806)*AF806*AG806*AH806*AI806*AK806,0)</f>
        <v>187624</v>
      </c>
      <c r="AN806" s="7">
        <f t="shared" si="1095"/>
        <v>187624</v>
      </c>
      <c r="AO806" s="7">
        <f>0</f>
        <v>0</v>
      </c>
      <c r="AP806" s="7">
        <f>MAX(0,1+INDEX(配置与结果!$J$15:$J$18,F806)+IF(T806&gt;0,方案参数!$BY$25,0)-配置与结果!$B$30)</f>
        <v>1</v>
      </c>
      <c r="AQ806" s="7">
        <f t="shared" si="1096"/>
        <v>0</v>
      </c>
      <c r="AR806" s="7">
        <f t="shared" si="1097"/>
        <v>0</v>
      </c>
      <c r="AS806" s="7">
        <f t="shared" si="1098"/>
        <v>0</v>
      </c>
      <c r="AT806" s="7">
        <f>0</f>
        <v>0</v>
      </c>
      <c r="AU806" s="7">
        <f t="shared" si="1099"/>
        <v>187624</v>
      </c>
      <c r="AV806" s="1">
        <f t="shared" si="1100"/>
        <v>1</v>
      </c>
      <c r="AW806" s="1">
        <f>MIN(10,M806+0+IF(L806=1,方案参数!$BE$25,0))</f>
        <v>8</v>
      </c>
      <c r="AX806" s="1">
        <f t="shared" si="1101"/>
        <v>0</v>
      </c>
      <c r="AY806" s="1">
        <f t="shared" si="1141"/>
        <v>6</v>
      </c>
      <c r="AZ806" s="1">
        <f t="shared" si="1102"/>
        <v>5</v>
      </c>
      <c r="BA806" s="1">
        <f>MIN(6,Q806+0)</f>
        <v>3</v>
      </c>
      <c r="BB806" s="1">
        <f t="shared" si="1134"/>
        <v>5</v>
      </c>
      <c r="BC806" s="1">
        <f>MIN(3,S806+0)</f>
        <v>1</v>
      </c>
      <c r="BD806" s="1">
        <f t="shared" si="1142"/>
        <v>0</v>
      </c>
      <c r="BE806" s="1">
        <f t="shared" si="1135"/>
        <v>0</v>
      </c>
      <c r="BF806" s="1">
        <f>MIN(4,V806+0)</f>
        <v>1</v>
      </c>
      <c r="BG806" s="1">
        <f t="shared" si="1139"/>
        <v>1</v>
      </c>
      <c r="BH806" s="1">
        <f t="shared" si="1136"/>
        <v>1</v>
      </c>
      <c r="BI806" s="1">
        <f t="shared" si="1140"/>
        <v>1</v>
      </c>
      <c r="BJ806" s="1">
        <f t="shared" ref="BJ806:BK811" si="1146">MAX(Z806,0)</f>
        <v>1</v>
      </c>
      <c r="BK806" s="1">
        <f t="shared" si="1146"/>
        <v>1</v>
      </c>
      <c r="BL806" s="1">
        <f t="shared" si="1116"/>
        <v>0</v>
      </c>
      <c r="BM806" s="1">
        <f t="shared" si="1114"/>
        <v>0</v>
      </c>
      <c r="BN806" s="1">
        <f t="shared" si="1137"/>
        <v>1</v>
      </c>
      <c r="BO806" s="1">
        <f t="shared" si="1138"/>
        <v>1</v>
      </c>
    </row>
    <row r="807" spans="1:67" ht="30.95" customHeight="1">
      <c r="A807" s="1">
        <f>22</f>
        <v>22</v>
      </c>
      <c r="B807" s="1">
        <f>固定流程!A15</f>
        <v>10</v>
      </c>
      <c r="C807" s="1">
        <f>25</f>
        <v>25</v>
      </c>
      <c r="D807" s="1">
        <f>1</f>
        <v>1</v>
      </c>
      <c r="E807" s="1">
        <f>固定流程!C15</f>
        <v>2</v>
      </c>
      <c r="F807" s="1">
        <f>固定流程!G15</f>
        <v>4</v>
      </c>
      <c r="G807" s="1" t="str">
        <f>固定流程!H15</f>
        <v>J_HARD</v>
      </c>
      <c r="H807" s="1">
        <f>固定流程!F15</f>
        <v>1</v>
      </c>
      <c r="I807" s="1">
        <f>INDEX(配置与结果!$B$15:$B$18,F807)</f>
        <v>1906</v>
      </c>
      <c r="J807" s="1">
        <f>INDEX(配置与结果!$D$15:$D$18,F807)</f>
        <v>0.36699999999999999</v>
      </c>
      <c r="K807" s="1">
        <f>INDEX(配置与结果!$E$15:$E$18,F807)</f>
        <v>1.7170000000000001</v>
      </c>
      <c r="L807" s="1">
        <f t="shared" si="1144"/>
        <v>1</v>
      </c>
      <c r="M807" s="1">
        <f t="shared" si="1144"/>
        <v>8</v>
      </c>
      <c r="N807" s="1">
        <f t="shared" si="1144"/>
        <v>0</v>
      </c>
      <c r="O807" s="1">
        <f t="shared" si="1143"/>
        <v>6</v>
      </c>
      <c r="P807" s="1">
        <f>MIN(方案参数!$AI$25,AZ806+0+0)</f>
        <v>5</v>
      </c>
      <c r="Q807" s="1">
        <f t="shared" si="1121"/>
        <v>3</v>
      </c>
      <c r="R807" s="1">
        <f t="shared" si="1122"/>
        <v>5</v>
      </c>
      <c r="S807" s="1">
        <f t="shared" si="1123"/>
        <v>1</v>
      </c>
      <c r="T807" s="1">
        <f t="shared" si="1124"/>
        <v>0</v>
      </c>
      <c r="U807" s="1">
        <f t="shared" si="1125"/>
        <v>0</v>
      </c>
      <c r="V807" s="1">
        <f t="shared" si="1126"/>
        <v>1</v>
      </c>
      <c r="W807" s="1">
        <f t="shared" si="1127"/>
        <v>1</v>
      </c>
      <c r="X807" s="1">
        <f t="shared" si="1128"/>
        <v>1</v>
      </c>
      <c r="Y807" s="1">
        <f t="shared" si="1129"/>
        <v>1</v>
      </c>
      <c r="Z807" s="1">
        <f t="shared" si="1130"/>
        <v>1</v>
      </c>
      <c r="AA807" s="1">
        <f t="shared" si="1145"/>
        <v>1</v>
      </c>
      <c r="AB807" s="1">
        <f t="shared" si="1132"/>
        <v>0</v>
      </c>
      <c r="AC807" s="1">
        <f t="shared" si="1133"/>
        <v>0</v>
      </c>
      <c r="AD807" s="1">
        <f>ROUNDDOWN(I807*(1+IF(F807=3,0.05+方案参数!$Y$25+AA807*0.12,IF(F807=4,方案参数!$BZ$25*方案参数!$AS$25,0)))+IF(AND(X807=1,F807&lt;&gt;3),方案参数!$CC$25,0)+AC807*方案参数!$CB$25,0)</f>
        <v>3478</v>
      </c>
      <c r="AE807" s="1">
        <f>IF(OR(F807=1,F807=4),配置与结果!$B$24,配置与结果!$B$25)*MAX(0,1-INDEX(配置与结果!$I$15:$I$18,F807))</f>
        <v>1200</v>
      </c>
      <c r="AF807" s="1">
        <f>3.6*IF(H807=1,1,IF(H807=2,1.5,2.5))</f>
        <v>3.6</v>
      </c>
      <c r="AG807" s="1">
        <f>MAX(配置与结果!$B$32,1+INDEX(配置与结果!$F$15:$F$18,F807)+0.08+Q807*方案参数!$W$25+Y807*(方案参数!$AN$25+MIN(方案参数!$AO$25,P807*0.03))+AB807*方案参数!$BZ$25*0.025+0.1+IF(方案参数!$BZ$25&gt;=30,方案参数!$BZ$25*0.01,0)-配置与结果!$B$28)</f>
        <v>1.5150000000000001</v>
      </c>
      <c r="AH807" s="1">
        <f>MAX(0,1+INDEX(配置与结果!$G$15:$G$18,F807)+W807*方案参数!$AG$25)</f>
        <v>1.3</v>
      </c>
      <c r="AI807" s="1">
        <f>IF(OR(INDEX(配置与结果!$K$15:$K$18,F807)=1,G807="RHI_BERRY"),1+配置与结果!$B$33+P807*方案参数!$AH$25,1)</f>
        <v>1</v>
      </c>
      <c r="AJ807" s="1">
        <f>MIN(1,MAX(0,J807+方案参数!$AB$25-配置与结果!$B$27))</f>
        <v>0.66700000000000004</v>
      </c>
      <c r="AK807" s="1">
        <f>MAX(1,K807+IF(F807=2,0.15+方案参数!$CH$25,0)+BN807*方案参数!$X$25+R807*方案参数!$AA$25+0-配置与结果!$B$26+Z807*(方案参数!$AP$25+MIN(方案参数!$AQ$25,P807*0.03)))</f>
        <v>1.7969999999999999</v>
      </c>
      <c r="AL807" s="7">
        <f>ROUNDDOWN(MAX(AD807*配置与结果!$B$31,AD807-AE807)*AF807*AG807*AH807*AI807,0)</f>
        <v>16151</v>
      </c>
      <c r="AM807" s="7">
        <f>ROUNDDOWN(MAX(AD807*配置与结果!$B$31,AD807-AE807)*AF807*AG807*AH807*AI807*AK807,0)</f>
        <v>29024</v>
      </c>
      <c r="AN807" s="7">
        <f t="shared" si="1095"/>
        <v>24737.291000000001</v>
      </c>
      <c r="AO807" s="7">
        <f>0</f>
        <v>0</v>
      </c>
      <c r="AP807" s="7">
        <f>MAX(0,1+INDEX(配置与结果!$J$15:$J$18,F807)+IF(T807&gt;0,方案参数!$BY$25,0)-配置与结果!$B$30)</f>
        <v>1</v>
      </c>
      <c r="AQ807" s="7">
        <f t="shared" si="1096"/>
        <v>0</v>
      </c>
      <c r="AR807" s="7">
        <f t="shared" si="1097"/>
        <v>0</v>
      </c>
      <c r="AS807" s="7">
        <f t="shared" si="1098"/>
        <v>0</v>
      </c>
      <c r="AT807" s="7">
        <f>0</f>
        <v>0</v>
      </c>
      <c r="AU807" s="7">
        <f t="shared" si="1099"/>
        <v>24737.291000000001</v>
      </c>
      <c r="AV807" s="1">
        <f t="shared" si="1100"/>
        <v>1</v>
      </c>
      <c r="AW807" s="1">
        <f t="shared" ref="AW807:AW817" si="1147">MIN(10,M807+0+0)</f>
        <v>8</v>
      </c>
      <c r="AX807" s="1">
        <f t="shared" si="1101"/>
        <v>0</v>
      </c>
      <c r="AY807" s="1">
        <f t="shared" si="1141"/>
        <v>6</v>
      </c>
      <c r="AZ807" s="1">
        <f t="shared" si="1102"/>
        <v>5</v>
      </c>
      <c r="BA807" s="1">
        <f>MIN(6,Q807+0)</f>
        <v>3</v>
      </c>
      <c r="BB807" s="1">
        <f t="shared" si="1134"/>
        <v>5</v>
      </c>
      <c r="BC807" s="1">
        <f>MIN(3,S807+1)</f>
        <v>2</v>
      </c>
      <c r="BD807" s="1">
        <f t="shared" si="1142"/>
        <v>0</v>
      </c>
      <c r="BE807" s="1">
        <f t="shared" si="1135"/>
        <v>0</v>
      </c>
      <c r="BF807" s="1">
        <f>MIN(4,V807+0)</f>
        <v>1</v>
      </c>
      <c r="BG807" s="1">
        <f t="shared" si="1139"/>
        <v>1</v>
      </c>
      <c r="BH807" s="1">
        <f t="shared" si="1136"/>
        <v>1</v>
      </c>
      <c r="BI807" s="1">
        <f t="shared" si="1140"/>
        <v>1</v>
      </c>
      <c r="BJ807" s="1">
        <f t="shared" si="1146"/>
        <v>1</v>
      </c>
      <c r="BK807" s="1">
        <f t="shared" si="1146"/>
        <v>1</v>
      </c>
      <c r="BL807" s="1">
        <f t="shared" si="1116"/>
        <v>0</v>
      </c>
      <c r="BM807" s="1">
        <f t="shared" si="1114"/>
        <v>0</v>
      </c>
      <c r="BN807" s="1">
        <f t="shared" si="1137"/>
        <v>1</v>
      </c>
      <c r="BO807" s="1">
        <f t="shared" si="1138"/>
        <v>1</v>
      </c>
    </row>
    <row r="808" spans="1:67" ht="30.95" customHeight="1">
      <c r="A808" s="1">
        <f>22</f>
        <v>22</v>
      </c>
      <c r="B808" s="1">
        <f>固定流程!A16</f>
        <v>11</v>
      </c>
      <c r="C808" s="1">
        <f>25</f>
        <v>25</v>
      </c>
      <c r="D808" s="1">
        <f>1</f>
        <v>1</v>
      </c>
      <c r="E808" s="1">
        <f>固定流程!C16</f>
        <v>2</v>
      </c>
      <c r="F808" s="1">
        <f>固定流程!G16</f>
        <v>2</v>
      </c>
      <c r="G808" s="1" t="str">
        <f>固定流程!H16</f>
        <v>37_CURVE</v>
      </c>
      <c r="H808" s="1">
        <f>固定流程!F16</f>
        <v>1</v>
      </c>
      <c r="I808" s="1">
        <f>INDEX(配置与结果!$B$15:$B$18,F808)</f>
        <v>2306</v>
      </c>
      <c r="J808" s="1">
        <f>INDEX(配置与结果!$D$15:$D$18,F808)</f>
        <v>0.46</v>
      </c>
      <c r="K808" s="1">
        <f>INDEX(配置与结果!$E$15:$E$18,F808)</f>
        <v>1.9279999999999999</v>
      </c>
      <c r="L808" s="1">
        <f t="shared" si="1144"/>
        <v>1</v>
      </c>
      <c r="M808" s="1">
        <f t="shared" si="1144"/>
        <v>8</v>
      </c>
      <c r="N808" s="1">
        <f t="shared" si="1144"/>
        <v>0</v>
      </c>
      <c r="O808" s="1">
        <f t="shared" si="1143"/>
        <v>6</v>
      </c>
      <c r="P808" s="1">
        <f>MIN(方案参数!$AI$25,AZ807+0+0)</f>
        <v>5</v>
      </c>
      <c r="Q808" s="1">
        <f t="shared" si="1121"/>
        <v>3</v>
      </c>
      <c r="R808" s="1">
        <f t="shared" si="1122"/>
        <v>5</v>
      </c>
      <c r="S808" s="1">
        <f t="shared" si="1123"/>
        <v>2</v>
      </c>
      <c r="T808" s="1">
        <f t="shared" si="1124"/>
        <v>0</v>
      </c>
      <c r="U808" s="1">
        <f t="shared" si="1125"/>
        <v>0</v>
      </c>
      <c r="V808" s="1">
        <f t="shared" si="1126"/>
        <v>1</v>
      </c>
      <c r="W808" s="1">
        <f t="shared" si="1127"/>
        <v>1</v>
      </c>
      <c r="X808" s="1">
        <f t="shared" si="1128"/>
        <v>1</v>
      </c>
      <c r="Y808" s="1">
        <f t="shared" si="1129"/>
        <v>1</v>
      </c>
      <c r="Z808" s="1">
        <f t="shared" si="1130"/>
        <v>1</v>
      </c>
      <c r="AA808" s="1">
        <f t="shared" si="1145"/>
        <v>1</v>
      </c>
      <c r="AB808" s="1">
        <f t="shared" si="1132"/>
        <v>0</v>
      </c>
      <c r="AC808" s="1">
        <f t="shared" si="1133"/>
        <v>0</v>
      </c>
      <c r="AD808" s="1">
        <f>ROUNDDOWN(I808*(1+IF(F808=3,0.05+方案参数!$Y$25+AA808*0.12,IF(F808=4,方案参数!$BZ$25*方案参数!$AS$25,0)))+IF(AND(X808=1,F808&lt;&gt;3),方案参数!$CC$25,0)+AC808*方案参数!$CB$25,0)</f>
        <v>2544</v>
      </c>
      <c r="AE808" s="1">
        <f>IF(OR(F808=1,F808=4),配置与结果!$B$24,配置与结果!$B$25)*MAX(0,1-INDEX(配置与结果!$I$15:$I$18,F808))</f>
        <v>1000</v>
      </c>
      <c r="AF808" s="1">
        <f>方案参数!$BT$25*IF(H808=1,1,IF(H808=2,1.5,2.5))</f>
        <v>1.4</v>
      </c>
      <c r="AG808" s="1">
        <f>MAX(配置与结果!$B$32,1+INDEX(配置与结果!$F$15:$F$18,F808)+0+Q808*方案参数!$W$25+Y808*(方案参数!$AN$25+MIN(方案参数!$AO$25,P808*0.03))+AB808*方案参数!$BZ$25*0.025-配置与结果!$B$28)</f>
        <v>0.96499999999999997</v>
      </c>
      <c r="AH808" s="1">
        <f>MAX(0,1+INDEX(配置与结果!$G$15:$G$18,F808)+W808*方案参数!$AG$25)</f>
        <v>1.3</v>
      </c>
      <c r="AI808" s="1">
        <f>IF(OR(INDEX(配置与结果!$K$15:$K$18,F808)=1,G808="RHI_BERRY"),1+配置与结果!$B$33+P808*方案参数!$AH$25,1)</f>
        <v>1</v>
      </c>
      <c r="AJ808" s="1">
        <f>MIN(1,MAX(0,J808+方案参数!$AB$25-配置与结果!$B$27))</f>
        <v>0.76</v>
      </c>
      <c r="AK808" s="1">
        <f>MAX(1,K808+IF(F808=2,0.15+方案参数!$CH$25,0)+BN808*方案参数!$X$25+R808*方案参数!$AA$25+0-配置与结果!$B$26+Z808*(方案参数!$AP$25+MIN(方案参数!$AQ$25,P808*0.03)))</f>
        <v>2.278</v>
      </c>
      <c r="AL808" s="7">
        <f>ROUNDDOWN(MAX(AD808*配置与结果!$B$31,AD808-AE808)*AF808*AG808*AH808*AI808,0)</f>
        <v>2711</v>
      </c>
      <c r="AM808" s="7">
        <f>ROUNDDOWN(MAX(AD808*配置与结果!$B$31,AD808-AE808)*AF808*AG808*AH808*AI808*AK808,0)</f>
        <v>6177</v>
      </c>
      <c r="AN808" s="7">
        <f t="shared" si="1095"/>
        <v>5345.1600000000008</v>
      </c>
      <c r="AO808" s="7">
        <f>方案参数!$BU$25*IF(H808=1,1,IF(H808=2,1.5,2.5))</f>
        <v>0.8</v>
      </c>
      <c r="AP808" s="7">
        <f>MAX(0,1+INDEX(配置与结果!$J$15:$J$18,F808)+IF(T808&gt;0,方案参数!$BY$25,0)-配置与结果!$B$30)</f>
        <v>1</v>
      </c>
      <c r="AQ808" s="7">
        <f t="shared" si="1096"/>
        <v>2035</v>
      </c>
      <c r="AR808" s="7">
        <f t="shared" si="1097"/>
        <v>4635</v>
      </c>
      <c r="AS808" s="7">
        <f t="shared" si="1098"/>
        <v>4011</v>
      </c>
      <c r="AT808" s="7">
        <f>0</f>
        <v>0</v>
      </c>
      <c r="AU808" s="7">
        <f t="shared" si="1099"/>
        <v>9356.16</v>
      </c>
      <c r="AV808" s="1">
        <f t="shared" si="1100"/>
        <v>1</v>
      </c>
      <c r="AW808" s="1">
        <f t="shared" si="1147"/>
        <v>8</v>
      </c>
      <c r="AX808" s="1">
        <f t="shared" si="1101"/>
        <v>0</v>
      </c>
      <c r="AY808" s="1">
        <f t="shared" si="1141"/>
        <v>6</v>
      </c>
      <c r="AZ808" s="1">
        <f t="shared" si="1102"/>
        <v>5</v>
      </c>
      <c r="BA808" s="1">
        <f>MIN(6,Q808+0)</f>
        <v>3</v>
      </c>
      <c r="BB808" s="1">
        <f t="shared" si="1134"/>
        <v>5</v>
      </c>
      <c r="BC808" s="1">
        <f t="shared" ref="BC808:BC814" si="1148">MIN(3,S808+0)</f>
        <v>2</v>
      </c>
      <c r="BD808" s="1">
        <f t="shared" si="1142"/>
        <v>0</v>
      </c>
      <c r="BE808" s="1">
        <f t="shared" si="1135"/>
        <v>0</v>
      </c>
      <c r="BF808" s="1">
        <f>MIN(4,V808+0)</f>
        <v>1</v>
      </c>
      <c r="BG808" s="1">
        <f t="shared" si="1139"/>
        <v>1</v>
      </c>
      <c r="BH808" s="1">
        <f t="shared" si="1136"/>
        <v>1</v>
      </c>
      <c r="BI808" s="1">
        <f t="shared" si="1140"/>
        <v>1</v>
      </c>
      <c r="BJ808" s="1">
        <f t="shared" si="1146"/>
        <v>1</v>
      </c>
      <c r="BK808" s="1">
        <f t="shared" si="1146"/>
        <v>1</v>
      </c>
      <c r="BL808" s="1">
        <f t="shared" si="1116"/>
        <v>0</v>
      </c>
      <c r="BM808" s="1">
        <f t="shared" si="1114"/>
        <v>0</v>
      </c>
      <c r="BN808" s="1">
        <f t="shared" si="1137"/>
        <v>1</v>
      </c>
      <c r="BO808" s="1">
        <f t="shared" si="1138"/>
        <v>1</v>
      </c>
    </row>
    <row r="809" spans="1:67" ht="30.95" customHeight="1">
      <c r="A809" s="1">
        <f>22</f>
        <v>22</v>
      </c>
      <c r="B809" s="1">
        <f>固定流程!A17</f>
        <v>12</v>
      </c>
      <c r="C809" s="1">
        <f>25</f>
        <v>25</v>
      </c>
      <c r="D809" s="1">
        <f>1</f>
        <v>1</v>
      </c>
      <c r="E809" s="1">
        <f>固定流程!C17</f>
        <v>2</v>
      </c>
      <c r="F809" s="1">
        <f>固定流程!G17</f>
        <v>2</v>
      </c>
      <c r="G809" s="1" t="str">
        <f>固定流程!H17</f>
        <v>37_FOLLOW</v>
      </c>
      <c r="H809" s="1">
        <f>固定流程!F17</f>
        <v>1</v>
      </c>
      <c r="I809" s="1">
        <f>INDEX(配置与结果!$B$15:$B$18,F809)</f>
        <v>2306</v>
      </c>
      <c r="J809" s="1">
        <f>INDEX(配置与结果!$D$15:$D$18,F809)</f>
        <v>0.46</v>
      </c>
      <c r="K809" s="1">
        <f>INDEX(配置与结果!$E$15:$E$18,F809)</f>
        <v>1.9279999999999999</v>
      </c>
      <c r="L809" s="1">
        <f t="shared" si="1144"/>
        <v>1</v>
      </c>
      <c r="M809" s="1">
        <f t="shared" si="1144"/>
        <v>8</v>
      </c>
      <c r="N809" s="1">
        <f t="shared" si="1144"/>
        <v>0</v>
      </c>
      <c r="O809" s="1">
        <f t="shared" si="1143"/>
        <v>6</v>
      </c>
      <c r="P809" s="1">
        <f>MIN(方案参数!$AI$25,AZ808+0+0)</f>
        <v>5</v>
      </c>
      <c r="Q809" s="1">
        <f t="shared" si="1121"/>
        <v>3</v>
      </c>
      <c r="R809" s="1">
        <f t="shared" si="1122"/>
        <v>5</v>
      </c>
      <c r="S809" s="1">
        <f t="shared" si="1123"/>
        <v>2</v>
      </c>
      <c r="T809" s="1">
        <f t="shared" si="1124"/>
        <v>0</v>
      </c>
      <c r="U809" s="1">
        <f t="shared" si="1125"/>
        <v>0</v>
      </c>
      <c r="V809" s="1">
        <f t="shared" si="1126"/>
        <v>1</v>
      </c>
      <c r="W809" s="1">
        <f t="shared" si="1127"/>
        <v>1</v>
      </c>
      <c r="X809" s="1">
        <f t="shared" si="1128"/>
        <v>1</v>
      </c>
      <c r="Y809" s="1">
        <f t="shared" si="1129"/>
        <v>1</v>
      </c>
      <c r="Z809" s="1">
        <f t="shared" si="1130"/>
        <v>1</v>
      </c>
      <c r="AA809" s="1">
        <f t="shared" si="1145"/>
        <v>1</v>
      </c>
      <c r="AB809" s="1">
        <f t="shared" si="1132"/>
        <v>0</v>
      </c>
      <c r="AC809" s="1">
        <f t="shared" si="1133"/>
        <v>0</v>
      </c>
      <c r="AD809" s="1">
        <f>ROUNDDOWN(I809*(1+IF(F809=3,0.05+方案参数!$Y$25+AA809*0.12,IF(F809=4,方案参数!$BZ$25*方案参数!$AS$25,0)))+IF(AND(X809=1,F809&lt;&gt;3),方案参数!$CC$25,0)+AC809*方案参数!$CB$25,0)</f>
        <v>2544</v>
      </c>
      <c r="AE809" s="1">
        <f>IF(OR(F809=1,F809=4),配置与结果!$B$24,配置与结果!$B$25)*MAX(0,1-INDEX(配置与结果!$I$15:$I$18,F809))</f>
        <v>1000</v>
      </c>
      <c r="AF809" s="1">
        <f>方案参数!$BV$25</f>
        <v>3</v>
      </c>
      <c r="AG809" s="1">
        <f>MAX(配置与结果!$B$32,1+INDEX(配置与结果!$F$15:$F$18,F809)+0+Q809*方案参数!$W$25+Y809*(方案参数!$AN$25+MIN(方案参数!$AO$25,P809*0.03))+AB809*方案参数!$BZ$25*0.025-配置与结果!$B$28)</f>
        <v>0.96499999999999997</v>
      </c>
      <c r="AH809" s="1">
        <f>MAX(0,1+INDEX(配置与结果!$G$15:$G$18,F809)+W809*方案参数!$AG$25)</f>
        <v>1.3</v>
      </c>
      <c r="AI809" s="1">
        <f>IF(OR(INDEX(配置与结果!$K$15:$K$18,F809)=1,G809="RHI_BERRY"),1+配置与结果!$B$33+P809*方案参数!$AH$25,1)</f>
        <v>1</v>
      </c>
      <c r="AJ809" s="1">
        <f>MIN(1,MAX(0,J809+方案参数!$AB$25-配置与结果!$B$27))</f>
        <v>0.76</v>
      </c>
      <c r="AK809" s="1">
        <f>MAX(1,K809+IF(F809=2,0.15+方案参数!$CH$25,0)+BN809*方案参数!$X$25+R809*方案参数!$AA$25+0-配置与结果!$B$26+Z809*(方案参数!$AP$25+MIN(方案参数!$AQ$25,P809*0.03)))</f>
        <v>2.278</v>
      </c>
      <c r="AL809" s="7">
        <f>ROUNDDOWN(MAX(AD809*配置与结果!$B$31,AD809-AE809)*AF809*AG809*AH809*AI809,0)</f>
        <v>5810</v>
      </c>
      <c r="AM809" s="7">
        <f>ROUNDDOWN(MAX(AD809*配置与结果!$B$31,AD809-AE809)*AF809*AG809*AH809*AI809*AK809,0)</f>
        <v>13237</v>
      </c>
      <c r="AN809" s="7">
        <f t="shared" si="1095"/>
        <v>11454.52</v>
      </c>
      <c r="AO809" s="7">
        <f>方案参数!$BW$25</f>
        <v>1</v>
      </c>
      <c r="AP809" s="7">
        <f>MAX(0,1+INDEX(配置与结果!$J$15:$J$18,F809)+IF(T809&gt;0,方案参数!$BY$25,0)-配置与结果!$B$30)</f>
        <v>1</v>
      </c>
      <c r="AQ809" s="7">
        <f t="shared" si="1096"/>
        <v>2544</v>
      </c>
      <c r="AR809" s="7">
        <f t="shared" si="1097"/>
        <v>5795</v>
      </c>
      <c r="AS809" s="7">
        <f t="shared" si="1098"/>
        <v>5014.76</v>
      </c>
      <c r="AT809" s="7">
        <f>0</f>
        <v>0</v>
      </c>
      <c r="AU809" s="7">
        <f t="shared" si="1099"/>
        <v>16469.28</v>
      </c>
      <c r="AV809" s="1">
        <f t="shared" si="1100"/>
        <v>1</v>
      </c>
      <c r="AW809" s="1">
        <f t="shared" si="1147"/>
        <v>8</v>
      </c>
      <c r="AX809" s="1">
        <f t="shared" si="1101"/>
        <v>0</v>
      </c>
      <c r="AY809" s="1">
        <f t="shared" si="1141"/>
        <v>6</v>
      </c>
      <c r="AZ809" s="1">
        <f t="shared" si="1102"/>
        <v>5</v>
      </c>
      <c r="BA809" s="1">
        <f>MIN(6,Q809+0)</f>
        <v>3</v>
      </c>
      <c r="BB809" s="1">
        <f t="shared" si="1134"/>
        <v>5</v>
      </c>
      <c r="BC809" s="1">
        <f t="shared" si="1148"/>
        <v>2</v>
      </c>
      <c r="BD809" s="1">
        <f t="shared" si="1142"/>
        <v>0</v>
      </c>
      <c r="BE809" s="1">
        <f t="shared" si="1135"/>
        <v>0</v>
      </c>
      <c r="BF809" s="1">
        <f>MIN(4,V809+1)</f>
        <v>2</v>
      </c>
      <c r="BG809" s="1">
        <f t="shared" si="1139"/>
        <v>1</v>
      </c>
      <c r="BH809" s="1">
        <f t="shared" si="1136"/>
        <v>1</v>
      </c>
      <c r="BI809" s="1">
        <f t="shared" si="1140"/>
        <v>1</v>
      </c>
      <c r="BJ809" s="1">
        <f t="shared" si="1146"/>
        <v>1</v>
      </c>
      <c r="BK809" s="1">
        <f t="shared" si="1146"/>
        <v>1</v>
      </c>
      <c r="BL809" s="1">
        <f t="shared" si="1116"/>
        <v>0</v>
      </c>
      <c r="BM809" s="1">
        <f t="shared" si="1114"/>
        <v>0</v>
      </c>
      <c r="BN809" s="1">
        <f t="shared" si="1137"/>
        <v>1</v>
      </c>
      <c r="BO809" s="1">
        <f t="shared" si="1138"/>
        <v>1</v>
      </c>
    </row>
    <row r="810" spans="1:67" ht="30.95" customHeight="1">
      <c r="A810" s="1">
        <f>22</f>
        <v>22</v>
      </c>
      <c r="B810" s="1">
        <f>固定流程!A18</f>
        <v>13</v>
      </c>
      <c r="C810" s="1">
        <f>25</f>
        <v>25</v>
      </c>
      <c r="D810" s="1">
        <f>1</f>
        <v>1</v>
      </c>
      <c r="E810" s="1">
        <f>固定流程!C18</f>
        <v>2</v>
      </c>
      <c r="F810" s="1">
        <f>固定流程!G18</f>
        <v>3</v>
      </c>
      <c r="G810" s="1" t="str">
        <f>固定流程!H18</f>
        <v>RHI_BERRY</v>
      </c>
      <c r="H810" s="1">
        <f>固定流程!F18</f>
        <v>1</v>
      </c>
      <c r="I810" s="1">
        <f>INDEX(配置与结果!$B$15:$B$18,F810)</f>
        <v>2597</v>
      </c>
      <c r="J810" s="1">
        <f>INDEX(配置与结果!$D$15:$D$18,F810)</f>
        <v>0.255</v>
      </c>
      <c r="K810" s="1">
        <f>INDEX(配置与结果!$E$15:$E$18,F810)</f>
        <v>1.55</v>
      </c>
      <c r="L810" s="1">
        <f t="shared" si="1144"/>
        <v>1</v>
      </c>
      <c r="M810" s="1">
        <f t="shared" si="1144"/>
        <v>8</v>
      </c>
      <c r="N810" s="1">
        <f t="shared" si="1144"/>
        <v>0</v>
      </c>
      <c r="O810" s="1">
        <f t="shared" si="1143"/>
        <v>6</v>
      </c>
      <c r="P810" s="1">
        <f>MIN(方案参数!$AI$25,AZ809+0+0)</f>
        <v>5</v>
      </c>
      <c r="Q810" s="1">
        <f t="shared" si="1121"/>
        <v>3</v>
      </c>
      <c r="R810" s="1">
        <f t="shared" si="1122"/>
        <v>5</v>
      </c>
      <c r="S810" s="1">
        <f t="shared" si="1123"/>
        <v>2</v>
      </c>
      <c r="T810" s="1">
        <f t="shared" si="1124"/>
        <v>0</v>
      </c>
      <c r="U810" s="1">
        <f t="shared" si="1125"/>
        <v>0</v>
      </c>
      <c r="V810" s="1">
        <f t="shared" si="1126"/>
        <v>2</v>
      </c>
      <c r="W810" s="1">
        <f t="shared" si="1127"/>
        <v>1</v>
      </c>
      <c r="X810" s="1">
        <f t="shared" si="1128"/>
        <v>1</v>
      </c>
      <c r="Y810" s="1">
        <f t="shared" si="1129"/>
        <v>1</v>
      </c>
      <c r="Z810" s="1">
        <f t="shared" si="1130"/>
        <v>1</v>
      </c>
      <c r="AA810" s="1">
        <f t="shared" si="1145"/>
        <v>1</v>
      </c>
      <c r="AB810" s="1">
        <f t="shared" si="1132"/>
        <v>0</v>
      </c>
      <c r="AC810" s="1">
        <f t="shared" si="1133"/>
        <v>0</v>
      </c>
      <c r="AD810" s="1">
        <f>ROUNDDOWN(I810*(1+IF(F810=3,0.05+方案参数!$Y$25+AA810*0.12,IF(F810=4,方案参数!$BZ$25*方案参数!$AS$25,0)))+IF(AND(X810=1,F810&lt;&gt;3),方案参数!$CC$25,0)+AC810*方案参数!$CB$25,0)</f>
        <v>3298</v>
      </c>
      <c r="AE810" s="1">
        <f>IF(OR(F810=1,F810=4),配置与结果!$B$24,配置与结果!$B$25)*MAX(0,1-INDEX(配置与结果!$I$15:$I$18,F810))</f>
        <v>1000</v>
      </c>
      <c r="AF810" s="1">
        <f>方案参数!$CF$25+P810*方案参数!$CG$25</f>
        <v>22.5</v>
      </c>
      <c r="AG810" s="1">
        <f>MAX(配置与结果!$B$32,1+INDEX(配置与结果!$F$15:$F$18,F810)+0+Q810*方案参数!$W$25+Y810*(方案参数!$AN$25+MIN(方案参数!$AO$25,P810*0.03))+AB810*方案参数!$BZ$25*0.025-配置与结果!$B$28)</f>
        <v>0.995</v>
      </c>
      <c r="AH810" s="1">
        <f>MAX(0,1+INDEX(配置与结果!$G$15:$G$18,F810)+W810*方案参数!$AG$25)</f>
        <v>1.3</v>
      </c>
      <c r="AI810" s="1">
        <f>IF(OR(INDEX(配置与结果!$K$15:$K$18,F810)=1,G810="RHI_BERRY"),1+配置与结果!$B$33+P810*方案参数!$AH$25,1)</f>
        <v>1.5</v>
      </c>
      <c r="AJ810" s="1">
        <f>MIN(1,MAX(0,J810+方案参数!$AB$25-配置与结果!$B$27))</f>
        <v>0.55499999999999994</v>
      </c>
      <c r="AK810" s="1">
        <f>MAX(1,K810+IF(F810=2,0.15+方案参数!$CH$25,0)+BN810*方案参数!$X$25+R810*方案参数!$AA$25+0-配置与结果!$B$26+Z810*(方案参数!$AP$25+MIN(方案参数!$AQ$25,P810*0.03)))</f>
        <v>1.6300000000000001</v>
      </c>
      <c r="AL810" s="7">
        <f>ROUNDDOWN(MAX(AD810*配置与结果!$B$31,AD810-AE810)*AF810*AG810*AH810*AI810,0)</f>
        <v>100320</v>
      </c>
      <c r="AM810" s="7">
        <f>ROUNDDOWN(MAX(AD810*配置与结果!$B$31,AD810-AE810)*AF810*AG810*AH810*AI810*AK810,0)</f>
        <v>163522</v>
      </c>
      <c r="AN810" s="7">
        <f t="shared" si="1095"/>
        <v>135397.10999999999</v>
      </c>
      <c r="AO810" s="7">
        <f>0</f>
        <v>0</v>
      </c>
      <c r="AP810" s="7">
        <f>MAX(0,1+INDEX(配置与结果!$J$15:$J$18,F810)+IF(T810&gt;0,方案参数!$BY$25,0)-配置与结果!$B$30)</f>
        <v>1</v>
      </c>
      <c r="AQ810" s="7">
        <f t="shared" si="1096"/>
        <v>0</v>
      </c>
      <c r="AR810" s="7">
        <f t="shared" si="1097"/>
        <v>0</v>
      </c>
      <c r="AS810" s="7">
        <f t="shared" si="1098"/>
        <v>0</v>
      </c>
      <c r="AT810" s="7">
        <f>0</f>
        <v>0</v>
      </c>
      <c r="AU810" s="7">
        <f t="shared" si="1099"/>
        <v>135397.10999999999</v>
      </c>
      <c r="AV810" s="1">
        <f t="shared" si="1100"/>
        <v>1</v>
      </c>
      <c r="AW810" s="1">
        <f t="shared" si="1147"/>
        <v>8</v>
      </c>
      <c r="AX810" s="1">
        <f t="shared" si="1101"/>
        <v>0</v>
      </c>
      <c r="AY810" s="1">
        <f t="shared" si="1141"/>
        <v>6</v>
      </c>
      <c r="AZ810" s="1">
        <f t="shared" si="1102"/>
        <v>5</v>
      </c>
      <c r="BA810" s="1">
        <f>MIN(6,Q810+0)</f>
        <v>3</v>
      </c>
      <c r="BB810" s="1">
        <f t="shared" si="1134"/>
        <v>5</v>
      </c>
      <c r="BC810" s="1">
        <f t="shared" si="1148"/>
        <v>2</v>
      </c>
      <c r="BD810" s="1">
        <f t="shared" si="1142"/>
        <v>0</v>
      </c>
      <c r="BE810" s="1">
        <f t="shared" si="1135"/>
        <v>0</v>
      </c>
      <c r="BF810" s="1">
        <f>MIN(4,V810+0)</f>
        <v>2</v>
      </c>
      <c r="BG810" s="1">
        <f t="shared" si="1139"/>
        <v>1</v>
      </c>
      <c r="BH810" s="1">
        <f t="shared" si="1136"/>
        <v>1</v>
      </c>
      <c r="BI810" s="1">
        <f t="shared" si="1140"/>
        <v>1</v>
      </c>
      <c r="BJ810" s="1">
        <f t="shared" si="1146"/>
        <v>1</v>
      </c>
      <c r="BK810" s="1">
        <f t="shared" si="1146"/>
        <v>1</v>
      </c>
      <c r="BL810" s="1">
        <f t="shared" si="1116"/>
        <v>0</v>
      </c>
      <c r="BM810" s="1">
        <f t="shared" si="1114"/>
        <v>0</v>
      </c>
      <c r="BN810" s="1">
        <f t="shared" si="1137"/>
        <v>1</v>
      </c>
      <c r="BO810" s="1">
        <f t="shared" si="1138"/>
        <v>1</v>
      </c>
    </row>
    <row r="811" spans="1:67" ht="30.95" customHeight="1">
      <c r="A811" s="1">
        <f>22</f>
        <v>22</v>
      </c>
      <c r="B811" s="1">
        <f>固定流程!A19</f>
        <v>14</v>
      </c>
      <c r="C811" s="1">
        <f>25</f>
        <v>25</v>
      </c>
      <c r="D811" s="1">
        <f>1</f>
        <v>1</v>
      </c>
      <c r="E811" s="1">
        <f>固定流程!C19</f>
        <v>3</v>
      </c>
      <c r="F811" s="1">
        <f>固定流程!G19</f>
        <v>3</v>
      </c>
      <c r="G811" s="1" t="str">
        <f>固定流程!H19</f>
        <v>RHI_BUFF</v>
      </c>
      <c r="H811" s="1">
        <f>固定流程!F19</f>
        <v>1</v>
      </c>
      <c r="I811" s="1">
        <f>INDEX(配置与结果!$B$15:$B$18,F811)</f>
        <v>2597</v>
      </c>
      <c r="J811" s="1">
        <f>INDEX(配置与结果!$D$15:$D$18,F811)</f>
        <v>0.255</v>
      </c>
      <c r="K811" s="1">
        <f>INDEX(配置与结果!$E$15:$E$18,F811)</f>
        <v>1.55</v>
      </c>
      <c r="L811" s="1">
        <f>IF(AV810=1,IF(M811&gt;=10,2,1),IF(AV810=2,IF(AX810&lt;=1,0,2),0))</f>
        <v>2</v>
      </c>
      <c r="M811" s="1">
        <f>IF(AND(AV810=2,AX810&lt;=1),0,MIN(10,AW810+IF(AV810=1,3,0)))</f>
        <v>10</v>
      </c>
      <c r="N811" s="1">
        <f>IF(AND(AV810=1,M811&gt;=10),2,IF(AV810=2,MAX(0,AX810-1),0))</f>
        <v>2</v>
      </c>
      <c r="O811" s="1">
        <f t="shared" si="1143"/>
        <v>6</v>
      </c>
      <c r="P811" s="1">
        <f>MIN(方案参数!$AI$25,AZ810+方案参数!$AJ$25+方案参数!$AK$25)</f>
        <v>5</v>
      </c>
      <c r="Q811" s="1">
        <f t="shared" si="1121"/>
        <v>3</v>
      </c>
      <c r="R811" s="1">
        <f t="shared" si="1122"/>
        <v>5</v>
      </c>
      <c r="S811" s="1">
        <f t="shared" si="1123"/>
        <v>2</v>
      </c>
      <c r="T811" s="1">
        <f t="shared" si="1124"/>
        <v>0</v>
      </c>
      <c r="U811" s="1">
        <f t="shared" si="1125"/>
        <v>0</v>
      </c>
      <c r="V811" s="1">
        <f t="shared" si="1126"/>
        <v>2</v>
      </c>
      <c r="W811" s="1">
        <f t="shared" si="1127"/>
        <v>1</v>
      </c>
      <c r="X811" s="1">
        <f t="shared" si="1128"/>
        <v>1</v>
      </c>
      <c r="Y811" s="1">
        <f t="shared" si="1129"/>
        <v>1</v>
      </c>
      <c r="Z811" s="1">
        <f t="shared" si="1130"/>
        <v>1</v>
      </c>
      <c r="AA811" s="1">
        <f t="shared" si="1145"/>
        <v>1</v>
      </c>
      <c r="AB811" s="1">
        <f t="shared" si="1132"/>
        <v>0</v>
      </c>
      <c r="AC811" s="1">
        <f t="shared" si="1133"/>
        <v>0</v>
      </c>
      <c r="AD811" s="1">
        <f>ROUNDDOWN(I811*(1+IF(F811=3,0.05+方案参数!$Y$25+AA811*0.12,IF(F811=4,方案参数!$BZ$25*方案参数!$AS$25,0)))+IF(AND(X811=1,F811&lt;&gt;3),方案参数!$CC$25,0)+AC811*方案参数!$CB$25,0)</f>
        <v>3298</v>
      </c>
      <c r="AE811" s="1">
        <f>IF(OR(F811=1,F811=4),配置与结果!$B$24,配置与结果!$B$25)*MAX(0,1-INDEX(配置与结果!$I$15:$I$18,F811))</f>
        <v>1000</v>
      </c>
      <c r="AF811" s="1">
        <f>0</f>
        <v>0</v>
      </c>
      <c r="AG811" s="1">
        <f>MAX(配置与结果!$B$32,1+INDEX(配置与结果!$F$15:$F$18,F811)+0+Q811*方案参数!$W$25+Y811*(方案参数!$AN$25+MIN(方案参数!$AO$25,P811*0.03))+AB811*方案参数!$BZ$25*0.025-配置与结果!$B$28)</f>
        <v>0.995</v>
      </c>
      <c r="AH811" s="1">
        <f>MAX(0,1+INDEX(配置与结果!$G$15:$G$18,F811)+W811*方案参数!$AG$25)</f>
        <v>1.3</v>
      </c>
      <c r="AI811" s="1">
        <f>IF(OR(INDEX(配置与结果!$K$15:$K$18,F811)=1,G811="RHI_BERRY"),1+配置与结果!$B$33+P811*方案参数!$AH$25,1)</f>
        <v>1</v>
      </c>
      <c r="AJ811" s="1">
        <f>MIN(1,MAX(0,J811+方案参数!$AB$25-配置与结果!$B$27))</f>
        <v>0.55499999999999994</v>
      </c>
      <c r="AK811" s="1">
        <f>MAX(1,K811+IF(F811=2,0.15+方案参数!$CH$25,0)+BN811*方案参数!$X$25+R811*方案参数!$AA$25+0-配置与结果!$B$26+Z811*(方案参数!$AP$25+MIN(方案参数!$AQ$25,P811*0.03)))</f>
        <v>1.6300000000000001</v>
      </c>
      <c r="AL811" s="7">
        <f>ROUNDDOWN(MAX(AD811*配置与结果!$B$31,AD811-AE811)*AF811*AG811*AH811*AI811,0)</f>
        <v>0</v>
      </c>
      <c r="AM811" s="7">
        <f>ROUNDDOWN(MAX(AD811*配置与结果!$B$31,AD811-AE811)*AF811*AG811*AH811*AI811*AK811,0)</f>
        <v>0</v>
      </c>
      <c r="AN811" s="7">
        <f t="shared" si="1095"/>
        <v>0</v>
      </c>
      <c r="AO811" s="7">
        <f>0</f>
        <v>0</v>
      </c>
      <c r="AP811" s="7">
        <f>MAX(0,1+INDEX(配置与结果!$J$15:$J$18,F811)+IF(T811&gt;0,方案参数!$BY$25,0)-配置与结果!$B$30)</f>
        <v>1</v>
      </c>
      <c r="AQ811" s="7">
        <f t="shared" si="1096"/>
        <v>0</v>
      </c>
      <c r="AR811" s="7">
        <f t="shared" si="1097"/>
        <v>0</v>
      </c>
      <c r="AS811" s="7">
        <f t="shared" si="1098"/>
        <v>0</v>
      </c>
      <c r="AT811" s="7">
        <f>0</f>
        <v>0</v>
      </c>
      <c r="AU811" s="7">
        <f t="shared" si="1099"/>
        <v>0</v>
      </c>
      <c r="AV811" s="1">
        <f t="shared" si="1100"/>
        <v>2</v>
      </c>
      <c r="AW811" s="1">
        <f t="shared" si="1147"/>
        <v>10</v>
      </c>
      <c r="AX811" s="1">
        <f t="shared" si="1101"/>
        <v>2</v>
      </c>
      <c r="AY811" s="1">
        <f t="shared" si="1141"/>
        <v>6</v>
      </c>
      <c r="AZ811" s="1">
        <f t="shared" si="1102"/>
        <v>5</v>
      </c>
      <c r="BA811" s="1">
        <f>MIN(6,Q811+1)</f>
        <v>4</v>
      </c>
      <c r="BB811" s="1">
        <f t="shared" si="1134"/>
        <v>5</v>
      </c>
      <c r="BC811" s="1">
        <f t="shared" si="1148"/>
        <v>2</v>
      </c>
      <c r="BD811" s="1">
        <f t="shared" si="1142"/>
        <v>0</v>
      </c>
      <c r="BE811" s="1">
        <f t="shared" si="1135"/>
        <v>0</v>
      </c>
      <c r="BF811" s="1">
        <f>MIN(4,V811+0)</f>
        <v>2</v>
      </c>
      <c r="BG811" s="1">
        <f>MAX(W811,1)</f>
        <v>1</v>
      </c>
      <c r="BH811" s="1">
        <f t="shared" si="1136"/>
        <v>1</v>
      </c>
      <c r="BI811" s="1">
        <f>MAX(Y811,1)</f>
        <v>1</v>
      </c>
      <c r="BJ811" s="1">
        <f t="shared" si="1146"/>
        <v>1</v>
      </c>
      <c r="BK811" s="1">
        <f t="shared" si="1146"/>
        <v>1</v>
      </c>
      <c r="BL811" s="1">
        <f t="shared" si="1116"/>
        <v>0</v>
      </c>
      <c r="BM811" s="1">
        <f t="shared" si="1114"/>
        <v>0</v>
      </c>
      <c r="BN811" s="1">
        <f t="shared" si="1137"/>
        <v>1</v>
      </c>
      <c r="BO811" s="1">
        <f t="shared" si="1138"/>
        <v>1</v>
      </c>
    </row>
    <row r="812" spans="1:67" ht="30.95" customHeight="1">
      <c r="A812" s="1">
        <f>22</f>
        <v>22</v>
      </c>
      <c r="B812" s="1">
        <f>固定流程!A20</f>
        <v>15</v>
      </c>
      <c r="C812" s="1">
        <f>25</f>
        <v>25</v>
      </c>
      <c r="D812" s="1">
        <f>1</f>
        <v>1</v>
      </c>
      <c r="E812" s="1">
        <f>固定流程!C20</f>
        <v>3</v>
      </c>
      <c r="F812" s="1">
        <f>固定流程!G20</f>
        <v>3</v>
      </c>
      <c r="G812" s="1" t="str">
        <f>固定流程!H20</f>
        <v>RHI_ATTACK</v>
      </c>
      <c r="H812" s="1">
        <f>固定流程!F20</f>
        <v>1</v>
      </c>
      <c r="I812" s="1">
        <f>INDEX(配置与结果!$B$15:$B$18,F812)</f>
        <v>2597</v>
      </c>
      <c r="J812" s="1">
        <f>INDEX(配置与结果!$D$15:$D$18,F812)</f>
        <v>0.255</v>
      </c>
      <c r="K812" s="1">
        <f>INDEX(配置与结果!$E$15:$E$18,F812)</f>
        <v>1.55</v>
      </c>
      <c r="L812" s="1">
        <f t="shared" ref="L812:L833" si="1149">AV811</f>
        <v>2</v>
      </c>
      <c r="M812" s="1">
        <f t="shared" ref="M812:M833" si="1150">AW811</f>
        <v>10</v>
      </c>
      <c r="N812" s="1">
        <f t="shared" ref="N812:N833" si="1151">AX811</f>
        <v>2</v>
      </c>
      <c r="O812" s="1">
        <f t="shared" si="1143"/>
        <v>6</v>
      </c>
      <c r="P812" s="1">
        <f>MIN(方案参数!$AI$25,AZ811+0+方案参数!$AK$25)</f>
        <v>5</v>
      </c>
      <c r="Q812" s="1">
        <f t="shared" si="1121"/>
        <v>4</v>
      </c>
      <c r="R812" s="1">
        <f t="shared" si="1122"/>
        <v>5</v>
      </c>
      <c r="S812" s="1">
        <f t="shared" si="1123"/>
        <v>2</v>
      </c>
      <c r="T812" s="1">
        <f t="shared" si="1124"/>
        <v>0</v>
      </c>
      <c r="U812" s="1">
        <f t="shared" si="1125"/>
        <v>0</v>
      </c>
      <c r="V812" s="1">
        <f t="shared" si="1126"/>
        <v>2</v>
      </c>
      <c r="W812" s="1">
        <f t="shared" si="1127"/>
        <v>1</v>
      </c>
      <c r="X812" s="1">
        <f t="shared" si="1128"/>
        <v>1</v>
      </c>
      <c r="Y812" s="1">
        <f t="shared" si="1129"/>
        <v>1</v>
      </c>
      <c r="Z812" s="1">
        <f t="shared" si="1130"/>
        <v>1</v>
      </c>
      <c r="AA812" s="1">
        <f>MAX(BK811,1)</f>
        <v>1</v>
      </c>
      <c r="AB812" s="1">
        <f t="shared" si="1132"/>
        <v>0</v>
      </c>
      <c r="AC812" s="1">
        <f t="shared" si="1133"/>
        <v>0</v>
      </c>
      <c r="AD812" s="1">
        <f>ROUNDDOWN(I812*(1+IF(F812=3,0.05+方案参数!$Y$25+AA812*0.12,IF(F812=4,方案参数!$BZ$25*方案参数!$AS$25,0)))+IF(AND(X812=1,F812&lt;&gt;3),方案参数!$CC$25,0)+AC812*方案参数!$CB$25,0)</f>
        <v>3298</v>
      </c>
      <c r="AE812" s="1">
        <f>IF(OR(F812=1,F812=4),配置与结果!$B$24,配置与结果!$B$25)*MAX(0,1-INDEX(配置与结果!$I$15:$I$18,F812))</f>
        <v>1000</v>
      </c>
      <c r="AF812" s="1">
        <f>4</f>
        <v>4</v>
      </c>
      <c r="AG812" s="1">
        <f>MAX(配置与结果!$B$32,1+INDEX(配置与结果!$F$15:$F$18,F812)+0+Q812*方案参数!$W$25+Y812*(方案参数!$AN$25+MIN(方案参数!$AO$25,P812*0.03))+AB812*方案参数!$BZ$25*0.025-配置与结果!$B$28)</f>
        <v>1.0150000000000001</v>
      </c>
      <c r="AH812" s="1">
        <f>MAX(0,1+INDEX(配置与结果!$G$15:$G$18,F812)+W812*方案参数!$AG$25)</f>
        <v>1.3</v>
      </c>
      <c r="AI812" s="1">
        <f>IF(OR(INDEX(配置与结果!$K$15:$K$18,F812)=1,G812="RHI_BERRY"),1+配置与结果!$B$33+P812*方案参数!$AH$25,1)</f>
        <v>1</v>
      </c>
      <c r="AJ812" s="1">
        <f>MIN(1,MAX(0,J812+方案参数!$AB$25-配置与结果!$B$27))</f>
        <v>0.55499999999999994</v>
      </c>
      <c r="AK812" s="1">
        <f>MAX(1,K812+IF(F812=2,0.15+方案参数!$CH$25,0)+BN812*方案参数!$X$25+R812*方案参数!$AA$25+0-配置与结果!$B$26+Z812*(方案参数!$AP$25+MIN(方案参数!$AQ$25,P812*0.03)))</f>
        <v>1.6300000000000001</v>
      </c>
      <c r="AL812" s="7">
        <f>ROUNDDOWN(MAX(AD812*配置与结果!$B$31,AD812-AE812)*AF812*AG812*AH812*AI812,0)</f>
        <v>12128</v>
      </c>
      <c r="AM812" s="7">
        <f>ROUNDDOWN(MAX(AD812*配置与结果!$B$31,AD812-AE812)*AF812*AG812*AH812*AI812*AK812,0)</f>
        <v>19770</v>
      </c>
      <c r="AN812" s="7">
        <f t="shared" si="1095"/>
        <v>16369.31</v>
      </c>
      <c r="AO812" s="7">
        <f>0</f>
        <v>0</v>
      </c>
      <c r="AP812" s="7">
        <f>MAX(0,1+INDEX(配置与结果!$J$15:$J$18,F812)+IF(T812&gt;0,方案参数!$BY$25,0)-配置与结果!$B$30)</f>
        <v>1</v>
      </c>
      <c r="AQ812" s="7">
        <f t="shared" si="1096"/>
        <v>0</v>
      </c>
      <c r="AR812" s="7">
        <f t="shared" si="1097"/>
        <v>0</v>
      </c>
      <c r="AS812" s="7">
        <f t="shared" si="1098"/>
        <v>0</v>
      </c>
      <c r="AT812" s="7">
        <f>0</f>
        <v>0</v>
      </c>
      <c r="AU812" s="7">
        <f t="shared" si="1099"/>
        <v>16369.31</v>
      </c>
      <c r="AV812" s="1">
        <f t="shared" si="1100"/>
        <v>2</v>
      </c>
      <c r="AW812" s="1">
        <f t="shared" si="1147"/>
        <v>10</v>
      </c>
      <c r="AX812" s="1">
        <f t="shared" si="1101"/>
        <v>2</v>
      </c>
      <c r="AY812" s="1">
        <f t="shared" si="1141"/>
        <v>6</v>
      </c>
      <c r="AZ812" s="1">
        <f t="shared" si="1102"/>
        <v>5</v>
      </c>
      <c r="BA812" s="1">
        <f>MIN(6,Q812+1)</f>
        <v>5</v>
      </c>
      <c r="BB812" s="1">
        <f t="shared" si="1134"/>
        <v>5</v>
      </c>
      <c r="BC812" s="1">
        <f t="shared" si="1148"/>
        <v>2</v>
      </c>
      <c r="BD812" s="1">
        <f t="shared" si="1142"/>
        <v>0</v>
      </c>
      <c r="BE812" s="1">
        <f t="shared" si="1135"/>
        <v>0</v>
      </c>
      <c r="BF812" s="1">
        <f>MIN(4,V812+0)</f>
        <v>2</v>
      </c>
      <c r="BG812" s="1">
        <f t="shared" ref="BG812:BG834" si="1152">MAX(W812,0)</f>
        <v>1</v>
      </c>
      <c r="BH812" s="1">
        <f t="shared" si="1136"/>
        <v>1</v>
      </c>
      <c r="BI812" s="1">
        <f t="shared" ref="BI812:BI834" si="1153">MAX(Y812,0)</f>
        <v>1</v>
      </c>
      <c r="BJ812" s="1">
        <f>MAX(Z812,1)</f>
        <v>1</v>
      </c>
      <c r="BK812" s="1">
        <f>MAX(AA812,1)</f>
        <v>1</v>
      </c>
      <c r="BL812" s="1">
        <f t="shared" si="1116"/>
        <v>0</v>
      </c>
      <c r="BM812" s="1">
        <f t="shared" si="1114"/>
        <v>0</v>
      </c>
      <c r="BN812" s="1">
        <f t="shared" si="1137"/>
        <v>1</v>
      </c>
      <c r="BO812" s="1">
        <f t="shared" si="1138"/>
        <v>1</v>
      </c>
    </row>
    <row r="813" spans="1:67" ht="30.95" customHeight="1">
      <c r="A813" s="1">
        <f>22</f>
        <v>22</v>
      </c>
      <c r="B813" s="1">
        <f>固定流程!A21</f>
        <v>16</v>
      </c>
      <c r="C813" s="1">
        <f>25</f>
        <v>25</v>
      </c>
      <c r="D813" s="1">
        <f>1</f>
        <v>1</v>
      </c>
      <c r="E813" s="1">
        <f>固定流程!C21</f>
        <v>3</v>
      </c>
      <c r="F813" s="1">
        <f>固定流程!G21</f>
        <v>2</v>
      </c>
      <c r="G813" s="1" t="str">
        <f>固定流程!H21</f>
        <v>37_ULT</v>
      </c>
      <c r="H813" s="1">
        <f>固定流程!F21</f>
        <v>1</v>
      </c>
      <c r="I813" s="1">
        <f>INDEX(配置与结果!$B$15:$B$18,F813)</f>
        <v>2306</v>
      </c>
      <c r="J813" s="1">
        <f>INDEX(配置与结果!$D$15:$D$18,F813)</f>
        <v>0.46</v>
      </c>
      <c r="K813" s="1">
        <f>INDEX(配置与结果!$E$15:$E$18,F813)</f>
        <v>1.9279999999999999</v>
      </c>
      <c r="L813" s="1">
        <f t="shared" si="1149"/>
        <v>2</v>
      </c>
      <c r="M813" s="1">
        <f t="shared" si="1150"/>
        <v>10</v>
      </c>
      <c r="N813" s="1">
        <f t="shared" si="1151"/>
        <v>2</v>
      </c>
      <c r="O813" s="1">
        <f t="shared" si="1143"/>
        <v>6</v>
      </c>
      <c r="P813" s="1">
        <f>MIN(方案参数!$AI$25,AZ812+0+0)</f>
        <v>5</v>
      </c>
      <c r="Q813" s="1">
        <f t="shared" si="1121"/>
        <v>5</v>
      </c>
      <c r="R813" s="1">
        <f t="shared" si="1122"/>
        <v>5</v>
      </c>
      <c r="S813" s="1">
        <f t="shared" si="1123"/>
        <v>2</v>
      </c>
      <c r="T813" s="1">
        <f>BD812+方案参数!$BX$25</f>
        <v>2</v>
      </c>
      <c r="U813" s="1">
        <f t="shared" si="1125"/>
        <v>0</v>
      </c>
      <c r="V813" s="1">
        <f t="shared" si="1126"/>
        <v>2</v>
      </c>
      <c r="W813" s="1">
        <f t="shared" si="1127"/>
        <v>1</v>
      </c>
      <c r="X813" s="1">
        <f t="shared" si="1128"/>
        <v>1</v>
      </c>
      <c r="Y813" s="1">
        <f t="shared" si="1129"/>
        <v>1</v>
      </c>
      <c r="Z813" s="1">
        <f t="shared" si="1130"/>
        <v>1</v>
      </c>
      <c r="AA813" s="1">
        <f t="shared" ref="AA813:AA833" si="1154">MAX(BK812,0)</f>
        <v>1</v>
      </c>
      <c r="AB813" s="1">
        <f t="shared" si="1132"/>
        <v>0</v>
      </c>
      <c r="AC813" s="1">
        <f>MAX(BM812,1)</f>
        <v>1</v>
      </c>
      <c r="AD813" s="1">
        <f>ROUNDDOWN(I813*(1+IF(F813=3,0.05+方案参数!$Y$25+AA813*0.12,IF(F813=4,方案参数!$BZ$25*方案参数!$AS$25,0)))+IF(AND(X813=1,F813&lt;&gt;3),方案参数!$CC$25,0)+AC813*方案参数!$CB$25,0)</f>
        <v>3044</v>
      </c>
      <c r="AE813" s="1">
        <f>IF(OR(F813=1,F813=4),配置与结果!$B$24,配置与结果!$B$25)*MAX(0,1-INDEX(配置与结果!$I$15:$I$18,F813))</f>
        <v>1000</v>
      </c>
      <c r="AF813" s="1">
        <f>0</f>
        <v>0</v>
      </c>
      <c r="AG813" s="1">
        <f>MAX(配置与结果!$B$32,1+INDEX(配置与结果!$F$15:$F$18,F813)+0+Q813*方案参数!$W$25+Y813*(方案参数!$AN$25+MIN(方案参数!$AO$25,P813*0.03))+AB813*方案参数!$BZ$25*0.025-配置与结果!$B$28)</f>
        <v>1.0049999999999999</v>
      </c>
      <c r="AH813" s="1">
        <f>MAX(0,1+INDEX(配置与结果!$G$15:$G$18,F813)+W813*方案参数!$AG$25)</f>
        <v>1.3</v>
      </c>
      <c r="AI813" s="1">
        <f>IF(OR(INDEX(配置与结果!$K$15:$K$18,F813)=1,G813="RHI_BERRY"),1+配置与结果!$B$33+P813*方案参数!$AH$25,1)</f>
        <v>1</v>
      </c>
      <c r="AJ813" s="1">
        <f>MIN(1,MAX(0,J813+方案参数!$AB$25-配置与结果!$B$27))</f>
        <v>0.76</v>
      </c>
      <c r="AK813" s="1">
        <f>MAX(1,K813+IF(F813=2,0.15+方案参数!$CH$25,0)+BN813*方案参数!$X$25+R813*方案参数!$AA$25+0-配置与结果!$B$26+Z813*(方案参数!$AP$25+MIN(方案参数!$AQ$25,P813*0.03)))</f>
        <v>2.278</v>
      </c>
      <c r="AL813" s="7">
        <f>ROUNDDOWN(MAX(AD813*配置与结果!$B$31,AD813-AE813)*AF813*AG813*AH813*AI813,0)</f>
        <v>0</v>
      </c>
      <c r="AM813" s="7">
        <f>ROUNDDOWN(MAX(AD813*配置与结果!$B$31,AD813-AE813)*AF813*AG813*AH813*AI813*AK813,0)</f>
        <v>0</v>
      </c>
      <c r="AN813" s="7">
        <f t="shared" si="1095"/>
        <v>0</v>
      </c>
      <c r="AO813" s="7">
        <f>0</f>
        <v>0</v>
      </c>
      <c r="AP813" s="7">
        <f>MAX(0,1+INDEX(配置与结果!$J$15:$J$18,F813)+IF(T813&gt;0,方案参数!$BY$25,0)-配置与结果!$B$30)</f>
        <v>2</v>
      </c>
      <c r="AQ813" s="7">
        <f t="shared" si="1096"/>
        <v>0</v>
      </c>
      <c r="AR813" s="7">
        <f t="shared" si="1097"/>
        <v>0</v>
      </c>
      <c r="AS813" s="7">
        <f t="shared" si="1098"/>
        <v>0</v>
      </c>
      <c r="AT813" s="7">
        <f>0</f>
        <v>0</v>
      </c>
      <c r="AU813" s="7">
        <f t="shared" si="1099"/>
        <v>0</v>
      </c>
      <c r="AV813" s="1">
        <f t="shared" si="1100"/>
        <v>2</v>
      </c>
      <c r="AW813" s="1">
        <f t="shared" si="1147"/>
        <v>10</v>
      </c>
      <c r="AX813" s="1">
        <f t="shared" si="1101"/>
        <v>2</v>
      </c>
      <c r="AY813" s="1">
        <f t="shared" si="1141"/>
        <v>6</v>
      </c>
      <c r="AZ813" s="1">
        <f t="shared" si="1102"/>
        <v>5</v>
      </c>
      <c r="BA813" s="1">
        <f t="shared" ref="BA813:BA833" si="1155">MIN(6,Q813+0)</f>
        <v>5</v>
      </c>
      <c r="BB813" s="1">
        <f>MIN(30,R813+5)</f>
        <v>10</v>
      </c>
      <c r="BC813" s="1">
        <f t="shared" si="1148"/>
        <v>2</v>
      </c>
      <c r="BD813" s="1">
        <f t="shared" si="1142"/>
        <v>2</v>
      </c>
      <c r="BE813" s="1">
        <f t="shared" si="1135"/>
        <v>0</v>
      </c>
      <c r="BF813" s="1">
        <f>MIN(4,V813+0)</f>
        <v>2</v>
      </c>
      <c r="BG813" s="1">
        <f t="shared" si="1152"/>
        <v>1</v>
      </c>
      <c r="BH813" s="1">
        <f t="shared" si="1136"/>
        <v>1</v>
      </c>
      <c r="BI813" s="1">
        <f t="shared" si="1153"/>
        <v>1</v>
      </c>
      <c r="BJ813" s="1">
        <f t="shared" ref="BJ813:BJ840" si="1156">MAX(Z813,0)</f>
        <v>1</v>
      </c>
      <c r="BK813" s="1">
        <f t="shared" ref="BK813:BK840" si="1157">MAX(AA813,0)</f>
        <v>1</v>
      </c>
      <c r="BL813" s="1">
        <f t="shared" si="1116"/>
        <v>0</v>
      </c>
      <c r="BM813" s="1">
        <f>MAX(AC813,1)</f>
        <v>1</v>
      </c>
      <c r="BN813" s="1">
        <f t="shared" si="1137"/>
        <v>1</v>
      </c>
      <c r="BO813" s="1">
        <f t="shared" si="1138"/>
        <v>1</v>
      </c>
    </row>
    <row r="814" spans="1:67" ht="30.95" customHeight="1">
      <c r="A814" s="1">
        <f>22</f>
        <v>22</v>
      </c>
      <c r="B814" s="1">
        <f>固定流程!A22</f>
        <v>17</v>
      </c>
      <c r="C814" s="1">
        <f>25</f>
        <v>25</v>
      </c>
      <c r="D814" s="1">
        <f>1</f>
        <v>1</v>
      </c>
      <c r="E814" s="1">
        <f>固定流程!C22</f>
        <v>3</v>
      </c>
      <c r="F814" s="1">
        <f>固定流程!G22</f>
        <v>2</v>
      </c>
      <c r="G814" s="1" t="str">
        <f>固定流程!H22</f>
        <v>37_FOLLOW</v>
      </c>
      <c r="H814" s="1">
        <f>固定流程!F22</f>
        <v>1</v>
      </c>
      <c r="I814" s="1">
        <f>INDEX(配置与结果!$B$15:$B$18,F814)</f>
        <v>2306</v>
      </c>
      <c r="J814" s="1">
        <f>INDEX(配置与结果!$D$15:$D$18,F814)</f>
        <v>0.46</v>
      </c>
      <c r="K814" s="1">
        <f>INDEX(配置与结果!$E$15:$E$18,F814)</f>
        <v>1.9279999999999999</v>
      </c>
      <c r="L814" s="1">
        <f t="shared" si="1149"/>
        <v>2</v>
      </c>
      <c r="M814" s="1">
        <f t="shared" si="1150"/>
        <v>10</v>
      </c>
      <c r="N814" s="1">
        <f t="shared" si="1151"/>
        <v>2</v>
      </c>
      <c r="O814" s="1">
        <f t="shared" si="1143"/>
        <v>6</v>
      </c>
      <c r="P814" s="1">
        <f>MIN(方案参数!$AI$25,AZ813+0+0)</f>
        <v>5</v>
      </c>
      <c r="Q814" s="1">
        <f t="shared" si="1121"/>
        <v>5</v>
      </c>
      <c r="R814" s="1">
        <f t="shared" si="1122"/>
        <v>10</v>
      </c>
      <c r="S814" s="1">
        <f t="shared" si="1123"/>
        <v>2</v>
      </c>
      <c r="T814" s="1">
        <f t="shared" ref="T814:T833" si="1158">BD813+0</f>
        <v>2</v>
      </c>
      <c r="U814" s="1">
        <f t="shared" si="1125"/>
        <v>0</v>
      </c>
      <c r="V814" s="1">
        <f t="shared" si="1126"/>
        <v>2</v>
      </c>
      <c r="W814" s="1">
        <f t="shared" si="1127"/>
        <v>1</v>
      </c>
      <c r="X814" s="1">
        <f t="shared" si="1128"/>
        <v>1</v>
      </c>
      <c r="Y814" s="1">
        <f t="shared" si="1129"/>
        <v>1</v>
      </c>
      <c r="Z814" s="1">
        <f t="shared" si="1130"/>
        <v>1</v>
      </c>
      <c r="AA814" s="1">
        <f t="shared" si="1154"/>
        <v>1</v>
      </c>
      <c r="AB814" s="1">
        <f t="shared" si="1132"/>
        <v>0</v>
      </c>
      <c r="AC814" s="1">
        <f t="shared" ref="AC814:AC833" si="1159">MAX(BM813,0)</f>
        <v>1</v>
      </c>
      <c r="AD814" s="1">
        <f>ROUNDDOWN(I814*(1+IF(F814=3,0.05+方案参数!$Y$25+AA814*0.12,IF(F814=4,方案参数!$BZ$25*方案参数!$AS$25,0)))+IF(AND(X814=1,F814&lt;&gt;3),方案参数!$CC$25,0)+AC814*方案参数!$CB$25,0)</f>
        <v>3044</v>
      </c>
      <c r="AE814" s="1">
        <f>IF(OR(F814=1,F814=4),配置与结果!$B$24,配置与结果!$B$25)*MAX(0,1-INDEX(配置与结果!$I$15:$I$18,F814))</f>
        <v>1000</v>
      </c>
      <c r="AF814" s="1">
        <f>方案参数!$BV$25</f>
        <v>3</v>
      </c>
      <c r="AG814" s="1">
        <f>MAX(配置与结果!$B$32,1+INDEX(配置与结果!$F$15:$F$18,F814)+0+Q814*方案参数!$W$25+Y814*(方案参数!$AN$25+MIN(方案参数!$AO$25,P814*0.03))+AB814*方案参数!$BZ$25*0.025-配置与结果!$B$28)</f>
        <v>1.0049999999999999</v>
      </c>
      <c r="AH814" s="1">
        <f>MAX(0,1+INDEX(配置与结果!$G$15:$G$18,F814)+W814*方案参数!$AG$25)</f>
        <v>1.3</v>
      </c>
      <c r="AI814" s="1">
        <f>IF(OR(INDEX(配置与结果!$K$15:$K$18,F814)=1,G814="RHI_BERRY"),1+配置与结果!$B$33+P814*方案参数!$AH$25,1)</f>
        <v>1</v>
      </c>
      <c r="AJ814" s="1">
        <f>MIN(1,MAX(0,J814+方案参数!$AB$25-配置与结果!$B$27))</f>
        <v>0.76</v>
      </c>
      <c r="AK814" s="1">
        <f>MAX(1,K814+IF(F814=2,0.15+方案参数!$CH$25,0)+BN814*方案参数!$X$25+R814*方案参数!$AA$25+0-配置与结果!$B$26+Z814*(方案参数!$AP$25+MIN(方案参数!$AQ$25,P814*0.03)))</f>
        <v>2.298</v>
      </c>
      <c r="AL814" s="7">
        <f>ROUNDDOWN(MAX(AD814*配置与结果!$B$31,AD814-AE814)*AF814*AG814*AH814*AI814,0)</f>
        <v>8011</v>
      </c>
      <c r="AM814" s="7">
        <f>ROUNDDOWN(MAX(AD814*配置与结果!$B$31,AD814-AE814)*AF814*AG814*AH814*AI814*AK814,0)</f>
        <v>18410</v>
      </c>
      <c r="AN814" s="7">
        <f t="shared" si="1095"/>
        <v>15914.24</v>
      </c>
      <c r="AO814" s="7">
        <f>方案参数!$BW$25</f>
        <v>1</v>
      </c>
      <c r="AP814" s="7">
        <f>MAX(0,1+INDEX(配置与结果!$J$15:$J$18,F814)+IF(T814&gt;0,方案参数!$BY$25,0)-配置与结果!$B$30)</f>
        <v>2</v>
      </c>
      <c r="AQ814" s="7">
        <f t="shared" si="1096"/>
        <v>6088</v>
      </c>
      <c r="AR814" s="7">
        <f t="shared" si="1097"/>
        <v>13990</v>
      </c>
      <c r="AS814" s="7">
        <f t="shared" si="1098"/>
        <v>12093.52</v>
      </c>
      <c r="AT814" s="7">
        <f>0</f>
        <v>0</v>
      </c>
      <c r="AU814" s="7">
        <f t="shared" si="1099"/>
        <v>28007.760000000002</v>
      </c>
      <c r="AV814" s="1">
        <f t="shared" si="1100"/>
        <v>2</v>
      </c>
      <c r="AW814" s="1">
        <f t="shared" si="1147"/>
        <v>10</v>
      </c>
      <c r="AX814" s="1">
        <f t="shared" si="1101"/>
        <v>2</v>
      </c>
      <c r="AY814" s="1">
        <f t="shared" si="1141"/>
        <v>6</v>
      </c>
      <c r="AZ814" s="1">
        <f t="shared" si="1102"/>
        <v>5</v>
      </c>
      <c r="BA814" s="1">
        <f t="shared" si="1155"/>
        <v>5</v>
      </c>
      <c r="BB814" s="1">
        <f>MIN(30,R814+0)</f>
        <v>10</v>
      </c>
      <c r="BC814" s="1">
        <f t="shared" si="1148"/>
        <v>2</v>
      </c>
      <c r="BD814" s="1">
        <f t="shared" si="1142"/>
        <v>1</v>
      </c>
      <c r="BE814" s="1">
        <f t="shared" si="1135"/>
        <v>0</v>
      </c>
      <c r="BF814" s="1">
        <f>MIN(4,V814+1)</f>
        <v>3</v>
      </c>
      <c r="BG814" s="1">
        <f t="shared" si="1152"/>
        <v>1</v>
      </c>
      <c r="BH814" s="1">
        <f t="shared" si="1136"/>
        <v>1</v>
      </c>
      <c r="BI814" s="1">
        <f t="shared" si="1153"/>
        <v>1</v>
      </c>
      <c r="BJ814" s="1">
        <f t="shared" si="1156"/>
        <v>1</v>
      </c>
      <c r="BK814" s="1">
        <f t="shared" si="1157"/>
        <v>1</v>
      </c>
      <c r="BL814" s="1">
        <f t="shared" si="1116"/>
        <v>0</v>
      </c>
      <c r="BM814" s="1">
        <f t="shared" ref="BM814:BM848" si="1160">MAX(AC814,0)</f>
        <v>1</v>
      </c>
      <c r="BN814" s="1">
        <f t="shared" si="1137"/>
        <v>1</v>
      </c>
      <c r="BO814" s="1">
        <f t="shared" si="1138"/>
        <v>1</v>
      </c>
    </row>
    <row r="815" spans="1:67" ht="30.95" customHeight="1">
      <c r="A815" s="1">
        <f>22</f>
        <v>22</v>
      </c>
      <c r="B815" s="1">
        <f>固定流程!A23</f>
        <v>18</v>
      </c>
      <c r="C815" s="1">
        <f>25</f>
        <v>25</v>
      </c>
      <c r="D815" s="1">
        <f>1</f>
        <v>1</v>
      </c>
      <c r="E815" s="1">
        <f>固定流程!C23</f>
        <v>3</v>
      </c>
      <c r="F815" s="1">
        <f>固定流程!G23</f>
        <v>4</v>
      </c>
      <c r="G815" s="1" t="str">
        <f>固定流程!H23</f>
        <v>J_HARD</v>
      </c>
      <c r="H815" s="1">
        <f>固定流程!F23</f>
        <v>1</v>
      </c>
      <c r="I815" s="1">
        <f>INDEX(配置与结果!$B$15:$B$18,F815)</f>
        <v>1906</v>
      </c>
      <c r="J815" s="1">
        <f>INDEX(配置与结果!$D$15:$D$18,F815)</f>
        <v>0.36699999999999999</v>
      </c>
      <c r="K815" s="1">
        <f>INDEX(配置与结果!$E$15:$E$18,F815)</f>
        <v>1.7170000000000001</v>
      </c>
      <c r="L815" s="1">
        <f t="shared" si="1149"/>
        <v>2</v>
      </c>
      <c r="M815" s="1">
        <f t="shared" si="1150"/>
        <v>10</v>
      </c>
      <c r="N815" s="1">
        <f t="shared" si="1151"/>
        <v>2</v>
      </c>
      <c r="O815" s="1">
        <f t="shared" si="1143"/>
        <v>6</v>
      </c>
      <c r="P815" s="1">
        <f>MIN(方案参数!$AI$25,AZ814+0+0)</f>
        <v>5</v>
      </c>
      <c r="Q815" s="1">
        <f t="shared" si="1121"/>
        <v>5</v>
      </c>
      <c r="R815" s="1">
        <f t="shared" si="1122"/>
        <v>10</v>
      </c>
      <c r="S815" s="1">
        <f t="shared" si="1123"/>
        <v>2</v>
      </c>
      <c r="T815" s="1">
        <f t="shared" si="1158"/>
        <v>1</v>
      </c>
      <c r="U815" s="1">
        <f t="shared" si="1125"/>
        <v>0</v>
      </c>
      <c r="V815" s="1">
        <f t="shared" si="1126"/>
        <v>3</v>
      </c>
      <c r="W815" s="1">
        <f t="shared" si="1127"/>
        <v>1</v>
      </c>
      <c r="X815" s="1">
        <f t="shared" si="1128"/>
        <v>1</v>
      </c>
      <c r="Y815" s="1">
        <f t="shared" si="1129"/>
        <v>1</v>
      </c>
      <c r="Z815" s="1">
        <f t="shared" si="1130"/>
        <v>1</v>
      </c>
      <c r="AA815" s="1">
        <f t="shared" si="1154"/>
        <v>1</v>
      </c>
      <c r="AB815" s="1">
        <f t="shared" si="1132"/>
        <v>0</v>
      </c>
      <c r="AC815" s="1">
        <f t="shared" si="1159"/>
        <v>1</v>
      </c>
      <c r="AD815" s="1">
        <f>ROUNDDOWN(I815*(1+IF(F815=3,0.05+方案参数!$Y$25+AA815*0.12,IF(F815=4,方案参数!$BZ$25*方案参数!$AS$25,0)))+IF(AND(X815=1,F815&lt;&gt;3),方案参数!$CC$25,0)+AC815*方案参数!$CB$25,0)</f>
        <v>3978</v>
      </c>
      <c r="AE815" s="1">
        <f>IF(OR(F815=1,F815=4),配置与结果!$B$24,配置与结果!$B$25)*MAX(0,1-INDEX(配置与结果!$I$15:$I$18,F815))</f>
        <v>1200</v>
      </c>
      <c r="AF815" s="1">
        <f>3.6*IF(H815=1,1,IF(H815=2,1.5,2.5))</f>
        <v>3.6</v>
      </c>
      <c r="AG815" s="1">
        <f>MAX(配置与结果!$B$32,1+INDEX(配置与结果!$F$15:$F$18,F815)+0.08+Q815*方案参数!$W$25+Y815*(方案参数!$AN$25+MIN(方案参数!$AO$25,P815*0.03))+AB815*方案参数!$BZ$25*0.025+0.1+IF(方案参数!$BZ$25&gt;=30,方案参数!$BZ$25*0.01,0)-配置与结果!$B$28)</f>
        <v>1.5550000000000002</v>
      </c>
      <c r="AH815" s="1">
        <f>MAX(0,1+INDEX(配置与结果!$G$15:$G$18,F815)+W815*方案参数!$AG$25)</f>
        <v>1.3</v>
      </c>
      <c r="AI815" s="1">
        <f>IF(OR(INDEX(配置与结果!$K$15:$K$18,F815)=1,G815="RHI_BERRY"),1+配置与结果!$B$33+P815*方案参数!$AH$25,1)</f>
        <v>1</v>
      </c>
      <c r="AJ815" s="1">
        <f>MIN(1,MAX(0,J815+方案参数!$AB$25-配置与结果!$B$27))</f>
        <v>0.66700000000000004</v>
      </c>
      <c r="AK815" s="1">
        <f>MAX(1,K815+IF(F815=2,0.15+方案参数!$CH$25,0)+BN815*方案参数!$X$25+R815*方案参数!$AA$25+0-配置与结果!$B$26+Z815*(方案参数!$AP$25+MIN(方案参数!$AQ$25,P815*0.03)))</f>
        <v>1.8169999999999999</v>
      </c>
      <c r="AL815" s="7">
        <f>ROUNDDOWN(MAX(AD815*配置与结果!$B$31,AD815-AE815)*AF815*AG815*AH815*AI815,0)</f>
        <v>20216</v>
      </c>
      <c r="AM815" s="7">
        <f>ROUNDDOWN(MAX(AD815*配置与结果!$B$31,AD815-AE815)*AF815*AG815*AH815*AI815*AK815,0)</f>
        <v>36733</v>
      </c>
      <c r="AN815" s="7">
        <f t="shared" si="1095"/>
        <v>31232.839</v>
      </c>
      <c r="AO815" s="7">
        <f>0</f>
        <v>0</v>
      </c>
      <c r="AP815" s="7">
        <f>MAX(0,1+INDEX(配置与结果!$J$15:$J$18,F815)+IF(T815&gt;0,方案参数!$BY$25,0)-配置与结果!$B$30)</f>
        <v>2</v>
      </c>
      <c r="AQ815" s="7">
        <f t="shared" si="1096"/>
        <v>0</v>
      </c>
      <c r="AR815" s="7">
        <f t="shared" si="1097"/>
        <v>0</v>
      </c>
      <c r="AS815" s="7">
        <f t="shared" si="1098"/>
        <v>0</v>
      </c>
      <c r="AT815" s="7">
        <f>0</f>
        <v>0</v>
      </c>
      <c r="AU815" s="7">
        <f t="shared" si="1099"/>
        <v>31232.839</v>
      </c>
      <c r="AV815" s="1">
        <f t="shared" si="1100"/>
        <v>2</v>
      </c>
      <c r="AW815" s="1">
        <f t="shared" si="1147"/>
        <v>10</v>
      </c>
      <c r="AX815" s="1">
        <f t="shared" si="1101"/>
        <v>2</v>
      </c>
      <c r="AY815" s="1">
        <f t="shared" si="1141"/>
        <v>6</v>
      </c>
      <c r="AZ815" s="1">
        <f t="shared" si="1102"/>
        <v>5</v>
      </c>
      <c r="BA815" s="1">
        <f t="shared" si="1155"/>
        <v>5</v>
      </c>
      <c r="BB815" s="1">
        <f>MIN(30,R815+0)</f>
        <v>10</v>
      </c>
      <c r="BC815" s="1">
        <f>MIN(3,S815+1)</f>
        <v>3</v>
      </c>
      <c r="BD815" s="1">
        <f t="shared" si="1142"/>
        <v>1</v>
      </c>
      <c r="BE815" s="1">
        <f t="shared" si="1135"/>
        <v>0</v>
      </c>
      <c r="BF815" s="1">
        <f>MIN(4,V815+0)</f>
        <v>3</v>
      </c>
      <c r="BG815" s="1">
        <f t="shared" si="1152"/>
        <v>1</v>
      </c>
      <c r="BH815" s="1">
        <f t="shared" si="1136"/>
        <v>1</v>
      </c>
      <c r="BI815" s="1">
        <f t="shared" si="1153"/>
        <v>1</v>
      </c>
      <c r="BJ815" s="1">
        <f t="shared" si="1156"/>
        <v>1</v>
      </c>
      <c r="BK815" s="1">
        <f t="shared" si="1157"/>
        <v>1</v>
      </c>
      <c r="BL815" s="1">
        <f t="shared" si="1116"/>
        <v>0</v>
      </c>
      <c r="BM815" s="1">
        <f t="shared" si="1160"/>
        <v>1</v>
      </c>
      <c r="BN815" s="1">
        <f t="shared" si="1137"/>
        <v>1</v>
      </c>
      <c r="BO815" s="1">
        <f t="shared" si="1138"/>
        <v>1</v>
      </c>
    </row>
    <row r="816" spans="1:67" ht="30.95" customHeight="1">
      <c r="A816" s="1">
        <f>22</f>
        <v>22</v>
      </c>
      <c r="B816" s="1">
        <f>固定流程!A24</f>
        <v>19</v>
      </c>
      <c r="C816" s="1">
        <f>25</f>
        <v>25</v>
      </c>
      <c r="D816" s="1">
        <f>1</f>
        <v>1</v>
      </c>
      <c r="E816" s="1">
        <f>固定流程!C24</f>
        <v>3</v>
      </c>
      <c r="F816" s="1">
        <f>固定流程!G24</f>
        <v>4</v>
      </c>
      <c r="G816" s="1" t="str">
        <f>固定流程!H24</f>
        <v>J_ULT</v>
      </c>
      <c r="H816" s="1">
        <f>固定流程!F24</f>
        <v>1</v>
      </c>
      <c r="I816" s="1">
        <f>INDEX(配置与结果!$B$15:$B$18,F816)</f>
        <v>1906</v>
      </c>
      <c r="J816" s="1">
        <f>INDEX(配置与结果!$D$15:$D$18,F816)</f>
        <v>0.36699999999999999</v>
      </c>
      <c r="K816" s="1">
        <f>INDEX(配置与结果!$E$15:$E$18,F816)</f>
        <v>1.7170000000000001</v>
      </c>
      <c r="L816" s="1">
        <f t="shared" si="1149"/>
        <v>2</v>
      </c>
      <c r="M816" s="1">
        <f t="shared" si="1150"/>
        <v>10</v>
      </c>
      <c r="N816" s="1">
        <f t="shared" si="1151"/>
        <v>2</v>
      </c>
      <c r="O816" s="1">
        <f t="shared" si="1143"/>
        <v>6</v>
      </c>
      <c r="P816" s="1">
        <f>MIN(方案参数!$AI$25,AZ815+0+0)</f>
        <v>5</v>
      </c>
      <c r="Q816" s="1">
        <f t="shared" si="1121"/>
        <v>5</v>
      </c>
      <c r="R816" s="1">
        <f t="shared" si="1122"/>
        <v>10</v>
      </c>
      <c r="S816" s="1">
        <f t="shared" si="1123"/>
        <v>3</v>
      </c>
      <c r="T816" s="1">
        <f t="shared" si="1158"/>
        <v>1</v>
      </c>
      <c r="U816" s="1">
        <f t="shared" si="1125"/>
        <v>0</v>
      </c>
      <c r="V816" s="1">
        <f t="shared" si="1126"/>
        <v>3</v>
      </c>
      <c r="W816" s="1">
        <f t="shared" si="1127"/>
        <v>1</v>
      </c>
      <c r="X816" s="1">
        <f t="shared" si="1128"/>
        <v>1</v>
      </c>
      <c r="Y816" s="1">
        <f t="shared" si="1129"/>
        <v>1</v>
      </c>
      <c r="Z816" s="1">
        <f t="shared" si="1130"/>
        <v>1</v>
      </c>
      <c r="AA816" s="1">
        <f t="shared" si="1154"/>
        <v>1</v>
      </c>
      <c r="AB816" s="1">
        <f t="shared" si="1132"/>
        <v>0</v>
      </c>
      <c r="AC816" s="1">
        <f t="shared" si="1159"/>
        <v>1</v>
      </c>
      <c r="AD816" s="1">
        <f>ROUNDDOWN(I816*(1+IF(F816=3,0.05+方案参数!$Y$25+AA816*0.12,IF(F816=4,方案参数!$BZ$25*方案参数!$AS$25,0)))+IF(AND(X816=1,F816&lt;&gt;3),方案参数!$CC$25,0)+AC816*方案参数!$CB$25,0)</f>
        <v>3978</v>
      </c>
      <c r="AE816" s="1">
        <f>IF(OR(F816=1,F816=4),配置与结果!$B$24,配置与结果!$B$25)*MAX(0,1-INDEX(配置与结果!$I$15:$I$18,F816))</f>
        <v>1200</v>
      </c>
      <c r="AF816" s="1">
        <f>方案参数!$AT$25+MAX(0,配置与结果!$H$26+方案参数!$BZ$25-30)*方案参数!$AU$25*配置与结果!$H$27</f>
        <v>42</v>
      </c>
      <c r="AG816" s="1">
        <f>MAX(配置与结果!$B$32,1+INDEX(配置与结果!$F$15:$F$18,F816)+0.08+Q816*方案参数!$W$25+Y816*(方案参数!$AN$25+MIN(方案参数!$AO$25,P816*0.03))+AB816*方案参数!$BZ$25*0.025-配置与结果!$B$28)</f>
        <v>1.105</v>
      </c>
      <c r="AH816" s="1">
        <f>MAX(0,1+INDEX(配置与结果!$H$15:$H$18,F816)+W816*方案参数!$AG$25+S816*方案参数!$Z$25)</f>
        <v>1.42</v>
      </c>
      <c r="AI816" s="1">
        <f>IF(OR(INDEX(配置与结果!$K$15:$K$18,F816)=1,G816="RHI_BERRY"),1+配置与结果!$B$33+P816*方案参数!$AH$25,1)</f>
        <v>1</v>
      </c>
      <c r="AJ816" s="1">
        <f>MIN(1,MAX(0,J816+方案参数!$AB$25-配置与结果!$B$27))</f>
        <v>0.66700000000000004</v>
      </c>
      <c r="AK816" s="1">
        <f>MAX(1,K816+IF(F816=2,0.15+方案参数!$CH$25,0)+BN816*方案参数!$X$25+R816*方案参数!$AA$25+0-配置与结果!$B$26+Z816*(方案参数!$AP$25+MIN(方案参数!$AQ$25,P816*0.03)))</f>
        <v>1.8169999999999999</v>
      </c>
      <c r="AL816" s="7">
        <f>ROUNDDOWN(MAX(AD816*配置与结果!$B$31,AD816-AE816)*AF816*AG816*AH816*AI816,0)</f>
        <v>183076</v>
      </c>
      <c r="AM816" s="7">
        <f>ROUNDDOWN(MAX(AD816*配置与结果!$B$31,AD816-AE816)*AF816*AG816*AH816*AI816*AK816,0)</f>
        <v>332649</v>
      </c>
      <c r="AN816" s="7">
        <f t="shared" si="1095"/>
        <v>282841.19099999999</v>
      </c>
      <c r="AO816" s="7">
        <f>0</f>
        <v>0</v>
      </c>
      <c r="AP816" s="7">
        <f>MAX(0,1+INDEX(配置与结果!$J$15:$J$18,F816)+IF(T816&gt;0,方案参数!$BY$25,0)-配置与结果!$B$30)</f>
        <v>2</v>
      </c>
      <c r="AQ816" s="7">
        <f t="shared" si="1096"/>
        <v>0</v>
      </c>
      <c r="AR816" s="7">
        <f t="shared" si="1097"/>
        <v>0</v>
      </c>
      <c r="AS816" s="7">
        <f t="shared" si="1098"/>
        <v>0</v>
      </c>
      <c r="AT816" s="7">
        <f>0</f>
        <v>0</v>
      </c>
      <c r="AU816" s="7">
        <f t="shared" si="1099"/>
        <v>282841.19099999999</v>
      </c>
      <c r="AV816" s="1">
        <f t="shared" si="1100"/>
        <v>2</v>
      </c>
      <c r="AW816" s="1">
        <f t="shared" si="1147"/>
        <v>10</v>
      </c>
      <c r="AX816" s="1">
        <f t="shared" si="1101"/>
        <v>2</v>
      </c>
      <c r="AY816" s="1">
        <f t="shared" si="1141"/>
        <v>6</v>
      </c>
      <c r="AZ816" s="1">
        <f t="shared" si="1102"/>
        <v>5</v>
      </c>
      <c r="BA816" s="1">
        <f t="shared" si="1155"/>
        <v>5</v>
      </c>
      <c r="BB816" s="1">
        <f>MIN(30,R816+5)</f>
        <v>15</v>
      </c>
      <c r="BC816" s="1">
        <f t="shared" ref="BC816:BC839" si="1161">MIN(3,S816+0)</f>
        <v>3</v>
      </c>
      <c r="BD816" s="1">
        <f t="shared" si="1142"/>
        <v>1</v>
      </c>
      <c r="BE816" s="1">
        <f t="shared" si="1135"/>
        <v>0</v>
      </c>
      <c r="BF816" s="1">
        <f>MIN(4,V816+0)</f>
        <v>3</v>
      </c>
      <c r="BG816" s="1">
        <f t="shared" si="1152"/>
        <v>1</v>
      </c>
      <c r="BH816" s="1">
        <f t="shared" si="1136"/>
        <v>1</v>
      </c>
      <c r="BI816" s="1">
        <f t="shared" si="1153"/>
        <v>1</v>
      </c>
      <c r="BJ816" s="1">
        <f t="shared" si="1156"/>
        <v>1</v>
      </c>
      <c r="BK816" s="1">
        <f t="shared" si="1157"/>
        <v>1</v>
      </c>
      <c r="BL816" s="1">
        <f>MAX(AB816,1)</f>
        <v>1</v>
      </c>
      <c r="BM816" s="1">
        <f t="shared" si="1160"/>
        <v>1</v>
      </c>
      <c r="BN816" s="1">
        <f t="shared" si="1137"/>
        <v>1</v>
      </c>
      <c r="BO816" s="1">
        <f t="shared" si="1138"/>
        <v>1</v>
      </c>
    </row>
    <row r="817" spans="1:67" ht="30.95" customHeight="1">
      <c r="A817" s="1">
        <f>22</f>
        <v>22</v>
      </c>
      <c r="B817" s="1">
        <f>固定流程!A25</f>
        <v>20</v>
      </c>
      <c r="C817" s="1">
        <f>25</f>
        <v>25</v>
      </c>
      <c r="D817" s="1">
        <f>1</f>
        <v>1</v>
      </c>
      <c r="E817" s="1">
        <f>固定流程!C25</f>
        <v>3</v>
      </c>
      <c r="F817" s="1">
        <f>固定流程!G25</f>
        <v>1</v>
      </c>
      <c r="G817" s="1" t="str">
        <f>固定流程!H25</f>
        <v>LILYA_ULT</v>
      </c>
      <c r="H817" s="1">
        <f>固定流程!F25</f>
        <v>1</v>
      </c>
      <c r="I817" s="1">
        <f>INDEX(配置与结果!$B$15:$B$18,F817)</f>
        <v>2296</v>
      </c>
      <c r="J817" s="1">
        <f>INDEX(配置与结果!$D$15:$D$18,F817)</f>
        <v>0.7</v>
      </c>
      <c r="K817" s="1">
        <f>INDEX(配置与结果!$E$15:$E$18,F817)</f>
        <v>2.0249999999999999</v>
      </c>
      <c r="L817" s="1">
        <f t="shared" si="1149"/>
        <v>2</v>
      </c>
      <c r="M817" s="1">
        <f t="shared" si="1150"/>
        <v>10</v>
      </c>
      <c r="N817" s="1">
        <f t="shared" si="1151"/>
        <v>2</v>
      </c>
      <c r="O817" s="1">
        <f t="shared" si="1143"/>
        <v>6</v>
      </c>
      <c r="P817" s="1">
        <f>MIN(方案参数!$AI$25,AZ816+0+0)</f>
        <v>5</v>
      </c>
      <c r="Q817" s="1">
        <f t="shared" si="1121"/>
        <v>5</v>
      </c>
      <c r="R817" s="1">
        <f t="shared" si="1122"/>
        <v>15</v>
      </c>
      <c r="S817" s="1">
        <f t="shared" si="1123"/>
        <v>3</v>
      </c>
      <c r="T817" s="1">
        <f t="shared" si="1158"/>
        <v>1</v>
      </c>
      <c r="U817" s="1">
        <f t="shared" si="1125"/>
        <v>0</v>
      </c>
      <c r="V817" s="1">
        <f t="shared" si="1126"/>
        <v>3</v>
      </c>
      <c r="W817" s="1">
        <f t="shared" si="1127"/>
        <v>1</v>
      </c>
      <c r="X817" s="1">
        <f t="shared" si="1128"/>
        <v>1</v>
      </c>
      <c r="Y817" s="1">
        <f t="shared" si="1129"/>
        <v>1</v>
      </c>
      <c r="Z817" s="1">
        <f t="shared" si="1130"/>
        <v>1</v>
      </c>
      <c r="AA817" s="1">
        <f t="shared" si="1154"/>
        <v>1</v>
      </c>
      <c r="AB817" s="1">
        <f t="shared" si="1132"/>
        <v>1</v>
      </c>
      <c r="AC817" s="1">
        <f t="shared" si="1159"/>
        <v>1</v>
      </c>
      <c r="AD817" s="1">
        <f>ROUNDDOWN(I817*(1+IF(F817=3,0.05+方案参数!$Y$25+AA817*0.12,IF(F817=4,方案参数!$BZ$25*方案参数!$AS$25,0)))+IF(AND(X817=1,F817&lt;&gt;3),方案参数!$CC$25,0)+AC817*方案参数!$CB$25,0)</f>
        <v>3034</v>
      </c>
      <c r="AE817" s="1">
        <f>IF(OR(F817=1,F817=4),配置与结果!$B$24,配置与结果!$B$25)*MAX(0,1-INDEX(配置与结果!$I$15:$I$18,F817)+IF(O817&gt;=6,方案参数!$BK$25,0))</f>
        <v>1440</v>
      </c>
      <c r="AF817" s="1">
        <f>方案参数!$BG$25+IF(O817&gt;=6,方案参数!$BH$25,0)</f>
        <v>36</v>
      </c>
      <c r="AG817" s="1">
        <f>MAX(配置与结果!$B$32,1+INDEX(配置与结果!$F$15:$F$18,F817)+0.08+方案参数!$CD$25+Q817*方案参数!$W$25+Y817*(方案参数!$AN$25+MIN(方案参数!$AO$25,P817*0.03))+AB817*方案参数!$BZ$25*0.025-配置与结果!$B$28)</f>
        <v>2.2150000000000003</v>
      </c>
      <c r="AH817" s="1">
        <f>MAX(0,1+INDEX(配置与结果!$H$15:$H$18,F817)+W817*方案参数!$AG$25+O817*方案参数!$BF$25+IF(O817&gt;=6,方案参数!$BI$25,0))</f>
        <v>2.4500000000000002</v>
      </c>
      <c r="AI817" s="1">
        <f>IF(OR(INDEX(配置与结果!$K$15:$K$18,F817)=1,G817="RHI_BERRY"),1+配置与结果!$B$33+P817*方案参数!$AH$25,1)</f>
        <v>1</v>
      </c>
      <c r="AJ817" s="1">
        <f>MIN(1,MAX(0,J817+方案参数!$AB$25-配置与结果!$B$27))</f>
        <v>1</v>
      </c>
      <c r="AK817" s="1">
        <f>MAX(1,K817+IF(F817=2,0.15+方案参数!$CH$25,0)+BN817*方案参数!$X$25+R817*方案参数!$AA$25+IF(O817&gt;=6,方案参数!$BJ$25,0)-配置与结果!$B$26+Z817*(方案参数!$AP$25+MIN(方案参数!$AQ$25,P817*0.03)))</f>
        <v>3.145</v>
      </c>
      <c r="AL817" s="7">
        <f>ROUNDDOWN(MAX(AD817*配置与结果!$B$31,AD817-AE817)*AF817*AG817*AH817*AI817,0)</f>
        <v>311408</v>
      </c>
      <c r="AM817" s="7">
        <f>ROUNDDOWN(MAX(AD817*配置与结果!$B$31,AD817-AE817)*AF817*AG817*AH817*AI817*AK817,0)</f>
        <v>979380</v>
      </c>
      <c r="AN817" s="7">
        <f t="shared" si="1095"/>
        <v>979380</v>
      </c>
      <c r="AO817" s="7">
        <f>0</f>
        <v>0</v>
      </c>
      <c r="AP817" s="7">
        <f>MAX(0,1+INDEX(配置与结果!$J$15:$J$18,F817)+IF(T817&gt;0,方案参数!$BY$25,0)-配置与结果!$B$30)</f>
        <v>2</v>
      </c>
      <c r="AQ817" s="7">
        <f t="shared" si="1096"/>
        <v>0</v>
      </c>
      <c r="AR817" s="7">
        <f t="shared" si="1097"/>
        <v>0</v>
      </c>
      <c r="AS817" s="7">
        <f t="shared" si="1098"/>
        <v>0</v>
      </c>
      <c r="AT817" s="7">
        <f>0</f>
        <v>0</v>
      </c>
      <c r="AU817" s="7">
        <f t="shared" si="1099"/>
        <v>979380</v>
      </c>
      <c r="AV817" s="1">
        <f t="shared" si="1100"/>
        <v>2</v>
      </c>
      <c r="AW817" s="1">
        <f t="shared" si="1147"/>
        <v>10</v>
      </c>
      <c r="AX817" s="1">
        <f t="shared" si="1101"/>
        <v>2</v>
      </c>
      <c r="AY817" s="1">
        <f>MIN(20,MAX(0,O817+0+0-IF(O817&gt;=6,6,0)))</f>
        <v>0</v>
      </c>
      <c r="AZ817" s="1">
        <f t="shared" si="1102"/>
        <v>5</v>
      </c>
      <c r="BA817" s="1">
        <f t="shared" si="1155"/>
        <v>5</v>
      </c>
      <c r="BB817" s="1">
        <f>MIN(30,R817+5)</f>
        <v>20</v>
      </c>
      <c r="BC817" s="1">
        <f t="shared" si="1161"/>
        <v>3</v>
      </c>
      <c r="BD817" s="1">
        <f t="shared" si="1142"/>
        <v>1</v>
      </c>
      <c r="BE817" s="1">
        <f t="shared" si="1135"/>
        <v>0</v>
      </c>
      <c r="BF817" s="1">
        <f>MIN(4,V817+0)</f>
        <v>3</v>
      </c>
      <c r="BG817" s="1">
        <f t="shared" si="1152"/>
        <v>1</v>
      </c>
      <c r="BH817" s="1">
        <f t="shared" si="1136"/>
        <v>1</v>
      </c>
      <c r="BI817" s="1">
        <f t="shared" si="1153"/>
        <v>1</v>
      </c>
      <c r="BJ817" s="1">
        <f t="shared" si="1156"/>
        <v>1</v>
      </c>
      <c r="BK817" s="1">
        <f t="shared" si="1157"/>
        <v>1</v>
      </c>
      <c r="BL817" s="1">
        <f t="shared" ref="BL817:BL851" si="1162">MAX(AB817,0)</f>
        <v>1</v>
      </c>
      <c r="BM817" s="1">
        <f t="shared" si="1160"/>
        <v>1</v>
      </c>
      <c r="BN817" s="1">
        <f t="shared" si="1137"/>
        <v>1</v>
      </c>
      <c r="BO817" s="1">
        <f t="shared" si="1138"/>
        <v>1</v>
      </c>
    </row>
    <row r="818" spans="1:67" ht="30.95" customHeight="1">
      <c r="A818" s="1">
        <f>22</f>
        <v>22</v>
      </c>
      <c r="B818" s="1">
        <f>固定流程!A26</f>
        <v>21</v>
      </c>
      <c r="C818" s="1">
        <f>25</f>
        <v>25</v>
      </c>
      <c r="D818" s="1">
        <f>1</f>
        <v>1</v>
      </c>
      <c r="E818" s="1">
        <f>固定流程!C26</f>
        <v>3</v>
      </c>
      <c r="F818" s="1">
        <f>固定流程!G26</f>
        <v>1</v>
      </c>
      <c r="G818" s="1" t="str">
        <f>固定流程!H26</f>
        <v>LILYA_DIVE</v>
      </c>
      <c r="H818" s="1">
        <f>固定流程!F26</f>
        <v>3</v>
      </c>
      <c r="I818" s="1">
        <f>INDEX(配置与结果!$B$15:$B$18,F818)</f>
        <v>2296</v>
      </c>
      <c r="J818" s="1">
        <f>INDEX(配置与结果!$D$15:$D$18,F818)</f>
        <v>0.7</v>
      </c>
      <c r="K818" s="1">
        <f>INDEX(配置与结果!$E$15:$E$18,F818)</f>
        <v>2.0249999999999999</v>
      </c>
      <c r="L818" s="1">
        <f t="shared" si="1149"/>
        <v>2</v>
      </c>
      <c r="M818" s="1">
        <f t="shared" si="1150"/>
        <v>10</v>
      </c>
      <c r="N818" s="1">
        <f t="shared" si="1151"/>
        <v>2</v>
      </c>
      <c r="O818" s="1">
        <f t="shared" si="1143"/>
        <v>0</v>
      </c>
      <c r="P818" s="1">
        <f>MIN(方案参数!$AI$25,AZ817+0+0)</f>
        <v>5</v>
      </c>
      <c r="Q818" s="1">
        <f t="shared" si="1121"/>
        <v>5</v>
      </c>
      <c r="R818" s="1">
        <f t="shared" si="1122"/>
        <v>20</v>
      </c>
      <c r="S818" s="1">
        <f t="shared" si="1123"/>
        <v>3</v>
      </c>
      <c r="T818" s="1">
        <f t="shared" si="1158"/>
        <v>1</v>
      </c>
      <c r="U818" s="1">
        <f t="shared" si="1125"/>
        <v>0</v>
      </c>
      <c r="V818" s="1">
        <f t="shared" si="1126"/>
        <v>3</v>
      </c>
      <c r="W818" s="1">
        <f t="shared" si="1127"/>
        <v>1</v>
      </c>
      <c r="X818" s="1">
        <f t="shared" si="1128"/>
        <v>1</v>
      </c>
      <c r="Y818" s="1">
        <f t="shared" si="1129"/>
        <v>1</v>
      </c>
      <c r="Z818" s="1">
        <f t="shared" si="1130"/>
        <v>1</v>
      </c>
      <c r="AA818" s="1">
        <f t="shared" si="1154"/>
        <v>1</v>
      </c>
      <c r="AB818" s="1">
        <f t="shared" si="1132"/>
        <v>1</v>
      </c>
      <c r="AC818" s="1">
        <f t="shared" si="1159"/>
        <v>1</v>
      </c>
      <c r="AD818" s="1">
        <f>ROUNDDOWN(I818*(1+IF(F818=3,0.05+方案参数!$Y$25+AA818*0.12,IF(F818=4,方案参数!$BZ$25*方案参数!$AS$25,0)))+IF(AND(X818=1,F818&lt;&gt;3),方案参数!$CC$25,0)+AC818*方案参数!$CB$25,0)</f>
        <v>3034</v>
      </c>
      <c r="AE818" s="1">
        <f>IF(OR(F818=1,F818=4),配置与结果!$B$24,配置与结果!$B$25)*MAX(0,1-INDEX(配置与结果!$I$15:$I$18,F818))</f>
        <v>1200</v>
      </c>
      <c r="AF818" s="1">
        <f>(IF(L818=1,方案参数!$AW$25,IF(L818=2,方案参数!$AX$25,0))+方案参数!$AV$25)*H818</f>
        <v>30</v>
      </c>
      <c r="AG818" s="1">
        <f>MAX(配置与结果!$B$32,1+INDEX(配置与结果!$F$15:$F$18,F818)+0.08+方案参数!$CD$25+Q818*方案参数!$W$25+Y818*(方案参数!$AN$25+MIN(方案参数!$AO$25,P818*0.03))+AB818*方案参数!$BZ$25*0.025+IF(L818=1,方案参数!$AY$25+(H818-1)*0.1,IF(L818=2,方案参数!$AZ$25+(H818-1)*0.2,0))-配置与结果!$B$28)</f>
        <v>2.8150000000000004</v>
      </c>
      <c r="AH818" s="1">
        <f>MAX(0,1+INDEX(配置与结果!$G$15:$G$18,F818)+W818*方案参数!$AG$25+IF(L818=1,方案参数!$BA$25,IF(L818=2,方案参数!$BB$25,0))+M818*方案参数!$BC$25)</f>
        <v>3.1</v>
      </c>
      <c r="AI818" s="1">
        <f>IF(OR(INDEX(配置与结果!$K$15:$K$18,F818)=1,G818="RHI_BERRY"),1+配置与结果!$B$33+P818*方案参数!$AH$25,1)</f>
        <v>1</v>
      </c>
      <c r="AJ818" s="1">
        <f>MIN(1,MAX(0,J818+方案参数!$AB$25-配置与结果!$B$27))</f>
        <v>1</v>
      </c>
      <c r="AK818" s="1">
        <f>MAX(1,K818+IF(F818=2,0.15+方案参数!$CH$25,0)+BN818*方案参数!$X$25+R818*方案参数!$AA$25+0-配置与结果!$B$26+Z818*(方案参数!$AP$25+MIN(方案参数!$AQ$25,P818*0.03)))</f>
        <v>2.165</v>
      </c>
      <c r="AL818" s="7">
        <f>ROUNDDOWN(MAX(AD818*配置与结果!$B$31,AD818-AE818)*AF818*AG818*AH818*AI818,0)</f>
        <v>480132</v>
      </c>
      <c r="AM818" s="7">
        <f>ROUNDDOWN(MAX(AD818*配置与结果!$B$31,AD818-AE818)*AF818*AG818*AH818*AI818*AK818,0)</f>
        <v>1039485</v>
      </c>
      <c r="AN818" s="7">
        <f t="shared" si="1095"/>
        <v>1039485</v>
      </c>
      <c r="AO818" s="7">
        <f>0</f>
        <v>0</v>
      </c>
      <c r="AP818" s="7">
        <f>MAX(0,1+INDEX(配置与结果!$J$15:$J$18,F818)+IF(T818&gt;0,方案参数!$BY$25,0)-配置与结果!$B$30)</f>
        <v>2</v>
      </c>
      <c r="AQ818" s="7">
        <f t="shared" si="1096"/>
        <v>0</v>
      </c>
      <c r="AR818" s="7">
        <f t="shared" si="1097"/>
        <v>0</v>
      </c>
      <c r="AS818" s="7">
        <f t="shared" si="1098"/>
        <v>0</v>
      </c>
      <c r="AT818" s="7">
        <f>0</f>
        <v>0</v>
      </c>
      <c r="AU818" s="7">
        <f t="shared" si="1099"/>
        <v>1039485</v>
      </c>
      <c r="AV818" s="1">
        <f t="shared" si="1100"/>
        <v>2</v>
      </c>
      <c r="AW818" s="1">
        <f>MIN(10,M818+0+IF(L818=1,方案参数!$BE$25,0))</f>
        <v>10</v>
      </c>
      <c r="AX818" s="1">
        <f t="shared" si="1101"/>
        <v>2</v>
      </c>
      <c r="AY818" s="1">
        <f>MIN(20,MAX(0,O818+0+0-0))</f>
        <v>0</v>
      </c>
      <c r="AZ818" s="1">
        <f t="shared" si="1102"/>
        <v>5</v>
      </c>
      <c r="BA818" s="1">
        <f t="shared" si="1155"/>
        <v>5</v>
      </c>
      <c r="BB818" s="1">
        <f t="shared" ref="BB818:BB833" si="1163">MIN(30,R818+0)</f>
        <v>20</v>
      </c>
      <c r="BC818" s="1">
        <f t="shared" si="1161"/>
        <v>3</v>
      </c>
      <c r="BD818" s="1">
        <f t="shared" si="1142"/>
        <v>1</v>
      </c>
      <c r="BE818" s="1">
        <f t="shared" si="1135"/>
        <v>0</v>
      </c>
      <c r="BF818" s="1">
        <f>MIN(4,V818+0)</f>
        <v>3</v>
      </c>
      <c r="BG818" s="1">
        <f t="shared" si="1152"/>
        <v>1</v>
      </c>
      <c r="BH818" s="1">
        <f t="shared" si="1136"/>
        <v>1</v>
      </c>
      <c r="BI818" s="1">
        <f t="shared" si="1153"/>
        <v>1</v>
      </c>
      <c r="BJ818" s="1">
        <f t="shared" si="1156"/>
        <v>1</v>
      </c>
      <c r="BK818" s="1">
        <f t="shared" si="1157"/>
        <v>1</v>
      </c>
      <c r="BL818" s="1">
        <f t="shared" si="1162"/>
        <v>1</v>
      </c>
      <c r="BM818" s="1">
        <f t="shared" si="1160"/>
        <v>1</v>
      </c>
      <c r="BN818" s="1">
        <f t="shared" si="1137"/>
        <v>1</v>
      </c>
      <c r="BO818" s="1">
        <f t="shared" si="1138"/>
        <v>1</v>
      </c>
    </row>
    <row r="819" spans="1:67" ht="30.95" customHeight="1">
      <c r="A819" s="1">
        <f>22</f>
        <v>22</v>
      </c>
      <c r="B819" s="1">
        <f>固定流程!A27</f>
        <v>22</v>
      </c>
      <c r="C819" s="1">
        <f>25</f>
        <v>25</v>
      </c>
      <c r="D819" s="1">
        <f>1</f>
        <v>1</v>
      </c>
      <c r="E819" s="1">
        <f>固定流程!C27</f>
        <v>3</v>
      </c>
      <c r="F819" s="1">
        <f>固定流程!G27</f>
        <v>3</v>
      </c>
      <c r="G819" s="1" t="str">
        <f>固定流程!H27</f>
        <v>RHI_BERRY</v>
      </c>
      <c r="H819" s="1">
        <f>固定流程!F27</f>
        <v>1</v>
      </c>
      <c r="I819" s="1">
        <f>INDEX(配置与结果!$B$15:$B$18,F819)</f>
        <v>2597</v>
      </c>
      <c r="J819" s="1">
        <f>INDEX(配置与结果!$D$15:$D$18,F819)</f>
        <v>0.255</v>
      </c>
      <c r="K819" s="1">
        <f>INDEX(配置与结果!$E$15:$E$18,F819)</f>
        <v>1.55</v>
      </c>
      <c r="L819" s="1">
        <f t="shared" si="1149"/>
        <v>2</v>
      </c>
      <c r="M819" s="1">
        <f t="shared" si="1150"/>
        <v>10</v>
      </c>
      <c r="N819" s="1">
        <f t="shared" si="1151"/>
        <v>2</v>
      </c>
      <c r="O819" s="1">
        <f t="shared" si="1143"/>
        <v>0</v>
      </c>
      <c r="P819" s="1">
        <f>MIN(方案参数!$AI$25,AZ818+0+0)</f>
        <v>5</v>
      </c>
      <c r="Q819" s="1">
        <f t="shared" si="1121"/>
        <v>5</v>
      </c>
      <c r="R819" s="1">
        <f t="shared" si="1122"/>
        <v>20</v>
      </c>
      <c r="S819" s="1">
        <f t="shared" si="1123"/>
        <v>3</v>
      </c>
      <c r="T819" s="1">
        <f t="shared" si="1158"/>
        <v>1</v>
      </c>
      <c r="U819" s="1">
        <f t="shared" si="1125"/>
        <v>0</v>
      </c>
      <c r="V819" s="1">
        <f t="shared" si="1126"/>
        <v>3</v>
      </c>
      <c r="W819" s="1">
        <f t="shared" si="1127"/>
        <v>1</v>
      </c>
      <c r="X819" s="1">
        <f t="shared" si="1128"/>
        <v>1</v>
      </c>
      <c r="Y819" s="1">
        <f t="shared" si="1129"/>
        <v>1</v>
      </c>
      <c r="Z819" s="1">
        <f t="shared" si="1130"/>
        <v>1</v>
      </c>
      <c r="AA819" s="1">
        <f t="shared" si="1154"/>
        <v>1</v>
      </c>
      <c r="AB819" s="1">
        <f t="shared" si="1132"/>
        <v>1</v>
      </c>
      <c r="AC819" s="1">
        <f t="shared" si="1159"/>
        <v>1</v>
      </c>
      <c r="AD819" s="1">
        <f>ROUNDDOWN(I819*(1+IF(F819=3,0.05+方案参数!$Y$25+AA819*0.12,IF(F819=4,方案参数!$BZ$25*方案参数!$AS$25,0)))+IF(AND(X819=1,F819&lt;&gt;3),方案参数!$CC$25,0)+AC819*方案参数!$CB$25,0)</f>
        <v>3798</v>
      </c>
      <c r="AE819" s="1">
        <f>IF(OR(F819=1,F819=4),配置与结果!$B$24,配置与结果!$B$25)*MAX(0,1-INDEX(配置与结果!$I$15:$I$18,F819))</f>
        <v>1000</v>
      </c>
      <c r="AF819" s="1">
        <f>方案参数!$CF$25+P819*方案参数!$CG$25</f>
        <v>22.5</v>
      </c>
      <c r="AG819" s="1">
        <f>MAX(配置与结果!$B$32,1+INDEX(配置与结果!$F$15:$F$18,F819)+0+Q819*方案参数!$W$25+Y819*(方案参数!$AN$25+MIN(方案参数!$AO$25,P819*0.03))+AB819*方案参数!$BZ$25*0.025-配置与结果!$B$28)</f>
        <v>1.9100000000000001</v>
      </c>
      <c r="AH819" s="1">
        <f>MAX(0,1+INDEX(配置与结果!$G$15:$G$18,F819)+W819*方案参数!$AG$25)</f>
        <v>1.3</v>
      </c>
      <c r="AI819" s="1">
        <f>IF(OR(INDEX(配置与结果!$K$15:$K$18,F819)=1,G819="RHI_BERRY"),1+配置与结果!$B$33+P819*方案参数!$AH$25,1)</f>
        <v>1.5</v>
      </c>
      <c r="AJ819" s="1">
        <f>MIN(1,MAX(0,J819+方案参数!$AB$25-配置与结果!$B$27))</f>
        <v>0.55499999999999994</v>
      </c>
      <c r="AK819" s="1">
        <f>MAX(1,K819+IF(F819=2,0.15+方案参数!$CH$25,0)+BN819*方案参数!$X$25+R819*方案参数!$AA$25+0-配置与结果!$B$26+Z819*(方案参数!$AP$25+MIN(方案参数!$AQ$25,P819*0.03)))</f>
        <v>1.6900000000000002</v>
      </c>
      <c r="AL819" s="7">
        <f>ROUNDDOWN(MAX(AD819*配置与结果!$B$31,AD819-AE819)*AF819*AG819*AH819*AI819,0)</f>
        <v>234475</v>
      </c>
      <c r="AM819" s="7">
        <f>ROUNDDOWN(MAX(AD819*配置与结果!$B$31,AD819-AE819)*AF819*AG819*AH819*AI819*AK819,0)</f>
        <v>396264</v>
      </c>
      <c r="AN819" s="7">
        <f t="shared" si="1095"/>
        <v>324267.89500000002</v>
      </c>
      <c r="AO819" s="7">
        <f>0</f>
        <v>0</v>
      </c>
      <c r="AP819" s="7">
        <f>MAX(0,1+INDEX(配置与结果!$J$15:$J$18,F819)+IF(T819&gt;0,方案参数!$BY$25,0)-配置与结果!$B$30)</f>
        <v>2</v>
      </c>
      <c r="AQ819" s="7">
        <f t="shared" si="1096"/>
        <v>0</v>
      </c>
      <c r="AR819" s="7">
        <f t="shared" si="1097"/>
        <v>0</v>
      </c>
      <c r="AS819" s="7">
        <f t="shared" si="1098"/>
        <v>0</v>
      </c>
      <c r="AT819" s="7">
        <f>0</f>
        <v>0</v>
      </c>
      <c r="AU819" s="7">
        <f t="shared" si="1099"/>
        <v>324267.89500000002</v>
      </c>
      <c r="AV819" s="1">
        <f t="shared" si="1100"/>
        <v>2</v>
      </c>
      <c r="AW819" s="1">
        <f t="shared" ref="AW819:AW835" si="1164">MIN(10,M819+0+0)</f>
        <v>10</v>
      </c>
      <c r="AX819" s="1">
        <f t="shared" si="1101"/>
        <v>2</v>
      </c>
      <c r="AY819" s="1">
        <f>MIN(20,MAX(0,O819+0+0-0))</f>
        <v>0</v>
      </c>
      <c r="AZ819" s="1">
        <f t="shared" si="1102"/>
        <v>5</v>
      </c>
      <c r="BA819" s="1">
        <f t="shared" si="1155"/>
        <v>5</v>
      </c>
      <c r="BB819" s="1">
        <f t="shared" si="1163"/>
        <v>20</v>
      </c>
      <c r="BC819" s="1">
        <f t="shared" si="1161"/>
        <v>3</v>
      </c>
      <c r="BD819" s="1">
        <f t="shared" si="1142"/>
        <v>1</v>
      </c>
      <c r="BE819" s="1">
        <f t="shared" si="1135"/>
        <v>0</v>
      </c>
      <c r="BF819" s="1">
        <f>MIN(4,V819+0)</f>
        <v>3</v>
      </c>
      <c r="BG819" s="1">
        <f t="shared" si="1152"/>
        <v>1</v>
      </c>
      <c r="BH819" s="1">
        <f t="shared" si="1136"/>
        <v>1</v>
      </c>
      <c r="BI819" s="1">
        <f t="shared" si="1153"/>
        <v>1</v>
      </c>
      <c r="BJ819" s="1">
        <f t="shared" si="1156"/>
        <v>1</v>
      </c>
      <c r="BK819" s="1">
        <f t="shared" si="1157"/>
        <v>1</v>
      </c>
      <c r="BL819" s="1">
        <f t="shared" si="1162"/>
        <v>1</v>
      </c>
      <c r="BM819" s="1">
        <f t="shared" si="1160"/>
        <v>1</v>
      </c>
      <c r="BN819" s="1">
        <f t="shared" si="1137"/>
        <v>1</v>
      </c>
      <c r="BO819" s="1">
        <f t="shared" si="1138"/>
        <v>1</v>
      </c>
    </row>
    <row r="820" spans="1:67" ht="30.95" customHeight="1">
      <c r="A820" s="1">
        <f>22</f>
        <v>22</v>
      </c>
      <c r="B820" s="1">
        <f>固定流程!A28</f>
        <v>23</v>
      </c>
      <c r="C820" s="1">
        <f>25</f>
        <v>25</v>
      </c>
      <c r="D820" s="1">
        <f>1</f>
        <v>1</v>
      </c>
      <c r="E820" s="1">
        <f>固定流程!C28</f>
        <v>3</v>
      </c>
      <c r="F820" s="1">
        <f>固定流程!G28</f>
        <v>2</v>
      </c>
      <c r="G820" s="1" t="str">
        <f>固定流程!H28</f>
        <v>37_FOLLOW</v>
      </c>
      <c r="H820" s="1">
        <f>固定流程!F28</f>
        <v>1</v>
      </c>
      <c r="I820" s="1">
        <f>INDEX(配置与结果!$B$15:$B$18,F820)</f>
        <v>2306</v>
      </c>
      <c r="J820" s="1">
        <f>INDEX(配置与结果!$D$15:$D$18,F820)</f>
        <v>0.46</v>
      </c>
      <c r="K820" s="1">
        <f>INDEX(配置与结果!$E$15:$E$18,F820)</f>
        <v>1.9279999999999999</v>
      </c>
      <c r="L820" s="1">
        <f t="shared" si="1149"/>
        <v>2</v>
      </c>
      <c r="M820" s="1">
        <f t="shared" si="1150"/>
        <v>10</v>
      </c>
      <c r="N820" s="1">
        <f t="shared" si="1151"/>
        <v>2</v>
      </c>
      <c r="O820" s="1">
        <f t="shared" si="1143"/>
        <v>0</v>
      </c>
      <c r="P820" s="1">
        <f>MIN(方案参数!$AI$25,AZ819+0+0)</f>
        <v>5</v>
      </c>
      <c r="Q820" s="1">
        <f t="shared" si="1121"/>
        <v>5</v>
      </c>
      <c r="R820" s="1">
        <f t="shared" si="1122"/>
        <v>20</v>
      </c>
      <c r="S820" s="1">
        <f t="shared" si="1123"/>
        <v>3</v>
      </c>
      <c r="T820" s="1">
        <f t="shared" si="1158"/>
        <v>1</v>
      </c>
      <c r="U820" s="1">
        <f t="shared" si="1125"/>
        <v>0</v>
      </c>
      <c r="V820" s="1">
        <f t="shared" si="1126"/>
        <v>3</v>
      </c>
      <c r="W820" s="1">
        <f t="shared" si="1127"/>
        <v>1</v>
      </c>
      <c r="X820" s="1">
        <f t="shared" si="1128"/>
        <v>1</v>
      </c>
      <c r="Y820" s="1">
        <f t="shared" si="1129"/>
        <v>1</v>
      </c>
      <c r="Z820" s="1">
        <f t="shared" si="1130"/>
        <v>1</v>
      </c>
      <c r="AA820" s="1">
        <f t="shared" si="1154"/>
        <v>1</v>
      </c>
      <c r="AB820" s="1">
        <f t="shared" si="1132"/>
        <v>1</v>
      </c>
      <c r="AC820" s="1">
        <f t="shared" si="1159"/>
        <v>1</v>
      </c>
      <c r="AD820" s="1">
        <f>ROUNDDOWN(I820*(1+IF(F820=3,0.05+方案参数!$Y$25+AA820*0.12,IF(F820=4,方案参数!$BZ$25*方案参数!$AS$25,0)))+IF(AND(X820=1,F820&lt;&gt;3),方案参数!$CC$25,0)+AC820*方案参数!$CB$25,0)</f>
        <v>3044</v>
      </c>
      <c r="AE820" s="1">
        <f>IF(OR(F820=1,F820=4),配置与结果!$B$24,配置与结果!$B$25)*MAX(0,1-INDEX(配置与结果!$I$15:$I$18,F820))</f>
        <v>1000</v>
      </c>
      <c r="AF820" s="1">
        <f>方案参数!$BV$25</f>
        <v>3</v>
      </c>
      <c r="AG820" s="1">
        <f>MAX(配置与结果!$B$32,1+INDEX(配置与结果!$F$15:$F$18,F820)+0+Q820*方案参数!$W$25+Y820*(方案参数!$AN$25+MIN(方案参数!$AO$25,P820*0.03))+AB820*方案参数!$BZ$25*0.025-配置与结果!$B$28)</f>
        <v>1.8800000000000003</v>
      </c>
      <c r="AH820" s="1">
        <f>MAX(0,1+INDEX(配置与结果!$G$15:$G$18,F820)+W820*方案参数!$AG$25)</f>
        <v>1.3</v>
      </c>
      <c r="AI820" s="1">
        <f>IF(OR(INDEX(配置与结果!$K$15:$K$18,F820)=1,G820="RHI_BERRY"),1+配置与结果!$B$33+P820*方案参数!$AH$25,1)</f>
        <v>1</v>
      </c>
      <c r="AJ820" s="1">
        <f>MIN(1,MAX(0,J820+方案参数!$AB$25-配置与结果!$B$27))</f>
        <v>0.76</v>
      </c>
      <c r="AK820" s="1">
        <f>MAX(1,K820+IF(F820=2,0.15+方案参数!$CH$25,0)+BN820*方案参数!$X$25+R820*方案参数!$AA$25+0-配置与结果!$B$26+Z820*(方案参数!$AP$25+MIN(方案参数!$AQ$25,P820*0.03)))</f>
        <v>2.3380000000000001</v>
      </c>
      <c r="AL820" s="7">
        <f>ROUNDDOWN(MAX(AD820*配置与结果!$B$31,AD820-AE820)*AF820*AG820*AH820*AI820,0)</f>
        <v>14986</v>
      </c>
      <c r="AM820" s="7">
        <f>ROUNDDOWN(MAX(AD820*配置与结果!$B$31,AD820-AE820)*AF820*AG820*AH820*AI820*AK820,0)</f>
        <v>35038</v>
      </c>
      <c r="AN820" s="7">
        <f t="shared" si="1095"/>
        <v>30225.52</v>
      </c>
      <c r="AO820" s="7">
        <f>方案参数!$BW$25</f>
        <v>1</v>
      </c>
      <c r="AP820" s="7">
        <f>MAX(0,1+INDEX(配置与结果!$J$15:$J$18,F820)+IF(T820&gt;0,方案参数!$BY$25,0)-配置与结果!$B$30)</f>
        <v>2</v>
      </c>
      <c r="AQ820" s="7">
        <f t="shared" si="1096"/>
        <v>6088</v>
      </c>
      <c r="AR820" s="7">
        <f t="shared" si="1097"/>
        <v>14233</v>
      </c>
      <c r="AS820" s="7">
        <f t="shared" si="1098"/>
        <v>12278.2</v>
      </c>
      <c r="AT820" s="7">
        <f>0</f>
        <v>0</v>
      </c>
      <c r="AU820" s="7">
        <f t="shared" si="1099"/>
        <v>42503.72</v>
      </c>
      <c r="AV820" s="1">
        <f t="shared" si="1100"/>
        <v>2</v>
      </c>
      <c r="AW820" s="1">
        <f t="shared" si="1164"/>
        <v>10</v>
      </c>
      <c r="AX820" s="1">
        <f t="shared" si="1101"/>
        <v>2</v>
      </c>
      <c r="AY820" s="1">
        <f>MIN(20,MAX(0,O820+0+0-0))</f>
        <v>0</v>
      </c>
      <c r="AZ820" s="1">
        <f t="shared" si="1102"/>
        <v>5</v>
      </c>
      <c r="BA820" s="1">
        <f t="shared" si="1155"/>
        <v>5</v>
      </c>
      <c r="BB820" s="1">
        <f t="shared" si="1163"/>
        <v>20</v>
      </c>
      <c r="BC820" s="1">
        <f t="shared" si="1161"/>
        <v>3</v>
      </c>
      <c r="BD820" s="1">
        <f t="shared" si="1142"/>
        <v>0</v>
      </c>
      <c r="BE820" s="1">
        <f t="shared" si="1135"/>
        <v>0</v>
      </c>
      <c r="BF820" s="1">
        <f>MIN(4,V820+1)</f>
        <v>4</v>
      </c>
      <c r="BG820" s="1">
        <f t="shared" si="1152"/>
        <v>1</v>
      </c>
      <c r="BH820" s="1">
        <f t="shared" si="1136"/>
        <v>1</v>
      </c>
      <c r="BI820" s="1">
        <f t="shared" si="1153"/>
        <v>1</v>
      </c>
      <c r="BJ820" s="1">
        <f t="shared" si="1156"/>
        <v>1</v>
      </c>
      <c r="BK820" s="1">
        <f t="shared" si="1157"/>
        <v>1</v>
      </c>
      <c r="BL820" s="1">
        <f t="shared" si="1162"/>
        <v>1</v>
      </c>
      <c r="BM820" s="1">
        <f t="shared" si="1160"/>
        <v>1</v>
      </c>
      <c r="BN820" s="1">
        <f t="shared" si="1137"/>
        <v>1</v>
      </c>
      <c r="BO820" s="1">
        <f t="shared" si="1138"/>
        <v>1</v>
      </c>
    </row>
    <row r="821" spans="1:67" ht="30.95" customHeight="1">
      <c r="A821" s="1">
        <f>22</f>
        <v>22</v>
      </c>
      <c r="B821" s="1">
        <f>固定流程!A29</f>
        <v>24</v>
      </c>
      <c r="C821" s="1">
        <f>25</f>
        <v>25</v>
      </c>
      <c r="D821" s="1">
        <f>2</f>
        <v>2</v>
      </c>
      <c r="E821" s="1">
        <f>固定流程!C29</f>
        <v>3</v>
      </c>
      <c r="F821" s="1">
        <f>固定流程!G29</f>
        <v>1</v>
      </c>
      <c r="G821" s="1" t="str">
        <f>固定流程!H29</f>
        <v>LILYA_WEAK</v>
      </c>
      <c r="H821" s="1">
        <f>固定流程!F29</f>
        <v>1</v>
      </c>
      <c r="I821" s="1">
        <f>INDEX(配置与结果!$B$15:$B$18,F821)</f>
        <v>2296</v>
      </c>
      <c r="J821" s="1">
        <f>INDEX(配置与结果!$D$15:$D$18,F821)</f>
        <v>0.7</v>
      </c>
      <c r="K821" s="1">
        <f>INDEX(配置与结果!$E$15:$E$18,F821)</f>
        <v>2.0249999999999999</v>
      </c>
      <c r="L821" s="1">
        <f t="shared" si="1149"/>
        <v>2</v>
      </c>
      <c r="M821" s="1">
        <f t="shared" si="1150"/>
        <v>10</v>
      </c>
      <c r="N821" s="1">
        <f t="shared" si="1151"/>
        <v>2</v>
      </c>
      <c r="O821" s="1">
        <f t="shared" si="1143"/>
        <v>0</v>
      </c>
      <c r="P821" s="1">
        <f>MIN(方案参数!$AI$25,AZ820+0+0)</f>
        <v>5</v>
      </c>
      <c r="Q821" s="1">
        <f t="shared" si="1121"/>
        <v>5</v>
      </c>
      <c r="R821" s="1">
        <f t="shared" si="1122"/>
        <v>20</v>
      </c>
      <c r="S821" s="1">
        <f t="shared" si="1123"/>
        <v>3</v>
      </c>
      <c r="T821" s="1">
        <f t="shared" si="1158"/>
        <v>0</v>
      </c>
      <c r="U821" s="1">
        <f t="shared" si="1125"/>
        <v>0</v>
      </c>
      <c r="V821" s="1">
        <f t="shared" si="1126"/>
        <v>4</v>
      </c>
      <c r="W821" s="1">
        <f t="shared" si="1127"/>
        <v>1</v>
      </c>
      <c r="X821" s="1">
        <f t="shared" si="1128"/>
        <v>1</v>
      </c>
      <c r="Y821" s="1">
        <f t="shared" si="1129"/>
        <v>1</v>
      </c>
      <c r="Z821" s="1">
        <f t="shared" si="1130"/>
        <v>1</v>
      </c>
      <c r="AA821" s="1">
        <f t="shared" si="1154"/>
        <v>1</v>
      </c>
      <c r="AB821" s="1">
        <f t="shared" si="1132"/>
        <v>1</v>
      </c>
      <c r="AC821" s="1">
        <f t="shared" si="1159"/>
        <v>1</v>
      </c>
      <c r="AD821" s="1">
        <f>ROUNDDOWN(I821*(1+IF(F821=3,0.05+方案参数!$Y$25+AA821*0.12,IF(F821=4,方案参数!$BZ$25*方案参数!$AS$25,0)))+IF(AND(X821=1,F821&lt;&gt;3),方案参数!$CC$25,0)+AC821*方案参数!$CB$25,0)</f>
        <v>3034</v>
      </c>
      <c r="AE821" s="1">
        <f>IF(OR(F821=1,F821=4),配置与结果!$B$24,配置与结果!$B$25)*MAX(0,1-INDEX(配置与结果!$I$15:$I$18,F821))</f>
        <v>1200</v>
      </c>
      <c r="AF821" s="1">
        <f>方案参数!$BL$25</f>
        <v>9</v>
      </c>
      <c r="AG821" s="1">
        <f>MAX(配置与结果!$B$32,1+INDEX(配置与结果!$F$15:$F$18,F821)+0.08+方案参数!$CD$25+Q821*方案参数!$W$25+Y821*(方案参数!$AN$25+MIN(方案参数!$AO$25,P821*0.03))+AB821*方案参数!$BZ$25*0.025-配置与结果!$B$28+方案参数!$AE$25)</f>
        <v>2.6150000000000002</v>
      </c>
      <c r="AH821" s="1">
        <f>MAX(0,1+V821*方案参数!$U$25+0*方案参数!$V$25+方案参数!$AE$25-配置与结果!$B$29)</f>
        <v>1.56</v>
      </c>
      <c r="AI821" s="1">
        <f>IF(OR(INDEX(配置与结果!$K$15:$K$18,F821)=1,G821="RHI_BERRY"),1+配置与结果!$B$33+P821*方案参数!$AH$25,1)</f>
        <v>1</v>
      </c>
      <c r="AJ821" s="1">
        <f>MIN(1,MAX(0,J821+方案参数!$AB$25-配置与结果!$B$27))</f>
        <v>1</v>
      </c>
      <c r="AK821" s="1">
        <f>MAX(1,K821+IF(F821=2,0.15+方案参数!$CH$25,0)+BN821*方案参数!$X$25+R821*方案参数!$AA$25+方案参数!$BP$25-配置与结果!$B$26+Z821*(方案参数!$AP$25+MIN(方案参数!$AQ$25,P821*0.03)))</f>
        <v>2.7650000000000001</v>
      </c>
      <c r="AL821" s="7">
        <f>ROUNDDOWN(MAX(AD821*配置与结果!$B$31,AD821-AE821)*AF821*AG821*AH821*AI821,0)</f>
        <v>67334</v>
      </c>
      <c r="AM821" s="7">
        <f>ROUNDDOWN(MAX(AD821*配置与结果!$B$31,AD821-AE821)*AF821*AG821*AH821*AI821*AK821,0)</f>
        <v>186180</v>
      </c>
      <c r="AN821" s="7">
        <f t="shared" si="1095"/>
        <v>186180</v>
      </c>
      <c r="AO821" s="7">
        <f>0</f>
        <v>0</v>
      </c>
      <c r="AP821" s="7">
        <f>MAX(0,1+INDEX(配置与结果!$J$15:$J$18,F821)+IF(T821&gt;0,方案参数!$BY$25,0)-配置与结果!$B$30)</f>
        <v>1</v>
      </c>
      <c r="AQ821" s="7">
        <f t="shared" si="1096"/>
        <v>0</v>
      </c>
      <c r="AR821" s="7">
        <f t="shared" si="1097"/>
        <v>0</v>
      </c>
      <c r="AS821" s="7">
        <f t="shared" si="1098"/>
        <v>0</v>
      </c>
      <c r="AT821" s="7">
        <f>IF(U821&gt;0,ROUNDDOWN(AL821*方案参数!$AF$25,0)*(1-AJ821)+ROUNDDOWN(AM821*方案参数!$AF$25,0)*AJ821,0)</f>
        <v>0</v>
      </c>
      <c r="AU821" s="7">
        <f t="shared" si="1099"/>
        <v>186180</v>
      </c>
      <c r="AV821" s="1">
        <f t="shared" si="1100"/>
        <v>2</v>
      </c>
      <c r="AW821" s="1">
        <f t="shared" si="1164"/>
        <v>10</v>
      </c>
      <c r="AX821" s="1">
        <f t="shared" si="1101"/>
        <v>2</v>
      </c>
      <c r="AY821" s="1">
        <f>MIN(20,MAX(0,O821+0+1-0))</f>
        <v>1</v>
      </c>
      <c r="AZ821" s="1">
        <f t="shared" si="1102"/>
        <v>5</v>
      </c>
      <c r="BA821" s="1">
        <f t="shared" si="1155"/>
        <v>5</v>
      </c>
      <c r="BB821" s="1">
        <f t="shared" si="1163"/>
        <v>20</v>
      </c>
      <c r="BC821" s="1">
        <f t="shared" si="1161"/>
        <v>3</v>
      </c>
      <c r="BD821" s="1">
        <f t="shared" si="1142"/>
        <v>0</v>
      </c>
      <c r="BE821" s="1">
        <f>MAX(0,U821-IF(AF821&gt;0,1,0))+0</f>
        <v>0</v>
      </c>
      <c r="BF821" s="1">
        <f t="shared" ref="BF821:BF838" si="1165">MIN(4,V821+0)</f>
        <v>4</v>
      </c>
      <c r="BG821" s="1">
        <f t="shared" si="1152"/>
        <v>1</v>
      </c>
      <c r="BH821" s="1">
        <f t="shared" si="1136"/>
        <v>1</v>
      </c>
      <c r="BI821" s="1">
        <f t="shared" si="1153"/>
        <v>1</v>
      </c>
      <c r="BJ821" s="1">
        <f t="shared" si="1156"/>
        <v>1</v>
      </c>
      <c r="BK821" s="1">
        <f t="shared" si="1157"/>
        <v>1</v>
      </c>
      <c r="BL821" s="1">
        <f t="shared" si="1162"/>
        <v>1</v>
      </c>
      <c r="BM821" s="1">
        <f t="shared" si="1160"/>
        <v>1</v>
      </c>
      <c r="BN821" s="1">
        <f t="shared" si="1137"/>
        <v>1</v>
      </c>
      <c r="BO821" s="1">
        <f t="shared" si="1138"/>
        <v>1</v>
      </c>
    </row>
    <row r="822" spans="1:67" ht="30.95" customHeight="1">
      <c r="A822" s="1">
        <f>22</f>
        <v>22</v>
      </c>
      <c r="B822" s="1">
        <f>固定流程!A30</f>
        <v>25</v>
      </c>
      <c r="C822" s="1">
        <f>25</f>
        <v>25</v>
      </c>
      <c r="D822" s="1">
        <f>2</f>
        <v>2</v>
      </c>
      <c r="E822" s="1">
        <f>固定流程!C30</f>
        <v>3</v>
      </c>
      <c r="F822" s="1">
        <f>固定流程!G30</f>
        <v>1</v>
      </c>
      <c r="G822" s="1" t="str">
        <f>固定流程!H30</f>
        <v>LILYA_WEAK</v>
      </c>
      <c r="H822" s="1">
        <f>固定流程!F30</f>
        <v>1</v>
      </c>
      <c r="I822" s="1">
        <f>INDEX(配置与结果!$B$15:$B$18,F822)</f>
        <v>2296</v>
      </c>
      <c r="J822" s="1">
        <f>INDEX(配置与结果!$D$15:$D$18,F822)</f>
        <v>0.7</v>
      </c>
      <c r="K822" s="1">
        <f>INDEX(配置与结果!$E$15:$E$18,F822)</f>
        <v>2.0249999999999999</v>
      </c>
      <c r="L822" s="1">
        <f t="shared" si="1149"/>
        <v>2</v>
      </c>
      <c r="M822" s="1">
        <f t="shared" si="1150"/>
        <v>10</v>
      </c>
      <c r="N822" s="1">
        <f t="shared" si="1151"/>
        <v>2</v>
      </c>
      <c r="O822" s="1">
        <f t="shared" si="1143"/>
        <v>1</v>
      </c>
      <c r="P822" s="1">
        <f>MIN(方案参数!$AI$25,AZ821+0+0)</f>
        <v>5</v>
      </c>
      <c r="Q822" s="1">
        <f t="shared" si="1121"/>
        <v>5</v>
      </c>
      <c r="R822" s="1">
        <f t="shared" si="1122"/>
        <v>20</v>
      </c>
      <c r="S822" s="1">
        <f t="shared" si="1123"/>
        <v>3</v>
      </c>
      <c r="T822" s="1">
        <f t="shared" si="1158"/>
        <v>0</v>
      </c>
      <c r="U822" s="1">
        <f t="shared" si="1125"/>
        <v>0</v>
      </c>
      <c r="V822" s="1">
        <f t="shared" si="1126"/>
        <v>4</v>
      </c>
      <c r="W822" s="1">
        <f t="shared" si="1127"/>
        <v>1</v>
      </c>
      <c r="X822" s="1">
        <f t="shared" si="1128"/>
        <v>1</v>
      </c>
      <c r="Y822" s="1">
        <f t="shared" si="1129"/>
        <v>1</v>
      </c>
      <c r="Z822" s="1">
        <f t="shared" si="1130"/>
        <v>1</v>
      </c>
      <c r="AA822" s="1">
        <f t="shared" si="1154"/>
        <v>1</v>
      </c>
      <c r="AB822" s="1">
        <f t="shared" si="1132"/>
        <v>1</v>
      </c>
      <c r="AC822" s="1">
        <f t="shared" si="1159"/>
        <v>1</v>
      </c>
      <c r="AD822" s="1">
        <f>ROUNDDOWN(I822*(1+IF(F822=3,0.05+方案参数!$Y$25+AA822*0.12,IF(F822=4,方案参数!$BZ$25*方案参数!$AS$25,0)))+IF(AND(X822=1,F822&lt;&gt;3),方案参数!$CC$25,0)+AC822*方案参数!$CB$25,0)</f>
        <v>3034</v>
      </c>
      <c r="AE822" s="1">
        <f>IF(OR(F822=1,F822=4),配置与结果!$B$24,配置与结果!$B$25)*MAX(0,1-INDEX(配置与结果!$I$15:$I$18,F822))</f>
        <v>1200</v>
      </c>
      <c r="AF822" s="1">
        <f>方案参数!$BL$25</f>
        <v>9</v>
      </c>
      <c r="AG822" s="1">
        <f>MAX(配置与结果!$B$32,1+INDEX(配置与结果!$F$15:$F$18,F822)+0.08+方案参数!$CD$25+Q822*方案参数!$W$25+Y822*(方案参数!$AN$25+MIN(方案参数!$AO$25,P822*0.03))+AB822*方案参数!$BZ$25*0.025-配置与结果!$B$28+方案参数!$AE$25)</f>
        <v>2.6150000000000002</v>
      </c>
      <c r="AH822" s="1">
        <f>MAX(0,1+V822*方案参数!$U$25+1*方案参数!$V$25+方案参数!$AE$25-配置与结果!$B$29)</f>
        <v>1.62</v>
      </c>
      <c r="AI822" s="1">
        <f>IF(OR(INDEX(配置与结果!$K$15:$K$18,F822)=1,G822="RHI_BERRY"),1+配置与结果!$B$33+P822*方案参数!$AH$25,1)</f>
        <v>1</v>
      </c>
      <c r="AJ822" s="1">
        <f>MIN(1,MAX(0,J822+方案参数!$AB$25-配置与结果!$B$27))</f>
        <v>1</v>
      </c>
      <c r="AK822" s="1">
        <f>MAX(1,K822+IF(F822=2,0.15+方案参数!$CH$25,0)+BN822*方案参数!$X$25+R822*方案参数!$AA$25+方案参数!$BP$25-配置与结果!$B$26+Z822*(方案参数!$AP$25+MIN(方案参数!$AQ$25,P822*0.03)))</f>
        <v>2.7650000000000001</v>
      </c>
      <c r="AL822" s="7">
        <f>ROUNDDOWN(MAX(AD822*配置与结果!$B$31,AD822-AE822)*AF822*AG822*AH822*AI822,0)</f>
        <v>69924</v>
      </c>
      <c r="AM822" s="7">
        <f>ROUNDDOWN(MAX(AD822*配置与结果!$B$31,AD822-AE822)*AF822*AG822*AH822*AI822*AK822,0)</f>
        <v>193340</v>
      </c>
      <c r="AN822" s="7">
        <f t="shared" si="1095"/>
        <v>193340</v>
      </c>
      <c r="AO822" s="7">
        <f>0</f>
        <v>0</v>
      </c>
      <c r="AP822" s="7">
        <f>MAX(0,1+INDEX(配置与结果!$J$15:$J$18,F822)+IF(T822&gt;0,方案参数!$BY$25,0)-配置与结果!$B$30)</f>
        <v>1</v>
      </c>
      <c r="AQ822" s="7">
        <f t="shared" si="1096"/>
        <v>0</v>
      </c>
      <c r="AR822" s="7">
        <f t="shared" si="1097"/>
        <v>0</v>
      </c>
      <c r="AS822" s="7">
        <f t="shared" si="1098"/>
        <v>0</v>
      </c>
      <c r="AT822" s="7">
        <f>IF(U822&gt;0,ROUNDDOWN(AL822*方案参数!$AF$25,0)*(1-AJ822)+ROUNDDOWN(AM822*方案参数!$AF$25,0)*AJ822,0)</f>
        <v>0</v>
      </c>
      <c r="AU822" s="7">
        <f t="shared" si="1099"/>
        <v>193340</v>
      </c>
      <c r="AV822" s="1">
        <f t="shared" si="1100"/>
        <v>2</v>
      </c>
      <c r="AW822" s="1">
        <f t="shared" si="1164"/>
        <v>10</v>
      </c>
      <c r="AX822" s="1">
        <f t="shared" si="1101"/>
        <v>2</v>
      </c>
      <c r="AY822" s="1">
        <f>MIN(20,MAX(0,O822+0+1-0))</f>
        <v>2</v>
      </c>
      <c r="AZ822" s="1">
        <f t="shared" si="1102"/>
        <v>5</v>
      </c>
      <c r="BA822" s="1">
        <f t="shared" si="1155"/>
        <v>5</v>
      </c>
      <c r="BB822" s="1">
        <f t="shared" si="1163"/>
        <v>20</v>
      </c>
      <c r="BC822" s="1">
        <f t="shared" si="1161"/>
        <v>3</v>
      </c>
      <c r="BD822" s="1">
        <f t="shared" si="1142"/>
        <v>0</v>
      </c>
      <c r="BE822" s="1">
        <f>MAX(0,U822-IF(AF822&gt;0,1,0))+0</f>
        <v>0</v>
      </c>
      <c r="BF822" s="1">
        <f t="shared" si="1165"/>
        <v>4</v>
      </c>
      <c r="BG822" s="1">
        <f t="shared" si="1152"/>
        <v>1</v>
      </c>
      <c r="BH822" s="1">
        <f t="shared" si="1136"/>
        <v>1</v>
      </c>
      <c r="BI822" s="1">
        <f t="shared" si="1153"/>
        <v>1</v>
      </c>
      <c r="BJ822" s="1">
        <f t="shared" si="1156"/>
        <v>1</v>
      </c>
      <c r="BK822" s="1">
        <f t="shared" si="1157"/>
        <v>1</v>
      </c>
      <c r="BL822" s="1">
        <f t="shared" si="1162"/>
        <v>1</v>
      </c>
      <c r="BM822" s="1">
        <f t="shared" si="1160"/>
        <v>1</v>
      </c>
      <c r="BN822" s="1">
        <f t="shared" si="1137"/>
        <v>1</v>
      </c>
      <c r="BO822" s="1">
        <f t="shared" si="1138"/>
        <v>1</v>
      </c>
    </row>
    <row r="823" spans="1:67" ht="30.95" customHeight="1">
      <c r="A823" s="1">
        <f>22</f>
        <v>22</v>
      </c>
      <c r="B823" s="1">
        <f>固定流程!A31</f>
        <v>26</v>
      </c>
      <c r="C823" s="1">
        <f>25</f>
        <v>25</v>
      </c>
      <c r="D823" s="1">
        <f>2</f>
        <v>2</v>
      </c>
      <c r="E823" s="1">
        <f>固定流程!C31</f>
        <v>3</v>
      </c>
      <c r="F823" s="1">
        <f>固定流程!G31</f>
        <v>2</v>
      </c>
      <c r="G823" s="1" t="str">
        <f>固定流程!H31</f>
        <v>37_WEAK</v>
      </c>
      <c r="H823" s="1">
        <f>固定流程!F31</f>
        <v>1</v>
      </c>
      <c r="I823" s="1">
        <f>INDEX(配置与结果!$B$15:$B$18,F823)</f>
        <v>2306</v>
      </c>
      <c r="J823" s="1">
        <f>INDEX(配置与结果!$D$15:$D$18,F823)</f>
        <v>0.46</v>
      </c>
      <c r="K823" s="1">
        <f>INDEX(配置与结果!$E$15:$E$18,F823)</f>
        <v>1.9279999999999999</v>
      </c>
      <c r="L823" s="1">
        <f t="shared" si="1149"/>
        <v>2</v>
      </c>
      <c r="M823" s="1">
        <f t="shared" si="1150"/>
        <v>10</v>
      </c>
      <c r="N823" s="1">
        <f t="shared" si="1151"/>
        <v>2</v>
      </c>
      <c r="O823" s="1">
        <f t="shared" si="1143"/>
        <v>2</v>
      </c>
      <c r="P823" s="1">
        <f>MIN(方案参数!$AI$25,AZ822+0+0)</f>
        <v>5</v>
      </c>
      <c r="Q823" s="1">
        <f t="shared" si="1121"/>
        <v>5</v>
      </c>
      <c r="R823" s="1">
        <f t="shared" si="1122"/>
        <v>20</v>
      </c>
      <c r="S823" s="1">
        <f t="shared" si="1123"/>
        <v>3</v>
      </c>
      <c r="T823" s="1">
        <f t="shared" si="1158"/>
        <v>0</v>
      </c>
      <c r="U823" s="1">
        <f t="shared" si="1125"/>
        <v>0</v>
      </c>
      <c r="V823" s="1">
        <f t="shared" si="1126"/>
        <v>4</v>
      </c>
      <c r="W823" s="1">
        <f t="shared" si="1127"/>
        <v>1</v>
      </c>
      <c r="X823" s="1">
        <f t="shared" si="1128"/>
        <v>1</v>
      </c>
      <c r="Y823" s="1">
        <f t="shared" si="1129"/>
        <v>1</v>
      </c>
      <c r="Z823" s="1">
        <f t="shared" si="1130"/>
        <v>1</v>
      </c>
      <c r="AA823" s="1">
        <f t="shared" si="1154"/>
        <v>1</v>
      </c>
      <c r="AB823" s="1">
        <f t="shared" si="1132"/>
        <v>1</v>
      </c>
      <c r="AC823" s="1">
        <f t="shared" si="1159"/>
        <v>1</v>
      </c>
      <c r="AD823" s="1">
        <f>ROUNDDOWN(I823*(1+IF(F823=3,0.05+方案参数!$Y$25+AA823*0.12,IF(F823=4,方案参数!$BZ$25*方案参数!$AS$25,0)))+IF(AND(X823=1,F823&lt;&gt;3),方案参数!$CC$25,0)+AC823*方案参数!$CB$25,0)</f>
        <v>3044</v>
      </c>
      <c r="AE823" s="1">
        <f>IF(OR(F823=1,F823=4),配置与结果!$B$24,配置与结果!$B$25)*MAX(0,1-INDEX(配置与结果!$I$15:$I$18,F823))</f>
        <v>1000</v>
      </c>
      <c r="AF823" s="1">
        <f>方案参数!$CE$25</f>
        <v>8</v>
      </c>
      <c r="AG823" s="1">
        <f>MAX(配置与结果!$B$32,1+INDEX(配置与结果!$F$15:$F$18,F823)+0+Q823*方案参数!$W$25+Y823*(方案参数!$AN$25+MIN(方案参数!$AO$25,P823*0.03))+AB823*方案参数!$BZ$25*0.025-配置与结果!$B$28+方案参数!$AE$25)</f>
        <v>2.2800000000000002</v>
      </c>
      <c r="AH823" s="1">
        <f>MAX(0,1+V823*方案参数!$U$25+方案参数!$AE$25-配置与结果!$B$29)</f>
        <v>1.56</v>
      </c>
      <c r="AI823" s="1">
        <f>IF(OR(INDEX(配置与结果!$K$15:$K$18,F823)=1,G823="RHI_BERRY"),1+配置与结果!$B$33+P823*方案参数!$AH$25,1)</f>
        <v>1</v>
      </c>
      <c r="AJ823" s="1">
        <f>MIN(1,MAX(0,J823+方案参数!$AB$25-配置与结果!$B$27))</f>
        <v>0.76</v>
      </c>
      <c r="AK823" s="1">
        <f>MAX(1,K823+IF(F823=2,0.15+方案参数!$CH$25,0)+BN823*方案参数!$X$25+R823*方案参数!$AA$25+0-配置与结果!$B$26+Z823*(方案参数!$AP$25+MIN(方案参数!$AQ$25,P823*0.03)))</f>
        <v>2.3380000000000001</v>
      </c>
      <c r="AL823" s="7">
        <f>ROUNDDOWN(MAX(AD823*配置与结果!$B$31,AD823-AE823)*AF823*AG823*AH823*AI823,0)</f>
        <v>58160</v>
      </c>
      <c r="AM823" s="7">
        <f>ROUNDDOWN(MAX(AD823*配置与结果!$B$31,AD823-AE823)*AF823*AG823*AH823*AI823*AK823,0)</f>
        <v>135979</v>
      </c>
      <c r="AN823" s="7">
        <f t="shared" si="1095"/>
        <v>117302.44</v>
      </c>
      <c r="AO823" s="7">
        <f>0</f>
        <v>0</v>
      </c>
      <c r="AP823" s="7">
        <f>MAX(0,1+INDEX(配置与结果!$J$15:$J$18,F823)+IF(T823&gt;0,方案参数!$BY$25,0)-配置与结果!$B$30)</f>
        <v>1</v>
      </c>
      <c r="AQ823" s="7">
        <f t="shared" si="1096"/>
        <v>0</v>
      </c>
      <c r="AR823" s="7">
        <f t="shared" si="1097"/>
        <v>0</v>
      </c>
      <c r="AS823" s="7">
        <f t="shared" si="1098"/>
        <v>0</v>
      </c>
      <c r="AT823" s="7">
        <f>IF(U823&gt;0,ROUNDDOWN(AL823*方案参数!$AF$25,0)*(1-AJ823)+ROUNDDOWN(AM823*方案参数!$AF$25,0)*AJ823,0)</f>
        <v>0</v>
      </c>
      <c r="AU823" s="7">
        <f t="shared" si="1099"/>
        <v>117302.44</v>
      </c>
      <c r="AV823" s="1">
        <f t="shared" si="1100"/>
        <v>2</v>
      </c>
      <c r="AW823" s="1">
        <f t="shared" si="1164"/>
        <v>10</v>
      </c>
      <c r="AX823" s="1">
        <f t="shared" si="1101"/>
        <v>2</v>
      </c>
      <c r="AY823" s="1">
        <f>MIN(20,MAX(0,O823+0+0-0))</f>
        <v>2</v>
      </c>
      <c r="AZ823" s="1">
        <f t="shared" si="1102"/>
        <v>5</v>
      </c>
      <c r="BA823" s="1">
        <f t="shared" si="1155"/>
        <v>5</v>
      </c>
      <c r="BB823" s="1">
        <f t="shared" si="1163"/>
        <v>20</v>
      </c>
      <c r="BC823" s="1">
        <f t="shared" si="1161"/>
        <v>3</v>
      </c>
      <c r="BD823" s="1">
        <f t="shared" si="1142"/>
        <v>0</v>
      </c>
      <c r="BE823" s="1">
        <f>MAX(0,U823-IF(AF823&gt;0,1,0))+1</f>
        <v>1</v>
      </c>
      <c r="BF823" s="1">
        <f t="shared" si="1165"/>
        <v>4</v>
      </c>
      <c r="BG823" s="1">
        <f t="shared" si="1152"/>
        <v>1</v>
      </c>
      <c r="BH823" s="1">
        <f t="shared" si="1136"/>
        <v>1</v>
      </c>
      <c r="BI823" s="1">
        <f t="shared" si="1153"/>
        <v>1</v>
      </c>
      <c r="BJ823" s="1">
        <f t="shared" si="1156"/>
        <v>1</v>
      </c>
      <c r="BK823" s="1">
        <f t="shared" si="1157"/>
        <v>1</v>
      </c>
      <c r="BL823" s="1">
        <f t="shared" si="1162"/>
        <v>1</v>
      </c>
      <c r="BM823" s="1">
        <f t="shared" si="1160"/>
        <v>1</v>
      </c>
      <c r="BN823" s="1">
        <f t="shared" si="1137"/>
        <v>1</v>
      </c>
      <c r="BO823" s="1">
        <f t="shared" si="1138"/>
        <v>1</v>
      </c>
    </row>
    <row r="824" spans="1:67" ht="30.95" customHeight="1">
      <c r="A824" s="1">
        <f>22</f>
        <v>22</v>
      </c>
      <c r="B824" s="1">
        <f>固定流程!A32</f>
        <v>27</v>
      </c>
      <c r="C824" s="1">
        <f>25</f>
        <v>25</v>
      </c>
      <c r="D824" s="1">
        <f>2</f>
        <v>2</v>
      </c>
      <c r="E824" s="1">
        <f>固定流程!C32</f>
        <v>3</v>
      </c>
      <c r="F824" s="1">
        <f>固定流程!G32</f>
        <v>1</v>
      </c>
      <c r="G824" s="1" t="str">
        <f>固定流程!H32</f>
        <v>LILYA_THIRD</v>
      </c>
      <c r="H824" s="1">
        <f>固定流程!F32</f>
        <v>1</v>
      </c>
      <c r="I824" s="1">
        <f>INDEX(配置与结果!$B$15:$B$18,F824)</f>
        <v>2296</v>
      </c>
      <c r="J824" s="1">
        <f>INDEX(配置与结果!$D$15:$D$18,F824)</f>
        <v>0.7</v>
      </c>
      <c r="K824" s="1">
        <f>INDEX(配置与结果!$E$15:$E$18,F824)</f>
        <v>2.0249999999999999</v>
      </c>
      <c r="L824" s="1">
        <f t="shared" si="1149"/>
        <v>2</v>
      </c>
      <c r="M824" s="1">
        <f t="shared" si="1150"/>
        <v>10</v>
      </c>
      <c r="N824" s="1">
        <f t="shared" si="1151"/>
        <v>2</v>
      </c>
      <c r="O824" s="1">
        <f t="shared" si="1143"/>
        <v>2</v>
      </c>
      <c r="P824" s="1">
        <f>MIN(方案参数!$AI$25,AZ823+0+0)</f>
        <v>5</v>
      </c>
      <c r="Q824" s="1">
        <f t="shared" si="1121"/>
        <v>5</v>
      </c>
      <c r="R824" s="1">
        <f t="shared" si="1122"/>
        <v>20</v>
      </c>
      <c r="S824" s="1">
        <f t="shared" si="1123"/>
        <v>3</v>
      </c>
      <c r="T824" s="1">
        <f t="shared" si="1158"/>
        <v>0</v>
      </c>
      <c r="U824" s="1">
        <f t="shared" si="1125"/>
        <v>1</v>
      </c>
      <c r="V824" s="1">
        <f t="shared" si="1126"/>
        <v>4</v>
      </c>
      <c r="W824" s="1">
        <f t="shared" si="1127"/>
        <v>1</v>
      </c>
      <c r="X824" s="1">
        <f t="shared" si="1128"/>
        <v>1</v>
      </c>
      <c r="Y824" s="1">
        <f t="shared" si="1129"/>
        <v>1</v>
      </c>
      <c r="Z824" s="1">
        <f t="shared" si="1130"/>
        <v>1</v>
      </c>
      <c r="AA824" s="1">
        <f t="shared" si="1154"/>
        <v>1</v>
      </c>
      <c r="AB824" s="1">
        <f t="shared" si="1132"/>
        <v>1</v>
      </c>
      <c r="AC824" s="1">
        <f t="shared" si="1159"/>
        <v>1</v>
      </c>
      <c r="AD824" s="1">
        <f>ROUNDDOWN(I824*(1+IF(F824=3,0.05+方案参数!$Y$25+AA824*0.12,IF(F824=4,方案参数!$BZ$25*方案参数!$AS$25,0)))+IF(AND(X824=1,F824&lt;&gt;3),方案参数!$CC$25,0)+AC824*方案参数!$CB$25,0)</f>
        <v>3034</v>
      </c>
      <c r="AE824" s="1">
        <f>IF(OR(F824=1,F824=4),配置与结果!$B$24,配置与结果!$B$25)*MAX(0,1-INDEX(配置与结果!$I$15:$I$18,F824))</f>
        <v>1200</v>
      </c>
      <c r="AF824" s="1">
        <f>方案参数!$BM$25</f>
        <v>20</v>
      </c>
      <c r="AG824" s="1">
        <f>MAX(配置与结果!$B$32,1+INDEX(配置与结果!$F$15:$F$18,F824)+0.08+方案参数!$CD$25+Q824*方案参数!$W$25+Y824*(方案参数!$AN$25+MIN(方案参数!$AO$25,P824*0.03))+AB824*方案参数!$BZ$25*0.025-配置与结果!$B$28+方案参数!$AE$25)</f>
        <v>2.6150000000000002</v>
      </c>
      <c r="AH824" s="1">
        <f>MAX(0,1+V824*方案参数!$U$25+3*方案参数!$V$25+方案参数!$AE$25-配置与结果!$B$29)</f>
        <v>1.7399999999999998</v>
      </c>
      <c r="AI824" s="1">
        <f>IF(OR(INDEX(配置与结果!$K$15:$K$18,F824)=1,G824="RHI_BERRY"),1+配置与结果!$B$33+P824*方案参数!$AH$25,1)</f>
        <v>1</v>
      </c>
      <c r="AJ824" s="1">
        <f>MIN(1,MAX(0,J824+方案参数!$AB$25-配置与结果!$B$27))</f>
        <v>1</v>
      </c>
      <c r="AK824" s="1">
        <f>MAX(1,K824+IF(F824=2,0.15+方案参数!$CH$25,0)+BN824*方案参数!$X$25+R824*方案参数!$AA$25+方案参数!$BQ$25-配置与结果!$B$26+Z824*(方案参数!$AP$25+MIN(方案参数!$AQ$25,P824*0.03)))</f>
        <v>2.9650000000000003</v>
      </c>
      <c r="AL824" s="7">
        <f>ROUNDDOWN(MAX(AD824*配置与结果!$B$31,AD824-AE824)*AF824*AG824*AH824*AI824,0)</f>
        <v>166897</v>
      </c>
      <c r="AM824" s="7">
        <f>ROUNDDOWN(MAX(AD824*配置与结果!$B$31,AD824-AE824)*AF824*AG824*AH824*AI824*AK824,0)</f>
        <v>494851</v>
      </c>
      <c r="AN824" s="7">
        <f t="shared" si="1095"/>
        <v>494851</v>
      </c>
      <c r="AO824" s="7">
        <f>0</f>
        <v>0</v>
      </c>
      <c r="AP824" s="7">
        <f>MAX(0,1+INDEX(配置与结果!$J$15:$J$18,F824)+IF(T824&gt;0,方案参数!$BY$25,0)-配置与结果!$B$30)</f>
        <v>1</v>
      </c>
      <c r="AQ824" s="7">
        <f t="shared" si="1096"/>
        <v>0</v>
      </c>
      <c r="AR824" s="7">
        <f t="shared" si="1097"/>
        <v>0</v>
      </c>
      <c r="AS824" s="7">
        <f t="shared" si="1098"/>
        <v>0</v>
      </c>
      <c r="AT824" s="7">
        <f>IF(U824&gt;0,ROUNDDOWN(AL824*方案参数!$AF$25,0)*(1-AJ824)+ROUNDDOWN(AM824*方案参数!$AF$25,0)*AJ824,0)</f>
        <v>197940</v>
      </c>
      <c r="AU824" s="7">
        <f t="shared" si="1099"/>
        <v>692791</v>
      </c>
      <c r="AV824" s="1">
        <f t="shared" si="1100"/>
        <v>2</v>
      </c>
      <c r="AW824" s="1">
        <f t="shared" si="1164"/>
        <v>10</v>
      </c>
      <c r="AX824" s="1">
        <f t="shared" si="1101"/>
        <v>2</v>
      </c>
      <c r="AY824" s="1">
        <f>MIN(20,MAX(0,O824+0+1-0))</f>
        <v>3</v>
      </c>
      <c r="AZ824" s="1">
        <f t="shared" si="1102"/>
        <v>5</v>
      </c>
      <c r="BA824" s="1">
        <f t="shared" si="1155"/>
        <v>5</v>
      </c>
      <c r="BB824" s="1">
        <f t="shared" si="1163"/>
        <v>20</v>
      </c>
      <c r="BC824" s="1">
        <f t="shared" si="1161"/>
        <v>3</v>
      </c>
      <c r="BD824" s="1">
        <f t="shared" si="1142"/>
        <v>0</v>
      </c>
      <c r="BE824" s="1">
        <f>MAX(0,U824-IF(AF824&gt;0,1,0))+0</f>
        <v>0</v>
      </c>
      <c r="BF824" s="1">
        <f t="shared" si="1165"/>
        <v>4</v>
      </c>
      <c r="BG824" s="1">
        <f t="shared" si="1152"/>
        <v>1</v>
      </c>
      <c r="BH824" s="1">
        <f t="shared" si="1136"/>
        <v>1</v>
      </c>
      <c r="BI824" s="1">
        <f t="shared" si="1153"/>
        <v>1</v>
      </c>
      <c r="BJ824" s="1">
        <f t="shared" si="1156"/>
        <v>1</v>
      </c>
      <c r="BK824" s="1">
        <f t="shared" si="1157"/>
        <v>1</v>
      </c>
      <c r="BL824" s="1">
        <f t="shared" si="1162"/>
        <v>1</v>
      </c>
      <c r="BM824" s="1">
        <f t="shared" si="1160"/>
        <v>1</v>
      </c>
      <c r="BN824" s="1">
        <f t="shared" si="1137"/>
        <v>1</v>
      </c>
      <c r="BO824" s="1">
        <f t="shared" si="1138"/>
        <v>1</v>
      </c>
    </row>
    <row r="825" spans="1:67" ht="30.95" customHeight="1">
      <c r="A825" s="1">
        <f>22</f>
        <v>22</v>
      </c>
      <c r="B825" s="1">
        <f>固定流程!A33</f>
        <v>28</v>
      </c>
      <c r="C825" s="1">
        <f>25</f>
        <v>25</v>
      </c>
      <c r="D825" s="1">
        <f>2</f>
        <v>2</v>
      </c>
      <c r="E825" s="1">
        <f>固定流程!C33</f>
        <v>3</v>
      </c>
      <c r="F825" s="1">
        <f>固定流程!G33</f>
        <v>1</v>
      </c>
      <c r="G825" s="1" t="str">
        <f>固定流程!H33</f>
        <v>LILYA_WEAK</v>
      </c>
      <c r="H825" s="1">
        <f>固定流程!F33</f>
        <v>1</v>
      </c>
      <c r="I825" s="1">
        <f>INDEX(配置与结果!$B$15:$B$18,F825)</f>
        <v>2296</v>
      </c>
      <c r="J825" s="1">
        <f>INDEX(配置与结果!$D$15:$D$18,F825)</f>
        <v>0.7</v>
      </c>
      <c r="K825" s="1">
        <f>INDEX(配置与结果!$E$15:$E$18,F825)</f>
        <v>2.0249999999999999</v>
      </c>
      <c r="L825" s="1">
        <f t="shared" si="1149"/>
        <v>2</v>
      </c>
      <c r="M825" s="1">
        <f t="shared" si="1150"/>
        <v>10</v>
      </c>
      <c r="N825" s="1">
        <f t="shared" si="1151"/>
        <v>2</v>
      </c>
      <c r="O825" s="1">
        <f t="shared" si="1143"/>
        <v>3</v>
      </c>
      <c r="P825" s="1">
        <f>MIN(方案参数!$AI$25,AZ824+0+0)</f>
        <v>5</v>
      </c>
      <c r="Q825" s="1">
        <f t="shared" si="1121"/>
        <v>5</v>
      </c>
      <c r="R825" s="1">
        <f t="shared" si="1122"/>
        <v>20</v>
      </c>
      <c r="S825" s="1">
        <f t="shared" si="1123"/>
        <v>3</v>
      </c>
      <c r="T825" s="1">
        <f t="shared" si="1158"/>
        <v>0</v>
      </c>
      <c r="U825" s="1">
        <f t="shared" si="1125"/>
        <v>0</v>
      </c>
      <c r="V825" s="1">
        <f t="shared" si="1126"/>
        <v>4</v>
      </c>
      <c r="W825" s="1">
        <f t="shared" si="1127"/>
        <v>1</v>
      </c>
      <c r="X825" s="1">
        <f t="shared" si="1128"/>
        <v>1</v>
      </c>
      <c r="Y825" s="1">
        <f t="shared" si="1129"/>
        <v>1</v>
      </c>
      <c r="Z825" s="1">
        <f t="shared" si="1130"/>
        <v>1</v>
      </c>
      <c r="AA825" s="1">
        <f t="shared" si="1154"/>
        <v>1</v>
      </c>
      <c r="AB825" s="1">
        <f t="shared" si="1132"/>
        <v>1</v>
      </c>
      <c r="AC825" s="1">
        <f t="shared" si="1159"/>
        <v>1</v>
      </c>
      <c r="AD825" s="1">
        <f>ROUNDDOWN(I825*(1+IF(F825=3,0.05+方案参数!$Y$25+AA825*0.12,IF(F825=4,方案参数!$BZ$25*方案参数!$AS$25,0)))+IF(AND(X825=1,F825&lt;&gt;3),方案参数!$CC$25,0)+AC825*方案参数!$CB$25,0)</f>
        <v>3034</v>
      </c>
      <c r="AE825" s="1">
        <f>IF(OR(F825=1,F825=4),配置与结果!$B$24,配置与结果!$B$25)*MAX(0,1-INDEX(配置与结果!$I$15:$I$18,F825))</f>
        <v>1200</v>
      </c>
      <c r="AF825" s="1">
        <f>方案参数!$BL$25</f>
        <v>9</v>
      </c>
      <c r="AG825" s="1">
        <f>MAX(配置与结果!$B$32,1+INDEX(配置与结果!$F$15:$F$18,F825)+0.08+方案参数!$CD$25+Q825*方案参数!$W$25+Y825*(方案参数!$AN$25+MIN(方案参数!$AO$25,P825*0.03))+AB825*方案参数!$BZ$25*0.025-配置与结果!$B$28+方案参数!$AE$25)</f>
        <v>2.6150000000000002</v>
      </c>
      <c r="AH825" s="1">
        <f>MAX(0,1+V825*方案参数!$U$25+4*方案参数!$V$25+方案参数!$AE$25-配置与结果!$B$29)</f>
        <v>1.7999999999999998</v>
      </c>
      <c r="AI825" s="1">
        <f>IF(OR(INDEX(配置与结果!$K$15:$K$18,F825)=1,G825="RHI_BERRY"),1+配置与结果!$B$33+P825*方案参数!$AH$25,1)</f>
        <v>1</v>
      </c>
      <c r="AJ825" s="1">
        <f>MIN(1,MAX(0,J825+方案参数!$AB$25-配置与结果!$B$27))</f>
        <v>1</v>
      </c>
      <c r="AK825" s="1">
        <f>MAX(1,K825+IF(F825=2,0.15+方案参数!$CH$25,0)+BN825*方案参数!$X$25+R825*方案参数!$AA$25+方案参数!$BP$25-配置与结果!$B$26+Z825*(方案参数!$AP$25+MIN(方案参数!$AQ$25,P825*0.03)))</f>
        <v>2.7650000000000001</v>
      </c>
      <c r="AL825" s="7">
        <f>ROUNDDOWN(MAX(AD825*配置与结果!$B$31,AD825-AE825)*AF825*AG825*AH825*AI825,0)</f>
        <v>77693</v>
      </c>
      <c r="AM825" s="7">
        <f>ROUNDDOWN(MAX(AD825*配置与结果!$B$31,AD825-AE825)*AF825*AG825*AH825*AI825*AK825,0)</f>
        <v>214823</v>
      </c>
      <c r="AN825" s="7">
        <f t="shared" si="1095"/>
        <v>214823</v>
      </c>
      <c r="AO825" s="7">
        <f>0</f>
        <v>0</v>
      </c>
      <c r="AP825" s="7">
        <f>MAX(0,1+INDEX(配置与结果!$J$15:$J$18,F825)+IF(T825&gt;0,方案参数!$BY$25,0)-配置与结果!$B$30)</f>
        <v>1</v>
      </c>
      <c r="AQ825" s="7">
        <f t="shared" si="1096"/>
        <v>0</v>
      </c>
      <c r="AR825" s="7">
        <f t="shared" si="1097"/>
        <v>0</v>
      </c>
      <c r="AS825" s="7">
        <f t="shared" si="1098"/>
        <v>0</v>
      </c>
      <c r="AT825" s="7">
        <f>IF(U825&gt;0,ROUNDDOWN(AL825*方案参数!$AF$25,0)*(1-AJ825)+ROUNDDOWN(AM825*方案参数!$AF$25,0)*AJ825,0)</f>
        <v>0</v>
      </c>
      <c r="AU825" s="7">
        <f t="shared" si="1099"/>
        <v>214823</v>
      </c>
      <c r="AV825" s="1">
        <f t="shared" si="1100"/>
        <v>2</v>
      </c>
      <c r="AW825" s="1">
        <f t="shared" si="1164"/>
        <v>10</v>
      </c>
      <c r="AX825" s="1">
        <f t="shared" si="1101"/>
        <v>2</v>
      </c>
      <c r="AY825" s="1">
        <f>MIN(20,MAX(0,O825+0+1-0))</f>
        <v>4</v>
      </c>
      <c r="AZ825" s="1">
        <f t="shared" si="1102"/>
        <v>5</v>
      </c>
      <c r="BA825" s="1">
        <f t="shared" si="1155"/>
        <v>5</v>
      </c>
      <c r="BB825" s="1">
        <f t="shared" si="1163"/>
        <v>20</v>
      </c>
      <c r="BC825" s="1">
        <f t="shared" si="1161"/>
        <v>3</v>
      </c>
      <c r="BD825" s="1">
        <f t="shared" si="1142"/>
        <v>0</v>
      </c>
      <c r="BE825" s="1">
        <f>MAX(0,U825-IF(AF825&gt;0,1,0))+0</f>
        <v>0</v>
      </c>
      <c r="BF825" s="1">
        <f t="shared" si="1165"/>
        <v>4</v>
      </c>
      <c r="BG825" s="1">
        <f t="shared" si="1152"/>
        <v>1</v>
      </c>
      <c r="BH825" s="1">
        <f t="shared" si="1136"/>
        <v>1</v>
      </c>
      <c r="BI825" s="1">
        <f t="shared" si="1153"/>
        <v>1</v>
      </c>
      <c r="BJ825" s="1">
        <f t="shared" si="1156"/>
        <v>1</v>
      </c>
      <c r="BK825" s="1">
        <f t="shared" si="1157"/>
        <v>1</v>
      </c>
      <c r="BL825" s="1">
        <f t="shared" si="1162"/>
        <v>1</v>
      </c>
      <c r="BM825" s="1">
        <f t="shared" si="1160"/>
        <v>1</v>
      </c>
      <c r="BN825" s="1">
        <f t="shared" si="1137"/>
        <v>1</v>
      </c>
      <c r="BO825" s="1">
        <f t="shared" si="1138"/>
        <v>1</v>
      </c>
    </row>
    <row r="826" spans="1:67" ht="30.95" customHeight="1">
      <c r="A826" s="1">
        <f>22</f>
        <v>22</v>
      </c>
      <c r="B826" s="1">
        <f>固定流程!A34</f>
        <v>29</v>
      </c>
      <c r="C826" s="1">
        <f>25</f>
        <v>25</v>
      </c>
      <c r="D826" s="1">
        <f>2</f>
        <v>2</v>
      </c>
      <c r="E826" s="1">
        <f>固定流程!C34</f>
        <v>3</v>
      </c>
      <c r="F826" s="1">
        <f>固定流程!G34</f>
        <v>1</v>
      </c>
      <c r="G826" s="1" t="str">
        <f>固定流程!H34</f>
        <v>LILYA_WEAK</v>
      </c>
      <c r="H826" s="1">
        <f>固定流程!F34</f>
        <v>1</v>
      </c>
      <c r="I826" s="1">
        <f>INDEX(配置与结果!$B$15:$B$18,F826)</f>
        <v>2296</v>
      </c>
      <c r="J826" s="1">
        <f>INDEX(配置与结果!$D$15:$D$18,F826)</f>
        <v>0.7</v>
      </c>
      <c r="K826" s="1">
        <f>INDEX(配置与结果!$E$15:$E$18,F826)</f>
        <v>2.0249999999999999</v>
      </c>
      <c r="L826" s="1">
        <f t="shared" si="1149"/>
        <v>2</v>
      </c>
      <c r="M826" s="1">
        <f t="shared" si="1150"/>
        <v>10</v>
      </c>
      <c r="N826" s="1">
        <f t="shared" si="1151"/>
        <v>2</v>
      </c>
      <c r="O826" s="1">
        <f t="shared" si="1143"/>
        <v>4</v>
      </c>
      <c r="P826" s="1">
        <f>MIN(方案参数!$AI$25,AZ825+0+0)</f>
        <v>5</v>
      </c>
      <c r="Q826" s="1">
        <f t="shared" si="1121"/>
        <v>5</v>
      </c>
      <c r="R826" s="1">
        <f t="shared" si="1122"/>
        <v>20</v>
      </c>
      <c r="S826" s="1">
        <f t="shared" si="1123"/>
        <v>3</v>
      </c>
      <c r="T826" s="1">
        <f t="shared" si="1158"/>
        <v>0</v>
      </c>
      <c r="U826" s="1">
        <f t="shared" si="1125"/>
        <v>0</v>
      </c>
      <c r="V826" s="1">
        <f t="shared" si="1126"/>
        <v>4</v>
      </c>
      <c r="W826" s="1">
        <f t="shared" si="1127"/>
        <v>1</v>
      </c>
      <c r="X826" s="1">
        <f t="shared" si="1128"/>
        <v>1</v>
      </c>
      <c r="Y826" s="1">
        <f t="shared" si="1129"/>
        <v>1</v>
      </c>
      <c r="Z826" s="1">
        <f t="shared" si="1130"/>
        <v>1</v>
      </c>
      <c r="AA826" s="1">
        <f t="shared" si="1154"/>
        <v>1</v>
      </c>
      <c r="AB826" s="1">
        <f t="shared" si="1132"/>
        <v>1</v>
      </c>
      <c r="AC826" s="1">
        <f t="shared" si="1159"/>
        <v>1</v>
      </c>
      <c r="AD826" s="1">
        <f>ROUNDDOWN(I826*(1+IF(F826=3,0.05+方案参数!$Y$25+AA826*0.12,IF(F826=4,方案参数!$BZ$25*方案参数!$AS$25,0)))+IF(AND(X826=1,F826&lt;&gt;3),方案参数!$CC$25,0)+AC826*方案参数!$CB$25,0)</f>
        <v>3034</v>
      </c>
      <c r="AE826" s="1">
        <f>IF(OR(F826=1,F826=4),配置与结果!$B$24,配置与结果!$B$25)*MAX(0,1-INDEX(配置与结果!$I$15:$I$18,F826))</f>
        <v>1200</v>
      </c>
      <c r="AF826" s="1">
        <f>方案参数!$BL$25</f>
        <v>9</v>
      </c>
      <c r="AG826" s="1">
        <f>MAX(配置与结果!$B$32,1+INDEX(配置与结果!$F$15:$F$18,F826)+0.08+方案参数!$CD$25+Q826*方案参数!$W$25+Y826*(方案参数!$AN$25+MIN(方案参数!$AO$25,P826*0.03))+AB826*方案参数!$BZ$25*0.025-配置与结果!$B$28+方案参数!$AE$25)</f>
        <v>2.6150000000000002</v>
      </c>
      <c r="AH826" s="1">
        <f>MAX(0,1+V826*方案参数!$U$25+5*方案参数!$V$25+方案参数!$AE$25-配置与结果!$B$29)</f>
        <v>1.8599999999999999</v>
      </c>
      <c r="AI826" s="1">
        <f>IF(OR(INDEX(配置与结果!$K$15:$K$18,F826)=1,G826="RHI_BERRY"),1+配置与结果!$B$33+P826*方案参数!$AH$25,1)</f>
        <v>1</v>
      </c>
      <c r="AJ826" s="1">
        <f>MIN(1,MAX(0,J826+方案参数!$AB$25-配置与结果!$B$27))</f>
        <v>1</v>
      </c>
      <c r="AK826" s="1">
        <f>MAX(1,K826+IF(F826=2,0.15+方案参数!$CH$25,0)+BN826*方案参数!$X$25+R826*方案参数!$AA$25+方案参数!$BP$25-配置与结果!$B$26+Z826*(方案参数!$AP$25+MIN(方案参数!$AQ$25,P826*0.03)))</f>
        <v>2.7650000000000001</v>
      </c>
      <c r="AL826" s="7">
        <f>ROUNDDOWN(MAX(AD826*配置与结果!$B$31,AD826-AE826)*AF826*AG826*AH826*AI826,0)</f>
        <v>80283</v>
      </c>
      <c r="AM826" s="7">
        <f>ROUNDDOWN(MAX(AD826*配置与结果!$B$31,AD826-AE826)*AF826*AG826*AH826*AI826*AK826,0)</f>
        <v>221983</v>
      </c>
      <c r="AN826" s="7">
        <f t="shared" si="1095"/>
        <v>221983</v>
      </c>
      <c r="AO826" s="7">
        <f>0</f>
        <v>0</v>
      </c>
      <c r="AP826" s="7">
        <f>MAX(0,1+INDEX(配置与结果!$J$15:$J$18,F826)+IF(T826&gt;0,方案参数!$BY$25,0)-配置与结果!$B$30)</f>
        <v>1</v>
      </c>
      <c r="AQ826" s="7">
        <f t="shared" si="1096"/>
        <v>0</v>
      </c>
      <c r="AR826" s="7">
        <f t="shared" si="1097"/>
        <v>0</v>
      </c>
      <c r="AS826" s="7">
        <f t="shared" si="1098"/>
        <v>0</v>
      </c>
      <c r="AT826" s="7">
        <f>IF(U826&gt;0,ROUNDDOWN(AL826*方案参数!$AF$25,0)*(1-AJ826)+ROUNDDOWN(AM826*方案参数!$AF$25,0)*AJ826,0)</f>
        <v>0</v>
      </c>
      <c r="AU826" s="7">
        <f t="shared" si="1099"/>
        <v>221983</v>
      </c>
      <c r="AV826" s="1">
        <f t="shared" si="1100"/>
        <v>2</v>
      </c>
      <c r="AW826" s="1">
        <f t="shared" si="1164"/>
        <v>10</v>
      </c>
      <c r="AX826" s="1">
        <f t="shared" si="1101"/>
        <v>2</v>
      </c>
      <c r="AY826" s="1">
        <f>MIN(20,MAX(0,O826+0+1-0))</f>
        <v>5</v>
      </c>
      <c r="AZ826" s="1">
        <f t="shared" si="1102"/>
        <v>5</v>
      </c>
      <c r="BA826" s="1">
        <f t="shared" si="1155"/>
        <v>5</v>
      </c>
      <c r="BB826" s="1">
        <f t="shared" si="1163"/>
        <v>20</v>
      </c>
      <c r="BC826" s="1">
        <f t="shared" si="1161"/>
        <v>3</v>
      </c>
      <c r="BD826" s="1">
        <f t="shared" si="1142"/>
        <v>0</v>
      </c>
      <c r="BE826" s="1">
        <f>MAX(0,U826-IF(AF826&gt;0,1,0))+0</f>
        <v>0</v>
      </c>
      <c r="BF826" s="1">
        <f t="shared" si="1165"/>
        <v>4</v>
      </c>
      <c r="BG826" s="1">
        <f t="shared" si="1152"/>
        <v>1</v>
      </c>
      <c r="BH826" s="1">
        <f t="shared" si="1136"/>
        <v>1</v>
      </c>
      <c r="BI826" s="1">
        <f t="shared" si="1153"/>
        <v>1</v>
      </c>
      <c r="BJ826" s="1">
        <f t="shared" si="1156"/>
        <v>1</v>
      </c>
      <c r="BK826" s="1">
        <f t="shared" si="1157"/>
        <v>1</v>
      </c>
      <c r="BL826" s="1">
        <f t="shared" si="1162"/>
        <v>1</v>
      </c>
      <c r="BM826" s="1">
        <f t="shared" si="1160"/>
        <v>1</v>
      </c>
      <c r="BN826" s="1">
        <f t="shared" si="1137"/>
        <v>1</v>
      </c>
      <c r="BO826" s="1">
        <f t="shared" si="1138"/>
        <v>1</v>
      </c>
    </row>
    <row r="827" spans="1:67" ht="30.95" customHeight="1">
      <c r="A827" s="1">
        <f>22</f>
        <v>22</v>
      </c>
      <c r="B827" s="1">
        <f>固定流程!A35</f>
        <v>30</v>
      </c>
      <c r="C827" s="1">
        <f>25</f>
        <v>25</v>
      </c>
      <c r="D827" s="1">
        <f>2</f>
        <v>2</v>
      </c>
      <c r="E827" s="1">
        <f>固定流程!C35</f>
        <v>3</v>
      </c>
      <c r="F827" s="1">
        <f>固定流程!G35</f>
        <v>2</v>
      </c>
      <c r="G827" s="1" t="str">
        <f>固定流程!H35</f>
        <v>37_WEAK</v>
      </c>
      <c r="H827" s="1">
        <f>固定流程!F35</f>
        <v>1</v>
      </c>
      <c r="I827" s="1">
        <f>INDEX(配置与结果!$B$15:$B$18,F827)</f>
        <v>2306</v>
      </c>
      <c r="J827" s="1">
        <f>INDEX(配置与结果!$D$15:$D$18,F827)</f>
        <v>0.46</v>
      </c>
      <c r="K827" s="1">
        <f>INDEX(配置与结果!$E$15:$E$18,F827)</f>
        <v>1.9279999999999999</v>
      </c>
      <c r="L827" s="1">
        <f t="shared" si="1149"/>
        <v>2</v>
      </c>
      <c r="M827" s="1">
        <f t="shared" si="1150"/>
        <v>10</v>
      </c>
      <c r="N827" s="1">
        <f t="shared" si="1151"/>
        <v>2</v>
      </c>
      <c r="O827" s="1">
        <f t="shared" si="1143"/>
        <v>5</v>
      </c>
      <c r="P827" s="1">
        <f>MIN(方案参数!$AI$25,AZ826+0+0)</f>
        <v>5</v>
      </c>
      <c r="Q827" s="1">
        <f t="shared" si="1121"/>
        <v>5</v>
      </c>
      <c r="R827" s="1">
        <f t="shared" si="1122"/>
        <v>20</v>
      </c>
      <c r="S827" s="1">
        <f t="shared" si="1123"/>
        <v>3</v>
      </c>
      <c r="T827" s="1">
        <f t="shared" si="1158"/>
        <v>0</v>
      </c>
      <c r="U827" s="1">
        <f t="shared" si="1125"/>
        <v>0</v>
      </c>
      <c r="V827" s="1">
        <f t="shared" si="1126"/>
        <v>4</v>
      </c>
      <c r="W827" s="1">
        <f t="shared" si="1127"/>
        <v>1</v>
      </c>
      <c r="X827" s="1">
        <f t="shared" si="1128"/>
        <v>1</v>
      </c>
      <c r="Y827" s="1">
        <f t="shared" si="1129"/>
        <v>1</v>
      </c>
      <c r="Z827" s="1">
        <f t="shared" si="1130"/>
        <v>1</v>
      </c>
      <c r="AA827" s="1">
        <f t="shared" si="1154"/>
        <v>1</v>
      </c>
      <c r="AB827" s="1">
        <f t="shared" si="1132"/>
        <v>1</v>
      </c>
      <c r="AC827" s="1">
        <f t="shared" si="1159"/>
        <v>1</v>
      </c>
      <c r="AD827" s="1">
        <f>ROUNDDOWN(I827*(1+IF(F827=3,0.05+方案参数!$Y$25+AA827*0.12,IF(F827=4,方案参数!$BZ$25*方案参数!$AS$25,0)))+IF(AND(X827=1,F827&lt;&gt;3),方案参数!$CC$25,0)+AC827*方案参数!$CB$25,0)</f>
        <v>3044</v>
      </c>
      <c r="AE827" s="1">
        <f>IF(OR(F827=1,F827=4),配置与结果!$B$24,配置与结果!$B$25)*MAX(0,1-INDEX(配置与结果!$I$15:$I$18,F827))</f>
        <v>1000</v>
      </c>
      <c r="AF827" s="1">
        <f>方案参数!$CE$25</f>
        <v>8</v>
      </c>
      <c r="AG827" s="1">
        <f>MAX(配置与结果!$B$32,1+INDEX(配置与结果!$F$15:$F$18,F827)+0+Q827*方案参数!$W$25+Y827*(方案参数!$AN$25+MIN(方案参数!$AO$25,P827*0.03))+AB827*方案参数!$BZ$25*0.025-配置与结果!$B$28+方案参数!$AE$25)</f>
        <v>2.2800000000000002</v>
      </c>
      <c r="AH827" s="1">
        <f>MAX(0,1+V827*方案参数!$U$25+方案参数!$AE$25-配置与结果!$B$29)</f>
        <v>1.56</v>
      </c>
      <c r="AI827" s="1">
        <f>IF(OR(INDEX(配置与结果!$K$15:$K$18,F827)=1,G827="RHI_BERRY"),1+配置与结果!$B$33+P827*方案参数!$AH$25,1)</f>
        <v>1</v>
      </c>
      <c r="AJ827" s="1">
        <f>MIN(1,MAX(0,J827+方案参数!$AB$25-配置与结果!$B$27))</f>
        <v>0.76</v>
      </c>
      <c r="AK827" s="1">
        <f>MAX(1,K827+IF(F827=2,0.15+方案参数!$CH$25,0)+BN827*方案参数!$X$25+R827*方案参数!$AA$25+0-配置与结果!$B$26+Z827*(方案参数!$AP$25+MIN(方案参数!$AQ$25,P827*0.03)))</f>
        <v>2.3380000000000001</v>
      </c>
      <c r="AL827" s="7">
        <f>ROUNDDOWN(MAX(AD827*配置与结果!$B$31,AD827-AE827)*AF827*AG827*AH827*AI827,0)</f>
        <v>58160</v>
      </c>
      <c r="AM827" s="7">
        <f>ROUNDDOWN(MAX(AD827*配置与结果!$B$31,AD827-AE827)*AF827*AG827*AH827*AI827*AK827,0)</f>
        <v>135979</v>
      </c>
      <c r="AN827" s="7">
        <f t="shared" si="1095"/>
        <v>117302.44</v>
      </c>
      <c r="AO827" s="7">
        <f>0</f>
        <v>0</v>
      </c>
      <c r="AP827" s="7">
        <f>MAX(0,1+INDEX(配置与结果!$J$15:$J$18,F827)+IF(T827&gt;0,方案参数!$BY$25,0)-配置与结果!$B$30)</f>
        <v>1</v>
      </c>
      <c r="AQ827" s="7">
        <f t="shared" si="1096"/>
        <v>0</v>
      </c>
      <c r="AR827" s="7">
        <f t="shared" si="1097"/>
        <v>0</v>
      </c>
      <c r="AS827" s="7">
        <f t="shared" si="1098"/>
        <v>0</v>
      </c>
      <c r="AT827" s="7">
        <f>IF(U827&gt;0,ROUNDDOWN(AL827*方案参数!$AF$25,0)*(1-AJ827)+ROUNDDOWN(AM827*方案参数!$AF$25,0)*AJ827,0)</f>
        <v>0</v>
      </c>
      <c r="AU827" s="7">
        <f t="shared" si="1099"/>
        <v>117302.44</v>
      </c>
      <c r="AV827" s="1">
        <f t="shared" si="1100"/>
        <v>2</v>
      </c>
      <c r="AW827" s="1">
        <f t="shared" si="1164"/>
        <v>10</v>
      </c>
      <c r="AX827" s="1">
        <f t="shared" si="1101"/>
        <v>2</v>
      </c>
      <c r="AY827" s="1">
        <f>MIN(20,MAX(0,O827+0+0-0))</f>
        <v>5</v>
      </c>
      <c r="AZ827" s="1">
        <f t="shared" si="1102"/>
        <v>5</v>
      </c>
      <c r="BA827" s="1">
        <f t="shared" si="1155"/>
        <v>5</v>
      </c>
      <c r="BB827" s="1">
        <f t="shared" si="1163"/>
        <v>20</v>
      </c>
      <c r="BC827" s="1">
        <f t="shared" si="1161"/>
        <v>3</v>
      </c>
      <c r="BD827" s="1">
        <f t="shared" si="1142"/>
        <v>0</v>
      </c>
      <c r="BE827" s="1">
        <f>MAX(0,U827-IF(AF827&gt;0,1,0))+1</f>
        <v>1</v>
      </c>
      <c r="BF827" s="1">
        <f t="shared" si="1165"/>
        <v>4</v>
      </c>
      <c r="BG827" s="1">
        <f t="shared" si="1152"/>
        <v>1</v>
      </c>
      <c r="BH827" s="1">
        <f t="shared" si="1136"/>
        <v>1</v>
      </c>
      <c r="BI827" s="1">
        <f t="shared" si="1153"/>
        <v>1</v>
      </c>
      <c r="BJ827" s="1">
        <f t="shared" si="1156"/>
        <v>1</v>
      </c>
      <c r="BK827" s="1">
        <f t="shared" si="1157"/>
        <v>1</v>
      </c>
      <c r="BL827" s="1">
        <f t="shared" si="1162"/>
        <v>1</v>
      </c>
      <c r="BM827" s="1">
        <f t="shared" si="1160"/>
        <v>1</v>
      </c>
      <c r="BN827" s="1">
        <f t="shared" si="1137"/>
        <v>1</v>
      </c>
      <c r="BO827" s="1">
        <f t="shared" si="1138"/>
        <v>1</v>
      </c>
    </row>
    <row r="828" spans="1:67" ht="30.95" customHeight="1">
      <c r="A828" s="1">
        <f>22</f>
        <v>22</v>
      </c>
      <c r="B828" s="1">
        <f>固定流程!A36</f>
        <v>31</v>
      </c>
      <c r="C828" s="1">
        <f>25</f>
        <v>25</v>
      </c>
      <c r="D828" s="1">
        <f>2</f>
        <v>2</v>
      </c>
      <c r="E828" s="1">
        <f>固定流程!C36</f>
        <v>3</v>
      </c>
      <c r="F828" s="1">
        <f>固定流程!G36</f>
        <v>1</v>
      </c>
      <c r="G828" s="1" t="str">
        <f>固定流程!H36</f>
        <v>LILYA_THIRD</v>
      </c>
      <c r="H828" s="1">
        <f>固定流程!F36</f>
        <v>1</v>
      </c>
      <c r="I828" s="1">
        <f>INDEX(配置与结果!$B$15:$B$18,F828)</f>
        <v>2296</v>
      </c>
      <c r="J828" s="1">
        <f>INDEX(配置与结果!$D$15:$D$18,F828)</f>
        <v>0.7</v>
      </c>
      <c r="K828" s="1">
        <f>INDEX(配置与结果!$E$15:$E$18,F828)</f>
        <v>2.0249999999999999</v>
      </c>
      <c r="L828" s="1">
        <f t="shared" si="1149"/>
        <v>2</v>
      </c>
      <c r="M828" s="1">
        <f t="shared" si="1150"/>
        <v>10</v>
      </c>
      <c r="N828" s="1">
        <f t="shared" si="1151"/>
        <v>2</v>
      </c>
      <c r="O828" s="1">
        <f t="shared" si="1143"/>
        <v>5</v>
      </c>
      <c r="P828" s="1">
        <f>MIN(方案参数!$AI$25,AZ827+0+0)</f>
        <v>5</v>
      </c>
      <c r="Q828" s="1">
        <f t="shared" si="1121"/>
        <v>5</v>
      </c>
      <c r="R828" s="1">
        <f t="shared" si="1122"/>
        <v>20</v>
      </c>
      <c r="S828" s="1">
        <f t="shared" si="1123"/>
        <v>3</v>
      </c>
      <c r="T828" s="1">
        <f t="shared" si="1158"/>
        <v>0</v>
      </c>
      <c r="U828" s="1">
        <f t="shared" si="1125"/>
        <v>1</v>
      </c>
      <c r="V828" s="1">
        <f t="shared" si="1126"/>
        <v>4</v>
      </c>
      <c r="W828" s="1">
        <f t="shared" si="1127"/>
        <v>1</v>
      </c>
      <c r="X828" s="1">
        <f t="shared" si="1128"/>
        <v>1</v>
      </c>
      <c r="Y828" s="1">
        <f t="shared" si="1129"/>
        <v>1</v>
      </c>
      <c r="Z828" s="1">
        <f t="shared" si="1130"/>
        <v>1</v>
      </c>
      <c r="AA828" s="1">
        <f t="shared" si="1154"/>
        <v>1</v>
      </c>
      <c r="AB828" s="1">
        <f t="shared" si="1132"/>
        <v>1</v>
      </c>
      <c r="AC828" s="1">
        <f t="shared" si="1159"/>
        <v>1</v>
      </c>
      <c r="AD828" s="1">
        <f>ROUNDDOWN(I828*(1+IF(F828=3,0.05+方案参数!$Y$25+AA828*0.12,IF(F828=4,方案参数!$BZ$25*方案参数!$AS$25,0)))+IF(AND(X828=1,F828&lt;&gt;3),方案参数!$CC$25,0)+AC828*方案参数!$CB$25,0)</f>
        <v>3034</v>
      </c>
      <c r="AE828" s="1">
        <f>IF(OR(F828=1,F828=4),配置与结果!$B$24,配置与结果!$B$25)*MAX(0,1-INDEX(配置与结果!$I$15:$I$18,F828))</f>
        <v>1200</v>
      </c>
      <c r="AF828" s="1">
        <f>方案参数!$BM$25</f>
        <v>20</v>
      </c>
      <c r="AG828" s="1">
        <f>MAX(配置与结果!$B$32,1+INDEX(配置与结果!$F$15:$F$18,F828)+0.08+方案参数!$CD$25+Q828*方案参数!$W$25+Y828*(方案参数!$AN$25+MIN(方案参数!$AO$25,P828*0.03))+AB828*方案参数!$BZ$25*0.025-配置与结果!$B$28+方案参数!$AE$25)</f>
        <v>2.6150000000000002</v>
      </c>
      <c r="AH828" s="1">
        <f>MAX(0,1+V828*方案参数!$U$25+7*方案参数!$V$25+方案参数!$AE$25-配置与结果!$B$29)</f>
        <v>1.98</v>
      </c>
      <c r="AI828" s="1">
        <f>IF(OR(INDEX(配置与结果!$K$15:$K$18,F828)=1,G828="RHI_BERRY"),1+配置与结果!$B$33+P828*方案参数!$AH$25,1)</f>
        <v>1</v>
      </c>
      <c r="AJ828" s="1">
        <f>MIN(1,MAX(0,J828+方案参数!$AB$25-配置与结果!$B$27))</f>
        <v>1</v>
      </c>
      <c r="AK828" s="1">
        <f>MAX(1,K828+IF(F828=2,0.15+方案参数!$CH$25,0)+BN828*方案参数!$X$25+R828*方案参数!$AA$25+方案参数!$BQ$25-配置与结果!$B$26+Z828*(方案参数!$AP$25+MIN(方案参数!$AQ$25,P828*0.03)))</f>
        <v>2.9650000000000003</v>
      </c>
      <c r="AL828" s="7">
        <f>ROUNDDOWN(MAX(AD828*配置与结果!$B$31,AD828-AE828)*AF828*AG828*AH828*AI828,0)</f>
        <v>189918</v>
      </c>
      <c r="AM828" s="7">
        <f>ROUNDDOWN(MAX(AD828*配置与结果!$B$31,AD828-AE828)*AF828*AG828*AH828*AI828*AK828,0)</f>
        <v>563106</v>
      </c>
      <c r="AN828" s="7">
        <f t="shared" si="1095"/>
        <v>563106</v>
      </c>
      <c r="AO828" s="7">
        <f>0</f>
        <v>0</v>
      </c>
      <c r="AP828" s="7">
        <f>MAX(0,1+INDEX(配置与结果!$J$15:$J$18,F828)+IF(T828&gt;0,方案参数!$BY$25,0)-配置与结果!$B$30)</f>
        <v>1</v>
      </c>
      <c r="AQ828" s="7">
        <f t="shared" si="1096"/>
        <v>0</v>
      </c>
      <c r="AR828" s="7">
        <f t="shared" si="1097"/>
        <v>0</v>
      </c>
      <c r="AS828" s="7">
        <f t="shared" si="1098"/>
        <v>0</v>
      </c>
      <c r="AT828" s="7">
        <f>IF(U828&gt;0,ROUNDDOWN(AL828*方案参数!$AF$25,0)*(1-AJ828)+ROUNDDOWN(AM828*方案参数!$AF$25,0)*AJ828,0)</f>
        <v>225242</v>
      </c>
      <c r="AU828" s="7">
        <f t="shared" si="1099"/>
        <v>788348</v>
      </c>
      <c r="AV828" s="1">
        <f t="shared" si="1100"/>
        <v>2</v>
      </c>
      <c r="AW828" s="1">
        <f t="shared" si="1164"/>
        <v>10</v>
      </c>
      <c r="AX828" s="1">
        <f t="shared" si="1101"/>
        <v>2</v>
      </c>
      <c r="AY828" s="1">
        <f>MIN(20,MAX(0,O828+0+1-0))</f>
        <v>6</v>
      </c>
      <c r="AZ828" s="1">
        <f t="shared" si="1102"/>
        <v>5</v>
      </c>
      <c r="BA828" s="1">
        <f t="shared" si="1155"/>
        <v>5</v>
      </c>
      <c r="BB828" s="1">
        <f t="shared" si="1163"/>
        <v>20</v>
      </c>
      <c r="BC828" s="1">
        <f t="shared" si="1161"/>
        <v>3</v>
      </c>
      <c r="BD828" s="1">
        <f t="shared" si="1142"/>
        <v>0</v>
      </c>
      <c r="BE828" s="1">
        <f>MAX(0,U828-IF(AF828&gt;0,1,0))+0</f>
        <v>0</v>
      </c>
      <c r="BF828" s="1">
        <f t="shared" si="1165"/>
        <v>4</v>
      </c>
      <c r="BG828" s="1">
        <f t="shared" si="1152"/>
        <v>1</v>
      </c>
      <c r="BH828" s="1">
        <f t="shared" si="1136"/>
        <v>1</v>
      </c>
      <c r="BI828" s="1">
        <f t="shared" si="1153"/>
        <v>1</v>
      </c>
      <c r="BJ828" s="1">
        <f t="shared" si="1156"/>
        <v>1</v>
      </c>
      <c r="BK828" s="1">
        <f t="shared" si="1157"/>
        <v>1</v>
      </c>
      <c r="BL828" s="1">
        <f t="shared" si="1162"/>
        <v>1</v>
      </c>
      <c r="BM828" s="1">
        <f t="shared" si="1160"/>
        <v>1</v>
      </c>
      <c r="BN828" s="1">
        <f t="shared" si="1137"/>
        <v>1</v>
      </c>
      <c r="BO828" s="1">
        <f t="shared" si="1138"/>
        <v>1</v>
      </c>
    </row>
    <row r="829" spans="1:67" ht="30.95" customHeight="1">
      <c r="A829" s="1">
        <f>22</f>
        <v>22</v>
      </c>
      <c r="B829" s="1">
        <f>固定流程!A37</f>
        <v>32</v>
      </c>
      <c r="C829" s="1">
        <f>25</f>
        <v>25</v>
      </c>
      <c r="D829" s="1">
        <f>2</f>
        <v>2</v>
      </c>
      <c r="E829" s="1">
        <f>固定流程!C37</f>
        <v>3</v>
      </c>
      <c r="F829" s="1">
        <f>固定流程!G37</f>
        <v>1</v>
      </c>
      <c r="G829" s="1" t="str">
        <f>固定流程!H37</f>
        <v>LILYA_WEAK</v>
      </c>
      <c r="H829" s="1">
        <f>固定流程!F37</f>
        <v>1</v>
      </c>
      <c r="I829" s="1">
        <f>INDEX(配置与结果!$B$15:$B$18,F829)</f>
        <v>2296</v>
      </c>
      <c r="J829" s="1">
        <f>INDEX(配置与结果!$D$15:$D$18,F829)</f>
        <v>0.7</v>
      </c>
      <c r="K829" s="1">
        <f>INDEX(配置与结果!$E$15:$E$18,F829)</f>
        <v>2.0249999999999999</v>
      </c>
      <c r="L829" s="1">
        <f t="shared" si="1149"/>
        <v>2</v>
      </c>
      <c r="M829" s="1">
        <f t="shared" si="1150"/>
        <v>10</v>
      </c>
      <c r="N829" s="1">
        <f t="shared" si="1151"/>
        <v>2</v>
      </c>
      <c r="O829" s="1">
        <f t="shared" si="1143"/>
        <v>6</v>
      </c>
      <c r="P829" s="1">
        <f>MIN(方案参数!$AI$25,AZ828+0+0)</f>
        <v>5</v>
      </c>
      <c r="Q829" s="1">
        <f t="shared" si="1121"/>
        <v>5</v>
      </c>
      <c r="R829" s="1">
        <f t="shared" si="1122"/>
        <v>20</v>
      </c>
      <c r="S829" s="1">
        <f t="shared" si="1123"/>
        <v>3</v>
      </c>
      <c r="T829" s="1">
        <f t="shared" si="1158"/>
        <v>0</v>
      </c>
      <c r="U829" s="1">
        <f t="shared" si="1125"/>
        <v>0</v>
      </c>
      <c r="V829" s="1">
        <f t="shared" si="1126"/>
        <v>4</v>
      </c>
      <c r="W829" s="1">
        <f t="shared" si="1127"/>
        <v>1</v>
      </c>
      <c r="X829" s="1">
        <f t="shared" si="1128"/>
        <v>1</v>
      </c>
      <c r="Y829" s="1">
        <f t="shared" si="1129"/>
        <v>1</v>
      </c>
      <c r="Z829" s="1">
        <f t="shared" si="1130"/>
        <v>1</v>
      </c>
      <c r="AA829" s="1">
        <f t="shared" si="1154"/>
        <v>1</v>
      </c>
      <c r="AB829" s="1">
        <f t="shared" si="1132"/>
        <v>1</v>
      </c>
      <c r="AC829" s="1">
        <f t="shared" si="1159"/>
        <v>1</v>
      </c>
      <c r="AD829" s="1">
        <f>ROUNDDOWN(I829*(1+IF(F829=3,0.05+方案参数!$Y$25+AA829*0.12,IF(F829=4,方案参数!$BZ$25*方案参数!$AS$25,0)))+IF(AND(X829=1,F829&lt;&gt;3),方案参数!$CC$25,0)+AC829*方案参数!$CB$25,0)</f>
        <v>3034</v>
      </c>
      <c r="AE829" s="1">
        <f>IF(OR(F829=1,F829=4),配置与结果!$B$24,配置与结果!$B$25)*MAX(0,1-INDEX(配置与结果!$I$15:$I$18,F829))</f>
        <v>1200</v>
      </c>
      <c r="AF829" s="1">
        <f>方案参数!$BL$25</f>
        <v>9</v>
      </c>
      <c r="AG829" s="1">
        <f>MAX(配置与结果!$B$32,1+INDEX(配置与结果!$F$15:$F$18,F829)+0.08+方案参数!$CD$25+Q829*方案参数!$W$25+Y829*(方案参数!$AN$25+MIN(方案参数!$AO$25,P829*0.03))+AB829*方案参数!$BZ$25*0.025-配置与结果!$B$28+方案参数!$AE$25)</f>
        <v>2.6150000000000002</v>
      </c>
      <c r="AH829" s="1">
        <f>MAX(0,1+V829*方案参数!$U$25+8*方案参数!$V$25+方案参数!$AE$25-配置与结果!$B$29)</f>
        <v>2.04</v>
      </c>
      <c r="AI829" s="1">
        <f>IF(OR(INDEX(配置与结果!$K$15:$K$18,F829)=1,G829="RHI_BERRY"),1+配置与结果!$B$33+P829*方案参数!$AH$25,1)</f>
        <v>1</v>
      </c>
      <c r="AJ829" s="1">
        <f>MIN(1,MAX(0,J829+方案参数!$AB$25-配置与结果!$B$27))</f>
        <v>1</v>
      </c>
      <c r="AK829" s="1">
        <f>MAX(1,K829+IF(F829=2,0.15+方案参数!$CH$25,0)+BN829*方案参数!$X$25+R829*方案参数!$AA$25+方案参数!$BP$25-配置与结果!$B$26+Z829*(方案参数!$AP$25+MIN(方案参数!$AQ$25,P829*0.03)))</f>
        <v>2.7650000000000001</v>
      </c>
      <c r="AL829" s="7">
        <f>ROUNDDOWN(MAX(AD829*配置与结果!$B$31,AD829-AE829)*AF829*AG829*AH829*AI829,0)</f>
        <v>88052</v>
      </c>
      <c r="AM829" s="7">
        <f>ROUNDDOWN(MAX(AD829*配置与结果!$B$31,AD829-AE829)*AF829*AG829*AH829*AI829*AK829,0)</f>
        <v>243466</v>
      </c>
      <c r="AN829" s="7">
        <f t="shared" si="1095"/>
        <v>243466</v>
      </c>
      <c r="AO829" s="7">
        <f>0</f>
        <v>0</v>
      </c>
      <c r="AP829" s="7">
        <f>MAX(0,1+INDEX(配置与结果!$J$15:$J$18,F829)+IF(T829&gt;0,方案参数!$BY$25,0)-配置与结果!$B$30)</f>
        <v>1</v>
      </c>
      <c r="AQ829" s="7">
        <f t="shared" si="1096"/>
        <v>0</v>
      </c>
      <c r="AR829" s="7">
        <f t="shared" si="1097"/>
        <v>0</v>
      </c>
      <c r="AS829" s="7">
        <f t="shared" si="1098"/>
        <v>0</v>
      </c>
      <c r="AT829" s="7">
        <f>IF(U829&gt;0,ROUNDDOWN(AL829*方案参数!$AF$25,0)*(1-AJ829)+ROUNDDOWN(AM829*方案参数!$AF$25,0)*AJ829,0)</f>
        <v>0</v>
      </c>
      <c r="AU829" s="7">
        <f t="shared" si="1099"/>
        <v>243466</v>
      </c>
      <c r="AV829" s="1">
        <f t="shared" si="1100"/>
        <v>2</v>
      </c>
      <c r="AW829" s="1">
        <f t="shared" si="1164"/>
        <v>10</v>
      </c>
      <c r="AX829" s="1">
        <f t="shared" si="1101"/>
        <v>2</v>
      </c>
      <c r="AY829" s="1">
        <f>MIN(20,MAX(0,O829+0+1-0))</f>
        <v>7</v>
      </c>
      <c r="AZ829" s="1">
        <f t="shared" si="1102"/>
        <v>5</v>
      </c>
      <c r="BA829" s="1">
        <f t="shared" si="1155"/>
        <v>5</v>
      </c>
      <c r="BB829" s="1">
        <f t="shared" si="1163"/>
        <v>20</v>
      </c>
      <c r="BC829" s="1">
        <f t="shared" si="1161"/>
        <v>3</v>
      </c>
      <c r="BD829" s="1">
        <f t="shared" si="1142"/>
        <v>0</v>
      </c>
      <c r="BE829" s="1">
        <f>MAX(0,U829-IF(AF829&gt;0,1,0))+0</f>
        <v>0</v>
      </c>
      <c r="BF829" s="1">
        <f t="shared" si="1165"/>
        <v>4</v>
      </c>
      <c r="BG829" s="1">
        <f t="shared" si="1152"/>
        <v>1</v>
      </c>
      <c r="BH829" s="1">
        <f t="shared" si="1136"/>
        <v>1</v>
      </c>
      <c r="BI829" s="1">
        <f t="shared" si="1153"/>
        <v>1</v>
      </c>
      <c r="BJ829" s="1">
        <f t="shared" si="1156"/>
        <v>1</v>
      </c>
      <c r="BK829" s="1">
        <f t="shared" si="1157"/>
        <v>1</v>
      </c>
      <c r="BL829" s="1">
        <f t="shared" si="1162"/>
        <v>1</v>
      </c>
      <c r="BM829" s="1">
        <f t="shared" si="1160"/>
        <v>1</v>
      </c>
      <c r="BN829" s="1">
        <f t="shared" si="1137"/>
        <v>1</v>
      </c>
      <c r="BO829" s="1">
        <f t="shared" si="1138"/>
        <v>1</v>
      </c>
    </row>
    <row r="830" spans="1:67" ht="30.95" customHeight="1">
      <c r="A830" s="1">
        <f>22</f>
        <v>22</v>
      </c>
      <c r="B830" s="1">
        <f>固定流程!A38</f>
        <v>33</v>
      </c>
      <c r="C830" s="1">
        <f>25</f>
        <v>25</v>
      </c>
      <c r="D830" s="1">
        <f>2</f>
        <v>2</v>
      </c>
      <c r="E830" s="1">
        <f>固定流程!C38</f>
        <v>3</v>
      </c>
      <c r="F830" s="1">
        <f>固定流程!G38</f>
        <v>1</v>
      </c>
      <c r="G830" s="1" t="str">
        <f>固定流程!H38</f>
        <v>LILYA_WEAK</v>
      </c>
      <c r="H830" s="1">
        <f>固定流程!F38</f>
        <v>1</v>
      </c>
      <c r="I830" s="1">
        <f>INDEX(配置与结果!$B$15:$B$18,F830)</f>
        <v>2296</v>
      </c>
      <c r="J830" s="1">
        <f>INDEX(配置与结果!$D$15:$D$18,F830)</f>
        <v>0.7</v>
      </c>
      <c r="K830" s="1">
        <f>INDEX(配置与结果!$E$15:$E$18,F830)</f>
        <v>2.0249999999999999</v>
      </c>
      <c r="L830" s="1">
        <f t="shared" si="1149"/>
        <v>2</v>
      </c>
      <c r="M830" s="1">
        <f t="shared" si="1150"/>
        <v>10</v>
      </c>
      <c r="N830" s="1">
        <f t="shared" si="1151"/>
        <v>2</v>
      </c>
      <c r="O830" s="1">
        <f t="shared" si="1143"/>
        <v>7</v>
      </c>
      <c r="P830" s="1">
        <f>MIN(方案参数!$AI$25,AZ829+0+0)</f>
        <v>5</v>
      </c>
      <c r="Q830" s="1">
        <f t="shared" si="1121"/>
        <v>5</v>
      </c>
      <c r="R830" s="1">
        <f t="shared" si="1122"/>
        <v>20</v>
      </c>
      <c r="S830" s="1">
        <f t="shared" si="1123"/>
        <v>3</v>
      </c>
      <c r="T830" s="1">
        <f t="shared" si="1158"/>
        <v>0</v>
      </c>
      <c r="U830" s="1">
        <f t="shared" si="1125"/>
        <v>0</v>
      </c>
      <c r="V830" s="1">
        <f t="shared" si="1126"/>
        <v>4</v>
      </c>
      <c r="W830" s="1">
        <f t="shared" si="1127"/>
        <v>1</v>
      </c>
      <c r="X830" s="1">
        <f t="shared" si="1128"/>
        <v>1</v>
      </c>
      <c r="Y830" s="1">
        <f t="shared" si="1129"/>
        <v>1</v>
      </c>
      <c r="Z830" s="1">
        <f t="shared" si="1130"/>
        <v>1</v>
      </c>
      <c r="AA830" s="1">
        <f t="shared" si="1154"/>
        <v>1</v>
      </c>
      <c r="AB830" s="1">
        <f t="shared" si="1132"/>
        <v>1</v>
      </c>
      <c r="AC830" s="1">
        <f t="shared" si="1159"/>
        <v>1</v>
      </c>
      <c r="AD830" s="1">
        <f>ROUNDDOWN(I830*(1+IF(F830=3,0.05+方案参数!$Y$25+AA830*0.12,IF(F830=4,方案参数!$BZ$25*方案参数!$AS$25,0)))+IF(AND(X830=1,F830&lt;&gt;3),方案参数!$CC$25,0)+AC830*方案参数!$CB$25,0)</f>
        <v>3034</v>
      </c>
      <c r="AE830" s="1">
        <f>IF(OR(F830=1,F830=4),配置与结果!$B$24,配置与结果!$B$25)*MAX(0,1-INDEX(配置与结果!$I$15:$I$18,F830))</f>
        <v>1200</v>
      </c>
      <c r="AF830" s="1">
        <f>方案参数!$BL$25</f>
        <v>9</v>
      </c>
      <c r="AG830" s="1">
        <f>MAX(配置与结果!$B$32,1+INDEX(配置与结果!$F$15:$F$18,F830)+0.08+方案参数!$CD$25+Q830*方案参数!$W$25+Y830*(方案参数!$AN$25+MIN(方案参数!$AO$25,P830*0.03))+AB830*方案参数!$BZ$25*0.025-配置与结果!$B$28+方案参数!$AE$25)</f>
        <v>2.6150000000000002</v>
      </c>
      <c r="AH830" s="1">
        <f>MAX(0,1+V830*方案参数!$U$25+9*方案参数!$V$25+方案参数!$AE$25-配置与结果!$B$29)</f>
        <v>2.1</v>
      </c>
      <c r="AI830" s="1">
        <f>IF(OR(INDEX(配置与结果!$K$15:$K$18,F830)=1,G830="RHI_BERRY"),1+配置与结果!$B$33+P830*方案参数!$AH$25,1)</f>
        <v>1</v>
      </c>
      <c r="AJ830" s="1">
        <f>MIN(1,MAX(0,J830+方案参数!$AB$25-配置与结果!$B$27))</f>
        <v>1</v>
      </c>
      <c r="AK830" s="1">
        <f>MAX(1,K830+IF(F830=2,0.15+方案参数!$CH$25,0)+BN830*方案参数!$X$25+R830*方案参数!$AA$25+方案参数!$BP$25-配置与结果!$B$26+Z830*(方案参数!$AP$25+MIN(方案参数!$AQ$25,P830*0.03)))</f>
        <v>2.7650000000000001</v>
      </c>
      <c r="AL830" s="7">
        <f>ROUNDDOWN(MAX(AD830*配置与结果!$B$31,AD830-AE830)*AF830*AG830*AH830*AI830,0)</f>
        <v>90642</v>
      </c>
      <c r="AM830" s="7">
        <f>ROUNDDOWN(MAX(AD830*配置与结果!$B$31,AD830-AE830)*AF830*AG830*AH830*AI830*AK830,0)</f>
        <v>250627</v>
      </c>
      <c r="AN830" s="7">
        <f t="shared" si="1095"/>
        <v>250627</v>
      </c>
      <c r="AO830" s="7">
        <f>0</f>
        <v>0</v>
      </c>
      <c r="AP830" s="7">
        <f>MAX(0,1+INDEX(配置与结果!$J$15:$J$18,F830)+IF(T830&gt;0,方案参数!$BY$25,0)-配置与结果!$B$30)</f>
        <v>1</v>
      </c>
      <c r="AQ830" s="7">
        <f t="shared" si="1096"/>
        <v>0</v>
      </c>
      <c r="AR830" s="7">
        <f t="shared" si="1097"/>
        <v>0</v>
      </c>
      <c r="AS830" s="7">
        <f t="shared" si="1098"/>
        <v>0</v>
      </c>
      <c r="AT830" s="7">
        <f>IF(U830&gt;0,ROUNDDOWN(AL830*方案参数!$AF$25,0)*(1-AJ830)+ROUNDDOWN(AM830*方案参数!$AF$25,0)*AJ830,0)</f>
        <v>0</v>
      </c>
      <c r="AU830" s="7">
        <f t="shared" si="1099"/>
        <v>250627</v>
      </c>
      <c r="AV830" s="1">
        <f t="shared" si="1100"/>
        <v>2</v>
      </c>
      <c r="AW830" s="1">
        <f t="shared" si="1164"/>
        <v>10</v>
      </c>
      <c r="AX830" s="1">
        <f t="shared" si="1101"/>
        <v>2</v>
      </c>
      <c r="AY830" s="1">
        <f>MIN(20,MAX(0,O830+0+1-0))</f>
        <v>8</v>
      </c>
      <c r="AZ830" s="1">
        <f t="shared" si="1102"/>
        <v>5</v>
      </c>
      <c r="BA830" s="1">
        <f t="shared" si="1155"/>
        <v>5</v>
      </c>
      <c r="BB830" s="1">
        <f t="shared" si="1163"/>
        <v>20</v>
      </c>
      <c r="BC830" s="1">
        <f t="shared" si="1161"/>
        <v>3</v>
      </c>
      <c r="BD830" s="1">
        <f t="shared" si="1142"/>
        <v>0</v>
      </c>
      <c r="BE830" s="1">
        <f>MAX(0,U830-IF(AF830&gt;0,1,0))+0</f>
        <v>0</v>
      </c>
      <c r="BF830" s="1">
        <f t="shared" si="1165"/>
        <v>4</v>
      </c>
      <c r="BG830" s="1">
        <f t="shared" si="1152"/>
        <v>1</v>
      </c>
      <c r="BH830" s="1">
        <f t="shared" si="1136"/>
        <v>1</v>
      </c>
      <c r="BI830" s="1">
        <f t="shared" si="1153"/>
        <v>1</v>
      </c>
      <c r="BJ830" s="1">
        <f t="shared" si="1156"/>
        <v>1</v>
      </c>
      <c r="BK830" s="1">
        <f t="shared" si="1157"/>
        <v>1</v>
      </c>
      <c r="BL830" s="1">
        <f t="shared" si="1162"/>
        <v>1</v>
      </c>
      <c r="BM830" s="1">
        <f t="shared" si="1160"/>
        <v>1</v>
      </c>
      <c r="BN830" s="1">
        <f t="shared" si="1137"/>
        <v>1</v>
      </c>
      <c r="BO830" s="1">
        <f t="shared" si="1138"/>
        <v>1</v>
      </c>
    </row>
    <row r="831" spans="1:67" ht="30.95" customHeight="1">
      <c r="A831" s="1">
        <f>22</f>
        <v>22</v>
      </c>
      <c r="B831" s="1">
        <f>固定流程!A39</f>
        <v>34</v>
      </c>
      <c r="C831" s="1">
        <f>25</f>
        <v>25</v>
      </c>
      <c r="D831" s="1">
        <f>2</f>
        <v>2</v>
      </c>
      <c r="E831" s="1">
        <f>固定流程!C39</f>
        <v>3</v>
      </c>
      <c r="F831" s="1">
        <f>固定流程!G39</f>
        <v>2</v>
      </c>
      <c r="G831" s="1" t="str">
        <f>固定流程!H39</f>
        <v>37_WEAK</v>
      </c>
      <c r="H831" s="1">
        <f>固定流程!F39</f>
        <v>1</v>
      </c>
      <c r="I831" s="1">
        <f>INDEX(配置与结果!$B$15:$B$18,F831)</f>
        <v>2306</v>
      </c>
      <c r="J831" s="1">
        <f>INDEX(配置与结果!$D$15:$D$18,F831)</f>
        <v>0.46</v>
      </c>
      <c r="K831" s="1">
        <f>INDEX(配置与结果!$E$15:$E$18,F831)</f>
        <v>1.9279999999999999</v>
      </c>
      <c r="L831" s="1">
        <f t="shared" si="1149"/>
        <v>2</v>
      </c>
      <c r="M831" s="1">
        <f t="shared" si="1150"/>
        <v>10</v>
      </c>
      <c r="N831" s="1">
        <f t="shared" si="1151"/>
        <v>2</v>
      </c>
      <c r="O831" s="1">
        <f t="shared" si="1143"/>
        <v>8</v>
      </c>
      <c r="P831" s="1">
        <f>MIN(方案参数!$AI$25,AZ830+0+0)</f>
        <v>5</v>
      </c>
      <c r="Q831" s="1">
        <f t="shared" si="1121"/>
        <v>5</v>
      </c>
      <c r="R831" s="1">
        <f t="shared" si="1122"/>
        <v>20</v>
      </c>
      <c r="S831" s="1">
        <f t="shared" si="1123"/>
        <v>3</v>
      </c>
      <c r="T831" s="1">
        <f t="shared" si="1158"/>
        <v>0</v>
      </c>
      <c r="U831" s="1">
        <f t="shared" si="1125"/>
        <v>0</v>
      </c>
      <c r="V831" s="1">
        <f t="shared" si="1126"/>
        <v>4</v>
      </c>
      <c r="W831" s="1">
        <f t="shared" si="1127"/>
        <v>1</v>
      </c>
      <c r="X831" s="1">
        <f t="shared" si="1128"/>
        <v>1</v>
      </c>
      <c r="Y831" s="1">
        <f t="shared" si="1129"/>
        <v>1</v>
      </c>
      <c r="Z831" s="1">
        <f t="shared" si="1130"/>
        <v>1</v>
      </c>
      <c r="AA831" s="1">
        <f t="shared" si="1154"/>
        <v>1</v>
      </c>
      <c r="AB831" s="1">
        <f t="shared" si="1132"/>
        <v>1</v>
      </c>
      <c r="AC831" s="1">
        <f t="shared" si="1159"/>
        <v>1</v>
      </c>
      <c r="AD831" s="1">
        <f>ROUNDDOWN(I831*(1+IF(F831=3,0.05+方案参数!$Y$25+AA831*0.12,IF(F831=4,方案参数!$BZ$25*方案参数!$AS$25,0)))+IF(AND(X831=1,F831&lt;&gt;3),方案参数!$CC$25,0)+AC831*方案参数!$CB$25,0)</f>
        <v>3044</v>
      </c>
      <c r="AE831" s="1">
        <f>IF(OR(F831=1,F831=4),配置与结果!$B$24,配置与结果!$B$25)*MAX(0,1-INDEX(配置与结果!$I$15:$I$18,F831))</f>
        <v>1000</v>
      </c>
      <c r="AF831" s="1">
        <f>方案参数!$CE$25</f>
        <v>8</v>
      </c>
      <c r="AG831" s="1">
        <f>MAX(配置与结果!$B$32,1+INDEX(配置与结果!$F$15:$F$18,F831)+0+Q831*方案参数!$W$25+Y831*(方案参数!$AN$25+MIN(方案参数!$AO$25,P831*0.03))+AB831*方案参数!$BZ$25*0.025-配置与结果!$B$28+方案参数!$AE$25)</f>
        <v>2.2800000000000002</v>
      </c>
      <c r="AH831" s="1">
        <f>MAX(0,1+V831*方案参数!$U$25+方案参数!$AE$25-配置与结果!$B$29)</f>
        <v>1.56</v>
      </c>
      <c r="AI831" s="1">
        <f>IF(OR(INDEX(配置与结果!$K$15:$K$18,F831)=1,G831="RHI_BERRY"),1+配置与结果!$B$33+P831*方案参数!$AH$25,1)</f>
        <v>1</v>
      </c>
      <c r="AJ831" s="1">
        <f>MIN(1,MAX(0,J831+方案参数!$AB$25-配置与结果!$B$27))</f>
        <v>0.76</v>
      </c>
      <c r="AK831" s="1">
        <f>MAX(1,K831+IF(F831=2,0.15+方案参数!$CH$25,0)+BN831*方案参数!$X$25+R831*方案参数!$AA$25+0-配置与结果!$B$26+Z831*(方案参数!$AP$25+MIN(方案参数!$AQ$25,P831*0.03)))</f>
        <v>2.3380000000000001</v>
      </c>
      <c r="AL831" s="7">
        <f>ROUNDDOWN(MAX(AD831*配置与结果!$B$31,AD831-AE831)*AF831*AG831*AH831*AI831,0)</f>
        <v>58160</v>
      </c>
      <c r="AM831" s="7">
        <f>ROUNDDOWN(MAX(AD831*配置与结果!$B$31,AD831-AE831)*AF831*AG831*AH831*AI831*AK831,0)</f>
        <v>135979</v>
      </c>
      <c r="AN831" s="7">
        <f t="shared" si="1095"/>
        <v>117302.44</v>
      </c>
      <c r="AO831" s="7">
        <f>0</f>
        <v>0</v>
      </c>
      <c r="AP831" s="7">
        <f>MAX(0,1+INDEX(配置与结果!$J$15:$J$18,F831)+IF(T831&gt;0,方案参数!$BY$25,0)-配置与结果!$B$30)</f>
        <v>1</v>
      </c>
      <c r="AQ831" s="7">
        <f t="shared" si="1096"/>
        <v>0</v>
      </c>
      <c r="AR831" s="7">
        <f t="shared" si="1097"/>
        <v>0</v>
      </c>
      <c r="AS831" s="7">
        <f t="shared" si="1098"/>
        <v>0</v>
      </c>
      <c r="AT831" s="7">
        <f>IF(U831&gt;0,ROUNDDOWN(AL831*方案参数!$AF$25,0)*(1-AJ831)+ROUNDDOWN(AM831*方案参数!$AF$25,0)*AJ831,0)</f>
        <v>0</v>
      </c>
      <c r="AU831" s="7">
        <f t="shared" si="1099"/>
        <v>117302.44</v>
      </c>
      <c r="AV831" s="1">
        <f t="shared" si="1100"/>
        <v>2</v>
      </c>
      <c r="AW831" s="1">
        <f t="shared" si="1164"/>
        <v>10</v>
      </c>
      <c r="AX831" s="1">
        <f t="shared" si="1101"/>
        <v>2</v>
      </c>
      <c r="AY831" s="1">
        <f>MIN(20,MAX(0,O831+0+0-0))</f>
        <v>8</v>
      </c>
      <c r="AZ831" s="1">
        <f t="shared" si="1102"/>
        <v>5</v>
      </c>
      <c r="BA831" s="1">
        <f t="shared" si="1155"/>
        <v>5</v>
      </c>
      <c r="BB831" s="1">
        <f t="shared" si="1163"/>
        <v>20</v>
      </c>
      <c r="BC831" s="1">
        <f t="shared" si="1161"/>
        <v>3</v>
      </c>
      <c r="BD831" s="1">
        <f t="shared" si="1142"/>
        <v>0</v>
      </c>
      <c r="BE831" s="1">
        <f>MAX(0,U831-IF(AF831&gt;0,1,0))+1</f>
        <v>1</v>
      </c>
      <c r="BF831" s="1">
        <f t="shared" si="1165"/>
        <v>4</v>
      </c>
      <c r="BG831" s="1">
        <f t="shared" si="1152"/>
        <v>1</v>
      </c>
      <c r="BH831" s="1">
        <f t="shared" si="1136"/>
        <v>1</v>
      </c>
      <c r="BI831" s="1">
        <f t="shared" si="1153"/>
        <v>1</v>
      </c>
      <c r="BJ831" s="1">
        <f t="shared" si="1156"/>
        <v>1</v>
      </c>
      <c r="BK831" s="1">
        <f t="shared" si="1157"/>
        <v>1</v>
      </c>
      <c r="BL831" s="1">
        <f t="shared" si="1162"/>
        <v>1</v>
      </c>
      <c r="BM831" s="1">
        <f t="shared" si="1160"/>
        <v>1</v>
      </c>
      <c r="BN831" s="1">
        <f t="shared" si="1137"/>
        <v>1</v>
      </c>
      <c r="BO831" s="1">
        <f t="shared" si="1138"/>
        <v>1</v>
      </c>
    </row>
    <row r="832" spans="1:67" ht="30.95" customHeight="1">
      <c r="A832" s="1">
        <f>22</f>
        <v>22</v>
      </c>
      <c r="B832" s="1">
        <f>固定流程!A40</f>
        <v>35</v>
      </c>
      <c r="C832" s="1">
        <f>25</f>
        <v>25</v>
      </c>
      <c r="D832" s="1">
        <f>2</f>
        <v>2</v>
      </c>
      <c r="E832" s="1">
        <f>固定流程!C40</f>
        <v>3</v>
      </c>
      <c r="F832" s="1">
        <f>固定流程!G40</f>
        <v>2</v>
      </c>
      <c r="G832" s="1" t="str">
        <f>固定流程!H40</f>
        <v>37_WEAK</v>
      </c>
      <c r="H832" s="1">
        <f>固定流程!F40</f>
        <v>1</v>
      </c>
      <c r="I832" s="1">
        <f>INDEX(配置与结果!$B$15:$B$18,F832)</f>
        <v>2306</v>
      </c>
      <c r="J832" s="1">
        <f>INDEX(配置与结果!$D$15:$D$18,F832)</f>
        <v>0.46</v>
      </c>
      <c r="K832" s="1">
        <f>INDEX(配置与结果!$E$15:$E$18,F832)</f>
        <v>1.9279999999999999</v>
      </c>
      <c r="L832" s="1">
        <f t="shared" si="1149"/>
        <v>2</v>
      </c>
      <c r="M832" s="1">
        <f t="shared" si="1150"/>
        <v>10</v>
      </c>
      <c r="N832" s="1">
        <f t="shared" si="1151"/>
        <v>2</v>
      </c>
      <c r="O832" s="1">
        <f t="shared" si="1143"/>
        <v>8</v>
      </c>
      <c r="P832" s="1">
        <f>MIN(方案参数!$AI$25,AZ831+0+0)</f>
        <v>5</v>
      </c>
      <c r="Q832" s="1">
        <f t="shared" si="1121"/>
        <v>5</v>
      </c>
      <c r="R832" s="1">
        <f t="shared" si="1122"/>
        <v>20</v>
      </c>
      <c r="S832" s="1">
        <f t="shared" si="1123"/>
        <v>3</v>
      </c>
      <c r="T832" s="1">
        <f t="shared" si="1158"/>
        <v>0</v>
      </c>
      <c r="U832" s="1">
        <f t="shared" si="1125"/>
        <v>1</v>
      </c>
      <c r="V832" s="1">
        <f t="shared" si="1126"/>
        <v>4</v>
      </c>
      <c r="W832" s="1">
        <f t="shared" si="1127"/>
        <v>1</v>
      </c>
      <c r="X832" s="1">
        <f t="shared" si="1128"/>
        <v>1</v>
      </c>
      <c r="Y832" s="1">
        <f t="shared" si="1129"/>
        <v>1</v>
      </c>
      <c r="Z832" s="1">
        <f t="shared" si="1130"/>
        <v>1</v>
      </c>
      <c r="AA832" s="1">
        <f t="shared" si="1154"/>
        <v>1</v>
      </c>
      <c r="AB832" s="1">
        <f t="shared" si="1132"/>
        <v>1</v>
      </c>
      <c r="AC832" s="1">
        <f t="shared" si="1159"/>
        <v>1</v>
      </c>
      <c r="AD832" s="1">
        <f>ROUNDDOWN(I832*(1+IF(F832=3,0.05+方案参数!$Y$25+AA832*0.12,IF(F832=4,方案参数!$BZ$25*方案参数!$AS$25,0)))+IF(AND(X832=1,F832&lt;&gt;3),方案参数!$CC$25,0)+AC832*方案参数!$CB$25,0)</f>
        <v>3044</v>
      </c>
      <c r="AE832" s="1">
        <f>IF(OR(F832=1,F832=4),配置与结果!$B$24,配置与结果!$B$25)*MAX(0,1-INDEX(配置与结果!$I$15:$I$18,F832))</f>
        <v>1000</v>
      </c>
      <c r="AF832" s="1">
        <f>方案参数!$CE$25</f>
        <v>8</v>
      </c>
      <c r="AG832" s="1">
        <f>MAX(配置与结果!$B$32,1+INDEX(配置与结果!$F$15:$F$18,F832)+0+Q832*方案参数!$W$25+Y832*(方案参数!$AN$25+MIN(方案参数!$AO$25,P832*0.03))+AB832*方案参数!$BZ$25*0.025-配置与结果!$B$28+方案参数!$AE$25)</f>
        <v>2.2800000000000002</v>
      </c>
      <c r="AH832" s="1">
        <f>MAX(0,1+V832*方案参数!$U$25+方案参数!$AE$25-配置与结果!$B$29)</f>
        <v>1.56</v>
      </c>
      <c r="AI832" s="1">
        <f>IF(OR(INDEX(配置与结果!$K$15:$K$18,F832)=1,G832="RHI_BERRY"),1+配置与结果!$B$33+P832*方案参数!$AH$25,1)</f>
        <v>1</v>
      </c>
      <c r="AJ832" s="1">
        <f>MIN(1,MAX(0,J832+方案参数!$AB$25-配置与结果!$B$27))</f>
        <v>0.76</v>
      </c>
      <c r="AK832" s="1">
        <f>MAX(1,K832+IF(F832=2,0.15+方案参数!$CH$25,0)+BN832*方案参数!$X$25+R832*方案参数!$AA$25+0-配置与结果!$B$26+Z832*(方案参数!$AP$25+MIN(方案参数!$AQ$25,P832*0.03)))</f>
        <v>2.3380000000000001</v>
      </c>
      <c r="AL832" s="7">
        <f>ROUNDDOWN(MAX(AD832*配置与结果!$B$31,AD832-AE832)*AF832*AG832*AH832*AI832,0)</f>
        <v>58160</v>
      </c>
      <c r="AM832" s="7">
        <f>ROUNDDOWN(MAX(AD832*配置与结果!$B$31,AD832-AE832)*AF832*AG832*AH832*AI832*AK832,0)</f>
        <v>135979</v>
      </c>
      <c r="AN832" s="7">
        <f t="shared" si="1095"/>
        <v>117302.44</v>
      </c>
      <c r="AO832" s="7">
        <f>0</f>
        <v>0</v>
      </c>
      <c r="AP832" s="7">
        <f>MAX(0,1+INDEX(配置与结果!$J$15:$J$18,F832)+IF(T832&gt;0,方案参数!$BY$25,0)-配置与结果!$B$30)</f>
        <v>1</v>
      </c>
      <c r="AQ832" s="7">
        <f t="shared" si="1096"/>
        <v>0</v>
      </c>
      <c r="AR832" s="7">
        <f t="shared" si="1097"/>
        <v>0</v>
      </c>
      <c r="AS832" s="7">
        <f t="shared" si="1098"/>
        <v>0</v>
      </c>
      <c r="AT832" s="7">
        <f>IF(U832&gt;0,ROUNDDOWN(AL832*方案参数!$AF$25,0)*(1-AJ832)+ROUNDDOWN(AM832*方案参数!$AF$25,0)*AJ832,0)</f>
        <v>46920.520000000004</v>
      </c>
      <c r="AU832" s="7">
        <f t="shared" si="1099"/>
        <v>164222.96000000002</v>
      </c>
      <c r="AV832" s="1">
        <f t="shared" si="1100"/>
        <v>2</v>
      </c>
      <c r="AW832" s="1">
        <f t="shared" si="1164"/>
        <v>10</v>
      </c>
      <c r="AX832" s="1">
        <f t="shared" si="1101"/>
        <v>2</v>
      </c>
      <c r="AY832" s="1">
        <f>MIN(20,MAX(0,O832+0+0-0))</f>
        <v>8</v>
      </c>
      <c r="AZ832" s="1">
        <f t="shared" si="1102"/>
        <v>5</v>
      </c>
      <c r="BA832" s="1">
        <f t="shared" si="1155"/>
        <v>5</v>
      </c>
      <c r="BB832" s="1">
        <f t="shared" si="1163"/>
        <v>20</v>
      </c>
      <c r="BC832" s="1">
        <f t="shared" si="1161"/>
        <v>3</v>
      </c>
      <c r="BD832" s="1">
        <f t="shared" si="1142"/>
        <v>0</v>
      </c>
      <c r="BE832" s="1">
        <f>MAX(0,U832-IF(AF832&gt;0,1,0))+1</f>
        <v>1</v>
      </c>
      <c r="BF832" s="1">
        <f t="shared" si="1165"/>
        <v>4</v>
      </c>
      <c r="BG832" s="1">
        <f t="shared" si="1152"/>
        <v>1</v>
      </c>
      <c r="BH832" s="1">
        <f t="shared" si="1136"/>
        <v>1</v>
      </c>
      <c r="BI832" s="1">
        <f t="shared" si="1153"/>
        <v>1</v>
      </c>
      <c r="BJ832" s="1">
        <f t="shared" si="1156"/>
        <v>1</v>
      </c>
      <c r="BK832" s="1">
        <f t="shared" si="1157"/>
        <v>1</v>
      </c>
      <c r="BL832" s="1">
        <f t="shared" si="1162"/>
        <v>1</v>
      </c>
      <c r="BM832" s="1">
        <f t="shared" si="1160"/>
        <v>1</v>
      </c>
      <c r="BN832" s="1">
        <f t="shared" si="1137"/>
        <v>1</v>
      </c>
      <c r="BO832" s="1">
        <f t="shared" si="1138"/>
        <v>1</v>
      </c>
    </row>
    <row r="833" spans="1:67" ht="30.95" customHeight="1">
      <c r="A833" s="1">
        <f>22</f>
        <v>22</v>
      </c>
      <c r="B833" s="1">
        <f>固定流程!A41</f>
        <v>36</v>
      </c>
      <c r="C833" s="1">
        <f>25</f>
        <v>25</v>
      </c>
      <c r="D833" s="1">
        <f>2</f>
        <v>2</v>
      </c>
      <c r="E833" s="1">
        <f>固定流程!C41</f>
        <v>3</v>
      </c>
      <c r="F833" s="1">
        <f>固定流程!G41</f>
        <v>1</v>
      </c>
      <c r="G833" s="1" t="str">
        <f>固定流程!H41</f>
        <v>LILYA_FINISH</v>
      </c>
      <c r="H833" s="1">
        <f>固定流程!F41</f>
        <v>1</v>
      </c>
      <c r="I833" s="1">
        <f>INDEX(配置与结果!$B$15:$B$18,F833)</f>
        <v>2296</v>
      </c>
      <c r="J833" s="1">
        <f>INDEX(配置与结果!$D$15:$D$18,F833)</f>
        <v>0.7</v>
      </c>
      <c r="K833" s="1">
        <f>INDEX(配置与结果!$E$15:$E$18,F833)</f>
        <v>2.0249999999999999</v>
      </c>
      <c r="L833" s="1">
        <f t="shared" si="1149"/>
        <v>2</v>
      </c>
      <c r="M833" s="1">
        <f t="shared" si="1150"/>
        <v>10</v>
      </c>
      <c r="N833" s="1">
        <f t="shared" si="1151"/>
        <v>2</v>
      </c>
      <c r="O833" s="1">
        <f t="shared" si="1143"/>
        <v>8</v>
      </c>
      <c r="P833" s="1">
        <f>MIN(方案参数!$AI$25,AZ832+0+0)</f>
        <v>5</v>
      </c>
      <c r="Q833" s="1">
        <f t="shared" si="1121"/>
        <v>5</v>
      </c>
      <c r="R833" s="1">
        <f t="shared" si="1122"/>
        <v>20</v>
      </c>
      <c r="S833" s="1">
        <f t="shared" si="1123"/>
        <v>3</v>
      </c>
      <c r="T833" s="1">
        <f t="shared" si="1158"/>
        <v>0</v>
      </c>
      <c r="U833" s="1">
        <f t="shared" si="1125"/>
        <v>1</v>
      </c>
      <c r="V833" s="1">
        <f t="shared" si="1126"/>
        <v>4</v>
      </c>
      <c r="W833" s="1">
        <f t="shared" si="1127"/>
        <v>1</v>
      </c>
      <c r="X833" s="1">
        <f t="shared" si="1128"/>
        <v>1</v>
      </c>
      <c r="Y833" s="1">
        <f t="shared" si="1129"/>
        <v>1</v>
      </c>
      <c r="Z833" s="1">
        <f t="shared" si="1130"/>
        <v>1</v>
      </c>
      <c r="AA833" s="1">
        <f t="shared" si="1154"/>
        <v>1</v>
      </c>
      <c r="AB833" s="1">
        <f t="shared" si="1132"/>
        <v>1</v>
      </c>
      <c r="AC833" s="1">
        <f t="shared" si="1159"/>
        <v>1</v>
      </c>
      <c r="AD833" s="1">
        <f>ROUNDDOWN(I833*(1+IF(F833=3,0.05+方案参数!$Y$25+AA833*0.12,IF(F833=4,方案参数!$BZ$25*方案参数!$AS$25,0)))+IF(AND(X833=1,F833&lt;&gt;3),方案参数!$CC$25,0)+AC833*方案参数!$CB$25,0)</f>
        <v>3034</v>
      </c>
      <c r="AE833" s="1">
        <f>IF(OR(F833=1,F833=4),配置与结果!$B$24,配置与结果!$B$25)*MAX(0,1-INDEX(配置与结果!$I$15:$I$18,F833))</f>
        <v>1200</v>
      </c>
      <c r="AF833" s="1">
        <f>方案参数!$BN$25+12*方案参数!$BO$25</f>
        <v>48</v>
      </c>
      <c r="AG833" s="1">
        <f>MAX(配置与结果!$B$32,1+INDEX(配置与结果!$F$15:$F$18,F833)+0.08+方案参数!$CD$25+Q833*方案参数!$W$25+Y833*(方案参数!$AN$25+MIN(方案参数!$AO$25,P833*0.03))+AB833*方案参数!$BZ$25*0.025-配置与结果!$B$28+方案参数!$AE$25)</f>
        <v>2.6150000000000002</v>
      </c>
      <c r="AH833" s="1">
        <f>MAX(0,1+V833*方案参数!$U$25+12*方案参数!$V$25+方案参数!$AE$25-配置与结果!$B$29)</f>
        <v>2.2799999999999998</v>
      </c>
      <c r="AI833" s="1">
        <f>IF(OR(INDEX(配置与结果!$K$15:$K$18,F833)=1,G833="RHI_BERRY"),1+配置与结果!$B$33+P833*方案参数!$AH$25,1)</f>
        <v>1</v>
      </c>
      <c r="AJ833" s="1">
        <f>MIN(1,MAX(0,J833+方案参数!$AB$25-配置与结果!$B$27))</f>
        <v>1</v>
      </c>
      <c r="AK833" s="1">
        <f>MAX(1,K833+IF(F833=2,0.15+方案参数!$CH$25,0)+BN833*方案参数!$X$25+R833*方案参数!$AA$25+方案参数!$BR$25-配置与结果!$B$26+Z833*(方案参数!$AP$25+MIN(方案参数!$AQ$25,P833*0.03)))</f>
        <v>3.165</v>
      </c>
      <c r="AL833" s="7">
        <f>ROUNDDOWN(MAX(AD833*配置与结果!$B$31,AD833-AE833)*AF833*AG833*AH833*AI833,0)</f>
        <v>524864</v>
      </c>
      <c r="AM833" s="7">
        <f>ROUNDDOWN(MAX(AD833*配置与结果!$B$31,AD833-AE833)*AF833*AG833*AH833*AI833*AK833,0)</f>
        <v>1661195</v>
      </c>
      <c r="AN833" s="7">
        <f t="shared" si="1095"/>
        <v>1661195</v>
      </c>
      <c r="AO833" s="7">
        <f>0</f>
        <v>0</v>
      </c>
      <c r="AP833" s="7">
        <f>MAX(0,1+INDEX(配置与结果!$J$15:$J$18,F833)+IF(T833&gt;0,方案参数!$BY$25,0)-配置与结果!$B$30)</f>
        <v>1</v>
      </c>
      <c r="AQ833" s="7">
        <f t="shared" si="1096"/>
        <v>0</v>
      </c>
      <c r="AR833" s="7">
        <f t="shared" si="1097"/>
        <v>0</v>
      </c>
      <c r="AS833" s="7">
        <f t="shared" si="1098"/>
        <v>0</v>
      </c>
      <c r="AT833" s="7">
        <f>IF(U833&gt;0,ROUNDDOWN(AL833*方案参数!$AF$25,0)*(1-AJ833)+ROUNDDOWN(AM833*方案参数!$AF$25,0)*AJ833,0)</f>
        <v>664478</v>
      </c>
      <c r="AU833" s="7">
        <f t="shared" si="1099"/>
        <v>2325673</v>
      </c>
      <c r="AV833" s="1">
        <f t="shared" si="1100"/>
        <v>2</v>
      </c>
      <c r="AW833" s="1">
        <f t="shared" si="1164"/>
        <v>10</v>
      </c>
      <c r="AX833" s="1">
        <f t="shared" si="1101"/>
        <v>2</v>
      </c>
      <c r="AY833" s="1">
        <f>MIN(20,MAX(0,O833+0+1-0))</f>
        <v>9</v>
      </c>
      <c r="AZ833" s="1">
        <f t="shared" si="1102"/>
        <v>5</v>
      </c>
      <c r="BA833" s="1">
        <f t="shared" si="1155"/>
        <v>5</v>
      </c>
      <c r="BB833" s="1">
        <f t="shared" si="1163"/>
        <v>20</v>
      </c>
      <c r="BC833" s="1">
        <f t="shared" si="1161"/>
        <v>3</v>
      </c>
      <c r="BD833" s="1">
        <f t="shared" si="1142"/>
        <v>0</v>
      </c>
      <c r="BE833" s="1">
        <f>MAX(0,U833-IF(AF833&gt;0,1,0))+0</f>
        <v>0</v>
      </c>
      <c r="BF833" s="1">
        <f t="shared" si="1165"/>
        <v>4</v>
      </c>
      <c r="BG833" s="1">
        <f t="shared" si="1152"/>
        <v>1</v>
      </c>
      <c r="BH833" s="1">
        <f t="shared" si="1136"/>
        <v>1</v>
      </c>
      <c r="BI833" s="1">
        <f t="shared" si="1153"/>
        <v>1</v>
      </c>
      <c r="BJ833" s="1">
        <f t="shared" si="1156"/>
        <v>1</v>
      </c>
      <c r="BK833" s="1">
        <f t="shared" si="1157"/>
        <v>1</v>
      </c>
      <c r="BL833" s="1">
        <f t="shared" si="1162"/>
        <v>1</v>
      </c>
      <c r="BM833" s="1">
        <f t="shared" si="1160"/>
        <v>1</v>
      </c>
      <c r="BN833" s="1">
        <f t="shared" si="1137"/>
        <v>1</v>
      </c>
      <c r="BO833" s="1">
        <f t="shared" si="1138"/>
        <v>1</v>
      </c>
    </row>
    <row r="834" spans="1:67" ht="30.95" customHeight="1">
      <c r="A834" s="1">
        <f>23</f>
        <v>23</v>
      </c>
      <c r="B834" s="1">
        <f>固定流程!A6</f>
        <v>1</v>
      </c>
      <c r="C834" s="1">
        <f>26</f>
        <v>26</v>
      </c>
      <c r="D834" s="1">
        <f>1</f>
        <v>1</v>
      </c>
      <c r="E834" s="1">
        <f>固定流程!C6</f>
        <v>1</v>
      </c>
      <c r="F834" s="1">
        <f>固定流程!G6</f>
        <v>3</v>
      </c>
      <c r="G834" s="1" t="str">
        <f>固定流程!H6</f>
        <v>RHI_ULT</v>
      </c>
      <c r="H834" s="1">
        <f>固定流程!F6</f>
        <v>1</v>
      </c>
      <c r="I834" s="1">
        <f>INDEX(配置与结果!$B$15:$B$18,F834)</f>
        <v>2597</v>
      </c>
      <c r="J834" s="1">
        <f>INDEX(配置与结果!$D$15:$D$18,F834)</f>
        <v>0.255</v>
      </c>
      <c r="K834" s="1">
        <f>INDEX(配置与结果!$E$15:$E$18,F834)</f>
        <v>1.55</v>
      </c>
      <c r="L834" s="1">
        <f>0</f>
        <v>0</v>
      </c>
      <c r="M834" s="1">
        <f>0</f>
        <v>0</v>
      </c>
      <c r="N834" s="1">
        <f>0</f>
        <v>0</v>
      </c>
      <c r="O834" s="1">
        <f>0</f>
        <v>0</v>
      </c>
      <c r="P834" s="1">
        <f>MIN(方案参数!$AI$26,0+方案参数!$AJ$26+0)</f>
        <v>1</v>
      </c>
      <c r="Q834" s="1">
        <f>0</f>
        <v>0</v>
      </c>
      <c r="R834" s="1">
        <f>0</f>
        <v>0</v>
      </c>
      <c r="S834" s="1">
        <f>0</f>
        <v>0</v>
      </c>
      <c r="T834" s="1">
        <f>0+0</f>
        <v>0</v>
      </c>
      <c r="U834" s="1">
        <f>0</f>
        <v>0</v>
      </c>
      <c r="V834" s="1">
        <f>0</f>
        <v>0</v>
      </c>
      <c r="W834" s="1">
        <f>0</f>
        <v>0</v>
      </c>
      <c r="X834" s="1">
        <f>0</f>
        <v>0</v>
      </c>
      <c r="Y834" s="1">
        <f>0</f>
        <v>0</v>
      </c>
      <c r="Z834" s="1">
        <f>0</f>
        <v>0</v>
      </c>
      <c r="AA834" s="1">
        <f>MAX(0,0)</f>
        <v>0</v>
      </c>
      <c r="AB834" s="1">
        <f>0</f>
        <v>0</v>
      </c>
      <c r="AC834" s="1">
        <f>MAX(0,0)</f>
        <v>0</v>
      </c>
      <c r="AD834" s="1">
        <f>ROUNDDOWN(I834*(1+IF(F834=3,0.05+方案参数!$Y$26+AA834*0.12,IF(F834=4,方案参数!$BZ$26*方案参数!$AS$26,0)))+IF(AND(X834=1,F834&lt;&gt;3),方案参数!$CC$26,0)+AC834*方案参数!$CB$26,0)</f>
        <v>2986</v>
      </c>
      <c r="AE834" s="1">
        <f>IF(OR(F834=1,F834=4),配置与结果!$B$24,配置与结果!$B$25)*MAX(0,1-INDEX(配置与结果!$I$15:$I$18,F834))</f>
        <v>1000</v>
      </c>
      <c r="AF834" s="1">
        <f>0</f>
        <v>0</v>
      </c>
      <c r="AG834" s="1">
        <f>MAX(配置与结果!$B$32,1+INDEX(配置与结果!$F$15:$F$18,F834)+0+Q834*方案参数!$W$26+Y834*(方案参数!$AN$26+MIN(方案参数!$AO$26,P834*0.03))+AB834*方案参数!$BZ$26*0.025-配置与结果!$B$28)</f>
        <v>0.6349999999999999</v>
      </c>
      <c r="AH834" s="1">
        <f>MAX(0,1+INDEX(配置与结果!$G$15:$G$18,F834)+W834*方案参数!$AG$26)</f>
        <v>1</v>
      </c>
      <c r="AI834" s="1">
        <f>IF(OR(INDEX(配置与结果!$K$15:$K$18,F834)=1,G834="RHI_BERRY"),1+配置与结果!$B$33+P834*方案参数!$AH$26,1)</f>
        <v>1</v>
      </c>
      <c r="AJ834" s="1">
        <f>MIN(1,MAX(0,J834+方案参数!$AB$26-配置与结果!$B$27))</f>
        <v>0.55499999999999994</v>
      </c>
      <c r="AK834" s="1">
        <f>MAX(1,K834+IF(F834=2,0.15+方案参数!$CH$26,0)+BN834*方案参数!$X$26+R834*方案参数!$AA$26+0-配置与结果!$B$26+Z834*(方案参数!$AP$26+MIN(方案参数!$AQ$26,P834*0.03)))</f>
        <v>1.1499999999999999</v>
      </c>
      <c r="AL834" s="7">
        <f>ROUNDDOWN(MAX(AD834*配置与结果!$B$31,AD834-AE834)*AF834*AG834*AH834*AI834,0)</f>
        <v>0</v>
      </c>
      <c r="AM834" s="7">
        <f>ROUNDDOWN(MAX(AD834*配置与结果!$B$31,AD834-AE834)*AF834*AG834*AH834*AI834*AK834,0)</f>
        <v>0</v>
      </c>
      <c r="AN834" s="7">
        <f t="shared" si="1095"/>
        <v>0</v>
      </c>
      <c r="AO834" s="7">
        <f>0</f>
        <v>0</v>
      </c>
      <c r="AP834" s="7">
        <f>MAX(0,1+INDEX(配置与结果!$J$15:$J$18,F834)+IF(T834&gt;0,方案参数!$BY$26,0)-配置与结果!$B$30)</f>
        <v>1</v>
      </c>
      <c r="AQ834" s="7">
        <f t="shared" si="1096"/>
        <v>0</v>
      </c>
      <c r="AR834" s="7">
        <f t="shared" si="1097"/>
        <v>0</v>
      </c>
      <c r="AS834" s="7">
        <f t="shared" si="1098"/>
        <v>0</v>
      </c>
      <c r="AT834" s="7">
        <f>0</f>
        <v>0</v>
      </c>
      <c r="AU834" s="7">
        <f t="shared" si="1099"/>
        <v>0</v>
      </c>
      <c r="AV834" s="1">
        <f t="shared" si="1100"/>
        <v>0</v>
      </c>
      <c r="AW834" s="1">
        <f t="shared" si="1164"/>
        <v>0</v>
      </c>
      <c r="AX834" s="1">
        <f t="shared" si="1101"/>
        <v>0</v>
      </c>
      <c r="AY834" s="1">
        <f>MIN(20,MAX(0,O834+0+0-0))</f>
        <v>0</v>
      </c>
      <c r="AZ834" s="1">
        <f t="shared" si="1102"/>
        <v>1</v>
      </c>
      <c r="BA834" s="1">
        <f>MIN(6,Q834+1)</f>
        <v>1</v>
      </c>
      <c r="BB834" s="1">
        <f>MIN(30,R834+5)</f>
        <v>5</v>
      </c>
      <c r="BC834" s="1">
        <f t="shared" si="1161"/>
        <v>0</v>
      </c>
      <c r="BD834" s="1">
        <f t="shared" si="1142"/>
        <v>0</v>
      </c>
      <c r="BE834" s="1">
        <f>0</f>
        <v>0</v>
      </c>
      <c r="BF834" s="1">
        <f t="shared" si="1165"/>
        <v>0</v>
      </c>
      <c r="BG834" s="1">
        <f t="shared" si="1152"/>
        <v>0</v>
      </c>
      <c r="BH834" s="1">
        <f>MAX(X834,1)</f>
        <v>1</v>
      </c>
      <c r="BI834" s="1">
        <f t="shared" si="1153"/>
        <v>0</v>
      </c>
      <c r="BJ834" s="1">
        <f t="shared" si="1156"/>
        <v>0</v>
      </c>
      <c r="BK834" s="1">
        <f t="shared" si="1157"/>
        <v>0</v>
      </c>
      <c r="BL834" s="1">
        <f t="shared" si="1162"/>
        <v>0</v>
      </c>
      <c r="BM834" s="1">
        <f t="shared" si="1160"/>
        <v>0</v>
      </c>
      <c r="BN834" s="1">
        <f>0</f>
        <v>0</v>
      </c>
      <c r="BO834" s="1">
        <f>MAX(BN834,1)</f>
        <v>1</v>
      </c>
    </row>
    <row r="835" spans="1:67" ht="30.95" customHeight="1">
      <c r="A835" s="1">
        <f>23</f>
        <v>23</v>
      </c>
      <c r="B835" s="1">
        <f>固定流程!A7</f>
        <v>2</v>
      </c>
      <c r="C835" s="1">
        <f>26</f>
        <v>26</v>
      </c>
      <c r="D835" s="1">
        <f>1</f>
        <v>1</v>
      </c>
      <c r="E835" s="1">
        <f>固定流程!C7</f>
        <v>1</v>
      </c>
      <c r="F835" s="1">
        <f>固定流程!G7</f>
        <v>3</v>
      </c>
      <c r="G835" s="1" t="str">
        <f>固定流程!H7</f>
        <v>RHI_BUFF</v>
      </c>
      <c r="H835" s="1">
        <f>固定流程!F7</f>
        <v>1</v>
      </c>
      <c r="I835" s="1">
        <f>INDEX(配置与结果!$B$15:$B$18,F835)</f>
        <v>2597</v>
      </c>
      <c r="J835" s="1">
        <f>INDEX(配置与结果!$D$15:$D$18,F835)</f>
        <v>0.255</v>
      </c>
      <c r="K835" s="1">
        <f>INDEX(配置与结果!$E$15:$E$18,F835)</f>
        <v>1.55</v>
      </c>
      <c r="L835" s="1">
        <f t="shared" ref="L835:O840" si="1166">AV834</f>
        <v>0</v>
      </c>
      <c r="M835" s="1">
        <f t="shared" si="1166"/>
        <v>0</v>
      </c>
      <c r="N835" s="1">
        <f t="shared" si="1166"/>
        <v>0</v>
      </c>
      <c r="O835" s="1">
        <f t="shared" si="1166"/>
        <v>0</v>
      </c>
      <c r="P835" s="1">
        <f>MIN(方案参数!$AI$26,AZ834+0+方案参数!$AK$26)</f>
        <v>3</v>
      </c>
      <c r="Q835" s="1">
        <f t="shared" ref="Q835:Q869" si="1167">BA834</f>
        <v>1</v>
      </c>
      <c r="R835" s="1">
        <f t="shared" ref="R835:R869" si="1168">BB834</f>
        <v>5</v>
      </c>
      <c r="S835" s="1">
        <f t="shared" ref="S835:S869" si="1169">BC834</f>
        <v>0</v>
      </c>
      <c r="T835" s="1">
        <f t="shared" ref="T835:T848" si="1170">BD834+0</f>
        <v>0</v>
      </c>
      <c r="U835" s="1">
        <f t="shared" ref="U835:U869" si="1171">BE834</f>
        <v>0</v>
      </c>
      <c r="V835" s="1">
        <f t="shared" ref="V835:V869" si="1172">BF834</f>
        <v>0</v>
      </c>
      <c r="W835" s="1">
        <f t="shared" ref="W835:W869" si="1173">BG834</f>
        <v>0</v>
      </c>
      <c r="X835" s="1">
        <f t="shared" ref="X835:X869" si="1174">BH834</f>
        <v>1</v>
      </c>
      <c r="Y835" s="1">
        <f t="shared" ref="Y835:Y869" si="1175">BI834</f>
        <v>0</v>
      </c>
      <c r="Z835" s="1">
        <f t="shared" ref="Z835:Z869" si="1176">BJ834</f>
        <v>0</v>
      </c>
      <c r="AA835" s="1">
        <f t="shared" ref="AA835:AA840" si="1177">MAX(BK834,0)</f>
        <v>0</v>
      </c>
      <c r="AB835" s="1">
        <f t="shared" ref="AB835:AB869" si="1178">BL834</f>
        <v>0</v>
      </c>
      <c r="AC835" s="1">
        <f t="shared" ref="AC835:AC848" si="1179">MAX(BM834,0)</f>
        <v>0</v>
      </c>
      <c r="AD835" s="1">
        <f>ROUNDDOWN(I835*(1+IF(F835=3,0.05+方案参数!$Y$26+AA835*0.12,IF(F835=4,方案参数!$BZ$26*方案参数!$AS$26,0)))+IF(AND(X835=1,F835&lt;&gt;3),方案参数!$CC$26,0)+AC835*方案参数!$CB$26,0)</f>
        <v>2986</v>
      </c>
      <c r="AE835" s="1">
        <f>IF(OR(F835=1,F835=4),配置与结果!$B$24,配置与结果!$B$25)*MAX(0,1-INDEX(配置与结果!$I$15:$I$18,F835))</f>
        <v>1000</v>
      </c>
      <c r="AF835" s="1">
        <f>0</f>
        <v>0</v>
      </c>
      <c r="AG835" s="1">
        <f>MAX(配置与结果!$B$32,1+INDEX(配置与结果!$F$15:$F$18,F835)+0+Q835*方案参数!$W$26+Y835*(方案参数!$AN$26+MIN(方案参数!$AO$26,P835*0.03))+AB835*方案参数!$BZ$26*0.025-配置与结果!$B$28)</f>
        <v>0.65499999999999992</v>
      </c>
      <c r="AH835" s="1">
        <f>MAX(0,1+INDEX(配置与结果!$G$15:$G$18,F835)+W835*方案参数!$AG$26)</f>
        <v>1</v>
      </c>
      <c r="AI835" s="1">
        <f>IF(OR(INDEX(配置与结果!$K$15:$K$18,F835)=1,G835="RHI_BERRY"),1+配置与结果!$B$33+P835*方案参数!$AH$26,1)</f>
        <v>1</v>
      </c>
      <c r="AJ835" s="1">
        <f>MIN(1,MAX(0,J835+方案参数!$AB$26-配置与结果!$B$27))</f>
        <v>0.55499999999999994</v>
      </c>
      <c r="AK835" s="1">
        <f>MAX(1,K835+IF(F835=2,0.15+方案参数!$CH$26,0)+BN835*方案参数!$X$26+R835*方案参数!$AA$26+0-配置与结果!$B$26+Z835*(方案参数!$AP$26+MIN(方案参数!$AQ$26,P835*0.03)))</f>
        <v>1.33</v>
      </c>
      <c r="AL835" s="7">
        <f>ROUNDDOWN(MAX(AD835*配置与结果!$B$31,AD835-AE835)*AF835*AG835*AH835*AI835,0)</f>
        <v>0</v>
      </c>
      <c r="AM835" s="7">
        <f>ROUNDDOWN(MAX(AD835*配置与结果!$B$31,AD835-AE835)*AF835*AG835*AH835*AI835*AK835,0)</f>
        <v>0</v>
      </c>
      <c r="AN835" s="7">
        <f t="shared" si="1095"/>
        <v>0</v>
      </c>
      <c r="AO835" s="7">
        <f>0</f>
        <v>0</v>
      </c>
      <c r="AP835" s="7">
        <f>MAX(0,1+INDEX(配置与结果!$J$15:$J$18,F835)+IF(T835&gt;0,方案参数!$BY$26,0)-配置与结果!$B$30)</f>
        <v>1</v>
      </c>
      <c r="AQ835" s="7">
        <f t="shared" si="1096"/>
        <v>0</v>
      </c>
      <c r="AR835" s="7">
        <f t="shared" si="1097"/>
        <v>0</v>
      </c>
      <c r="AS835" s="7">
        <f t="shared" si="1098"/>
        <v>0</v>
      </c>
      <c r="AT835" s="7">
        <f>0</f>
        <v>0</v>
      </c>
      <c r="AU835" s="7">
        <f t="shared" si="1099"/>
        <v>0</v>
      </c>
      <c r="AV835" s="1">
        <f t="shared" si="1100"/>
        <v>0</v>
      </c>
      <c r="AW835" s="1">
        <f t="shared" si="1164"/>
        <v>0</v>
      </c>
      <c r="AX835" s="1">
        <f t="shared" si="1101"/>
        <v>0</v>
      </c>
      <c r="AY835" s="1">
        <f>MIN(20,MAX(0,O835+0+0-0))</f>
        <v>0</v>
      </c>
      <c r="AZ835" s="1">
        <f t="shared" si="1102"/>
        <v>3</v>
      </c>
      <c r="BA835" s="1">
        <f>MIN(6,Q835+1)</f>
        <v>2</v>
      </c>
      <c r="BB835" s="1">
        <f t="shared" ref="BB835:BB848" si="1180">MIN(30,R835+0)</f>
        <v>5</v>
      </c>
      <c r="BC835" s="1">
        <f t="shared" si="1161"/>
        <v>0</v>
      </c>
      <c r="BD835" s="1">
        <f t="shared" si="1142"/>
        <v>0</v>
      </c>
      <c r="BE835" s="1">
        <f t="shared" ref="BE835:BE856" si="1181">BE834</f>
        <v>0</v>
      </c>
      <c r="BF835" s="1">
        <f t="shared" si="1165"/>
        <v>0</v>
      </c>
      <c r="BG835" s="1">
        <f>MAX(W835,1)</f>
        <v>1</v>
      </c>
      <c r="BH835" s="1">
        <f t="shared" ref="BH835:BH869" si="1182">MAX(X835,0)</f>
        <v>1</v>
      </c>
      <c r="BI835" s="1">
        <f>MAX(Y835,1)</f>
        <v>1</v>
      </c>
      <c r="BJ835" s="1">
        <f t="shared" si="1156"/>
        <v>0</v>
      </c>
      <c r="BK835" s="1">
        <f t="shared" si="1157"/>
        <v>0</v>
      </c>
      <c r="BL835" s="1">
        <f t="shared" si="1162"/>
        <v>0</v>
      </c>
      <c r="BM835" s="1">
        <f t="shared" si="1160"/>
        <v>0</v>
      </c>
      <c r="BN835" s="1">
        <f t="shared" ref="BN835:BN869" si="1183">BO834</f>
        <v>1</v>
      </c>
      <c r="BO835" s="1">
        <f t="shared" ref="BO835:BO869" si="1184">MAX(BN835,0)</f>
        <v>1</v>
      </c>
    </row>
    <row r="836" spans="1:67" ht="30.95" customHeight="1">
      <c r="A836" s="1">
        <f>23</f>
        <v>23</v>
      </c>
      <c r="B836" s="1">
        <f>固定流程!A8</f>
        <v>3</v>
      </c>
      <c r="C836" s="1">
        <f>26</f>
        <v>26</v>
      </c>
      <c r="D836" s="1">
        <f>1</f>
        <v>1</v>
      </c>
      <c r="E836" s="1">
        <f>固定流程!C8</f>
        <v>1</v>
      </c>
      <c r="F836" s="1">
        <f>固定流程!G8</f>
        <v>1</v>
      </c>
      <c r="G836" s="1" t="str">
        <f>固定流程!H8</f>
        <v>LILYA_COBRA</v>
      </c>
      <c r="H836" s="1">
        <f>固定流程!F8</f>
        <v>1</v>
      </c>
      <c r="I836" s="1">
        <f>INDEX(配置与结果!$B$15:$B$18,F836)</f>
        <v>2296</v>
      </c>
      <c r="J836" s="1">
        <f>INDEX(配置与结果!$D$15:$D$18,F836)</f>
        <v>0.7</v>
      </c>
      <c r="K836" s="1">
        <f>INDEX(配置与结果!$E$15:$E$18,F836)</f>
        <v>2.0249999999999999</v>
      </c>
      <c r="L836" s="1">
        <f t="shared" si="1166"/>
        <v>0</v>
      </c>
      <c r="M836" s="1">
        <f t="shared" si="1166"/>
        <v>0</v>
      </c>
      <c r="N836" s="1">
        <f t="shared" si="1166"/>
        <v>0</v>
      </c>
      <c r="O836" s="1">
        <f t="shared" si="1166"/>
        <v>0</v>
      </c>
      <c r="P836" s="1">
        <f>MIN(方案参数!$AI$26,AZ835+0+0)</f>
        <v>3</v>
      </c>
      <c r="Q836" s="1">
        <f t="shared" si="1167"/>
        <v>2</v>
      </c>
      <c r="R836" s="1">
        <f t="shared" si="1168"/>
        <v>5</v>
      </c>
      <c r="S836" s="1">
        <f t="shared" si="1169"/>
        <v>0</v>
      </c>
      <c r="T836" s="1">
        <f t="shared" si="1170"/>
        <v>0</v>
      </c>
      <c r="U836" s="1">
        <f t="shared" si="1171"/>
        <v>0</v>
      </c>
      <c r="V836" s="1">
        <f t="shared" si="1172"/>
        <v>0</v>
      </c>
      <c r="W836" s="1">
        <f t="shared" si="1173"/>
        <v>1</v>
      </c>
      <c r="X836" s="1">
        <f t="shared" si="1174"/>
        <v>1</v>
      </c>
      <c r="Y836" s="1">
        <f t="shared" si="1175"/>
        <v>1</v>
      </c>
      <c r="Z836" s="1">
        <f t="shared" si="1176"/>
        <v>0</v>
      </c>
      <c r="AA836" s="1">
        <f t="shared" si="1177"/>
        <v>0</v>
      </c>
      <c r="AB836" s="1">
        <f t="shared" si="1178"/>
        <v>0</v>
      </c>
      <c r="AC836" s="1">
        <f t="shared" si="1179"/>
        <v>0</v>
      </c>
      <c r="AD836" s="1">
        <f>ROUNDDOWN(I836*(1+IF(F836=3,0.05+方案参数!$Y$26+AA836*0.12,IF(F836=4,方案参数!$BZ$26*方案参数!$AS$26,0)))+IF(AND(X836=1,F836&lt;&gt;3),方案参数!$CC$26,0)+AC836*方案参数!$CB$26,0)</f>
        <v>2534</v>
      </c>
      <c r="AE836" s="1">
        <f>IF(OR(F836=1,F836=4),配置与结果!$B$24,配置与结果!$B$25)*MAX(0,1-INDEX(配置与结果!$I$15:$I$18,F836))</f>
        <v>1200</v>
      </c>
      <c r="AF836" s="1">
        <f>0</f>
        <v>0</v>
      </c>
      <c r="AG836" s="1">
        <f>MAX(配置与结果!$B$32,1+INDEX(配置与结果!$F$15:$F$18,F836)+0.08+方案参数!$CD$26+Q836*方案参数!$W$26+Y836*(方案参数!$AN$26+MIN(方案参数!$AO$26,P836*0.03))+AB836*方案参数!$BZ$26*0.025-配置与结果!$B$28)</f>
        <v>1.2200000000000002</v>
      </c>
      <c r="AH836" s="1">
        <f>MAX(0,1+INDEX(配置与结果!$G$15:$G$18,F836)+W836*方案参数!$AG$26)</f>
        <v>1.3</v>
      </c>
      <c r="AI836" s="1">
        <f>IF(OR(INDEX(配置与结果!$K$15:$K$18,F836)=1,G836="RHI_BERRY"),1+配置与结果!$B$33+P836*方案参数!$AH$26,1)</f>
        <v>1</v>
      </c>
      <c r="AJ836" s="1">
        <f>MIN(1,MAX(0,J836+方案参数!$AB$26-配置与结果!$B$27))</f>
        <v>1</v>
      </c>
      <c r="AK836" s="1">
        <f>MAX(1,K836+IF(F836=2,0.15+方案参数!$CH$26,0)+BN836*方案参数!$X$26+R836*方案参数!$AA$26+0-配置与结果!$B$26+Z836*(方案参数!$AP$26+MIN(方案参数!$AQ$26,P836*0.03)))</f>
        <v>1.8050000000000002</v>
      </c>
      <c r="AL836" s="7">
        <f>ROUNDDOWN(MAX(AD836*配置与结果!$B$31,AD836-AE836)*AF836*AG836*AH836*AI836,0)</f>
        <v>0</v>
      </c>
      <c r="AM836" s="7">
        <f>ROUNDDOWN(MAX(AD836*配置与结果!$B$31,AD836-AE836)*AF836*AG836*AH836*AI836*AK836,0)</f>
        <v>0</v>
      </c>
      <c r="AN836" s="7">
        <f t="shared" si="1095"/>
        <v>0</v>
      </c>
      <c r="AO836" s="7">
        <f>0</f>
        <v>0</v>
      </c>
      <c r="AP836" s="7">
        <f>MAX(0,1+INDEX(配置与结果!$J$15:$J$18,F836)+IF(T836&gt;0,方案参数!$BY$26,0)-配置与结果!$B$30)</f>
        <v>1</v>
      </c>
      <c r="AQ836" s="7">
        <f t="shared" si="1096"/>
        <v>0</v>
      </c>
      <c r="AR836" s="7">
        <f t="shared" si="1097"/>
        <v>0</v>
      </c>
      <c r="AS836" s="7">
        <f t="shared" si="1098"/>
        <v>0</v>
      </c>
      <c r="AT836" s="7">
        <f>0</f>
        <v>0</v>
      </c>
      <c r="AU836" s="7">
        <f t="shared" si="1099"/>
        <v>0</v>
      </c>
      <c r="AV836" s="1">
        <f t="shared" si="1100"/>
        <v>1</v>
      </c>
      <c r="AW836" s="1">
        <f>MIN(10,M836+方案参数!$BD$26+0)</f>
        <v>3</v>
      </c>
      <c r="AX836" s="1">
        <f t="shared" si="1101"/>
        <v>0</v>
      </c>
      <c r="AY836" s="1">
        <f>MIN(20,MAX(0,O836+6+0-0))</f>
        <v>6</v>
      </c>
      <c r="AZ836" s="1">
        <f t="shared" si="1102"/>
        <v>3</v>
      </c>
      <c r="BA836" s="1">
        <f>MIN(6,Q836+0)</f>
        <v>2</v>
      </c>
      <c r="BB836" s="1">
        <f t="shared" si="1180"/>
        <v>5</v>
      </c>
      <c r="BC836" s="1">
        <f t="shared" si="1161"/>
        <v>0</v>
      </c>
      <c r="BD836" s="1">
        <f t="shared" si="1142"/>
        <v>0</v>
      </c>
      <c r="BE836" s="1">
        <f t="shared" si="1181"/>
        <v>0</v>
      </c>
      <c r="BF836" s="1">
        <f t="shared" si="1165"/>
        <v>0</v>
      </c>
      <c r="BG836" s="1">
        <f t="shared" ref="BG836:BG846" si="1185">MAX(W836,0)</f>
        <v>1</v>
      </c>
      <c r="BH836" s="1">
        <f t="shared" si="1182"/>
        <v>1</v>
      </c>
      <c r="BI836" s="1">
        <f t="shared" ref="BI836:BI846" si="1186">MAX(Y836,0)</f>
        <v>1</v>
      </c>
      <c r="BJ836" s="1">
        <f t="shared" si="1156"/>
        <v>0</v>
      </c>
      <c r="BK836" s="1">
        <f t="shared" si="1157"/>
        <v>0</v>
      </c>
      <c r="BL836" s="1">
        <f t="shared" si="1162"/>
        <v>0</v>
      </c>
      <c r="BM836" s="1">
        <f t="shared" si="1160"/>
        <v>0</v>
      </c>
      <c r="BN836" s="1">
        <f t="shared" si="1183"/>
        <v>1</v>
      </c>
      <c r="BO836" s="1">
        <f t="shared" si="1184"/>
        <v>1</v>
      </c>
    </row>
    <row r="837" spans="1:67" ht="30.95" customHeight="1">
      <c r="A837" s="1">
        <f>23</f>
        <v>23</v>
      </c>
      <c r="B837" s="1">
        <f>固定流程!A9</f>
        <v>4</v>
      </c>
      <c r="C837" s="1">
        <f>26</f>
        <v>26</v>
      </c>
      <c r="D837" s="1">
        <f>1</f>
        <v>1</v>
      </c>
      <c r="E837" s="1">
        <f>固定流程!C9</f>
        <v>1</v>
      </c>
      <c r="F837" s="1">
        <f>固定流程!G9</f>
        <v>1</v>
      </c>
      <c r="G837" s="1" t="str">
        <f>固定流程!H9</f>
        <v>LILYA_DIVE</v>
      </c>
      <c r="H837" s="1">
        <f>固定流程!F9</f>
        <v>1</v>
      </c>
      <c r="I837" s="1">
        <f>INDEX(配置与结果!$B$15:$B$18,F837)</f>
        <v>2296</v>
      </c>
      <c r="J837" s="1">
        <f>INDEX(配置与结果!$D$15:$D$18,F837)</f>
        <v>0.7</v>
      </c>
      <c r="K837" s="1">
        <f>INDEX(配置与结果!$E$15:$E$18,F837)</f>
        <v>2.0249999999999999</v>
      </c>
      <c r="L837" s="1">
        <f t="shared" si="1166"/>
        <v>1</v>
      </c>
      <c r="M837" s="1">
        <f t="shared" si="1166"/>
        <v>3</v>
      </c>
      <c r="N837" s="1">
        <f t="shared" si="1166"/>
        <v>0</v>
      </c>
      <c r="O837" s="1">
        <f t="shared" si="1166"/>
        <v>6</v>
      </c>
      <c r="P837" s="1">
        <f>MIN(方案参数!$AI$26,AZ836+0+0)</f>
        <v>3</v>
      </c>
      <c r="Q837" s="1">
        <f t="shared" si="1167"/>
        <v>2</v>
      </c>
      <c r="R837" s="1">
        <f t="shared" si="1168"/>
        <v>5</v>
      </c>
      <c r="S837" s="1">
        <f t="shared" si="1169"/>
        <v>0</v>
      </c>
      <c r="T837" s="1">
        <f t="shared" si="1170"/>
        <v>0</v>
      </c>
      <c r="U837" s="1">
        <f t="shared" si="1171"/>
        <v>0</v>
      </c>
      <c r="V837" s="1">
        <f t="shared" si="1172"/>
        <v>0</v>
      </c>
      <c r="W837" s="1">
        <f t="shared" si="1173"/>
        <v>1</v>
      </c>
      <c r="X837" s="1">
        <f t="shared" si="1174"/>
        <v>1</v>
      </c>
      <c r="Y837" s="1">
        <f t="shared" si="1175"/>
        <v>1</v>
      </c>
      <c r="Z837" s="1">
        <f t="shared" si="1176"/>
        <v>0</v>
      </c>
      <c r="AA837" s="1">
        <f t="shared" si="1177"/>
        <v>0</v>
      </c>
      <c r="AB837" s="1">
        <f t="shared" si="1178"/>
        <v>0</v>
      </c>
      <c r="AC837" s="1">
        <f t="shared" si="1179"/>
        <v>0</v>
      </c>
      <c r="AD837" s="1">
        <f>ROUNDDOWN(I837*(1+IF(F837=3,0.05+方案参数!$Y$26+AA837*0.12,IF(F837=4,方案参数!$BZ$26*方案参数!$AS$26,0)))+IF(AND(X837=1,F837&lt;&gt;3),方案参数!$CC$26,0)+AC837*方案参数!$CB$26,0)</f>
        <v>2534</v>
      </c>
      <c r="AE837" s="1">
        <f>IF(OR(F837=1,F837=4),配置与结果!$B$24,配置与结果!$B$25)*MAX(0,1-INDEX(配置与结果!$I$15:$I$18,F837))</f>
        <v>1200</v>
      </c>
      <c r="AF837" s="1">
        <f>(IF(L837=1,方案参数!$AW$26,IF(L837=2,方案参数!$AX$26,0))+方案参数!$AV$26)*H837</f>
        <v>6</v>
      </c>
      <c r="AG837" s="1">
        <f>MAX(配置与结果!$B$32,1+INDEX(配置与结果!$F$15:$F$18,F837)+0.08+方案参数!$CD$26+Q837*方案参数!$W$26+Y837*(方案参数!$AN$26+MIN(方案参数!$AO$26,P837*0.03))+AB837*方案参数!$BZ$26*0.025+IF(L837=1,方案参数!$AY$26+(H837-1)*0.1,IF(L837=2,方案参数!$AZ$26+(H837-1)*0.2,0))-配置与结果!$B$28)</f>
        <v>1.3200000000000003</v>
      </c>
      <c r="AH837" s="1">
        <f>MAX(0,1+INDEX(配置与结果!$G$15:$G$18,F837)+W837*方案参数!$AG$26+IF(L837=1,方案参数!$BA$26,IF(L837=2,方案参数!$BB$26,0))+M837*方案参数!$BC$26)</f>
        <v>2.08</v>
      </c>
      <c r="AI837" s="1">
        <f>IF(OR(INDEX(配置与结果!$K$15:$K$18,F837)=1,G837="RHI_BERRY"),1+配置与结果!$B$33+P837*方案参数!$AH$26,1)</f>
        <v>1</v>
      </c>
      <c r="AJ837" s="1">
        <f>MIN(1,MAX(0,J837+方案参数!$AB$26-配置与结果!$B$27))</f>
        <v>1</v>
      </c>
      <c r="AK837" s="1">
        <f>MAX(1,K837+IF(F837=2,0.15+方案参数!$CH$26,0)+BN837*方案参数!$X$26+R837*方案参数!$AA$26+0-配置与结果!$B$26+Z837*(方案参数!$AP$26+MIN(方案参数!$AQ$26,P837*0.03)))</f>
        <v>1.8050000000000002</v>
      </c>
      <c r="AL837" s="7">
        <f>ROUNDDOWN(MAX(AD837*配置与结果!$B$31,AD837-AE837)*AF837*AG837*AH837*AI837,0)</f>
        <v>21975</v>
      </c>
      <c r="AM837" s="7">
        <f>ROUNDDOWN(MAX(AD837*配置与结果!$B$31,AD837-AE837)*AF837*AG837*AH837*AI837*AK837,0)</f>
        <v>39666</v>
      </c>
      <c r="AN837" s="7">
        <f t="shared" si="1095"/>
        <v>39666</v>
      </c>
      <c r="AO837" s="7">
        <f>0</f>
        <v>0</v>
      </c>
      <c r="AP837" s="7">
        <f>MAX(0,1+INDEX(配置与结果!$J$15:$J$18,F837)+IF(T837&gt;0,方案参数!$BY$26,0)-配置与结果!$B$30)</f>
        <v>1</v>
      </c>
      <c r="AQ837" s="7">
        <f t="shared" si="1096"/>
        <v>0</v>
      </c>
      <c r="AR837" s="7">
        <f t="shared" si="1097"/>
        <v>0</v>
      </c>
      <c r="AS837" s="7">
        <f t="shared" si="1098"/>
        <v>0</v>
      </c>
      <c r="AT837" s="7">
        <f>0</f>
        <v>0</v>
      </c>
      <c r="AU837" s="7">
        <f t="shared" si="1099"/>
        <v>39666</v>
      </c>
      <c r="AV837" s="1">
        <f t="shared" si="1100"/>
        <v>1</v>
      </c>
      <c r="AW837" s="1">
        <f>MIN(10,M837+0+IF(L837=1,方案参数!$BE$26,0))</f>
        <v>4</v>
      </c>
      <c r="AX837" s="1">
        <f t="shared" si="1101"/>
        <v>0</v>
      </c>
      <c r="AY837" s="1">
        <f t="shared" ref="AY837:AY852" si="1187">MIN(20,MAX(0,O837+0+0-0))</f>
        <v>6</v>
      </c>
      <c r="AZ837" s="1">
        <f t="shared" si="1102"/>
        <v>3</v>
      </c>
      <c r="BA837" s="1">
        <f>MIN(6,Q837+0)</f>
        <v>2</v>
      </c>
      <c r="BB837" s="1">
        <f t="shared" si="1180"/>
        <v>5</v>
      </c>
      <c r="BC837" s="1">
        <f t="shared" si="1161"/>
        <v>0</v>
      </c>
      <c r="BD837" s="1">
        <f t="shared" si="1142"/>
        <v>0</v>
      </c>
      <c r="BE837" s="1">
        <f t="shared" si="1181"/>
        <v>0</v>
      </c>
      <c r="BF837" s="1">
        <f t="shared" si="1165"/>
        <v>0</v>
      </c>
      <c r="BG837" s="1">
        <f t="shared" si="1185"/>
        <v>1</v>
      </c>
      <c r="BH837" s="1">
        <f t="shared" si="1182"/>
        <v>1</v>
      </c>
      <c r="BI837" s="1">
        <f t="shared" si="1186"/>
        <v>1</v>
      </c>
      <c r="BJ837" s="1">
        <f t="shared" si="1156"/>
        <v>0</v>
      </c>
      <c r="BK837" s="1">
        <f t="shared" si="1157"/>
        <v>0</v>
      </c>
      <c r="BL837" s="1">
        <f t="shared" si="1162"/>
        <v>0</v>
      </c>
      <c r="BM837" s="1">
        <f t="shared" si="1160"/>
        <v>0</v>
      </c>
      <c r="BN837" s="1">
        <f t="shared" si="1183"/>
        <v>1</v>
      </c>
      <c r="BO837" s="1">
        <f t="shared" si="1184"/>
        <v>1</v>
      </c>
    </row>
    <row r="838" spans="1:67" ht="30.95" customHeight="1">
      <c r="A838" s="1">
        <f>23</f>
        <v>23</v>
      </c>
      <c r="B838" s="1">
        <f>固定流程!A10</f>
        <v>5</v>
      </c>
      <c r="C838" s="1">
        <f>26</f>
        <v>26</v>
      </c>
      <c r="D838" s="1">
        <f>1</f>
        <v>1</v>
      </c>
      <c r="E838" s="1">
        <f>固定流程!C10</f>
        <v>1</v>
      </c>
      <c r="F838" s="1">
        <f>固定流程!G10</f>
        <v>2</v>
      </c>
      <c r="G838" s="1" t="str">
        <f>固定流程!H10</f>
        <v>37_TRIANGLE</v>
      </c>
      <c r="H838" s="1">
        <f>固定流程!F10</f>
        <v>1</v>
      </c>
      <c r="I838" s="1">
        <f>INDEX(配置与结果!$B$15:$B$18,F838)</f>
        <v>2306</v>
      </c>
      <c r="J838" s="1">
        <f>INDEX(配置与结果!$D$15:$D$18,F838)</f>
        <v>0.46</v>
      </c>
      <c r="K838" s="1">
        <f>INDEX(配置与结果!$E$15:$E$18,F838)</f>
        <v>1.9279999999999999</v>
      </c>
      <c r="L838" s="1">
        <f t="shared" si="1166"/>
        <v>1</v>
      </c>
      <c r="M838" s="1">
        <f t="shared" si="1166"/>
        <v>4</v>
      </c>
      <c r="N838" s="1">
        <f t="shared" si="1166"/>
        <v>0</v>
      </c>
      <c r="O838" s="1">
        <f t="shared" si="1166"/>
        <v>6</v>
      </c>
      <c r="P838" s="1">
        <f>MIN(方案参数!$AI$26,AZ837+0+0)</f>
        <v>3</v>
      </c>
      <c r="Q838" s="1">
        <f t="shared" si="1167"/>
        <v>2</v>
      </c>
      <c r="R838" s="1">
        <f t="shared" si="1168"/>
        <v>5</v>
      </c>
      <c r="S838" s="1">
        <f t="shared" si="1169"/>
        <v>0</v>
      </c>
      <c r="T838" s="1">
        <f t="shared" si="1170"/>
        <v>0</v>
      </c>
      <c r="U838" s="1">
        <f t="shared" si="1171"/>
        <v>0</v>
      </c>
      <c r="V838" s="1">
        <f t="shared" si="1172"/>
        <v>0</v>
      </c>
      <c r="W838" s="1">
        <f t="shared" si="1173"/>
        <v>1</v>
      </c>
      <c r="X838" s="1">
        <f t="shared" si="1174"/>
        <v>1</v>
      </c>
      <c r="Y838" s="1">
        <f t="shared" si="1175"/>
        <v>1</v>
      </c>
      <c r="Z838" s="1">
        <f t="shared" si="1176"/>
        <v>0</v>
      </c>
      <c r="AA838" s="1">
        <f t="shared" si="1177"/>
        <v>0</v>
      </c>
      <c r="AB838" s="1">
        <f t="shared" si="1178"/>
        <v>0</v>
      </c>
      <c r="AC838" s="1">
        <f t="shared" si="1179"/>
        <v>0</v>
      </c>
      <c r="AD838" s="1">
        <f>ROUNDDOWN(I838*(1+IF(F838=3,0.05+方案参数!$Y$26+AA838*0.12,IF(F838=4,方案参数!$BZ$26*方案参数!$AS$26,0)))+IF(AND(X838=1,F838&lt;&gt;3),方案参数!$CC$26,0)+AC838*方案参数!$CB$26,0)</f>
        <v>2544</v>
      </c>
      <c r="AE838" s="1">
        <f>IF(OR(F838=1,F838=4),配置与结果!$B$24,配置与结果!$B$25)*MAX(0,1-INDEX(配置与结果!$I$15:$I$18,F838))</f>
        <v>1000</v>
      </c>
      <c r="AF838" s="1">
        <f>方案参数!$BS$26*IF(H838=1,1,IF(H838=2,1.5,2.5))</f>
        <v>2.8</v>
      </c>
      <c r="AG838" s="1">
        <f>MAX(配置与结果!$B$32,1+INDEX(配置与结果!$F$15:$F$18,F838)+0+Q838*方案参数!$W$26+Y838*(方案参数!$AN$26+MIN(方案参数!$AO$26,P838*0.03))+AB838*方案参数!$BZ$26*0.025-配置与结果!$B$28)</f>
        <v>0.8849999999999999</v>
      </c>
      <c r="AH838" s="1">
        <f>MAX(0,1+INDEX(配置与结果!$G$15:$G$18,F838)+W838*方案参数!$AG$26)</f>
        <v>1.3</v>
      </c>
      <c r="AI838" s="1">
        <f>IF(OR(INDEX(配置与结果!$K$15:$K$18,F838)=1,G838="RHI_BERRY"),1+配置与结果!$B$33+P838*方案参数!$AH$26,1)</f>
        <v>1</v>
      </c>
      <c r="AJ838" s="1">
        <f>MIN(1,MAX(0,J838+方案参数!$AB$26-配置与结果!$B$27))</f>
        <v>0.76</v>
      </c>
      <c r="AK838" s="1">
        <f>MAX(1,K838+IF(F838=2,0.15+方案参数!$CH$26,0)+BN838*方案参数!$X$26+R838*方案参数!$AA$26+0-配置与结果!$B$26+Z838*(方案参数!$AP$26+MIN(方案参数!$AQ$26,P838*0.03)))</f>
        <v>1.9780000000000002</v>
      </c>
      <c r="AL838" s="7">
        <f>ROUNDDOWN(MAX(AD838*配置与结果!$B$31,AD838-AE838)*AF838*AG838*AH838*AI838,0)</f>
        <v>4973</v>
      </c>
      <c r="AM838" s="7">
        <f>ROUNDDOWN(MAX(AD838*配置与结果!$B$31,AD838-AE838)*AF838*AG838*AH838*AI838*AK838,0)</f>
        <v>9838</v>
      </c>
      <c r="AN838" s="7">
        <f t="shared" ref="AN838:AN901" si="1188">AL838*(1-AJ838)+AM838*AJ838</f>
        <v>8670.4</v>
      </c>
      <c r="AO838" s="7">
        <f>方案参数!$BU$26*IF(H838=1,1,IF(H838=2,1.5,2.5))</f>
        <v>0.8</v>
      </c>
      <c r="AP838" s="7">
        <f>MAX(0,1+INDEX(配置与结果!$J$15:$J$18,F838)+IF(T838&gt;0,方案参数!$BY$26,0)-配置与结果!$B$30)</f>
        <v>1</v>
      </c>
      <c r="AQ838" s="7">
        <f t="shared" ref="AQ838:AQ901" si="1189">ROUNDDOWN(ROUNDDOWN(AD838*AO838,0)*AP838,0)</f>
        <v>2035</v>
      </c>
      <c r="AR838" s="7">
        <f t="shared" ref="AR838:AR901" si="1190">ROUNDDOWN(ROUNDDOWN(AD838*AO838,0)*AP838*AK838,0)</f>
        <v>4025</v>
      </c>
      <c r="AS838" s="7">
        <f t="shared" ref="AS838:AS901" si="1191">AQ838*(1-AJ838)+AR838*AJ838</f>
        <v>3547.4</v>
      </c>
      <c r="AT838" s="7">
        <f>0</f>
        <v>0</v>
      </c>
      <c r="AU838" s="7">
        <f t="shared" ref="AU838:AU901" si="1192">AN838+AS838+AT838</f>
        <v>12217.8</v>
      </c>
      <c r="AV838" s="1">
        <f t="shared" ref="AV838:AV901" si="1193">IF(G838="LILYA_COBRA",IF(L838=0,1,L838),L838)</f>
        <v>1</v>
      </c>
      <c r="AW838" s="1">
        <f>MIN(10,M838+0+0)</f>
        <v>4</v>
      </c>
      <c r="AX838" s="1">
        <f t="shared" ref="AX838:AX901" si="1194">N838</f>
        <v>0</v>
      </c>
      <c r="AY838" s="1">
        <f t="shared" si="1187"/>
        <v>6</v>
      </c>
      <c r="AZ838" s="1">
        <f t="shared" ref="AZ838:AZ901" si="1195">P838</f>
        <v>3</v>
      </c>
      <c r="BA838" s="1">
        <f>MIN(6,Q838+0)</f>
        <v>2</v>
      </c>
      <c r="BB838" s="1">
        <f t="shared" si="1180"/>
        <v>5</v>
      </c>
      <c r="BC838" s="1">
        <f t="shared" si="1161"/>
        <v>0</v>
      </c>
      <c r="BD838" s="1">
        <f>MAX(0,T838-IF(AO838&gt;0,1,0))+1</f>
        <v>1</v>
      </c>
      <c r="BE838" s="1">
        <f t="shared" si="1181"/>
        <v>0</v>
      </c>
      <c r="BF838" s="1">
        <f t="shared" si="1165"/>
        <v>0</v>
      </c>
      <c r="BG838" s="1">
        <f t="shared" si="1185"/>
        <v>1</v>
      </c>
      <c r="BH838" s="1">
        <f t="shared" si="1182"/>
        <v>1</v>
      </c>
      <c r="BI838" s="1">
        <f t="shared" si="1186"/>
        <v>1</v>
      </c>
      <c r="BJ838" s="1">
        <f t="shared" si="1156"/>
        <v>0</v>
      </c>
      <c r="BK838" s="1">
        <f t="shared" si="1157"/>
        <v>0</v>
      </c>
      <c r="BL838" s="1">
        <f t="shared" si="1162"/>
        <v>0</v>
      </c>
      <c r="BM838" s="1">
        <f t="shared" si="1160"/>
        <v>0</v>
      </c>
      <c r="BN838" s="1">
        <f t="shared" si="1183"/>
        <v>1</v>
      </c>
      <c r="BO838" s="1">
        <f t="shared" si="1184"/>
        <v>1</v>
      </c>
    </row>
    <row r="839" spans="1:67" ht="30.95" customHeight="1">
      <c r="A839" s="1">
        <f>23</f>
        <v>23</v>
      </c>
      <c r="B839" s="1">
        <f>固定流程!A11</f>
        <v>6</v>
      </c>
      <c r="C839" s="1">
        <f>26</f>
        <v>26</v>
      </c>
      <c r="D839" s="1">
        <f>1</f>
        <v>1</v>
      </c>
      <c r="E839" s="1">
        <f>固定流程!C11</f>
        <v>1</v>
      </c>
      <c r="F839" s="1">
        <f>固定流程!G11</f>
        <v>2</v>
      </c>
      <c r="G839" s="1" t="str">
        <f>固定流程!H11</f>
        <v>37_FOLLOW</v>
      </c>
      <c r="H839" s="1">
        <f>固定流程!F11</f>
        <v>1</v>
      </c>
      <c r="I839" s="1">
        <f>INDEX(配置与结果!$B$15:$B$18,F839)</f>
        <v>2306</v>
      </c>
      <c r="J839" s="1">
        <f>INDEX(配置与结果!$D$15:$D$18,F839)</f>
        <v>0.46</v>
      </c>
      <c r="K839" s="1">
        <f>INDEX(配置与结果!$E$15:$E$18,F839)</f>
        <v>1.9279999999999999</v>
      </c>
      <c r="L839" s="1">
        <f t="shared" si="1166"/>
        <v>1</v>
      </c>
      <c r="M839" s="1">
        <f t="shared" si="1166"/>
        <v>4</v>
      </c>
      <c r="N839" s="1">
        <f t="shared" si="1166"/>
        <v>0</v>
      </c>
      <c r="O839" s="1">
        <f t="shared" si="1166"/>
        <v>6</v>
      </c>
      <c r="P839" s="1">
        <f>MIN(方案参数!$AI$26,AZ838+0+0)</f>
        <v>3</v>
      </c>
      <c r="Q839" s="1">
        <f t="shared" si="1167"/>
        <v>2</v>
      </c>
      <c r="R839" s="1">
        <f t="shared" si="1168"/>
        <v>5</v>
      </c>
      <c r="S839" s="1">
        <f t="shared" si="1169"/>
        <v>0</v>
      </c>
      <c r="T839" s="1">
        <f t="shared" si="1170"/>
        <v>1</v>
      </c>
      <c r="U839" s="1">
        <f t="shared" si="1171"/>
        <v>0</v>
      </c>
      <c r="V839" s="1">
        <f t="shared" si="1172"/>
        <v>0</v>
      </c>
      <c r="W839" s="1">
        <f t="shared" si="1173"/>
        <v>1</v>
      </c>
      <c r="X839" s="1">
        <f t="shared" si="1174"/>
        <v>1</v>
      </c>
      <c r="Y839" s="1">
        <f t="shared" si="1175"/>
        <v>1</v>
      </c>
      <c r="Z839" s="1">
        <f t="shared" si="1176"/>
        <v>0</v>
      </c>
      <c r="AA839" s="1">
        <f t="shared" si="1177"/>
        <v>0</v>
      </c>
      <c r="AB839" s="1">
        <f t="shared" si="1178"/>
        <v>0</v>
      </c>
      <c r="AC839" s="1">
        <f t="shared" si="1179"/>
        <v>0</v>
      </c>
      <c r="AD839" s="1">
        <f>ROUNDDOWN(I839*(1+IF(F839=3,0.05+方案参数!$Y$26+AA839*0.12,IF(F839=4,方案参数!$BZ$26*方案参数!$AS$26,0)))+IF(AND(X839=1,F839&lt;&gt;3),方案参数!$CC$26,0)+AC839*方案参数!$CB$26,0)</f>
        <v>2544</v>
      </c>
      <c r="AE839" s="1">
        <f>IF(OR(F839=1,F839=4),配置与结果!$B$24,配置与结果!$B$25)*MAX(0,1-INDEX(配置与结果!$I$15:$I$18,F839))</f>
        <v>1000</v>
      </c>
      <c r="AF839" s="1">
        <f>方案参数!$BV$26</f>
        <v>3</v>
      </c>
      <c r="AG839" s="1">
        <f>MAX(配置与结果!$B$32,1+INDEX(配置与结果!$F$15:$F$18,F839)+0+Q839*方案参数!$W$26+Y839*(方案参数!$AN$26+MIN(方案参数!$AO$26,P839*0.03))+AB839*方案参数!$BZ$26*0.025-配置与结果!$B$28)</f>
        <v>0.8849999999999999</v>
      </c>
      <c r="AH839" s="1">
        <f>MAX(0,1+INDEX(配置与结果!$G$15:$G$18,F839)+W839*方案参数!$AG$26)</f>
        <v>1.3</v>
      </c>
      <c r="AI839" s="1">
        <f>IF(OR(INDEX(配置与结果!$K$15:$K$18,F839)=1,G839="RHI_BERRY"),1+配置与结果!$B$33+P839*方案参数!$AH$26,1)</f>
        <v>1</v>
      </c>
      <c r="AJ839" s="1">
        <f>MIN(1,MAX(0,J839+方案参数!$AB$26-配置与结果!$B$27))</f>
        <v>0.76</v>
      </c>
      <c r="AK839" s="1">
        <f>MAX(1,K839+IF(F839=2,0.15+方案参数!$CH$26,0)+BN839*方案参数!$X$26+R839*方案参数!$AA$26+0-配置与结果!$B$26+Z839*(方案参数!$AP$26+MIN(方案参数!$AQ$26,P839*0.03)))</f>
        <v>1.9780000000000002</v>
      </c>
      <c r="AL839" s="7">
        <f>ROUNDDOWN(MAX(AD839*配置与结果!$B$31,AD839-AE839)*AF839*AG839*AH839*AI839,0)</f>
        <v>5329</v>
      </c>
      <c r="AM839" s="7">
        <f>ROUNDDOWN(MAX(AD839*配置与结果!$B$31,AD839-AE839)*AF839*AG839*AH839*AI839*AK839,0)</f>
        <v>10540</v>
      </c>
      <c r="AN839" s="7">
        <f t="shared" si="1188"/>
        <v>9289.36</v>
      </c>
      <c r="AO839" s="7">
        <f>方案参数!$BW$26</f>
        <v>1</v>
      </c>
      <c r="AP839" s="7">
        <f>MAX(0,1+INDEX(配置与结果!$J$15:$J$18,F839)+IF(T839&gt;0,方案参数!$BY$26,0)-配置与结果!$B$30)</f>
        <v>2</v>
      </c>
      <c r="AQ839" s="7">
        <f t="shared" si="1189"/>
        <v>5088</v>
      </c>
      <c r="AR839" s="7">
        <f t="shared" si="1190"/>
        <v>10064</v>
      </c>
      <c r="AS839" s="7">
        <f t="shared" si="1191"/>
        <v>8869.76</v>
      </c>
      <c r="AT839" s="7">
        <f>0</f>
        <v>0</v>
      </c>
      <c r="AU839" s="7">
        <f t="shared" si="1192"/>
        <v>18159.120000000003</v>
      </c>
      <c r="AV839" s="1">
        <f t="shared" si="1193"/>
        <v>1</v>
      </c>
      <c r="AW839" s="1">
        <f>MIN(10,M839+0+0)</f>
        <v>4</v>
      </c>
      <c r="AX839" s="1">
        <f t="shared" si="1194"/>
        <v>0</v>
      </c>
      <c r="AY839" s="1">
        <f t="shared" si="1187"/>
        <v>6</v>
      </c>
      <c r="AZ839" s="1">
        <f t="shared" si="1195"/>
        <v>3</v>
      </c>
      <c r="BA839" s="1">
        <f>MIN(6,Q839+0)</f>
        <v>2</v>
      </c>
      <c r="BB839" s="1">
        <f t="shared" si="1180"/>
        <v>5</v>
      </c>
      <c r="BC839" s="1">
        <f t="shared" si="1161"/>
        <v>0</v>
      </c>
      <c r="BD839" s="1">
        <f t="shared" ref="BD839:BD873" si="1196">MAX(0,T839-IF(AO839&gt;0,1,0))+0</f>
        <v>0</v>
      </c>
      <c r="BE839" s="1">
        <f t="shared" si="1181"/>
        <v>0</v>
      </c>
      <c r="BF839" s="1">
        <f>MIN(4,V839+1)</f>
        <v>1</v>
      </c>
      <c r="BG839" s="1">
        <f t="shared" si="1185"/>
        <v>1</v>
      </c>
      <c r="BH839" s="1">
        <f t="shared" si="1182"/>
        <v>1</v>
      </c>
      <c r="BI839" s="1">
        <f t="shared" si="1186"/>
        <v>1</v>
      </c>
      <c r="BJ839" s="1">
        <f t="shared" si="1156"/>
        <v>0</v>
      </c>
      <c r="BK839" s="1">
        <f t="shared" si="1157"/>
        <v>0</v>
      </c>
      <c r="BL839" s="1">
        <f t="shared" si="1162"/>
        <v>0</v>
      </c>
      <c r="BM839" s="1">
        <f t="shared" si="1160"/>
        <v>0</v>
      </c>
      <c r="BN839" s="1">
        <f t="shared" si="1183"/>
        <v>1</v>
      </c>
      <c r="BO839" s="1">
        <f t="shared" si="1184"/>
        <v>1</v>
      </c>
    </row>
    <row r="840" spans="1:67" ht="30.95" customHeight="1">
      <c r="A840" s="1">
        <f>23</f>
        <v>23</v>
      </c>
      <c r="B840" s="1">
        <f>固定流程!A12</f>
        <v>7</v>
      </c>
      <c r="C840" s="1">
        <f>26</f>
        <v>26</v>
      </c>
      <c r="D840" s="1">
        <f>1</f>
        <v>1</v>
      </c>
      <c r="E840" s="1">
        <f>固定流程!C12</f>
        <v>1</v>
      </c>
      <c r="F840" s="1">
        <f>固定流程!G12</f>
        <v>4</v>
      </c>
      <c r="G840" s="1" t="str">
        <f>固定流程!H12</f>
        <v>J_HARD</v>
      </c>
      <c r="H840" s="1">
        <f>固定流程!F12</f>
        <v>1</v>
      </c>
      <c r="I840" s="1">
        <f>INDEX(配置与结果!$B$15:$B$18,F840)</f>
        <v>1906</v>
      </c>
      <c r="J840" s="1">
        <f>INDEX(配置与结果!$D$15:$D$18,F840)</f>
        <v>0.36699999999999999</v>
      </c>
      <c r="K840" s="1">
        <f>INDEX(配置与结果!$E$15:$E$18,F840)</f>
        <v>1.7170000000000001</v>
      </c>
      <c r="L840" s="1">
        <f t="shared" si="1166"/>
        <v>1</v>
      </c>
      <c r="M840" s="1">
        <f t="shared" si="1166"/>
        <v>4</v>
      </c>
      <c r="N840" s="1">
        <f t="shared" si="1166"/>
        <v>0</v>
      </c>
      <c r="O840" s="1">
        <f t="shared" si="1166"/>
        <v>6</v>
      </c>
      <c r="P840" s="1">
        <f>MIN(方案参数!$AI$26,AZ839+0+0)</f>
        <v>3</v>
      </c>
      <c r="Q840" s="1">
        <f t="shared" si="1167"/>
        <v>2</v>
      </c>
      <c r="R840" s="1">
        <f t="shared" si="1168"/>
        <v>5</v>
      </c>
      <c r="S840" s="1">
        <f t="shared" si="1169"/>
        <v>0</v>
      </c>
      <c r="T840" s="1">
        <f t="shared" si="1170"/>
        <v>0</v>
      </c>
      <c r="U840" s="1">
        <f t="shared" si="1171"/>
        <v>0</v>
      </c>
      <c r="V840" s="1">
        <f t="shared" si="1172"/>
        <v>1</v>
      </c>
      <c r="W840" s="1">
        <f t="shared" si="1173"/>
        <v>1</v>
      </c>
      <c r="X840" s="1">
        <f t="shared" si="1174"/>
        <v>1</v>
      </c>
      <c r="Y840" s="1">
        <f t="shared" si="1175"/>
        <v>1</v>
      </c>
      <c r="Z840" s="1">
        <f t="shared" si="1176"/>
        <v>0</v>
      </c>
      <c r="AA840" s="1">
        <f t="shared" si="1177"/>
        <v>0</v>
      </c>
      <c r="AB840" s="1">
        <f t="shared" si="1178"/>
        <v>0</v>
      </c>
      <c r="AC840" s="1">
        <f t="shared" si="1179"/>
        <v>0</v>
      </c>
      <c r="AD840" s="1">
        <f>ROUNDDOWN(I840*(1+IF(F840=3,0.05+方案参数!$Y$26+AA840*0.12,IF(F840=4,方案参数!$BZ$26*方案参数!$AS$26,0)))+IF(AND(X840=1,F840&lt;&gt;3),方案参数!$CC$26,0)+AC840*方案参数!$CB$26,0)</f>
        <v>3859</v>
      </c>
      <c r="AE840" s="1">
        <f>IF(OR(F840=1,F840=4),配置与结果!$B$24,配置与结果!$B$25)*MAX(0,1-INDEX(配置与结果!$I$15:$I$18,F840))</f>
        <v>1200</v>
      </c>
      <c r="AF840" s="1">
        <f>3.6*IF(H840=1,1,IF(H840=2,1.5,2.5))</f>
        <v>3.6</v>
      </c>
      <c r="AG840" s="1">
        <f>MAX(配置与结果!$B$32,1+INDEX(配置与结果!$F$15:$F$18,F840)+0.08+Q840*方案参数!$W$26+Y840*(方案参数!$AN$26+MIN(方案参数!$AO$26,P840*0.03))+AB840*方案参数!$BZ$26*0.025+0.1+IF(方案参数!$BZ$26&gt;=30,方案参数!$BZ$26*0.01,0)-配置与结果!$B$28)</f>
        <v>1.5350000000000001</v>
      </c>
      <c r="AH840" s="1">
        <f>MAX(0,1+INDEX(配置与结果!$G$15:$G$18,F840)+W840*方案参数!$AG$26)</f>
        <v>1.3</v>
      </c>
      <c r="AI840" s="1">
        <f>IF(OR(INDEX(配置与结果!$K$15:$K$18,F840)=1,G840="RHI_BERRY"),1+配置与结果!$B$33+P840*方案参数!$AH$26,1)</f>
        <v>1</v>
      </c>
      <c r="AJ840" s="1">
        <f>MIN(1,MAX(0,J840+方案参数!$AB$26-配置与结果!$B$27))</f>
        <v>0.66700000000000004</v>
      </c>
      <c r="AK840" s="1">
        <f>MAX(1,K840+IF(F840=2,0.15+方案参数!$CH$26,0)+BN840*方案参数!$X$26+R840*方案参数!$AA$26+0-配置与结果!$B$26+Z840*(方案参数!$AP$26+MIN(方案参数!$AQ$26,P840*0.03)))</f>
        <v>1.4969999999999999</v>
      </c>
      <c r="AL840" s="7">
        <f>ROUNDDOWN(MAX(AD840*配置与结果!$B$31,AD840-AE840)*AF840*AG840*AH840*AI840,0)</f>
        <v>19101</v>
      </c>
      <c r="AM840" s="7">
        <f>ROUNDDOWN(MAX(AD840*配置与结果!$B$31,AD840-AE840)*AF840*AG840*AH840*AI840*AK840,0)</f>
        <v>28595</v>
      </c>
      <c r="AN840" s="7">
        <f t="shared" si="1188"/>
        <v>25433.498</v>
      </c>
      <c r="AO840" s="7">
        <f>0</f>
        <v>0</v>
      </c>
      <c r="AP840" s="7">
        <f>MAX(0,1+INDEX(配置与结果!$J$15:$J$18,F840)+IF(T840&gt;0,方案参数!$BY$26,0)-配置与结果!$B$30)</f>
        <v>1</v>
      </c>
      <c r="AQ840" s="7">
        <f t="shared" si="1189"/>
        <v>0</v>
      </c>
      <c r="AR840" s="7">
        <f t="shared" si="1190"/>
        <v>0</v>
      </c>
      <c r="AS840" s="7">
        <f t="shared" si="1191"/>
        <v>0</v>
      </c>
      <c r="AT840" s="7">
        <f>0</f>
        <v>0</v>
      </c>
      <c r="AU840" s="7">
        <f t="shared" si="1192"/>
        <v>25433.498</v>
      </c>
      <c r="AV840" s="1">
        <f t="shared" si="1193"/>
        <v>1</v>
      </c>
      <c r="AW840" s="1">
        <f>MIN(10,M840+0+0)</f>
        <v>4</v>
      </c>
      <c r="AX840" s="1">
        <f t="shared" si="1194"/>
        <v>0</v>
      </c>
      <c r="AY840" s="1">
        <f t="shared" si="1187"/>
        <v>6</v>
      </c>
      <c r="AZ840" s="1">
        <f t="shared" si="1195"/>
        <v>3</v>
      </c>
      <c r="BA840" s="1">
        <f>MIN(6,Q840+0)</f>
        <v>2</v>
      </c>
      <c r="BB840" s="1">
        <f t="shared" si="1180"/>
        <v>5</v>
      </c>
      <c r="BC840" s="1">
        <f>MIN(3,S840+1)</f>
        <v>1</v>
      </c>
      <c r="BD840" s="1">
        <f t="shared" si="1196"/>
        <v>0</v>
      </c>
      <c r="BE840" s="1">
        <f t="shared" si="1181"/>
        <v>0</v>
      </c>
      <c r="BF840" s="1">
        <f>MIN(4,V840+0)</f>
        <v>1</v>
      </c>
      <c r="BG840" s="1">
        <f t="shared" si="1185"/>
        <v>1</v>
      </c>
      <c r="BH840" s="1">
        <f t="shared" si="1182"/>
        <v>1</v>
      </c>
      <c r="BI840" s="1">
        <f t="shared" si="1186"/>
        <v>1</v>
      </c>
      <c r="BJ840" s="1">
        <f t="shared" si="1156"/>
        <v>0</v>
      </c>
      <c r="BK840" s="1">
        <f t="shared" si="1157"/>
        <v>0</v>
      </c>
      <c r="BL840" s="1">
        <f t="shared" si="1162"/>
        <v>0</v>
      </c>
      <c r="BM840" s="1">
        <f t="shared" si="1160"/>
        <v>0</v>
      </c>
      <c r="BN840" s="1">
        <f t="shared" si="1183"/>
        <v>1</v>
      </c>
      <c r="BO840" s="1">
        <f t="shared" si="1184"/>
        <v>1</v>
      </c>
    </row>
    <row r="841" spans="1:67" ht="30.95" customHeight="1">
      <c r="A841" s="1">
        <f>23</f>
        <v>23</v>
      </c>
      <c r="B841" s="1">
        <f>固定流程!A13</f>
        <v>8</v>
      </c>
      <c r="C841" s="1">
        <f>26</f>
        <v>26</v>
      </c>
      <c r="D841" s="1">
        <f>1</f>
        <v>1</v>
      </c>
      <c r="E841" s="1">
        <f>固定流程!C13</f>
        <v>2</v>
      </c>
      <c r="F841" s="1">
        <f>固定流程!G13</f>
        <v>3</v>
      </c>
      <c r="G841" s="1" t="str">
        <f>固定流程!H13</f>
        <v>RHI_ATTACK</v>
      </c>
      <c r="H841" s="1">
        <f>固定流程!F13</f>
        <v>1</v>
      </c>
      <c r="I841" s="1">
        <f>INDEX(配置与结果!$B$15:$B$18,F841)</f>
        <v>2597</v>
      </c>
      <c r="J841" s="1">
        <f>INDEX(配置与结果!$D$15:$D$18,F841)</f>
        <v>0.255</v>
      </c>
      <c r="K841" s="1">
        <f>INDEX(配置与结果!$E$15:$E$18,F841)</f>
        <v>1.55</v>
      </c>
      <c r="L841" s="1">
        <f>IF(AV840=1,IF(M841&gt;=10,2,1),IF(AV840=2,IF(AX840&lt;=1,0,2),0))</f>
        <v>1</v>
      </c>
      <c r="M841" s="1">
        <f>IF(AND(AV840=2,AX840&lt;=1),0,MIN(10,AW840+IF(AV840=1,3,0)))</f>
        <v>7</v>
      </c>
      <c r="N841" s="1">
        <f>IF(AND(AV840=1,M841&gt;=10),2,IF(AV840=2,MAX(0,AX840-1),0))</f>
        <v>0</v>
      </c>
      <c r="O841" s="1">
        <f t="shared" ref="O841:O869" si="1197">AY840</f>
        <v>6</v>
      </c>
      <c r="P841" s="1">
        <f>MIN(方案参数!$AI$26,AZ840+方案参数!$AJ$26+方案参数!$AK$26)</f>
        <v>5</v>
      </c>
      <c r="Q841" s="1">
        <f t="shared" si="1167"/>
        <v>2</v>
      </c>
      <c r="R841" s="1">
        <f t="shared" si="1168"/>
        <v>5</v>
      </c>
      <c r="S841" s="1">
        <f t="shared" si="1169"/>
        <v>1</v>
      </c>
      <c r="T841" s="1">
        <f t="shared" si="1170"/>
        <v>0</v>
      </c>
      <c r="U841" s="1">
        <f t="shared" si="1171"/>
        <v>0</v>
      </c>
      <c r="V841" s="1">
        <f t="shared" si="1172"/>
        <v>1</v>
      </c>
      <c r="W841" s="1">
        <f t="shared" si="1173"/>
        <v>1</v>
      </c>
      <c r="X841" s="1">
        <f t="shared" si="1174"/>
        <v>1</v>
      </c>
      <c r="Y841" s="1">
        <f t="shared" si="1175"/>
        <v>1</v>
      </c>
      <c r="Z841" s="1">
        <f t="shared" si="1176"/>
        <v>0</v>
      </c>
      <c r="AA841" s="1">
        <f>MAX(BK840,1)</f>
        <v>1</v>
      </c>
      <c r="AB841" s="1">
        <f t="shared" si="1178"/>
        <v>0</v>
      </c>
      <c r="AC841" s="1">
        <f t="shared" si="1179"/>
        <v>0</v>
      </c>
      <c r="AD841" s="1">
        <f>ROUNDDOWN(I841*(1+IF(F841=3,0.05+方案参数!$Y$26+AA841*0.12,IF(F841=4,方案参数!$BZ$26*方案参数!$AS$26,0)))+IF(AND(X841=1,F841&lt;&gt;3),方案参数!$CC$26,0)+AC841*方案参数!$CB$26,0)</f>
        <v>3298</v>
      </c>
      <c r="AE841" s="1">
        <f>IF(OR(F841=1,F841=4),配置与结果!$B$24,配置与结果!$B$25)*MAX(0,1-INDEX(配置与结果!$I$15:$I$18,F841))</f>
        <v>1000</v>
      </c>
      <c r="AF841" s="1">
        <f>4</f>
        <v>4</v>
      </c>
      <c r="AG841" s="1">
        <f>MAX(配置与结果!$B$32,1+INDEX(配置与结果!$F$15:$F$18,F841)+0+Q841*方案参数!$W$26+Y841*(方案参数!$AN$26+MIN(方案参数!$AO$26,P841*0.03))+AB841*方案参数!$BZ$26*0.025-配置与结果!$B$28)</f>
        <v>0.97499999999999998</v>
      </c>
      <c r="AH841" s="1">
        <f>MAX(0,1+INDEX(配置与结果!$G$15:$G$18,F841)+W841*方案参数!$AG$26)</f>
        <v>1.3</v>
      </c>
      <c r="AI841" s="1">
        <f>IF(OR(INDEX(配置与结果!$K$15:$K$18,F841)=1,G841="RHI_BERRY"),1+配置与结果!$B$33+P841*方案参数!$AH$26,1)</f>
        <v>1</v>
      </c>
      <c r="AJ841" s="1">
        <f>MIN(1,MAX(0,J841+方案参数!$AB$26-配置与结果!$B$27))</f>
        <v>0.55499999999999994</v>
      </c>
      <c r="AK841" s="1">
        <f>MAX(1,K841+IF(F841=2,0.15+方案参数!$CH$26,0)+BN841*方案参数!$X$26+R841*方案参数!$AA$26+0-配置与结果!$B$26+Z841*(方案参数!$AP$26+MIN(方案参数!$AQ$26,P841*0.03)))</f>
        <v>1.33</v>
      </c>
      <c r="AL841" s="7">
        <f>ROUNDDOWN(MAX(AD841*配置与结果!$B$31,AD841-AE841)*AF841*AG841*AH841*AI841,0)</f>
        <v>11650</v>
      </c>
      <c r="AM841" s="7">
        <f>ROUNDDOWN(MAX(AD841*配置与结果!$B$31,AD841-AE841)*AF841*AG841*AH841*AI841*AK841,0)</f>
        <v>15495</v>
      </c>
      <c r="AN841" s="7">
        <f t="shared" si="1188"/>
        <v>13783.974999999999</v>
      </c>
      <c r="AO841" s="7">
        <f>0</f>
        <v>0</v>
      </c>
      <c r="AP841" s="7">
        <f>MAX(0,1+INDEX(配置与结果!$J$15:$J$18,F841)+IF(T841&gt;0,方案参数!$BY$26,0)-配置与结果!$B$30)</f>
        <v>1</v>
      </c>
      <c r="AQ841" s="7">
        <f t="shared" si="1189"/>
        <v>0</v>
      </c>
      <c r="AR841" s="7">
        <f t="shared" si="1190"/>
        <v>0</v>
      </c>
      <c r="AS841" s="7">
        <f t="shared" si="1191"/>
        <v>0</v>
      </c>
      <c r="AT841" s="7">
        <f>0</f>
        <v>0</v>
      </c>
      <c r="AU841" s="7">
        <f t="shared" si="1192"/>
        <v>13783.974999999999</v>
      </c>
      <c r="AV841" s="1">
        <f t="shared" si="1193"/>
        <v>1</v>
      </c>
      <c r="AW841" s="1">
        <f>MIN(10,M841+0+0)</f>
        <v>7</v>
      </c>
      <c r="AX841" s="1">
        <f t="shared" si="1194"/>
        <v>0</v>
      </c>
      <c r="AY841" s="1">
        <f t="shared" si="1187"/>
        <v>6</v>
      </c>
      <c r="AZ841" s="1">
        <f t="shared" si="1195"/>
        <v>5</v>
      </c>
      <c r="BA841" s="1">
        <f>MIN(6,Q841+1)</f>
        <v>3</v>
      </c>
      <c r="BB841" s="1">
        <f t="shared" si="1180"/>
        <v>5</v>
      </c>
      <c r="BC841" s="1">
        <f>MIN(3,S841+0)</f>
        <v>1</v>
      </c>
      <c r="BD841" s="1">
        <f t="shared" si="1196"/>
        <v>0</v>
      </c>
      <c r="BE841" s="1">
        <f t="shared" si="1181"/>
        <v>0</v>
      </c>
      <c r="BF841" s="1">
        <f>MIN(4,V841+0)</f>
        <v>1</v>
      </c>
      <c r="BG841" s="1">
        <f t="shared" si="1185"/>
        <v>1</v>
      </c>
      <c r="BH841" s="1">
        <f t="shared" si="1182"/>
        <v>1</v>
      </c>
      <c r="BI841" s="1">
        <f t="shared" si="1186"/>
        <v>1</v>
      </c>
      <c r="BJ841" s="1">
        <f>MAX(Z841,1)</f>
        <v>1</v>
      </c>
      <c r="BK841" s="1">
        <f>MAX(AA841,1)</f>
        <v>1</v>
      </c>
      <c r="BL841" s="1">
        <f t="shared" si="1162"/>
        <v>0</v>
      </c>
      <c r="BM841" s="1">
        <f t="shared" si="1160"/>
        <v>0</v>
      </c>
      <c r="BN841" s="1">
        <f t="shared" si="1183"/>
        <v>1</v>
      </c>
      <c r="BO841" s="1">
        <f t="shared" si="1184"/>
        <v>1</v>
      </c>
    </row>
    <row r="842" spans="1:67" ht="30.95" customHeight="1">
      <c r="A842" s="1">
        <f>23</f>
        <v>23</v>
      </c>
      <c r="B842" s="1">
        <f>固定流程!A14</f>
        <v>9</v>
      </c>
      <c r="C842" s="1">
        <f>26</f>
        <v>26</v>
      </c>
      <c r="D842" s="1">
        <f>1</f>
        <v>1</v>
      </c>
      <c r="E842" s="1">
        <f>固定流程!C14</f>
        <v>2</v>
      </c>
      <c r="F842" s="1">
        <f>固定流程!G14</f>
        <v>1</v>
      </c>
      <c r="G842" s="1" t="str">
        <f>固定流程!H14</f>
        <v>LILYA_DIVE</v>
      </c>
      <c r="H842" s="1">
        <f>固定流程!F14</f>
        <v>3</v>
      </c>
      <c r="I842" s="1">
        <f>INDEX(配置与结果!$B$15:$B$18,F842)</f>
        <v>2296</v>
      </c>
      <c r="J842" s="1">
        <f>INDEX(配置与结果!$D$15:$D$18,F842)</f>
        <v>0.7</v>
      </c>
      <c r="K842" s="1">
        <f>INDEX(配置与结果!$E$15:$E$18,F842)</f>
        <v>2.0249999999999999</v>
      </c>
      <c r="L842" s="1">
        <f t="shared" ref="L842:N846" si="1198">AV841</f>
        <v>1</v>
      </c>
      <c r="M842" s="1">
        <f t="shared" si="1198"/>
        <v>7</v>
      </c>
      <c r="N842" s="1">
        <f t="shared" si="1198"/>
        <v>0</v>
      </c>
      <c r="O842" s="1">
        <f t="shared" si="1197"/>
        <v>6</v>
      </c>
      <c r="P842" s="1">
        <f>MIN(方案参数!$AI$26,AZ841+0+0)</f>
        <v>5</v>
      </c>
      <c r="Q842" s="1">
        <f t="shared" si="1167"/>
        <v>3</v>
      </c>
      <c r="R842" s="1">
        <f t="shared" si="1168"/>
        <v>5</v>
      </c>
      <c r="S842" s="1">
        <f t="shared" si="1169"/>
        <v>1</v>
      </c>
      <c r="T842" s="1">
        <f t="shared" si="1170"/>
        <v>0</v>
      </c>
      <c r="U842" s="1">
        <f t="shared" si="1171"/>
        <v>0</v>
      </c>
      <c r="V842" s="1">
        <f t="shared" si="1172"/>
        <v>1</v>
      </c>
      <c r="W842" s="1">
        <f t="shared" si="1173"/>
        <v>1</v>
      </c>
      <c r="X842" s="1">
        <f t="shared" si="1174"/>
        <v>1</v>
      </c>
      <c r="Y842" s="1">
        <f t="shared" si="1175"/>
        <v>1</v>
      </c>
      <c r="Z842" s="1">
        <f t="shared" si="1176"/>
        <v>1</v>
      </c>
      <c r="AA842" s="1">
        <f t="shared" ref="AA842:AA847" si="1199">MAX(BK841,0)</f>
        <v>1</v>
      </c>
      <c r="AB842" s="1">
        <f t="shared" si="1178"/>
        <v>0</v>
      </c>
      <c r="AC842" s="1">
        <f t="shared" si="1179"/>
        <v>0</v>
      </c>
      <c r="AD842" s="1">
        <f>ROUNDDOWN(I842*(1+IF(F842=3,0.05+方案参数!$Y$26+AA842*0.12,IF(F842=4,方案参数!$BZ$26*方案参数!$AS$26,0)))+IF(AND(X842=1,F842&lt;&gt;3),方案参数!$CC$26,0)+AC842*方案参数!$CB$26,0)</f>
        <v>2534</v>
      </c>
      <c r="AE842" s="1">
        <f>IF(OR(F842=1,F842=4),配置与结果!$B$24,配置与结果!$B$25)*MAX(0,1-INDEX(配置与结果!$I$15:$I$18,F842))</f>
        <v>1200</v>
      </c>
      <c r="AF842" s="1">
        <f>(IF(L842=1,方案参数!$AW$26,IF(L842=2,方案参数!$AX$26,0))+方案参数!$AV$26)*H842</f>
        <v>18</v>
      </c>
      <c r="AG842" s="1">
        <f>MAX(配置与结果!$B$32,1+INDEX(配置与结果!$F$15:$F$18,F842)+0.08+方案参数!$CD$26+Q842*方案参数!$W$26+Y842*(方案参数!$AN$26+MIN(方案参数!$AO$26,P842*0.03))+AB842*方案参数!$BZ$26*0.025+IF(L842=1,方案参数!$AY$26+(H842-1)*0.1,IF(L842=2,方案参数!$AZ$26+(H842-1)*0.2,0))-配置与结果!$B$28)</f>
        <v>1.6</v>
      </c>
      <c r="AH842" s="1">
        <f>MAX(0,1+INDEX(配置与结果!$G$15:$G$18,F842)+W842*方案参数!$AG$26+IF(L842=1,方案参数!$BA$26,IF(L842=2,方案参数!$BB$26,0))+M842*方案参数!$BC$26)</f>
        <v>2.3199999999999998</v>
      </c>
      <c r="AI842" s="1">
        <f>IF(OR(INDEX(配置与结果!$K$15:$K$18,F842)=1,G842="RHI_BERRY"),1+配置与结果!$B$33+P842*方案参数!$AH$26,1)</f>
        <v>1</v>
      </c>
      <c r="AJ842" s="1">
        <f>MIN(1,MAX(0,J842+方案参数!$AB$26-配置与结果!$B$27))</f>
        <v>1</v>
      </c>
      <c r="AK842" s="1">
        <f>MAX(1,K842+IF(F842=2,0.15+方案参数!$CH$26,0)+BN842*方案参数!$X$26+R842*方案参数!$AA$26+0-配置与结果!$B$26+Z842*(方案参数!$AP$26+MIN(方案参数!$AQ$26,P842*0.03)))</f>
        <v>2.105</v>
      </c>
      <c r="AL842" s="7">
        <f>ROUNDDOWN(MAX(AD842*配置与结果!$B$31,AD842-AE842)*AF842*AG842*AH842*AI842,0)</f>
        <v>89132</v>
      </c>
      <c r="AM842" s="7">
        <f>ROUNDDOWN(MAX(AD842*配置与结果!$B$31,AD842-AE842)*AF842*AG842*AH842*AI842*AK842,0)</f>
        <v>187624</v>
      </c>
      <c r="AN842" s="7">
        <f t="shared" si="1188"/>
        <v>187624</v>
      </c>
      <c r="AO842" s="7">
        <f>0</f>
        <v>0</v>
      </c>
      <c r="AP842" s="7">
        <f>MAX(0,1+INDEX(配置与结果!$J$15:$J$18,F842)+IF(T842&gt;0,方案参数!$BY$26,0)-配置与结果!$B$30)</f>
        <v>1</v>
      </c>
      <c r="AQ842" s="7">
        <f t="shared" si="1189"/>
        <v>0</v>
      </c>
      <c r="AR842" s="7">
        <f t="shared" si="1190"/>
        <v>0</v>
      </c>
      <c r="AS842" s="7">
        <f t="shared" si="1191"/>
        <v>0</v>
      </c>
      <c r="AT842" s="7">
        <f>0</f>
        <v>0</v>
      </c>
      <c r="AU842" s="7">
        <f t="shared" si="1192"/>
        <v>187624</v>
      </c>
      <c r="AV842" s="1">
        <f t="shared" si="1193"/>
        <v>1</v>
      </c>
      <c r="AW842" s="1">
        <f>MIN(10,M842+0+IF(L842=1,方案参数!$BE$26,0))</f>
        <v>8</v>
      </c>
      <c r="AX842" s="1">
        <f t="shared" si="1194"/>
        <v>0</v>
      </c>
      <c r="AY842" s="1">
        <f t="shared" si="1187"/>
        <v>6</v>
      </c>
      <c r="AZ842" s="1">
        <f t="shared" si="1195"/>
        <v>5</v>
      </c>
      <c r="BA842" s="1">
        <f>MIN(6,Q842+0)</f>
        <v>3</v>
      </c>
      <c r="BB842" s="1">
        <f t="shared" si="1180"/>
        <v>5</v>
      </c>
      <c r="BC842" s="1">
        <f>MIN(3,S842+0)</f>
        <v>1</v>
      </c>
      <c r="BD842" s="1">
        <f t="shared" si="1196"/>
        <v>0</v>
      </c>
      <c r="BE842" s="1">
        <f t="shared" si="1181"/>
        <v>0</v>
      </c>
      <c r="BF842" s="1">
        <f>MIN(4,V842+0)</f>
        <v>1</v>
      </c>
      <c r="BG842" s="1">
        <f t="shared" si="1185"/>
        <v>1</v>
      </c>
      <c r="BH842" s="1">
        <f t="shared" si="1182"/>
        <v>1</v>
      </c>
      <c r="BI842" s="1">
        <f t="shared" si="1186"/>
        <v>1</v>
      </c>
      <c r="BJ842" s="1">
        <f t="shared" ref="BJ842:BK847" si="1200">MAX(Z842,0)</f>
        <v>1</v>
      </c>
      <c r="BK842" s="1">
        <f t="shared" si="1200"/>
        <v>1</v>
      </c>
      <c r="BL842" s="1">
        <f t="shared" si="1162"/>
        <v>0</v>
      </c>
      <c r="BM842" s="1">
        <f t="shared" si="1160"/>
        <v>0</v>
      </c>
      <c r="BN842" s="1">
        <f t="shared" si="1183"/>
        <v>1</v>
      </c>
      <c r="BO842" s="1">
        <f t="shared" si="1184"/>
        <v>1</v>
      </c>
    </row>
    <row r="843" spans="1:67" ht="30.95" customHeight="1">
      <c r="A843" s="1">
        <f>23</f>
        <v>23</v>
      </c>
      <c r="B843" s="1">
        <f>固定流程!A15</f>
        <v>10</v>
      </c>
      <c r="C843" s="1">
        <f>26</f>
        <v>26</v>
      </c>
      <c r="D843" s="1">
        <f>1</f>
        <v>1</v>
      </c>
      <c r="E843" s="1">
        <f>固定流程!C15</f>
        <v>2</v>
      </c>
      <c r="F843" s="1">
        <f>固定流程!G15</f>
        <v>4</v>
      </c>
      <c r="G843" s="1" t="str">
        <f>固定流程!H15</f>
        <v>J_HARD</v>
      </c>
      <c r="H843" s="1">
        <f>固定流程!F15</f>
        <v>1</v>
      </c>
      <c r="I843" s="1">
        <f>INDEX(配置与结果!$B$15:$B$18,F843)</f>
        <v>1906</v>
      </c>
      <c r="J843" s="1">
        <f>INDEX(配置与结果!$D$15:$D$18,F843)</f>
        <v>0.36699999999999999</v>
      </c>
      <c r="K843" s="1">
        <f>INDEX(配置与结果!$E$15:$E$18,F843)</f>
        <v>1.7170000000000001</v>
      </c>
      <c r="L843" s="1">
        <f t="shared" si="1198"/>
        <v>1</v>
      </c>
      <c r="M843" s="1">
        <f t="shared" si="1198"/>
        <v>8</v>
      </c>
      <c r="N843" s="1">
        <f t="shared" si="1198"/>
        <v>0</v>
      </c>
      <c r="O843" s="1">
        <f t="shared" si="1197"/>
        <v>6</v>
      </c>
      <c r="P843" s="1">
        <f>MIN(方案参数!$AI$26,AZ842+0+0)</f>
        <v>5</v>
      </c>
      <c r="Q843" s="1">
        <f t="shared" si="1167"/>
        <v>3</v>
      </c>
      <c r="R843" s="1">
        <f t="shared" si="1168"/>
        <v>5</v>
      </c>
      <c r="S843" s="1">
        <f t="shared" si="1169"/>
        <v>1</v>
      </c>
      <c r="T843" s="1">
        <f t="shared" si="1170"/>
        <v>0</v>
      </c>
      <c r="U843" s="1">
        <f t="shared" si="1171"/>
        <v>0</v>
      </c>
      <c r="V843" s="1">
        <f t="shared" si="1172"/>
        <v>1</v>
      </c>
      <c r="W843" s="1">
        <f t="shared" si="1173"/>
        <v>1</v>
      </c>
      <c r="X843" s="1">
        <f t="shared" si="1174"/>
        <v>1</v>
      </c>
      <c r="Y843" s="1">
        <f t="shared" si="1175"/>
        <v>1</v>
      </c>
      <c r="Z843" s="1">
        <f t="shared" si="1176"/>
        <v>1</v>
      </c>
      <c r="AA843" s="1">
        <f t="shared" si="1199"/>
        <v>1</v>
      </c>
      <c r="AB843" s="1">
        <f t="shared" si="1178"/>
        <v>0</v>
      </c>
      <c r="AC843" s="1">
        <f t="shared" si="1179"/>
        <v>0</v>
      </c>
      <c r="AD843" s="1">
        <f>ROUNDDOWN(I843*(1+IF(F843=3,0.05+方案参数!$Y$26+AA843*0.12,IF(F843=4,方案参数!$BZ$26*方案参数!$AS$26,0)))+IF(AND(X843=1,F843&lt;&gt;3),方案参数!$CC$26,0)+AC843*方案参数!$CB$26,0)</f>
        <v>3859</v>
      </c>
      <c r="AE843" s="1">
        <f>IF(OR(F843=1,F843=4),配置与结果!$B$24,配置与结果!$B$25)*MAX(0,1-INDEX(配置与结果!$I$15:$I$18,F843))</f>
        <v>1200</v>
      </c>
      <c r="AF843" s="1">
        <f>3.6*IF(H843=1,1,IF(H843=2,1.5,2.5))</f>
        <v>3.6</v>
      </c>
      <c r="AG843" s="1">
        <f>MAX(配置与结果!$B$32,1+INDEX(配置与结果!$F$15:$F$18,F843)+0.08+Q843*方案参数!$W$26+Y843*(方案参数!$AN$26+MIN(方案参数!$AO$26,P843*0.03))+AB843*方案参数!$BZ$26*0.025+0.1+IF(方案参数!$BZ$26&gt;=30,方案参数!$BZ$26*0.01,0)-配置与结果!$B$28)</f>
        <v>1.6150000000000002</v>
      </c>
      <c r="AH843" s="1">
        <f>MAX(0,1+INDEX(配置与结果!$G$15:$G$18,F843)+W843*方案参数!$AG$26)</f>
        <v>1.3</v>
      </c>
      <c r="AI843" s="1">
        <f>IF(OR(INDEX(配置与结果!$K$15:$K$18,F843)=1,G843="RHI_BERRY"),1+配置与结果!$B$33+P843*方案参数!$AH$26,1)</f>
        <v>1</v>
      </c>
      <c r="AJ843" s="1">
        <f>MIN(1,MAX(0,J843+方案参数!$AB$26-配置与结果!$B$27))</f>
        <v>0.66700000000000004</v>
      </c>
      <c r="AK843" s="1">
        <f>MAX(1,K843+IF(F843=2,0.15+方案参数!$CH$26,0)+BN843*方案参数!$X$26+R843*方案参数!$AA$26+0-配置与结果!$B$26+Z843*(方案参数!$AP$26+MIN(方案参数!$AQ$26,P843*0.03)))</f>
        <v>1.7969999999999999</v>
      </c>
      <c r="AL843" s="7">
        <f>ROUNDDOWN(MAX(AD843*配置与结果!$B$31,AD843-AE843)*AF843*AG843*AH843*AI843,0)</f>
        <v>20097</v>
      </c>
      <c r="AM843" s="7">
        <f>ROUNDDOWN(MAX(AD843*配置与结果!$B$31,AD843-AE843)*AF843*AG843*AH843*AI843*AK843,0)</f>
        <v>36114</v>
      </c>
      <c r="AN843" s="7">
        <f t="shared" si="1188"/>
        <v>30780.339</v>
      </c>
      <c r="AO843" s="7">
        <f>0</f>
        <v>0</v>
      </c>
      <c r="AP843" s="7">
        <f>MAX(0,1+INDEX(配置与结果!$J$15:$J$18,F843)+IF(T843&gt;0,方案参数!$BY$26,0)-配置与结果!$B$30)</f>
        <v>1</v>
      </c>
      <c r="AQ843" s="7">
        <f t="shared" si="1189"/>
        <v>0</v>
      </c>
      <c r="AR843" s="7">
        <f t="shared" si="1190"/>
        <v>0</v>
      </c>
      <c r="AS843" s="7">
        <f t="shared" si="1191"/>
        <v>0</v>
      </c>
      <c r="AT843" s="7">
        <f>0</f>
        <v>0</v>
      </c>
      <c r="AU843" s="7">
        <f t="shared" si="1192"/>
        <v>30780.339</v>
      </c>
      <c r="AV843" s="1">
        <f t="shared" si="1193"/>
        <v>1</v>
      </c>
      <c r="AW843" s="1">
        <f t="shared" ref="AW843:AW853" si="1201">MIN(10,M843+0+0)</f>
        <v>8</v>
      </c>
      <c r="AX843" s="1">
        <f t="shared" si="1194"/>
        <v>0</v>
      </c>
      <c r="AY843" s="1">
        <f t="shared" si="1187"/>
        <v>6</v>
      </c>
      <c r="AZ843" s="1">
        <f t="shared" si="1195"/>
        <v>5</v>
      </c>
      <c r="BA843" s="1">
        <f>MIN(6,Q843+0)</f>
        <v>3</v>
      </c>
      <c r="BB843" s="1">
        <f t="shared" si="1180"/>
        <v>5</v>
      </c>
      <c r="BC843" s="1">
        <f>MIN(3,S843+1)</f>
        <v>2</v>
      </c>
      <c r="BD843" s="1">
        <f t="shared" si="1196"/>
        <v>0</v>
      </c>
      <c r="BE843" s="1">
        <f t="shared" si="1181"/>
        <v>0</v>
      </c>
      <c r="BF843" s="1">
        <f>MIN(4,V843+0)</f>
        <v>1</v>
      </c>
      <c r="BG843" s="1">
        <f t="shared" si="1185"/>
        <v>1</v>
      </c>
      <c r="BH843" s="1">
        <f t="shared" si="1182"/>
        <v>1</v>
      </c>
      <c r="BI843" s="1">
        <f t="shared" si="1186"/>
        <v>1</v>
      </c>
      <c r="BJ843" s="1">
        <f t="shared" si="1200"/>
        <v>1</v>
      </c>
      <c r="BK843" s="1">
        <f t="shared" si="1200"/>
        <v>1</v>
      </c>
      <c r="BL843" s="1">
        <f t="shared" si="1162"/>
        <v>0</v>
      </c>
      <c r="BM843" s="1">
        <f t="shared" si="1160"/>
        <v>0</v>
      </c>
      <c r="BN843" s="1">
        <f t="shared" si="1183"/>
        <v>1</v>
      </c>
      <c r="BO843" s="1">
        <f t="shared" si="1184"/>
        <v>1</v>
      </c>
    </row>
    <row r="844" spans="1:67" ht="30.95" customHeight="1">
      <c r="A844" s="1">
        <f>23</f>
        <v>23</v>
      </c>
      <c r="B844" s="1">
        <f>固定流程!A16</f>
        <v>11</v>
      </c>
      <c r="C844" s="1">
        <f>26</f>
        <v>26</v>
      </c>
      <c r="D844" s="1">
        <f>1</f>
        <v>1</v>
      </c>
      <c r="E844" s="1">
        <f>固定流程!C16</f>
        <v>2</v>
      </c>
      <c r="F844" s="1">
        <f>固定流程!G16</f>
        <v>2</v>
      </c>
      <c r="G844" s="1" t="str">
        <f>固定流程!H16</f>
        <v>37_CURVE</v>
      </c>
      <c r="H844" s="1">
        <f>固定流程!F16</f>
        <v>1</v>
      </c>
      <c r="I844" s="1">
        <f>INDEX(配置与结果!$B$15:$B$18,F844)</f>
        <v>2306</v>
      </c>
      <c r="J844" s="1">
        <f>INDEX(配置与结果!$D$15:$D$18,F844)</f>
        <v>0.46</v>
      </c>
      <c r="K844" s="1">
        <f>INDEX(配置与结果!$E$15:$E$18,F844)</f>
        <v>1.9279999999999999</v>
      </c>
      <c r="L844" s="1">
        <f t="shared" si="1198"/>
        <v>1</v>
      </c>
      <c r="M844" s="1">
        <f t="shared" si="1198"/>
        <v>8</v>
      </c>
      <c r="N844" s="1">
        <f t="shared" si="1198"/>
        <v>0</v>
      </c>
      <c r="O844" s="1">
        <f t="shared" si="1197"/>
        <v>6</v>
      </c>
      <c r="P844" s="1">
        <f>MIN(方案参数!$AI$26,AZ843+0+0)</f>
        <v>5</v>
      </c>
      <c r="Q844" s="1">
        <f t="shared" si="1167"/>
        <v>3</v>
      </c>
      <c r="R844" s="1">
        <f t="shared" si="1168"/>
        <v>5</v>
      </c>
      <c r="S844" s="1">
        <f t="shared" si="1169"/>
        <v>2</v>
      </c>
      <c r="T844" s="1">
        <f t="shared" si="1170"/>
        <v>0</v>
      </c>
      <c r="U844" s="1">
        <f t="shared" si="1171"/>
        <v>0</v>
      </c>
      <c r="V844" s="1">
        <f t="shared" si="1172"/>
        <v>1</v>
      </c>
      <c r="W844" s="1">
        <f t="shared" si="1173"/>
        <v>1</v>
      </c>
      <c r="X844" s="1">
        <f t="shared" si="1174"/>
        <v>1</v>
      </c>
      <c r="Y844" s="1">
        <f t="shared" si="1175"/>
        <v>1</v>
      </c>
      <c r="Z844" s="1">
        <f t="shared" si="1176"/>
        <v>1</v>
      </c>
      <c r="AA844" s="1">
        <f t="shared" si="1199"/>
        <v>1</v>
      </c>
      <c r="AB844" s="1">
        <f t="shared" si="1178"/>
        <v>0</v>
      </c>
      <c r="AC844" s="1">
        <f t="shared" si="1179"/>
        <v>0</v>
      </c>
      <c r="AD844" s="1">
        <f>ROUNDDOWN(I844*(1+IF(F844=3,0.05+方案参数!$Y$26+AA844*0.12,IF(F844=4,方案参数!$BZ$26*方案参数!$AS$26,0)))+IF(AND(X844=1,F844&lt;&gt;3),方案参数!$CC$26,0)+AC844*方案参数!$CB$26,0)</f>
        <v>2544</v>
      </c>
      <c r="AE844" s="1">
        <f>IF(OR(F844=1,F844=4),配置与结果!$B$24,配置与结果!$B$25)*MAX(0,1-INDEX(配置与结果!$I$15:$I$18,F844))</f>
        <v>1000</v>
      </c>
      <c r="AF844" s="1">
        <f>方案参数!$BT$26*IF(H844=1,1,IF(H844=2,1.5,2.5))</f>
        <v>1.4</v>
      </c>
      <c r="AG844" s="1">
        <f>MAX(配置与结果!$B$32,1+INDEX(配置与结果!$F$15:$F$18,F844)+0+Q844*方案参数!$W$26+Y844*(方案参数!$AN$26+MIN(方案参数!$AO$26,P844*0.03))+AB844*方案参数!$BZ$26*0.025-配置与结果!$B$28)</f>
        <v>0.96499999999999997</v>
      </c>
      <c r="AH844" s="1">
        <f>MAX(0,1+INDEX(配置与结果!$G$15:$G$18,F844)+W844*方案参数!$AG$26)</f>
        <v>1.3</v>
      </c>
      <c r="AI844" s="1">
        <f>IF(OR(INDEX(配置与结果!$K$15:$K$18,F844)=1,G844="RHI_BERRY"),1+配置与结果!$B$33+P844*方案参数!$AH$26,1)</f>
        <v>1</v>
      </c>
      <c r="AJ844" s="1">
        <f>MIN(1,MAX(0,J844+方案参数!$AB$26-配置与结果!$B$27))</f>
        <v>0.76</v>
      </c>
      <c r="AK844" s="1">
        <f>MAX(1,K844+IF(F844=2,0.15+方案参数!$CH$26,0)+BN844*方案参数!$X$26+R844*方案参数!$AA$26+0-配置与结果!$B$26+Z844*(方案参数!$AP$26+MIN(方案参数!$AQ$26,P844*0.03)))</f>
        <v>2.278</v>
      </c>
      <c r="AL844" s="7">
        <f>ROUNDDOWN(MAX(AD844*配置与结果!$B$31,AD844-AE844)*AF844*AG844*AH844*AI844,0)</f>
        <v>2711</v>
      </c>
      <c r="AM844" s="7">
        <f>ROUNDDOWN(MAX(AD844*配置与结果!$B$31,AD844-AE844)*AF844*AG844*AH844*AI844*AK844,0)</f>
        <v>6177</v>
      </c>
      <c r="AN844" s="7">
        <f t="shared" si="1188"/>
        <v>5345.1600000000008</v>
      </c>
      <c r="AO844" s="7">
        <f>方案参数!$BU$26*IF(H844=1,1,IF(H844=2,1.5,2.5))</f>
        <v>0.8</v>
      </c>
      <c r="AP844" s="7">
        <f>MAX(0,1+INDEX(配置与结果!$J$15:$J$18,F844)+IF(T844&gt;0,方案参数!$BY$26,0)-配置与结果!$B$30)</f>
        <v>1</v>
      </c>
      <c r="AQ844" s="7">
        <f t="shared" si="1189"/>
        <v>2035</v>
      </c>
      <c r="AR844" s="7">
        <f t="shared" si="1190"/>
        <v>4635</v>
      </c>
      <c r="AS844" s="7">
        <f t="shared" si="1191"/>
        <v>4011</v>
      </c>
      <c r="AT844" s="7">
        <f>0</f>
        <v>0</v>
      </c>
      <c r="AU844" s="7">
        <f t="shared" si="1192"/>
        <v>9356.16</v>
      </c>
      <c r="AV844" s="1">
        <f t="shared" si="1193"/>
        <v>1</v>
      </c>
      <c r="AW844" s="1">
        <f t="shared" si="1201"/>
        <v>8</v>
      </c>
      <c r="AX844" s="1">
        <f t="shared" si="1194"/>
        <v>0</v>
      </c>
      <c r="AY844" s="1">
        <f t="shared" si="1187"/>
        <v>6</v>
      </c>
      <c r="AZ844" s="1">
        <f t="shared" si="1195"/>
        <v>5</v>
      </c>
      <c r="BA844" s="1">
        <f>MIN(6,Q844+0)</f>
        <v>3</v>
      </c>
      <c r="BB844" s="1">
        <f t="shared" si="1180"/>
        <v>5</v>
      </c>
      <c r="BC844" s="1">
        <f t="shared" ref="BC844:BC850" si="1202">MIN(3,S844+0)</f>
        <v>2</v>
      </c>
      <c r="BD844" s="1">
        <f t="shared" si="1196"/>
        <v>0</v>
      </c>
      <c r="BE844" s="1">
        <f t="shared" si="1181"/>
        <v>0</v>
      </c>
      <c r="BF844" s="1">
        <f>MIN(4,V844+0)</f>
        <v>1</v>
      </c>
      <c r="BG844" s="1">
        <f t="shared" si="1185"/>
        <v>1</v>
      </c>
      <c r="BH844" s="1">
        <f t="shared" si="1182"/>
        <v>1</v>
      </c>
      <c r="BI844" s="1">
        <f t="shared" si="1186"/>
        <v>1</v>
      </c>
      <c r="BJ844" s="1">
        <f t="shared" si="1200"/>
        <v>1</v>
      </c>
      <c r="BK844" s="1">
        <f t="shared" si="1200"/>
        <v>1</v>
      </c>
      <c r="BL844" s="1">
        <f t="shared" si="1162"/>
        <v>0</v>
      </c>
      <c r="BM844" s="1">
        <f t="shared" si="1160"/>
        <v>0</v>
      </c>
      <c r="BN844" s="1">
        <f t="shared" si="1183"/>
        <v>1</v>
      </c>
      <c r="BO844" s="1">
        <f t="shared" si="1184"/>
        <v>1</v>
      </c>
    </row>
    <row r="845" spans="1:67" ht="30.95" customHeight="1">
      <c r="A845" s="1">
        <f>23</f>
        <v>23</v>
      </c>
      <c r="B845" s="1">
        <f>固定流程!A17</f>
        <v>12</v>
      </c>
      <c r="C845" s="1">
        <f>26</f>
        <v>26</v>
      </c>
      <c r="D845" s="1">
        <f>1</f>
        <v>1</v>
      </c>
      <c r="E845" s="1">
        <f>固定流程!C17</f>
        <v>2</v>
      </c>
      <c r="F845" s="1">
        <f>固定流程!G17</f>
        <v>2</v>
      </c>
      <c r="G845" s="1" t="str">
        <f>固定流程!H17</f>
        <v>37_FOLLOW</v>
      </c>
      <c r="H845" s="1">
        <f>固定流程!F17</f>
        <v>1</v>
      </c>
      <c r="I845" s="1">
        <f>INDEX(配置与结果!$B$15:$B$18,F845)</f>
        <v>2306</v>
      </c>
      <c r="J845" s="1">
        <f>INDEX(配置与结果!$D$15:$D$18,F845)</f>
        <v>0.46</v>
      </c>
      <c r="K845" s="1">
        <f>INDEX(配置与结果!$E$15:$E$18,F845)</f>
        <v>1.9279999999999999</v>
      </c>
      <c r="L845" s="1">
        <f t="shared" si="1198"/>
        <v>1</v>
      </c>
      <c r="M845" s="1">
        <f t="shared" si="1198"/>
        <v>8</v>
      </c>
      <c r="N845" s="1">
        <f t="shared" si="1198"/>
        <v>0</v>
      </c>
      <c r="O845" s="1">
        <f t="shared" si="1197"/>
        <v>6</v>
      </c>
      <c r="P845" s="1">
        <f>MIN(方案参数!$AI$26,AZ844+0+0)</f>
        <v>5</v>
      </c>
      <c r="Q845" s="1">
        <f t="shared" si="1167"/>
        <v>3</v>
      </c>
      <c r="R845" s="1">
        <f t="shared" si="1168"/>
        <v>5</v>
      </c>
      <c r="S845" s="1">
        <f t="shared" si="1169"/>
        <v>2</v>
      </c>
      <c r="T845" s="1">
        <f t="shared" si="1170"/>
        <v>0</v>
      </c>
      <c r="U845" s="1">
        <f t="shared" si="1171"/>
        <v>0</v>
      </c>
      <c r="V845" s="1">
        <f t="shared" si="1172"/>
        <v>1</v>
      </c>
      <c r="W845" s="1">
        <f t="shared" si="1173"/>
        <v>1</v>
      </c>
      <c r="X845" s="1">
        <f t="shared" si="1174"/>
        <v>1</v>
      </c>
      <c r="Y845" s="1">
        <f t="shared" si="1175"/>
        <v>1</v>
      </c>
      <c r="Z845" s="1">
        <f t="shared" si="1176"/>
        <v>1</v>
      </c>
      <c r="AA845" s="1">
        <f t="shared" si="1199"/>
        <v>1</v>
      </c>
      <c r="AB845" s="1">
        <f t="shared" si="1178"/>
        <v>0</v>
      </c>
      <c r="AC845" s="1">
        <f t="shared" si="1179"/>
        <v>0</v>
      </c>
      <c r="AD845" s="1">
        <f>ROUNDDOWN(I845*(1+IF(F845=3,0.05+方案参数!$Y$26+AA845*0.12,IF(F845=4,方案参数!$BZ$26*方案参数!$AS$26,0)))+IF(AND(X845=1,F845&lt;&gt;3),方案参数!$CC$26,0)+AC845*方案参数!$CB$26,0)</f>
        <v>2544</v>
      </c>
      <c r="AE845" s="1">
        <f>IF(OR(F845=1,F845=4),配置与结果!$B$24,配置与结果!$B$25)*MAX(0,1-INDEX(配置与结果!$I$15:$I$18,F845))</f>
        <v>1000</v>
      </c>
      <c r="AF845" s="1">
        <f>方案参数!$BV$26</f>
        <v>3</v>
      </c>
      <c r="AG845" s="1">
        <f>MAX(配置与结果!$B$32,1+INDEX(配置与结果!$F$15:$F$18,F845)+0+Q845*方案参数!$W$26+Y845*(方案参数!$AN$26+MIN(方案参数!$AO$26,P845*0.03))+AB845*方案参数!$BZ$26*0.025-配置与结果!$B$28)</f>
        <v>0.96499999999999997</v>
      </c>
      <c r="AH845" s="1">
        <f>MAX(0,1+INDEX(配置与结果!$G$15:$G$18,F845)+W845*方案参数!$AG$26)</f>
        <v>1.3</v>
      </c>
      <c r="AI845" s="1">
        <f>IF(OR(INDEX(配置与结果!$K$15:$K$18,F845)=1,G845="RHI_BERRY"),1+配置与结果!$B$33+P845*方案参数!$AH$26,1)</f>
        <v>1</v>
      </c>
      <c r="AJ845" s="1">
        <f>MIN(1,MAX(0,J845+方案参数!$AB$26-配置与结果!$B$27))</f>
        <v>0.76</v>
      </c>
      <c r="AK845" s="1">
        <f>MAX(1,K845+IF(F845=2,0.15+方案参数!$CH$26,0)+BN845*方案参数!$X$26+R845*方案参数!$AA$26+0-配置与结果!$B$26+Z845*(方案参数!$AP$26+MIN(方案参数!$AQ$26,P845*0.03)))</f>
        <v>2.278</v>
      </c>
      <c r="AL845" s="7">
        <f>ROUNDDOWN(MAX(AD845*配置与结果!$B$31,AD845-AE845)*AF845*AG845*AH845*AI845,0)</f>
        <v>5810</v>
      </c>
      <c r="AM845" s="7">
        <f>ROUNDDOWN(MAX(AD845*配置与结果!$B$31,AD845-AE845)*AF845*AG845*AH845*AI845*AK845,0)</f>
        <v>13237</v>
      </c>
      <c r="AN845" s="7">
        <f t="shared" si="1188"/>
        <v>11454.52</v>
      </c>
      <c r="AO845" s="7">
        <f>方案参数!$BW$26</f>
        <v>1</v>
      </c>
      <c r="AP845" s="7">
        <f>MAX(0,1+INDEX(配置与结果!$J$15:$J$18,F845)+IF(T845&gt;0,方案参数!$BY$26,0)-配置与结果!$B$30)</f>
        <v>1</v>
      </c>
      <c r="AQ845" s="7">
        <f t="shared" si="1189"/>
        <v>2544</v>
      </c>
      <c r="AR845" s="7">
        <f t="shared" si="1190"/>
        <v>5795</v>
      </c>
      <c r="AS845" s="7">
        <f t="shared" si="1191"/>
        <v>5014.76</v>
      </c>
      <c r="AT845" s="7">
        <f>0</f>
        <v>0</v>
      </c>
      <c r="AU845" s="7">
        <f t="shared" si="1192"/>
        <v>16469.28</v>
      </c>
      <c r="AV845" s="1">
        <f t="shared" si="1193"/>
        <v>1</v>
      </c>
      <c r="AW845" s="1">
        <f t="shared" si="1201"/>
        <v>8</v>
      </c>
      <c r="AX845" s="1">
        <f t="shared" si="1194"/>
        <v>0</v>
      </c>
      <c r="AY845" s="1">
        <f t="shared" si="1187"/>
        <v>6</v>
      </c>
      <c r="AZ845" s="1">
        <f t="shared" si="1195"/>
        <v>5</v>
      </c>
      <c r="BA845" s="1">
        <f>MIN(6,Q845+0)</f>
        <v>3</v>
      </c>
      <c r="BB845" s="1">
        <f t="shared" si="1180"/>
        <v>5</v>
      </c>
      <c r="BC845" s="1">
        <f t="shared" si="1202"/>
        <v>2</v>
      </c>
      <c r="BD845" s="1">
        <f t="shared" si="1196"/>
        <v>0</v>
      </c>
      <c r="BE845" s="1">
        <f t="shared" si="1181"/>
        <v>0</v>
      </c>
      <c r="BF845" s="1">
        <f>MIN(4,V845+1)</f>
        <v>2</v>
      </c>
      <c r="BG845" s="1">
        <f t="shared" si="1185"/>
        <v>1</v>
      </c>
      <c r="BH845" s="1">
        <f t="shared" si="1182"/>
        <v>1</v>
      </c>
      <c r="BI845" s="1">
        <f t="shared" si="1186"/>
        <v>1</v>
      </c>
      <c r="BJ845" s="1">
        <f t="shared" si="1200"/>
        <v>1</v>
      </c>
      <c r="BK845" s="1">
        <f t="shared" si="1200"/>
        <v>1</v>
      </c>
      <c r="BL845" s="1">
        <f t="shared" si="1162"/>
        <v>0</v>
      </c>
      <c r="BM845" s="1">
        <f t="shared" si="1160"/>
        <v>0</v>
      </c>
      <c r="BN845" s="1">
        <f t="shared" si="1183"/>
        <v>1</v>
      </c>
      <c r="BO845" s="1">
        <f t="shared" si="1184"/>
        <v>1</v>
      </c>
    </row>
    <row r="846" spans="1:67" ht="30.95" customHeight="1">
      <c r="A846" s="1">
        <f>23</f>
        <v>23</v>
      </c>
      <c r="B846" s="1">
        <f>固定流程!A18</f>
        <v>13</v>
      </c>
      <c r="C846" s="1">
        <f>26</f>
        <v>26</v>
      </c>
      <c r="D846" s="1">
        <f>1</f>
        <v>1</v>
      </c>
      <c r="E846" s="1">
        <f>固定流程!C18</f>
        <v>2</v>
      </c>
      <c r="F846" s="1">
        <f>固定流程!G18</f>
        <v>3</v>
      </c>
      <c r="G846" s="1" t="str">
        <f>固定流程!H18</f>
        <v>RHI_BERRY</v>
      </c>
      <c r="H846" s="1">
        <f>固定流程!F18</f>
        <v>1</v>
      </c>
      <c r="I846" s="1">
        <f>INDEX(配置与结果!$B$15:$B$18,F846)</f>
        <v>2597</v>
      </c>
      <c r="J846" s="1">
        <f>INDEX(配置与结果!$D$15:$D$18,F846)</f>
        <v>0.255</v>
      </c>
      <c r="K846" s="1">
        <f>INDEX(配置与结果!$E$15:$E$18,F846)</f>
        <v>1.55</v>
      </c>
      <c r="L846" s="1">
        <f t="shared" si="1198"/>
        <v>1</v>
      </c>
      <c r="M846" s="1">
        <f t="shared" si="1198"/>
        <v>8</v>
      </c>
      <c r="N846" s="1">
        <f t="shared" si="1198"/>
        <v>0</v>
      </c>
      <c r="O846" s="1">
        <f t="shared" si="1197"/>
        <v>6</v>
      </c>
      <c r="P846" s="1">
        <f>MIN(方案参数!$AI$26,AZ845+0+0)</f>
        <v>5</v>
      </c>
      <c r="Q846" s="1">
        <f t="shared" si="1167"/>
        <v>3</v>
      </c>
      <c r="R846" s="1">
        <f t="shared" si="1168"/>
        <v>5</v>
      </c>
      <c r="S846" s="1">
        <f t="shared" si="1169"/>
        <v>2</v>
      </c>
      <c r="T846" s="1">
        <f t="shared" si="1170"/>
        <v>0</v>
      </c>
      <c r="U846" s="1">
        <f t="shared" si="1171"/>
        <v>0</v>
      </c>
      <c r="V846" s="1">
        <f t="shared" si="1172"/>
        <v>2</v>
      </c>
      <c r="W846" s="1">
        <f t="shared" si="1173"/>
        <v>1</v>
      </c>
      <c r="X846" s="1">
        <f t="shared" si="1174"/>
        <v>1</v>
      </c>
      <c r="Y846" s="1">
        <f t="shared" si="1175"/>
        <v>1</v>
      </c>
      <c r="Z846" s="1">
        <f t="shared" si="1176"/>
        <v>1</v>
      </c>
      <c r="AA846" s="1">
        <f t="shared" si="1199"/>
        <v>1</v>
      </c>
      <c r="AB846" s="1">
        <f t="shared" si="1178"/>
        <v>0</v>
      </c>
      <c r="AC846" s="1">
        <f t="shared" si="1179"/>
        <v>0</v>
      </c>
      <c r="AD846" s="1">
        <f>ROUNDDOWN(I846*(1+IF(F846=3,0.05+方案参数!$Y$26+AA846*0.12,IF(F846=4,方案参数!$BZ$26*方案参数!$AS$26,0)))+IF(AND(X846=1,F846&lt;&gt;3),方案参数!$CC$26,0)+AC846*方案参数!$CB$26,0)</f>
        <v>3298</v>
      </c>
      <c r="AE846" s="1">
        <f>IF(OR(F846=1,F846=4),配置与结果!$B$24,配置与结果!$B$25)*MAX(0,1-INDEX(配置与结果!$I$15:$I$18,F846))</f>
        <v>1000</v>
      </c>
      <c r="AF846" s="1">
        <f>方案参数!$CF$26+P846*方案参数!$CG$26</f>
        <v>22.5</v>
      </c>
      <c r="AG846" s="1">
        <f>MAX(配置与结果!$B$32,1+INDEX(配置与结果!$F$15:$F$18,F846)+0+Q846*方案参数!$W$26+Y846*(方案参数!$AN$26+MIN(方案参数!$AO$26,P846*0.03))+AB846*方案参数!$BZ$26*0.025-配置与结果!$B$28)</f>
        <v>0.995</v>
      </c>
      <c r="AH846" s="1">
        <f>MAX(0,1+INDEX(配置与结果!$G$15:$G$18,F846)+W846*方案参数!$AG$26)</f>
        <v>1.3</v>
      </c>
      <c r="AI846" s="1">
        <f>IF(OR(INDEX(配置与结果!$K$15:$K$18,F846)=1,G846="RHI_BERRY"),1+配置与结果!$B$33+P846*方案参数!$AH$26,1)</f>
        <v>1.5</v>
      </c>
      <c r="AJ846" s="1">
        <f>MIN(1,MAX(0,J846+方案参数!$AB$26-配置与结果!$B$27))</f>
        <v>0.55499999999999994</v>
      </c>
      <c r="AK846" s="1">
        <f>MAX(1,K846+IF(F846=2,0.15+方案参数!$CH$26,0)+BN846*方案参数!$X$26+R846*方案参数!$AA$26+0-配置与结果!$B$26+Z846*(方案参数!$AP$26+MIN(方案参数!$AQ$26,P846*0.03)))</f>
        <v>1.6300000000000001</v>
      </c>
      <c r="AL846" s="7">
        <f>ROUNDDOWN(MAX(AD846*配置与结果!$B$31,AD846-AE846)*AF846*AG846*AH846*AI846,0)</f>
        <v>100320</v>
      </c>
      <c r="AM846" s="7">
        <f>ROUNDDOWN(MAX(AD846*配置与结果!$B$31,AD846-AE846)*AF846*AG846*AH846*AI846*AK846,0)</f>
        <v>163522</v>
      </c>
      <c r="AN846" s="7">
        <f t="shared" si="1188"/>
        <v>135397.10999999999</v>
      </c>
      <c r="AO846" s="7">
        <f>0</f>
        <v>0</v>
      </c>
      <c r="AP846" s="7">
        <f>MAX(0,1+INDEX(配置与结果!$J$15:$J$18,F846)+IF(T846&gt;0,方案参数!$BY$26,0)-配置与结果!$B$30)</f>
        <v>1</v>
      </c>
      <c r="AQ846" s="7">
        <f t="shared" si="1189"/>
        <v>0</v>
      </c>
      <c r="AR846" s="7">
        <f t="shared" si="1190"/>
        <v>0</v>
      </c>
      <c r="AS846" s="7">
        <f t="shared" si="1191"/>
        <v>0</v>
      </c>
      <c r="AT846" s="7">
        <f>0</f>
        <v>0</v>
      </c>
      <c r="AU846" s="7">
        <f t="shared" si="1192"/>
        <v>135397.10999999999</v>
      </c>
      <c r="AV846" s="1">
        <f t="shared" si="1193"/>
        <v>1</v>
      </c>
      <c r="AW846" s="1">
        <f t="shared" si="1201"/>
        <v>8</v>
      </c>
      <c r="AX846" s="1">
        <f t="shared" si="1194"/>
        <v>0</v>
      </c>
      <c r="AY846" s="1">
        <f t="shared" si="1187"/>
        <v>6</v>
      </c>
      <c r="AZ846" s="1">
        <f t="shared" si="1195"/>
        <v>5</v>
      </c>
      <c r="BA846" s="1">
        <f>MIN(6,Q846+0)</f>
        <v>3</v>
      </c>
      <c r="BB846" s="1">
        <f t="shared" si="1180"/>
        <v>5</v>
      </c>
      <c r="BC846" s="1">
        <f t="shared" si="1202"/>
        <v>2</v>
      </c>
      <c r="BD846" s="1">
        <f t="shared" si="1196"/>
        <v>0</v>
      </c>
      <c r="BE846" s="1">
        <f t="shared" si="1181"/>
        <v>0</v>
      </c>
      <c r="BF846" s="1">
        <f>MIN(4,V846+0)</f>
        <v>2</v>
      </c>
      <c r="BG846" s="1">
        <f t="shared" si="1185"/>
        <v>1</v>
      </c>
      <c r="BH846" s="1">
        <f t="shared" si="1182"/>
        <v>1</v>
      </c>
      <c r="BI846" s="1">
        <f t="shared" si="1186"/>
        <v>1</v>
      </c>
      <c r="BJ846" s="1">
        <f t="shared" si="1200"/>
        <v>1</v>
      </c>
      <c r="BK846" s="1">
        <f t="shared" si="1200"/>
        <v>1</v>
      </c>
      <c r="BL846" s="1">
        <f t="shared" si="1162"/>
        <v>0</v>
      </c>
      <c r="BM846" s="1">
        <f t="shared" si="1160"/>
        <v>0</v>
      </c>
      <c r="BN846" s="1">
        <f t="shared" si="1183"/>
        <v>1</v>
      </c>
      <c r="BO846" s="1">
        <f t="shared" si="1184"/>
        <v>1</v>
      </c>
    </row>
    <row r="847" spans="1:67" ht="30.95" customHeight="1">
      <c r="A847" s="1">
        <f>23</f>
        <v>23</v>
      </c>
      <c r="B847" s="1">
        <f>固定流程!A19</f>
        <v>14</v>
      </c>
      <c r="C847" s="1">
        <f>26</f>
        <v>26</v>
      </c>
      <c r="D847" s="1">
        <f>1</f>
        <v>1</v>
      </c>
      <c r="E847" s="1">
        <f>固定流程!C19</f>
        <v>3</v>
      </c>
      <c r="F847" s="1">
        <f>固定流程!G19</f>
        <v>3</v>
      </c>
      <c r="G847" s="1" t="str">
        <f>固定流程!H19</f>
        <v>RHI_BUFF</v>
      </c>
      <c r="H847" s="1">
        <f>固定流程!F19</f>
        <v>1</v>
      </c>
      <c r="I847" s="1">
        <f>INDEX(配置与结果!$B$15:$B$18,F847)</f>
        <v>2597</v>
      </c>
      <c r="J847" s="1">
        <f>INDEX(配置与结果!$D$15:$D$18,F847)</f>
        <v>0.255</v>
      </c>
      <c r="K847" s="1">
        <f>INDEX(配置与结果!$E$15:$E$18,F847)</f>
        <v>1.55</v>
      </c>
      <c r="L847" s="1">
        <f>IF(AV846=1,IF(M847&gt;=10,2,1),IF(AV846=2,IF(AX846&lt;=1,0,2),0))</f>
        <v>2</v>
      </c>
      <c r="M847" s="1">
        <f>IF(AND(AV846=2,AX846&lt;=1),0,MIN(10,AW846+IF(AV846=1,3,0)))</f>
        <v>10</v>
      </c>
      <c r="N847" s="1">
        <f>IF(AND(AV846=1,M847&gt;=10),2,IF(AV846=2,MAX(0,AX846-1),0))</f>
        <v>2</v>
      </c>
      <c r="O847" s="1">
        <f t="shared" si="1197"/>
        <v>6</v>
      </c>
      <c r="P847" s="1">
        <f>MIN(方案参数!$AI$26,AZ846+方案参数!$AJ$26+方案参数!$AK$26)</f>
        <v>5</v>
      </c>
      <c r="Q847" s="1">
        <f t="shared" si="1167"/>
        <v>3</v>
      </c>
      <c r="R847" s="1">
        <f t="shared" si="1168"/>
        <v>5</v>
      </c>
      <c r="S847" s="1">
        <f t="shared" si="1169"/>
        <v>2</v>
      </c>
      <c r="T847" s="1">
        <f t="shared" si="1170"/>
        <v>0</v>
      </c>
      <c r="U847" s="1">
        <f t="shared" si="1171"/>
        <v>0</v>
      </c>
      <c r="V847" s="1">
        <f t="shared" si="1172"/>
        <v>2</v>
      </c>
      <c r="W847" s="1">
        <f t="shared" si="1173"/>
        <v>1</v>
      </c>
      <c r="X847" s="1">
        <f t="shared" si="1174"/>
        <v>1</v>
      </c>
      <c r="Y847" s="1">
        <f t="shared" si="1175"/>
        <v>1</v>
      </c>
      <c r="Z847" s="1">
        <f t="shared" si="1176"/>
        <v>1</v>
      </c>
      <c r="AA847" s="1">
        <f t="shared" si="1199"/>
        <v>1</v>
      </c>
      <c r="AB847" s="1">
        <f t="shared" si="1178"/>
        <v>0</v>
      </c>
      <c r="AC847" s="1">
        <f t="shared" si="1179"/>
        <v>0</v>
      </c>
      <c r="AD847" s="1">
        <f>ROUNDDOWN(I847*(1+IF(F847=3,0.05+方案参数!$Y$26+AA847*0.12,IF(F847=4,方案参数!$BZ$26*方案参数!$AS$26,0)))+IF(AND(X847=1,F847&lt;&gt;3),方案参数!$CC$26,0)+AC847*方案参数!$CB$26,0)</f>
        <v>3298</v>
      </c>
      <c r="AE847" s="1">
        <f>IF(OR(F847=1,F847=4),配置与结果!$B$24,配置与结果!$B$25)*MAX(0,1-INDEX(配置与结果!$I$15:$I$18,F847))</f>
        <v>1000</v>
      </c>
      <c r="AF847" s="1">
        <f>0</f>
        <v>0</v>
      </c>
      <c r="AG847" s="1">
        <f>MAX(配置与结果!$B$32,1+INDEX(配置与结果!$F$15:$F$18,F847)+0+Q847*方案参数!$W$26+Y847*(方案参数!$AN$26+MIN(方案参数!$AO$26,P847*0.03))+AB847*方案参数!$BZ$26*0.025-配置与结果!$B$28)</f>
        <v>0.995</v>
      </c>
      <c r="AH847" s="1">
        <f>MAX(0,1+INDEX(配置与结果!$G$15:$G$18,F847)+W847*方案参数!$AG$26)</f>
        <v>1.3</v>
      </c>
      <c r="AI847" s="1">
        <f>IF(OR(INDEX(配置与结果!$K$15:$K$18,F847)=1,G847="RHI_BERRY"),1+配置与结果!$B$33+P847*方案参数!$AH$26,1)</f>
        <v>1</v>
      </c>
      <c r="AJ847" s="1">
        <f>MIN(1,MAX(0,J847+方案参数!$AB$26-配置与结果!$B$27))</f>
        <v>0.55499999999999994</v>
      </c>
      <c r="AK847" s="1">
        <f>MAX(1,K847+IF(F847=2,0.15+方案参数!$CH$26,0)+BN847*方案参数!$X$26+R847*方案参数!$AA$26+0-配置与结果!$B$26+Z847*(方案参数!$AP$26+MIN(方案参数!$AQ$26,P847*0.03)))</f>
        <v>1.6300000000000001</v>
      </c>
      <c r="AL847" s="7">
        <f>ROUNDDOWN(MAX(AD847*配置与结果!$B$31,AD847-AE847)*AF847*AG847*AH847*AI847,0)</f>
        <v>0</v>
      </c>
      <c r="AM847" s="7">
        <f>ROUNDDOWN(MAX(AD847*配置与结果!$B$31,AD847-AE847)*AF847*AG847*AH847*AI847*AK847,0)</f>
        <v>0</v>
      </c>
      <c r="AN847" s="7">
        <f t="shared" si="1188"/>
        <v>0</v>
      </c>
      <c r="AO847" s="7">
        <f>0</f>
        <v>0</v>
      </c>
      <c r="AP847" s="7">
        <f>MAX(0,1+INDEX(配置与结果!$J$15:$J$18,F847)+IF(T847&gt;0,方案参数!$BY$26,0)-配置与结果!$B$30)</f>
        <v>1</v>
      </c>
      <c r="AQ847" s="7">
        <f t="shared" si="1189"/>
        <v>0</v>
      </c>
      <c r="AR847" s="7">
        <f t="shared" si="1190"/>
        <v>0</v>
      </c>
      <c r="AS847" s="7">
        <f t="shared" si="1191"/>
        <v>0</v>
      </c>
      <c r="AT847" s="7">
        <f>0</f>
        <v>0</v>
      </c>
      <c r="AU847" s="7">
        <f t="shared" si="1192"/>
        <v>0</v>
      </c>
      <c r="AV847" s="1">
        <f t="shared" si="1193"/>
        <v>2</v>
      </c>
      <c r="AW847" s="1">
        <f t="shared" si="1201"/>
        <v>10</v>
      </c>
      <c r="AX847" s="1">
        <f t="shared" si="1194"/>
        <v>2</v>
      </c>
      <c r="AY847" s="1">
        <f t="shared" si="1187"/>
        <v>6</v>
      </c>
      <c r="AZ847" s="1">
        <f t="shared" si="1195"/>
        <v>5</v>
      </c>
      <c r="BA847" s="1">
        <f>MIN(6,Q847+1)</f>
        <v>4</v>
      </c>
      <c r="BB847" s="1">
        <f t="shared" si="1180"/>
        <v>5</v>
      </c>
      <c r="BC847" s="1">
        <f t="shared" si="1202"/>
        <v>2</v>
      </c>
      <c r="BD847" s="1">
        <f t="shared" si="1196"/>
        <v>0</v>
      </c>
      <c r="BE847" s="1">
        <f t="shared" si="1181"/>
        <v>0</v>
      </c>
      <c r="BF847" s="1">
        <f>MIN(4,V847+0)</f>
        <v>2</v>
      </c>
      <c r="BG847" s="1">
        <f>MAX(W847,1)</f>
        <v>1</v>
      </c>
      <c r="BH847" s="1">
        <f t="shared" si="1182"/>
        <v>1</v>
      </c>
      <c r="BI847" s="1">
        <f>MAX(Y847,1)</f>
        <v>1</v>
      </c>
      <c r="BJ847" s="1">
        <f t="shared" si="1200"/>
        <v>1</v>
      </c>
      <c r="BK847" s="1">
        <f t="shared" si="1200"/>
        <v>1</v>
      </c>
      <c r="BL847" s="1">
        <f t="shared" si="1162"/>
        <v>0</v>
      </c>
      <c r="BM847" s="1">
        <f t="shared" si="1160"/>
        <v>0</v>
      </c>
      <c r="BN847" s="1">
        <f t="shared" si="1183"/>
        <v>1</v>
      </c>
      <c r="BO847" s="1">
        <f t="shared" si="1184"/>
        <v>1</v>
      </c>
    </row>
    <row r="848" spans="1:67" ht="30.95" customHeight="1">
      <c r="A848" s="1">
        <f>23</f>
        <v>23</v>
      </c>
      <c r="B848" s="1">
        <f>固定流程!A20</f>
        <v>15</v>
      </c>
      <c r="C848" s="1">
        <f>26</f>
        <v>26</v>
      </c>
      <c r="D848" s="1">
        <f>1</f>
        <v>1</v>
      </c>
      <c r="E848" s="1">
        <f>固定流程!C20</f>
        <v>3</v>
      </c>
      <c r="F848" s="1">
        <f>固定流程!G20</f>
        <v>3</v>
      </c>
      <c r="G848" s="1" t="str">
        <f>固定流程!H20</f>
        <v>RHI_ATTACK</v>
      </c>
      <c r="H848" s="1">
        <f>固定流程!F20</f>
        <v>1</v>
      </c>
      <c r="I848" s="1">
        <f>INDEX(配置与结果!$B$15:$B$18,F848)</f>
        <v>2597</v>
      </c>
      <c r="J848" s="1">
        <f>INDEX(配置与结果!$D$15:$D$18,F848)</f>
        <v>0.255</v>
      </c>
      <c r="K848" s="1">
        <f>INDEX(配置与结果!$E$15:$E$18,F848)</f>
        <v>1.55</v>
      </c>
      <c r="L848" s="1">
        <f t="shared" ref="L848:L869" si="1203">AV847</f>
        <v>2</v>
      </c>
      <c r="M848" s="1">
        <f t="shared" ref="M848:M869" si="1204">AW847</f>
        <v>10</v>
      </c>
      <c r="N848" s="1">
        <f t="shared" ref="N848:N869" si="1205">AX847</f>
        <v>2</v>
      </c>
      <c r="O848" s="1">
        <f t="shared" si="1197"/>
        <v>6</v>
      </c>
      <c r="P848" s="1">
        <f>MIN(方案参数!$AI$26,AZ847+0+方案参数!$AK$26)</f>
        <v>5</v>
      </c>
      <c r="Q848" s="1">
        <f t="shared" si="1167"/>
        <v>4</v>
      </c>
      <c r="R848" s="1">
        <f t="shared" si="1168"/>
        <v>5</v>
      </c>
      <c r="S848" s="1">
        <f t="shared" si="1169"/>
        <v>2</v>
      </c>
      <c r="T848" s="1">
        <f t="shared" si="1170"/>
        <v>0</v>
      </c>
      <c r="U848" s="1">
        <f t="shared" si="1171"/>
        <v>0</v>
      </c>
      <c r="V848" s="1">
        <f t="shared" si="1172"/>
        <v>2</v>
      </c>
      <c r="W848" s="1">
        <f t="shared" si="1173"/>
        <v>1</v>
      </c>
      <c r="X848" s="1">
        <f t="shared" si="1174"/>
        <v>1</v>
      </c>
      <c r="Y848" s="1">
        <f t="shared" si="1175"/>
        <v>1</v>
      </c>
      <c r="Z848" s="1">
        <f t="shared" si="1176"/>
        <v>1</v>
      </c>
      <c r="AA848" s="1">
        <f>MAX(BK847,1)</f>
        <v>1</v>
      </c>
      <c r="AB848" s="1">
        <f t="shared" si="1178"/>
        <v>0</v>
      </c>
      <c r="AC848" s="1">
        <f t="shared" si="1179"/>
        <v>0</v>
      </c>
      <c r="AD848" s="1">
        <f>ROUNDDOWN(I848*(1+IF(F848=3,0.05+方案参数!$Y$26+AA848*0.12,IF(F848=4,方案参数!$BZ$26*方案参数!$AS$26,0)))+IF(AND(X848=1,F848&lt;&gt;3),方案参数!$CC$26,0)+AC848*方案参数!$CB$26,0)</f>
        <v>3298</v>
      </c>
      <c r="AE848" s="1">
        <f>IF(OR(F848=1,F848=4),配置与结果!$B$24,配置与结果!$B$25)*MAX(0,1-INDEX(配置与结果!$I$15:$I$18,F848))</f>
        <v>1000</v>
      </c>
      <c r="AF848" s="1">
        <f>4</f>
        <v>4</v>
      </c>
      <c r="AG848" s="1">
        <f>MAX(配置与结果!$B$32,1+INDEX(配置与结果!$F$15:$F$18,F848)+0+Q848*方案参数!$W$26+Y848*(方案参数!$AN$26+MIN(方案参数!$AO$26,P848*0.03))+AB848*方案参数!$BZ$26*0.025-配置与结果!$B$28)</f>
        <v>1.0150000000000001</v>
      </c>
      <c r="AH848" s="1">
        <f>MAX(0,1+INDEX(配置与结果!$G$15:$G$18,F848)+W848*方案参数!$AG$26)</f>
        <v>1.3</v>
      </c>
      <c r="AI848" s="1">
        <f>IF(OR(INDEX(配置与结果!$K$15:$K$18,F848)=1,G848="RHI_BERRY"),1+配置与结果!$B$33+P848*方案参数!$AH$26,1)</f>
        <v>1</v>
      </c>
      <c r="AJ848" s="1">
        <f>MIN(1,MAX(0,J848+方案参数!$AB$26-配置与结果!$B$27))</f>
        <v>0.55499999999999994</v>
      </c>
      <c r="AK848" s="1">
        <f>MAX(1,K848+IF(F848=2,0.15+方案参数!$CH$26,0)+BN848*方案参数!$X$26+R848*方案参数!$AA$26+0-配置与结果!$B$26+Z848*(方案参数!$AP$26+MIN(方案参数!$AQ$26,P848*0.03)))</f>
        <v>1.6300000000000001</v>
      </c>
      <c r="AL848" s="7">
        <f>ROUNDDOWN(MAX(AD848*配置与结果!$B$31,AD848-AE848)*AF848*AG848*AH848*AI848,0)</f>
        <v>12128</v>
      </c>
      <c r="AM848" s="7">
        <f>ROUNDDOWN(MAX(AD848*配置与结果!$B$31,AD848-AE848)*AF848*AG848*AH848*AI848*AK848,0)</f>
        <v>19770</v>
      </c>
      <c r="AN848" s="7">
        <f t="shared" si="1188"/>
        <v>16369.31</v>
      </c>
      <c r="AO848" s="7">
        <f>0</f>
        <v>0</v>
      </c>
      <c r="AP848" s="7">
        <f>MAX(0,1+INDEX(配置与结果!$J$15:$J$18,F848)+IF(T848&gt;0,方案参数!$BY$26,0)-配置与结果!$B$30)</f>
        <v>1</v>
      </c>
      <c r="AQ848" s="7">
        <f t="shared" si="1189"/>
        <v>0</v>
      </c>
      <c r="AR848" s="7">
        <f t="shared" si="1190"/>
        <v>0</v>
      </c>
      <c r="AS848" s="7">
        <f t="shared" si="1191"/>
        <v>0</v>
      </c>
      <c r="AT848" s="7">
        <f>0</f>
        <v>0</v>
      </c>
      <c r="AU848" s="7">
        <f t="shared" si="1192"/>
        <v>16369.31</v>
      </c>
      <c r="AV848" s="1">
        <f t="shared" si="1193"/>
        <v>2</v>
      </c>
      <c r="AW848" s="1">
        <f t="shared" si="1201"/>
        <v>10</v>
      </c>
      <c r="AX848" s="1">
        <f t="shared" si="1194"/>
        <v>2</v>
      </c>
      <c r="AY848" s="1">
        <f t="shared" si="1187"/>
        <v>6</v>
      </c>
      <c r="AZ848" s="1">
        <f t="shared" si="1195"/>
        <v>5</v>
      </c>
      <c r="BA848" s="1">
        <f>MIN(6,Q848+1)</f>
        <v>5</v>
      </c>
      <c r="BB848" s="1">
        <f t="shared" si="1180"/>
        <v>5</v>
      </c>
      <c r="BC848" s="1">
        <f t="shared" si="1202"/>
        <v>2</v>
      </c>
      <c r="BD848" s="1">
        <f t="shared" si="1196"/>
        <v>0</v>
      </c>
      <c r="BE848" s="1">
        <f t="shared" si="1181"/>
        <v>0</v>
      </c>
      <c r="BF848" s="1">
        <f>MIN(4,V848+0)</f>
        <v>2</v>
      </c>
      <c r="BG848" s="1">
        <f t="shared" ref="BG848:BG870" si="1206">MAX(W848,0)</f>
        <v>1</v>
      </c>
      <c r="BH848" s="1">
        <f t="shared" si="1182"/>
        <v>1</v>
      </c>
      <c r="BI848" s="1">
        <f t="shared" ref="BI848:BI870" si="1207">MAX(Y848,0)</f>
        <v>1</v>
      </c>
      <c r="BJ848" s="1">
        <f>MAX(Z848,1)</f>
        <v>1</v>
      </c>
      <c r="BK848" s="1">
        <f>MAX(AA848,1)</f>
        <v>1</v>
      </c>
      <c r="BL848" s="1">
        <f t="shared" si="1162"/>
        <v>0</v>
      </c>
      <c r="BM848" s="1">
        <f t="shared" si="1160"/>
        <v>0</v>
      </c>
      <c r="BN848" s="1">
        <f t="shared" si="1183"/>
        <v>1</v>
      </c>
      <c r="BO848" s="1">
        <f t="shared" si="1184"/>
        <v>1</v>
      </c>
    </row>
    <row r="849" spans="1:67" ht="30.95" customHeight="1">
      <c r="A849" s="1">
        <f>23</f>
        <v>23</v>
      </c>
      <c r="B849" s="1">
        <f>固定流程!A21</f>
        <v>16</v>
      </c>
      <c r="C849" s="1">
        <f>26</f>
        <v>26</v>
      </c>
      <c r="D849" s="1">
        <f>1</f>
        <v>1</v>
      </c>
      <c r="E849" s="1">
        <f>固定流程!C21</f>
        <v>3</v>
      </c>
      <c r="F849" s="1">
        <f>固定流程!G21</f>
        <v>2</v>
      </c>
      <c r="G849" s="1" t="str">
        <f>固定流程!H21</f>
        <v>37_ULT</v>
      </c>
      <c r="H849" s="1">
        <f>固定流程!F21</f>
        <v>1</v>
      </c>
      <c r="I849" s="1">
        <f>INDEX(配置与结果!$B$15:$B$18,F849)</f>
        <v>2306</v>
      </c>
      <c r="J849" s="1">
        <f>INDEX(配置与结果!$D$15:$D$18,F849)</f>
        <v>0.46</v>
      </c>
      <c r="K849" s="1">
        <f>INDEX(配置与结果!$E$15:$E$18,F849)</f>
        <v>1.9279999999999999</v>
      </c>
      <c r="L849" s="1">
        <f t="shared" si="1203"/>
        <v>2</v>
      </c>
      <c r="M849" s="1">
        <f t="shared" si="1204"/>
        <v>10</v>
      </c>
      <c r="N849" s="1">
        <f t="shared" si="1205"/>
        <v>2</v>
      </c>
      <c r="O849" s="1">
        <f t="shared" si="1197"/>
        <v>6</v>
      </c>
      <c r="P849" s="1">
        <f>MIN(方案参数!$AI$26,AZ848+0+0)</f>
        <v>5</v>
      </c>
      <c r="Q849" s="1">
        <f t="shared" si="1167"/>
        <v>5</v>
      </c>
      <c r="R849" s="1">
        <f t="shared" si="1168"/>
        <v>5</v>
      </c>
      <c r="S849" s="1">
        <f t="shared" si="1169"/>
        <v>2</v>
      </c>
      <c r="T849" s="1">
        <f>BD848+方案参数!$BX$26</f>
        <v>2</v>
      </c>
      <c r="U849" s="1">
        <f t="shared" si="1171"/>
        <v>0</v>
      </c>
      <c r="V849" s="1">
        <f t="shared" si="1172"/>
        <v>2</v>
      </c>
      <c r="W849" s="1">
        <f t="shared" si="1173"/>
        <v>1</v>
      </c>
      <c r="X849" s="1">
        <f t="shared" si="1174"/>
        <v>1</v>
      </c>
      <c r="Y849" s="1">
        <f t="shared" si="1175"/>
        <v>1</v>
      </c>
      <c r="Z849" s="1">
        <f t="shared" si="1176"/>
        <v>1</v>
      </c>
      <c r="AA849" s="1">
        <f t="shared" ref="AA849:AA869" si="1208">MAX(BK848,0)</f>
        <v>1</v>
      </c>
      <c r="AB849" s="1">
        <f t="shared" si="1178"/>
        <v>0</v>
      </c>
      <c r="AC849" s="1">
        <f>MAX(BM848,1)</f>
        <v>1</v>
      </c>
      <c r="AD849" s="1">
        <f>ROUNDDOWN(I849*(1+IF(F849=3,0.05+方案参数!$Y$26+AA849*0.12,IF(F849=4,方案参数!$BZ$26*方案参数!$AS$26,0)))+IF(AND(X849=1,F849&lt;&gt;3),方案参数!$CC$26,0)+AC849*方案参数!$CB$26,0)</f>
        <v>3044</v>
      </c>
      <c r="AE849" s="1">
        <f>IF(OR(F849=1,F849=4),配置与结果!$B$24,配置与结果!$B$25)*MAX(0,1-INDEX(配置与结果!$I$15:$I$18,F849))</f>
        <v>1000</v>
      </c>
      <c r="AF849" s="1">
        <f>0</f>
        <v>0</v>
      </c>
      <c r="AG849" s="1">
        <f>MAX(配置与结果!$B$32,1+INDEX(配置与结果!$F$15:$F$18,F849)+0+Q849*方案参数!$W$26+Y849*(方案参数!$AN$26+MIN(方案参数!$AO$26,P849*0.03))+AB849*方案参数!$BZ$26*0.025-配置与结果!$B$28)</f>
        <v>1.0049999999999999</v>
      </c>
      <c r="AH849" s="1">
        <f>MAX(0,1+INDEX(配置与结果!$G$15:$G$18,F849)+W849*方案参数!$AG$26)</f>
        <v>1.3</v>
      </c>
      <c r="AI849" s="1">
        <f>IF(OR(INDEX(配置与结果!$K$15:$K$18,F849)=1,G849="RHI_BERRY"),1+配置与结果!$B$33+P849*方案参数!$AH$26,1)</f>
        <v>1</v>
      </c>
      <c r="AJ849" s="1">
        <f>MIN(1,MAX(0,J849+方案参数!$AB$26-配置与结果!$B$27))</f>
        <v>0.76</v>
      </c>
      <c r="AK849" s="1">
        <f>MAX(1,K849+IF(F849=2,0.15+方案参数!$CH$26,0)+BN849*方案参数!$X$26+R849*方案参数!$AA$26+0-配置与结果!$B$26+Z849*(方案参数!$AP$26+MIN(方案参数!$AQ$26,P849*0.03)))</f>
        <v>2.278</v>
      </c>
      <c r="AL849" s="7">
        <f>ROUNDDOWN(MAX(AD849*配置与结果!$B$31,AD849-AE849)*AF849*AG849*AH849*AI849,0)</f>
        <v>0</v>
      </c>
      <c r="AM849" s="7">
        <f>ROUNDDOWN(MAX(AD849*配置与结果!$B$31,AD849-AE849)*AF849*AG849*AH849*AI849*AK849,0)</f>
        <v>0</v>
      </c>
      <c r="AN849" s="7">
        <f t="shared" si="1188"/>
        <v>0</v>
      </c>
      <c r="AO849" s="7">
        <f>0</f>
        <v>0</v>
      </c>
      <c r="AP849" s="7">
        <f>MAX(0,1+INDEX(配置与结果!$J$15:$J$18,F849)+IF(T849&gt;0,方案参数!$BY$26,0)-配置与结果!$B$30)</f>
        <v>2</v>
      </c>
      <c r="AQ849" s="7">
        <f t="shared" si="1189"/>
        <v>0</v>
      </c>
      <c r="AR849" s="7">
        <f t="shared" si="1190"/>
        <v>0</v>
      </c>
      <c r="AS849" s="7">
        <f t="shared" si="1191"/>
        <v>0</v>
      </c>
      <c r="AT849" s="7">
        <f>0</f>
        <v>0</v>
      </c>
      <c r="AU849" s="7">
        <f t="shared" si="1192"/>
        <v>0</v>
      </c>
      <c r="AV849" s="1">
        <f t="shared" si="1193"/>
        <v>2</v>
      </c>
      <c r="AW849" s="1">
        <f t="shared" si="1201"/>
        <v>10</v>
      </c>
      <c r="AX849" s="1">
        <f t="shared" si="1194"/>
        <v>2</v>
      </c>
      <c r="AY849" s="1">
        <f t="shared" si="1187"/>
        <v>6</v>
      </c>
      <c r="AZ849" s="1">
        <f t="shared" si="1195"/>
        <v>5</v>
      </c>
      <c r="BA849" s="1">
        <f t="shared" ref="BA849:BA869" si="1209">MIN(6,Q849+0)</f>
        <v>5</v>
      </c>
      <c r="BB849" s="1">
        <f>MIN(30,R849+5)</f>
        <v>10</v>
      </c>
      <c r="BC849" s="1">
        <f t="shared" si="1202"/>
        <v>2</v>
      </c>
      <c r="BD849" s="1">
        <f t="shared" si="1196"/>
        <v>2</v>
      </c>
      <c r="BE849" s="1">
        <f t="shared" si="1181"/>
        <v>0</v>
      </c>
      <c r="BF849" s="1">
        <f>MIN(4,V849+0)</f>
        <v>2</v>
      </c>
      <c r="BG849" s="1">
        <f t="shared" si="1206"/>
        <v>1</v>
      </c>
      <c r="BH849" s="1">
        <f t="shared" si="1182"/>
        <v>1</v>
      </c>
      <c r="BI849" s="1">
        <f t="shared" si="1207"/>
        <v>1</v>
      </c>
      <c r="BJ849" s="1">
        <f t="shared" ref="BJ849:BJ876" si="1210">MAX(Z849,0)</f>
        <v>1</v>
      </c>
      <c r="BK849" s="1">
        <f t="shared" ref="BK849:BK876" si="1211">MAX(AA849,0)</f>
        <v>1</v>
      </c>
      <c r="BL849" s="1">
        <f t="shared" si="1162"/>
        <v>0</v>
      </c>
      <c r="BM849" s="1">
        <f>MAX(AC849,1)</f>
        <v>1</v>
      </c>
      <c r="BN849" s="1">
        <f t="shared" si="1183"/>
        <v>1</v>
      </c>
      <c r="BO849" s="1">
        <f t="shared" si="1184"/>
        <v>1</v>
      </c>
    </row>
    <row r="850" spans="1:67" ht="30.95" customHeight="1">
      <c r="A850" s="1">
        <f>23</f>
        <v>23</v>
      </c>
      <c r="B850" s="1">
        <f>固定流程!A22</f>
        <v>17</v>
      </c>
      <c r="C850" s="1">
        <f>26</f>
        <v>26</v>
      </c>
      <c r="D850" s="1">
        <f>1</f>
        <v>1</v>
      </c>
      <c r="E850" s="1">
        <f>固定流程!C22</f>
        <v>3</v>
      </c>
      <c r="F850" s="1">
        <f>固定流程!G22</f>
        <v>2</v>
      </c>
      <c r="G850" s="1" t="str">
        <f>固定流程!H22</f>
        <v>37_FOLLOW</v>
      </c>
      <c r="H850" s="1">
        <f>固定流程!F22</f>
        <v>1</v>
      </c>
      <c r="I850" s="1">
        <f>INDEX(配置与结果!$B$15:$B$18,F850)</f>
        <v>2306</v>
      </c>
      <c r="J850" s="1">
        <f>INDEX(配置与结果!$D$15:$D$18,F850)</f>
        <v>0.46</v>
      </c>
      <c r="K850" s="1">
        <f>INDEX(配置与结果!$E$15:$E$18,F850)</f>
        <v>1.9279999999999999</v>
      </c>
      <c r="L850" s="1">
        <f t="shared" si="1203"/>
        <v>2</v>
      </c>
      <c r="M850" s="1">
        <f t="shared" si="1204"/>
        <v>10</v>
      </c>
      <c r="N850" s="1">
        <f t="shared" si="1205"/>
        <v>2</v>
      </c>
      <c r="O850" s="1">
        <f t="shared" si="1197"/>
        <v>6</v>
      </c>
      <c r="P850" s="1">
        <f>MIN(方案参数!$AI$26,AZ849+0+0)</f>
        <v>5</v>
      </c>
      <c r="Q850" s="1">
        <f t="shared" si="1167"/>
        <v>5</v>
      </c>
      <c r="R850" s="1">
        <f t="shared" si="1168"/>
        <v>10</v>
      </c>
      <c r="S850" s="1">
        <f t="shared" si="1169"/>
        <v>2</v>
      </c>
      <c r="T850" s="1">
        <f t="shared" ref="T850:T869" si="1212">BD849+0</f>
        <v>2</v>
      </c>
      <c r="U850" s="1">
        <f t="shared" si="1171"/>
        <v>0</v>
      </c>
      <c r="V850" s="1">
        <f t="shared" si="1172"/>
        <v>2</v>
      </c>
      <c r="W850" s="1">
        <f t="shared" si="1173"/>
        <v>1</v>
      </c>
      <c r="X850" s="1">
        <f t="shared" si="1174"/>
        <v>1</v>
      </c>
      <c r="Y850" s="1">
        <f t="shared" si="1175"/>
        <v>1</v>
      </c>
      <c r="Z850" s="1">
        <f t="shared" si="1176"/>
        <v>1</v>
      </c>
      <c r="AA850" s="1">
        <f t="shared" si="1208"/>
        <v>1</v>
      </c>
      <c r="AB850" s="1">
        <f t="shared" si="1178"/>
        <v>0</v>
      </c>
      <c r="AC850" s="1">
        <f t="shared" ref="AC850:AC869" si="1213">MAX(BM849,0)</f>
        <v>1</v>
      </c>
      <c r="AD850" s="1">
        <f>ROUNDDOWN(I850*(1+IF(F850=3,0.05+方案参数!$Y$26+AA850*0.12,IF(F850=4,方案参数!$BZ$26*方案参数!$AS$26,0)))+IF(AND(X850=1,F850&lt;&gt;3),方案参数!$CC$26,0)+AC850*方案参数!$CB$26,0)</f>
        <v>3044</v>
      </c>
      <c r="AE850" s="1">
        <f>IF(OR(F850=1,F850=4),配置与结果!$B$24,配置与结果!$B$25)*MAX(0,1-INDEX(配置与结果!$I$15:$I$18,F850))</f>
        <v>1000</v>
      </c>
      <c r="AF850" s="1">
        <f>方案参数!$BV$26</f>
        <v>3</v>
      </c>
      <c r="AG850" s="1">
        <f>MAX(配置与结果!$B$32,1+INDEX(配置与结果!$F$15:$F$18,F850)+0+Q850*方案参数!$W$26+Y850*(方案参数!$AN$26+MIN(方案参数!$AO$26,P850*0.03))+AB850*方案参数!$BZ$26*0.025-配置与结果!$B$28)</f>
        <v>1.0049999999999999</v>
      </c>
      <c r="AH850" s="1">
        <f>MAX(0,1+INDEX(配置与结果!$G$15:$G$18,F850)+W850*方案参数!$AG$26)</f>
        <v>1.3</v>
      </c>
      <c r="AI850" s="1">
        <f>IF(OR(INDEX(配置与结果!$K$15:$K$18,F850)=1,G850="RHI_BERRY"),1+配置与结果!$B$33+P850*方案参数!$AH$26,1)</f>
        <v>1</v>
      </c>
      <c r="AJ850" s="1">
        <f>MIN(1,MAX(0,J850+方案参数!$AB$26-配置与结果!$B$27))</f>
        <v>0.76</v>
      </c>
      <c r="AK850" s="1">
        <f>MAX(1,K850+IF(F850=2,0.15+方案参数!$CH$26,0)+BN850*方案参数!$X$26+R850*方案参数!$AA$26+0-配置与结果!$B$26+Z850*(方案参数!$AP$26+MIN(方案参数!$AQ$26,P850*0.03)))</f>
        <v>2.298</v>
      </c>
      <c r="AL850" s="7">
        <f>ROUNDDOWN(MAX(AD850*配置与结果!$B$31,AD850-AE850)*AF850*AG850*AH850*AI850,0)</f>
        <v>8011</v>
      </c>
      <c r="AM850" s="7">
        <f>ROUNDDOWN(MAX(AD850*配置与结果!$B$31,AD850-AE850)*AF850*AG850*AH850*AI850*AK850,0)</f>
        <v>18410</v>
      </c>
      <c r="AN850" s="7">
        <f t="shared" si="1188"/>
        <v>15914.24</v>
      </c>
      <c r="AO850" s="7">
        <f>方案参数!$BW$26</f>
        <v>1</v>
      </c>
      <c r="AP850" s="7">
        <f>MAX(0,1+INDEX(配置与结果!$J$15:$J$18,F850)+IF(T850&gt;0,方案参数!$BY$26,0)-配置与结果!$B$30)</f>
        <v>2</v>
      </c>
      <c r="AQ850" s="7">
        <f t="shared" si="1189"/>
        <v>6088</v>
      </c>
      <c r="AR850" s="7">
        <f t="shared" si="1190"/>
        <v>13990</v>
      </c>
      <c r="AS850" s="7">
        <f t="shared" si="1191"/>
        <v>12093.52</v>
      </c>
      <c r="AT850" s="7">
        <f>0</f>
        <v>0</v>
      </c>
      <c r="AU850" s="7">
        <f t="shared" si="1192"/>
        <v>28007.760000000002</v>
      </c>
      <c r="AV850" s="1">
        <f t="shared" si="1193"/>
        <v>2</v>
      </c>
      <c r="AW850" s="1">
        <f t="shared" si="1201"/>
        <v>10</v>
      </c>
      <c r="AX850" s="1">
        <f t="shared" si="1194"/>
        <v>2</v>
      </c>
      <c r="AY850" s="1">
        <f t="shared" si="1187"/>
        <v>6</v>
      </c>
      <c r="AZ850" s="1">
        <f t="shared" si="1195"/>
        <v>5</v>
      </c>
      <c r="BA850" s="1">
        <f t="shared" si="1209"/>
        <v>5</v>
      </c>
      <c r="BB850" s="1">
        <f>MIN(30,R850+0)</f>
        <v>10</v>
      </c>
      <c r="BC850" s="1">
        <f t="shared" si="1202"/>
        <v>2</v>
      </c>
      <c r="BD850" s="1">
        <f t="shared" si="1196"/>
        <v>1</v>
      </c>
      <c r="BE850" s="1">
        <f t="shared" si="1181"/>
        <v>0</v>
      </c>
      <c r="BF850" s="1">
        <f>MIN(4,V850+1)</f>
        <v>3</v>
      </c>
      <c r="BG850" s="1">
        <f t="shared" si="1206"/>
        <v>1</v>
      </c>
      <c r="BH850" s="1">
        <f t="shared" si="1182"/>
        <v>1</v>
      </c>
      <c r="BI850" s="1">
        <f t="shared" si="1207"/>
        <v>1</v>
      </c>
      <c r="BJ850" s="1">
        <f t="shared" si="1210"/>
        <v>1</v>
      </c>
      <c r="BK850" s="1">
        <f t="shared" si="1211"/>
        <v>1</v>
      </c>
      <c r="BL850" s="1">
        <f t="shared" si="1162"/>
        <v>0</v>
      </c>
      <c r="BM850" s="1">
        <f t="shared" ref="BM850:BM884" si="1214">MAX(AC850,0)</f>
        <v>1</v>
      </c>
      <c r="BN850" s="1">
        <f t="shared" si="1183"/>
        <v>1</v>
      </c>
      <c r="BO850" s="1">
        <f t="shared" si="1184"/>
        <v>1</v>
      </c>
    </row>
    <row r="851" spans="1:67" ht="30.95" customHeight="1">
      <c r="A851" s="1">
        <f>23</f>
        <v>23</v>
      </c>
      <c r="B851" s="1">
        <f>固定流程!A23</f>
        <v>18</v>
      </c>
      <c r="C851" s="1">
        <f>26</f>
        <v>26</v>
      </c>
      <c r="D851" s="1">
        <f>1</f>
        <v>1</v>
      </c>
      <c r="E851" s="1">
        <f>固定流程!C23</f>
        <v>3</v>
      </c>
      <c r="F851" s="1">
        <f>固定流程!G23</f>
        <v>4</v>
      </c>
      <c r="G851" s="1" t="str">
        <f>固定流程!H23</f>
        <v>J_HARD</v>
      </c>
      <c r="H851" s="1">
        <f>固定流程!F23</f>
        <v>1</v>
      </c>
      <c r="I851" s="1">
        <f>INDEX(配置与结果!$B$15:$B$18,F851)</f>
        <v>1906</v>
      </c>
      <c r="J851" s="1">
        <f>INDEX(配置与结果!$D$15:$D$18,F851)</f>
        <v>0.36699999999999999</v>
      </c>
      <c r="K851" s="1">
        <f>INDEX(配置与结果!$E$15:$E$18,F851)</f>
        <v>1.7170000000000001</v>
      </c>
      <c r="L851" s="1">
        <f t="shared" si="1203"/>
        <v>2</v>
      </c>
      <c r="M851" s="1">
        <f t="shared" si="1204"/>
        <v>10</v>
      </c>
      <c r="N851" s="1">
        <f t="shared" si="1205"/>
        <v>2</v>
      </c>
      <c r="O851" s="1">
        <f t="shared" si="1197"/>
        <v>6</v>
      </c>
      <c r="P851" s="1">
        <f>MIN(方案参数!$AI$26,AZ850+0+0)</f>
        <v>5</v>
      </c>
      <c r="Q851" s="1">
        <f t="shared" si="1167"/>
        <v>5</v>
      </c>
      <c r="R851" s="1">
        <f t="shared" si="1168"/>
        <v>10</v>
      </c>
      <c r="S851" s="1">
        <f t="shared" si="1169"/>
        <v>2</v>
      </c>
      <c r="T851" s="1">
        <f t="shared" si="1212"/>
        <v>1</v>
      </c>
      <c r="U851" s="1">
        <f t="shared" si="1171"/>
        <v>0</v>
      </c>
      <c r="V851" s="1">
        <f t="shared" si="1172"/>
        <v>3</v>
      </c>
      <c r="W851" s="1">
        <f t="shared" si="1173"/>
        <v>1</v>
      </c>
      <c r="X851" s="1">
        <f t="shared" si="1174"/>
        <v>1</v>
      </c>
      <c r="Y851" s="1">
        <f t="shared" si="1175"/>
        <v>1</v>
      </c>
      <c r="Z851" s="1">
        <f t="shared" si="1176"/>
        <v>1</v>
      </c>
      <c r="AA851" s="1">
        <f t="shared" si="1208"/>
        <v>1</v>
      </c>
      <c r="AB851" s="1">
        <f t="shared" si="1178"/>
        <v>0</v>
      </c>
      <c r="AC851" s="1">
        <f t="shared" si="1213"/>
        <v>1</v>
      </c>
      <c r="AD851" s="1">
        <f>ROUNDDOWN(I851*(1+IF(F851=3,0.05+方案参数!$Y$26+AA851*0.12,IF(F851=4,方案参数!$BZ$26*方案参数!$AS$26,0)))+IF(AND(X851=1,F851&lt;&gt;3),方案参数!$CC$26,0)+AC851*方案参数!$CB$26,0)</f>
        <v>4359</v>
      </c>
      <c r="AE851" s="1">
        <f>IF(OR(F851=1,F851=4),配置与结果!$B$24,配置与结果!$B$25)*MAX(0,1-INDEX(配置与结果!$I$15:$I$18,F851))</f>
        <v>1200</v>
      </c>
      <c r="AF851" s="1">
        <f>3.6*IF(H851=1,1,IF(H851=2,1.5,2.5))</f>
        <v>3.6</v>
      </c>
      <c r="AG851" s="1">
        <f>MAX(配置与结果!$B$32,1+INDEX(配置与结果!$F$15:$F$18,F851)+0.08+Q851*方案参数!$W$26+Y851*(方案参数!$AN$26+MIN(方案参数!$AO$26,P851*0.03))+AB851*方案参数!$BZ$26*0.025+0.1+IF(方案参数!$BZ$26&gt;=30,方案参数!$BZ$26*0.01,0)-配置与结果!$B$28)</f>
        <v>1.6550000000000002</v>
      </c>
      <c r="AH851" s="1">
        <f>MAX(0,1+INDEX(配置与结果!$G$15:$G$18,F851)+W851*方案参数!$AG$26)</f>
        <v>1.3</v>
      </c>
      <c r="AI851" s="1">
        <f>IF(OR(INDEX(配置与结果!$K$15:$K$18,F851)=1,G851="RHI_BERRY"),1+配置与结果!$B$33+P851*方案参数!$AH$26,1)</f>
        <v>1</v>
      </c>
      <c r="AJ851" s="1">
        <f>MIN(1,MAX(0,J851+方案参数!$AB$26-配置与结果!$B$27))</f>
        <v>0.66700000000000004</v>
      </c>
      <c r="AK851" s="1">
        <f>MAX(1,K851+IF(F851=2,0.15+方案参数!$CH$26,0)+BN851*方案参数!$X$26+R851*方案参数!$AA$26+0-配置与结果!$B$26+Z851*(方案参数!$AP$26+MIN(方案参数!$AQ$26,P851*0.03)))</f>
        <v>1.8169999999999999</v>
      </c>
      <c r="AL851" s="7">
        <f>ROUNDDOWN(MAX(AD851*配置与结果!$B$31,AD851-AE851)*AF851*AG851*AH851*AI851,0)</f>
        <v>24467</v>
      </c>
      <c r="AM851" s="7">
        <f>ROUNDDOWN(MAX(AD851*配置与结果!$B$31,AD851-AE851)*AF851*AG851*AH851*AI851*AK851,0)</f>
        <v>44457</v>
      </c>
      <c r="AN851" s="7">
        <f t="shared" si="1188"/>
        <v>37800.33</v>
      </c>
      <c r="AO851" s="7">
        <f>0</f>
        <v>0</v>
      </c>
      <c r="AP851" s="7">
        <f>MAX(0,1+INDEX(配置与结果!$J$15:$J$18,F851)+IF(T851&gt;0,方案参数!$BY$26,0)-配置与结果!$B$30)</f>
        <v>2</v>
      </c>
      <c r="AQ851" s="7">
        <f t="shared" si="1189"/>
        <v>0</v>
      </c>
      <c r="AR851" s="7">
        <f t="shared" si="1190"/>
        <v>0</v>
      </c>
      <c r="AS851" s="7">
        <f t="shared" si="1191"/>
        <v>0</v>
      </c>
      <c r="AT851" s="7">
        <f>0</f>
        <v>0</v>
      </c>
      <c r="AU851" s="7">
        <f t="shared" si="1192"/>
        <v>37800.33</v>
      </c>
      <c r="AV851" s="1">
        <f t="shared" si="1193"/>
        <v>2</v>
      </c>
      <c r="AW851" s="1">
        <f t="shared" si="1201"/>
        <v>10</v>
      </c>
      <c r="AX851" s="1">
        <f t="shared" si="1194"/>
        <v>2</v>
      </c>
      <c r="AY851" s="1">
        <f t="shared" si="1187"/>
        <v>6</v>
      </c>
      <c r="AZ851" s="1">
        <f t="shared" si="1195"/>
        <v>5</v>
      </c>
      <c r="BA851" s="1">
        <f t="shared" si="1209"/>
        <v>5</v>
      </c>
      <c r="BB851" s="1">
        <f>MIN(30,R851+0)</f>
        <v>10</v>
      </c>
      <c r="BC851" s="1">
        <f>MIN(3,S851+1)</f>
        <v>3</v>
      </c>
      <c r="BD851" s="1">
        <f t="shared" si="1196"/>
        <v>1</v>
      </c>
      <c r="BE851" s="1">
        <f t="shared" si="1181"/>
        <v>0</v>
      </c>
      <c r="BF851" s="1">
        <f>MIN(4,V851+0)</f>
        <v>3</v>
      </c>
      <c r="BG851" s="1">
        <f t="shared" si="1206"/>
        <v>1</v>
      </c>
      <c r="BH851" s="1">
        <f t="shared" si="1182"/>
        <v>1</v>
      </c>
      <c r="BI851" s="1">
        <f t="shared" si="1207"/>
        <v>1</v>
      </c>
      <c r="BJ851" s="1">
        <f t="shared" si="1210"/>
        <v>1</v>
      </c>
      <c r="BK851" s="1">
        <f t="shared" si="1211"/>
        <v>1</v>
      </c>
      <c r="BL851" s="1">
        <f t="shared" si="1162"/>
        <v>0</v>
      </c>
      <c r="BM851" s="1">
        <f t="shared" si="1214"/>
        <v>1</v>
      </c>
      <c r="BN851" s="1">
        <f t="shared" si="1183"/>
        <v>1</v>
      </c>
      <c r="BO851" s="1">
        <f t="shared" si="1184"/>
        <v>1</v>
      </c>
    </row>
    <row r="852" spans="1:67" ht="30.95" customHeight="1">
      <c r="A852" s="1">
        <f>23</f>
        <v>23</v>
      </c>
      <c r="B852" s="1">
        <f>固定流程!A24</f>
        <v>19</v>
      </c>
      <c r="C852" s="1">
        <f>26</f>
        <v>26</v>
      </c>
      <c r="D852" s="1">
        <f>1</f>
        <v>1</v>
      </c>
      <c r="E852" s="1">
        <f>固定流程!C24</f>
        <v>3</v>
      </c>
      <c r="F852" s="1">
        <f>固定流程!G24</f>
        <v>4</v>
      </c>
      <c r="G852" s="1" t="str">
        <f>固定流程!H24</f>
        <v>J_ULT</v>
      </c>
      <c r="H852" s="1">
        <f>固定流程!F24</f>
        <v>1</v>
      </c>
      <c r="I852" s="1">
        <f>INDEX(配置与结果!$B$15:$B$18,F852)</f>
        <v>1906</v>
      </c>
      <c r="J852" s="1">
        <f>INDEX(配置与结果!$D$15:$D$18,F852)</f>
        <v>0.36699999999999999</v>
      </c>
      <c r="K852" s="1">
        <f>INDEX(配置与结果!$E$15:$E$18,F852)</f>
        <v>1.7170000000000001</v>
      </c>
      <c r="L852" s="1">
        <f t="shared" si="1203"/>
        <v>2</v>
      </c>
      <c r="M852" s="1">
        <f t="shared" si="1204"/>
        <v>10</v>
      </c>
      <c r="N852" s="1">
        <f t="shared" si="1205"/>
        <v>2</v>
      </c>
      <c r="O852" s="1">
        <f t="shared" si="1197"/>
        <v>6</v>
      </c>
      <c r="P852" s="1">
        <f>MIN(方案参数!$AI$26,AZ851+0+0)</f>
        <v>5</v>
      </c>
      <c r="Q852" s="1">
        <f t="shared" si="1167"/>
        <v>5</v>
      </c>
      <c r="R852" s="1">
        <f t="shared" si="1168"/>
        <v>10</v>
      </c>
      <c r="S852" s="1">
        <f t="shared" si="1169"/>
        <v>3</v>
      </c>
      <c r="T852" s="1">
        <f t="shared" si="1212"/>
        <v>1</v>
      </c>
      <c r="U852" s="1">
        <f t="shared" si="1171"/>
        <v>0</v>
      </c>
      <c r="V852" s="1">
        <f t="shared" si="1172"/>
        <v>3</v>
      </c>
      <c r="W852" s="1">
        <f t="shared" si="1173"/>
        <v>1</v>
      </c>
      <c r="X852" s="1">
        <f t="shared" si="1174"/>
        <v>1</v>
      </c>
      <c r="Y852" s="1">
        <f t="shared" si="1175"/>
        <v>1</v>
      </c>
      <c r="Z852" s="1">
        <f t="shared" si="1176"/>
        <v>1</v>
      </c>
      <c r="AA852" s="1">
        <f t="shared" si="1208"/>
        <v>1</v>
      </c>
      <c r="AB852" s="1">
        <f t="shared" si="1178"/>
        <v>0</v>
      </c>
      <c r="AC852" s="1">
        <f t="shared" si="1213"/>
        <v>1</v>
      </c>
      <c r="AD852" s="1">
        <f>ROUNDDOWN(I852*(1+IF(F852=3,0.05+方案参数!$Y$26+AA852*0.12,IF(F852=4,方案参数!$BZ$26*方案参数!$AS$26,0)))+IF(AND(X852=1,F852&lt;&gt;3),方案参数!$CC$26,0)+AC852*方案参数!$CB$26,0)</f>
        <v>4359</v>
      </c>
      <c r="AE852" s="1">
        <f>IF(OR(F852=1,F852=4),配置与结果!$B$24,配置与结果!$B$25)*MAX(0,1-INDEX(配置与结果!$I$15:$I$18,F852))</f>
        <v>1200</v>
      </c>
      <c r="AF852" s="1">
        <f>方案参数!$AT$26+MAX(0,配置与结果!$H$26+方案参数!$BZ$26-30)*方案参数!$AU$26*配置与结果!$H$27</f>
        <v>52</v>
      </c>
      <c r="AG852" s="1">
        <f>MAX(配置与结果!$B$32,1+INDEX(配置与结果!$F$15:$F$18,F852)+0.08+Q852*方案参数!$W$26+Y852*(方案参数!$AN$26+MIN(方案参数!$AO$26,P852*0.03))+AB852*方案参数!$BZ$26*0.025-配置与结果!$B$28)</f>
        <v>1.105</v>
      </c>
      <c r="AH852" s="1">
        <f>MAX(0,1+INDEX(配置与结果!$H$15:$H$18,F852)+W852*方案参数!$AG$26+S852*方案参数!$Z$26)</f>
        <v>1.42</v>
      </c>
      <c r="AI852" s="1">
        <f>IF(OR(INDEX(配置与结果!$K$15:$K$18,F852)=1,G852="RHI_BERRY"),1+配置与结果!$B$33+P852*方案参数!$AH$26,1)</f>
        <v>1</v>
      </c>
      <c r="AJ852" s="1">
        <f>MIN(1,MAX(0,J852+方案参数!$AB$26-配置与结果!$B$27))</f>
        <v>0.66700000000000004</v>
      </c>
      <c r="AK852" s="1">
        <f>MAX(1,K852+IF(F852=2,0.15+方案参数!$CH$26,0)+BN852*方案参数!$X$26+R852*方案参数!$AA$26+0-配置与结果!$B$26+Z852*(方案参数!$AP$26+MIN(方案参数!$AQ$26,P852*0.03)))</f>
        <v>1.8169999999999999</v>
      </c>
      <c r="AL852" s="7">
        <f>ROUNDDOWN(MAX(AD852*配置与结果!$B$31,AD852-AE852)*AF852*AG852*AH852*AI852,0)</f>
        <v>257752</v>
      </c>
      <c r="AM852" s="7">
        <f>ROUNDDOWN(MAX(AD852*配置与结果!$B$31,AD852-AE852)*AF852*AG852*AH852*AI852*AK852,0)</f>
        <v>468337</v>
      </c>
      <c r="AN852" s="7">
        <f t="shared" si="1188"/>
        <v>398212.19500000007</v>
      </c>
      <c r="AO852" s="7">
        <f>0</f>
        <v>0</v>
      </c>
      <c r="AP852" s="7">
        <f>MAX(0,1+INDEX(配置与结果!$J$15:$J$18,F852)+IF(T852&gt;0,方案参数!$BY$26,0)-配置与结果!$B$30)</f>
        <v>2</v>
      </c>
      <c r="AQ852" s="7">
        <f t="shared" si="1189"/>
        <v>0</v>
      </c>
      <c r="AR852" s="7">
        <f t="shared" si="1190"/>
        <v>0</v>
      </c>
      <c r="AS852" s="7">
        <f t="shared" si="1191"/>
        <v>0</v>
      </c>
      <c r="AT852" s="7">
        <f>0</f>
        <v>0</v>
      </c>
      <c r="AU852" s="7">
        <f t="shared" si="1192"/>
        <v>398212.19500000007</v>
      </c>
      <c r="AV852" s="1">
        <f t="shared" si="1193"/>
        <v>2</v>
      </c>
      <c r="AW852" s="1">
        <f t="shared" si="1201"/>
        <v>10</v>
      </c>
      <c r="AX852" s="1">
        <f t="shared" si="1194"/>
        <v>2</v>
      </c>
      <c r="AY852" s="1">
        <f t="shared" si="1187"/>
        <v>6</v>
      </c>
      <c r="AZ852" s="1">
        <f t="shared" si="1195"/>
        <v>5</v>
      </c>
      <c r="BA852" s="1">
        <f t="shared" si="1209"/>
        <v>5</v>
      </c>
      <c r="BB852" s="1">
        <f>MIN(30,R852+5)</f>
        <v>15</v>
      </c>
      <c r="BC852" s="1">
        <f t="shared" ref="BC852:BC875" si="1215">MIN(3,S852+0)</f>
        <v>3</v>
      </c>
      <c r="BD852" s="1">
        <f t="shared" si="1196"/>
        <v>1</v>
      </c>
      <c r="BE852" s="1">
        <f t="shared" si="1181"/>
        <v>0</v>
      </c>
      <c r="BF852" s="1">
        <f>MIN(4,V852+0)</f>
        <v>3</v>
      </c>
      <c r="BG852" s="1">
        <f t="shared" si="1206"/>
        <v>1</v>
      </c>
      <c r="BH852" s="1">
        <f t="shared" si="1182"/>
        <v>1</v>
      </c>
      <c r="BI852" s="1">
        <f t="shared" si="1207"/>
        <v>1</v>
      </c>
      <c r="BJ852" s="1">
        <f t="shared" si="1210"/>
        <v>1</v>
      </c>
      <c r="BK852" s="1">
        <f t="shared" si="1211"/>
        <v>1</v>
      </c>
      <c r="BL852" s="1">
        <f>MAX(AB852,1)</f>
        <v>1</v>
      </c>
      <c r="BM852" s="1">
        <f t="shared" si="1214"/>
        <v>1</v>
      </c>
      <c r="BN852" s="1">
        <f t="shared" si="1183"/>
        <v>1</v>
      </c>
      <c r="BO852" s="1">
        <f t="shared" si="1184"/>
        <v>1</v>
      </c>
    </row>
    <row r="853" spans="1:67" ht="30.95" customHeight="1">
      <c r="A853" s="1">
        <f>23</f>
        <v>23</v>
      </c>
      <c r="B853" s="1">
        <f>固定流程!A25</f>
        <v>20</v>
      </c>
      <c r="C853" s="1">
        <f>26</f>
        <v>26</v>
      </c>
      <c r="D853" s="1">
        <f>1</f>
        <v>1</v>
      </c>
      <c r="E853" s="1">
        <f>固定流程!C25</f>
        <v>3</v>
      </c>
      <c r="F853" s="1">
        <f>固定流程!G25</f>
        <v>1</v>
      </c>
      <c r="G853" s="1" t="str">
        <f>固定流程!H25</f>
        <v>LILYA_ULT</v>
      </c>
      <c r="H853" s="1">
        <f>固定流程!F25</f>
        <v>1</v>
      </c>
      <c r="I853" s="1">
        <f>INDEX(配置与结果!$B$15:$B$18,F853)</f>
        <v>2296</v>
      </c>
      <c r="J853" s="1">
        <f>INDEX(配置与结果!$D$15:$D$18,F853)</f>
        <v>0.7</v>
      </c>
      <c r="K853" s="1">
        <f>INDEX(配置与结果!$E$15:$E$18,F853)</f>
        <v>2.0249999999999999</v>
      </c>
      <c r="L853" s="1">
        <f t="shared" si="1203"/>
        <v>2</v>
      </c>
      <c r="M853" s="1">
        <f t="shared" si="1204"/>
        <v>10</v>
      </c>
      <c r="N853" s="1">
        <f t="shared" si="1205"/>
        <v>2</v>
      </c>
      <c r="O853" s="1">
        <f t="shared" si="1197"/>
        <v>6</v>
      </c>
      <c r="P853" s="1">
        <f>MIN(方案参数!$AI$26,AZ852+0+0)</f>
        <v>5</v>
      </c>
      <c r="Q853" s="1">
        <f t="shared" si="1167"/>
        <v>5</v>
      </c>
      <c r="R853" s="1">
        <f t="shared" si="1168"/>
        <v>15</v>
      </c>
      <c r="S853" s="1">
        <f t="shared" si="1169"/>
        <v>3</v>
      </c>
      <c r="T853" s="1">
        <f t="shared" si="1212"/>
        <v>1</v>
      </c>
      <c r="U853" s="1">
        <f t="shared" si="1171"/>
        <v>0</v>
      </c>
      <c r="V853" s="1">
        <f t="shared" si="1172"/>
        <v>3</v>
      </c>
      <c r="W853" s="1">
        <f t="shared" si="1173"/>
        <v>1</v>
      </c>
      <c r="X853" s="1">
        <f t="shared" si="1174"/>
        <v>1</v>
      </c>
      <c r="Y853" s="1">
        <f t="shared" si="1175"/>
        <v>1</v>
      </c>
      <c r="Z853" s="1">
        <f t="shared" si="1176"/>
        <v>1</v>
      </c>
      <c r="AA853" s="1">
        <f t="shared" si="1208"/>
        <v>1</v>
      </c>
      <c r="AB853" s="1">
        <f t="shared" si="1178"/>
        <v>1</v>
      </c>
      <c r="AC853" s="1">
        <f t="shared" si="1213"/>
        <v>1</v>
      </c>
      <c r="AD853" s="1">
        <f>ROUNDDOWN(I853*(1+IF(F853=3,0.05+方案参数!$Y$26+AA853*0.12,IF(F853=4,方案参数!$BZ$26*方案参数!$AS$26,0)))+IF(AND(X853=1,F853&lt;&gt;3),方案参数!$CC$26,0)+AC853*方案参数!$CB$26,0)</f>
        <v>3034</v>
      </c>
      <c r="AE853" s="1">
        <f>IF(OR(F853=1,F853=4),配置与结果!$B$24,配置与结果!$B$25)*MAX(0,1-INDEX(配置与结果!$I$15:$I$18,F853)+IF(O853&gt;=6,方案参数!$BK$26,0))</f>
        <v>1440</v>
      </c>
      <c r="AF853" s="1">
        <f>方案参数!$BG$26+IF(O853&gt;=6,方案参数!$BH$26,0)</f>
        <v>36</v>
      </c>
      <c r="AG853" s="1">
        <f>MAX(配置与结果!$B$32,1+INDEX(配置与结果!$F$15:$F$18,F853)+0.08+方案参数!$CD$26+Q853*方案参数!$W$26+Y853*(方案参数!$AN$26+MIN(方案参数!$AO$26,P853*0.03))+AB853*方案参数!$BZ$26*0.025-配置与结果!$B$28)</f>
        <v>2.4650000000000003</v>
      </c>
      <c r="AH853" s="1">
        <f>MAX(0,1+INDEX(配置与结果!$H$15:$H$18,F853)+W853*方案参数!$AG$26+O853*方案参数!$BF$26+IF(O853&gt;=6,方案参数!$BI$26,0))</f>
        <v>2.4500000000000002</v>
      </c>
      <c r="AI853" s="1">
        <f>IF(OR(INDEX(配置与结果!$K$15:$K$18,F853)=1,G853="RHI_BERRY"),1+配置与结果!$B$33+P853*方案参数!$AH$26,1)</f>
        <v>1</v>
      </c>
      <c r="AJ853" s="1">
        <f>MIN(1,MAX(0,J853+方案参数!$AB$26-配置与结果!$B$27))</f>
        <v>1</v>
      </c>
      <c r="AK853" s="1">
        <f>MAX(1,K853+IF(F853=2,0.15+方案参数!$CH$26,0)+BN853*方案参数!$X$26+R853*方案参数!$AA$26+IF(O853&gt;=6,方案参数!$BJ$26,0)-配置与结果!$B$26+Z853*(方案参数!$AP$26+MIN(方案参数!$AQ$26,P853*0.03)))</f>
        <v>3.145</v>
      </c>
      <c r="AL853" s="7">
        <f>ROUNDDOWN(MAX(AD853*配置与结果!$B$31,AD853-AE853)*AF853*AG853*AH853*AI853,0)</f>
        <v>346556</v>
      </c>
      <c r="AM853" s="7">
        <f>ROUNDDOWN(MAX(AD853*配置与结果!$B$31,AD853-AE853)*AF853*AG853*AH853*AI853*AK853,0)</f>
        <v>1089919</v>
      </c>
      <c r="AN853" s="7">
        <f t="shared" si="1188"/>
        <v>1089919</v>
      </c>
      <c r="AO853" s="7">
        <f>0</f>
        <v>0</v>
      </c>
      <c r="AP853" s="7">
        <f>MAX(0,1+INDEX(配置与结果!$J$15:$J$18,F853)+IF(T853&gt;0,方案参数!$BY$26,0)-配置与结果!$B$30)</f>
        <v>2</v>
      </c>
      <c r="AQ853" s="7">
        <f t="shared" si="1189"/>
        <v>0</v>
      </c>
      <c r="AR853" s="7">
        <f t="shared" si="1190"/>
        <v>0</v>
      </c>
      <c r="AS853" s="7">
        <f t="shared" si="1191"/>
        <v>0</v>
      </c>
      <c r="AT853" s="7">
        <f>0</f>
        <v>0</v>
      </c>
      <c r="AU853" s="7">
        <f t="shared" si="1192"/>
        <v>1089919</v>
      </c>
      <c r="AV853" s="1">
        <f t="shared" si="1193"/>
        <v>2</v>
      </c>
      <c r="AW853" s="1">
        <f t="shared" si="1201"/>
        <v>10</v>
      </c>
      <c r="AX853" s="1">
        <f t="shared" si="1194"/>
        <v>2</v>
      </c>
      <c r="AY853" s="1">
        <f>MIN(20,MAX(0,O853+0+0-IF(O853&gt;=6,6,0)))</f>
        <v>0</v>
      </c>
      <c r="AZ853" s="1">
        <f t="shared" si="1195"/>
        <v>5</v>
      </c>
      <c r="BA853" s="1">
        <f t="shared" si="1209"/>
        <v>5</v>
      </c>
      <c r="BB853" s="1">
        <f>MIN(30,R853+5)</f>
        <v>20</v>
      </c>
      <c r="BC853" s="1">
        <f t="shared" si="1215"/>
        <v>3</v>
      </c>
      <c r="BD853" s="1">
        <f t="shared" si="1196"/>
        <v>1</v>
      </c>
      <c r="BE853" s="1">
        <f t="shared" si="1181"/>
        <v>0</v>
      </c>
      <c r="BF853" s="1">
        <f>MIN(4,V853+0)</f>
        <v>3</v>
      </c>
      <c r="BG853" s="1">
        <f t="shared" si="1206"/>
        <v>1</v>
      </c>
      <c r="BH853" s="1">
        <f t="shared" si="1182"/>
        <v>1</v>
      </c>
      <c r="BI853" s="1">
        <f t="shared" si="1207"/>
        <v>1</v>
      </c>
      <c r="BJ853" s="1">
        <f t="shared" si="1210"/>
        <v>1</v>
      </c>
      <c r="BK853" s="1">
        <f t="shared" si="1211"/>
        <v>1</v>
      </c>
      <c r="BL853" s="1">
        <f t="shared" ref="BL853:BL887" si="1216">MAX(AB853,0)</f>
        <v>1</v>
      </c>
      <c r="BM853" s="1">
        <f t="shared" si="1214"/>
        <v>1</v>
      </c>
      <c r="BN853" s="1">
        <f t="shared" si="1183"/>
        <v>1</v>
      </c>
      <c r="BO853" s="1">
        <f t="shared" si="1184"/>
        <v>1</v>
      </c>
    </row>
    <row r="854" spans="1:67" ht="30.95" customHeight="1">
      <c r="A854" s="1">
        <f>23</f>
        <v>23</v>
      </c>
      <c r="B854" s="1">
        <f>固定流程!A26</f>
        <v>21</v>
      </c>
      <c r="C854" s="1">
        <f>26</f>
        <v>26</v>
      </c>
      <c r="D854" s="1">
        <f>1</f>
        <v>1</v>
      </c>
      <c r="E854" s="1">
        <f>固定流程!C26</f>
        <v>3</v>
      </c>
      <c r="F854" s="1">
        <f>固定流程!G26</f>
        <v>1</v>
      </c>
      <c r="G854" s="1" t="str">
        <f>固定流程!H26</f>
        <v>LILYA_DIVE</v>
      </c>
      <c r="H854" s="1">
        <f>固定流程!F26</f>
        <v>3</v>
      </c>
      <c r="I854" s="1">
        <f>INDEX(配置与结果!$B$15:$B$18,F854)</f>
        <v>2296</v>
      </c>
      <c r="J854" s="1">
        <f>INDEX(配置与结果!$D$15:$D$18,F854)</f>
        <v>0.7</v>
      </c>
      <c r="K854" s="1">
        <f>INDEX(配置与结果!$E$15:$E$18,F854)</f>
        <v>2.0249999999999999</v>
      </c>
      <c r="L854" s="1">
        <f t="shared" si="1203"/>
        <v>2</v>
      </c>
      <c r="M854" s="1">
        <f t="shared" si="1204"/>
        <v>10</v>
      </c>
      <c r="N854" s="1">
        <f t="shared" si="1205"/>
        <v>2</v>
      </c>
      <c r="O854" s="1">
        <f t="shared" si="1197"/>
        <v>0</v>
      </c>
      <c r="P854" s="1">
        <f>MIN(方案参数!$AI$26,AZ853+0+0)</f>
        <v>5</v>
      </c>
      <c r="Q854" s="1">
        <f t="shared" si="1167"/>
        <v>5</v>
      </c>
      <c r="R854" s="1">
        <f t="shared" si="1168"/>
        <v>20</v>
      </c>
      <c r="S854" s="1">
        <f t="shared" si="1169"/>
        <v>3</v>
      </c>
      <c r="T854" s="1">
        <f t="shared" si="1212"/>
        <v>1</v>
      </c>
      <c r="U854" s="1">
        <f t="shared" si="1171"/>
        <v>0</v>
      </c>
      <c r="V854" s="1">
        <f t="shared" si="1172"/>
        <v>3</v>
      </c>
      <c r="W854" s="1">
        <f t="shared" si="1173"/>
        <v>1</v>
      </c>
      <c r="X854" s="1">
        <f t="shared" si="1174"/>
        <v>1</v>
      </c>
      <c r="Y854" s="1">
        <f t="shared" si="1175"/>
        <v>1</v>
      </c>
      <c r="Z854" s="1">
        <f t="shared" si="1176"/>
        <v>1</v>
      </c>
      <c r="AA854" s="1">
        <f t="shared" si="1208"/>
        <v>1</v>
      </c>
      <c r="AB854" s="1">
        <f t="shared" si="1178"/>
        <v>1</v>
      </c>
      <c r="AC854" s="1">
        <f t="shared" si="1213"/>
        <v>1</v>
      </c>
      <c r="AD854" s="1">
        <f>ROUNDDOWN(I854*(1+IF(F854=3,0.05+方案参数!$Y$26+AA854*0.12,IF(F854=4,方案参数!$BZ$26*方案参数!$AS$26,0)))+IF(AND(X854=1,F854&lt;&gt;3),方案参数!$CC$26,0)+AC854*方案参数!$CB$26,0)</f>
        <v>3034</v>
      </c>
      <c r="AE854" s="1">
        <f>IF(OR(F854=1,F854=4),配置与结果!$B$24,配置与结果!$B$25)*MAX(0,1-INDEX(配置与结果!$I$15:$I$18,F854))</f>
        <v>1200</v>
      </c>
      <c r="AF854" s="1">
        <f>(IF(L854=1,方案参数!$AW$26,IF(L854=2,方案参数!$AX$26,0))+方案参数!$AV$26)*H854</f>
        <v>30</v>
      </c>
      <c r="AG854" s="1">
        <f>MAX(配置与结果!$B$32,1+INDEX(配置与结果!$F$15:$F$18,F854)+0.08+方案参数!$CD$26+Q854*方案参数!$W$26+Y854*(方案参数!$AN$26+MIN(方案参数!$AO$26,P854*0.03))+AB854*方案参数!$BZ$26*0.025+IF(L854=1,方案参数!$AY$26+(H854-1)*0.1,IF(L854=2,方案参数!$AZ$26+(H854-1)*0.2,0))-配置与结果!$B$28)</f>
        <v>3.0650000000000004</v>
      </c>
      <c r="AH854" s="1">
        <f>MAX(0,1+INDEX(配置与结果!$G$15:$G$18,F854)+W854*方案参数!$AG$26+IF(L854=1,方案参数!$BA$26,IF(L854=2,方案参数!$BB$26,0))+M854*方案参数!$BC$26)</f>
        <v>3.1</v>
      </c>
      <c r="AI854" s="1">
        <f>IF(OR(INDEX(配置与结果!$K$15:$K$18,F854)=1,G854="RHI_BERRY"),1+配置与结果!$B$33+P854*方案参数!$AH$26,1)</f>
        <v>1</v>
      </c>
      <c r="AJ854" s="1">
        <f>MIN(1,MAX(0,J854+方案参数!$AB$26-配置与结果!$B$27))</f>
        <v>1</v>
      </c>
      <c r="AK854" s="1">
        <f>MAX(1,K854+IF(F854=2,0.15+方案参数!$CH$26,0)+BN854*方案参数!$X$26+R854*方案参数!$AA$26+0-配置与结果!$B$26+Z854*(方案参数!$AP$26+MIN(方案参数!$AQ$26,P854*0.03)))</f>
        <v>2.165</v>
      </c>
      <c r="AL854" s="7">
        <f>ROUNDDOWN(MAX(AD854*配置与结果!$B$31,AD854-AE854)*AF854*AG854*AH854*AI854,0)</f>
        <v>522772</v>
      </c>
      <c r="AM854" s="7">
        <f>ROUNDDOWN(MAX(AD854*配置与结果!$B$31,AD854-AE854)*AF854*AG854*AH854*AI854*AK854,0)</f>
        <v>1131802</v>
      </c>
      <c r="AN854" s="7">
        <f t="shared" si="1188"/>
        <v>1131802</v>
      </c>
      <c r="AO854" s="7">
        <f>0</f>
        <v>0</v>
      </c>
      <c r="AP854" s="7">
        <f>MAX(0,1+INDEX(配置与结果!$J$15:$J$18,F854)+IF(T854&gt;0,方案参数!$BY$26,0)-配置与结果!$B$30)</f>
        <v>2</v>
      </c>
      <c r="AQ854" s="7">
        <f t="shared" si="1189"/>
        <v>0</v>
      </c>
      <c r="AR854" s="7">
        <f t="shared" si="1190"/>
        <v>0</v>
      </c>
      <c r="AS854" s="7">
        <f t="shared" si="1191"/>
        <v>0</v>
      </c>
      <c r="AT854" s="7">
        <f>0</f>
        <v>0</v>
      </c>
      <c r="AU854" s="7">
        <f t="shared" si="1192"/>
        <v>1131802</v>
      </c>
      <c r="AV854" s="1">
        <f t="shared" si="1193"/>
        <v>2</v>
      </c>
      <c r="AW854" s="1">
        <f>MIN(10,M854+0+IF(L854=1,方案参数!$BE$26,0))</f>
        <v>10</v>
      </c>
      <c r="AX854" s="1">
        <f t="shared" si="1194"/>
        <v>2</v>
      </c>
      <c r="AY854" s="1">
        <f>MIN(20,MAX(0,O854+0+0-0))</f>
        <v>0</v>
      </c>
      <c r="AZ854" s="1">
        <f t="shared" si="1195"/>
        <v>5</v>
      </c>
      <c r="BA854" s="1">
        <f t="shared" si="1209"/>
        <v>5</v>
      </c>
      <c r="BB854" s="1">
        <f t="shared" ref="BB854:BB869" si="1217">MIN(30,R854+0)</f>
        <v>20</v>
      </c>
      <c r="BC854" s="1">
        <f t="shared" si="1215"/>
        <v>3</v>
      </c>
      <c r="BD854" s="1">
        <f t="shared" si="1196"/>
        <v>1</v>
      </c>
      <c r="BE854" s="1">
        <f t="shared" si="1181"/>
        <v>0</v>
      </c>
      <c r="BF854" s="1">
        <f>MIN(4,V854+0)</f>
        <v>3</v>
      </c>
      <c r="BG854" s="1">
        <f t="shared" si="1206"/>
        <v>1</v>
      </c>
      <c r="BH854" s="1">
        <f t="shared" si="1182"/>
        <v>1</v>
      </c>
      <c r="BI854" s="1">
        <f t="shared" si="1207"/>
        <v>1</v>
      </c>
      <c r="BJ854" s="1">
        <f t="shared" si="1210"/>
        <v>1</v>
      </c>
      <c r="BK854" s="1">
        <f t="shared" si="1211"/>
        <v>1</v>
      </c>
      <c r="BL854" s="1">
        <f t="shared" si="1216"/>
        <v>1</v>
      </c>
      <c r="BM854" s="1">
        <f t="shared" si="1214"/>
        <v>1</v>
      </c>
      <c r="BN854" s="1">
        <f t="shared" si="1183"/>
        <v>1</v>
      </c>
      <c r="BO854" s="1">
        <f t="shared" si="1184"/>
        <v>1</v>
      </c>
    </row>
    <row r="855" spans="1:67" ht="30.95" customHeight="1">
      <c r="A855" s="1">
        <f>23</f>
        <v>23</v>
      </c>
      <c r="B855" s="1">
        <f>固定流程!A27</f>
        <v>22</v>
      </c>
      <c r="C855" s="1">
        <f>26</f>
        <v>26</v>
      </c>
      <c r="D855" s="1">
        <f>1</f>
        <v>1</v>
      </c>
      <c r="E855" s="1">
        <f>固定流程!C27</f>
        <v>3</v>
      </c>
      <c r="F855" s="1">
        <f>固定流程!G27</f>
        <v>3</v>
      </c>
      <c r="G855" s="1" t="str">
        <f>固定流程!H27</f>
        <v>RHI_BERRY</v>
      </c>
      <c r="H855" s="1">
        <f>固定流程!F27</f>
        <v>1</v>
      </c>
      <c r="I855" s="1">
        <f>INDEX(配置与结果!$B$15:$B$18,F855)</f>
        <v>2597</v>
      </c>
      <c r="J855" s="1">
        <f>INDEX(配置与结果!$D$15:$D$18,F855)</f>
        <v>0.255</v>
      </c>
      <c r="K855" s="1">
        <f>INDEX(配置与结果!$E$15:$E$18,F855)</f>
        <v>1.55</v>
      </c>
      <c r="L855" s="1">
        <f t="shared" si="1203"/>
        <v>2</v>
      </c>
      <c r="M855" s="1">
        <f t="shared" si="1204"/>
        <v>10</v>
      </c>
      <c r="N855" s="1">
        <f t="shared" si="1205"/>
        <v>2</v>
      </c>
      <c r="O855" s="1">
        <f t="shared" si="1197"/>
        <v>0</v>
      </c>
      <c r="P855" s="1">
        <f>MIN(方案参数!$AI$26,AZ854+0+0)</f>
        <v>5</v>
      </c>
      <c r="Q855" s="1">
        <f t="shared" si="1167"/>
        <v>5</v>
      </c>
      <c r="R855" s="1">
        <f t="shared" si="1168"/>
        <v>20</v>
      </c>
      <c r="S855" s="1">
        <f t="shared" si="1169"/>
        <v>3</v>
      </c>
      <c r="T855" s="1">
        <f t="shared" si="1212"/>
        <v>1</v>
      </c>
      <c r="U855" s="1">
        <f t="shared" si="1171"/>
        <v>0</v>
      </c>
      <c r="V855" s="1">
        <f t="shared" si="1172"/>
        <v>3</v>
      </c>
      <c r="W855" s="1">
        <f t="shared" si="1173"/>
        <v>1</v>
      </c>
      <c r="X855" s="1">
        <f t="shared" si="1174"/>
        <v>1</v>
      </c>
      <c r="Y855" s="1">
        <f t="shared" si="1175"/>
        <v>1</v>
      </c>
      <c r="Z855" s="1">
        <f t="shared" si="1176"/>
        <v>1</v>
      </c>
      <c r="AA855" s="1">
        <f t="shared" si="1208"/>
        <v>1</v>
      </c>
      <c r="AB855" s="1">
        <f t="shared" si="1178"/>
        <v>1</v>
      </c>
      <c r="AC855" s="1">
        <f t="shared" si="1213"/>
        <v>1</v>
      </c>
      <c r="AD855" s="1">
        <f>ROUNDDOWN(I855*(1+IF(F855=3,0.05+方案参数!$Y$26+AA855*0.12,IF(F855=4,方案参数!$BZ$26*方案参数!$AS$26,0)))+IF(AND(X855=1,F855&lt;&gt;3),方案参数!$CC$26,0)+AC855*方案参数!$CB$26,0)</f>
        <v>3798</v>
      </c>
      <c r="AE855" s="1">
        <f>IF(OR(F855=1,F855=4),配置与结果!$B$24,配置与结果!$B$25)*MAX(0,1-INDEX(配置与结果!$I$15:$I$18,F855))</f>
        <v>1000</v>
      </c>
      <c r="AF855" s="1">
        <f>方案参数!$CF$26+P855*方案参数!$CG$26</f>
        <v>22.5</v>
      </c>
      <c r="AG855" s="1">
        <f>MAX(配置与结果!$B$32,1+INDEX(配置与结果!$F$15:$F$18,F855)+0+Q855*方案参数!$W$26+Y855*(方案参数!$AN$26+MIN(方案参数!$AO$26,P855*0.03))+AB855*方案参数!$BZ$26*0.025-配置与结果!$B$28)</f>
        <v>2.16</v>
      </c>
      <c r="AH855" s="1">
        <f>MAX(0,1+INDEX(配置与结果!$G$15:$G$18,F855)+W855*方案参数!$AG$26)</f>
        <v>1.3</v>
      </c>
      <c r="AI855" s="1">
        <f>IF(OR(INDEX(配置与结果!$K$15:$K$18,F855)=1,G855="RHI_BERRY"),1+配置与结果!$B$33+P855*方案参数!$AH$26,1)</f>
        <v>1.5</v>
      </c>
      <c r="AJ855" s="1">
        <f>MIN(1,MAX(0,J855+方案参数!$AB$26-配置与结果!$B$27))</f>
        <v>0.55499999999999994</v>
      </c>
      <c r="AK855" s="1">
        <f>MAX(1,K855+IF(F855=2,0.15+方案参数!$CH$26,0)+BN855*方案参数!$X$26+R855*方案参数!$AA$26+0-配置与结果!$B$26+Z855*(方案参数!$AP$26+MIN(方案参数!$AQ$26,P855*0.03)))</f>
        <v>1.6900000000000002</v>
      </c>
      <c r="AL855" s="7">
        <f>ROUNDDOWN(MAX(AD855*配置与结果!$B$31,AD855-AE855)*AF855*AG855*AH855*AI855,0)</f>
        <v>265166</v>
      </c>
      <c r="AM855" s="7">
        <f>ROUNDDOWN(MAX(AD855*配置与结果!$B$31,AD855-AE855)*AF855*AG855*AH855*AI855*AK855,0)</f>
        <v>448131</v>
      </c>
      <c r="AN855" s="7">
        <f t="shared" si="1188"/>
        <v>366711.57499999995</v>
      </c>
      <c r="AO855" s="7">
        <f>0</f>
        <v>0</v>
      </c>
      <c r="AP855" s="7">
        <f>MAX(0,1+INDEX(配置与结果!$J$15:$J$18,F855)+IF(T855&gt;0,方案参数!$BY$26,0)-配置与结果!$B$30)</f>
        <v>2</v>
      </c>
      <c r="AQ855" s="7">
        <f t="shared" si="1189"/>
        <v>0</v>
      </c>
      <c r="AR855" s="7">
        <f t="shared" si="1190"/>
        <v>0</v>
      </c>
      <c r="AS855" s="7">
        <f t="shared" si="1191"/>
        <v>0</v>
      </c>
      <c r="AT855" s="7">
        <f>0</f>
        <v>0</v>
      </c>
      <c r="AU855" s="7">
        <f t="shared" si="1192"/>
        <v>366711.57499999995</v>
      </c>
      <c r="AV855" s="1">
        <f t="shared" si="1193"/>
        <v>2</v>
      </c>
      <c r="AW855" s="1">
        <f t="shared" ref="AW855:AW871" si="1218">MIN(10,M855+0+0)</f>
        <v>10</v>
      </c>
      <c r="AX855" s="1">
        <f t="shared" si="1194"/>
        <v>2</v>
      </c>
      <c r="AY855" s="1">
        <f>MIN(20,MAX(0,O855+0+0-0))</f>
        <v>0</v>
      </c>
      <c r="AZ855" s="1">
        <f t="shared" si="1195"/>
        <v>5</v>
      </c>
      <c r="BA855" s="1">
        <f t="shared" si="1209"/>
        <v>5</v>
      </c>
      <c r="BB855" s="1">
        <f t="shared" si="1217"/>
        <v>20</v>
      </c>
      <c r="BC855" s="1">
        <f t="shared" si="1215"/>
        <v>3</v>
      </c>
      <c r="BD855" s="1">
        <f t="shared" si="1196"/>
        <v>1</v>
      </c>
      <c r="BE855" s="1">
        <f t="shared" si="1181"/>
        <v>0</v>
      </c>
      <c r="BF855" s="1">
        <f>MIN(4,V855+0)</f>
        <v>3</v>
      </c>
      <c r="BG855" s="1">
        <f t="shared" si="1206"/>
        <v>1</v>
      </c>
      <c r="BH855" s="1">
        <f t="shared" si="1182"/>
        <v>1</v>
      </c>
      <c r="BI855" s="1">
        <f t="shared" si="1207"/>
        <v>1</v>
      </c>
      <c r="BJ855" s="1">
        <f t="shared" si="1210"/>
        <v>1</v>
      </c>
      <c r="BK855" s="1">
        <f t="shared" si="1211"/>
        <v>1</v>
      </c>
      <c r="BL855" s="1">
        <f t="shared" si="1216"/>
        <v>1</v>
      </c>
      <c r="BM855" s="1">
        <f t="shared" si="1214"/>
        <v>1</v>
      </c>
      <c r="BN855" s="1">
        <f t="shared" si="1183"/>
        <v>1</v>
      </c>
      <c r="BO855" s="1">
        <f t="shared" si="1184"/>
        <v>1</v>
      </c>
    </row>
    <row r="856" spans="1:67" ht="30.95" customHeight="1">
      <c r="A856" s="1">
        <f>23</f>
        <v>23</v>
      </c>
      <c r="B856" s="1">
        <f>固定流程!A28</f>
        <v>23</v>
      </c>
      <c r="C856" s="1">
        <f>26</f>
        <v>26</v>
      </c>
      <c r="D856" s="1">
        <f>1</f>
        <v>1</v>
      </c>
      <c r="E856" s="1">
        <f>固定流程!C28</f>
        <v>3</v>
      </c>
      <c r="F856" s="1">
        <f>固定流程!G28</f>
        <v>2</v>
      </c>
      <c r="G856" s="1" t="str">
        <f>固定流程!H28</f>
        <v>37_FOLLOW</v>
      </c>
      <c r="H856" s="1">
        <f>固定流程!F28</f>
        <v>1</v>
      </c>
      <c r="I856" s="1">
        <f>INDEX(配置与结果!$B$15:$B$18,F856)</f>
        <v>2306</v>
      </c>
      <c r="J856" s="1">
        <f>INDEX(配置与结果!$D$15:$D$18,F856)</f>
        <v>0.46</v>
      </c>
      <c r="K856" s="1">
        <f>INDEX(配置与结果!$E$15:$E$18,F856)</f>
        <v>1.9279999999999999</v>
      </c>
      <c r="L856" s="1">
        <f t="shared" si="1203"/>
        <v>2</v>
      </c>
      <c r="M856" s="1">
        <f t="shared" si="1204"/>
        <v>10</v>
      </c>
      <c r="N856" s="1">
        <f t="shared" si="1205"/>
        <v>2</v>
      </c>
      <c r="O856" s="1">
        <f t="shared" si="1197"/>
        <v>0</v>
      </c>
      <c r="P856" s="1">
        <f>MIN(方案参数!$AI$26,AZ855+0+0)</f>
        <v>5</v>
      </c>
      <c r="Q856" s="1">
        <f t="shared" si="1167"/>
        <v>5</v>
      </c>
      <c r="R856" s="1">
        <f t="shared" si="1168"/>
        <v>20</v>
      </c>
      <c r="S856" s="1">
        <f t="shared" si="1169"/>
        <v>3</v>
      </c>
      <c r="T856" s="1">
        <f t="shared" si="1212"/>
        <v>1</v>
      </c>
      <c r="U856" s="1">
        <f t="shared" si="1171"/>
        <v>0</v>
      </c>
      <c r="V856" s="1">
        <f t="shared" si="1172"/>
        <v>3</v>
      </c>
      <c r="W856" s="1">
        <f t="shared" si="1173"/>
        <v>1</v>
      </c>
      <c r="X856" s="1">
        <f t="shared" si="1174"/>
        <v>1</v>
      </c>
      <c r="Y856" s="1">
        <f t="shared" si="1175"/>
        <v>1</v>
      </c>
      <c r="Z856" s="1">
        <f t="shared" si="1176"/>
        <v>1</v>
      </c>
      <c r="AA856" s="1">
        <f t="shared" si="1208"/>
        <v>1</v>
      </c>
      <c r="AB856" s="1">
        <f t="shared" si="1178"/>
        <v>1</v>
      </c>
      <c r="AC856" s="1">
        <f t="shared" si="1213"/>
        <v>1</v>
      </c>
      <c r="AD856" s="1">
        <f>ROUNDDOWN(I856*(1+IF(F856=3,0.05+方案参数!$Y$26+AA856*0.12,IF(F856=4,方案参数!$BZ$26*方案参数!$AS$26,0)))+IF(AND(X856=1,F856&lt;&gt;3),方案参数!$CC$26,0)+AC856*方案参数!$CB$26,0)</f>
        <v>3044</v>
      </c>
      <c r="AE856" s="1">
        <f>IF(OR(F856=1,F856=4),配置与结果!$B$24,配置与结果!$B$25)*MAX(0,1-INDEX(配置与结果!$I$15:$I$18,F856))</f>
        <v>1000</v>
      </c>
      <c r="AF856" s="1">
        <f>方案参数!$BV$26</f>
        <v>3</v>
      </c>
      <c r="AG856" s="1">
        <f>MAX(配置与结果!$B$32,1+INDEX(配置与结果!$F$15:$F$18,F856)+0+Q856*方案参数!$W$26+Y856*(方案参数!$AN$26+MIN(方案参数!$AO$26,P856*0.03))+AB856*方案参数!$BZ$26*0.025-配置与结果!$B$28)</f>
        <v>2.1300000000000003</v>
      </c>
      <c r="AH856" s="1">
        <f>MAX(0,1+INDEX(配置与结果!$G$15:$G$18,F856)+W856*方案参数!$AG$26)</f>
        <v>1.3</v>
      </c>
      <c r="AI856" s="1">
        <f>IF(OR(INDEX(配置与结果!$K$15:$K$18,F856)=1,G856="RHI_BERRY"),1+配置与结果!$B$33+P856*方案参数!$AH$26,1)</f>
        <v>1</v>
      </c>
      <c r="AJ856" s="1">
        <f>MIN(1,MAX(0,J856+方案参数!$AB$26-配置与结果!$B$27))</f>
        <v>0.76</v>
      </c>
      <c r="AK856" s="1">
        <f>MAX(1,K856+IF(F856=2,0.15+方案参数!$CH$26,0)+BN856*方案参数!$X$26+R856*方案参数!$AA$26+0-配置与结果!$B$26+Z856*(方案参数!$AP$26+MIN(方案参数!$AQ$26,P856*0.03)))</f>
        <v>2.3380000000000001</v>
      </c>
      <c r="AL856" s="7">
        <f>ROUNDDOWN(MAX(AD856*配置与结果!$B$31,AD856-AE856)*AF856*AG856*AH856*AI856,0)</f>
        <v>16979</v>
      </c>
      <c r="AM856" s="7">
        <f>ROUNDDOWN(MAX(AD856*配置与结果!$B$31,AD856-AE856)*AF856*AG856*AH856*AI856*AK856,0)</f>
        <v>39698</v>
      </c>
      <c r="AN856" s="7">
        <f t="shared" si="1188"/>
        <v>34245.440000000002</v>
      </c>
      <c r="AO856" s="7">
        <f>方案参数!$BW$26</f>
        <v>1</v>
      </c>
      <c r="AP856" s="7">
        <f>MAX(0,1+INDEX(配置与结果!$J$15:$J$18,F856)+IF(T856&gt;0,方案参数!$BY$26,0)-配置与结果!$B$30)</f>
        <v>2</v>
      </c>
      <c r="AQ856" s="7">
        <f t="shared" si="1189"/>
        <v>6088</v>
      </c>
      <c r="AR856" s="7">
        <f t="shared" si="1190"/>
        <v>14233</v>
      </c>
      <c r="AS856" s="7">
        <f t="shared" si="1191"/>
        <v>12278.2</v>
      </c>
      <c r="AT856" s="7">
        <f>0</f>
        <v>0</v>
      </c>
      <c r="AU856" s="7">
        <f t="shared" si="1192"/>
        <v>46523.64</v>
      </c>
      <c r="AV856" s="1">
        <f t="shared" si="1193"/>
        <v>2</v>
      </c>
      <c r="AW856" s="1">
        <f t="shared" si="1218"/>
        <v>10</v>
      </c>
      <c r="AX856" s="1">
        <f t="shared" si="1194"/>
        <v>2</v>
      </c>
      <c r="AY856" s="1">
        <f>MIN(20,MAX(0,O856+0+0-0))</f>
        <v>0</v>
      </c>
      <c r="AZ856" s="1">
        <f t="shared" si="1195"/>
        <v>5</v>
      </c>
      <c r="BA856" s="1">
        <f t="shared" si="1209"/>
        <v>5</v>
      </c>
      <c r="BB856" s="1">
        <f t="shared" si="1217"/>
        <v>20</v>
      </c>
      <c r="BC856" s="1">
        <f t="shared" si="1215"/>
        <v>3</v>
      </c>
      <c r="BD856" s="1">
        <f t="shared" si="1196"/>
        <v>0</v>
      </c>
      <c r="BE856" s="1">
        <f t="shared" si="1181"/>
        <v>0</v>
      </c>
      <c r="BF856" s="1">
        <f>MIN(4,V856+1)</f>
        <v>4</v>
      </c>
      <c r="BG856" s="1">
        <f t="shared" si="1206"/>
        <v>1</v>
      </c>
      <c r="BH856" s="1">
        <f t="shared" si="1182"/>
        <v>1</v>
      </c>
      <c r="BI856" s="1">
        <f t="shared" si="1207"/>
        <v>1</v>
      </c>
      <c r="BJ856" s="1">
        <f t="shared" si="1210"/>
        <v>1</v>
      </c>
      <c r="BK856" s="1">
        <f t="shared" si="1211"/>
        <v>1</v>
      </c>
      <c r="BL856" s="1">
        <f t="shared" si="1216"/>
        <v>1</v>
      </c>
      <c r="BM856" s="1">
        <f t="shared" si="1214"/>
        <v>1</v>
      </c>
      <c r="BN856" s="1">
        <f t="shared" si="1183"/>
        <v>1</v>
      </c>
      <c r="BO856" s="1">
        <f t="shared" si="1184"/>
        <v>1</v>
      </c>
    </row>
    <row r="857" spans="1:67" ht="30.95" customHeight="1">
      <c r="A857" s="1">
        <f>23</f>
        <v>23</v>
      </c>
      <c r="B857" s="1">
        <f>固定流程!A29</f>
        <v>24</v>
      </c>
      <c r="C857" s="1">
        <f>26</f>
        <v>26</v>
      </c>
      <c r="D857" s="1">
        <f>2</f>
        <v>2</v>
      </c>
      <c r="E857" s="1">
        <f>固定流程!C29</f>
        <v>3</v>
      </c>
      <c r="F857" s="1">
        <f>固定流程!G29</f>
        <v>1</v>
      </c>
      <c r="G857" s="1" t="str">
        <f>固定流程!H29</f>
        <v>LILYA_WEAK</v>
      </c>
      <c r="H857" s="1">
        <f>固定流程!F29</f>
        <v>1</v>
      </c>
      <c r="I857" s="1">
        <f>INDEX(配置与结果!$B$15:$B$18,F857)</f>
        <v>2296</v>
      </c>
      <c r="J857" s="1">
        <f>INDEX(配置与结果!$D$15:$D$18,F857)</f>
        <v>0.7</v>
      </c>
      <c r="K857" s="1">
        <f>INDEX(配置与结果!$E$15:$E$18,F857)</f>
        <v>2.0249999999999999</v>
      </c>
      <c r="L857" s="1">
        <f t="shared" si="1203"/>
        <v>2</v>
      </c>
      <c r="M857" s="1">
        <f t="shared" si="1204"/>
        <v>10</v>
      </c>
      <c r="N857" s="1">
        <f t="shared" si="1205"/>
        <v>2</v>
      </c>
      <c r="O857" s="1">
        <f t="shared" si="1197"/>
        <v>0</v>
      </c>
      <c r="P857" s="1">
        <f>MIN(方案参数!$AI$26,AZ856+0+0)</f>
        <v>5</v>
      </c>
      <c r="Q857" s="1">
        <f t="shared" si="1167"/>
        <v>5</v>
      </c>
      <c r="R857" s="1">
        <f t="shared" si="1168"/>
        <v>20</v>
      </c>
      <c r="S857" s="1">
        <f t="shared" si="1169"/>
        <v>3</v>
      </c>
      <c r="T857" s="1">
        <f t="shared" si="1212"/>
        <v>0</v>
      </c>
      <c r="U857" s="1">
        <f t="shared" si="1171"/>
        <v>0</v>
      </c>
      <c r="V857" s="1">
        <f t="shared" si="1172"/>
        <v>4</v>
      </c>
      <c r="W857" s="1">
        <f t="shared" si="1173"/>
        <v>1</v>
      </c>
      <c r="X857" s="1">
        <f t="shared" si="1174"/>
        <v>1</v>
      </c>
      <c r="Y857" s="1">
        <f t="shared" si="1175"/>
        <v>1</v>
      </c>
      <c r="Z857" s="1">
        <f t="shared" si="1176"/>
        <v>1</v>
      </c>
      <c r="AA857" s="1">
        <f t="shared" si="1208"/>
        <v>1</v>
      </c>
      <c r="AB857" s="1">
        <f t="shared" si="1178"/>
        <v>1</v>
      </c>
      <c r="AC857" s="1">
        <f t="shared" si="1213"/>
        <v>1</v>
      </c>
      <c r="AD857" s="1">
        <f>ROUNDDOWN(I857*(1+IF(F857=3,0.05+方案参数!$Y$26+AA857*0.12,IF(F857=4,方案参数!$BZ$26*方案参数!$AS$26,0)))+IF(AND(X857=1,F857&lt;&gt;3),方案参数!$CC$26,0)+AC857*方案参数!$CB$26,0)</f>
        <v>3034</v>
      </c>
      <c r="AE857" s="1">
        <f>IF(OR(F857=1,F857=4),配置与结果!$B$24,配置与结果!$B$25)*MAX(0,1-INDEX(配置与结果!$I$15:$I$18,F857))</f>
        <v>1200</v>
      </c>
      <c r="AF857" s="1">
        <f>方案参数!$BL$26</f>
        <v>9</v>
      </c>
      <c r="AG857" s="1">
        <f>MAX(配置与结果!$B$32,1+INDEX(配置与结果!$F$15:$F$18,F857)+0.08+方案参数!$CD$26+Q857*方案参数!$W$26+Y857*(方案参数!$AN$26+MIN(方案参数!$AO$26,P857*0.03))+AB857*方案参数!$BZ$26*0.025-配置与结果!$B$28+方案参数!$AE$26)</f>
        <v>2.8650000000000002</v>
      </c>
      <c r="AH857" s="1">
        <f>MAX(0,1+V857*方案参数!$U$26+0*方案参数!$V$26+方案参数!$AE$26-配置与结果!$B$29)</f>
        <v>1.56</v>
      </c>
      <c r="AI857" s="1">
        <f>IF(OR(INDEX(配置与结果!$K$15:$K$18,F857)=1,G857="RHI_BERRY"),1+配置与结果!$B$33+P857*方案参数!$AH$26,1)</f>
        <v>1</v>
      </c>
      <c r="AJ857" s="1">
        <f>MIN(1,MAX(0,J857+方案参数!$AB$26-配置与结果!$B$27))</f>
        <v>1</v>
      </c>
      <c r="AK857" s="1">
        <f>MAX(1,K857+IF(F857=2,0.15+方案参数!$CH$26,0)+BN857*方案参数!$X$26+R857*方案参数!$AA$26+方案参数!$BP$26-配置与结果!$B$26+Z857*(方案参数!$AP$26+MIN(方案参数!$AQ$26,P857*0.03)))</f>
        <v>2.7650000000000001</v>
      </c>
      <c r="AL857" s="7">
        <f>ROUNDDOWN(MAX(AD857*配置与结果!$B$31,AD857-AE857)*AF857*AG857*AH857*AI857,0)</f>
        <v>73771</v>
      </c>
      <c r="AM857" s="7">
        <f>ROUNDDOWN(MAX(AD857*配置与结果!$B$31,AD857-AE857)*AF857*AG857*AH857*AI857*AK857,0)</f>
        <v>203979</v>
      </c>
      <c r="AN857" s="7">
        <f t="shared" si="1188"/>
        <v>203979</v>
      </c>
      <c r="AO857" s="7">
        <f>0</f>
        <v>0</v>
      </c>
      <c r="AP857" s="7">
        <f>MAX(0,1+INDEX(配置与结果!$J$15:$J$18,F857)+IF(T857&gt;0,方案参数!$BY$26,0)-配置与结果!$B$30)</f>
        <v>1</v>
      </c>
      <c r="AQ857" s="7">
        <f t="shared" si="1189"/>
        <v>0</v>
      </c>
      <c r="AR857" s="7">
        <f t="shared" si="1190"/>
        <v>0</v>
      </c>
      <c r="AS857" s="7">
        <f t="shared" si="1191"/>
        <v>0</v>
      </c>
      <c r="AT857" s="7">
        <f>IF(U857&gt;0,ROUNDDOWN(AL857*方案参数!$AF$26,0)*(1-AJ857)+ROUNDDOWN(AM857*方案参数!$AF$26,0)*AJ857,0)</f>
        <v>0</v>
      </c>
      <c r="AU857" s="7">
        <f t="shared" si="1192"/>
        <v>203979</v>
      </c>
      <c r="AV857" s="1">
        <f t="shared" si="1193"/>
        <v>2</v>
      </c>
      <c r="AW857" s="1">
        <f t="shared" si="1218"/>
        <v>10</v>
      </c>
      <c r="AX857" s="1">
        <f t="shared" si="1194"/>
        <v>2</v>
      </c>
      <c r="AY857" s="1">
        <f>MIN(20,MAX(0,O857+0+1-0))</f>
        <v>1</v>
      </c>
      <c r="AZ857" s="1">
        <f t="shared" si="1195"/>
        <v>5</v>
      </c>
      <c r="BA857" s="1">
        <f t="shared" si="1209"/>
        <v>5</v>
      </c>
      <c r="BB857" s="1">
        <f t="shared" si="1217"/>
        <v>20</v>
      </c>
      <c r="BC857" s="1">
        <f t="shared" si="1215"/>
        <v>3</v>
      </c>
      <c r="BD857" s="1">
        <f t="shared" si="1196"/>
        <v>0</v>
      </c>
      <c r="BE857" s="1">
        <f>MAX(0,U857-IF(AF857&gt;0,1,0))+0</f>
        <v>0</v>
      </c>
      <c r="BF857" s="1">
        <f t="shared" ref="BF857:BF874" si="1219">MIN(4,V857+0)</f>
        <v>4</v>
      </c>
      <c r="BG857" s="1">
        <f t="shared" si="1206"/>
        <v>1</v>
      </c>
      <c r="BH857" s="1">
        <f t="shared" si="1182"/>
        <v>1</v>
      </c>
      <c r="BI857" s="1">
        <f t="shared" si="1207"/>
        <v>1</v>
      </c>
      <c r="BJ857" s="1">
        <f t="shared" si="1210"/>
        <v>1</v>
      </c>
      <c r="BK857" s="1">
        <f t="shared" si="1211"/>
        <v>1</v>
      </c>
      <c r="BL857" s="1">
        <f t="shared" si="1216"/>
        <v>1</v>
      </c>
      <c r="BM857" s="1">
        <f t="shared" si="1214"/>
        <v>1</v>
      </c>
      <c r="BN857" s="1">
        <f t="shared" si="1183"/>
        <v>1</v>
      </c>
      <c r="BO857" s="1">
        <f t="shared" si="1184"/>
        <v>1</v>
      </c>
    </row>
    <row r="858" spans="1:67" ht="30.95" customHeight="1">
      <c r="A858" s="1">
        <f>23</f>
        <v>23</v>
      </c>
      <c r="B858" s="1">
        <f>固定流程!A30</f>
        <v>25</v>
      </c>
      <c r="C858" s="1">
        <f>26</f>
        <v>26</v>
      </c>
      <c r="D858" s="1">
        <f>2</f>
        <v>2</v>
      </c>
      <c r="E858" s="1">
        <f>固定流程!C30</f>
        <v>3</v>
      </c>
      <c r="F858" s="1">
        <f>固定流程!G30</f>
        <v>1</v>
      </c>
      <c r="G858" s="1" t="str">
        <f>固定流程!H30</f>
        <v>LILYA_WEAK</v>
      </c>
      <c r="H858" s="1">
        <f>固定流程!F30</f>
        <v>1</v>
      </c>
      <c r="I858" s="1">
        <f>INDEX(配置与结果!$B$15:$B$18,F858)</f>
        <v>2296</v>
      </c>
      <c r="J858" s="1">
        <f>INDEX(配置与结果!$D$15:$D$18,F858)</f>
        <v>0.7</v>
      </c>
      <c r="K858" s="1">
        <f>INDEX(配置与结果!$E$15:$E$18,F858)</f>
        <v>2.0249999999999999</v>
      </c>
      <c r="L858" s="1">
        <f t="shared" si="1203"/>
        <v>2</v>
      </c>
      <c r="M858" s="1">
        <f t="shared" si="1204"/>
        <v>10</v>
      </c>
      <c r="N858" s="1">
        <f t="shared" si="1205"/>
        <v>2</v>
      </c>
      <c r="O858" s="1">
        <f t="shared" si="1197"/>
        <v>1</v>
      </c>
      <c r="P858" s="1">
        <f>MIN(方案参数!$AI$26,AZ857+0+0)</f>
        <v>5</v>
      </c>
      <c r="Q858" s="1">
        <f t="shared" si="1167"/>
        <v>5</v>
      </c>
      <c r="R858" s="1">
        <f t="shared" si="1168"/>
        <v>20</v>
      </c>
      <c r="S858" s="1">
        <f t="shared" si="1169"/>
        <v>3</v>
      </c>
      <c r="T858" s="1">
        <f t="shared" si="1212"/>
        <v>0</v>
      </c>
      <c r="U858" s="1">
        <f t="shared" si="1171"/>
        <v>0</v>
      </c>
      <c r="V858" s="1">
        <f t="shared" si="1172"/>
        <v>4</v>
      </c>
      <c r="W858" s="1">
        <f t="shared" si="1173"/>
        <v>1</v>
      </c>
      <c r="X858" s="1">
        <f t="shared" si="1174"/>
        <v>1</v>
      </c>
      <c r="Y858" s="1">
        <f t="shared" si="1175"/>
        <v>1</v>
      </c>
      <c r="Z858" s="1">
        <f t="shared" si="1176"/>
        <v>1</v>
      </c>
      <c r="AA858" s="1">
        <f t="shared" si="1208"/>
        <v>1</v>
      </c>
      <c r="AB858" s="1">
        <f t="shared" si="1178"/>
        <v>1</v>
      </c>
      <c r="AC858" s="1">
        <f t="shared" si="1213"/>
        <v>1</v>
      </c>
      <c r="AD858" s="1">
        <f>ROUNDDOWN(I858*(1+IF(F858=3,0.05+方案参数!$Y$26+AA858*0.12,IF(F858=4,方案参数!$BZ$26*方案参数!$AS$26,0)))+IF(AND(X858=1,F858&lt;&gt;3),方案参数!$CC$26,0)+AC858*方案参数!$CB$26,0)</f>
        <v>3034</v>
      </c>
      <c r="AE858" s="1">
        <f>IF(OR(F858=1,F858=4),配置与结果!$B$24,配置与结果!$B$25)*MAX(0,1-INDEX(配置与结果!$I$15:$I$18,F858))</f>
        <v>1200</v>
      </c>
      <c r="AF858" s="1">
        <f>方案参数!$BL$26</f>
        <v>9</v>
      </c>
      <c r="AG858" s="1">
        <f>MAX(配置与结果!$B$32,1+INDEX(配置与结果!$F$15:$F$18,F858)+0.08+方案参数!$CD$26+Q858*方案参数!$W$26+Y858*(方案参数!$AN$26+MIN(方案参数!$AO$26,P858*0.03))+AB858*方案参数!$BZ$26*0.025-配置与结果!$B$28+方案参数!$AE$26)</f>
        <v>2.8650000000000002</v>
      </c>
      <c r="AH858" s="1">
        <f>MAX(0,1+V858*方案参数!$U$26+1*方案参数!$V$26+方案参数!$AE$26-配置与结果!$B$29)</f>
        <v>1.62</v>
      </c>
      <c r="AI858" s="1">
        <f>IF(OR(INDEX(配置与结果!$K$15:$K$18,F858)=1,G858="RHI_BERRY"),1+配置与结果!$B$33+P858*方案参数!$AH$26,1)</f>
        <v>1</v>
      </c>
      <c r="AJ858" s="1">
        <f>MIN(1,MAX(0,J858+方案参数!$AB$26-配置与结果!$B$27))</f>
        <v>1</v>
      </c>
      <c r="AK858" s="1">
        <f>MAX(1,K858+IF(F858=2,0.15+方案参数!$CH$26,0)+BN858*方案参数!$X$26+R858*方案参数!$AA$26+方案参数!$BP$26-配置与结果!$B$26+Z858*(方案参数!$AP$26+MIN(方案参数!$AQ$26,P858*0.03)))</f>
        <v>2.7650000000000001</v>
      </c>
      <c r="AL858" s="7">
        <f>ROUNDDOWN(MAX(AD858*配置与结果!$B$31,AD858-AE858)*AF858*AG858*AH858*AI858,0)</f>
        <v>76609</v>
      </c>
      <c r="AM858" s="7">
        <f>ROUNDDOWN(MAX(AD858*配置与结果!$B$31,AD858-AE858)*AF858*AG858*AH858*AI858*AK858,0)</f>
        <v>211824</v>
      </c>
      <c r="AN858" s="7">
        <f t="shared" si="1188"/>
        <v>211824</v>
      </c>
      <c r="AO858" s="7">
        <f>0</f>
        <v>0</v>
      </c>
      <c r="AP858" s="7">
        <f>MAX(0,1+INDEX(配置与结果!$J$15:$J$18,F858)+IF(T858&gt;0,方案参数!$BY$26,0)-配置与结果!$B$30)</f>
        <v>1</v>
      </c>
      <c r="AQ858" s="7">
        <f t="shared" si="1189"/>
        <v>0</v>
      </c>
      <c r="AR858" s="7">
        <f t="shared" si="1190"/>
        <v>0</v>
      </c>
      <c r="AS858" s="7">
        <f t="shared" si="1191"/>
        <v>0</v>
      </c>
      <c r="AT858" s="7">
        <f>IF(U858&gt;0,ROUNDDOWN(AL858*方案参数!$AF$26,0)*(1-AJ858)+ROUNDDOWN(AM858*方案参数!$AF$26,0)*AJ858,0)</f>
        <v>0</v>
      </c>
      <c r="AU858" s="7">
        <f t="shared" si="1192"/>
        <v>211824</v>
      </c>
      <c r="AV858" s="1">
        <f t="shared" si="1193"/>
        <v>2</v>
      </c>
      <c r="AW858" s="1">
        <f t="shared" si="1218"/>
        <v>10</v>
      </c>
      <c r="AX858" s="1">
        <f t="shared" si="1194"/>
        <v>2</v>
      </c>
      <c r="AY858" s="1">
        <f>MIN(20,MAX(0,O858+0+1-0))</f>
        <v>2</v>
      </c>
      <c r="AZ858" s="1">
        <f t="shared" si="1195"/>
        <v>5</v>
      </c>
      <c r="BA858" s="1">
        <f t="shared" si="1209"/>
        <v>5</v>
      </c>
      <c r="BB858" s="1">
        <f t="shared" si="1217"/>
        <v>20</v>
      </c>
      <c r="BC858" s="1">
        <f t="shared" si="1215"/>
        <v>3</v>
      </c>
      <c r="BD858" s="1">
        <f t="shared" si="1196"/>
        <v>0</v>
      </c>
      <c r="BE858" s="1">
        <f>MAX(0,U858-IF(AF858&gt;0,1,0))+0</f>
        <v>0</v>
      </c>
      <c r="BF858" s="1">
        <f t="shared" si="1219"/>
        <v>4</v>
      </c>
      <c r="BG858" s="1">
        <f t="shared" si="1206"/>
        <v>1</v>
      </c>
      <c r="BH858" s="1">
        <f t="shared" si="1182"/>
        <v>1</v>
      </c>
      <c r="BI858" s="1">
        <f t="shared" si="1207"/>
        <v>1</v>
      </c>
      <c r="BJ858" s="1">
        <f t="shared" si="1210"/>
        <v>1</v>
      </c>
      <c r="BK858" s="1">
        <f t="shared" si="1211"/>
        <v>1</v>
      </c>
      <c r="BL858" s="1">
        <f t="shared" si="1216"/>
        <v>1</v>
      </c>
      <c r="BM858" s="1">
        <f t="shared" si="1214"/>
        <v>1</v>
      </c>
      <c r="BN858" s="1">
        <f t="shared" si="1183"/>
        <v>1</v>
      </c>
      <c r="BO858" s="1">
        <f t="shared" si="1184"/>
        <v>1</v>
      </c>
    </row>
    <row r="859" spans="1:67" ht="30.95" customHeight="1">
      <c r="A859" s="1">
        <f>23</f>
        <v>23</v>
      </c>
      <c r="B859" s="1">
        <f>固定流程!A31</f>
        <v>26</v>
      </c>
      <c r="C859" s="1">
        <f>26</f>
        <v>26</v>
      </c>
      <c r="D859" s="1">
        <f>2</f>
        <v>2</v>
      </c>
      <c r="E859" s="1">
        <f>固定流程!C31</f>
        <v>3</v>
      </c>
      <c r="F859" s="1">
        <f>固定流程!G31</f>
        <v>2</v>
      </c>
      <c r="G859" s="1" t="str">
        <f>固定流程!H31</f>
        <v>37_WEAK</v>
      </c>
      <c r="H859" s="1">
        <f>固定流程!F31</f>
        <v>1</v>
      </c>
      <c r="I859" s="1">
        <f>INDEX(配置与结果!$B$15:$B$18,F859)</f>
        <v>2306</v>
      </c>
      <c r="J859" s="1">
        <f>INDEX(配置与结果!$D$15:$D$18,F859)</f>
        <v>0.46</v>
      </c>
      <c r="K859" s="1">
        <f>INDEX(配置与结果!$E$15:$E$18,F859)</f>
        <v>1.9279999999999999</v>
      </c>
      <c r="L859" s="1">
        <f t="shared" si="1203"/>
        <v>2</v>
      </c>
      <c r="M859" s="1">
        <f t="shared" si="1204"/>
        <v>10</v>
      </c>
      <c r="N859" s="1">
        <f t="shared" si="1205"/>
        <v>2</v>
      </c>
      <c r="O859" s="1">
        <f t="shared" si="1197"/>
        <v>2</v>
      </c>
      <c r="P859" s="1">
        <f>MIN(方案参数!$AI$26,AZ858+0+0)</f>
        <v>5</v>
      </c>
      <c r="Q859" s="1">
        <f t="shared" si="1167"/>
        <v>5</v>
      </c>
      <c r="R859" s="1">
        <f t="shared" si="1168"/>
        <v>20</v>
      </c>
      <c r="S859" s="1">
        <f t="shared" si="1169"/>
        <v>3</v>
      </c>
      <c r="T859" s="1">
        <f t="shared" si="1212"/>
        <v>0</v>
      </c>
      <c r="U859" s="1">
        <f t="shared" si="1171"/>
        <v>0</v>
      </c>
      <c r="V859" s="1">
        <f t="shared" si="1172"/>
        <v>4</v>
      </c>
      <c r="W859" s="1">
        <f t="shared" si="1173"/>
        <v>1</v>
      </c>
      <c r="X859" s="1">
        <f t="shared" si="1174"/>
        <v>1</v>
      </c>
      <c r="Y859" s="1">
        <f t="shared" si="1175"/>
        <v>1</v>
      </c>
      <c r="Z859" s="1">
        <f t="shared" si="1176"/>
        <v>1</v>
      </c>
      <c r="AA859" s="1">
        <f t="shared" si="1208"/>
        <v>1</v>
      </c>
      <c r="AB859" s="1">
        <f t="shared" si="1178"/>
        <v>1</v>
      </c>
      <c r="AC859" s="1">
        <f t="shared" si="1213"/>
        <v>1</v>
      </c>
      <c r="AD859" s="1">
        <f>ROUNDDOWN(I859*(1+IF(F859=3,0.05+方案参数!$Y$26+AA859*0.12,IF(F859=4,方案参数!$BZ$26*方案参数!$AS$26,0)))+IF(AND(X859=1,F859&lt;&gt;3),方案参数!$CC$26,0)+AC859*方案参数!$CB$26,0)</f>
        <v>3044</v>
      </c>
      <c r="AE859" s="1">
        <f>IF(OR(F859=1,F859=4),配置与结果!$B$24,配置与结果!$B$25)*MAX(0,1-INDEX(配置与结果!$I$15:$I$18,F859))</f>
        <v>1000</v>
      </c>
      <c r="AF859" s="1">
        <f>方案参数!$CE$26</f>
        <v>8</v>
      </c>
      <c r="AG859" s="1">
        <f>MAX(配置与结果!$B$32,1+INDEX(配置与结果!$F$15:$F$18,F859)+0+Q859*方案参数!$W$26+Y859*(方案参数!$AN$26+MIN(方案参数!$AO$26,P859*0.03))+AB859*方案参数!$BZ$26*0.025-配置与结果!$B$28+方案参数!$AE$26)</f>
        <v>2.5300000000000002</v>
      </c>
      <c r="AH859" s="1">
        <f>MAX(0,1+V859*方案参数!$U$26+方案参数!$AE$26-配置与结果!$B$29)</f>
        <v>1.56</v>
      </c>
      <c r="AI859" s="1">
        <f>IF(OR(INDEX(配置与结果!$K$15:$K$18,F859)=1,G859="RHI_BERRY"),1+配置与结果!$B$33+P859*方案参数!$AH$26,1)</f>
        <v>1</v>
      </c>
      <c r="AJ859" s="1">
        <f>MIN(1,MAX(0,J859+方案参数!$AB$26-配置与结果!$B$27))</f>
        <v>0.76</v>
      </c>
      <c r="AK859" s="1">
        <f>MAX(1,K859+IF(F859=2,0.15+方案参数!$CH$26,0)+BN859*方案参数!$X$26+R859*方案参数!$AA$26+0-配置与结果!$B$26+Z859*(方案参数!$AP$26+MIN(方案参数!$AQ$26,P859*0.03)))</f>
        <v>2.3380000000000001</v>
      </c>
      <c r="AL859" s="7">
        <f>ROUNDDOWN(MAX(AD859*配置与结果!$B$31,AD859-AE859)*AF859*AG859*AH859*AI859,0)</f>
        <v>64538</v>
      </c>
      <c r="AM859" s="7">
        <f>ROUNDDOWN(MAX(AD859*配置与结果!$B$31,AD859-AE859)*AF859*AG859*AH859*AI859*AK859,0)</f>
        <v>150890</v>
      </c>
      <c r="AN859" s="7">
        <f t="shared" si="1188"/>
        <v>130165.51999999999</v>
      </c>
      <c r="AO859" s="7">
        <f>0</f>
        <v>0</v>
      </c>
      <c r="AP859" s="7">
        <f>MAX(0,1+INDEX(配置与结果!$J$15:$J$18,F859)+IF(T859&gt;0,方案参数!$BY$26,0)-配置与结果!$B$30)</f>
        <v>1</v>
      </c>
      <c r="AQ859" s="7">
        <f t="shared" si="1189"/>
        <v>0</v>
      </c>
      <c r="AR859" s="7">
        <f t="shared" si="1190"/>
        <v>0</v>
      </c>
      <c r="AS859" s="7">
        <f t="shared" si="1191"/>
        <v>0</v>
      </c>
      <c r="AT859" s="7">
        <f>IF(U859&gt;0,ROUNDDOWN(AL859*方案参数!$AF$26,0)*(1-AJ859)+ROUNDDOWN(AM859*方案参数!$AF$26,0)*AJ859,0)</f>
        <v>0</v>
      </c>
      <c r="AU859" s="7">
        <f t="shared" si="1192"/>
        <v>130165.51999999999</v>
      </c>
      <c r="AV859" s="1">
        <f t="shared" si="1193"/>
        <v>2</v>
      </c>
      <c r="AW859" s="1">
        <f t="shared" si="1218"/>
        <v>10</v>
      </c>
      <c r="AX859" s="1">
        <f t="shared" si="1194"/>
        <v>2</v>
      </c>
      <c r="AY859" s="1">
        <f>MIN(20,MAX(0,O859+0+0-0))</f>
        <v>2</v>
      </c>
      <c r="AZ859" s="1">
        <f t="shared" si="1195"/>
        <v>5</v>
      </c>
      <c r="BA859" s="1">
        <f t="shared" si="1209"/>
        <v>5</v>
      </c>
      <c r="BB859" s="1">
        <f t="shared" si="1217"/>
        <v>20</v>
      </c>
      <c r="BC859" s="1">
        <f t="shared" si="1215"/>
        <v>3</v>
      </c>
      <c r="BD859" s="1">
        <f t="shared" si="1196"/>
        <v>0</v>
      </c>
      <c r="BE859" s="1">
        <f>MAX(0,U859-IF(AF859&gt;0,1,0))+1</f>
        <v>1</v>
      </c>
      <c r="BF859" s="1">
        <f t="shared" si="1219"/>
        <v>4</v>
      </c>
      <c r="BG859" s="1">
        <f t="shared" si="1206"/>
        <v>1</v>
      </c>
      <c r="BH859" s="1">
        <f t="shared" si="1182"/>
        <v>1</v>
      </c>
      <c r="BI859" s="1">
        <f t="shared" si="1207"/>
        <v>1</v>
      </c>
      <c r="BJ859" s="1">
        <f t="shared" si="1210"/>
        <v>1</v>
      </c>
      <c r="BK859" s="1">
        <f t="shared" si="1211"/>
        <v>1</v>
      </c>
      <c r="BL859" s="1">
        <f t="shared" si="1216"/>
        <v>1</v>
      </c>
      <c r="BM859" s="1">
        <f t="shared" si="1214"/>
        <v>1</v>
      </c>
      <c r="BN859" s="1">
        <f t="shared" si="1183"/>
        <v>1</v>
      </c>
      <c r="BO859" s="1">
        <f t="shared" si="1184"/>
        <v>1</v>
      </c>
    </row>
    <row r="860" spans="1:67" ht="30.95" customHeight="1">
      <c r="A860" s="1">
        <f>23</f>
        <v>23</v>
      </c>
      <c r="B860" s="1">
        <f>固定流程!A32</f>
        <v>27</v>
      </c>
      <c r="C860" s="1">
        <f>26</f>
        <v>26</v>
      </c>
      <c r="D860" s="1">
        <f>2</f>
        <v>2</v>
      </c>
      <c r="E860" s="1">
        <f>固定流程!C32</f>
        <v>3</v>
      </c>
      <c r="F860" s="1">
        <f>固定流程!G32</f>
        <v>1</v>
      </c>
      <c r="G860" s="1" t="str">
        <f>固定流程!H32</f>
        <v>LILYA_THIRD</v>
      </c>
      <c r="H860" s="1">
        <f>固定流程!F32</f>
        <v>1</v>
      </c>
      <c r="I860" s="1">
        <f>INDEX(配置与结果!$B$15:$B$18,F860)</f>
        <v>2296</v>
      </c>
      <c r="J860" s="1">
        <f>INDEX(配置与结果!$D$15:$D$18,F860)</f>
        <v>0.7</v>
      </c>
      <c r="K860" s="1">
        <f>INDEX(配置与结果!$E$15:$E$18,F860)</f>
        <v>2.0249999999999999</v>
      </c>
      <c r="L860" s="1">
        <f t="shared" si="1203"/>
        <v>2</v>
      </c>
      <c r="M860" s="1">
        <f t="shared" si="1204"/>
        <v>10</v>
      </c>
      <c r="N860" s="1">
        <f t="shared" si="1205"/>
        <v>2</v>
      </c>
      <c r="O860" s="1">
        <f t="shared" si="1197"/>
        <v>2</v>
      </c>
      <c r="P860" s="1">
        <f>MIN(方案参数!$AI$26,AZ859+0+0)</f>
        <v>5</v>
      </c>
      <c r="Q860" s="1">
        <f t="shared" si="1167"/>
        <v>5</v>
      </c>
      <c r="R860" s="1">
        <f t="shared" si="1168"/>
        <v>20</v>
      </c>
      <c r="S860" s="1">
        <f t="shared" si="1169"/>
        <v>3</v>
      </c>
      <c r="T860" s="1">
        <f t="shared" si="1212"/>
        <v>0</v>
      </c>
      <c r="U860" s="1">
        <f t="shared" si="1171"/>
        <v>1</v>
      </c>
      <c r="V860" s="1">
        <f t="shared" si="1172"/>
        <v>4</v>
      </c>
      <c r="W860" s="1">
        <f t="shared" si="1173"/>
        <v>1</v>
      </c>
      <c r="X860" s="1">
        <f t="shared" si="1174"/>
        <v>1</v>
      </c>
      <c r="Y860" s="1">
        <f t="shared" si="1175"/>
        <v>1</v>
      </c>
      <c r="Z860" s="1">
        <f t="shared" si="1176"/>
        <v>1</v>
      </c>
      <c r="AA860" s="1">
        <f t="shared" si="1208"/>
        <v>1</v>
      </c>
      <c r="AB860" s="1">
        <f t="shared" si="1178"/>
        <v>1</v>
      </c>
      <c r="AC860" s="1">
        <f t="shared" si="1213"/>
        <v>1</v>
      </c>
      <c r="AD860" s="1">
        <f>ROUNDDOWN(I860*(1+IF(F860=3,0.05+方案参数!$Y$26+AA860*0.12,IF(F860=4,方案参数!$BZ$26*方案参数!$AS$26,0)))+IF(AND(X860=1,F860&lt;&gt;3),方案参数!$CC$26,0)+AC860*方案参数!$CB$26,0)</f>
        <v>3034</v>
      </c>
      <c r="AE860" s="1">
        <f>IF(OR(F860=1,F860=4),配置与结果!$B$24,配置与结果!$B$25)*MAX(0,1-INDEX(配置与结果!$I$15:$I$18,F860))</f>
        <v>1200</v>
      </c>
      <c r="AF860" s="1">
        <f>方案参数!$BM$26</f>
        <v>20</v>
      </c>
      <c r="AG860" s="1">
        <f>MAX(配置与结果!$B$32,1+INDEX(配置与结果!$F$15:$F$18,F860)+0.08+方案参数!$CD$26+Q860*方案参数!$W$26+Y860*(方案参数!$AN$26+MIN(方案参数!$AO$26,P860*0.03))+AB860*方案参数!$BZ$26*0.025-配置与结果!$B$28+方案参数!$AE$26)</f>
        <v>2.8650000000000002</v>
      </c>
      <c r="AH860" s="1">
        <f>MAX(0,1+V860*方案参数!$U$26+3*方案参数!$V$26+方案参数!$AE$26-配置与结果!$B$29)</f>
        <v>1.7399999999999998</v>
      </c>
      <c r="AI860" s="1">
        <f>IF(OR(INDEX(配置与结果!$K$15:$K$18,F860)=1,G860="RHI_BERRY"),1+配置与结果!$B$33+P860*方案参数!$AH$26,1)</f>
        <v>1</v>
      </c>
      <c r="AJ860" s="1">
        <f>MIN(1,MAX(0,J860+方案参数!$AB$26-配置与结果!$B$27))</f>
        <v>1</v>
      </c>
      <c r="AK860" s="1">
        <f>MAX(1,K860+IF(F860=2,0.15+方案参数!$CH$26,0)+BN860*方案参数!$X$26+R860*方案参数!$AA$26+方案参数!$BQ$26-配置与结果!$B$26+Z860*(方案参数!$AP$26+MIN(方案参数!$AQ$26,P860*0.03)))</f>
        <v>2.9650000000000003</v>
      </c>
      <c r="AL860" s="7">
        <f>ROUNDDOWN(MAX(AD860*配置与结果!$B$31,AD860-AE860)*AF860*AG860*AH860*AI860,0)</f>
        <v>182853</v>
      </c>
      <c r="AM860" s="7">
        <f>ROUNDDOWN(MAX(AD860*配置与结果!$B$31,AD860-AE860)*AF860*AG860*AH860*AI860*AK860,0)</f>
        <v>542160</v>
      </c>
      <c r="AN860" s="7">
        <f t="shared" si="1188"/>
        <v>542160</v>
      </c>
      <c r="AO860" s="7">
        <f>0</f>
        <v>0</v>
      </c>
      <c r="AP860" s="7">
        <f>MAX(0,1+INDEX(配置与结果!$J$15:$J$18,F860)+IF(T860&gt;0,方案参数!$BY$26,0)-配置与结果!$B$30)</f>
        <v>1</v>
      </c>
      <c r="AQ860" s="7">
        <f t="shared" si="1189"/>
        <v>0</v>
      </c>
      <c r="AR860" s="7">
        <f t="shared" si="1190"/>
        <v>0</v>
      </c>
      <c r="AS860" s="7">
        <f t="shared" si="1191"/>
        <v>0</v>
      </c>
      <c r="AT860" s="7">
        <f>IF(U860&gt;0,ROUNDDOWN(AL860*方案参数!$AF$26,0)*(1-AJ860)+ROUNDDOWN(AM860*方案参数!$AF$26,0)*AJ860,0)</f>
        <v>216864</v>
      </c>
      <c r="AU860" s="7">
        <f t="shared" si="1192"/>
        <v>759024</v>
      </c>
      <c r="AV860" s="1">
        <f t="shared" si="1193"/>
        <v>2</v>
      </c>
      <c r="AW860" s="1">
        <f t="shared" si="1218"/>
        <v>10</v>
      </c>
      <c r="AX860" s="1">
        <f t="shared" si="1194"/>
        <v>2</v>
      </c>
      <c r="AY860" s="1">
        <f>MIN(20,MAX(0,O860+0+1-0))</f>
        <v>3</v>
      </c>
      <c r="AZ860" s="1">
        <f t="shared" si="1195"/>
        <v>5</v>
      </c>
      <c r="BA860" s="1">
        <f t="shared" si="1209"/>
        <v>5</v>
      </c>
      <c r="BB860" s="1">
        <f t="shared" si="1217"/>
        <v>20</v>
      </c>
      <c r="BC860" s="1">
        <f t="shared" si="1215"/>
        <v>3</v>
      </c>
      <c r="BD860" s="1">
        <f t="shared" si="1196"/>
        <v>0</v>
      </c>
      <c r="BE860" s="1">
        <f>MAX(0,U860-IF(AF860&gt;0,1,0))+0</f>
        <v>0</v>
      </c>
      <c r="BF860" s="1">
        <f t="shared" si="1219"/>
        <v>4</v>
      </c>
      <c r="BG860" s="1">
        <f t="shared" si="1206"/>
        <v>1</v>
      </c>
      <c r="BH860" s="1">
        <f t="shared" si="1182"/>
        <v>1</v>
      </c>
      <c r="BI860" s="1">
        <f t="shared" si="1207"/>
        <v>1</v>
      </c>
      <c r="BJ860" s="1">
        <f t="shared" si="1210"/>
        <v>1</v>
      </c>
      <c r="BK860" s="1">
        <f t="shared" si="1211"/>
        <v>1</v>
      </c>
      <c r="BL860" s="1">
        <f t="shared" si="1216"/>
        <v>1</v>
      </c>
      <c r="BM860" s="1">
        <f t="shared" si="1214"/>
        <v>1</v>
      </c>
      <c r="BN860" s="1">
        <f t="shared" si="1183"/>
        <v>1</v>
      </c>
      <c r="BO860" s="1">
        <f t="shared" si="1184"/>
        <v>1</v>
      </c>
    </row>
    <row r="861" spans="1:67" ht="30.95" customHeight="1">
      <c r="A861" s="1">
        <f>23</f>
        <v>23</v>
      </c>
      <c r="B861" s="1">
        <f>固定流程!A33</f>
        <v>28</v>
      </c>
      <c r="C861" s="1">
        <f>26</f>
        <v>26</v>
      </c>
      <c r="D861" s="1">
        <f>2</f>
        <v>2</v>
      </c>
      <c r="E861" s="1">
        <f>固定流程!C33</f>
        <v>3</v>
      </c>
      <c r="F861" s="1">
        <f>固定流程!G33</f>
        <v>1</v>
      </c>
      <c r="G861" s="1" t="str">
        <f>固定流程!H33</f>
        <v>LILYA_WEAK</v>
      </c>
      <c r="H861" s="1">
        <f>固定流程!F33</f>
        <v>1</v>
      </c>
      <c r="I861" s="1">
        <f>INDEX(配置与结果!$B$15:$B$18,F861)</f>
        <v>2296</v>
      </c>
      <c r="J861" s="1">
        <f>INDEX(配置与结果!$D$15:$D$18,F861)</f>
        <v>0.7</v>
      </c>
      <c r="K861" s="1">
        <f>INDEX(配置与结果!$E$15:$E$18,F861)</f>
        <v>2.0249999999999999</v>
      </c>
      <c r="L861" s="1">
        <f t="shared" si="1203"/>
        <v>2</v>
      </c>
      <c r="M861" s="1">
        <f t="shared" si="1204"/>
        <v>10</v>
      </c>
      <c r="N861" s="1">
        <f t="shared" si="1205"/>
        <v>2</v>
      </c>
      <c r="O861" s="1">
        <f t="shared" si="1197"/>
        <v>3</v>
      </c>
      <c r="P861" s="1">
        <f>MIN(方案参数!$AI$26,AZ860+0+0)</f>
        <v>5</v>
      </c>
      <c r="Q861" s="1">
        <f t="shared" si="1167"/>
        <v>5</v>
      </c>
      <c r="R861" s="1">
        <f t="shared" si="1168"/>
        <v>20</v>
      </c>
      <c r="S861" s="1">
        <f t="shared" si="1169"/>
        <v>3</v>
      </c>
      <c r="T861" s="1">
        <f t="shared" si="1212"/>
        <v>0</v>
      </c>
      <c r="U861" s="1">
        <f t="shared" si="1171"/>
        <v>0</v>
      </c>
      <c r="V861" s="1">
        <f t="shared" si="1172"/>
        <v>4</v>
      </c>
      <c r="W861" s="1">
        <f t="shared" si="1173"/>
        <v>1</v>
      </c>
      <c r="X861" s="1">
        <f t="shared" si="1174"/>
        <v>1</v>
      </c>
      <c r="Y861" s="1">
        <f t="shared" si="1175"/>
        <v>1</v>
      </c>
      <c r="Z861" s="1">
        <f t="shared" si="1176"/>
        <v>1</v>
      </c>
      <c r="AA861" s="1">
        <f t="shared" si="1208"/>
        <v>1</v>
      </c>
      <c r="AB861" s="1">
        <f t="shared" si="1178"/>
        <v>1</v>
      </c>
      <c r="AC861" s="1">
        <f t="shared" si="1213"/>
        <v>1</v>
      </c>
      <c r="AD861" s="1">
        <f>ROUNDDOWN(I861*(1+IF(F861=3,0.05+方案参数!$Y$26+AA861*0.12,IF(F861=4,方案参数!$BZ$26*方案参数!$AS$26,0)))+IF(AND(X861=1,F861&lt;&gt;3),方案参数!$CC$26,0)+AC861*方案参数!$CB$26,0)</f>
        <v>3034</v>
      </c>
      <c r="AE861" s="1">
        <f>IF(OR(F861=1,F861=4),配置与结果!$B$24,配置与结果!$B$25)*MAX(0,1-INDEX(配置与结果!$I$15:$I$18,F861))</f>
        <v>1200</v>
      </c>
      <c r="AF861" s="1">
        <f>方案参数!$BL$26</f>
        <v>9</v>
      </c>
      <c r="AG861" s="1">
        <f>MAX(配置与结果!$B$32,1+INDEX(配置与结果!$F$15:$F$18,F861)+0.08+方案参数!$CD$26+Q861*方案参数!$W$26+Y861*(方案参数!$AN$26+MIN(方案参数!$AO$26,P861*0.03))+AB861*方案参数!$BZ$26*0.025-配置与结果!$B$28+方案参数!$AE$26)</f>
        <v>2.8650000000000002</v>
      </c>
      <c r="AH861" s="1">
        <f>MAX(0,1+V861*方案参数!$U$26+4*方案参数!$V$26+方案参数!$AE$26-配置与结果!$B$29)</f>
        <v>1.7999999999999998</v>
      </c>
      <c r="AI861" s="1">
        <f>IF(OR(INDEX(配置与结果!$K$15:$K$18,F861)=1,G861="RHI_BERRY"),1+配置与结果!$B$33+P861*方案参数!$AH$26,1)</f>
        <v>1</v>
      </c>
      <c r="AJ861" s="1">
        <f>MIN(1,MAX(0,J861+方案参数!$AB$26-配置与结果!$B$27))</f>
        <v>1</v>
      </c>
      <c r="AK861" s="1">
        <f>MAX(1,K861+IF(F861=2,0.15+方案参数!$CH$26,0)+BN861*方案参数!$X$26+R861*方案参数!$AA$26+方案参数!$BP$26-配置与结果!$B$26+Z861*(方案参数!$AP$26+MIN(方案参数!$AQ$26,P861*0.03)))</f>
        <v>2.7650000000000001</v>
      </c>
      <c r="AL861" s="7">
        <f>ROUNDDOWN(MAX(AD861*配置与结果!$B$31,AD861-AE861)*AF861*AG861*AH861*AI861,0)</f>
        <v>85121</v>
      </c>
      <c r="AM861" s="7">
        <f>ROUNDDOWN(MAX(AD861*配置与结果!$B$31,AD861-AE861)*AF861*AG861*AH861*AI861*AK861,0)</f>
        <v>235360</v>
      </c>
      <c r="AN861" s="7">
        <f t="shared" si="1188"/>
        <v>235360</v>
      </c>
      <c r="AO861" s="7">
        <f>0</f>
        <v>0</v>
      </c>
      <c r="AP861" s="7">
        <f>MAX(0,1+INDEX(配置与结果!$J$15:$J$18,F861)+IF(T861&gt;0,方案参数!$BY$26,0)-配置与结果!$B$30)</f>
        <v>1</v>
      </c>
      <c r="AQ861" s="7">
        <f t="shared" si="1189"/>
        <v>0</v>
      </c>
      <c r="AR861" s="7">
        <f t="shared" si="1190"/>
        <v>0</v>
      </c>
      <c r="AS861" s="7">
        <f t="shared" si="1191"/>
        <v>0</v>
      </c>
      <c r="AT861" s="7">
        <f>IF(U861&gt;0,ROUNDDOWN(AL861*方案参数!$AF$26,0)*(1-AJ861)+ROUNDDOWN(AM861*方案参数!$AF$26,0)*AJ861,0)</f>
        <v>0</v>
      </c>
      <c r="AU861" s="7">
        <f t="shared" si="1192"/>
        <v>235360</v>
      </c>
      <c r="AV861" s="1">
        <f t="shared" si="1193"/>
        <v>2</v>
      </c>
      <c r="AW861" s="1">
        <f t="shared" si="1218"/>
        <v>10</v>
      </c>
      <c r="AX861" s="1">
        <f t="shared" si="1194"/>
        <v>2</v>
      </c>
      <c r="AY861" s="1">
        <f>MIN(20,MAX(0,O861+0+1-0))</f>
        <v>4</v>
      </c>
      <c r="AZ861" s="1">
        <f t="shared" si="1195"/>
        <v>5</v>
      </c>
      <c r="BA861" s="1">
        <f t="shared" si="1209"/>
        <v>5</v>
      </c>
      <c r="BB861" s="1">
        <f t="shared" si="1217"/>
        <v>20</v>
      </c>
      <c r="BC861" s="1">
        <f t="shared" si="1215"/>
        <v>3</v>
      </c>
      <c r="BD861" s="1">
        <f t="shared" si="1196"/>
        <v>0</v>
      </c>
      <c r="BE861" s="1">
        <f>MAX(0,U861-IF(AF861&gt;0,1,0))+0</f>
        <v>0</v>
      </c>
      <c r="BF861" s="1">
        <f t="shared" si="1219"/>
        <v>4</v>
      </c>
      <c r="BG861" s="1">
        <f t="shared" si="1206"/>
        <v>1</v>
      </c>
      <c r="BH861" s="1">
        <f t="shared" si="1182"/>
        <v>1</v>
      </c>
      <c r="BI861" s="1">
        <f t="shared" si="1207"/>
        <v>1</v>
      </c>
      <c r="BJ861" s="1">
        <f t="shared" si="1210"/>
        <v>1</v>
      </c>
      <c r="BK861" s="1">
        <f t="shared" si="1211"/>
        <v>1</v>
      </c>
      <c r="BL861" s="1">
        <f t="shared" si="1216"/>
        <v>1</v>
      </c>
      <c r="BM861" s="1">
        <f t="shared" si="1214"/>
        <v>1</v>
      </c>
      <c r="BN861" s="1">
        <f t="shared" si="1183"/>
        <v>1</v>
      </c>
      <c r="BO861" s="1">
        <f t="shared" si="1184"/>
        <v>1</v>
      </c>
    </row>
    <row r="862" spans="1:67" ht="30.95" customHeight="1">
      <c r="A862" s="1">
        <f>23</f>
        <v>23</v>
      </c>
      <c r="B862" s="1">
        <f>固定流程!A34</f>
        <v>29</v>
      </c>
      <c r="C862" s="1">
        <f>26</f>
        <v>26</v>
      </c>
      <c r="D862" s="1">
        <f>2</f>
        <v>2</v>
      </c>
      <c r="E862" s="1">
        <f>固定流程!C34</f>
        <v>3</v>
      </c>
      <c r="F862" s="1">
        <f>固定流程!G34</f>
        <v>1</v>
      </c>
      <c r="G862" s="1" t="str">
        <f>固定流程!H34</f>
        <v>LILYA_WEAK</v>
      </c>
      <c r="H862" s="1">
        <f>固定流程!F34</f>
        <v>1</v>
      </c>
      <c r="I862" s="1">
        <f>INDEX(配置与结果!$B$15:$B$18,F862)</f>
        <v>2296</v>
      </c>
      <c r="J862" s="1">
        <f>INDEX(配置与结果!$D$15:$D$18,F862)</f>
        <v>0.7</v>
      </c>
      <c r="K862" s="1">
        <f>INDEX(配置与结果!$E$15:$E$18,F862)</f>
        <v>2.0249999999999999</v>
      </c>
      <c r="L862" s="1">
        <f t="shared" si="1203"/>
        <v>2</v>
      </c>
      <c r="M862" s="1">
        <f t="shared" si="1204"/>
        <v>10</v>
      </c>
      <c r="N862" s="1">
        <f t="shared" si="1205"/>
        <v>2</v>
      </c>
      <c r="O862" s="1">
        <f t="shared" si="1197"/>
        <v>4</v>
      </c>
      <c r="P862" s="1">
        <f>MIN(方案参数!$AI$26,AZ861+0+0)</f>
        <v>5</v>
      </c>
      <c r="Q862" s="1">
        <f t="shared" si="1167"/>
        <v>5</v>
      </c>
      <c r="R862" s="1">
        <f t="shared" si="1168"/>
        <v>20</v>
      </c>
      <c r="S862" s="1">
        <f t="shared" si="1169"/>
        <v>3</v>
      </c>
      <c r="T862" s="1">
        <f t="shared" si="1212"/>
        <v>0</v>
      </c>
      <c r="U862" s="1">
        <f t="shared" si="1171"/>
        <v>0</v>
      </c>
      <c r="V862" s="1">
        <f t="shared" si="1172"/>
        <v>4</v>
      </c>
      <c r="W862" s="1">
        <f t="shared" si="1173"/>
        <v>1</v>
      </c>
      <c r="X862" s="1">
        <f t="shared" si="1174"/>
        <v>1</v>
      </c>
      <c r="Y862" s="1">
        <f t="shared" si="1175"/>
        <v>1</v>
      </c>
      <c r="Z862" s="1">
        <f t="shared" si="1176"/>
        <v>1</v>
      </c>
      <c r="AA862" s="1">
        <f t="shared" si="1208"/>
        <v>1</v>
      </c>
      <c r="AB862" s="1">
        <f t="shared" si="1178"/>
        <v>1</v>
      </c>
      <c r="AC862" s="1">
        <f t="shared" si="1213"/>
        <v>1</v>
      </c>
      <c r="AD862" s="1">
        <f>ROUNDDOWN(I862*(1+IF(F862=3,0.05+方案参数!$Y$26+AA862*0.12,IF(F862=4,方案参数!$BZ$26*方案参数!$AS$26,0)))+IF(AND(X862=1,F862&lt;&gt;3),方案参数!$CC$26,0)+AC862*方案参数!$CB$26,0)</f>
        <v>3034</v>
      </c>
      <c r="AE862" s="1">
        <f>IF(OR(F862=1,F862=4),配置与结果!$B$24,配置与结果!$B$25)*MAX(0,1-INDEX(配置与结果!$I$15:$I$18,F862))</f>
        <v>1200</v>
      </c>
      <c r="AF862" s="1">
        <f>方案参数!$BL$26</f>
        <v>9</v>
      </c>
      <c r="AG862" s="1">
        <f>MAX(配置与结果!$B$32,1+INDEX(配置与结果!$F$15:$F$18,F862)+0.08+方案参数!$CD$26+Q862*方案参数!$W$26+Y862*(方案参数!$AN$26+MIN(方案参数!$AO$26,P862*0.03))+AB862*方案参数!$BZ$26*0.025-配置与结果!$B$28+方案参数!$AE$26)</f>
        <v>2.8650000000000002</v>
      </c>
      <c r="AH862" s="1">
        <f>MAX(0,1+V862*方案参数!$U$26+5*方案参数!$V$26+方案参数!$AE$26-配置与结果!$B$29)</f>
        <v>1.8599999999999999</v>
      </c>
      <c r="AI862" s="1">
        <f>IF(OR(INDEX(配置与结果!$K$15:$K$18,F862)=1,G862="RHI_BERRY"),1+配置与结果!$B$33+P862*方案参数!$AH$26,1)</f>
        <v>1</v>
      </c>
      <c r="AJ862" s="1">
        <f>MIN(1,MAX(0,J862+方案参数!$AB$26-配置与结果!$B$27))</f>
        <v>1</v>
      </c>
      <c r="AK862" s="1">
        <f>MAX(1,K862+IF(F862=2,0.15+方案参数!$CH$26,0)+BN862*方案参数!$X$26+R862*方案参数!$AA$26+方案参数!$BP$26-配置与结果!$B$26+Z862*(方案参数!$AP$26+MIN(方案参数!$AQ$26,P862*0.03)))</f>
        <v>2.7650000000000001</v>
      </c>
      <c r="AL862" s="7">
        <f>ROUNDDOWN(MAX(AD862*配置与结果!$B$31,AD862-AE862)*AF862*AG862*AH862*AI862,0)</f>
        <v>87958</v>
      </c>
      <c r="AM862" s="7">
        <f>ROUNDDOWN(MAX(AD862*配置与结果!$B$31,AD862-AE862)*AF862*AG862*AH862*AI862*AK862,0)</f>
        <v>243206</v>
      </c>
      <c r="AN862" s="7">
        <f t="shared" si="1188"/>
        <v>243206</v>
      </c>
      <c r="AO862" s="7">
        <f>0</f>
        <v>0</v>
      </c>
      <c r="AP862" s="7">
        <f>MAX(0,1+INDEX(配置与结果!$J$15:$J$18,F862)+IF(T862&gt;0,方案参数!$BY$26,0)-配置与结果!$B$30)</f>
        <v>1</v>
      </c>
      <c r="AQ862" s="7">
        <f t="shared" si="1189"/>
        <v>0</v>
      </c>
      <c r="AR862" s="7">
        <f t="shared" si="1190"/>
        <v>0</v>
      </c>
      <c r="AS862" s="7">
        <f t="shared" si="1191"/>
        <v>0</v>
      </c>
      <c r="AT862" s="7">
        <f>IF(U862&gt;0,ROUNDDOWN(AL862*方案参数!$AF$26,0)*(1-AJ862)+ROUNDDOWN(AM862*方案参数!$AF$26,0)*AJ862,0)</f>
        <v>0</v>
      </c>
      <c r="AU862" s="7">
        <f t="shared" si="1192"/>
        <v>243206</v>
      </c>
      <c r="AV862" s="1">
        <f t="shared" si="1193"/>
        <v>2</v>
      </c>
      <c r="AW862" s="1">
        <f t="shared" si="1218"/>
        <v>10</v>
      </c>
      <c r="AX862" s="1">
        <f t="shared" si="1194"/>
        <v>2</v>
      </c>
      <c r="AY862" s="1">
        <f>MIN(20,MAX(0,O862+0+1-0))</f>
        <v>5</v>
      </c>
      <c r="AZ862" s="1">
        <f t="shared" si="1195"/>
        <v>5</v>
      </c>
      <c r="BA862" s="1">
        <f t="shared" si="1209"/>
        <v>5</v>
      </c>
      <c r="BB862" s="1">
        <f t="shared" si="1217"/>
        <v>20</v>
      </c>
      <c r="BC862" s="1">
        <f t="shared" si="1215"/>
        <v>3</v>
      </c>
      <c r="BD862" s="1">
        <f t="shared" si="1196"/>
        <v>0</v>
      </c>
      <c r="BE862" s="1">
        <f>MAX(0,U862-IF(AF862&gt;0,1,0))+0</f>
        <v>0</v>
      </c>
      <c r="BF862" s="1">
        <f t="shared" si="1219"/>
        <v>4</v>
      </c>
      <c r="BG862" s="1">
        <f t="shared" si="1206"/>
        <v>1</v>
      </c>
      <c r="BH862" s="1">
        <f t="shared" si="1182"/>
        <v>1</v>
      </c>
      <c r="BI862" s="1">
        <f t="shared" si="1207"/>
        <v>1</v>
      </c>
      <c r="BJ862" s="1">
        <f t="shared" si="1210"/>
        <v>1</v>
      </c>
      <c r="BK862" s="1">
        <f t="shared" si="1211"/>
        <v>1</v>
      </c>
      <c r="BL862" s="1">
        <f t="shared" si="1216"/>
        <v>1</v>
      </c>
      <c r="BM862" s="1">
        <f t="shared" si="1214"/>
        <v>1</v>
      </c>
      <c r="BN862" s="1">
        <f t="shared" si="1183"/>
        <v>1</v>
      </c>
      <c r="BO862" s="1">
        <f t="shared" si="1184"/>
        <v>1</v>
      </c>
    </row>
    <row r="863" spans="1:67" ht="30.95" customHeight="1">
      <c r="A863" s="1">
        <f>23</f>
        <v>23</v>
      </c>
      <c r="B863" s="1">
        <f>固定流程!A35</f>
        <v>30</v>
      </c>
      <c r="C863" s="1">
        <f>26</f>
        <v>26</v>
      </c>
      <c r="D863" s="1">
        <f>2</f>
        <v>2</v>
      </c>
      <c r="E863" s="1">
        <f>固定流程!C35</f>
        <v>3</v>
      </c>
      <c r="F863" s="1">
        <f>固定流程!G35</f>
        <v>2</v>
      </c>
      <c r="G863" s="1" t="str">
        <f>固定流程!H35</f>
        <v>37_WEAK</v>
      </c>
      <c r="H863" s="1">
        <f>固定流程!F35</f>
        <v>1</v>
      </c>
      <c r="I863" s="1">
        <f>INDEX(配置与结果!$B$15:$B$18,F863)</f>
        <v>2306</v>
      </c>
      <c r="J863" s="1">
        <f>INDEX(配置与结果!$D$15:$D$18,F863)</f>
        <v>0.46</v>
      </c>
      <c r="K863" s="1">
        <f>INDEX(配置与结果!$E$15:$E$18,F863)</f>
        <v>1.9279999999999999</v>
      </c>
      <c r="L863" s="1">
        <f t="shared" si="1203"/>
        <v>2</v>
      </c>
      <c r="M863" s="1">
        <f t="shared" si="1204"/>
        <v>10</v>
      </c>
      <c r="N863" s="1">
        <f t="shared" si="1205"/>
        <v>2</v>
      </c>
      <c r="O863" s="1">
        <f t="shared" si="1197"/>
        <v>5</v>
      </c>
      <c r="P863" s="1">
        <f>MIN(方案参数!$AI$26,AZ862+0+0)</f>
        <v>5</v>
      </c>
      <c r="Q863" s="1">
        <f t="shared" si="1167"/>
        <v>5</v>
      </c>
      <c r="R863" s="1">
        <f t="shared" si="1168"/>
        <v>20</v>
      </c>
      <c r="S863" s="1">
        <f t="shared" si="1169"/>
        <v>3</v>
      </c>
      <c r="T863" s="1">
        <f t="shared" si="1212"/>
        <v>0</v>
      </c>
      <c r="U863" s="1">
        <f t="shared" si="1171"/>
        <v>0</v>
      </c>
      <c r="V863" s="1">
        <f t="shared" si="1172"/>
        <v>4</v>
      </c>
      <c r="W863" s="1">
        <f t="shared" si="1173"/>
        <v>1</v>
      </c>
      <c r="X863" s="1">
        <f t="shared" si="1174"/>
        <v>1</v>
      </c>
      <c r="Y863" s="1">
        <f t="shared" si="1175"/>
        <v>1</v>
      </c>
      <c r="Z863" s="1">
        <f t="shared" si="1176"/>
        <v>1</v>
      </c>
      <c r="AA863" s="1">
        <f t="shared" si="1208"/>
        <v>1</v>
      </c>
      <c r="AB863" s="1">
        <f t="shared" si="1178"/>
        <v>1</v>
      </c>
      <c r="AC863" s="1">
        <f t="shared" si="1213"/>
        <v>1</v>
      </c>
      <c r="AD863" s="1">
        <f>ROUNDDOWN(I863*(1+IF(F863=3,0.05+方案参数!$Y$26+AA863*0.12,IF(F863=4,方案参数!$BZ$26*方案参数!$AS$26,0)))+IF(AND(X863=1,F863&lt;&gt;3),方案参数!$CC$26,0)+AC863*方案参数!$CB$26,0)</f>
        <v>3044</v>
      </c>
      <c r="AE863" s="1">
        <f>IF(OR(F863=1,F863=4),配置与结果!$B$24,配置与结果!$B$25)*MAX(0,1-INDEX(配置与结果!$I$15:$I$18,F863))</f>
        <v>1000</v>
      </c>
      <c r="AF863" s="1">
        <f>方案参数!$CE$26</f>
        <v>8</v>
      </c>
      <c r="AG863" s="1">
        <f>MAX(配置与结果!$B$32,1+INDEX(配置与结果!$F$15:$F$18,F863)+0+Q863*方案参数!$W$26+Y863*(方案参数!$AN$26+MIN(方案参数!$AO$26,P863*0.03))+AB863*方案参数!$BZ$26*0.025-配置与结果!$B$28+方案参数!$AE$26)</f>
        <v>2.5300000000000002</v>
      </c>
      <c r="AH863" s="1">
        <f>MAX(0,1+V863*方案参数!$U$26+方案参数!$AE$26-配置与结果!$B$29)</f>
        <v>1.56</v>
      </c>
      <c r="AI863" s="1">
        <f>IF(OR(INDEX(配置与结果!$K$15:$K$18,F863)=1,G863="RHI_BERRY"),1+配置与结果!$B$33+P863*方案参数!$AH$26,1)</f>
        <v>1</v>
      </c>
      <c r="AJ863" s="1">
        <f>MIN(1,MAX(0,J863+方案参数!$AB$26-配置与结果!$B$27))</f>
        <v>0.76</v>
      </c>
      <c r="AK863" s="1">
        <f>MAX(1,K863+IF(F863=2,0.15+方案参数!$CH$26,0)+BN863*方案参数!$X$26+R863*方案参数!$AA$26+0-配置与结果!$B$26+Z863*(方案参数!$AP$26+MIN(方案参数!$AQ$26,P863*0.03)))</f>
        <v>2.3380000000000001</v>
      </c>
      <c r="AL863" s="7">
        <f>ROUNDDOWN(MAX(AD863*配置与结果!$B$31,AD863-AE863)*AF863*AG863*AH863*AI863,0)</f>
        <v>64538</v>
      </c>
      <c r="AM863" s="7">
        <f>ROUNDDOWN(MAX(AD863*配置与结果!$B$31,AD863-AE863)*AF863*AG863*AH863*AI863*AK863,0)</f>
        <v>150890</v>
      </c>
      <c r="AN863" s="7">
        <f t="shared" si="1188"/>
        <v>130165.51999999999</v>
      </c>
      <c r="AO863" s="7">
        <f>0</f>
        <v>0</v>
      </c>
      <c r="AP863" s="7">
        <f>MAX(0,1+INDEX(配置与结果!$J$15:$J$18,F863)+IF(T863&gt;0,方案参数!$BY$26,0)-配置与结果!$B$30)</f>
        <v>1</v>
      </c>
      <c r="AQ863" s="7">
        <f t="shared" si="1189"/>
        <v>0</v>
      </c>
      <c r="AR863" s="7">
        <f t="shared" si="1190"/>
        <v>0</v>
      </c>
      <c r="AS863" s="7">
        <f t="shared" si="1191"/>
        <v>0</v>
      </c>
      <c r="AT863" s="7">
        <f>IF(U863&gt;0,ROUNDDOWN(AL863*方案参数!$AF$26,0)*(1-AJ863)+ROUNDDOWN(AM863*方案参数!$AF$26,0)*AJ863,0)</f>
        <v>0</v>
      </c>
      <c r="AU863" s="7">
        <f t="shared" si="1192"/>
        <v>130165.51999999999</v>
      </c>
      <c r="AV863" s="1">
        <f t="shared" si="1193"/>
        <v>2</v>
      </c>
      <c r="AW863" s="1">
        <f t="shared" si="1218"/>
        <v>10</v>
      </c>
      <c r="AX863" s="1">
        <f t="shared" si="1194"/>
        <v>2</v>
      </c>
      <c r="AY863" s="1">
        <f>MIN(20,MAX(0,O863+0+0-0))</f>
        <v>5</v>
      </c>
      <c r="AZ863" s="1">
        <f t="shared" si="1195"/>
        <v>5</v>
      </c>
      <c r="BA863" s="1">
        <f t="shared" si="1209"/>
        <v>5</v>
      </c>
      <c r="BB863" s="1">
        <f t="shared" si="1217"/>
        <v>20</v>
      </c>
      <c r="BC863" s="1">
        <f t="shared" si="1215"/>
        <v>3</v>
      </c>
      <c r="BD863" s="1">
        <f t="shared" si="1196"/>
        <v>0</v>
      </c>
      <c r="BE863" s="1">
        <f>MAX(0,U863-IF(AF863&gt;0,1,0))+1</f>
        <v>1</v>
      </c>
      <c r="BF863" s="1">
        <f t="shared" si="1219"/>
        <v>4</v>
      </c>
      <c r="BG863" s="1">
        <f t="shared" si="1206"/>
        <v>1</v>
      </c>
      <c r="BH863" s="1">
        <f t="shared" si="1182"/>
        <v>1</v>
      </c>
      <c r="BI863" s="1">
        <f t="shared" si="1207"/>
        <v>1</v>
      </c>
      <c r="BJ863" s="1">
        <f t="shared" si="1210"/>
        <v>1</v>
      </c>
      <c r="BK863" s="1">
        <f t="shared" si="1211"/>
        <v>1</v>
      </c>
      <c r="BL863" s="1">
        <f t="shared" si="1216"/>
        <v>1</v>
      </c>
      <c r="BM863" s="1">
        <f t="shared" si="1214"/>
        <v>1</v>
      </c>
      <c r="BN863" s="1">
        <f t="shared" si="1183"/>
        <v>1</v>
      </c>
      <c r="BO863" s="1">
        <f t="shared" si="1184"/>
        <v>1</v>
      </c>
    </row>
    <row r="864" spans="1:67" ht="30.95" customHeight="1">
      <c r="A864" s="1">
        <f>23</f>
        <v>23</v>
      </c>
      <c r="B864" s="1">
        <f>固定流程!A36</f>
        <v>31</v>
      </c>
      <c r="C864" s="1">
        <f>26</f>
        <v>26</v>
      </c>
      <c r="D864" s="1">
        <f>2</f>
        <v>2</v>
      </c>
      <c r="E864" s="1">
        <f>固定流程!C36</f>
        <v>3</v>
      </c>
      <c r="F864" s="1">
        <f>固定流程!G36</f>
        <v>1</v>
      </c>
      <c r="G864" s="1" t="str">
        <f>固定流程!H36</f>
        <v>LILYA_THIRD</v>
      </c>
      <c r="H864" s="1">
        <f>固定流程!F36</f>
        <v>1</v>
      </c>
      <c r="I864" s="1">
        <f>INDEX(配置与结果!$B$15:$B$18,F864)</f>
        <v>2296</v>
      </c>
      <c r="J864" s="1">
        <f>INDEX(配置与结果!$D$15:$D$18,F864)</f>
        <v>0.7</v>
      </c>
      <c r="K864" s="1">
        <f>INDEX(配置与结果!$E$15:$E$18,F864)</f>
        <v>2.0249999999999999</v>
      </c>
      <c r="L864" s="1">
        <f t="shared" si="1203"/>
        <v>2</v>
      </c>
      <c r="M864" s="1">
        <f t="shared" si="1204"/>
        <v>10</v>
      </c>
      <c r="N864" s="1">
        <f t="shared" si="1205"/>
        <v>2</v>
      </c>
      <c r="O864" s="1">
        <f t="shared" si="1197"/>
        <v>5</v>
      </c>
      <c r="P864" s="1">
        <f>MIN(方案参数!$AI$26,AZ863+0+0)</f>
        <v>5</v>
      </c>
      <c r="Q864" s="1">
        <f t="shared" si="1167"/>
        <v>5</v>
      </c>
      <c r="R864" s="1">
        <f t="shared" si="1168"/>
        <v>20</v>
      </c>
      <c r="S864" s="1">
        <f t="shared" si="1169"/>
        <v>3</v>
      </c>
      <c r="T864" s="1">
        <f t="shared" si="1212"/>
        <v>0</v>
      </c>
      <c r="U864" s="1">
        <f t="shared" si="1171"/>
        <v>1</v>
      </c>
      <c r="V864" s="1">
        <f t="shared" si="1172"/>
        <v>4</v>
      </c>
      <c r="W864" s="1">
        <f t="shared" si="1173"/>
        <v>1</v>
      </c>
      <c r="X864" s="1">
        <f t="shared" si="1174"/>
        <v>1</v>
      </c>
      <c r="Y864" s="1">
        <f t="shared" si="1175"/>
        <v>1</v>
      </c>
      <c r="Z864" s="1">
        <f t="shared" si="1176"/>
        <v>1</v>
      </c>
      <c r="AA864" s="1">
        <f t="shared" si="1208"/>
        <v>1</v>
      </c>
      <c r="AB864" s="1">
        <f t="shared" si="1178"/>
        <v>1</v>
      </c>
      <c r="AC864" s="1">
        <f t="shared" si="1213"/>
        <v>1</v>
      </c>
      <c r="AD864" s="1">
        <f>ROUNDDOWN(I864*(1+IF(F864=3,0.05+方案参数!$Y$26+AA864*0.12,IF(F864=4,方案参数!$BZ$26*方案参数!$AS$26,0)))+IF(AND(X864=1,F864&lt;&gt;3),方案参数!$CC$26,0)+AC864*方案参数!$CB$26,0)</f>
        <v>3034</v>
      </c>
      <c r="AE864" s="1">
        <f>IF(OR(F864=1,F864=4),配置与结果!$B$24,配置与结果!$B$25)*MAX(0,1-INDEX(配置与结果!$I$15:$I$18,F864))</f>
        <v>1200</v>
      </c>
      <c r="AF864" s="1">
        <f>方案参数!$BM$26</f>
        <v>20</v>
      </c>
      <c r="AG864" s="1">
        <f>MAX(配置与结果!$B$32,1+INDEX(配置与结果!$F$15:$F$18,F864)+0.08+方案参数!$CD$26+Q864*方案参数!$W$26+Y864*(方案参数!$AN$26+MIN(方案参数!$AO$26,P864*0.03))+AB864*方案参数!$BZ$26*0.025-配置与结果!$B$28+方案参数!$AE$26)</f>
        <v>2.8650000000000002</v>
      </c>
      <c r="AH864" s="1">
        <f>MAX(0,1+V864*方案参数!$U$26+7*方案参数!$V$26+方案参数!$AE$26-配置与结果!$B$29)</f>
        <v>1.98</v>
      </c>
      <c r="AI864" s="1">
        <f>IF(OR(INDEX(配置与结果!$K$15:$K$18,F864)=1,G864="RHI_BERRY"),1+配置与结果!$B$33+P864*方案参数!$AH$26,1)</f>
        <v>1</v>
      </c>
      <c r="AJ864" s="1">
        <f>MIN(1,MAX(0,J864+方案参数!$AB$26-配置与结果!$B$27))</f>
        <v>1</v>
      </c>
      <c r="AK864" s="1">
        <f>MAX(1,K864+IF(F864=2,0.15+方案参数!$CH$26,0)+BN864*方案参数!$X$26+R864*方案参数!$AA$26+方案参数!$BQ$26-配置与结果!$B$26+Z864*(方案参数!$AP$26+MIN(方案参数!$AQ$26,P864*0.03)))</f>
        <v>2.9650000000000003</v>
      </c>
      <c r="AL864" s="7">
        <f>ROUNDDOWN(MAX(AD864*配置与结果!$B$31,AD864-AE864)*AF864*AG864*AH864*AI864,0)</f>
        <v>208074</v>
      </c>
      <c r="AM864" s="7">
        <f>ROUNDDOWN(MAX(AD864*配置与结果!$B$31,AD864-AE864)*AF864*AG864*AH864*AI864*AK864,0)</f>
        <v>616941</v>
      </c>
      <c r="AN864" s="7">
        <f t="shared" si="1188"/>
        <v>616941</v>
      </c>
      <c r="AO864" s="7">
        <f>0</f>
        <v>0</v>
      </c>
      <c r="AP864" s="7">
        <f>MAX(0,1+INDEX(配置与结果!$J$15:$J$18,F864)+IF(T864&gt;0,方案参数!$BY$26,0)-配置与结果!$B$30)</f>
        <v>1</v>
      </c>
      <c r="AQ864" s="7">
        <f t="shared" si="1189"/>
        <v>0</v>
      </c>
      <c r="AR864" s="7">
        <f t="shared" si="1190"/>
        <v>0</v>
      </c>
      <c r="AS864" s="7">
        <f t="shared" si="1191"/>
        <v>0</v>
      </c>
      <c r="AT864" s="7">
        <f>IF(U864&gt;0,ROUNDDOWN(AL864*方案参数!$AF$26,0)*(1-AJ864)+ROUNDDOWN(AM864*方案参数!$AF$26,0)*AJ864,0)</f>
        <v>246776</v>
      </c>
      <c r="AU864" s="7">
        <f t="shared" si="1192"/>
        <v>863717</v>
      </c>
      <c r="AV864" s="1">
        <f t="shared" si="1193"/>
        <v>2</v>
      </c>
      <c r="AW864" s="1">
        <f t="shared" si="1218"/>
        <v>10</v>
      </c>
      <c r="AX864" s="1">
        <f t="shared" si="1194"/>
        <v>2</v>
      </c>
      <c r="AY864" s="1">
        <f>MIN(20,MAX(0,O864+0+1-0))</f>
        <v>6</v>
      </c>
      <c r="AZ864" s="1">
        <f t="shared" si="1195"/>
        <v>5</v>
      </c>
      <c r="BA864" s="1">
        <f t="shared" si="1209"/>
        <v>5</v>
      </c>
      <c r="BB864" s="1">
        <f t="shared" si="1217"/>
        <v>20</v>
      </c>
      <c r="BC864" s="1">
        <f t="shared" si="1215"/>
        <v>3</v>
      </c>
      <c r="BD864" s="1">
        <f t="shared" si="1196"/>
        <v>0</v>
      </c>
      <c r="BE864" s="1">
        <f>MAX(0,U864-IF(AF864&gt;0,1,0))+0</f>
        <v>0</v>
      </c>
      <c r="BF864" s="1">
        <f t="shared" si="1219"/>
        <v>4</v>
      </c>
      <c r="BG864" s="1">
        <f t="shared" si="1206"/>
        <v>1</v>
      </c>
      <c r="BH864" s="1">
        <f t="shared" si="1182"/>
        <v>1</v>
      </c>
      <c r="BI864" s="1">
        <f t="shared" si="1207"/>
        <v>1</v>
      </c>
      <c r="BJ864" s="1">
        <f t="shared" si="1210"/>
        <v>1</v>
      </c>
      <c r="BK864" s="1">
        <f t="shared" si="1211"/>
        <v>1</v>
      </c>
      <c r="BL864" s="1">
        <f t="shared" si="1216"/>
        <v>1</v>
      </c>
      <c r="BM864" s="1">
        <f t="shared" si="1214"/>
        <v>1</v>
      </c>
      <c r="BN864" s="1">
        <f t="shared" si="1183"/>
        <v>1</v>
      </c>
      <c r="BO864" s="1">
        <f t="shared" si="1184"/>
        <v>1</v>
      </c>
    </row>
    <row r="865" spans="1:67" ht="30.95" customHeight="1">
      <c r="A865" s="1">
        <f>23</f>
        <v>23</v>
      </c>
      <c r="B865" s="1">
        <f>固定流程!A37</f>
        <v>32</v>
      </c>
      <c r="C865" s="1">
        <f>26</f>
        <v>26</v>
      </c>
      <c r="D865" s="1">
        <f>2</f>
        <v>2</v>
      </c>
      <c r="E865" s="1">
        <f>固定流程!C37</f>
        <v>3</v>
      </c>
      <c r="F865" s="1">
        <f>固定流程!G37</f>
        <v>1</v>
      </c>
      <c r="G865" s="1" t="str">
        <f>固定流程!H37</f>
        <v>LILYA_WEAK</v>
      </c>
      <c r="H865" s="1">
        <f>固定流程!F37</f>
        <v>1</v>
      </c>
      <c r="I865" s="1">
        <f>INDEX(配置与结果!$B$15:$B$18,F865)</f>
        <v>2296</v>
      </c>
      <c r="J865" s="1">
        <f>INDEX(配置与结果!$D$15:$D$18,F865)</f>
        <v>0.7</v>
      </c>
      <c r="K865" s="1">
        <f>INDEX(配置与结果!$E$15:$E$18,F865)</f>
        <v>2.0249999999999999</v>
      </c>
      <c r="L865" s="1">
        <f t="shared" si="1203"/>
        <v>2</v>
      </c>
      <c r="M865" s="1">
        <f t="shared" si="1204"/>
        <v>10</v>
      </c>
      <c r="N865" s="1">
        <f t="shared" si="1205"/>
        <v>2</v>
      </c>
      <c r="O865" s="1">
        <f t="shared" si="1197"/>
        <v>6</v>
      </c>
      <c r="P865" s="1">
        <f>MIN(方案参数!$AI$26,AZ864+0+0)</f>
        <v>5</v>
      </c>
      <c r="Q865" s="1">
        <f t="shared" si="1167"/>
        <v>5</v>
      </c>
      <c r="R865" s="1">
        <f t="shared" si="1168"/>
        <v>20</v>
      </c>
      <c r="S865" s="1">
        <f t="shared" si="1169"/>
        <v>3</v>
      </c>
      <c r="T865" s="1">
        <f t="shared" si="1212"/>
        <v>0</v>
      </c>
      <c r="U865" s="1">
        <f t="shared" si="1171"/>
        <v>0</v>
      </c>
      <c r="V865" s="1">
        <f t="shared" si="1172"/>
        <v>4</v>
      </c>
      <c r="W865" s="1">
        <f t="shared" si="1173"/>
        <v>1</v>
      </c>
      <c r="X865" s="1">
        <f t="shared" si="1174"/>
        <v>1</v>
      </c>
      <c r="Y865" s="1">
        <f t="shared" si="1175"/>
        <v>1</v>
      </c>
      <c r="Z865" s="1">
        <f t="shared" si="1176"/>
        <v>1</v>
      </c>
      <c r="AA865" s="1">
        <f t="shared" si="1208"/>
        <v>1</v>
      </c>
      <c r="AB865" s="1">
        <f t="shared" si="1178"/>
        <v>1</v>
      </c>
      <c r="AC865" s="1">
        <f t="shared" si="1213"/>
        <v>1</v>
      </c>
      <c r="AD865" s="1">
        <f>ROUNDDOWN(I865*(1+IF(F865=3,0.05+方案参数!$Y$26+AA865*0.12,IF(F865=4,方案参数!$BZ$26*方案参数!$AS$26,0)))+IF(AND(X865=1,F865&lt;&gt;3),方案参数!$CC$26,0)+AC865*方案参数!$CB$26,0)</f>
        <v>3034</v>
      </c>
      <c r="AE865" s="1">
        <f>IF(OR(F865=1,F865=4),配置与结果!$B$24,配置与结果!$B$25)*MAX(0,1-INDEX(配置与结果!$I$15:$I$18,F865))</f>
        <v>1200</v>
      </c>
      <c r="AF865" s="1">
        <f>方案参数!$BL$26</f>
        <v>9</v>
      </c>
      <c r="AG865" s="1">
        <f>MAX(配置与结果!$B$32,1+INDEX(配置与结果!$F$15:$F$18,F865)+0.08+方案参数!$CD$26+Q865*方案参数!$W$26+Y865*(方案参数!$AN$26+MIN(方案参数!$AO$26,P865*0.03))+AB865*方案参数!$BZ$26*0.025-配置与结果!$B$28+方案参数!$AE$26)</f>
        <v>2.8650000000000002</v>
      </c>
      <c r="AH865" s="1">
        <f>MAX(0,1+V865*方案参数!$U$26+8*方案参数!$V$26+方案参数!$AE$26-配置与结果!$B$29)</f>
        <v>2.04</v>
      </c>
      <c r="AI865" s="1">
        <f>IF(OR(INDEX(配置与结果!$K$15:$K$18,F865)=1,G865="RHI_BERRY"),1+配置与结果!$B$33+P865*方案参数!$AH$26,1)</f>
        <v>1</v>
      </c>
      <c r="AJ865" s="1">
        <f>MIN(1,MAX(0,J865+方案参数!$AB$26-配置与结果!$B$27))</f>
        <v>1</v>
      </c>
      <c r="AK865" s="1">
        <f>MAX(1,K865+IF(F865=2,0.15+方案参数!$CH$26,0)+BN865*方案参数!$X$26+R865*方案参数!$AA$26+方案参数!$BP$26-配置与结果!$B$26+Z865*(方案参数!$AP$26+MIN(方案参数!$AQ$26,P865*0.03)))</f>
        <v>2.7650000000000001</v>
      </c>
      <c r="AL865" s="7">
        <f>ROUNDDOWN(MAX(AD865*配置与结果!$B$31,AD865-AE865)*AF865*AG865*AH865*AI865,0)</f>
        <v>96470</v>
      </c>
      <c r="AM865" s="7">
        <f>ROUNDDOWN(MAX(AD865*配置与结果!$B$31,AD865-AE865)*AF865*AG865*AH865*AI865*AK865,0)</f>
        <v>266742</v>
      </c>
      <c r="AN865" s="7">
        <f t="shared" si="1188"/>
        <v>266742</v>
      </c>
      <c r="AO865" s="7">
        <f>0</f>
        <v>0</v>
      </c>
      <c r="AP865" s="7">
        <f>MAX(0,1+INDEX(配置与结果!$J$15:$J$18,F865)+IF(T865&gt;0,方案参数!$BY$26,0)-配置与结果!$B$30)</f>
        <v>1</v>
      </c>
      <c r="AQ865" s="7">
        <f t="shared" si="1189"/>
        <v>0</v>
      </c>
      <c r="AR865" s="7">
        <f t="shared" si="1190"/>
        <v>0</v>
      </c>
      <c r="AS865" s="7">
        <f t="shared" si="1191"/>
        <v>0</v>
      </c>
      <c r="AT865" s="7">
        <f>IF(U865&gt;0,ROUNDDOWN(AL865*方案参数!$AF$26,0)*(1-AJ865)+ROUNDDOWN(AM865*方案参数!$AF$26,0)*AJ865,0)</f>
        <v>0</v>
      </c>
      <c r="AU865" s="7">
        <f t="shared" si="1192"/>
        <v>266742</v>
      </c>
      <c r="AV865" s="1">
        <f t="shared" si="1193"/>
        <v>2</v>
      </c>
      <c r="AW865" s="1">
        <f t="shared" si="1218"/>
        <v>10</v>
      </c>
      <c r="AX865" s="1">
        <f t="shared" si="1194"/>
        <v>2</v>
      </c>
      <c r="AY865" s="1">
        <f>MIN(20,MAX(0,O865+0+1-0))</f>
        <v>7</v>
      </c>
      <c r="AZ865" s="1">
        <f t="shared" si="1195"/>
        <v>5</v>
      </c>
      <c r="BA865" s="1">
        <f t="shared" si="1209"/>
        <v>5</v>
      </c>
      <c r="BB865" s="1">
        <f t="shared" si="1217"/>
        <v>20</v>
      </c>
      <c r="BC865" s="1">
        <f t="shared" si="1215"/>
        <v>3</v>
      </c>
      <c r="BD865" s="1">
        <f t="shared" si="1196"/>
        <v>0</v>
      </c>
      <c r="BE865" s="1">
        <f>MAX(0,U865-IF(AF865&gt;0,1,0))+0</f>
        <v>0</v>
      </c>
      <c r="BF865" s="1">
        <f t="shared" si="1219"/>
        <v>4</v>
      </c>
      <c r="BG865" s="1">
        <f t="shared" si="1206"/>
        <v>1</v>
      </c>
      <c r="BH865" s="1">
        <f t="shared" si="1182"/>
        <v>1</v>
      </c>
      <c r="BI865" s="1">
        <f t="shared" si="1207"/>
        <v>1</v>
      </c>
      <c r="BJ865" s="1">
        <f t="shared" si="1210"/>
        <v>1</v>
      </c>
      <c r="BK865" s="1">
        <f t="shared" si="1211"/>
        <v>1</v>
      </c>
      <c r="BL865" s="1">
        <f t="shared" si="1216"/>
        <v>1</v>
      </c>
      <c r="BM865" s="1">
        <f t="shared" si="1214"/>
        <v>1</v>
      </c>
      <c r="BN865" s="1">
        <f t="shared" si="1183"/>
        <v>1</v>
      </c>
      <c r="BO865" s="1">
        <f t="shared" si="1184"/>
        <v>1</v>
      </c>
    </row>
    <row r="866" spans="1:67" ht="30.95" customHeight="1">
      <c r="A866" s="1">
        <f>23</f>
        <v>23</v>
      </c>
      <c r="B866" s="1">
        <f>固定流程!A38</f>
        <v>33</v>
      </c>
      <c r="C866" s="1">
        <f>26</f>
        <v>26</v>
      </c>
      <c r="D866" s="1">
        <f>2</f>
        <v>2</v>
      </c>
      <c r="E866" s="1">
        <f>固定流程!C38</f>
        <v>3</v>
      </c>
      <c r="F866" s="1">
        <f>固定流程!G38</f>
        <v>1</v>
      </c>
      <c r="G866" s="1" t="str">
        <f>固定流程!H38</f>
        <v>LILYA_WEAK</v>
      </c>
      <c r="H866" s="1">
        <f>固定流程!F38</f>
        <v>1</v>
      </c>
      <c r="I866" s="1">
        <f>INDEX(配置与结果!$B$15:$B$18,F866)</f>
        <v>2296</v>
      </c>
      <c r="J866" s="1">
        <f>INDEX(配置与结果!$D$15:$D$18,F866)</f>
        <v>0.7</v>
      </c>
      <c r="K866" s="1">
        <f>INDEX(配置与结果!$E$15:$E$18,F866)</f>
        <v>2.0249999999999999</v>
      </c>
      <c r="L866" s="1">
        <f t="shared" si="1203"/>
        <v>2</v>
      </c>
      <c r="M866" s="1">
        <f t="shared" si="1204"/>
        <v>10</v>
      </c>
      <c r="N866" s="1">
        <f t="shared" si="1205"/>
        <v>2</v>
      </c>
      <c r="O866" s="1">
        <f t="shared" si="1197"/>
        <v>7</v>
      </c>
      <c r="P866" s="1">
        <f>MIN(方案参数!$AI$26,AZ865+0+0)</f>
        <v>5</v>
      </c>
      <c r="Q866" s="1">
        <f t="shared" si="1167"/>
        <v>5</v>
      </c>
      <c r="R866" s="1">
        <f t="shared" si="1168"/>
        <v>20</v>
      </c>
      <c r="S866" s="1">
        <f t="shared" si="1169"/>
        <v>3</v>
      </c>
      <c r="T866" s="1">
        <f t="shared" si="1212"/>
        <v>0</v>
      </c>
      <c r="U866" s="1">
        <f t="shared" si="1171"/>
        <v>0</v>
      </c>
      <c r="V866" s="1">
        <f t="shared" si="1172"/>
        <v>4</v>
      </c>
      <c r="W866" s="1">
        <f t="shared" si="1173"/>
        <v>1</v>
      </c>
      <c r="X866" s="1">
        <f t="shared" si="1174"/>
        <v>1</v>
      </c>
      <c r="Y866" s="1">
        <f t="shared" si="1175"/>
        <v>1</v>
      </c>
      <c r="Z866" s="1">
        <f t="shared" si="1176"/>
        <v>1</v>
      </c>
      <c r="AA866" s="1">
        <f t="shared" si="1208"/>
        <v>1</v>
      </c>
      <c r="AB866" s="1">
        <f t="shared" si="1178"/>
        <v>1</v>
      </c>
      <c r="AC866" s="1">
        <f t="shared" si="1213"/>
        <v>1</v>
      </c>
      <c r="AD866" s="1">
        <f>ROUNDDOWN(I866*(1+IF(F866=3,0.05+方案参数!$Y$26+AA866*0.12,IF(F866=4,方案参数!$BZ$26*方案参数!$AS$26,0)))+IF(AND(X866=1,F866&lt;&gt;3),方案参数!$CC$26,0)+AC866*方案参数!$CB$26,0)</f>
        <v>3034</v>
      </c>
      <c r="AE866" s="1">
        <f>IF(OR(F866=1,F866=4),配置与结果!$B$24,配置与结果!$B$25)*MAX(0,1-INDEX(配置与结果!$I$15:$I$18,F866))</f>
        <v>1200</v>
      </c>
      <c r="AF866" s="1">
        <f>方案参数!$BL$26</f>
        <v>9</v>
      </c>
      <c r="AG866" s="1">
        <f>MAX(配置与结果!$B$32,1+INDEX(配置与结果!$F$15:$F$18,F866)+0.08+方案参数!$CD$26+Q866*方案参数!$W$26+Y866*(方案参数!$AN$26+MIN(方案参数!$AO$26,P866*0.03))+AB866*方案参数!$BZ$26*0.025-配置与结果!$B$28+方案参数!$AE$26)</f>
        <v>2.8650000000000002</v>
      </c>
      <c r="AH866" s="1">
        <f>MAX(0,1+V866*方案参数!$U$26+9*方案参数!$V$26+方案参数!$AE$26-配置与结果!$B$29)</f>
        <v>2.1</v>
      </c>
      <c r="AI866" s="1">
        <f>IF(OR(INDEX(配置与结果!$K$15:$K$18,F866)=1,G866="RHI_BERRY"),1+配置与结果!$B$33+P866*方案参数!$AH$26,1)</f>
        <v>1</v>
      </c>
      <c r="AJ866" s="1">
        <f>MIN(1,MAX(0,J866+方案参数!$AB$26-配置与结果!$B$27))</f>
        <v>1</v>
      </c>
      <c r="AK866" s="1">
        <f>MAX(1,K866+IF(F866=2,0.15+方案参数!$CH$26,0)+BN866*方案参数!$X$26+R866*方案参数!$AA$26+方案参数!$BP$26-配置与结果!$B$26+Z866*(方案参数!$AP$26+MIN(方案参数!$AQ$26,P866*0.03)))</f>
        <v>2.7650000000000001</v>
      </c>
      <c r="AL866" s="7">
        <f>ROUNDDOWN(MAX(AD866*配置与结果!$B$31,AD866-AE866)*AF866*AG866*AH866*AI866,0)</f>
        <v>99308</v>
      </c>
      <c r="AM866" s="7">
        <f>ROUNDDOWN(MAX(AD866*配置与结果!$B$31,AD866-AE866)*AF866*AG866*AH866*AI866*AK866,0)</f>
        <v>274587</v>
      </c>
      <c r="AN866" s="7">
        <f t="shared" si="1188"/>
        <v>274587</v>
      </c>
      <c r="AO866" s="7">
        <f>0</f>
        <v>0</v>
      </c>
      <c r="AP866" s="7">
        <f>MAX(0,1+INDEX(配置与结果!$J$15:$J$18,F866)+IF(T866&gt;0,方案参数!$BY$26,0)-配置与结果!$B$30)</f>
        <v>1</v>
      </c>
      <c r="AQ866" s="7">
        <f t="shared" si="1189"/>
        <v>0</v>
      </c>
      <c r="AR866" s="7">
        <f t="shared" si="1190"/>
        <v>0</v>
      </c>
      <c r="AS866" s="7">
        <f t="shared" si="1191"/>
        <v>0</v>
      </c>
      <c r="AT866" s="7">
        <f>IF(U866&gt;0,ROUNDDOWN(AL866*方案参数!$AF$26,0)*(1-AJ866)+ROUNDDOWN(AM866*方案参数!$AF$26,0)*AJ866,0)</f>
        <v>0</v>
      </c>
      <c r="AU866" s="7">
        <f t="shared" si="1192"/>
        <v>274587</v>
      </c>
      <c r="AV866" s="1">
        <f t="shared" si="1193"/>
        <v>2</v>
      </c>
      <c r="AW866" s="1">
        <f t="shared" si="1218"/>
        <v>10</v>
      </c>
      <c r="AX866" s="1">
        <f t="shared" si="1194"/>
        <v>2</v>
      </c>
      <c r="AY866" s="1">
        <f>MIN(20,MAX(0,O866+0+1-0))</f>
        <v>8</v>
      </c>
      <c r="AZ866" s="1">
        <f t="shared" si="1195"/>
        <v>5</v>
      </c>
      <c r="BA866" s="1">
        <f t="shared" si="1209"/>
        <v>5</v>
      </c>
      <c r="BB866" s="1">
        <f t="shared" si="1217"/>
        <v>20</v>
      </c>
      <c r="BC866" s="1">
        <f t="shared" si="1215"/>
        <v>3</v>
      </c>
      <c r="BD866" s="1">
        <f t="shared" si="1196"/>
        <v>0</v>
      </c>
      <c r="BE866" s="1">
        <f>MAX(0,U866-IF(AF866&gt;0,1,0))+0</f>
        <v>0</v>
      </c>
      <c r="BF866" s="1">
        <f t="shared" si="1219"/>
        <v>4</v>
      </c>
      <c r="BG866" s="1">
        <f t="shared" si="1206"/>
        <v>1</v>
      </c>
      <c r="BH866" s="1">
        <f t="shared" si="1182"/>
        <v>1</v>
      </c>
      <c r="BI866" s="1">
        <f t="shared" si="1207"/>
        <v>1</v>
      </c>
      <c r="BJ866" s="1">
        <f t="shared" si="1210"/>
        <v>1</v>
      </c>
      <c r="BK866" s="1">
        <f t="shared" si="1211"/>
        <v>1</v>
      </c>
      <c r="BL866" s="1">
        <f t="shared" si="1216"/>
        <v>1</v>
      </c>
      <c r="BM866" s="1">
        <f t="shared" si="1214"/>
        <v>1</v>
      </c>
      <c r="BN866" s="1">
        <f t="shared" si="1183"/>
        <v>1</v>
      </c>
      <c r="BO866" s="1">
        <f t="shared" si="1184"/>
        <v>1</v>
      </c>
    </row>
    <row r="867" spans="1:67" ht="30.95" customHeight="1">
      <c r="A867" s="1">
        <f>23</f>
        <v>23</v>
      </c>
      <c r="B867" s="1">
        <f>固定流程!A39</f>
        <v>34</v>
      </c>
      <c r="C867" s="1">
        <f>26</f>
        <v>26</v>
      </c>
      <c r="D867" s="1">
        <f>2</f>
        <v>2</v>
      </c>
      <c r="E867" s="1">
        <f>固定流程!C39</f>
        <v>3</v>
      </c>
      <c r="F867" s="1">
        <f>固定流程!G39</f>
        <v>2</v>
      </c>
      <c r="G867" s="1" t="str">
        <f>固定流程!H39</f>
        <v>37_WEAK</v>
      </c>
      <c r="H867" s="1">
        <f>固定流程!F39</f>
        <v>1</v>
      </c>
      <c r="I867" s="1">
        <f>INDEX(配置与结果!$B$15:$B$18,F867)</f>
        <v>2306</v>
      </c>
      <c r="J867" s="1">
        <f>INDEX(配置与结果!$D$15:$D$18,F867)</f>
        <v>0.46</v>
      </c>
      <c r="K867" s="1">
        <f>INDEX(配置与结果!$E$15:$E$18,F867)</f>
        <v>1.9279999999999999</v>
      </c>
      <c r="L867" s="1">
        <f t="shared" si="1203"/>
        <v>2</v>
      </c>
      <c r="M867" s="1">
        <f t="shared" si="1204"/>
        <v>10</v>
      </c>
      <c r="N867" s="1">
        <f t="shared" si="1205"/>
        <v>2</v>
      </c>
      <c r="O867" s="1">
        <f t="shared" si="1197"/>
        <v>8</v>
      </c>
      <c r="P867" s="1">
        <f>MIN(方案参数!$AI$26,AZ866+0+0)</f>
        <v>5</v>
      </c>
      <c r="Q867" s="1">
        <f t="shared" si="1167"/>
        <v>5</v>
      </c>
      <c r="R867" s="1">
        <f t="shared" si="1168"/>
        <v>20</v>
      </c>
      <c r="S867" s="1">
        <f t="shared" si="1169"/>
        <v>3</v>
      </c>
      <c r="T867" s="1">
        <f t="shared" si="1212"/>
        <v>0</v>
      </c>
      <c r="U867" s="1">
        <f t="shared" si="1171"/>
        <v>0</v>
      </c>
      <c r="V867" s="1">
        <f t="shared" si="1172"/>
        <v>4</v>
      </c>
      <c r="W867" s="1">
        <f t="shared" si="1173"/>
        <v>1</v>
      </c>
      <c r="X867" s="1">
        <f t="shared" si="1174"/>
        <v>1</v>
      </c>
      <c r="Y867" s="1">
        <f t="shared" si="1175"/>
        <v>1</v>
      </c>
      <c r="Z867" s="1">
        <f t="shared" si="1176"/>
        <v>1</v>
      </c>
      <c r="AA867" s="1">
        <f t="shared" si="1208"/>
        <v>1</v>
      </c>
      <c r="AB867" s="1">
        <f t="shared" si="1178"/>
        <v>1</v>
      </c>
      <c r="AC867" s="1">
        <f t="shared" si="1213"/>
        <v>1</v>
      </c>
      <c r="AD867" s="1">
        <f>ROUNDDOWN(I867*(1+IF(F867=3,0.05+方案参数!$Y$26+AA867*0.12,IF(F867=4,方案参数!$BZ$26*方案参数!$AS$26,0)))+IF(AND(X867=1,F867&lt;&gt;3),方案参数!$CC$26,0)+AC867*方案参数!$CB$26,0)</f>
        <v>3044</v>
      </c>
      <c r="AE867" s="1">
        <f>IF(OR(F867=1,F867=4),配置与结果!$B$24,配置与结果!$B$25)*MAX(0,1-INDEX(配置与结果!$I$15:$I$18,F867))</f>
        <v>1000</v>
      </c>
      <c r="AF867" s="1">
        <f>方案参数!$CE$26</f>
        <v>8</v>
      </c>
      <c r="AG867" s="1">
        <f>MAX(配置与结果!$B$32,1+INDEX(配置与结果!$F$15:$F$18,F867)+0+Q867*方案参数!$W$26+Y867*(方案参数!$AN$26+MIN(方案参数!$AO$26,P867*0.03))+AB867*方案参数!$BZ$26*0.025-配置与结果!$B$28+方案参数!$AE$26)</f>
        <v>2.5300000000000002</v>
      </c>
      <c r="AH867" s="1">
        <f>MAX(0,1+V867*方案参数!$U$26+方案参数!$AE$26-配置与结果!$B$29)</f>
        <v>1.56</v>
      </c>
      <c r="AI867" s="1">
        <f>IF(OR(INDEX(配置与结果!$K$15:$K$18,F867)=1,G867="RHI_BERRY"),1+配置与结果!$B$33+P867*方案参数!$AH$26,1)</f>
        <v>1</v>
      </c>
      <c r="AJ867" s="1">
        <f>MIN(1,MAX(0,J867+方案参数!$AB$26-配置与结果!$B$27))</f>
        <v>0.76</v>
      </c>
      <c r="AK867" s="1">
        <f>MAX(1,K867+IF(F867=2,0.15+方案参数!$CH$26,0)+BN867*方案参数!$X$26+R867*方案参数!$AA$26+0-配置与结果!$B$26+Z867*(方案参数!$AP$26+MIN(方案参数!$AQ$26,P867*0.03)))</f>
        <v>2.3380000000000001</v>
      </c>
      <c r="AL867" s="7">
        <f>ROUNDDOWN(MAX(AD867*配置与结果!$B$31,AD867-AE867)*AF867*AG867*AH867*AI867,0)</f>
        <v>64538</v>
      </c>
      <c r="AM867" s="7">
        <f>ROUNDDOWN(MAX(AD867*配置与结果!$B$31,AD867-AE867)*AF867*AG867*AH867*AI867*AK867,0)</f>
        <v>150890</v>
      </c>
      <c r="AN867" s="7">
        <f t="shared" si="1188"/>
        <v>130165.51999999999</v>
      </c>
      <c r="AO867" s="7">
        <f>0</f>
        <v>0</v>
      </c>
      <c r="AP867" s="7">
        <f>MAX(0,1+INDEX(配置与结果!$J$15:$J$18,F867)+IF(T867&gt;0,方案参数!$BY$26,0)-配置与结果!$B$30)</f>
        <v>1</v>
      </c>
      <c r="AQ867" s="7">
        <f t="shared" si="1189"/>
        <v>0</v>
      </c>
      <c r="AR867" s="7">
        <f t="shared" si="1190"/>
        <v>0</v>
      </c>
      <c r="AS867" s="7">
        <f t="shared" si="1191"/>
        <v>0</v>
      </c>
      <c r="AT867" s="7">
        <f>IF(U867&gt;0,ROUNDDOWN(AL867*方案参数!$AF$26,0)*(1-AJ867)+ROUNDDOWN(AM867*方案参数!$AF$26,0)*AJ867,0)</f>
        <v>0</v>
      </c>
      <c r="AU867" s="7">
        <f t="shared" si="1192"/>
        <v>130165.51999999999</v>
      </c>
      <c r="AV867" s="1">
        <f t="shared" si="1193"/>
        <v>2</v>
      </c>
      <c r="AW867" s="1">
        <f t="shared" si="1218"/>
        <v>10</v>
      </c>
      <c r="AX867" s="1">
        <f t="shared" si="1194"/>
        <v>2</v>
      </c>
      <c r="AY867" s="1">
        <f>MIN(20,MAX(0,O867+0+0-0))</f>
        <v>8</v>
      </c>
      <c r="AZ867" s="1">
        <f t="shared" si="1195"/>
        <v>5</v>
      </c>
      <c r="BA867" s="1">
        <f t="shared" si="1209"/>
        <v>5</v>
      </c>
      <c r="BB867" s="1">
        <f t="shared" si="1217"/>
        <v>20</v>
      </c>
      <c r="BC867" s="1">
        <f t="shared" si="1215"/>
        <v>3</v>
      </c>
      <c r="BD867" s="1">
        <f t="shared" si="1196"/>
        <v>0</v>
      </c>
      <c r="BE867" s="1">
        <f>MAX(0,U867-IF(AF867&gt;0,1,0))+1</f>
        <v>1</v>
      </c>
      <c r="BF867" s="1">
        <f t="shared" si="1219"/>
        <v>4</v>
      </c>
      <c r="BG867" s="1">
        <f t="shared" si="1206"/>
        <v>1</v>
      </c>
      <c r="BH867" s="1">
        <f t="shared" si="1182"/>
        <v>1</v>
      </c>
      <c r="BI867" s="1">
        <f t="shared" si="1207"/>
        <v>1</v>
      </c>
      <c r="BJ867" s="1">
        <f t="shared" si="1210"/>
        <v>1</v>
      </c>
      <c r="BK867" s="1">
        <f t="shared" si="1211"/>
        <v>1</v>
      </c>
      <c r="BL867" s="1">
        <f t="shared" si="1216"/>
        <v>1</v>
      </c>
      <c r="BM867" s="1">
        <f t="shared" si="1214"/>
        <v>1</v>
      </c>
      <c r="BN867" s="1">
        <f t="shared" si="1183"/>
        <v>1</v>
      </c>
      <c r="BO867" s="1">
        <f t="shared" si="1184"/>
        <v>1</v>
      </c>
    </row>
    <row r="868" spans="1:67" ht="30.95" customHeight="1">
      <c r="A868" s="1">
        <f>23</f>
        <v>23</v>
      </c>
      <c r="B868" s="1">
        <f>固定流程!A40</f>
        <v>35</v>
      </c>
      <c r="C868" s="1">
        <f>26</f>
        <v>26</v>
      </c>
      <c r="D868" s="1">
        <f>2</f>
        <v>2</v>
      </c>
      <c r="E868" s="1">
        <f>固定流程!C40</f>
        <v>3</v>
      </c>
      <c r="F868" s="1">
        <f>固定流程!G40</f>
        <v>2</v>
      </c>
      <c r="G868" s="1" t="str">
        <f>固定流程!H40</f>
        <v>37_WEAK</v>
      </c>
      <c r="H868" s="1">
        <f>固定流程!F40</f>
        <v>1</v>
      </c>
      <c r="I868" s="1">
        <f>INDEX(配置与结果!$B$15:$B$18,F868)</f>
        <v>2306</v>
      </c>
      <c r="J868" s="1">
        <f>INDEX(配置与结果!$D$15:$D$18,F868)</f>
        <v>0.46</v>
      </c>
      <c r="K868" s="1">
        <f>INDEX(配置与结果!$E$15:$E$18,F868)</f>
        <v>1.9279999999999999</v>
      </c>
      <c r="L868" s="1">
        <f t="shared" si="1203"/>
        <v>2</v>
      </c>
      <c r="M868" s="1">
        <f t="shared" si="1204"/>
        <v>10</v>
      </c>
      <c r="N868" s="1">
        <f t="shared" si="1205"/>
        <v>2</v>
      </c>
      <c r="O868" s="1">
        <f t="shared" si="1197"/>
        <v>8</v>
      </c>
      <c r="P868" s="1">
        <f>MIN(方案参数!$AI$26,AZ867+0+0)</f>
        <v>5</v>
      </c>
      <c r="Q868" s="1">
        <f t="shared" si="1167"/>
        <v>5</v>
      </c>
      <c r="R868" s="1">
        <f t="shared" si="1168"/>
        <v>20</v>
      </c>
      <c r="S868" s="1">
        <f t="shared" si="1169"/>
        <v>3</v>
      </c>
      <c r="T868" s="1">
        <f t="shared" si="1212"/>
        <v>0</v>
      </c>
      <c r="U868" s="1">
        <f t="shared" si="1171"/>
        <v>1</v>
      </c>
      <c r="V868" s="1">
        <f t="shared" si="1172"/>
        <v>4</v>
      </c>
      <c r="W868" s="1">
        <f t="shared" si="1173"/>
        <v>1</v>
      </c>
      <c r="X868" s="1">
        <f t="shared" si="1174"/>
        <v>1</v>
      </c>
      <c r="Y868" s="1">
        <f t="shared" si="1175"/>
        <v>1</v>
      </c>
      <c r="Z868" s="1">
        <f t="shared" si="1176"/>
        <v>1</v>
      </c>
      <c r="AA868" s="1">
        <f t="shared" si="1208"/>
        <v>1</v>
      </c>
      <c r="AB868" s="1">
        <f t="shared" si="1178"/>
        <v>1</v>
      </c>
      <c r="AC868" s="1">
        <f t="shared" si="1213"/>
        <v>1</v>
      </c>
      <c r="AD868" s="1">
        <f>ROUNDDOWN(I868*(1+IF(F868=3,0.05+方案参数!$Y$26+AA868*0.12,IF(F868=4,方案参数!$BZ$26*方案参数!$AS$26,0)))+IF(AND(X868=1,F868&lt;&gt;3),方案参数!$CC$26,0)+AC868*方案参数!$CB$26,0)</f>
        <v>3044</v>
      </c>
      <c r="AE868" s="1">
        <f>IF(OR(F868=1,F868=4),配置与结果!$B$24,配置与结果!$B$25)*MAX(0,1-INDEX(配置与结果!$I$15:$I$18,F868))</f>
        <v>1000</v>
      </c>
      <c r="AF868" s="1">
        <f>方案参数!$CE$26</f>
        <v>8</v>
      </c>
      <c r="AG868" s="1">
        <f>MAX(配置与结果!$B$32,1+INDEX(配置与结果!$F$15:$F$18,F868)+0+Q868*方案参数!$W$26+Y868*(方案参数!$AN$26+MIN(方案参数!$AO$26,P868*0.03))+AB868*方案参数!$BZ$26*0.025-配置与结果!$B$28+方案参数!$AE$26)</f>
        <v>2.5300000000000002</v>
      </c>
      <c r="AH868" s="1">
        <f>MAX(0,1+V868*方案参数!$U$26+方案参数!$AE$26-配置与结果!$B$29)</f>
        <v>1.56</v>
      </c>
      <c r="AI868" s="1">
        <f>IF(OR(INDEX(配置与结果!$K$15:$K$18,F868)=1,G868="RHI_BERRY"),1+配置与结果!$B$33+P868*方案参数!$AH$26,1)</f>
        <v>1</v>
      </c>
      <c r="AJ868" s="1">
        <f>MIN(1,MAX(0,J868+方案参数!$AB$26-配置与结果!$B$27))</f>
        <v>0.76</v>
      </c>
      <c r="AK868" s="1">
        <f>MAX(1,K868+IF(F868=2,0.15+方案参数!$CH$26,0)+BN868*方案参数!$X$26+R868*方案参数!$AA$26+0-配置与结果!$B$26+Z868*(方案参数!$AP$26+MIN(方案参数!$AQ$26,P868*0.03)))</f>
        <v>2.3380000000000001</v>
      </c>
      <c r="AL868" s="7">
        <f>ROUNDDOWN(MAX(AD868*配置与结果!$B$31,AD868-AE868)*AF868*AG868*AH868*AI868,0)</f>
        <v>64538</v>
      </c>
      <c r="AM868" s="7">
        <f>ROUNDDOWN(MAX(AD868*配置与结果!$B$31,AD868-AE868)*AF868*AG868*AH868*AI868*AK868,0)</f>
        <v>150890</v>
      </c>
      <c r="AN868" s="7">
        <f t="shared" si="1188"/>
        <v>130165.51999999999</v>
      </c>
      <c r="AO868" s="7">
        <f>0</f>
        <v>0</v>
      </c>
      <c r="AP868" s="7">
        <f>MAX(0,1+INDEX(配置与结果!$J$15:$J$18,F868)+IF(T868&gt;0,方案参数!$BY$26,0)-配置与结果!$B$30)</f>
        <v>1</v>
      </c>
      <c r="AQ868" s="7">
        <f t="shared" si="1189"/>
        <v>0</v>
      </c>
      <c r="AR868" s="7">
        <f t="shared" si="1190"/>
        <v>0</v>
      </c>
      <c r="AS868" s="7">
        <f t="shared" si="1191"/>
        <v>0</v>
      </c>
      <c r="AT868" s="7">
        <f>IF(U868&gt;0,ROUNDDOWN(AL868*方案参数!$AF$26,0)*(1-AJ868)+ROUNDDOWN(AM868*方案参数!$AF$26,0)*AJ868,0)</f>
        <v>52066.159999999996</v>
      </c>
      <c r="AU868" s="7">
        <f t="shared" si="1192"/>
        <v>182231.67999999999</v>
      </c>
      <c r="AV868" s="1">
        <f t="shared" si="1193"/>
        <v>2</v>
      </c>
      <c r="AW868" s="1">
        <f t="shared" si="1218"/>
        <v>10</v>
      </c>
      <c r="AX868" s="1">
        <f t="shared" si="1194"/>
        <v>2</v>
      </c>
      <c r="AY868" s="1">
        <f>MIN(20,MAX(0,O868+0+0-0))</f>
        <v>8</v>
      </c>
      <c r="AZ868" s="1">
        <f t="shared" si="1195"/>
        <v>5</v>
      </c>
      <c r="BA868" s="1">
        <f t="shared" si="1209"/>
        <v>5</v>
      </c>
      <c r="BB868" s="1">
        <f t="shared" si="1217"/>
        <v>20</v>
      </c>
      <c r="BC868" s="1">
        <f t="shared" si="1215"/>
        <v>3</v>
      </c>
      <c r="BD868" s="1">
        <f t="shared" si="1196"/>
        <v>0</v>
      </c>
      <c r="BE868" s="1">
        <f>MAX(0,U868-IF(AF868&gt;0,1,0))+1</f>
        <v>1</v>
      </c>
      <c r="BF868" s="1">
        <f t="shared" si="1219"/>
        <v>4</v>
      </c>
      <c r="BG868" s="1">
        <f t="shared" si="1206"/>
        <v>1</v>
      </c>
      <c r="BH868" s="1">
        <f t="shared" si="1182"/>
        <v>1</v>
      </c>
      <c r="BI868" s="1">
        <f t="shared" si="1207"/>
        <v>1</v>
      </c>
      <c r="BJ868" s="1">
        <f t="shared" si="1210"/>
        <v>1</v>
      </c>
      <c r="BK868" s="1">
        <f t="shared" si="1211"/>
        <v>1</v>
      </c>
      <c r="BL868" s="1">
        <f t="shared" si="1216"/>
        <v>1</v>
      </c>
      <c r="BM868" s="1">
        <f t="shared" si="1214"/>
        <v>1</v>
      </c>
      <c r="BN868" s="1">
        <f t="shared" si="1183"/>
        <v>1</v>
      </c>
      <c r="BO868" s="1">
        <f t="shared" si="1184"/>
        <v>1</v>
      </c>
    </row>
    <row r="869" spans="1:67" ht="30.95" customHeight="1">
      <c r="A869" s="1">
        <f>23</f>
        <v>23</v>
      </c>
      <c r="B869" s="1">
        <f>固定流程!A41</f>
        <v>36</v>
      </c>
      <c r="C869" s="1">
        <f>26</f>
        <v>26</v>
      </c>
      <c r="D869" s="1">
        <f>2</f>
        <v>2</v>
      </c>
      <c r="E869" s="1">
        <f>固定流程!C41</f>
        <v>3</v>
      </c>
      <c r="F869" s="1">
        <f>固定流程!G41</f>
        <v>1</v>
      </c>
      <c r="G869" s="1" t="str">
        <f>固定流程!H41</f>
        <v>LILYA_FINISH</v>
      </c>
      <c r="H869" s="1">
        <f>固定流程!F41</f>
        <v>1</v>
      </c>
      <c r="I869" s="1">
        <f>INDEX(配置与结果!$B$15:$B$18,F869)</f>
        <v>2296</v>
      </c>
      <c r="J869" s="1">
        <f>INDEX(配置与结果!$D$15:$D$18,F869)</f>
        <v>0.7</v>
      </c>
      <c r="K869" s="1">
        <f>INDEX(配置与结果!$E$15:$E$18,F869)</f>
        <v>2.0249999999999999</v>
      </c>
      <c r="L869" s="1">
        <f t="shared" si="1203"/>
        <v>2</v>
      </c>
      <c r="M869" s="1">
        <f t="shared" si="1204"/>
        <v>10</v>
      </c>
      <c r="N869" s="1">
        <f t="shared" si="1205"/>
        <v>2</v>
      </c>
      <c r="O869" s="1">
        <f t="shared" si="1197"/>
        <v>8</v>
      </c>
      <c r="P869" s="1">
        <f>MIN(方案参数!$AI$26,AZ868+0+0)</f>
        <v>5</v>
      </c>
      <c r="Q869" s="1">
        <f t="shared" si="1167"/>
        <v>5</v>
      </c>
      <c r="R869" s="1">
        <f t="shared" si="1168"/>
        <v>20</v>
      </c>
      <c r="S869" s="1">
        <f t="shared" si="1169"/>
        <v>3</v>
      </c>
      <c r="T869" s="1">
        <f t="shared" si="1212"/>
        <v>0</v>
      </c>
      <c r="U869" s="1">
        <f t="shared" si="1171"/>
        <v>1</v>
      </c>
      <c r="V869" s="1">
        <f t="shared" si="1172"/>
        <v>4</v>
      </c>
      <c r="W869" s="1">
        <f t="shared" si="1173"/>
        <v>1</v>
      </c>
      <c r="X869" s="1">
        <f t="shared" si="1174"/>
        <v>1</v>
      </c>
      <c r="Y869" s="1">
        <f t="shared" si="1175"/>
        <v>1</v>
      </c>
      <c r="Z869" s="1">
        <f t="shared" si="1176"/>
        <v>1</v>
      </c>
      <c r="AA869" s="1">
        <f t="shared" si="1208"/>
        <v>1</v>
      </c>
      <c r="AB869" s="1">
        <f t="shared" si="1178"/>
        <v>1</v>
      </c>
      <c r="AC869" s="1">
        <f t="shared" si="1213"/>
        <v>1</v>
      </c>
      <c r="AD869" s="1">
        <f>ROUNDDOWN(I869*(1+IF(F869=3,0.05+方案参数!$Y$26+AA869*0.12,IF(F869=4,方案参数!$BZ$26*方案参数!$AS$26,0)))+IF(AND(X869=1,F869&lt;&gt;3),方案参数!$CC$26,0)+AC869*方案参数!$CB$26,0)</f>
        <v>3034</v>
      </c>
      <c r="AE869" s="1">
        <f>IF(OR(F869=1,F869=4),配置与结果!$B$24,配置与结果!$B$25)*MAX(0,1-INDEX(配置与结果!$I$15:$I$18,F869))</f>
        <v>1200</v>
      </c>
      <c r="AF869" s="1">
        <f>方案参数!$BN$26+12*方案参数!$BO$26</f>
        <v>48</v>
      </c>
      <c r="AG869" s="1">
        <f>MAX(配置与结果!$B$32,1+INDEX(配置与结果!$F$15:$F$18,F869)+0.08+方案参数!$CD$26+Q869*方案参数!$W$26+Y869*(方案参数!$AN$26+MIN(方案参数!$AO$26,P869*0.03))+AB869*方案参数!$BZ$26*0.025-配置与结果!$B$28+方案参数!$AE$26)</f>
        <v>2.8650000000000002</v>
      </c>
      <c r="AH869" s="1">
        <f>MAX(0,1+V869*方案参数!$U$26+12*方案参数!$V$26+方案参数!$AE$26-配置与结果!$B$29)</f>
        <v>2.2799999999999998</v>
      </c>
      <c r="AI869" s="1">
        <f>IF(OR(INDEX(配置与结果!$K$15:$K$18,F869)=1,G869="RHI_BERRY"),1+配置与结果!$B$33+P869*方案参数!$AH$26,1)</f>
        <v>1</v>
      </c>
      <c r="AJ869" s="1">
        <f>MIN(1,MAX(0,J869+方案参数!$AB$26-配置与结果!$B$27))</f>
        <v>1</v>
      </c>
      <c r="AK869" s="1">
        <f>MAX(1,K869+IF(F869=2,0.15+方案参数!$CH$26,0)+BN869*方案参数!$X$26+R869*方案参数!$AA$26+方案参数!$BR$26-配置与结果!$B$26+Z869*(方案参数!$AP$26+MIN(方案参数!$AQ$26,P869*0.03)))</f>
        <v>3.165</v>
      </c>
      <c r="AL869" s="7">
        <f>ROUNDDOWN(MAX(AD869*配置与结果!$B$31,AD869-AE869)*AF869*AG869*AH869*AI869,0)</f>
        <v>575042</v>
      </c>
      <c r="AM869" s="7">
        <f>ROUNDDOWN(MAX(AD869*配置与结果!$B$31,AD869-AE869)*AF869*AG869*AH869*AI869*AK869,0)</f>
        <v>1820009</v>
      </c>
      <c r="AN869" s="7">
        <f t="shared" si="1188"/>
        <v>1820009</v>
      </c>
      <c r="AO869" s="7">
        <f>0</f>
        <v>0</v>
      </c>
      <c r="AP869" s="7">
        <f>MAX(0,1+INDEX(配置与结果!$J$15:$J$18,F869)+IF(T869&gt;0,方案参数!$BY$26,0)-配置与结果!$B$30)</f>
        <v>1</v>
      </c>
      <c r="AQ869" s="7">
        <f t="shared" si="1189"/>
        <v>0</v>
      </c>
      <c r="AR869" s="7">
        <f t="shared" si="1190"/>
        <v>0</v>
      </c>
      <c r="AS869" s="7">
        <f t="shared" si="1191"/>
        <v>0</v>
      </c>
      <c r="AT869" s="7">
        <f>IF(U869&gt;0,ROUNDDOWN(AL869*方案参数!$AF$26,0)*(1-AJ869)+ROUNDDOWN(AM869*方案参数!$AF$26,0)*AJ869,0)</f>
        <v>728003</v>
      </c>
      <c r="AU869" s="7">
        <f t="shared" si="1192"/>
        <v>2548012</v>
      </c>
      <c r="AV869" s="1">
        <f t="shared" si="1193"/>
        <v>2</v>
      </c>
      <c r="AW869" s="1">
        <f t="shared" si="1218"/>
        <v>10</v>
      </c>
      <c r="AX869" s="1">
        <f t="shared" si="1194"/>
        <v>2</v>
      </c>
      <c r="AY869" s="1">
        <f>MIN(20,MAX(0,O869+0+1-0))</f>
        <v>9</v>
      </c>
      <c r="AZ869" s="1">
        <f t="shared" si="1195"/>
        <v>5</v>
      </c>
      <c r="BA869" s="1">
        <f t="shared" si="1209"/>
        <v>5</v>
      </c>
      <c r="BB869" s="1">
        <f t="shared" si="1217"/>
        <v>20</v>
      </c>
      <c r="BC869" s="1">
        <f t="shared" si="1215"/>
        <v>3</v>
      </c>
      <c r="BD869" s="1">
        <f t="shared" si="1196"/>
        <v>0</v>
      </c>
      <c r="BE869" s="1">
        <f>MAX(0,U869-IF(AF869&gt;0,1,0))+0</f>
        <v>0</v>
      </c>
      <c r="BF869" s="1">
        <f t="shared" si="1219"/>
        <v>4</v>
      </c>
      <c r="BG869" s="1">
        <f t="shared" si="1206"/>
        <v>1</v>
      </c>
      <c r="BH869" s="1">
        <f t="shared" si="1182"/>
        <v>1</v>
      </c>
      <c r="BI869" s="1">
        <f t="shared" si="1207"/>
        <v>1</v>
      </c>
      <c r="BJ869" s="1">
        <f t="shared" si="1210"/>
        <v>1</v>
      </c>
      <c r="BK869" s="1">
        <f t="shared" si="1211"/>
        <v>1</v>
      </c>
      <c r="BL869" s="1">
        <f t="shared" si="1216"/>
        <v>1</v>
      </c>
      <c r="BM869" s="1">
        <f t="shared" si="1214"/>
        <v>1</v>
      </c>
      <c r="BN869" s="1">
        <f t="shared" si="1183"/>
        <v>1</v>
      </c>
      <c r="BO869" s="1">
        <f t="shared" si="1184"/>
        <v>1</v>
      </c>
    </row>
    <row r="870" spans="1:67" ht="30.95" customHeight="1">
      <c r="A870" s="1">
        <f>24</f>
        <v>24</v>
      </c>
      <c r="B870" s="1">
        <f>固定流程!A6</f>
        <v>1</v>
      </c>
      <c r="C870" s="1">
        <f>27</f>
        <v>27</v>
      </c>
      <c r="D870" s="1">
        <f>1</f>
        <v>1</v>
      </c>
      <c r="E870" s="1">
        <f>固定流程!C6</f>
        <v>1</v>
      </c>
      <c r="F870" s="1">
        <f>固定流程!G6</f>
        <v>3</v>
      </c>
      <c r="G870" s="1" t="str">
        <f>固定流程!H6</f>
        <v>RHI_ULT</v>
      </c>
      <c r="H870" s="1">
        <f>固定流程!F6</f>
        <v>1</v>
      </c>
      <c r="I870" s="1">
        <f>INDEX(配置与结果!$B$15:$B$18,F870)</f>
        <v>2597</v>
      </c>
      <c r="J870" s="1">
        <f>INDEX(配置与结果!$D$15:$D$18,F870)</f>
        <v>0.255</v>
      </c>
      <c r="K870" s="1">
        <f>INDEX(配置与结果!$E$15:$E$18,F870)</f>
        <v>1.55</v>
      </c>
      <c r="L870" s="1">
        <f>0</f>
        <v>0</v>
      </c>
      <c r="M870" s="1">
        <f>0</f>
        <v>0</v>
      </c>
      <c r="N870" s="1">
        <f>0</f>
        <v>0</v>
      </c>
      <c r="O870" s="1">
        <f>0</f>
        <v>0</v>
      </c>
      <c r="P870" s="1">
        <f>MIN(方案参数!$AI$27,0+方案参数!$AJ$27+0)</f>
        <v>1</v>
      </c>
      <c r="Q870" s="1">
        <f>0</f>
        <v>0</v>
      </c>
      <c r="R870" s="1">
        <f>0</f>
        <v>0</v>
      </c>
      <c r="S870" s="1">
        <f>0</f>
        <v>0</v>
      </c>
      <c r="T870" s="1">
        <f>0+0</f>
        <v>0</v>
      </c>
      <c r="U870" s="1">
        <f>0</f>
        <v>0</v>
      </c>
      <c r="V870" s="1">
        <f>0</f>
        <v>0</v>
      </c>
      <c r="W870" s="1">
        <f>0</f>
        <v>0</v>
      </c>
      <c r="X870" s="1">
        <f>0</f>
        <v>0</v>
      </c>
      <c r="Y870" s="1">
        <f>0</f>
        <v>0</v>
      </c>
      <c r="Z870" s="1">
        <f>0</f>
        <v>0</v>
      </c>
      <c r="AA870" s="1">
        <f>MAX(0,0)</f>
        <v>0</v>
      </c>
      <c r="AB870" s="1">
        <f>0</f>
        <v>0</v>
      </c>
      <c r="AC870" s="1">
        <f>MAX(0,0)</f>
        <v>0</v>
      </c>
      <c r="AD870" s="1">
        <f>ROUNDDOWN(I870*(1+IF(F870=3,0.05+方案参数!$Y$27+AA870*0.12,IF(F870=4,方案参数!$BZ$27*方案参数!$AS$27,0)))+IF(AND(X870=1,F870&lt;&gt;3),方案参数!$CC$27,0)+AC870*方案参数!$CB$27,0)</f>
        <v>2986</v>
      </c>
      <c r="AE870" s="1">
        <f>IF(OR(F870=1,F870=4),配置与结果!$B$24,配置与结果!$B$25)*MAX(0,1-INDEX(配置与结果!$I$15:$I$18,F870))</f>
        <v>1000</v>
      </c>
      <c r="AF870" s="1">
        <f>0</f>
        <v>0</v>
      </c>
      <c r="AG870" s="1">
        <f>MAX(配置与结果!$B$32,1+INDEX(配置与结果!$F$15:$F$18,F870)+0+Q870*方案参数!$W$27+Y870*(方案参数!$AN$27+MIN(方案参数!$AO$27,P870*0.03))+AB870*方案参数!$BZ$27*0.025-配置与结果!$B$28)</f>
        <v>0.6349999999999999</v>
      </c>
      <c r="AH870" s="1">
        <f>MAX(0,1+INDEX(配置与结果!$G$15:$G$18,F870)+W870*方案参数!$AG$27)</f>
        <v>1</v>
      </c>
      <c r="AI870" s="1">
        <f>IF(OR(INDEX(配置与结果!$K$15:$K$18,F870)=1,G870="RHI_BERRY"),1+配置与结果!$B$33+P870*方案参数!$AH$27,1)</f>
        <v>1</v>
      </c>
      <c r="AJ870" s="1">
        <f>MIN(1,MAX(0,J870+方案参数!$AB$27-配置与结果!$B$27))</f>
        <v>0.55499999999999994</v>
      </c>
      <c r="AK870" s="1">
        <f>MAX(1,K870+IF(F870=2,0.15+方案参数!$CH$27,0)+BN870*方案参数!$X$27+R870*方案参数!$AA$27+0-配置与结果!$B$26+Z870*(方案参数!$AP$27+MIN(方案参数!$AQ$27,P870*0.03)))</f>
        <v>1.1499999999999999</v>
      </c>
      <c r="AL870" s="7">
        <f>ROUNDDOWN(MAX(AD870*配置与结果!$B$31,AD870-AE870)*AF870*AG870*AH870*AI870,0)</f>
        <v>0</v>
      </c>
      <c r="AM870" s="7">
        <f>ROUNDDOWN(MAX(AD870*配置与结果!$B$31,AD870-AE870)*AF870*AG870*AH870*AI870*AK870,0)</f>
        <v>0</v>
      </c>
      <c r="AN870" s="7">
        <f t="shared" si="1188"/>
        <v>0</v>
      </c>
      <c r="AO870" s="7">
        <f>0</f>
        <v>0</v>
      </c>
      <c r="AP870" s="7">
        <f>MAX(0,1+INDEX(配置与结果!$J$15:$J$18,F870)+IF(T870&gt;0,方案参数!$BY$27,0)-配置与结果!$B$30)</f>
        <v>1</v>
      </c>
      <c r="AQ870" s="7">
        <f t="shared" si="1189"/>
        <v>0</v>
      </c>
      <c r="AR870" s="7">
        <f t="shared" si="1190"/>
        <v>0</v>
      </c>
      <c r="AS870" s="7">
        <f t="shared" si="1191"/>
        <v>0</v>
      </c>
      <c r="AT870" s="7">
        <f>0</f>
        <v>0</v>
      </c>
      <c r="AU870" s="7">
        <f t="shared" si="1192"/>
        <v>0</v>
      </c>
      <c r="AV870" s="1">
        <f t="shared" si="1193"/>
        <v>0</v>
      </c>
      <c r="AW870" s="1">
        <f t="shared" si="1218"/>
        <v>0</v>
      </c>
      <c r="AX870" s="1">
        <f t="shared" si="1194"/>
        <v>0</v>
      </c>
      <c r="AY870" s="1">
        <f>MIN(20,MAX(0,O870+0+0-0))</f>
        <v>0</v>
      </c>
      <c r="AZ870" s="1">
        <f t="shared" si="1195"/>
        <v>1</v>
      </c>
      <c r="BA870" s="1">
        <f>MIN(6,Q870+1)</f>
        <v>1</v>
      </c>
      <c r="BB870" s="1">
        <f>MIN(30,R870+5)</f>
        <v>5</v>
      </c>
      <c r="BC870" s="1">
        <f t="shared" si="1215"/>
        <v>0</v>
      </c>
      <c r="BD870" s="1">
        <f t="shared" si="1196"/>
        <v>0</v>
      </c>
      <c r="BE870" s="1">
        <f>0</f>
        <v>0</v>
      </c>
      <c r="BF870" s="1">
        <f t="shared" si="1219"/>
        <v>0</v>
      </c>
      <c r="BG870" s="1">
        <f t="shared" si="1206"/>
        <v>0</v>
      </c>
      <c r="BH870" s="1">
        <f>MAX(X870,1)</f>
        <v>1</v>
      </c>
      <c r="BI870" s="1">
        <f t="shared" si="1207"/>
        <v>0</v>
      </c>
      <c r="BJ870" s="1">
        <f t="shared" si="1210"/>
        <v>0</v>
      </c>
      <c r="BK870" s="1">
        <f t="shared" si="1211"/>
        <v>0</v>
      </c>
      <c r="BL870" s="1">
        <f t="shared" si="1216"/>
        <v>0</v>
      </c>
      <c r="BM870" s="1">
        <f t="shared" si="1214"/>
        <v>0</v>
      </c>
      <c r="BN870" s="1">
        <f>0</f>
        <v>0</v>
      </c>
      <c r="BO870" s="1">
        <f>MAX(BN870,1)</f>
        <v>1</v>
      </c>
    </row>
    <row r="871" spans="1:67" ht="30.95" customHeight="1">
      <c r="A871" s="1">
        <f>24</f>
        <v>24</v>
      </c>
      <c r="B871" s="1">
        <f>固定流程!A7</f>
        <v>2</v>
      </c>
      <c r="C871" s="1">
        <f>27</f>
        <v>27</v>
      </c>
      <c r="D871" s="1">
        <f>1</f>
        <v>1</v>
      </c>
      <c r="E871" s="1">
        <f>固定流程!C7</f>
        <v>1</v>
      </c>
      <c r="F871" s="1">
        <f>固定流程!G7</f>
        <v>3</v>
      </c>
      <c r="G871" s="1" t="str">
        <f>固定流程!H7</f>
        <v>RHI_BUFF</v>
      </c>
      <c r="H871" s="1">
        <f>固定流程!F7</f>
        <v>1</v>
      </c>
      <c r="I871" s="1">
        <f>INDEX(配置与结果!$B$15:$B$18,F871)</f>
        <v>2597</v>
      </c>
      <c r="J871" s="1">
        <f>INDEX(配置与结果!$D$15:$D$18,F871)</f>
        <v>0.255</v>
      </c>
      <c r="K871" s="1">
        <f>INDEX(配置与结果!$E$15:$E$18,F871)</f>
        <v>1.55</v>
      </c>
      <c r="L871" s="1">
        <f t="shared" ref="L871:O876" si="1220">AV870</f>
        <v>0</v>
      </c>
      <c r="M871" s="1">
        <f t="shared" si="1220"/>
        <v>0</v>
      </c>
      <c r="N871" s="1">
        <f t="shared" si="1220"/>
        <v>0</v>
      </c>
      <c r="O871" s="1">
        <f t="shared" si="1220"/>
        <v>0</v>
      </c>
      <c r="P871" s="1">
        <f>MIN(方案参数!$AI$27,AZ870+0+方案参数!$AK$27)</f>
        <v>3</v>
      </c>
      <c r="Q871" s="1">
        <f t="shared" ref="Q871:Q905" si="1221">BA870</f>
        <v>1</v>
      </c>
      <c r="R871" s="1">
        <f t="shared" ref="R871:R905" si="1222">BB870</f>
        <v>5</v>
      </c>
      <c r="S871" s="1">
        <f t="shared" ref="S871:S905" si="1223">BC870</f>
        <v>0</v>
      </c>
      <c r="T871" s="1">
        <f t="shared" ref="T871:T884" si="1224">BD870+0</f>
        <v>0</v>
      </c>
      <c r="U871" s="1">
        <f t="shared" ref="U871:U905" si="1225">BE870</f>
        <v>0</v>
      </c>
      <c r="V871" s="1">
        <f t="shared" ref="V871:V905" si="1226">BF870</f>
        <v>0</v>
      </c>
      <c r="W871" s="1">
        <f t="shared" ref="W871:W905" si="1227">BG870</f>
        <v>0</v>
      </c>
      <c r="X871" s="1">
        <f t="shared" ref="X871:X905" si="1228">BH870</f>
        <v>1</v>
      </c>
      <c r="Y871" s="1">
        <f t="shared" ref="Y871:Y905" si="1229">BI870</f>
        <v>0</v>
      </c>
      <c r="Z871" s="1">
        <f t="shared" ref="Z871:Z905" si="1230">BJ870</f>
        <v>0</v>
      </c>
      <c r="AA871" s="1">
        <f t="shared" ref="AA871:AA876" si="1231">MAX(BK870,0)</f>
        <v>0</v>
      </c>
      <c r="AB871" s="1">
        <f t="shared" ref="AB871:AB905" si="1232">BL870</f>
        <v>0</v>
      </c>
      <c r="AC871" s="1">
        <f t="shared" ref="AC871:AC884" si="1233">MAX(BM870,0)</f>
        <v>0</v>
      </c>
      <c r="AD871" s="1">
        <f>ROUNDDOWN(I871*(1+IF(F871=3,0.05+方案参数!$Y$27+AA871*0.12,IF(F871=4,方案参数!$BZ$27*方案参数!$AS$27,0)))+IF(AND(X871=1,F871&lt;&gt;3),方案参数!$CC$27,0)+AC871*方案参数!$CB$27,0)</f>
        <v>2986</v>
      </c>
      <c r="AE871" s="1">
        <f>IF(OR(F871=1,F871=4),配置与结果!$B$24,配置与结果!$B$25)*MAX(0,1-INDEX(配置与结果!$I$15:$I$18,F871))</f>
        <v>1000</v>
      </c>
      <c r="AF871" s="1">
        <f>0</f>
        <v>0</v>
      </c>
      <c r="AG871" s="1">
        <f>MAX(配置与结果!$B$32,1+INDEX(配置与结果!$F$15:$F$18,F871)+0+Q871*方案参数!$W$27+Y871*(方案参数!$AN$27+MIN(方案参数!$AO$27,P871*0.03))+AB871*方案参数!$BZ$27*0.025-配置与结果!$B$28)</f>
        <v>0.65499999999999992</v>
      </c>
      <c r="AH871" s="1">
        <f>MAX(0,1+INDEX(配置与结果!$G$15:$G$18,F871)+W871*方案参数!$AG$27)</f>
        <v>1</v>
      </c>
      <c r="AI871" s="1">
        <f>IF(OR(INDEX(配置与结果!$K$15:$K$18,F871)=1,G871="RHI_BERRY"),1+配置与结果!$B$33+P871*方案参数!$AH$27,1)</f>
        <v>1</v>
      </c>
      <c r="AJ871" s="1">
        <f>MIN(1,MAX(0,J871+方案参数!$AB$27-配置与结果!$B$27))</f>
        <v>0.55499999999999994</v>
      </c>
      <c r="AK871" s="1">
        <f>MAX(1,K871+IF(F871=2,0.15+方案参数!$CH$27,0)+BN871*方案参数!$X$27+R871*方案参数!$AA$27+0-配置与结果!$B$26+Z871*(方案参数!$AP$27+MIN(方案参数!$AQ$27,P871*0.03)))</f>
        <v>1.33</v>
      </c>
      <c r="AL871" s="7">
        <f>ROUNDDOWN(MAX(AD871*配置与结果!$B$31,AD871-AE871)*AF871*AG871*AH871*AI871,0)</f>
        <v>0</v>
      </c>
      <c r="AM871" s="7">
        <f>ROUNDDOWN(MAX(AD871*配置与结果!$B$31,AD871-AE871)*AF871*AG871*AH871*AI871*AK871,0)</f>
        <v>0</v>
      </c>
      <c r="AN871" s="7">
        <f t="shared" si="1188"/>
        <v>0</v>
      </c>
      <c r="AO871" s="7">
        <f>0</f>
        <v>0</v>
      </c>
      <c r="AP871" s="7">
        <f>MAX(0,1+INDEX(配置与结果!$J$15:$J$18,F871)+IF(T871&gt;0,方案参数!$BY$27,0)-配置与结果!$B$30)</f>
        <v>1</v>
      </c>
      <c r="AQ871" s="7">
        <f t="shared" si="1189"/>
        <v>0</v>
      </c>
      <c r="AR871" s="7">
        <f t="shared" si="1190"/>
        <v>0</v>
      </c>
      <c r="AS871" s="7">
        <f t="shared" si="1191"/>
        <v>0</v>
      </c>
      <c r="AT871" s="7">
        <f>0</f>
        <v>0</v>
      </c>
      <c r="AU871" s="7">
        <f t="shared" si="1192"/>
        <v>0</v>
      </c>
      <c r="AV871" s="1">
        <f t="shared" si="1193"/>
        <v>0</v>
      </c>
      <c r="AW871" s="1">
        <f t="shared" si="1218"/>
        <v>0</v>
      </c>
      <c r="AX871" s="1">
        <f t="shared" si="1194"/>
        <v>0</v>
      </c>
      <c r="AY871" s="1">
        <f>MIN(20,MAX(0,O871+0+0-0))</f>
        <v>0</v>
      </c>
      <c r="AZ871" s="1">
        <f t="shared" si="1195"/>
        <v>3</v>
      </c>
      <c r="BA871" s="1">
        <f>MIN(6,Q871+1)</f>
        <v>2</v>
      </c>
      <c r="BB871" s="1">
        <f t="shared" ref="BB871:BB884" si="1234">MIN(30,R871+0)</f>
        <v>5</v>
      </c>
      <c r="BC871" s="1">
        <f t="shared" si="1215"/>
        <v>0</v>
      </c>
      <c r="BD871" s="1">
        <f t="shared" si="1196"/>
        <v>0</v>
      </c>
      <c r="BE871" s="1">
        <f t="shared" ref="BE871:BE892" si="1235">BE870</f>
        <v>0</v>
      </c>
      <c r="BF871" s="1">
        <f t="shared" si="1219"/>
        <v>0</v>
      </c>
      <c r="BG871" s="1">
        <f>MAX(W871,1)</f>
        <v>1</v>
      </c>
      <c r="BH871" s="1">
        <f t="shared" ref="BH871:BH905" si="1236">MAX(X871,0)</f>
        <v>1</v>
      </c>
      <c r="BI871" s="1">
        <f>MAX(Y871,1)</f>
        <v>1</v>
      </c>
      <c r="BJ871" s="1">
        <f t="shared" si="1210"/>
        <v>0</v>
      </c>
      <c r="BK871" s="1">
        <f t="shared" si="1211"/>
        <v>0</v>
      </c>
      <c r="BL871" s="1">
        <f t="shared" si="1216"/>
        <v>0</v>
      </c>
      <c r="BM871" s="1">
        <f t="shared" si="1214"/>
        <v>0</v>
      </c>
      <c r="BN871" s="1">
        <f t="shared" ref="BN871:BN905" si="1237">BO870</f>
        <v>1</v>
      </c>
      <c r="BO871" s="1">
        <f t="shared" ref="BO871:BO905" si="1238">MAX(BN871,0)</f>
        <v>1</v>
      </c>
    </row>
    <row r="872" spans="1:67" ht="30.95" customHeight="1">
      <c r="A872" s="1">
        <f>24</f>
        <v>24</v>
      </c>
      <c r="B872" s="1">
        <f>固定流程!A8</f>
        <v>3</v>
      </c>
      <c r="C872" s="1">
        <f>27</f>
        <v>27</v>
      </c>
      <c r="D872" s="1">
        <f>1</f>
        <v>1</v>
      </c>
      <c r="E872" s="1">
        <f>固定流程!C8</f>
        <v>1</v>
      </c>
      <c r="F872" s="1">
        <f>固定流程!G8</f>
        <v>1</v>
      </c>
      <c r="G872" s="1" t="str">
        <f>固定流程!H8</f>
        <v>LILYA_COBRA</v>
      </c>
      <c r="H872" s="1">
        <f>固定流程!F8</f>
        <v>1</v>
      </c>
      <c r="I872" s="1">
        <f>INDEX(配置与结果!$B$15:$B$18,F872)</f>
        <v>2296</v>
      </c>
      <c r="J872" s="1">
        <f>INDEX(配置与结果!$D$15:$D$18,F872)</f>
        <v>0.7</v>
      </c>
      <c r="K872" s="1">
        <f>INDEX(配置与结果!$E$15:$E$18,F872)</f>
        <v>2.0249999999999999</v>
      </c>
      <c r="L872" s="1">
        <f t="shared" si="1220"/>
        <v>0</v>
      </c>
      <c r="M872" s="1">
        <f t="shared" si="1220"/>
        <v>0</v>
      </c>
      <c r="N872" s="1">
        <f t="shared" si="1220"/>
        <v>0</v>
      </c>
      <c r="O872" s="1">
        <f t="shared" si="1220"/>
        <v>0</v>
      </c>
      <c r="P872" s="1">
        <f>MIN(方案参数!$AI$27,AZ871+0+0)</f>
        <v>3</v>
      </c>
      <c r="Q872" s="1">
        <f t="shared" si="1221"/>
        <v>2</v>
      </c>
      <c r="R872" s="1">
        <f t="shared" si="1222"/>
        <v>5</v>
      </c>
      <c r="S872" s="1">
        <f t="shared" si="1223"/>
        <v>0</v>
      </c>
      <c r="T872" s="1">
        <f t="shared" si="1224"/>
        <v>0</v>
      </c>
      <c r="U872" s="1">
        <f t="shared" si="1225"/>
        <v>0</v>
      </c>
      <c r="V872" s="1">
        <f t="shared" si="1226"/>
        <v>0</v>
      </c>
      <c r="W872" s="1">
        <f t="shared" si="1227"/>
        <v>1</v>
      </c>
      <c r="X872" s="1">
        <f t="shared" si="1228"/>
        <v>1</v>
      </c>
      <c r="Y872" s="1">
        <f t="shared" si="1229"/>
        <v>1</v>
      </c>
      <c r="Z872" s="1">
        <f t="shared" si="1230"/>
        <v>0</v>
      </c>
      <c r="AA872" s="1">
        <f t="shared" si="1231"/>
        <v>0</v>
      </c>
      <c r="AB872" s="1">
        <f t="shared" si="1232"/>
        <v>0</v>
      </c>
      <c r="AC872" s="1">
        <f t="shared" si="1233"/>
        <v>0</v>
      </c>
      <c r="AD872" s="1">
        <f>ROUNDDOWN(I872*(1+IF(F872=3,0.05+方案参数!$Y$27+AA872*0.12,IF(F872=4,方案参数!$BZ$27*方案参数!$AS$27,0)))+IF(AND(X872=1,F872&lt;&gt;3),方案参数!$CC$27,0)+AC872*方案参数!$CB$27,0)</f>
        <v>2534</v>
      </c>
      <c r="AE872" s="1">
        <f>IF(OR(F872=1,F872=4),配置与结果!$B$24,配置与结果!$B$25)*MAX(0,1-INDEX(配置与结果!$I$15:$I$18,F872))</f>
        <v>1200</v>
      </c>
      <c r="AF872" s="1">
        <f>0</f>
        <v>0</v>
      </c>
      <c r="AG872" s="1">
        <f>MAX(配置与结果!$B$32,1+INDEX(配置与结果!$F$15:$F$18,F872)+0.08+方案参数!$CD$27+Q872*方案参数!$W$27+Y872*(方案参数!$AN$27+MIN(方案参数!$AO$27,P872*0.03))+AB872*方案参数!$BZ$27*0.025-配置与结果!$B$28)</f>
        <v>1.2200000000000002</v>
      </c>
      <c r="AH872" s="1">
        <f>MAX(0,1+INDEX(配置与结果!$G$15:$G$18,F872)+W872*方案参数!$AG$27)</f>
        <v>1.3</v>
      </c>
      <c r="AI872" s="1">
        <f>IF(OR(INDEX(配置与结果!$K$15:$K$18,F872)=1,G872="RHI_BERRY"),1+配置与结果!$B$33+P872*方案参数!$AH$27,1)</f>
        <v>1</v>
      </c>
      <c r="AJ872" s="1">
        <f>MIN(1,MAX(0,J872+方案参数!$AB$27-配置与结果!$B$27))</f>
        <v>1</v>
      </c>
      <c r="AK872" s="1">
        <f>MAX(1,K872+IF(F872=2,0.15+方案参数!$CH$27,0)+BN872*方案参数!$X$27+R872*方案参数!$AA$27+0-配置与结果!$B$26+Z872*(方案参数!$AP$27+MIN(方案参数!$AQ$27,P872*0.03)))</f>
        <v>1.8050000000000002</v>
      </c>
      <c r="AL872" s="7">
        <f>ROUNDDOWN(MAX(AD872*配置与结果!$B$31,AD872-AE872)*AF872*AG872*AH872*AI872,0)</f>
        <v>0</v>
      </c>
      <c r="AM872" s="7">
        <f>ROUNDDOWN(MAX(AD872*配置与结果!$B$31,AD872-AE872)*AF872*AG872*AH872*AI872*AK872,0)</f>
        <v>0</v>
      </c>
      <c r="AN872" s="7">
        <f t="shared" si="1188"/>
        <v>0</v>
      </c>
      <c r="AO872" s="7">
        <f>0</f>
        <v>0</v>
      </c>
      <c r="AP872" s="7">
        <f>MAX(0,1+INDEX(配置与结果!$J$15:$J$18,F872)+IF(T872&gt;0,方案参数!$BY$27,0)-配置与结果!$B$30)</f>
        <v>1</v>
      </c>
      <c r="AQ872" s="7">
        <f t="shared" si="1189"/>
        <v>0</v>
      </c>
      <c r="AR872" s="7">
        <f t="shared" si="1190"/>
        <v>0</v>
      </c>
      <c r="AS872" s="7">
        <f t="shared" si="1191"/>
        <v>0</v>
      </c>
      <c r="AT872" s="7">
        <f>0</f>
        <v>0</v>
      </c>
      <c r="AU872" s="7">
        <f t="shared" si="1192"/>
        <v>0</v>
      </c>
      <c r="AV872" s="1">
        <f t="shared" si="1193"/>
        <v>1</v>
      </c>
      <c r="AW872" s="1">
        <f>MIN(10,M872+方案参数!$BD$27+0)</f>
        <v>3</v>
      </c>
      <c r="AX872" s="1">
        <f t="shared" si="1194"/>
        <v>0</v>
      </c>
      <c r="AY872" s="1">
        <f>MIN(20,MAX(0,O872+6+0-0))</f>
        <v>6</v>
      </c>
      <c r="AZ872" s="1">
        <f t="shared" si="1195"/>
        <v>3</v>
      </c>
      <c r="BA872" s="1">
        <f>MIN(6,Q872+0)</f>
        <v>2</v>
      </c>
      <c r="BB872" s="1">
        <f t="shared" si="1234"/>
        <v>5</v>
      </c>
      <c r="BC872" s="1">
        <f t="shared" si="1215"/>
        <v>0</v>
      </c>
      <c r="BD872" s="1">
        <f t="shared" si="1196"/>
        <v>0</v>
      </c>
      <c r="BE872" s="1">
        <f t="shared" si="1235"/>
        <v>0</v>
      </c>
      <c r="BF872" s="1">
        <f t="shared" si="1219"/>
        <v>0</v>
      </c>
      <c r="BG872" s="1">
        <f t="shared" ref="BG872:BG882" si="1239">MAX(W872,0)</f>
        <v>1</v>
      </c>
      <c r="BH872" s="1">
        <f t="shared" si="1236"/>
        <v>1</v>
      </c>
      <c r="BI872" s="1">
        <f t="shared" ref="BI872:BI882" si="1240">MAX(Y872,0)</f>
        <v>1</v>
      </c>
      <c r="BJ872" s="1">
        <f t="shared" si="1210"/>
        <v>0</v>
      </c>
      <c r="BK872" s="1">
        <f t="shared" si="1211"/>
        <v>0</v>
      </c>
      <c r="BL872" s="1">
        <f t="shared" si="1216"/>
        <v>0</v>
      </c>
      <c r="BM872" s="1">
        <f t="shared" si="1214"/>
        <v>0</v>
      </c>
      <c r="BN872" s="1">
        <f t="shared" si="1237"/>
        <v>1</v>
      </c>
      <c r="BO872" s="1">
        <f t="shared" si="1238"/>
        <v>1</v>
      </c>
    </row>
    <row r="873" spans="1:67" ht="30.95" customHeight="1">
      <c r="A873" s="1">
        <f>24</f>
        <v>24</v>
      </c>
      <c r="B873" s="1">
        <f>固定流程!A9</f>
        <v>4</v>
      </c>
      <c r="C873" s="1">
        <f>27</f>
        <v>27</v>
      </c>
      <c r="D873" s="1">
        <f>1</f>
        <v>1</v>
      </c>
      <c r="E873" s="1">
        <f>固定流程!C9</f>
        <v>1</v>
      </c>
      <c r="F873" s="1">
        <f>固定流程!G9</f>
        <v>1</v>
      </c>
      <c r="G873" s="1" t="str">
        <f>固定流程!H9</f>
        <v>LILYA_DIVE</v>
      </c>
      <c r="H873" s="1">
        <f>固定流程!F9</f>
        <v>1</v>
      </c>
      <c r="I873" s="1">
        <f>INDEX(配置与结果!$B$15:$B$18,F873)</f>
        <v>2296</v>
      </c>
      <c r="J873" s="1">
        <f>INDEX(配置与结果!$D$15:$D$18,F873)</f>
        <v>0.7</v>
      </c>
      <c r="K873" s="1">
        <f>INDEX(配置与结果!$E$15:$E$18,F873)</f>
        <v>2.0249999999999999</v>
      </c>
      <c r="L873" s="1">
        <f t="shared" si="1220"/>
        <v>1</v>
      </c>
      <c r="M873" s="1">
        <f t="shared" si="1220"/>
        <v>3</v>
      </c>
      <c r="N873" s="1">
        <f t="shared" si="1220"/>
        <v>0</v>
      </c>
      <c r="O873" s="1">
        <f t="shared" si="1220"/>
        <v>6</v>
      </c>
      <c r="P873" s="1">
        <f>MIN(方案参数!$AI$27,AZ872+0+0)</f>
        <v>3</v>
      </c>
      <c r="Q873" s="1">
        <f t="shared" si="1221"/>
        <v>2</v>
      </c>
      <c r="R873" s="1">
        <f t="shared" si="1222"/>
        <v>5</v>
      </c>
      <c r="S873" s="1">
        <f t="shared" si="1223"/>
        <v>0</v>
      </c>
      <c r="T873" s="1">
        <f t="shared" si="1224"/>
        <v>0</v>
      </c>
      <c r="U873" s="1">
        <f t="shared" si="1225"/>
        <v>0</v>
      </c>
      <c r="V873" s="1">
        <f t="shared" si="1226"/>
        <v>0</v>
      </c>
      <c r="W873" s="1">
        <f t="shared" si="1227"/>
        <v>1</v>
      </c>
      <c r="X873" s="1">
        <f t="shared" si="1228"/>
        <v>1</v>
      </c>
      <c r="Y873" s="1">
        <f t="shared" si="1229"/>
        <v>1</v>
      </c>
      <c r="Z873" s="1">
        <f t="shared" si="1230"/>
        <v>0</v>
      </c>
      <c r="AA873" s="1">
        <f t="shared" si="1231"/>
        <v>0</v>
      </c>
      <c r="AB873" s="1">
        <f t="shared" si="1232"/>
        <v>0</v>
      </c>
      <c r="AC873" s="1">
        <f t="shared" si="1233"/>
        <v>0</v>
      </c>
      <c r="AD873" s="1">
        <f>ROUNDDOWN(I873*(1+IF(F873=3,0.05+方案参数!$Y$27+AA873*0.12,IF(F873=4,方案参数!$BZ$27*方案参数!$AS$27,0)))+IF(AND(X873=1,F873&lt;&gt;3),方案参数!$CC$27,0)+AC873*方案参数!$CB$27,0)</f>
        <v>2534</v>
      </c>
      <c r="AE873" s="1">
        <f>IF(OR(F873=1,F873=4),配置与结果!$B$24,配置与结果!$B$25)*MAX(0,1-INDEX(配置与结果!$I$15:$I$18,F873))</f>
        <v>1200</v>
      </c>
      <c r="AF873" s="1">
        <f>(IF(L873=1,方案参数!$AW$27,IF(L873=2,方案参数!$AX$27,0))+方案参数!$AV$27)*H873</f>
        <v>6</v>
      </c>
      <c r="AG873" s="1">
        <f>MAX(配置与结果!$B$32,1+INDEX(配置与结果!$F$15:$F$18,F873)+0.08+方案参数!$CD$27+Q873*方案参数!$W$27+Y873*(方案参数!$AN$27+MIN(方案参数!$AO$27,P873*0.03))+AB873*方案参数!$BZ$27*0.025+IF(L873=1,方案参数!$AY$27+(H873-1)*0.1,IF(L873=2,方案参数!$AZ$27+(H873-1)*0.2,0))-配置与结果!$B$28)</f>
        <v>1.3200000000000003</v>
      </c>
      <c r="AH873" s="1">
        <f>MAX(0,1+INDEX(配置与结果!$G$15:$G$18,F873)+W873*方案参数!$AG$27+IF(L873=1,方案参数!$BA$27,IF(L873=2,方案参数!$BB$27,0))+M873*方案参数!$BC$27)</f>
        <v>2.08</v>
      </c>
      <c r="AI873" s="1">
        <f>IF(OR(INDEX(配置与结果!$K$15:$K$18,F873)=1,G873="RHI_BERRY"),1+配置与结果!$B$33+P873*方案参数!$AH$27,1)</f>
        <v>1</v>
      </c>
      <c r="AJ873" s="1">
        <f>MIN(1,MAX(0,J873+方案参数!$AB$27-配置与结果!$B$27))</f>
        <v>1</v>
      </c>
      <c r="AK873" s="1">
        <f>MAX(1,K873+IF(F873=2,0.15+方案参数!$CH$27,0)+BN873*方案参数!$X$27+R873*方案参数!$AA$27+0-配置与结果!$B$26+Z873*(方案参数!$AP$27+MIN(方案参数!$AQ$27,P873*0.03)))</f>
        <v>1.8050000000000002</v>
      </c>
      <c r="AL873" s="7">
        <f>ROUNDDOWN(MAX(AD873*配置与结果!$B$31,AD873-AE873)*AF873*AG873*AH873*AI873,0)</f>
        <v>21975</v>
      </c>
      <c r="AM873" s="7">
        <f>ROUNDDOWN(MAX(AD873*配置与结果!$B$31,AD873-AE873)*AF873*AG873*AH873*AI873*AK873,0)</f>
        <v>39666</v>
      </c>
      <c r="AN873" s="7">
        <f t="shared" si="1188"/>
        <v>39666</v>
      </c>
      <c r="AO873" s="7">
        <f>0</f>
        <v>0</v>
      </c>
      <c r="AP873" s="7">
        <f>MAX(0,1+INDEX(配置与结果!$J$15:$J$18,F873)+IF(T873&gt;0,方案参数!$BY$27,0)-配置与结果!$B$30)</f>
        <v>1</v>
      </c>
      <c r="AQ873" s="7">
        <f t="shared" si="1189"/>
        <v>0</v>
      </c>
      <c r="AR873" s="7">
        <f t="shared" si="1190"/>
        <v>0</v>
      </c>
      <c r="AS873" s="7">
        <f t="shared" si="1191"/>
        <v>0</v>
      </c>
      <c r="AT873" s="7">
        <f>0</f>
        <v>0</v>
      </c>
      <c r="AU873" s="7">
        <f t="shared" si="1192"/>
        <v>39666</v>
      </c>
      <c r="AV873" s="1">
        <f t="shared" si="1193"/>
        <v>1</v>
      </c>
      <c r="AW873" s="1">
        <f>MIN(10,M873+0+IF(L873=1,方案参数!$BE$27,0))</f>
        <v>4</v>
      </c>
      <c r="AX873" s="1">
        <f t="shared" si="1194"/>
        <v>0</v>
      </c>
      <c r="AY873" s="1">
        <f t="shared" ref="AY873:AY888" si="1241">MIN(20,MAX(0,O873+0+0-0))</f>
        <v>6</v>
      </c>
      <c r="AZ873" s="1">
        <f t="shared" si="1195"/>
        <v>3</v>
      </c>
      <c r="BA873" s="1">
        <f>MIN(6,Q873+0)</f>
        <v>2</v>
      </c>
      <c r="BB873" s="1">
        <f t="shared" si="1234"/>
        <v>5</v>
      </c>
      <c r="BC873" s="1">
        <f t="shared" si="1215"/>
        <v>0</v>
      </c>
      <c r="BD873" s="1">
        <f t="shared" si="1196"/>
        <v>0</v>
      </c>
      <c r="BE873" s="1">
        <f t="shared" si="1235"/>
        <v>0</v>
      </c>
      <c r="BF873" s="1">
        <f t="shared" si="1219"/>
        <v>0</v>
      </c>
      <c r="BG873" s="1">
        <f t="shared" si="1239"/>
        <v>1</v>
      </c>
      <c r="BH873" s="1">
        <f t="shared" si="1236"/>
        <v>1</v>
      </c>
      <c r="BI873" s="1">
        <f t="shared" si="1240"/>
        <v>1</v>
      </c>
      <c r="BJ873" s="1">
        <f t="shared" si="1210"/>
        <v>0</v>
      </c>
      <c r="BK873" s="1">
        <f t="shared" si="1211"/>
        <v>0</v>
      </c>
      <c r="BL873" s="1">
        <f t="shared" si="1216"/>
        <v>0</v>
      </c>
      <c r="BM873" s="1">
        <f t="shared" si="1214"/>
        <v>0</v>
      </c>
      <c r="BN873" s="1">
        <f t="shared" si="1237"/>
        <v>1</v>
      </c>
      <c r="BO873" s="1">
        <f t="shared" si="1238"/>
        <v>1</v>
      </c>
    </row>
    <row r="874" spans="1:67" ht="30.95" customHeight="1">
      <c r="A874" s="1">
        <f>24</f>
        <v>24</v>
      </c>
      <c r="B874" s="1">
        <f>固定流程!A10</f>
        <v>5</v>
      </c>
      <c r="C874" s="1">
        <f>27</f>
        <v>27</v>
      </c>
      <c r="D874" s="1">
        <f>1</f>
        <v>1</v>
      </c>
      <c r="E874" s="1">
        <f>固定流程!C10</f>
        <v>1</v>
      </c>
      <c r="F874" s="1">
        <f>固定流程!G10</f>
        <v>2</v>
      </c>
      <c r="G874" s="1" t="str">
        <f>固定流程!H10</f>
        <v>37_TRIANGLE</v>
      </c>
      <c r="H874" s="1">
        <f>固定流程!F10</f>
        <v>1</v>
      </c>
      <c r="I874" s="1">
        <f>INDEX(配置与结果!$B$15:$B$18,F874)</f>
        <v>2306</v>
      </c>
      <c r="J874" s="1">
        <f>INDEX(配置与结果!$D$15:$D$18,F874)</f>
        <v>0.46</v>
      </c>
      <c r="K874" s="1">
        <f>INDEX(配置与结果!$E$15:$E$18,F874)</f>
        <v>1.9279999999999999</v>
      </c>
      <c r="L874" s="1">
        <f t="shared" si="1220"/>
        <v>1</v>
      </c>
      <c r="M874" s="1">
        <f t="shared" si="1220"/>
        <v>4</v>
      </c>
      <c r="N874" s="1">
        <f t="shared" si="1220"/>
        <v>0</v>
      </c>
      <c r="O874" s="1">
        <f t="shared" si="1220"/>
        <v>6</v>
      </c>
      <c r="P874" s="1">
        <f>MIN(方案参数!$AI$27,AZ873+0+0)</f>
        <v>3</v>
      </c>
      <c r="Q874" s="1">
        <f t="shared" si="1221"/>
        <v>2</v>
      </c>
      <c r="R874" s="1">
        <f t="shared" si="1222"/>
        <v>5</v>
      </c>
      <c r="S874" s="1">
        <f t="shared" si="1223"/>
        <v>0</v>
      </c>
      <c r="T874" s="1">
        <f t="shared" si="1224"/>
        <v>0</v>
      </c>
      <c r="U874" s="1">
        <f t="shared" si="1225"/>
        <v>0</v>
      </c>
      <c r="V874" s="1">
        <f t="shared" si="1226"/>
        <v>0</v>
      </c>
      <c r="W874" s="1">
        <f t="shared" si="1227"/>
        <v>1</v>
      </c>
      <c r="X874" s="1">
        <f t="shared" si="1228"/>
        <v>1</v>
      </c>
      <c r="Y874" s="1">
        <f t="shared" si="1229"/>
        <v>1</v>
      </c>
      <c r="Z874" s="1">
        <f t="shared" si="1230"/>
        <v>0</v>
      </c>
      <c r="AA874" s="1">
        <f t="shared" si="1231"/>
        <v>0</v>
      </c>
      <c r="AB874" s="1">
        <f t="shared" si="1232"/>
        <v>0</v>
      </c>
      <c r="AC874" s="1">
        <f t="shared" si="1233"/>
        <v>0</v>
      </c>
      <c r="AD874" s="1">
        <f>ROUNDDOWN(I874*(1+IF(F874=3,0.05+方案参数!$Y$27+AA874*0.12,IF(F874=4,方案参数!$BZ$27*方案参数!$AS$27,0)))+IF(AND(X874=1,F874&lt;&gt;3),方案参数!$CC$27,0)+AC874*方案参数!$CB$27,0)</f>
        <v>2544</v>
      </c>
      <c r="AE874" s="1">
        <f>IF(OR(F874=1,F874=4),配置与结果!$B$24,配置与结果!$B$25)*MAX(0,1-INDEX(配置与结果!$I$15:$I$18,F874))</f>
        <v>1000</v>
      </c>
      <c r="AF874" s="1">
        <f>方案参数!$BS$27*IF(H874=1,1,IF(H874=2,1.5,2.5))</f>
        <v>2.8</v>
      </c>
      <c r="AG874" s="1">
        <f>MAX(配置与结果!$B$32,1+INDEX(配置与结果!$F$15:$F$18,F874)+0+Q874*方案参数!$W$27+Y874*(方案参数!$AN$27+MIN(方案参数!$AO$27,P874*0.03))+AB874*方案参数!$BZ$27*0.025-配置与结果!$B$28)</f>
        <v>0.8849999999999999</v>
      </c>
      <c r="AH874" s="1">
        <f>MAX(0,1+INDEX(配置与结果!$G$15:$G$18,F874)+W874*方案参数!$AG$27)</f>
        <v>1.3</v>
      </c>
      <c r="AI874" s="1">
        <f>IF(OR(INDEX(配置与结果!$K$15:$K$18,F874)=1,G874="RHI_BERRY"),1+配置与结果!$B$33+P874*方案参数!$AH$27,1)</f>
        <v>1</v>
      </c>
      <c r="AJ874" s="1">
        <f>MIN(1,MAX(0,J874+方案参数!$AB$27-配置与结果!$B$27))</f>
        <v>0.76</v>
      </c>
      <c r="AK874" s="1">
        <f>MAX(1,K874+IF(F874=2,0.15+方案参数!$CH$27,0)+BN874*方案参数!$X$27+R874*方案参数!$AA$27+0-配置与结果!$B$26+Z874*(方案参数!$AP$27+MIN(方案参数!$AQ$27,P874*0.03)))</f>
        <v>1.9780000000000002</v>
      </c>
      <c r="AL874" s="7">
        <f>ROUNDDOWN(MAX(AD874*配置与结果!$B$31,AD874-AE874)*AF874*AG874*AH874*AI874,0)</f>
        <v>4973</v>
      </c>
      <c r="AM874" s="7">
        <f>ROUNDDOWN(MAX(AD874*配置与结果!$B$31,AD874-AE874)*AF874*AG874*AH874*AI874*AK874,0)</f>
        <v>9838</v>
      </c>
      <c r="AN874" s="7">
        <f t="shared" si="1188"/>
        <v>8670.4</v>
      </c>
      <c r="AO874" s="7">
        <f>方案参数!$BU$27*IF(H874=1,1,IF(H874=2,1.5,2.5))</f>
        <v>0.8</v>
      </c>
      <c r="AP874" s="7">
        <f>MAX(0,1+INDEX(配置与结果!$J$15:$J$18,F874)+IF(T874&gt;0,方案参数!$BY$27,0)-配置与结果!$B$30)</f>
        <v>1</v>
      </c>
      <c r="AQ874" s="7">
        <f t="shared" si="1189"/>
        <v>2035</v>
      </c>
      <c r="AR874" s="7">
        <f t="shared" si="1190"/>
        <v>4025</v>
      </c>
      <c r="AS874" s="7">
        <f t="shared" si="1191"/>
        <v>3547.4</v>
      </c>
      <c r="AT874" s="7">
        <f>0</f>
        <v>0</v>
      </c>
      <c r="AU874" s="7">
        <f t="shared" si="1192"/>
        <v>12217.8</v>
      </c>
      <c r="AV874" s="1">
        <f t="shared" si="1193"/>
        <v>1</v>
      </c>
      <c r="AW874" s="1">
        <f>MIN(10,M874+0+0)</f>
        <v>4</v>
      </c>
      <c r="AX874" s="1">
        <f t="shared" si="1194"/>
        <v>0</v>
      </c>
      <c r="AY874" s="1">
        <f t="shared" si="1241"/>
        <v>6</v>
      </c>
      <c r="AZ874" s="1">
        <f t="shared" si="1195"/>
        <v>3</v>
      </c>
      <c r="BA874" s="1">
        <f>MIN(6,Q874+0)</f>
        <v>2</v>
      </c>
      <c r="BB874" s="1">
        <f t="shared" si="1234"/>
        <v>5</v>
      </c>
      <c r="BC874" s="1">
        <f t="shared" si="1215"/>
        <v>0</v>
      </c>
      <c r="BD874" s="1">
        <f>MAX(0,T874-IF(AO874&gt;0,1,0))+1</f>
        <v>1</v>
      </c>
      <c r="BE874" s="1">
        <f t="shared" si="1235"/>
        <v>0</v>
      </c>
      <c r="BF874" s="1">
        <f t="shared" si="1219"/>
        <v>0</v>
      </c>
      <c r="BG874" s="1">
        <f t="shared" si="1239"/>
        <v>1</v>
      </c>
      <c r="BH874" s="1">
        <f t="shared" si="1236"/>
        <v>1</v>
      </c>
      <c r="BI874" s="1">
        <f t="shared" si="1240"/>
        <v>1</v>
      </c>
      <c r="BJ874" s="1">
        <f t="shared" si="1210"/>
        <v>0</v>
      </c>
      <c r="BK874" s="1">
        <f t="shared" si="1211"/>
        <v>0</v>
      </c>
      <c r="BL874" s="1">
        <f t="shared" si="1216"/>
        <v>0</v>
      </c>
      <c r="BM874" s="1">
        <f t="shared" si="1214"/>
        <v>0</v>
      </c>
      <c r="BN874" s="1">
        <f t="shared" si="1237"/>
        <v>1</v>
      </c>
      <c r="BO874" s="1">
        <f t="shared" si="1238"/>
        <v>1</v>
      </c>
    </row>
    <row r="875" spans="1:67" ht="30.95" customHeight="1">
      <c r="A875" s="1">
        <f>24</f>
        <v>24</v>
      </c>
      <c r="B875" s="1">
        <f>固定流程!A11</f>
        <v>6</v>
      </c>
      <c r="C875" s="1">
        <f>27</f>
        <v>27</v>
      </c>
      <c r="D875" s="1">
        <f>1</f>
        <v>1</v>
      </c>
      <c r="E875" s="1">
        <f>固定流程!C11</f>
        <v>1</v>
      </c>
      <c r="F875" s="1">
        <f>固定流程!G11</f>
        <v>2</v>
      </c>
      <c r="G875" s="1" t="str">
        <f>固定流程!H11</f>
        <v>37_FOLLOW</v>
      </c>
      <c r="H875" s="1">
        <f>固定流程!F11</f>
        <v>1</v>
      </c>
      <c r="I875" s="1">
        <f>INDEX(配置与结果!$B$15:$B$18,F875)</f>
        <v>2306</v>
      </c>
      <c r="J875" s="1">
        <f>INDEX(配置与结果!$D$15:$D$18,F875)</f>
        <v>0.46</v>
      </c>
      <c r="K875" s="1">
        <f>INDEX(配置与结果!$E$15:$E$18,F875)</f>
        <v>1.9279999999999999</v>
      </c>
      <c r="L875" s="1">
        <f t="shared" si="1220"/>
        <v>1</v>
      </c>
      <c r="M875" s="1">
        <f t="shared" si="1220"/>
        <v>4</v>
      </c>
      <c r="N875" s="1">
        <f t="shared" si="1220"/>
        <v>0</v>
      </c>
      <c r="O875" s="1">
        <f t="shared" si="1220"/>
        <v>6</v>
      </c>
      <c r="P875" s="1">
        <f>MIN(方案参数!$AI$27,AZ874+0+0)</f>
        <v>3</v>
      </c>
      <c r="Q875" s="1">
        <f t="shared" si="1221"/>
        <v>2</v>
      </c>
      <c r="R875" s="1">
        <f t="shared" si="1222"/>
        <v>5</v>
      </c>
      <c r="S875" s="1">
        <f t="shared" si="1223"/>
        <v>0</v>
      </c>
      <c r="T875" s="1">
        <f t="shared" si="1224"/>
        <v>1</v>
      </c>
      <c r="U875" s="1">
        <f t="shared" si="1225"/>
        <v>0</v>
      </c>
      <c r="V875" s="1">
        <f t="shared" si="1226"/>
        <v>0</v>
      </c>
      <c r="W875" s="1">
        <f t="shared" si="1227"/>
        <v>1</v>
      </c>
      <c r="X875" s="1">
        <f t="shared" si="1228"/>
        <v>1</v>
      </c>
      <c r="Y875" s="1">
        <f t="shared" si="1229"/>
        <v>1</v>
      </c>
      <c r="Z875" s="1">
        <f t="shared" si="1230"/>
        <v>0</v>
      </c>
      <c r="AA875" s="1">
        <f t="shared" si="1231"/>
        <v>0</v>
      </c>
      <c r="AB875" s="1">
        <f t="shared" si="1232"/>
        <v>0</v>
      </c>
      <c r="AC875" s="1">
        <f t="shared" si="1233"/>
        <v>0</v>
      </c>
      <c r="AD875" s="1">
        <f>ROUNDDOWN(I875*(1+IF(F875=3,0.05+方案参数!$Y$27+AA875*0.12,IF(F875=4,方案参数!$BZ$27*方案参数!$AS$27,0)))+IF(AND(X875=1,F875&lt;&gt;3),方案参数!$CC$27,0)+AC875*方案参数!$CB$27,0)</f>
        <v>2544</v>
      </c>
      <c r="AE875" s="1">
        <f>IF(OR(F875=1,F875=4),配置与结果!$B$24,配置与结果!$B$25)*MAX(0,1-INDEX(配置与结果!$I$15:$I$18,F875))</f>
        <v>1000</v>
      </c>
      <c r="AF875" s="1">
        <f>方案参数!$BV$27</f>
        <v>3</v>
      </c>
      <c r="AG875" s="1">
        <f>MAX(配置与结果!$B$32,1+INDEX(配置与结果!$F$15:$F$18,F875)+0+Q875*方案参数!$W$27+Y875*(方案参数!$AN$27+MIN(方案参数!$AO$27,P875*0.03))+AB875*方案参数!$BZ$27*0.025-配置与结果!$B$28)</f>
        <v>0.8849999999999999</v>
      </c>
      <c r="AH875" s="1">
        <f>MAX(0,1+INDEX(配置与结果!$G$15:$G$18,F875)+W875*方案参数!$AG$27)</f>
        <v>1.3</v>
      </c>
      <c r="AI875" s="1">
        <f>IF(OR(INDEX(配置与结果!$K$15:$K$18,F875)=1,G875="RHI_BERRY"),1+配置与结果!$B$33+P875*方案参数!$AH$27,1)</f>
        <v>1</v>
      </c>
      <c r="AJ875" s="1">
        <f>MIN(1,MAX(0,J875+方案参数!$AB$27-配置与结果!$B$27))</f>
        <v>0.76</v>
      </c>
      <c r="AK875" s="1">
        <f>MAX(1,K875+IF(F875=2,0.15+方案参数!$CH$27,0)+BN875*方案参数!$X$27+R875*方案参数!$AA$27+0-配置与结果!$B$26+Z875*(方案参数!$AP$27+MIN(方案参数!$AQ$27,P875*0.03)))</f>
        <v>1.9780000000000002</v>
      </c>
      <c r="AL875" s="7">
        <f>ROUNDDOWN(MAX(AD875*配置与结果!$B$31,AD875-AE875)*AF875*AG875*AH875*AI875,0)</f>
        <v>5329</v>
      </c>
      <c r="AM875" s="7">
        <f>ROUNDDOWN(MAX(AD875*配置与结果!$B$31,AD875-AE875)*AF875*AG875*AH875*AI875*AK875,0)</f>
        <v>10540</v>
      </c>
      <c r="AN875" s="7">
        <f t="shared" si="1188"/>
        <v>9289.36</v>
      </c>
      <c r="AO875" s="7">
        <f>方案参数!$BW$27</f>
        <v>1</v>
      </c>
      <c r="AP875" s="7">
        <f>MAX(0,1+INDEX(配置与结果!$J$15:$J$18,F875)+IF(T875&gt;0,方案参数!$BY$27,0)-配置与结果!$B$30)</f>
        <v>2</v>
      </c>
      <c r="AQ875" s="7">
        <f t="shared" si="1189"/>
        <v>5088</v>
      </c>
      <c r="AR875" s="7">
        <f t="shared" si="1190"/>
        <v>10064</v>
      </c>
      <c r="AS875" s="7">
        <f t="shared" si="1191"/>
        <v>8869.76</v>
      </c>
      <c r="AT875" s="7">
        <f>0</f>
        <v>0</v>
      </c>
      <c r="AU875" s="7">
        <f t="shared" si="1192"/>
        <v>18159.120000000003</v>
      </c>
      <c r="AV875" s="1">
        <f t="shared" si="1193"/>
        <v>1</v>
      </c>
      <c r="AW875" s="1">
        <f>MIN(10,M875+0+0)</f>
        <v>4</v>
      </c>
      <c r="AX875" s="1">
        <f t="shared" si="1194"/>
        <v>0</v>
      </c>
      <c r="AY875" s="1">
        <f t="shared" si="1241"/>
        <v>6</v>
      </c>
      <c r="AZ875" s="1">
        <f t="shared" si="1195"/>
        <v>3</v>
      </c>
      <c r="BA875" s="1">
        <f>MIN(6,Q875+0)</f>
        <v>2</v>
      </c>
      <c r="BB875" s="1">
        <f t="shared" si="1234"/>
        <v>5</v>
      </c>
      <c r="BC875" s="1">
        <f t="shared" si="1215"/>
        <v>0</v>
      </c>
      <c r="BD875" s="1">
        <f t="shared" ref="BD875:BD909" si="1242">MAX(0,T875-IF(AO875&gt;0,1,0))+0</f>
        <v>0</v>
      </c>
      <c r="BE875" s="1">
        <f t="shared" si="1235"/>
        <v>0</v>
      </c>
      <c r="BF875" s="1">
        <f>MIN(4,V875+1)</f>
        <v>1</v>
      </c>
      <c r="BG875" s="1">
        <f t="shared" si="1239"/>
        <v>1</v>
      </c>
      <c r="BH875" s="1">
        <f t="shared" si="1236"/>
        <v>1</v>
      </c>
      <c r="BI875" s="1">
        <f t="shared" si="1240"/>
        <v>1</v>
      </c>
      <c r="BJ875" s="1">
        <f t="shared" si="1210"/>
        <v>0</v>
      </c>
      <c r="BK875" s="1">
        <f t="shared" si="1211"/>
        <v>0</v>
      </c>
      <c r="BL875" s="1">
        <f t="shared" si="1216"/>
        <v>0</v>
      </c>
      <c r="BM875" s="1">
        <f t="shared" si="1214"/>
        <v>0</v>
      </c>
      <c r="BN875" s="1">
        <f t="shared" si="1237"/>
        <v>1</v>
      </c>
      <c r="BO875" s="1">
        <f t="shared" si="1238"/>
        <v>1</v>
      </c>
    </row>
    <row r="876" spans="1:67" ht="30.95" customHeight="1">
      <c r="A876" s="1">
        <f>24</f>
        <v>24</v>
      </c>
      <c r="B876" s="1">
        <f>固定流程!A12</f>
        <v>7</v>
      </c>
      <c r="C876" s="1">
        <f>27</f>
        <v>27</v>
      </c>
      <c r="D876" s="1">
        <f>1</f>
        <v>1</v>
      </c>
      <c r="E876" s="1">
        <f>固定流程!C12</f>
        <v>1</v>
      </c>
      <c r="F876" s="1">
        <f>固定流程!G12</f>
        <v>4</v>
      </c>
      <c r="G876" s="1" t="str">
        <f>固定流程!H12</f>
        <v>J_HARD</v>
      </c>
      <c r="H876" s="1">
        <f>固定流程!F12</f>
        <v>1</v>
      </c>
      <c r="I876" s="1">
        <f>INDEX(配置与结果!$B$15:$B$18,F876)</f>
        <v>1906</v>
      </c>
      <c r="J876" s="1">
        <f>INDEX(配置与结果!$D$15:$D$18,F876)</f>
        <v>0.36699999999999999</v>
      </c>
      <c r="K876" s="1">
        <f>INDEX(配置与结果!$E$15:$E$18,F876)</f>
        <v>1.7170000000000001</v>
      </c>
      <c r="L876" s="1">
        <f t="shared" si="1220"/>
        <v>1</v>
      </c>
      <c r="M876" s="1">
        <f t="shared" si="1220"/>
        <v>4</v>
      </c>
      <c r="N876" s="1">
        <f t="shared" si="1220"/>
        <v>0</v>
      </c>
      <c r="O876" s="1">
        <f t="shared" si="1220"/>
        <v>6</v>
      </c>
      <c r="P876" s="1">
        <f>MIN(方案参数!$AI$27,AZ875+0+0)</f>
        <v>3</v>
      </c>
      <c r="Q876" s="1">
        <f t="shared" si="1221"/>
        <v>2</v>
      </c>
      <c r="R876" s="1">
        <f t="shared" si="1222"/>
        <v>5</v>
      </c>
      <c r="S876" s="1">
        <f t="shared" si="1223"/>
        <v>0</v>
      </c>
      <c r="T876" s="1">
        <f t="shared" si="1224"/>
        <v>0</v>
      </c>
      <c r="U876" s="1">
        <f t="shared" si="1225"/>
        <v>0</v>
      </c>
      <c r="V876" s="1">
        <f t="shared" si="1226"/>
        <v>1</v>
      </c>
      <c r="W876" s="1">
        <f t="shared" si="1227"/>
        <v>1</v>
      </c>
      <c r="X876" s="1">
        <f t="shared" si="1228"/>
        <v>1</v>
      </c>
      <c r="Y876" s="1">
        <f t="shared" si="1229"/>
        <v>1</v>
      </c>
      <c r="Z876" s="1">
        <f t="shared" si="1230"/>
        <v>0</v>
      </c>
      <c r="AA876" s="1">
        <f t="shared" si="1231"/>
        <v>0</v>
      </c>
      <c r="AB876" s="1">
        <f t="shared" si="1232"/>
        <v>0</v>
      </c>
      <c r="AC876" s="1">
        <f t="shared" si="1233"/>
        <v>0</v>
      </c>
      <c r="AD876" s="1">
        <f>ROUNDDOWN(I876*(1+IF(F876=3,0.05+方案参数!$Y$27+AA876*0.12,IF(F876=4,方案参数!$BZ$27*方案参数!$AS$27,0)))+IF(AND(X876=1,F876&lt;&gt;3),方案参数!$CC$27,0)+AC876*方案参数!$CB$27,0)</f>
        <v>3859</v>
      </c>
      <c r="AE876" s="1">
        <f>IF(OR(F876=1,F876=4),配置与结果!$B$24,配置与结果!$B$25)*MAX(0,1-INDEX(配置与结果!$I$15:$I$18,F876))</f>
        <v>1200</v>
      </c>
      <c r="AF876" s="1">
        <f>3.6*IF(H876=1,1,IF(H876=2,1.5,2.5))</f>
        <v>3.6</v>
      </c>
      <c r="AG876" s="1">
        <f>MAX(配置与结果!$B$32,1+INDEX(配置与结果!$F$15:$F$18,F876)+0.08+Q876*方案参数!$W$27+Y876*(方案参数!$AN$27+MIN(方案参数!$AO$27,P876*0.03))+AB876*方案参数!$BZ$27*0.025+0.1+IF(方案参数!$BZ$27&gt;=30,方案参数!$BZ$27*0.01,0)-配置与结果!$B$28)</f>
        <v>1.5350000000000001</v>
      </c>
      <c r="AH876" s="1">
        <f>MAX(0,1+INDEX(配置与结果!$G$15:$G$18,F876)+W876*方案参数!$AG$27)</f>
        <v>1.3</v>
      </c>
      <c r="AI876" s="1">
        <f>IF(OR(INDEX(配置与结果!$K$15:$K$18,F876)=1,G876="RHI_BERRY"),1+配置与结果!$B$33+P876*方案参数!$AH$27,1)</f>
        <v>1</v>
      </c>
      <c r="AJ876" s="1">
        <f>MIN(1,MAX(0,J876+方案参数!$AB$27-配置与结果!$B$27))</f>
        <v>0.66700000000000004</v>
      </c>
      <c r="AK876" s="1">
        <f>MAX(1,K876+IF(F876=2,0.15+方案参数!$CH$27,0)+BN876*方案参数!$X$27+R876*方案参数!$AA$27+0-配置与结果!$B$26+Z876*(方案参数!$AP$27+MIN(方案参数!$AQ$27,P876*0.03)))</f>
        <v>1.4969999999999999</v>
      </c>
      <c r="AL876" s="7">
        <f>ROUNDDOWN(MAX(AD876*配置与结果!$B$31,AD876-AE876)*AF876*AG876*AH876*AI876,0)</f>
        <v>19101</v>
      </c>
      <c r="AM876" s="7">
        <f>ROUNDDOWN(MAX(AD876*配置与结果!$B$31,AD876-AE876)*AF876*AG876*AH876*AI876*AK876,0)</f>
        <v>28595</v>
      </c>
      <c r="AN876" s="7">
        <f t="shared" si="1188"/>
        <v>25433.498</v>
      </c>
      <c r="AO876" s="7">
        <f>0</f>
        <v>0</v>
      </c>
      <c r="AP876" s="7">
        <f>MAX(0,1+INDEX(配置与结果!$J$15:$J$18,F876)+IF(T876&gt;0,方案参数!$BY$27,0)-配置与结果!$B$30)</f>
        <v>1</v>
      </c>
      <c r="AQ876" s="7">
        <f t="shared" si="1189"/>
        <v>0</v>
      </c>
      <c r="AR876" s="7">
        <f t="shared" si="1190"/>
        <v>0</v>
      </c>
      <c r="AS876" s="7">
        <f t="shared" si="1191"/>
        <v>0</v>
      </c>
      <c r="AT876" s="7">
        <f>0</f>
        <v>0</v>
      </c>
      <c r="AU876" s="7">
        <f t="shared" si="1192"/>
        <v>25433.498</v>
      </c>
      <c r="AV876" s="1">
        <f t="shared" si="1193"/>
        <v>1</v>
      </c>
      <c r="AW876" s="1">
        <f>MIN(10,M876+0+0)</f>
        <v>4</v>
      </c>
      <c r="AX876" s="1">
        <f t="shared" si="1194"/>
        <v>0</v>
      </c>
      <c r="AY876" s="1">
        <f t="shared" si="1241"/>
        <v>6</v>
      </c>
      <c r="AZ876" s="1">
        <f t="shared" si="1195"/>
        <v>3</v>
      </c>
      <c r="BA876" s="1">
        <f>MIN(6,Q876+0)</f>
        <v>2</v>
      </c>
      <c r="BB876" s="1">
        <f t="shared" si="1234"/>
        <v>5</v>
      </c>
      <c r="BC876" s="1">
        <f>MIN(3,S876+1)</f>
        <v>1</v>
      </c>
      <c r="BD876" s="1">
        <f t="shared" si="1242"/>
        <v>0</v>
      </c>
      <c r="BE876" s="1">
        <f t="shared" si="1235"/>
        <v>0</v>
      </c>
      <c r="BF876" s="1">
        <f>MIN(4,V876+0)</f>
        <v>1</v>
      </c>
      <c r="BG876" s="1">
        <f t="shared" si="1239"/>
        <v>1</v>
      </c>
      <c r="BH876" s="1">
        <f t="shared" si="1236"/>
        <v>1</v>
      </c>
      <c r="BI876" s="1">
        <f t="shared" si="1240"/>
        <v>1</v>
      </c>
      <c r="BJ876" s="1">
        <f t="shared" si="1210"/>
        <v>0</v>
      </c>
      <c r="BK876" s="1">
        <f t="shared" si="1211"/>
        <v>0</v>
      </c>
      <c r="BL876" s="1">
        <f t="shared" si="1216"/>
        <v>0</v>
      </c>
      <c r="BM876" s="1">
        <f t="shared" si="1214"/>
        <v>0</v>
      </c>
      <c r="BN876" s="1">
        <f t="shared" si="1237"/>
        <v>1</v>
      </c>
      <c r="BO876" s="1">
        <f t="shared" si="1238"/>
        <v>1</v>
      </c>
    </row>
    <row r="877" spans="1:67" ht="30.95" customHeight="1">
      <c r="A877" s="1">
        <f>24</f>
        <v>24</v>
      </c>
      <c r="B877" s="1">
        <f>固定流程!A13</f>
        <v>8</v>
      </c>
      <c r="C877" s="1">
        <f>27</f>
        <v>27</v>
      </c>
      <c r="D877" s="1">
        <f>1</f>
        <v>1</v>
      </c>
      <c r="E877" s="1">
        <f>固定流程!C13</f>
        <v>2</v>
      </c>
      <c r="F877" s="1">
        <f>固定流程!G13</f>
        <v>3</v>
      </c>
      <c r="G877" s="1" t="str">
        <f>固定流程!H13</f>
        <v>RHI_ATTACK</v>
      </c>
      <c r="H877" s="1">
        <f>固定流程!F13</f>
        <v>1</v>
      </c>
      <c r="I877" s="1">
        <f>INDEX(配置与结果!$B$15:$B$18,F877)</f>
        <v>2597</v>
      </c>
      <c r="J877" s="1">
        <f>INDEX(配置与结果!$D$15:$D$18,F877)</f>
        <v>0.255</v>
      </c>
      <c r="K877" s="1">
        <f>INDEX(配置与结果!$E$15:$E$18,F877)</f>
        <v>1.55</v>
      </c>
      <c r="L877" s="1">
        <f>IF(AV876=1,IF(M877&gt;=10,2,1),IF(AV876=2,IF(AX876&lt;=1,0,2),0))</f>
        <v>1</v>
      </c>
      <c r="M877" s="1">
        <f>IF(AND(AV876=2,AX876&lt;=1),0,MIN(10,AW876+IF(AV876=1,3,0)))</f>
        <v>7</v>
      </c>
      <c r="N877" s="1">
        <f>IF(AND(AV876=1,M877&gt;=10),2,IF(AV876=2,MAX(0,AX876-1),0))</f>
        <v>0</v>
      </c>
      <c r="O877" s="1">
        <f t="shared" ref="O877:O905" si="1243">AY876</f>
        <v>6</v>
      </c>
      <c r="P877" s="1">
        <f>MIN(方案参数!$AI$27,AZ876+方案参数!$AJ$27+方案参数!$AK$27)</f>
        <v>5</v>
      </c>
      <c r="Q877" s="1">
        <f t="shared" si="1221"/>
        <v>2</v>
      </c>
      <c r="R877" s="1">
        <f t="shared" si="1222"/>
        <v>5</v>
      </c>
      <c r="S877" s="1">
        <f t="shared" si="1223"/>
        <v>1</v>
      </c>
      <c r="T877" s="1">
        <f t="shared" si="1224"/>
        <v>0</v>
      </c>
      <c r="U877" s="1">
        <f t="shared" si="1225"/>
        <v>0</v>
      </c>
      <c r="V877" s="1">
        <f t="shared" si="1226"/>
        <v>1</v>
      </c>
      <c r="W877" s="1">
        <f t="shared" si="1227"/>
        <v>1</v>
      </c>
      <c r="X877" s="1">
        <f t="shared" si="1228"/>
        <v>1</v>
      </c>
      <c r="Y877" s="1">
        <f t="shared" si="1229"/>
        <v>1</v>
      </c>
      <c r="Z877" s="1">
        <f t="shared" si="1230"/>
        <v>0</v>
      </c>
      <c r="AA877" s="1">
        <f>MAX(BK876,1)</f>
        <v>1</v>
      </c>
      <c r="AB877" s="1">
        <f t="shared" si="1232"/>
        <v>0</v>
      </c>
      <c r="AC877" s="1">
        <f t="shared" si="1233"/>
        <v>0</v>
      </c>
      <c r="AD877" s="1">
        <f>ROUNDDOWN(I877*(1+IF(F877=3,0.05+方案参数!$Y$27+AA877*0.12,IF(F877=4,方案参数!$BZ$27*方案参数!$AS$27,0)))+IF(AND(X877=1,F877&lt;&gt;3),方案参数!$CC$27,0)+AC877*方案参数!$CB$27,0)</f>
        <v>3298</v>
      </c>
      <c r="AE877" s="1">
        <f>IF(OR(F877=1,F877=4),配置与结果!$B$24,配置与结果!$B$25)*MAX(0,1-INDEX(配置与结果!$I$15:$I$18,F877))</f>
        <v>1000</v>
      </c>
      <c r="AF877" s="1">
        <f>4</f>
        <v>4</v>
      </c>
      <c r="AG877" s="1">
        <f>MAX(配置与结果!$B$32,1+INDEX(配置与结果!$F$15:$F$18,F877)+0+Q877*方案参数!$W$27+Y877*(方案参数!$AN$27+MIN(方案参数!$AO$27,P877*0.03))+AB877*方案参数!$BZ$27*0.025-配置与结果!$B$28)</f>
        <v>0.97499999999999998</v>
      </c>
      <c r="AH877" s="1">
        <f>MAX(0,1+INDEX(配置与结果!$G$15:$G$18,F877)+W877*方案参数!$AG$27)</f>
        <v>1.3</v>
      </c>
      <c r="AI877" s="1">
        <f>IF(OR(INDEX(配置与结果!$K$15:$K$18,F877)=1,G877="RHI_BERRY"),1+配置与结果!$B$33+P877*方案参数!$AH$27,1)</f>
        <v>1</v>
      </c>
      <c r="AJ877" s="1">
        <f>MIN(1,MAX(0,J877+方案参数!$AB$27-配置与结果!$B$27))</f>
        <v>0.55499999999999994</v>
      </c>
      <c r="AK877" s="1">
        <f>MAX(1,K877+IF(F877=2,0.15+方案参数!$CH$27,0)+BN877*方案参数!$X$27+R877*方案参数!$AA$27+0-配置与结果!$B$26+Z877*(方案参数!$AP$27+MIN(方案参数!$AQ$27,P877*0.03)))</f>
        <v>1.33</v>
      </c>
      <c r="AL877" s="7">
        <f>ROUNDDOWN(MAX(AD877*配置与结果!$B$31,AD877-AE877)*AF877*AG877*AH877*AI877,0)</f>
        <v>11650</v>
      </c>
      <c r="AM877" s="7">
        <f>ROUNDDOWN(MAX(AD877*配置与结果!$B$31,AD877-AE877)*AF877*AG877*AH877*AI877*AK877,0)</f>
        <v>15495</v>
      </c>
      <c r="AN877" s="7">
        <f t="shared" si="1188"/>
        <v>13783.974999999999</v>
      </c>
      <c r="AO877" s="7">
        <f>0</f>
        <v>0</v>
      </c>
      <c r="AP877" s="7">
        <f>MAX(0,1+INDEX(配置与结果!$J$15:$J$18,F877)+IF(T877&gt;0,方案参数!$BY$27,0)-配置与结果!$B$30)</f>
        <v>1</v>
      </c>
      <c r="AQ877" s="7">
        <f t="shared" si="1189"/>
        <v>0</v>
      </c>
      <c r="AR877" s="7">
        <f t="shared" si="1190"/>
        <v>0</v>
      </c>
      <c r="AS877" s="7">
        <f t="shared" si="1191"/>
        <v>0</v>
      </c>
      <c r="AT877" s="7">
        <f>0</f>
        <v>0</v>
      </c>
      <c r="AU877" s="7">
        <f t="shared" si="1192"/>
        <v>13783.974999999999</v>
      </c>
      <c r="AV877" s="1">
        <f t="shared" si="1193"/>
        <v>1</v>
      </c>
      <c r="AW877" s="1">
        <f>MIN(10,M877+0+0)</f>
        <v>7</v>
      </c>
      <c r="AX877" s="1">
        <f t="shared" si="1194"/>
        <v>0</v>
      </c>
      <c r="AY877" s="1">
        <f t="shared" si="1241"/>
        <v>6</v>
      </c>
      <c r="AZ877" s="1">
        <f t="shared" si="1195"/>
        <v>5</v>
      </c>
      <c r="BA877" s="1">
        <f>MIN(6,Q877+1)</f>
        <v>3</v>
      </c>
      <c r="BB877" s="1">
        <f t="shared" si="1234"/>
        <v>5</v>
      </c>
      <c r="BC877" s="1">
        <f>MIN(3,S877+0)</f>
        <v>1</v>
      </c>
      <c r="BD877" s="1">
        <f t="shared" si="1242"/>
        <v>0</v>
      </c>
      <c r="BE877" s="1">
        <f t="shared" si="1235"/>
        <v>0</v>
      </c>
      <c r="BF877" s="1">
        <f>MIN(4,V877+0)</f>
        <v>1</v>
      </c>
      <c r="BG877" s="1">
        <f t="shared" si="1239"/>
        <v>1</v>
      </c>
      <c r="BH877" s="1">
        <f t="shared" si="1236"/>
        <v>1</v>
      </c>
      <c r="BI877" s="1">
        <f t="shared" si="1240"/>
        <v>1</v>
      </c>
      <c r="BJ877" s="1">
        <f>MAX(Z877,1)</f>
        <v>1</v>
      </c>
      <c r="BK877" s="1">
        <f>MAX(AA877,1)</f>
        <v>1</v>
      </c>
      <c r="BL877" s="1">
        <f t="shared" si="1216"/>
        <v>0</v>
      </c>
      <c r="BM877" s="1">
        <f t="shared" si="1214"/>
        <v>0</v>
      </c>
      <c r="BN877" s="1">
        <f t="shared" si="1237"/>
        <v>1</v>
      </c>
      <c r="BO877" s="1">
        <f t="shared" si="1238"/>
        <v>1</v>
      </c>
    </row>
    <row r="878" spans="1:67" ht="30.95" customHeight="1">
      <c r="A878" s="1">
        <f>24</f>
        <v>24</v>
      </c>
      <c r="B878" s="1">
        <f>固定流程!A14</f>
        <v>9</v>
      </c>
      <c r="C878" s="1">
        <f>27</f>
        <v>27</v>
      </c>
      <c r="D878" s="1">
        <f>1</f>
        <v>1</v>
      </c>
      <c r="E878" s="1">
        <f>固定流程!C14</f>
        <v>2</v>
      </c>
      <c r="F878" s="1">
        <f>固定流程!G14</f>
        <v>1</v>
      </c>
      <c r="G878" s="1" t="str">
        <f>固定流程!H14</f>
        <v>LILYA_DIVE</v>
      </c>
      <c r="H878" s="1">
        <f>固定流程!F14</f>
        <v>3</v>
      </c>
      <c r="I878" s="1">
        <f>INDEX(配置与结果!$B$15:$B$18,F878)</f>
        <v>2296</v>
      </c>
      <c r="J878" s="1">
        <f>INDEX(配置与结果!$D$15:$D$18,F878)</f>
        <v>0.7</v>
      </c>
      <c r="K878" s="1">
        <f>INDEX(配置与结果!$E$15:$E$18,F878)</f>
        <v>2.0249999999999999</v>
      </c>
      <c r="L878" s="1">
        <f t="shared" ref="L878:N882" si="1244">AV877</f>
        <v>1</v>
      </c>
      <c r="M878" s="1">
        <f t="shared" si="1244"/>
        <v>7</v>
      </c>
      <c r="N878" s="1">
        <f t="shared" si="1244"/>
        <v>0</v>
      </c>
      <c r="O878" s="1">
        <f t="shared" si="1243"/>
        <v>6</v>
      </c>
      <c r="P878" s="1">
        <f>MIN(方案参数!$AI$27,AZ877+0+0)</f>
        <v>5</v>
      </c>
      <c r="Q878" s="1">
        <f t="shared" si="1221"/>
        <v>3</v>
      </c>
      <c r="R878" s="1">
        <f t="shared" si="1222"/>
        <v>5</v>
      </c>
      <c r="S878" s="1">
        <f t="shared" si="1223"/>
        <v>1</v>
      </c>
      <c r="T878" s="1">
        <f t="shared" si="1224"/>
        <v>0</v>
      </c>
      <c r="U878" s="1">
        <f t="shared" si="1225"/>
        <v>0</v>
      </c>
      <c r="V878" s="1">
        <f t="shared" si="1226"/>
        <v>1</v>
      </c>
      <c r="W878" s="1">
        <f t="shared" si="1227"/>
        <v>1</v>
      </c>
      <c r="X878" s="1">
        <f t="shared" si="1228"/>
        <v>1</v>
      </c>
      <c r="Y878" s="1">
        <f t="shared" si="1229"/>
        <v>1</v>
      </c>
      <c r="Z878" s="1">
        <f t="shared" si="1230"/>
        <v>1</v>
      </c>
      <c r="AA878" s="1">
        <f t="shared" ref="AA878:AA883" si="1245">MAX(BK877,0)</f>
        <v>1</v>
      </c>
      <c r="AB878" s="1">
        <f t="shared" si="1232"/>
        <v>0</v>
      </c>
      <c r="AC878" s="1">
        <f t="shared" si="1233"/>
        <v>0</v>
      </c>
      <c r="AD878" s="1">
        <f>ROUNDDOWN(I878*(1+IF(F878=3,0.05+方案参数!$Y$27+AA878*0.12,IF(F878=4,方案参数!$BZ$27*方案参数!$AS$27,0)))+IF(AND(X878=1,F878&lt;&gt;3),方案参数!$CC$27,0)+AC878*方案参数!$CB$27,0)</f>
        <v>2534</v>
      </c>
      <c r="AE878" s="1">
        <f>IF(OR(F878=1,F878=4),配置与结果!$B$24,配置与结果!$B$25)*MAX(0,1-INDEX(配置与结果!$I$15:$I$18,F878))</f>
        <v>1200</v>
      </c>
      <c r="AF878" s="1">
        <f>(IF(L878=1,方案参数!$AW$27,IF(L878=2,方案参数!$AX$27,0))+方案参数!$AV$27)*H878</f>
        <v>18</v>
      </c>
      <c r="AG878" s="1">
        <f>MAX(配置与结果!$B$32,1+INDEX(配置与结果!$F$15:$F$18,F878)+0.08+方案参数!$CD$27+Q878*方案参数!$W$27+Y878*(方案参数!$AN$27+MIN(方案参数!$AO$27,P878*0.03))+AB878*方案参数!$BZ$27*0.025+IF(L878=1,方案参数!$AY$27+(H878-1)*0.1,IF(L878=2,方案参数!$AZ$27+(H878-1)*0.2,0))-配置与结果!$B$28)</f>
        <v>1.6</v>
      </c>
      <c r="AH878" s="1">
        <f>MAX(0,1+INDEX(配置与结果!$G$15:$G$18,F878)+W878*方案参数!$AG$27+IF(L878=1,方案参数!$BA$27,IF(L878=2,方案参数!$BB$27,0))+M878*方案参数!$BC$27)</f>
        <v>2.3199999999999998</v>
      </c>
      <c r="AI878" s="1">
        <f>IF(OR(INDEX(配置与结果!$K$15:$K$18,F878)=1,G878="RHI_BERRY"),1+配置与结果!$B$33+P878*方案参数!$AH$27,1)</f>
        <v>1</v>
      </c>
      <c r="AJ878" s="1">
        <f>MIN(1,MAX(0,J878+方案参数!$AB$27-配置与结果!$B$27))</f>
        <v>1</v>
      </c>
      <c r="AK878" s="1">
        <f>MAX(1,K878+IF(F878=2,0.15+方案参数!$CH$27,0)+BN878*方案参数!$X$27+R878*方案参数!$AA$27+0-配置与结果!$B$26+Z878*(方案参数!$AP$27+MIN(方案参数!$AQ$27,P878*0.03)))</f>
        <v>2.105</v>
      </c>
      <c r="AL878" s="7">
        <f>ROUNDDOWN(MAX(AD878*配置与结果!$B$31,AD878-AE878)*AF878*AG878*AH878*AI878,0)</f>
        <v>89132</v>
      </c>
      <c r="AM878" s="7">
        <f>ROUNDDOWN(MAX(AD878*配置与结果!$B$31,AD878-AE878)*AF878*AG878*AH878*AI878*AK878,0)</f>
        <v>187624</v>
      </c>
      <c r="AN878" s="7">
        <f t="shared" si="1188"/>
        <v>187624</v>
      </c>
      <c r="AO878" s="7">
        <f>0</f>
        <v>0</v>
      </c>
      <c r="AP878" s="7">
        <f>MAX(0,1+INDEX(配置与结果!$J$15:$J$18,F878)+IF(T878&gt;0,方案参数!$BY$27,0)-配置与结果!$B$30)</f>
        <v>1</v>
      </c>
      <c r="AQ878" s="7">
        <f t="shared" si="1189"/>
        <v>0</v>
      </c>
      <c r="AR878" s="7">
        <f t="shared" si="1190"/>
        <v>0</v>
      </c>
      <c r="AS878" s="7">
        <f t="shared" si="1191"/>
        <v>0</v>
      </c>
      <c r="AT878" s="7">
        <f>0</f>
        <v>0</v>
      </c>
      <c r="AU878" s="7">
        <f t="shared" si="1192"/>
        <v>187624</v>
      </c>
      <c r="AV878" s="1">
        <f t="shared" si="1193"/>
        <v>1</v>
      </c>
      <c r="AW878" s="1">
        <f>MIN(10,M878+0+IF(L878=1,方案参数!$BE$27,0))</f>
        <v>8</v>
      </c>
      <c r="AX878" s="1">
        <f t="shared" si="1194"/>
        <v>0</v>
      </c>
      <c r="AY878" s="1">
        <f t="shared" si="1241"/>
        <v>6</v>
      </c>
      <c r="AZ878" s="1">
        <f t="shared" si="1195"/>
        <v>5</v>
      </c>
      <c r="BA878" s="1">
        <f>MIN(6,Q878+0)</f>
        <v>3</v>
      </c>
      <c r="BB878" s="1">
        <f t="shared" si="1234"/>
        <v>5</v>
      </c>
      <c r="BC878" s="1">
        <f>MIN(3,S878+0)</f>
        <v>1</v>
      </c>
      <c r="BD878" s="1">
        <f t="shared" si="1242"/>
        <v>0</v>
      </c>
      <c r="BE878" s="1">
        <f t="shared" si="1235"/>
        <v>0</v>
      </c>
      <c r="BF878" s="1">
        <f>MIN(4,V878+0)</f>
        <v>1</v>
      </c>
      <c r="BG878" s="1">
        <f t="shared" si="1239"/>
        <v>1</v>
      </c>
      <c r="BH878" s="1">
        <f t="shared" si="1236"/>
        <v>1</v>
      </c>
      <c r="BI878" s="1">
        <f t="shared" si="1240"/>
        <v>1</v>
      </c>
      <c r="BJ878" s="1">
        <f t="shared" ref="BJ878:BK883" si="1246">MAX(Z878,0)</f>
        <v>1</v>
      </c>
      <c r="BK878" s="1">
        <f t="shared" si="1246"/>
        <v>1</v>
      </c>
      <c r="BL878" s="1">
        <f t="shared" si="1216"/>
        <v>0</v>
      </c>
      <c r="BM878" s="1">
        <f t="shared" si="1214"/>
        <v>0</v>
      </c>
      <c r="BN878" s="1">
        <f t="shared" si="1237"/>
        <v>1</v>
      </c>
      <c r="BO878" s="1">
        <f t="shared" si="1238"/>
        <v>1</v>
      </c>
    </row>
    <row r="879" spans="1:67" ht="30.95" customHeight="1">
      <c r="A879" s="1">
        <f>24</f>
        <v>24</v>
      </c>
      <c r="B879" s="1">
        <f>固定流程!A15</f>
        <v>10</v>
      </c>
      <c r="C879" s="1">
        <f>27</f>
        <v>27</v>
      </c>
      <c r="D879" s="1">
        <f>1</f>
        <v>1</v>
      </c>
      <c r="E879" s="1">
        <f>固定流程!C15</f>
        <v>2</v>
      </c>
      <c r="F879" s="1">
        <f>固定流程!G15</f>
        <v>4</v>
      </c>
      <c r="G879" s="1" t="str">
        <f>固定流程!H15</f>
        <v>J_HARD</v>
      </c>
      <c r="H879" s="1">
        <f>固定流程!F15</f>
        <v>1</v>
      </c>
      <c r="I879" s="1">
        <f>INDEX(配置与结果!$B$15:$B$18,F879)</f>
        <v>1906</v>
      </c>
      <c r="J879" s="1">
        <f>INDEX(配置与结果!$D$15:$D$18,F879)</f>
        <v>0.36699999999999999</v>
      </c>
      <c r="K879" s="1">
        <f>INDEX(配置与结果!$E$15:$E$18,F879)</f>
        <v>1.7170000000000001</v>
      </c>
      <c r="L879" s="1">
        <f t="shared" si="1244"/>
        <v>1</v>
      </c>
      <c r="M879" s="1">
        <f t="shared" si="1244"/>
        <v>8</v>
      </c>
      <c r="N879" s="1">
        <f t="shared" si="1244"/>
        <v>0</v>
      </c>
      <c r="O879" s="1">
        <f t="shared" si="1243"/>
        <v>6</v>
      </c>
      <c r="P879" s="1">
        <f>MIN(方案参数!$AI$27,AZ878+0+0)</f>
        <v>5</v>
      </c>
      <c r="Q879" s="1">
        <f t="shared" si="1221"/>
        <v>3</v>
      </c>
      <c r="R879" s="1">
        <f t="shared" si="1222"/>
        <v>5</v>
      </c>
      <c r="S879" s="1">
        <f t="shared" si="1223"/>
        <v>1</v>
      </c>
      <c r="T879" s="1">
        <f t="shared" si="1224"/>
        <v>0</v>
      </c>
      <c r="U879" s="1">
        <f t="shared" si="1225"/>
        <v>0</v>
      </c>
      <c r="V879" s="1">
        <f t="shared" si="1226"/>
        <v>1</v>
      </c>
      <c r="W879" s="1">
        <f t="shared" si="1227"/>
        <v>1</v>
      </c>
      <c r="X879" s="1">
        <f t="shared" si="1228"/>
        <v>1</v>
      </c>
      <c r="Y879" s="1">
        <f t="shared" si="1229"/>
        <v>1</v>
      </c>
      <c r="Z879" s="1">
        <f t="shared" si="1230"/>
        <v>1</v>
      </c>
      <c r="AA879" s="1">
        <f t="shared" si="1245"/>
        <v>1</v>
      </c>
      <c r="AB879" s="1">
        <f t="shared" si="1232"/>
        <v>0</v>
      </c>
      <c r="AC879" s="1">
        <f t="shared" si="1233"/>
        <v>0</v>
      </c>
      <c r="AD879" s="1">
        <f>ROUNDDOWN(I879*(1+IF(F879=3,0.05+方案参数!$Y$27+AA879*0.12,IF(F879=4,方案参数!$BZ$27*方案参数!$AS$27,0)))+IF(AND(X879=1,F879&lt;&gt;3),方案参数!$CC$27,0)+AC879*方案参数!$CB$27,0)</f>
        <v>3859</v>
      </c>
      <c r="AE879" s="1">
        <f>IF(OR(F879=1,F879=4),配置与结果!$B$24,配置与结果!$B$25)*MAX(0,1-INDEX(配置与结果!$I$15:$I$18,F879))</f>
        <v>1200</v>
      </c>
      <c r="AF879" s="1">
        <f>3.6*IF(H879=1,1,IF(H879=2,1.5,2.5))</f>
        <v>3.6</v>
      </c>
      <c r="AG879" s="1">
        <f>MAX(配置与结果!$B$32,1+INDEX(配置与结果!$F$15:$F$18,F879)+0.08+Q879*方案参数!$W$27+Y879*(方案参数!$AN$27+MIN(方案参数!$AO$27,P879*0.03))+AB879*方案参数!$BZ$27*0.025+0.1+IF(方案参数!$BZ$27&gt;=30,方案参数!$BZ$27*0.01,0)-配置与结果!$B$28)</f>
        <v>1.6150000000000002</v>
      </c>
      <c r="AH879" s="1">
        <f>MAX(0,1+INDEX(配置与结果!$G$15:$G$18,F879)+W879*方案参数!$AG$27)</f>
        <v>1.3</v>
      </c>
      <c r="AI879" s="1">
        <f>IF(OR(INDEX(配置与结果!$K$15:$K$18,F879)=1,G879="RHI_BERRY"),1+配置与结果!$B$33+P879*方案参数!$AH$27,1)</f>
        <v>1</v>
      </c>
      <c r="AJ879" s="1">
        <f>MIN(1,MAX(0,J879+方案参数!$AB$27-配置与结果!$B$27))</f>
        <v>0.66700000000000004</v>
      </c>
      <c r="AK879" s="1">
        <f>MAX(1,K879+IF(F879=2,0.15+方案参数!$CH$27,0)+BN879*方案参数!$X$27+R879*方案参数!$AA$27+0-配置与结果!$B$26+Z879*(方案参数!$AP$27+MIN(方案参数!$AQ$27,P879*0.03)))</f>
        <v>1.7969999999999999</v>
      </c>
      <c r="AL879" s="7">
        <f>ROUNDDOWN(MAX(AD879*配置与结果!$B$31,AD879-AE879)*AF879*AG879*AH879*AI879,0)</f>
        <v>20097</v>
      </c>
      <c r="AM879" s="7">
        <f>ROUNDDOWN(MAX(AD879*配置与结果!$B$31,AD879-AE879)*AF879*AG879*AH879*AI879*AK879,0)</f>
        <v>36114</v>
      </c>
      <c r="AN879" s="7">
        <f t="shared" si="1188"/>
        <v>30780.339</v>
      </c>
      <c r="AO879" s="7">
        <f>0</f>
        <v>0</v>
      </c>
      <c r="AP879" s="7">
        <f>MAX(0,1+INDEX(配置与结果!$J$15:$J$18,F879)+IF(T879&gt;0,方案参数!$BY$27,0)-配置与结果!$B$30)</f>
        <v>1</v>
      </c>
      <c r="AQ879" s="7">
        <f t="shared" si="1189"/>
        <v>0</v>
      </c>
      <c r="AR879" s="7">
        <f t="shared" si="1190"/>
        <v>0</v>
      </c>
      <c r="AS879" s="7">
        <f t="shared" si="1191"/>
        <v>0</v>
      </c>
      <c r="AT879" s="7">
        <f>0</f>
        <v>0</v>
      </c>
      <c r="AU879" s="7">
        <f t="shared" si="1192"/>
        <v>30780.339</v>
      </c>
      <c r="AV879" s="1">
        <f t="shared" si="1193"/>
        <v>1</v>
      </c>
      <c r="AW879" s="1">
        <f t="shared" ref="AW879:AW889" si="1247">MIN(10,M879+0+0)</f>
        <v>8</v>
      </c>
      <c r="AX879" s="1">
        <f t="shared" si="1194"/>
        <v>0</v>
      </c>
      <c r="AY879" s="1">
        <f t="shared" si="1241"/>
        <v>6</v>
      </c>
      <c r="AZ879" s="1">
        <f t="shared" si="1195"/>
        <v>5</v>
      </c>
      <c r="BA879" s="1">
        <f>MIN(6,Q879+0)</f>
        <v>3</v>
      </c>
      <c r="BB879" s="1">
        <f t="shared" si="1234"/>
        <v>5</v>
      </c>
      <c r="BC879" s="1">
        <f>MIN(3,S879+1)</f>
        <v>2</v>
      </c>
      <c r="BD879" s="1">
        <f t="shared" si="1242"/>
        <v>0</v>
      </c>
      <c r="BE879" s="1">
        <f t="shared" si="1235"/>
        <v>0</v>
      </c>
      <c r="BF879" s="1">
        <f>MIN(4,V879+0)</f>
        <v>1</v>
      </c>
      <c r="BG879" s="1">
        <f t="shared" si="1239"/>
        <v>1</v>
      </c>
      <c r="BH879" s="1">
        <f t="shared" si="1236"/>
        <v>1</v>
      </c>
      <c r="BI879" s="1">
        <f t="shared" si="1240"/>
        <v>1</v>
      </c>
      <c r="BJ879" s="1">
        <f t="shared" si="1246"/>
        <v>1</v>
      </c>
      <c r="BK879" s="1">
        <f t="shared" si="1246"/>
        <v>1</v>
      </c>
      <c r="BL879" s="1">
        <f t="shared" si="1216"/>
        <v>0</v>
      </c>
      <c r="BM879" s="1">
        <f t="shared" si="1214"/>
        <v>0</v>
      </c>
      <c r="BN879" s="1">
        <f t="shared" si="1237"/>
        <v>1</v>
      </c>
      <c r="BO879" s="1">
        <f t="shared" si="1238"/>
        <v>1</v>
      </c>
    </row>
    <row r="880" spans="1:67" ht="30.95" customHeight="1">
      <c r="A880" s="1">
        <f>24</f>
        <v>24</v>
      </c>
      <c r="B880" s="1">
        <f>固定流程!A16</f>
        <v>11</v>
      </c>
      <c r="C880" s="1">
        <f>27</f>
        <v>27</v>
      </c>
      <c r="D880" s="1">
        <f>1</f>
        <v>1</v>
      </c>
      <c r="E880" s="1">
        <f>固定流程!C16</f>
        <v>2</v>
      </c>
      <c r="F880" s="1">
        <f>固定流程!G16</f>
        <v>2</v>
      </c>
      <c r="G880" s="1" t="str">
        <f>固定流程!H16</f>
        <v>37_CURVE</v>
      </c>
      <c r="H880" s="1">
        <f>固定流程!F16</f>
        <v>1</v>
      </c>
      <c r="I880" s="1">
        <f>INDEX(配置与结果!$B$15:$B$18,F880)</f>
        <v>2306</v>
      </c>
      <c r="J880" s="1">
        <f>INDEX(配置与结果!$D$15:$D$18,F880)</f>
        <v>0.46</v>
      </c>
      <c r="K880" s="1">
        <f>INDEX(配置与结果!$E$15:$E$18,F880)</f>
        <v>1.9279999999999999</v>
      </c>
      <c r="L880" s="1">
        <f t="shared" si="1244"/>
        <v>1</v>
      </c>
      <c r="M880" s="1">
        <f t="shared" si="1244"/>
        <v>8</v>
      </c>
      <c r="N880" s="1">
        <f t="shared" si="1244"/>
        <v>0</v>
      </c>
      <c r="O880" s="1">
        <f t="shared" si="1243"/>
        <v>6</v>
      </c>
      <c r="P880" s="1">
        <f>MIN(方案参数!$AI$27,AZ879+0+0)</f>
        <v>5</v>
      </c>
      <c r="Q880" s="1">
        <f t="shared" si="1221"/>
        <v>3</v>
      </c>
      <c r="R880" s="1">
        <f t="shared" si="1222"/>
        <v>5</v>
      </c>
      <c r="S880" s="1">
        <f t="shared" si="1223"/>
        <v>2</v>
      </c>
      <c r="T880" s="1">
        <f t="shared" si="1224"/>
        <v>0</v>
      </c>
      <c r="U880" s="1">
        <f t="shared" si="1225"/>
        <v>0</v>
      </c>
      <c r="V880" s="1">
        <f t="shared" si="1226"/>
        <v>1</v>
      </c>
      <c r="W880" s="1">
        <f t="shared" si="1227"/>
        <v>1</v>
      </c>
      <c r="X880" s="1">
        <f t="shared" si="1228"/>
        <v>1</v>
      </c>
      <c r="Y880" s="1">
        <f t="shared" si="1229"/>
        <v>1</v>
      </c>
      <c r="Z880" s="1">
        <f t="shared" si="1230"/>
        <v>1</v>
      </c>
      <c r="AA880" s="1">
        <f t="shared" si="1245"/>
        <v>1</v>
      </c>
      <c r="AB880" s="1">
        <f t="shared" si="1232"/>
        <v>0</v>
      </c>
      <c r="AC880" s="1">
        <f t="shared" si="1233"/>
        <v>0</v>
      </c>
      <c r="AD880" s="1">
        <f>ROUNDDOWN(I880*(1+IF(F880=3,0.05+方案参数!$Y$27+AA880*0.12,IF(F880=4,方案参数!$BZ$27*方案参数!$AS$27,0)))+IF(AND(X880=1,F880&lt;&gt;3),方案参数!$CC$27,0)+AC880*方案参数!$CB$27,0)</f>
        <v>2544</v>
      </c>
      <c r="AE880" s="1">
        <f>IF(OR(F880=1,F880=4),配置与结果!$B$24,配置与结果!$B$25)*MAX(0,1-INDEX(配置与结果!$I$15:$I$18,F880))</f>
        <v>1000</v>
      </c>
      <c r="AF880" s="1">
        <f>方案参数!$BT$27*IF(H880=1,1,IF(H880=2,1.5,2.5))</f>
        <v>1.4</v>
      </c>
      <c r="AG880" s="1">
        <f>MAX(配置与结果!$B$32,1+INDEX(配置与结果!$F$15:$F$18,F880)+0+Q880*方案参数!$W$27+Y880*(方案参数!$AN$27+MIN(方案参数!$AO$27,P880*0.03))+AB880*方案参数!$BZ$27*0.025-配置与结果!$B$28)</f>
        <v>0.96499999999999997</v>
      </c>
      <c r="AH880" s="1">
        <f>MAX(0,1+INDEX(配置与结果!$G$15:$G$18,F880)+W880*方案参数!$AG$27)</f>
        <v>1.3</v>
      </c>
      <c r="AI880" s="1">
        <f>IF(OR(INDEX(配置与结果!$K$15:$K$18,F880)=1,G880="RHI_BERRY"),1+配置与结果!$B$33+P880*方案参数!$AH$27,1)</f>
        <v>1</v>
      </c>
      <c r="AJ880" s="1">
        <f>MIN(1,MAX(0,J880+方案参数!$AB$27-配置与结果!$B$27))</f>
        <v>0.76</v>
      </c>
      <c r="AK880" s="1">
        <f>MAX(1,K880+IF(F880=2,0.15+方案参数!$CH$27,0)+BN880*方案参数!$X$27+R880*方案参数!$AA$27+0-配置与结果!$B$26+Z880*(方案参数!$AP$27+MIN(方案参数!$AQ$27,P880*0.03)))</f>
        <v>2.278</v>
      </c>
      <c r="AL880" s="7">
        <f>ROUNDDOWN(MAX(AD880*配置与结果!$B$31,AD880-AE880)*AF880*AG880*AH880*AI880,0)</f>
        <v>2711</v>
      </c>
      <c r="AM880" s="7">
        <f>ROUNDDOWN(MAX(AD880*配置与结果!$B$31,AD880-AE880)*AF880*AG880*AH880*AI880*AK880,0)</f>
        <v>6177</v>
      </c>
      <c r="AN880" s="7">
        <f t="shared" si="1188"/>
        <v>5345.1600000000008</v>
      </c>
      <c r="AO880" s="7">
        <f>方案参数!$BU$27*IF(H880=1,1,IF(H880=2,1.5,2.5))</f>
        <v>0.8</v>
      </c>
      <c r="AP880" s="7">
        <f>MAX(0,1+INDEX(配置与结果!$J$15:$J$18,F880)+IF(T880&gt;0,方案参数!$BY$27,0)-配置与结果!$B$30)</f>
        <v>1</v>
      </c>
      <c r="AQ880" s="7">
        <f t="shared" si="1189"/>
        <v>2035</v>
      </c>
      <c r="AR880" s="7">
        <f t="shared" si="1190"/>
        <v>4635</v>
      </c>
      <c r="AS880" s="7">
        <f t="shared" si="1191"/>
        <v>4011</v>
      </c>
      <c r="AT880" s="7">
        <f>0</f>
        <v>0</v>
      </c>
      <c r="AU880" s="7">
        <f t="shared" si="1192"/>
        <v>9356.16</v>
      </c>
      <c r="AV880" s="1">
        <f t="shared" si="1193"/>
        <v>1</v>
      </c>
      <c r="AW880" s="1">
        <f t="shared" si="1247"/>
        <v>8</v>
      </c>
      <c r="AX880" s="1">
        <f t="shared" si="1194"/>
        <v>0</v>
      </c>
      <c r="AY880" s="1">
        <f t="shared" si="1241"/>
        <v>6</v>
      </c>
      <c r="AZ880" s="1">
        <f t="shared" si="1195"/>
        <v>5</v>
      </c>
      <c r="BA880" s="1">
        <f>MIN(6,Q880+0)</f>
        <v>3</v>
      </c>
      <c r="BB880" s="1">
        <f t="shared" si="1234"/>
        <v>5</v>
      </c>
      <c r="BC880" s="1">
        <f t="shared" ref="BC880:BC886" si="1248">MIN(3,S880+0)</f>
        <v>2</v>
      </c>
      <c r="BD880" s="1">
        <f t="shared" si="1242"/>
        <v>0</v>
      </c>
      <c r="BE880" s="1">
        <f t="shared" si="1235"/>
        <v>0</v>
      </c>
      <c r="BF880" s="1">
        <f>MIN(4,V880+0)</f>
        <v>1</v>
      </c>
      <c r="BG880" s="1">
        <f t="shared" si="1239"/>
        <v>1</v>
      </c>
      <c r="BH880" s="1">
        <f t="shared" si="1236"/>
        <v>1</v>
      </c>
      <c r="BI880" s="1">
        <f t="shared" si="1240"/>
        <v>1</v>
      </c>
      <c r="BJ880" s="1">
        <f t="shared" si="1246"/>
        <v>1</v>
      </c>
      <c r="BK880" s="1">
        <f t="shared" si="1246"/>
        <v>1</v>
      </c>
      <c r="BL880" s="1">
        <f t="shared" si="1216"/>
        <v>0</v>
      </c>
      <c r="BM880" s="1">
        <f t="shared" si="1214"/>
        <v>0</v>
      </c>
      <c r="BN880" s="1">
        <f t="shared" si="1237"/>
        <v>1</v>
      </c>
      <c r="BO880" s="1">
        <f t="shared" si="1238"/>
        <v>1</v>
      </c>
    </row>
    <row r="881" spans="1:67" ht="30.95" customHeight="1">
      <c r="A881" s="1">
        <f>24</f>
        <v>24</v>
      </c>
      <c r="B881" s="1">
        <f>固定流程!A17</f>
        <v>12</v>
      </c>
      <c r="C881" s="1">
        <f>27</f>
        <v>27</v>
      </c>
      <c r="D881" s="1">
        <f>1</f>
        <v>1</v>
      </c>
      <c r="E881" s="1">
        <f>固定流程!C17</f>
        <v>2</v>
      </c>
      <c r="F881" s="1">
        <f>固定流程!G17</f>
        <v>2</v>
      </c>
      <c r="G881" s="1" t="str">
        <f>固定流程!H17</f>
        <v>37_FOLLOW</v>
      </c>
      <c r="H881" s="1">
        <f>固定流程!F17</f>
        <v>1</v>
      </c>
      <c r="I881" s="1">
        <f>INDEX(配置与结果!$B$15:$B$18,F881)</f>
        <v>2306</v>
      </c>
      <c r="J881" s="1">
        <f>INDEX(配置与结果!$D$15:$D$18,F881)</f>
        <v>0.46</v>
      </c>
      <c r="K881" s="1">
        <f>INDEX(配置与结果!$E$15:$E$18,F881)</f>
        <v>1.9279999999999999</v>
      </c>
      <c r="L881" s="1">
        <f t="shared" si="1244"/>
        <v>1</v>
      </c>
      <c r="M881" s="1">
        <f t="shared" si="1244"/>
        <v>8</v>
      </c>
      <c r="N881" s="1">
        <f t="shared" si="1244"/>
        <v>0</v>
      </c>
      <c r="O881" s="1">
        <f t="shared" si="1243"/>
        <v>6</v>
      </c>
      <c r="P881" s="1">
        <f>MIN(方案参数!$AI$27,AZ880+0+0)</f>
        <v>5</v>
      </c>
      <c r="Q881" s="1">
        <f t="shared" si="1221"/>
        <v>3</v>
      </c>
      <c r="R881" s="1">
        <f t="shared" si="1222"/>
        <v>5</v>
      </c>
      <c r="S881" s="1">
        <f t="shared" si="1223"/>
        <v>2</v>
      </c>
      <c r="T881" s="1">
        <f t="shared" si="1224"/>
        <v>0</v>
      </c>
      <c r="U881" s="1">
        <f t="shared" si="1225"/>
        <v>0</v>
      </c>
      <c r="V881" s="1">
        <f t="shared" si="1226"/>
        <v>1</v>
      </c>
      <c r="W881" s="1">
        <f t="shared" si="1227"/>
        <v>1</v>
      </c>
      <c r="X881" s="1">
        <f t="shared" si="1228"/>
        <v>1</v>
      </c>
      <c r="Y881" s="1">
        <f t="shared" si="1229"/>
        <v>1</v>
      </c>
      <c r="Z881" s="1">
        <f t="shared" si="1230"/>
        <v>1</v>
      </c>
      <c r="AA881" s="1">
        <f t="shared" si="1245"/>
        <v>1</v>
      </c>
      <c r="AB881" s="1">
        <f t="shared" si="1232"/>
        <v>0</v>
      </c>
      <c r="AC881" s="1">
        <f t="shared" si="1233"/>
        <v>0</v>
      </c>
      <c r="AD881" s="1">
        <f>ROUNDDOWN(I881*(1+IF(F881=3,0.05+方案参数!$Y$27+AA881*0.12,IF(F881=4,方案参数!$BZ$27*方案参数!$AS$27,0)))+IF(AND(X881=1,F881&lt;&gt;3),方案参数!$CC$27,0)+AC881*方案参数!$CB$27,0)</f>
        <v>2544</v>
      </c>
      <c r="AE881" s="1">
        <f>IF(OR(F881=1,F881=4),配置与结果!$B$24,配置与结果!$B$25)*MAX(0,1-INDEX(配置与结果!$I$15:$I$18,F881))</f>
        <v>1000</v>
      </c>
      <c r="AF881" s="1">
        <f>方案参数!$BV$27</f>
        <v>3</v>
      </c>
      <c r="AG881" s="1">
        <f>MAX(配置与结果!$B$32,1+INDEX(配置与结果!$F$15:$F$18,F881)+0+Q881*方案参数!$W$27+Y881*(方案参数!$AN$27+MIN(方案参数!$AO$27,P881*0.03))+AB881*方案参数!$BZ$27*0.025-配置与结果!$B$28)</f>
        <v>0.96499999999999997</v>
      </c>
      <c r="AH881" s="1">
        <f>MAX(0,1+INDEX(配置与结果!$G$15:$G$18,F881)+W881*方案参数!$AG$27)</f>
        <v>1.3</v>
      </c>
      <c r="AI881" s="1">
        <f>IF(OR(INDEX(配置与结果!$K$15:$K$18,F881)=1,G881="RHI_BERRY"),1+配置与结果!$B$33+P881*方案参数!$AH$27,1)</f>
        <v>1</v>
      </c>
      <c r="AJ881" s="1">
        <f>MIN(1,MAX(0,J881+方案参数!$AB$27-配置与结果!$B$27))</f>
        <v>0.76</v>
      </c>
      <c r="AK881" s="1">
        <f>MAX(1,K881+IF(F881=2,0.15+方案参数!$CH$27,0)+BN881*方案参数!$X$27+R881*方案参数!$AA$27+0-配置与结果!$B$26+Z881*(方案参数!$AP$27+MIN(方案参数!$AQ$27,P881*0.03)))</f>
        <v>2.278</v>
      </c>
      <c r="AL881" s="7">
        <f>ROUNDDOWN(MAX(AD881*配置与结果!$B$31,AD881-AE881)*AF881*AG881*AH881*AI881,0)</f>
        <v>5810</v>
      </c>
      <c r="AM881" s="7">
        <f>ROUNDDOWN(MAX(AD881*配置与结果!$B$31,AD881-AE881)*AF881*AG881*AH881*AI881*AK881,0)</f>
        <v>13237</v>
      </c>
      <c r="AN881" s="7">
        <f t="shared" si="1188"/>
        <v>11454.52</v>
      </c>
      <c r="AO881" s="7">
        <f>方案参数!$BW$27</f>
        <v>1</v>
      </c>
      <c r="AP881" s="7">
        <f>MAX(0,1+INDEX(配置与结果!$J$15:$J$18,F881)+IF(T881&gt;0,方案参数!$BY$27,0)-配置与结果!$B$30)</f>
        <v>1</v>
      </c>
      <c r="AQ881" s="7">
        <f t="shared" si="1189"/>
        <v>2544</v>
      </c>
      <c r="AR881" s="7">
        <f t="shared" si="1190"/>
        <v>5795</v>
      </c>
      <c r="AS881" s="7">
        <f t="shared" si="1191"/>
        <v>5014.76</v>
      </c>
      <c r="AT881" s="7">
        <f>0</f>
        <v>0</v>
      </c>
      <c r="AU881" s="7">
        <f t="shared" si="1192"/>
        <v>16469.28</v>
      </c>
      <c r="AV881" s="1">
        <f t="shared" si="1193"/>
        <v>1</v>
      </c>
      <c r="AW881" s="1">
        <f t="shared" si="1247"/>
        <v>8</v>
      </c>
      <c r="AX881" s="1">
        <f t="shared" si="1194"/>
        <v>0</v>
      </c>
      <c r="AY881" s="1">
        <f t="shared" si="1241"/>
        <v>6</v>
      </c>
      <c r="AZ881" s="1">
        <f t="shared" si="1195"/>
        <v>5</v>
      </c>
      <c r="BA881" s="1">
        <f>MIN(6,Q881+0)</f>
        <v>3</v>
      </c>
      <c r="BB881" s="1">
        <f t="shared" si="1234"/>
        <v>5</v>
      </c>
      <c r="BC881" s="1">
        <f t="shared" si="1248"/>
        <v>2</v>
      </c>
      <c r="BD881" s="1">
        <f t="shared" si="1242"/>
        <v>0</v>
      </c>
      <c r="BE881" s="1">
        <f t="shared" si="1235"/>
        <v>0</v>
      </c>
      <c r="BF881" s="1">
        <f>MIN(4,V881+1)</f>
        <v>2</v>
      </c>
      <c r="BG881" s="1">
        <f t="shared" si="1239"/>
        <v>1</v>
      </c>
      <c r="BH881" s="1">
        <f t="shared" si="1236"/>
        <v>1</v>
      </c>
      <c r="BI881" s="1">
        <f t="shared" si="1240"/>
        <v>1</v>
      </c>
      <c r="BJ881" s="1">
        <f t="shared" si="1246"/>
        <v>1</v>
      </c>
      <c r="BK881" s="1">
        <f t="shared" si="1246"/>
        <v>1</v>
      </c>
      <c r="BL881" s="1">
        <f t="shared" si="1216"/>
        <v>0</v>
      </c>
      <c r="BM881" s="1">
        <f t="shared" si="1214"/>
        <v>0</v>
      </c>
      <c r="BN881" s="1">
        <f t="shared" si="1237"/>
        <v>1</v>
      </c>
      <c r="BO881" s="1">
        <f t="shared" si="1238"/>
        <v>1</v>
      </c>
    </row>
    <row r="882" spans="1:67" ht="30.95" customHeight="1">
      <c r="A882" s="1">
        <f>24</f>
        <v>24</v>
      </c>
      <c r="B882" s="1">
        <f>固定流程!A18</f>
        <v>13</v>
      </c>
      <c r="C882" s="1">
        <f>27</f>
        <v>27</v>
      </c>
      <c r="D882" s="1">
        <f>1</f>
        <v>1</v>
      </c>
      <c r="E882" s="1">
        <f>固定流程!C18</f>
        <v>2</v>
      </c>
      <c r="F882" s="1">
        <f>固定流程!G18</f>
        <v>3</v>
      </c>
      <c r="G882" s="1" t="str">
        <f>固定流程!H18</f>
        <v>RHI_BERRY</v>
      </c>
      <c r="H882" s="1">
        <f>固定流程!F18</f>
        <v>1</v>
      </c>
      <c r="I882" s="1">
        <f>INDEX(配置与结果!$B$15:$B$18,F882)</f>
        <v>2597</v>
      </c>
      <c r="J882" s="1">
        <f>INDEX(配置与结果!$D$15:$D$18,F882)</f>
        <v>0.255</v>
      </c>
      <c r="K882" s="1">
        <f>INDEX(配置与结果!$E$15:$E$18,F882)</f>
        <v>1.55</v>
      </c>
      <c r="L882" s="1">
        <f t="shared" si="1244"/>
        <v>1</v>
      </c>
      <c r="M882" s="1">
        <f t="shared" si="1244"/>
        <v>8</v>
      </c>
      <c r="N882" s="1">
        <f t="shared" si="1244"/>
        <v>0</v>
      </c>
      <c r="O882" s="1">
        <f t="shared" si="1243"/>
        <v>6</v>
      </c>
      <c r="P882" s="1">
        <f>MIN(方案参数!$AI$27,AZ881+0+0)</f>
        <v>5</v>
      </c>
      <c r="Q882" s="1">
        <f t="shared" si="1221"/>
        <v>3</v>
      </c>
      <c r="R882" s="1">
        <f t="shared" si="1222"/>
        <v>5</v>
      </c>
      <c r="S882" s="1">
        <f t="shared" si="1223"/>
        <v>2</v>
      </c>
      <c r="T882" s="1">
        <f t="shared" si="1224"/>
        <v>0</v>
      </c>
      <c r="U882" s="1">
        <f t="shared" si="1225"/>
        <v>0</v>
      </c>
      <c r="V882" s="1">
        <f t="shared" si="1226"/>
        <v>2</v>
      </c>
      <c r="W882" s="1">
        <f t="shared" si="1227"/>
        <v>1</v>
      </c>
      <c r="X882" s="1">
        <f t="shared" si="1228"/>
        <v>1</v>
      </c>
      <c r="Y882" s="1">
        <f t="shared" si="1229"/>
        <v>1</v>
      </c>
      <c r="Z882" s="1">
        <f t="shared" si="1230"/>
        <v>1</v>
      </c>
      <c r="AA882" s="1">
        <f t="shared" si="1245"/>
        <v>1</v>
      </c>
      <c r="AB882" s="1">
        <f t="shared" si="1232"/>
        <v>0</v>
      </c>
      <c r="AC882" s="1">
        <f t="shared" si="1233"/>
        <v>0</v>
      </c>
      <c r="AD882" s="1">
        <f>ROUNDDOWN(I882*(1+IF(F882=3,0.05+方案参数!$Y$27+AA882*0.12,IF(F882=4,方案参数!$BZ$27*方案参数!$AS$27,0)))+IF(AND(X882=1,F882&lt;&gt;3),方案参数!$CC$27,0)+AC882*方案参数!$CB$27,0)</f>
        <v>3298</v>
      </c>
      <c r="AE882" s="1">
        <f>IF(OR(F882=1,F882=4),配置与结果!$B$24,配置与结果!$B$25)*MAX(0,1-INDEX(配置与结果!$I$15:$I$18,F882))</f>
        <v>1000</v>
      </c>
      <c r="AF882" s="1">
        <f>方案参数!$CF$27+P882*方案参数!$CG$27</f>
        <v>22.5</v>
      </c>
      <c r="AG882" s="1">
        <f>MAX(配置与结果!$B$32,1+INDEX(配置与结果!$F$15:$F$18,F882)+0+Q882*方案参数!$W$27+Y882*(方案参数!$AN$27+MIN(方案参数!$AO$27,P882*0.03))+AB882*方案参数!$BZ$27*0.025-配置与结果!$B$28)</f>
        <v>0.995</v>
      </c>
      <c r="AH882" s="1">
        <f>MAX(0,1+INDEX(配置与结果!$G$15:$G$18,F882)+W882*方案参数!$AG$27)</f>
        <v>1.3</v>
      </c>
      <c r="AI882" s="1">
        <f>IF(OR(INDEX(配置与结果!$K$15:$K$18,F882)=1,G882="RHI_BERRY"),1+配置与结果!$B$33+P882*方案参数!$AH$27,1)</f>
        <v>1.5</v>
      </c>
      <c r="AJ882" s="1">
        <f>MIN(1,MAX(0,J882+方案参数!$AB$27-配置与结果!$B$27))</f>
        <v>0.55499999999999994</v>
      </c>
      <c r="AK882" s="1">
        <f>MAX(1,K882+IF(F882=2,0.15+方案参数!$CH$27,0)+BN882*方案参数!$X$27+R882*方案参数!$AA$27+0-配置与结果!$B$26+Z882*(方案参数!$AP$27+MIN(方案参数!$AQ$27,P882*0.03)))</f>
        <v>1.6300000000000001</v>
      </c>
      <c r="AL882" s="7">
        <f>ROUNDDOWN(MAX(AD882*配置与结果!$B$31,AD882-AE882)*AF882*AG882*AH882*AI882,0)</f>
        <v>100320</v>
      </c>
      <c r="AM882" s="7">
        <f>ROUNDDOWN(MAX(AD882*配置与结果!$B$31,AD882-AE882)*AF882*AG882*AH882*AI882*AK882,0)</f>
        <v>163522</v>
      </c>
      <c r="AN882" s="7">
        <f t="shared" si="1188"/>
        <v>135397.10999999999</v>
      </c>
      <c r="AO882" s="7">
        <f>0</f>
        <v>0</v>
      </c>
      <c r="AP882" s="7">
        <f>MAX(0,1+INDEX(配置与结果!$J$15:$J$18,F882)+IF(T882&gt;0,方案参数!$BY$27,0)-配置与结果!$B$30)</f>
        <v>1</v>
      </c>
      <c r="AQ882" s="7">
        <f t="shared" si="1189"/>
        <v>0</v>
      </c>
      <c r="AR882" s="7">
        <f t="shared" si="1190"/>
        <v>0</v>
      </c>
      <c r="AS882" s="7">
        <f t="shared" si="1191"/>
        <v>0</v>
      </c>
      <c r="AT882" s="7">
        <f>0</f>
        <v>0</v>
      </c>
      <c r="AU882" s="7">
        <f t="shared" si="1192"/>
        <v>135397.10999999999</v>
      </c>
      <c r="AV882" s="1">
        <f t="shared" si="1193"/>
        <v>1</v>
      </c>
      <c r="AW882" s="1">
        <f t="shared" si="1247"/>
        <v>8</v>
      </c>
      <c r="AX882" s="1">
        <f t="shared" si="1194"/>
        <v>0</v>
      </c>
      <c r="AY882" s="1">
        <f t="shared" si="1241"/>
        <v>6</v>
      </c>
      <c r="AZ882" s="1">
        <f t="shared" si="1195"/>
        <v>5</v>
      </c>
      <c r="BA882" s="1">
        <f>MIN(6,Q882+0)</f>
        <v>3</v>
      </c>
      <c r="BB882" s="1">
        <f t="shared" si="1234"/>
        <v>5</v>
      </c>
      <c r="BC882" s="1">
        <f t="shared" si="1248"/>
        <v>2</v>
      </c>
      <c r="BD882" s="1">
        <f t="shared" si="1242"/>
        <v>0</v>
      </c>
      <c r="BE882" s="1">
        <f t="shared" si="1235"/>
        <v>0</v>
      </c>
      <c r="BF882" s="1">
        <f>MIN(4,V882+0)</f>
        <v>2</v>
      </c>
      <c r="BG882" s="1">
        <f t="shared" si="1239"/>
        <v>1</v>
      </c>
      <c r="BH882" s="1">
        <f t="shared" si="1236"/>
        <v>1</v>
      </c>
      <c r="BI882" s="1">
        <f t="shared" si="1240"/>
        <v>1</v>
      </c>
      <c r="BJ882" s="1">
        <f t="shared" si="1246"/>
        <v>1</v>
      </c>
      <c r="BK882" s="1">
        <f t="shared" si="1246"/>
        <v>1</v>
      </c>
      <c r="BL882" s="1">
        <f t="shared" si="1216"/>
        <v>0</v>
      </c>
      <c r="BM882" s="1">
        <f t="shared" si="1214"/>
        <v>0</v>
      </c>
      <c r="BN882" s="1">
        <f t="shared" si="1237"/>
        <v>1</v>
      </c>
      <c r="BO882" s="1">
        <f t="shared" si="1238"/>
        <v>1</v>
      </c>
    </row>
    <row r="883" spans="1:67" ht="30.95" customHeight="1">
      <c r="A883" s="1">
        <f>24</f>
        <v>24</v>
      </c>
      <c r="B883" s="1">
        <f>固定流程!A19</f>
        <v>14</v>
      </c>
      <c r="C883" s="1">
        <f>27</f>
        <v>27</v>
      </c>
      <c r="D883" s="1">
        <f>1</f>
        <v>1</v>
      </c>
      <c r="E883" s="1">
        <f>固定流程!C19</f>
        <v>3</v>
      </c>
      <c r="F883" s="1">
        <f>固定流程!G19</f>
        <v>3</v>
      </c>
      <c r="G883" s="1" t="str">
        <f>固定流程!H19</f>
        <v>RHI_BUFF</v>
      </c>
      <c r="H883" s="1">
        <f>固定流程!F19</f>
        <v>1</v>
      </c>
      <c r="I883" s="1">
        <f>INDEX(配置与结果!$B$15:$B$18,F883)</f>
        <v>2597</v>
      </c>
      <c r="J883" s="1">
        <f>INDEX(配置与结果!$D$15:$D$18,F883)</f>
        <v>0.255</v>
      </c>
      <c r="K883" s="1">
        <f>INDEX(配置与结果!$E$15:$E$18,F883)</f>
        <v>1.55</v>
      </c>
      <c r="L883" s="1">
        <f>IF(AV882=1,IF(M883&gt;=10,2,1),IF(AV882=2,IF(AX882&lt;=1,0,2),0))</f>
        <v>2</v>
      </c>
      <c r="M883" s="1">
        <f>IF(AND(AV882=2,AX882&lt;=1),0,MIN(10,AW882+IF(AV882=1,3,0)))</f>
        <v>10</v>
      </c>
      <c r="N883" s="1">
        <f>IF(AND(AV882=1,M883&gt;=10),2,IF(AV882=2,MAX(0,AX882-1),0))</f>
        <v>2</v>
      </c>
      <c r="O883" s="1">
        <f t="shared" si="1243"/>
        <v>6</v>
      </c>
      <c r="P883" s="1">
        <f>MIN(方案参数!$AI$27,AZ882+方案参数!$AJ$27+方案参数!$AK$27)</f>
        <v>5</v>
      </c>
      <c r="Q883" s="1">
        <f t="shared" si="1221"/>
        <v>3</v>
      </c>
      <c r="R883" s="1">
        <f t="shared" si="1222"/>
        <v>5</v>
      </c>
      <c r="S883" s="1">
        <f t="shared" si="1223"/>
        <v>2</v>
      </c>
      <c r="T883" s="1">
        <f t="shared" si="1224"/>
        <v>0</v>
      </c>
      <c r="U883" s="1">
        <f t="shared" si="1225"/>
        <v>0</v>
      </c>
      <c r="V883" s="1">
        <f t="shared" si="1226"/>
        <v>2</v>
      </c>
      <c r="W883" s="1">
        <f t="shared" si="1227"/>
        <v>1</v>
      </c>
      <c r="X883" s="1">
        <f t="shared" si="1228"/>
        <v>1</v>
      </c>
      <c r="Y883" s="1">
        <f t="shared" si="1229"/>
        <v>1</v>
      </c>
      <c r="Z883" s="1">
        <f t="shared" si="1230"/>
        <v>1</v>
      </c>
      <c r="AA883" s="1">
        <f t="shared" si="1245"/>
        <v>1</v>
      </c>
      <c r="AB883" s="1">
        <f t="shared" si="1232"/>
        <v>0</v>
      </c>
      <c r="AC883" s="1">
        <f t="shared" si="1233"/>
        <v>0</v>
      </c>
      <c r="AD883" s="1">
        <f>ROUNDDOWN(I883*(1+IF(F883=3,0.05+方案参数!$Y$27+AA883*0.12,IF(F883=4,方案参数!$BZ$27*方案参数!$AS$27,0)))+IF(AND(X883=1,F883&lt;&gt;3),方案参数!$CC$27,0)+AC883*方案参数!$CB$27,0)</f>
        <v>3298</v>
      </c>
      <c r="AE883" s="1">
        <f>IF(OR(F883=1,F883=4),配置与结果!$B$24,配置与结果!$B$25)*MAX(0,1-INDEX(配置与结果!$I$15:$I$18,F883))</f>
        <v>1000</v>
      </c>
      <c r="AF883" s="1">
        <f>0</f>
        <v>0</v>
      </c>
      <c r="AG883" s="1">
        <f>MAX(配置与结果!$B$32,1+INDEX(配置与结果!$F$15:$F$18,F883)+0+Q883*方案参数!$W$27+Y883*(方案参数!$AN$27+MIN(方案参数!$AO$27,P883*0.03))+AB883*方案参数!$BZ$27*0.025-配置与结果!$B$28)</f>
        <v>0.995</v>
      </c>
      <c r="AH883" s="1">
        <f>MAX(0,1+INDEX(配置与结果!$G$15:$G$18,F883)+W883*方案参数!$AG$27)</f>
        <v>1.3</v>
      </c>
      <c r="AI883" s="1">
        <f>IF(OR(INDEX(配置与结果!$K$15:$K$18,F883)=1,G883="RHI_BERRY"),1+配置与结果!$B$33+P883*方案参数!$AH$27,1)</f>
        <v>1</v>
      </c>
      <c r="AJ883" s="1">
        <f>MIN(1,MAX(0,J883+方案参数!$AB$27-配置与结果!$B$27))</f>
        <v>0.55499999999999994</v>
      </c>
      <c r="AK883" s="1">
        <f>MAX(1,K883+IF(F883=2,0.15+方案参数!$CH$27,0)+BN883*方案参数!$X$27+R883*方案参数!$AA$27+0-配置与结果!$B$26+Z883*(方案参数!$AP$27+MIN(方案参数!$AQ$27,P883*0.03)))</f>
        <v>1.6300000000000001</v>
      </c>
      <c r="AL883" s="7">
        <f>ROUNDDOWN(MAX(AD883*配置与结果!$B$31,AD883-AE883)*AF883*AG883*AH883*AI883,0)</f>
        <v>0</v>
      </c>
      <c r="AM883" s="7">
        <f>ROUNDDOWN(MAX(AD883*配置与结果!$B$31,AD883-AE883)*AF883*AG883*AH883*AI883*AK883,0)</f>
        <v>0</v>
      </c>
      <c r="AN883" s="7">
        <f t="shared" si="1188"/>
        <v>0</v>
      </c>
      <c r="AO883" s="7">
        <f>0</f>
        <v>0</v>
      </c>
      <c r="AP883" s="7">
        <f>MAX(0,1+INDEX(配置与结果!$J$15:$J$18,F883)+IF(T883&gt;0,方案参数!$BY$27,0)-配置与结果!$B$30)</f>
        <v>1</v>
      </c>
      <c r="AQ883" s="7">
        <f t="shared" si="1189"/>
        <v>0</v>
      </c>
      <c r="AR883" s="7">
        <f t="shared" si="1190"/>
        <v>0</v>
      </c>
      <c r="AS883" s="7">
        <f t="shared" si="1191"/>
        <v>0</v>
      </c>
      <c r="AT883" s="7">
        <f>0</f>
        <v>0</v>
      </c>
      <c r="AU883" s="7">
        <f t="shared" si="1192"/>
        <v>0</v>
      </c>
      <c r="AV883" s="1">
        <f t="shared" si="1193"/>
        <v>2</v>
      </c>
      <c r="AW883" s="1">
        <f t="shared" si="1247"/>
        <v>10</v>
      </c>
      <c r="AX883" s="1">
        <f t="shared" si="1194"/>
        <v>2</v>
      </c>
      <c r="AY883" s="1">
        <f t="shared" si="1241"/>
        <v>6</v>
      </c>
      <c r="AZ883" s="1">
        <f t="shared" si="1195"/>
        <v>5</v>
      </c>
      <c r="BA883" s="1">
        <f>MIN(6,Q883+1)</f>
        <v>4</v>
      </c>
      <c r="BB883" s="1">
        <f t="shared" si="1234"/>
        <v>5</v>
      </c>
      <c r="BC883" s="1">
        <f t="shared" si="1248"/>
        <v>2</v>
      </c>
      <c r="BD883" s="1">
        <f t="shared" si="1242"/>
        <v>0</v>
      </c>
      <c r="BE883" s="1">
        <f t="shared" si="1235"/>
        <v>0</v>
      </c>
      <c r="BF883" s="1">
        <f>MIN(4,V883+0)</f>
        <v>2</v>
      </c>
      <c r="BG883" s="1">
        <f>MAX(W883,1)</f>
        <v>1</v>
      </c>
      <c r="BH883" s="1">
        <f t="shared" si="1236"/>
        <v>1</v>
      </c>
      <c r="BI883" s="1">
        <f>MAX(Y883,1)</f>
        <v>1</v>
      </c>
      <c r="BJ883" s="1">
        <f t="shared" si="1246"/>
        <v>1</v>
      </c>
      <c r="BK883" s="1">
        <f t="shared" si="1246"/>
        <v>1</v>
      </c>
      <c r="BL883" s="1">
        <f t="shared" si="1216"/>
        <v>0</v>
      </c>
      <c r="BM883" s="1">
        <f t="shared" si="1214"/>
        <v>0</v>
      </c>
      <c r="BN883" s="1">
        <f t="shared" si="1237"/>
        <v>1</v>
      </c>
      <c r="BO883" s="1">
        <f t="shared" si="1238"/>
        <v>1</v>
      </c>
    </row>
    <row r="884" spans="1:67" ht="30.95" customHeight="1">
      <c r="A884" s="1">
        <f>24</f>
        <v>24</v>
      </c>
      <c r="B884" s="1">
        <f>固定流程!A20</f>
        <v>15</v>
      </c>
      <c r="C884" s="1">
        <f>27</f>
        <v>27</v>
      </c>
      <c r="D884" s="1">
        <f>1</f>
        <v>1</v>
      </c>
      <c r="E884" s="1">
        <f>固定流程!C20</f>
        <v>3</v>
      </c>
      <c r="F884" s="1">
        <f>固定流程!G20</f>
        <v>3</v>
      </c>
      <c r="G884" s="1" t="str">
        <f>固定流程!H20</f>
        <v>RHI_ATTACK</v>
      </c>
      <c r="H884" s="1">
        <f>固定流程!F20</f>
        <v>1</v>
      </c>
      <c r="I884" s="1">
        <f>INDEX(配置与结果!$B$15:$B$18,F884)</f>
        <v>2597</v>
      </c>
      <c r="J884" s="1">
        <f>INDEX(配置与结果!$D$15:$D$18,F884)</f>
        <v>0.255</v>
      </c>
      <c r="K884" s="1">
        <f>INDEX(配置与结果!$E$15:$E$18,F884)</f>
        <v>1.55</v>
      </c>
      <c r="L884" s="1">
        <f t="shared" ref="L884:L905" si="1249">AV883</f>
        <v>2</v>
      </c>
      <c r="M884" s="1">
        <f t="shared" ref="M884:M905" si="1250">AW883</f>
        <v>10</v>
      </c>
      <c r="N884" s="1">
        <f t="shared" ref="N884:N905" si="1251">AX883</f>
        <v>2</v>
      </c>
      <c r="O884" s="1">
        <f t="shared" si="1243"/>
        <v>6</v>
      </c>
      <c r="P884" s="1">
        <f>MIN(方案参数!$AI$27,AZ883+0+方案参数!$AK$27)</f>
        <v>5</v>
      </c>
      <c r="Q884" s="1">
        <f t="shared" si="1221"/>
        <v>4</v>
      </c>
      <c r="R884" s="1">
        <f t="shared" si="1222"/>
        <v>5</v>
      </c>
      <c r="S884" s="1">
        <f t="shared" si="1223"/>
        <v>2</v>
      </c>
      <c r="T884" s="1">
        <f t="shared" si="1224"/>
        <v>0</v>
      </c>
      <c r="U884" s="1">
        <f t="shared" si="1225"/>
        <v>0</v>
      </c>
      <c r="V884" s="1">
        <f t="shared" si="1226"/>
        <v>2</v>
      </c>
      <c r="W884" s="1">
        <f t="shared" si="1227"/>
        <v>1</v>
      </c>
      <c r="X884" s="1">
        <f t="shared" si="1228"/>
        <v>1</v>
      </c>
      <c r="Y884" s="1">
        <f t="shared" si="1229"/>
        <v>1</v>
      </c>
      <c r="Z884" s="1">
        <f t="shared" si="1230"/>
        <v>1</v>
      </c>
      <c r="AA884" s="1">
        <f>MAX(BK883,1)</f>
        <v>1</v>
      </c>
      <c r="AB884" s="1">
        <f t="shared" si="1232"/>
        <v>0</v>
      </c>
      <c r="AC884" s="1">
        <f t="shared" si="1233"/>
        <v>0</v>
      </c>
      <c r="AD884" s="1">
        <f>ROUNDDOWN(I884*(1+IF(F884=3,0.05+方案参数!$Y$27+AA884*0.12,IF(F884=4,方案参数!$BZ$27*方案参数!$AS$27,0)))+IF(AND(X884=1,F884&lt;&gt;3),方案参数!$CC$27,0)+AC884*方案参数!$CB$27,0)</f>
        <v>3298</v>
      </c>
      <c r="AE884" s="1">
        <f>IF(OR(F884=1,F884=4),配置与结果!$B$24,配置与结果!$B$25)*MAX(0,1-INDEX(配置与结果!$I$15:$I$18,F884))</f>
        <v>1000</v>
      </c>
      <c r="AF884" s="1">
        <f>4</f>
        <v>4</v>
      </c>
      <c r="AG884" s="1">
        <f>MAX(配置与结果!$B$32,1+INDEX(配置与结果!$F$15:$F$18,F884)+0+Q884*方案参数!$W$27+Y884*(方案参数!$AN$27+MIN(方案参数!$AO$27,P884*0.03))+AB884*方案参数!$BZ$27*0.025-配置与结果!$B$28)</f>
        <v>1.0150000000000001</v>
      </c>
      <c r="AH884" s="1">
        <f>MAX(0,1+INDEX(配置与结果!$G$15:$G$18,F884)+W884*方案参数!$AG$27)</f>
        <v>1.3</v>
      </c>
      <c r="AI884" s="1">
        <f>IF(OR(INDEX(配置与结果!$K$15:$K$18,F884)=1,G884="RHI_BERRY"),1+配置与结果!$B$33+P884*方案参数!$AH$27,1)</f>
        <v>1</v>
      </c>
      <c r="AJ884" s="1">
        <f>MIN(1,MAX(0,J884+方案参数!$AB$27-配置与结果!$B$27))</f>
        <v>0.55499999999999994</v>
      </c>
      <c r="AK884" s="1">
        <f>MAX(1,K884+IF(F884=2,0.15+方案参数!$CH$27,0)+BN884*方案参数!$X$27+R884*方案参数!$AA$27+0-配置与结果!$B$26+Z884*(方案参数!$AP$27+MIN(方案参数!$AQ$27,P884*0.03)))</f>
        <v>1.6300000000000001</v>
      </c>
      <c r="AL884" s="7">
        <f>ROUNDDOWN(MAX(AD884*配置与结果!$B$31,AD884-AE884)*AF884*AG884*AH884*AI884,0)</f>
        <v>12128</v>
      </c>
      <c r="AM884" s="7">
        <f>ROUNDDOWN(MAX(AD884*配置与结果!$B$31,AD884-AE884)*AF884*AG884*AH884*AI884*AK884,0)</f>
        <v>19770</v>
      </c>
      <c r="AN884" s="7">
        <f t="shared" si="1188"/>
        <v>16369.31</v>
      </c>
      <c r="AO884" s="7">
        <f>0</f>
        <v>0</v>
      </c>
      <c r="AP884" s="7">
        <f>MAX(0,1+INDEX(配置与结果!$J$15:$J$18,F884)+IF(T884&gt;0,方案参数!$BY$27,0)-配置与结果!$B$30)</f>
        <v>1</v>
      </c>
      <c r="AQ884" s="7">
        <f t="shared" si="1189"/>
        <v>0</v>
      </c>
      <c r="AR884" s="7">
        <f t="shared" si="1190"/>
        <v>0</v>
      </c>
      <c r="AS884" s="7">
        <f t="shared" si="1191"/>
        <v>0</v>
      </c>
      <c r="AT884" s="7">
        <f>0</f>
        <v>0</v>
      </c>
      <c r="AU884" s="7">
        <f t="shared" si="1192"/>
        <v>16369.31</v>
      </c>
      <c r="AV884" s="1">
        <f t="shared" si="1193"/>
        <v>2</v>
      </c>
      <c r="AW884" s="1">
        <f t="shared" si="1247"/>
        <v>10</v>
      </c>
      <c r="AX884" s="1">
        <f t="shared" si="1194"/>
        <v>2</v>
      </c>
      <c r="AY884" s="1">
        <f t="shared" si="1241"/>
        <v>6</v>
      </c>
      <c r="AZ884" s="1">
        <f t="shared" si="1195"/>
        <v>5</v>
      </c>
      <c r="BA884" s="1">
        <f>MIN(6,Q884+1)</f>
        <v>5</v>
      </c>
      <c r="BB884" s="1">
        <f t="shared" si="1234"/>
        <v>5</v>
      </c>
      <c r="BC884" s="1">
        <f t="shared" si="1248"/>
        <v>2</v>
      </c>
      <c r="BD884" s="1">
        <f t="shared" si="1242"/>
        <v>0</v>
      </c>
      <c r="BE884" s="1">
        <f t="shared" si="1235"/>
        <v>0</v>
      </c>
      <c r="BF884" s="1">
        <f>MIN(4,V884+0)</f>
        <v>2</v>
      </c>
      <c r="BG884" s="1">
        <f t="shared" ref="BG884:BG906" si="1252">MAX(W884,0)</f>
        <v>1</v>
      </c>
      <c r="BH884" s="1">
        <f t="shared" si="1236"/>
        <v>1</v>
      </c>
      <c r="BI884" s="1">
        <f t="shared" ref="BI884:BI906" si="1253">MAX(Y884,0)</f>
        <v>1</v>
      </c>
      <c r="BJ884" s="1">
        <f>MAX(Z884,1)</f>
        <v>1</v>
      </c>
      <c r="BK884" s="1">
        <f>MAX(AA884,1)</f>
        <v>1</v>
      </c>
      <c r="BL884" s="1">
        <f t="shared" si="1216"/>
        <v>0</v>
      </c>
      <c r="BM884" s="1">
        <f t="shared" si="1214"/>
        <v>0</v>
      </c>
      <c r="BN884" s="1">
        <f t="shared" si="1237"/>
        <v>1</v>
      </c>
      <c r="BO884" s="1">
        <f t="shared" si="1238"/>
        <v>1</v>
      </c>
    </row>
    <row r="885" spans="1:67" ht="30.95" customHeight="1">
      <c r="A885" s="1">
        <f>24</f>
        <v>24</v>
      </c>
      <c r="B885" s="1">
        <f>固定流程!A21</f>
        <v>16</v>
      </c>
      <c r="C885" s="1">
        <f>27</f>
        <v>27</v>
      </c>
      <c r="D885" s="1">
        <f>1</f>
        <v>1</v>
      </c>
      <c r="E885" s="1">
        <f>固定流程!C21</f>
        <v>3</v>
      </c>
      <c r="F885" s="1">
        <f>固定流程!G21</f>
        <v>2</v>
      </c>
      <c r="G885" s="1" t="str">
        <f>固定流程!H21</f>
        <v>37_ULT</v>
      </c>
      <c r="H885" s="1">
        <f>固定流程!F21</f>
        <v>1</v>
      </c>
      <c r="I885" s="1">
        <f>INDEX(配置与结果!$B$15:$B$18,F885)</f>
        <v>2306</v>
      </c>
      <c r="J885" s="1">
        <f>INDEX(配置与结果!$D$15:$D$18,F885)</f>
        <v>0.46</v>
      </c>
      <c r="K885" s="1">
        <f>INDEX(配置与结果!$E$15:$E$18,F885)</f>
        <v>1.9279999999999999</v>
      </c>
      <c r="L885" s="1">
        <f t="shared" si="1249"/>
        <v>2</v>
      </c>
      <c r="M885" s="1">
        <f t="shared" si="1250"/>
        <v>10</v>
      </c>
      <c r="N885" s="1">
        <f t="shared" si="1251"/>
        <v>2</v>
      </c>
      <c r="O885" s="1">
        <f t="shared" si="1243"/>
        <v>6</v>
      </c>
      <c r="P885" s="1">
        <f>MIN(方案参数!$AI$27,AZ884+0+0)</f>
        <v>5</v>
      </c>
      <c r="Q885" s="1">
        <f t="shared" si="1221"/>
        <v>5</v>
      </c>
      <c r="R885" s="1">
        <f t="shared" si="1222"/>
        <v>5</v>
      </c>
      <c r="S885" s="1">
        <f t="shared" si="1223"/>
        <v>2</v>
      </c>
      <c r="T885" s="1">
        <f>BD884+方案参数!$BX$27</f>
        <v>2</v>
      </c>
      <c r="U885" s="1">
        <f t="shared" si="1225"/>
        <v>0</v>
      </c>
      <c r="V885" s="1">
        <f t="shared" si="1226"/>
        <v>2</v>
      </c>
      <c r="W885" s="1">
        <f t="shared" si="1227"/>
        <v>1</v>
      </c>
      <c r="X885" s="1">
        <f t="shared" si="1228"/>
        <v>1</v>
      </c>
      <c r="Y885" s="1">
        <f t="shared" si="1229"/>
        <v>1</v>
      </c>
      <c r="Z885" s="1">
        <f t="shared" si="1230"/>
        <v>1</v>
      </c>
      <c r="AA885" s="1">
        <f t="shared" ref="AA885:AA905" si="1254">MAX(BK884,0)</f>
        <v>1</v>
      </c>
      <c r="AB885" s="1">
        <f t="shared" si="1232"/>
        <v>0</v>
      </c>
      <c r="AC885" s="1">
        <f>MAX(BM884,1)</f>
        <v>1</v>
      </c>
      <c r="AD885" s="1">
        <f>ROUNDDOWN(I885*(1+IF(F885=3,0.05+方案参数!$Y$27+AA885*0.12,IF(F885=4,方案参数!$BZ$27*方案参数!$AS$27,0)))+IF(AND(X885=1,F885&lt;&gt;3),方案参数!$CC$27,0)+AC885*方案参数!$CB$27,0)</f>
        <v>3044</v>
      </c>
      <c r="AE885" s="1">
        <f>IF(OR(F885=1,F885=4),配置与结果!$B$24,配置与结果!$B$25)*MAX(0,1-INDEX(配置与结果!$I$15:$I$18,F885))</f>
        <v>1000</v>
      </c>
      <c r="AF885" s="1">
        <f>0</f>
        <v>0</v>
      </c>
      <c r="AG885" s="1">
        <f>MAX(配置与结果!$B$32,1+INDEX(配置与结果!$F$15:$F$18,F885)+0+Q885*方案参数!$W$27+Y885*(方案参数!$AN$27+MIN(方案参数!$AO$27,P885*0.03))+AB885*方案参数!$BZ$27*0.025-配置与结果!$B$28)</f>
        <v>1.0049999999999999</v>
      </c>
      <c r="AH885" s="1">
        <f>MAX(0,1+INDEX(配置与结果!$G$15:$G$18,F885)+W885*方案参数!$AG$27)</f>
        <v>1.3</v>
      </c>
      <c r="AI885" s="1">
        <f>IF(OR(INDEX(配置与结果!$K$15:$K$18,F885)=1,G885="RHI_BERRY"),1+配置与结果!$B$33+P885*方案参数!$AH$27,1)</f>
        <v>1</v>
      </c>
      <c r="AJ885" s="1">
        <f>MIN(1,MAX(0,J885+方案参数!$AB$27-配置与结果!$B$27))</f>
        <v>0.76</v>
      </c>
      <c r="AK885" s="1">
        <f>MAX(1,K885+IF(F885=2,0.15+方案参数!$CH$27,0)+BN885*方案参数!$X$27+R885*方案参数!$AA$27+0-配置与结果!$B$26+Z885*(方案参数!$AP$27+MIN(方案参数!$AQ$27,P885*0.03)))</f>
        <v>2.278</v>
      </c>
      <c r="AL885" s="7">
        <f>ROUNDDOWN(MAX(AD885*配置与结果!$B$31,AD885-AE885)*AF885*AG885*AH885*AI885,0)</f>
        <v>0</v>
      </c>
      <c r="AM885" s="7">
        <f>ROUNDDOWN(MAX(AD885*配置与结果!$B$31,AD885-AE885)*AF885*AG885*AH885*AI885*AK885,0)</f>
        <v>0</v>
      </c>
      <c r="AN885" s="7">
        <f t="shared" si="1188"/>
        <v>0</v>
      </c>
      <c r="AO885" s="7">
        <f>0</f>
        <v>0</v>
      </c>
      <c r="AP885" s="7">
        <f>MAX(0,1+INDEX(配置与结果!$J$15:$J$18,F885)+IF(T885&gt;0,方案参数!$BY$27,0)-配置与结果!$B$30)</f>
        <v>2</v>
      </c>
      <c r="AQ885" s="7">
        <f t="shared" si="1189"/>
        <v>0</v>
      </c>
      <c r="AR885" s="7">
        <f t="shared" si="1190"/>
        <v>0</v>
      </c>
      <c r="AS885" s="7">
        <f t="shared" si="1191"/>
        <v>0</v>
      </c>
      <c r="AT885" s="7">
        <f>0</f>
        <v>0</v>
      </c>
      <c r="AU885" s="7">
        <f t="shared" si="1192"/>
        <v>0</v>
      </c>
      <c r="AV885" s="1">
        <f t="shared" si="1193"/>
        <v>2</v>
      </c>
      <c r="AW885" s="1">
        <f t="shared" si="1247"/>
        <v>10</v>
      </c>
      <c r="AX885" s="1">
        <f t="shared" si="1194"/>
        <v>2</v>
      </c>
      <c r="AY885" s="1">
        <f t="shared" si="1241"/>
        <v>6</v>
      </c>
      <c r="AZ885" s="1">
        <f t="shared" si="1195"/>
        <v>5</v>
      </c>
      <c r="BA885" s="1">
        <f t="shared" ref="BA885:BA905" si="1255">MIN(6,Q885+0)</f>
        <v>5</v>
      </c>
      <c r="BB885" s="1">
        <f>MIN(30,R885+5)</f>
        <v>10</v>
      </c>
      <c r="BC885" s="1">
        <f t="shared" si="1248"/>
        <v>2</v>
      </c>
      <c r="BD885" s="1">
        <f t="shared" si="1242"/>
        <v>2</v>
      </c>
      <c r="BE885" s="1">
        <f t="shared" si="1235"/>
        <v>0</v>
      </c>
      <c r="BF885" s="1">
        <f>MIN(4,V885+0)</f>
        <v>2</v>
      </c>
      <c r="BG885" s="1">
        <f t="shared" si="1252"/>
        <v>1</v>
      </c>
      <c r="BH885" s="1">
        <f t="shared" si="1236"/>
        <v>1</v>
      </c>
      <c r="BI885" s="1">
        <f t="shared" si="1253"/>
        <v>1</v>
      </c>
      <c r="BJ885" s="1">
        <f t="shared" ref="BJ885:BJ912" si="1256">MAX(Z885,0)</f>
        <v>1</v>
      </c>
      <c r="BK885" s="1">
        <f t="shared" ref="BK885:BK912" si="1257">MAX(AA885,0)</f>
        <v>1</v>
      </c>
      <c r="BL885" s="1">
        <f t="shared" si="1216"/>
        <v>0</v>
      </c>
      <c r="BM885" s="1">
        <f>MAX(AC885,1)</f>
        <v>1</v>
      </c>
      <c r="BN885" s="1">
        <f t="shared" si="1237"/>
        <v>1</v>
      </c>
      <c r="BO885" s="1">
        <f t="shared" si="1238"/>
        <v>1</v>
      </c>
    </row>
    <row r="886" spans="1:67" ht="30.95" customHeight="1">
      <c r="A886" s="1">
        <f>24</f>
        <v>24</v>
      </c>
      <c r="B886" s="1">
        <f>固定流程!A22</f>
        <v>17</v>
      </c>
      <c r="C886" s="1">
        <f>27</f>
        <v>27</v>
      </c>
      <c r="D886" s="1">
        <f>1</f>
        <v>1</v>
      </c>
      <c r="E886" s="1">
        <f>固定流程!C22</f>
        <v>3</v>
      </c>
      <c r="F886" s="1">
        <f>固定流程!G22</f>
        <v>2</v>
      </c>
      <c r="G886" s="1" t="str">
        <f>固定流程!H22</f>
        <v>37_FOLLOW</v>
      </c>
      <c r="H886" s="1">
        <f>固定流程!F22</f>
        <v>1</v>
      </c>
      <c r="I886" s="1">
        <f>INDEX(配置与结果!$B$15:$B$18,F886)</f>
        <v>2306</v>
      </c>
      <c r="J886" s="1">
        <f>INDEX(配置与结果!$D$15:$D$18,F886)</f>
        <v>0.46</v>
      </c>
      <c r="K886" s="1">
        <f>INDEX(配置与结果!$E$15:$E$18,F886)</f>
        <v>1.9279999999999999</v>
      </c>
      <c r="L886" s="1">
        <f t="shared" si="1249"/>
        <v>2</v>
      </c>
      <c r="M886" s="1">
        <f t="shared" si="1250"/>
        <v>10</v>
      </c>
      <c r="N886" s="1">
        <f t="shared" si="1251"/>
        <v>2</v>
      </c>
      <c r="O886" s="1">
        <f t="shared" si="1243"/>
        <v>6</v>
      </c>
      <c r="P886" s="1">
        <f>MIN(方案参数!$AI$27,AZ885+0+0)</f>
        <v>5</v>
      </c>
      <c r="Q886" s="1">
        <f t="shared" si="1221"/>
        <v>5</v>
      </c>
      <c r="R886" s="1">
        <f t="shared" si="1222"/>
        <v>10</v>
      </c>
      <c r="S886" s="1">
        <f t="shared" si="1223"/>
        <v>2</v>
      </c>
      <c r="T886" s="1">
        <f t="shared" ref="T886:T905" si="1258">BD885+0</f>
        <v>2</v>
      </c>
      <c r="U886" s="1">
        <f t="shared" si="1225"/>
        <v>0</v>
      </c>
      <c r="V886" s="1">
        <f t="shared" si="1226"/>
        <v>2</v>
      </c>
      <c r="W886" s="1">
        <f t="shared" si="1227"/>
        <v>1</v>
      </c>
      <c r="X886" s="1">
        <f t="shared" si="1228"/>
        <v>1</v>
      </c>
      <c r="Y886" s="1">
        <f t="shared" si="1229"/>
        <v>1</v>
      </c>
      <c r="Z886" s="1">
        <f t="shared" si="1230"/>
        <v>1</v>
      </c>
      <c r="AA886" s="1">
        <f t="shared" si="1254"/>
        <v>1</v>
      </c>
      <c r="AB886" s="1">
        <f t="shared" si="1232"/>
        <v>0</v>
      </c>
      <c r="AC886" s="1">
        <f t="shared" ref="AC886:AC905" si="1259">MAX(BM885,0)</f>
        <v>1</v>
      </c>
      <c r="AD886" s="1">
        <f>ROUNDDOWN(I886*(1+IF(F886=3,0.05+方案参数!$Y$27+AA886*0.12,IF(F886=4,方案参数!$BZ$27*方案参数!$AS$27,0)))+IF(AND(X886=1,F886&lt;&gt;3),方案参数!$CC$27,0)+AC886*方案参数!$CB$27,0)</f>
        <v>3044</v>
      </c>
      <c r="AE886" s="1">
        <f>IF(OR(F886=1,F886=4),配置与结果!$B$24,配置与结果!$B$25)*MAX(0,1-INDEX(配置与结果!$I$15:$I$18,F886))</f>
        <v>1000</v>
      </c>
      <c r="AF886" s="1">
        <f>方案参数!$BV$27</f>
        <v>3</v>
      </c>
      <c r="AG886" s="1">
        <f>MAX(配置与结果!$B$32,1+INDEX(配置与结果!$F$15:$F$18,F886)+0+Q886*方案参数!$W$27+Y886*(方案参数!$AN$27+MIN(方案参数!$AO$27,P886*0.03))+AB886*方案参数!$BZ$27*0.025-配置与结果!$B$28)</f>
        <v>1.0049999999999999</v>
      </c>
      <c r="AH886" s="1">
        <f>MAX(0,1+INDEX(配置与结果!$G$15:$G$18,F886)+W886*方案参数!$AG$27)</f>
        <v>1.3</v>
      </c>
      <c r="AI886" s="1">
        <f>IF(OR(INDEX(配置与结果!$K$15:$K$18,F886)=1,G886="RHI_BERRY"),1+配置与结果!$B$33+P886*方案参数!$AH$27,1)</f>
        <v>1</v>
      </c>
      <c r="AJ886" s="1">
        <f>MIN(1,MAX(0,J886+方案参数!$AB$27-配置与结果!$B$27))</f>
        <v>0.76</v>
      </c>
      <c r="AK886" s="1">
        <f>MAX(1,K886+IF(F886=2,0.15+方案参数!$CH$27,0)+BN886*方案参数!$X$27+R886*方案参数!$AA$27+0-配置与结果!$B$26+Z886*(方案参数!$AP$27+MIN(方案参数!$AQ$27,P886*0.03)))</f>
        <v>2.298</v>
      </c>
      <c r="AL886" s="7">
        <f>ROUNDDOWN(MAX(AD886*配置与结果!$B$31,AD886-AE886)*AF886*AG886*AH886*AI886,0)</f>
        <v>8011</v>
      </c>
      <c r="AM886" s="7">
        <f>ROUNDDOWN(MAX(AD886*配置与结果!$B$31,AD886-AE886)*AF886*AG886*AH886*AI886*AK886,0)</f>
        <v>18410</v>
      </c>
      <c r="AN886" s="7">
        <f t="shared" si="1188"/>
        <v>15914.24</v>
      </c>
      <c r="AO886" s="7">
        <f>方案参数!$BW$27</f>
        <v>1</v>
      </c>
      <c r="AP886" s="7">
        <f>MAX(0,1+INDEX(配置与结果!$J$15:$J$18,F886)+IF(T886&gt;0,方案参数!$BY$27,0)-配置与结果!$B$30)</f>
        <v>2</v>
      </c>
      <c r="AQ886" s="7">
        <f t="shared" si="1189"/>
        <v>6088</v>
      </c>
      <c r="AR886" s="7">
        <f t="shared" si="1190"/>
        <v>13990</v>
      </c>
      <c r="AS886" s="7">
        <f t="shared" si="1191"/>
        <v>12093.52</v>
      </c>
      <c r="AT886" s="7">
        <f>0</f>
        <v>0</v>
      </c>
      <c r="AU886" s="7">
        <f t="shared" si="1192"/>
        <v>28007.760000000002</v>
      </c>
      <c r="AV886" s="1">
        <f t="shared" si="1193"/>
        <v>2</v>
      </c>
      <c r="AW886" s="1">
        <f t="shared" si="1247"/>
        <v>10</v>
      </c>
      <c r="AX886" s="1">
        <f t="shared" si="1194"/>
        <v>2</v>
      </c>
      <c r="AY886" s="1">
        <f t="shared" si="1241"/>
        <v>6</v>
      </c>
      <c r="AZ886" s="1">
        <f t="shared" si="1195"/>
        <v>5</v>
      </c>
      <c r="BA886" s="1">
        <f t="shared" si="1255"/>
        <v>5</v>
      </c>
      <c r="BB886" s="1">
        <f>MIN(30,R886+0)</f>
        <v>10</v>
      </c>
      <c r="BC886" s="1">
        <f t="shared" si="1248"/>
        <v>2</v>
      </c>
      <c r="BD886" s="1">
        <f t="shared" si="1242"/>
        <v>1</v>
      </c>
      <c r="BE886" s="1">
        <f t="shared" si="1235"/>
        <v>0</v>
      </c>
      <c r="BF886" s="1">
        <f>MIN(4,V886+1)</f>
        <v>3</v>
      </c>
      <c r="BG886" s="1">
        <f t="shared" si="1252"/>
        <v>1</v>
      </c>
      <c r="BH886" s="1">
        <f t="shared" si="1236"/>
        <v>1</v>
      </c>
      <c r="BI886" s="1">
        <f t="shared" si="1253"/>
        <v>1</v>
      </c>
      <c r="BJ886" s="1">
        <f t="shared" si="1256"/>
        <v>1</v>
      </c>
      <c r="BK886" s="1">
        <f t="shared" si="1257"/>
        <v>1</v>
      </c>
      <c r="BL886" s="1">
        <f t="shared" si="1216"/>
        <v>0</v>
      </c>
      <c r="BM886" s="1">
        <f t="shared" ref="BM886:BM920" si="1260">MAX(AC886,0)</f>
        <v>1</v>
      </c>
      <c r="BN886" s="1">
        <f t="shared" si="1237"/>
        <v>1</v>
      </c>
      <c r="BO886" s="1">
        <f t="shared" si="1238"/>
        <v>1</v>
      </c>
    </row>
    <row r="887" spans="1:67" ht="30.95" customHeight="1">
      <c r="A887" s="1">
        <f>24</f>
        <v>24</v>
      </c>
      <c r="B887" s="1">
        <f>固定流程!A23</f>
        <v>18</v>
      </c>
      <c r="C887" s="1">
        <f>27</f>
        <v>27</v>
      </c>
      <c r="D887" s="1">
        <f>1</f>
        <v>1</v>
      </c>
      <c r="E887" s="1">
        <f>固定流程!C23</f>
        <v>3</v>
      </c>
      <c r="F887" s="1">
        <f>固定流程!G23</f>
        <v>4</v>
      </c>
      <c r="G887" s="1" t="str">
        <f>固定流程!H23</f>
        <v>J_HARD</v>
      </c>
      <c r="H887" s="1">
        <f>固定流程!F23</f>
        <v>1</v>
      </c>
      <c r="I887" s="1">
        <f>INDEX(配置与结果!$B$15:$B$18,F887)</f>
        <v>1906</v>
      </c>
      <c r="J887" s="1">
        <f>INDEX(配置与结果!$D$15:$D$18,F887)</f>
        <v>0.36699999999999999</v>
      </c>
      <c r="K887" s="1">
        <f>INDEX(配置与结果!$E$15:$E$18,F887)</f>
        <v>1.7170000000000001</v>
      </c>
      <c r="L887" s="1">
        <f t="shared" si="1249"/>
        <v>2</v>
      </c>
      <c r="M887" s="1">
        <f t="shared" si="1250"/>
        <v>10</v>
      </c>
      <c r="N887" s="1">
        <f t="shared" si="1251"/>
        <v>2</v>
      </c>
      <c r="O887" s="1">
        <f t="shared" si="1243"/>
        <v>6</v>
      </c>
      <c r="P887" s="1">
        <f>MIN(方案参数!$AI$27,AZ886+0+0)</f>
        <v>5</v>
      </c>
      <c r="Q887" s="1">
        <f t="shared" si="1221"/>
        <v>5</v>
      </c>
      <c r="R887" s="1">
        <f t="shared" si="1222"/>
        <v>10</v>
      </c>
      <c r="S887" s="1">
        <f t="shared" si="1223"/>
        <v>2</v>
      </c>
      <c r="T887" s="1">
        <f t="shared" si="1258"/>
        <v>1</v>
      </c>
      <c r="U887" s="1">
        <f t="shared" si="1225"/>
        <v>0</v>
      </c>
      <c r="V887" s="1">
        <f t="shared" si="1226"/>
        <v>3</v>
      </c>
      <c r="W887" s="1">
        <f t="shared" si="1227"/>
        <v>1</v>
      </c>
      <c r="X887" s="1">
        <f t="shared" si="1228"/>
        <v>1</v>
      </c>
      <c r="Y887" s="1">
        <f t="shared" si="1229"/>
        <v>1</v>
      </c>
      <c r="Z887" s="1">
        <f t="shared" si="1230"/>
        <v>1</v>
      </c>
      <c r="AA887" s="1">
        <f t="shared" si="1254"/>
        <v>1</v>
      </c>
      <c r="AB887" s="1">
        <f t="shared" si="1232"/>
        <v>0</v>
      </c>
      <c r="AC887" s="1">
        <f t="shared" si="1259"/>
        <v>1</v>
      </c>
      <c r="AD887" s="1">
        <f>ROUNDDOWN(I887*(1+IF(F887=3,0.05+方案参数!$Y$27+AA887*0.12,IF(F887=4,方案参数!$BZ$27*方案参数!$AS$27,0)))+IF(AND(X887=1,F887&lt;&gt;3),方案参数!$CC$27,0)+AC887*方案参数!$CB$27,0)</f>
        <v>4359</v>
      </c>
      <c r="AE887" s="1">
        <f>IF(OR(F887=1,F887=4),配置与结果!$B$24,配置与结果!$B$25)*MAX(0,1-INDEX(配置与结果!$I$15:$I$18,F887))</f>
        <v>1200</v>
      </c>
      <c r="AF887" s="1">
        <f>3.6*IF(H887=1,1,IF(H887=2,1.5,2.5))</f>
        <v>3.6</v>
      </c>
      <c r="AG887" s="1">
        <f>MAX(配置与结果!$B$32,1+INDEX(配置与结果!$F$15:$F$18,F887)+0.08+Q887*方案参数!$W$27+Y887*(方案参数!$AN$27+MIN(方案参数!$AO$27,P887*0.03))+AB887*方案参数!$BZ$27*0.025+0.1+IF(方案参数!$BZ$27&gt;=30,方案参数!$BZ$27*0.01,0)-配置与结果!$B$28)</f>
        <v>1.6550000000000002</v>
      </c>
      <c r="AH887" s="1">
        <f>MAX(0,1+INDEX(配置与结果!$G$15:$G$18,F887)+W887*方案参数!$AG$27)</f>
        <v>1.3</v>
      </c>
      <c r="AI887" s="1">
        <f>IF(OR(INDEX(配置与结果!$K$15:$K$18,F887)=1,G887="RHI_BERRY"),1+配置与结果!$B$33+P887*方案参数!$AH$27,1)</f>
        <v>1</v>
      </c>
      <c r="AJ887" s="1">
        <f>MIN(1,MAX(0,J887+方案参数!$AB$27-配置与结果!$B$27))</f>
        <v>0.66700000000000004</v>
      </c>
      <c r="AK887" s="1">
        <f>MAX(1,K887+IF(F887=2,0.15+方案参数!$CH$27,0)+BN887*方案参数!$X$27+R887*方案参数!$AA$27+0-配置与结果!$B$26+Z887*(方案参数!$AP$27+MIN(方案参数!$AQ$27,P887*0.03)))</f>
        <v>1.8169999999999999</v>
      </c>
      <c r="AL887" s="7">
        <f>ROUNDDOWN(MAX(AD887*配置与结果!$B$31,AD887-AE887)*AF887*AG887*AH887*AI887,0)</f>
        <v>24467</v>
      </c>
      <c r="AM887" s="7">
        <f>ROUNDDOWN(MAX(AD887*配置与结果!$B$31,AD887-AE887)*AF887*AG887*AH887*AI887*AK887,0)</f>
        <v>44457</v>
      </c>
      <c r="AN887" s="7">
        <f t="shared" si="1188"/>
        <v>37800.33</v>
      </c>
      <c r="AO887" s="7">
        <f>0</f>
        <v>0</v>
      </c>
      <c r="AP887" s="7">
        <f>MAX(0,1+INDEX(配置与结果!$J$15:$J$18,F887)+IF(T887&gt;0,方案参数!$BY$27,0)-配置与结果!$B$30)</f>
        <v>2</v>
      </c>
      <c r="AQ887" s="7">
        <f t="shared" si="1189"/>
        <v>0</v>
      </c>
      <c r="AR887" s="7">
        <f t="shared" si="1190"/>
        <v>0</v>
      </c>
      <c r="AS887" s="7">
        <f t="shared" si="1191"/>
        <v>0</v>
      </c>
      <c r="AT887" s="7">
        <f>0</f>
        <v>0</v>
      </c>
      <c r="AU887" s="7">
        <f t="shared" si="1192"/>
        <v>37800.33</v>
      </c>
      <c r="AV887" s="1">
        <f t="shared" si="1193"/>
        <v>2</v>
      </c>
      <c r="AW887" s="1">
        <f t="shared" si="1247"/>
        <v>10</v>
      </c>
      <c r="AX887" s="1">
        <f t="shared" si="1194"/>
        <v>2</v>
      </c>
      <c r="AY887" s="1">
        <f t="shared" si="1241"/>
        <v>6</v>
      </c>
      <c r="AZ887" s="1">
        <f t="shared" si="1195"/>
        <v>5</v>
      </c>
      <c r="BA887" s="1">
        <f t="shared" si="1255"/>
        <v>5</v>
      </c>
      <c r="BB887" s="1">
        <f>MIN(30,R887+0)</f>
        <v>10</v>
      </c>
      <c r="BC887" s="1">
        <f>MIN(3,S887+1)</f>
        <v>3</v>
      </c>
      <c r="BD887" s="1">
        <f t="shared" si="1242"/>
        <v>1</v>
      </c>
      <c r="BE887" s="1">
        <f t="shared" si="1235"/>
        <v>0</v>
      </c>
      <c r="BF887" s="1">
        <f>MIN(4,V887+0)</f>
        <v>3</v>
      </c>
      <c r="BG887" s="1">
        <f t="shared" si="1252"/>
        <v>1</v>
      </c>
      <c r="BH887" s="1">
        <f t="shared" si="1236"/>
        <v>1</v>
      </c>
      <c r="BI887" s="1">
        <f t="shared" si="1253"/>
        <v>1</v>
      </c>
      <c r="BJ887" s="1">
        <f t="shared" si="1256"/>
        <v>1</v>
      </c>
      <c r="BK887" s="1">
        <f t="shared" si="1257"/>
        <v>1</v>
      </c>
      <c r="BL887" s="1">
        <f t="shared" si="1216"/>
        <v>0</v>
      </c>
      <c r="BM887" s="1">
        <f t="shared" si="1260"/>
        <v>1</v>
      </c>
      <c r="BN887" s="1">
        <f t="shared" si="1237"/>
        <v>1</v>
      </c>
      <c r="BO887" s="1">
        <f t="shared" si="1238"/>
        <v>1</v>
      </c>
    </row>
    <row r="888" spans="1:67" ht="30.95" customHeight="1">
      <c r="A888" s="1">
        <f>24</f>
        <v>24</v>
      </c>
      <c r="B888" s="1">
        <f>固定流程!A24</f>
        <v>19</v>
      </c>
      <c r="C888" s="1">
        <f>27</f>
        <v>27</v>
      </c>
      <c r="D888" s="1">
        <f>1</f>
        <v>1</v>
      </c>
      <c r="E888" s="1">
        <f>固定流程!C24</f>
        <v>3</v>
      </c>
      <c r="F888" s="1">
        <f>固定流程!G24</f>
        <v>4</v>
      </c>
      <c r="G888" s="1" t="str">
        <f>固定流程!H24</f>
        <v>J_ULT</v>
      </c>
      <c r="H888" s="1">
        <f>固定流程!F24</f>
        <v>1</v>
      </c>
      <c r="I888" s="1">
        <f>INDEX(配置与结果!$B$15:$B$18,F888)</f>
        <v>1906</v>
      </c>
      <c r="J888" s="1">
        <f>INDEX(配置与结果!$D$15:$D$18,F888)</f>
        <v>0.36699999999999999</v>
      </c>
      <c r="K888" s="1">
        <f>INDEX(配置与结果!$E$15:$E$18,F888)</f>
        <v>1.7170000000000001</v>
      </c>
      <c r="L888" s="1">
        <f t="shared" si="1249"/>
        <v>2</v>
      </c>
      <c r="M888" s="1">
        <f t="shared" si="1250"/>
        <v>10</v>
      </c>
      <c r="N888" s="1">
        <f t="shared" si="1251"/>
        <v>2</v>
      </c>
      <c r="O888" s="1">
        <f t="shared" si="1243"/>
        <v>6</v>
      </c>
      <c r="P888" s="1">
        <f>MIN(方案参数!$AI$27,AZ887+0+0)</f>
        <v>5</v>
      </c>
      <c r="Q888" s="1">
        <f t="shared" si="1221"/>
        <v>5</v>
      </c>
      <c r="R888" s="1">
        <f t="shared" si="1222"/>
        <v>10</v>
      </c>
      <c r="S888" s="1">
        <f t="shared" si="1223"/>
        <v>3</v>
      </c>
      <c r="T888" s="1">
        <f t="shared" si="1258"/>
        <v>1</v>
      </c>
      <c r="U888" s="1">
        <f t="shared" si="1225"/>
        <v>0</v>
      </c>
      <c r="V888" s="1">
        <f t="shared" si="1226"/>
        <v>3</v>
      </c>
      <c r="W888" s="1">
        <f t="shared" si="1227"/>
        <v>1</v>
      </c>
      <c r="X888" s="1">
        <f t="shared" si="1228"/>
        <v>1</v>
      </c>
      <c r="Y888" s="1">
        <f t="shared" si="1229"/>
        <v>1</v>
      </c>
      <c r="Z888" s="1">
        <f t="shared" si="1230"/>
        <v>1</v>
      </c>
      <c r="AA888" s="1">
        <f t="shared" si="1254"/>
        <v>1</v>
      </c>
      <c r="AB888" s="1">
        <f t="shared" si="1232"/>
        <v>0</v>
      </c>
      <c r="AC888" s="1">
        <f t="shared" si="1259"/>
        <v>1</v>
      </c>
      <c r="AD888" s="1">
        <f>ROUNDDOWN(I888*(1+IF(F888=3,0.05+方案参数!$Y$27+AA888*0.12,IF(F888=4,方案参数!$BZ$27*方案参数!$AS$27,0)))+IF(AND(X888=1,F888&lt;&gt;3),方案参数!$CC$27,0)+AC888*方案参数!$CB$27,0)</f>
        <v>4359</v>
      </c>
      <c r="AE888" s="1">
        <f>IF(OR(F888=1,F888=4),配置与结果!$B$24,配置与结果!$B$25)*MAX(0,1-INDEX(配置与结果!$I$15:$I$18,F888))</f>
        <v>1200</v>
      </c>
      <c r="AF888" s="1">
        <f>方案参数!$AT$27+MAX(0,配置与结果!$H$26+方案参数!$BZ$27-30)*方案参数!$AU$27*配置与结果!$H$27</f>
        <v>76.5</v>
      </c>
      <c r="AG888" s="1">
        <f>MAX(配置与结果!$B$32,1+INDEX(配置与结果!$F$15:$F$18,F888)+0.08+Q888*方案参数!$W$27+Y888*(方案参数!$AN$27+MIN(方案参数!$AO$27,P888*0.03))+AB888*方案参数!$BZ$27*0.025-配置与结果!$B$28)</f>
        <v>1.105</v>
      </c>
      <c r="AH888" s="1">
        <f>MAX(0,1+INDEX(配置与结果!$H$15:$H$18,F888)+W888*方案参数!$AG$27+S888*方案参数!$Z$27)</f>
        <v>1.42</v>
      </c>
      <c r="AI888" s="1">
        <f>IF(OR(INDEX(配置与结果!$K$15:$K$18,F888)=1,G888="RHI_BERRY"),1+配置与结果!$B$33+P888*方案参数!$AH$27,1)</f>
        <v>1</v>
      </c>
      <c r="AJ888" s="1">
        <f>MIN(1,MAX(0,J888+方案参数!$AB$27-配置与结果!$B$27))</f>
        <v>0.66700000000000004</v>
      </c>
      <c r="AK888" s="1">
        <f>MAX(1,K888+IF(F888=2,0.15+方案参数!$CH$27,0)+BN888*方案参数!$X$27+R888*方案参数!$AA$27+0-配置与结果!$B$26+Z888*(方案参数!$AP$27+MIN(方案参数!$AQ$27,P888*0.03)))</f>
        <v>1.8169999999999999</v>
      </c>
      <c r="AL888" s="7">
        <f>ROUNDDOWN(MAX(AD888*配置与结果!$B$31,AD888-AE888)*AF888*AG888*AH888*AI888,0)</f>
        <v>379194</v>
      </c>
      <c r="AM888" s="7">
        <f>ROUNDDOWN(MAX(AD888*配置与结果!$B$31,AD888-AE888)*AF888*AG888*AH888*AI888*AK888,0)</f>
        <v>688995</v>
      </c>
      <c r="AN888" s="7">
        <f t="shared" si="1188"/>
        <v>585831.26699999999</v>
      </c>
      <c r="AO888" s="7">
        <f>0</f>
        <v>0</v>
      </c>
      <c r="AP888" s="7">
        <f>MAX(0,1+INDEX(配置与结果!$J$15:$J$18,F888)+IF(T888&gt;0,方案参数!$BY$27,0)-配置与结果!$B$30)</f>
        <v>2</v>
      </c>
      <c r="AQ888" s="7">
        <f t="shared" si="1189"/>
        <v>0</v>
      </c>
      <c r="AR888" s="7">
        <f t="shared" si="1190"/>
        <v>0</v>
      </c>
      <c r="AS888" s="7">
        <f t="shared" si="1191"/>
        <v>0</v>
      </c>
      <c r="AT888" s="7">
        <f>0</f>
        <v>0</v>
      </c>
      <c r="AU888" s="7">
        <f t="shared" si="1192"/>
        <v>585831.26699999999</v>
      </c>
      <c r="AV888" s="1">
        <f t="shared" si="1193"/>
        <v>2</v>
      </c>
      <c r="AW888" s="1">
        <f t="shared" si="1247"/>
        <v>10</v>
      </c>
      <c r="AX888" s="1">
        <f t="shared" si="1194"/>
        <v>2</v>
      </c>
      <c r="AY888" s="1">
        <f t="shared" si="1241"/>
        <v>6</v>
      </c>
      <c r="AZ888" s="1">
        <f t="shared" si="1195"/>
        <v>5</v>
      </c>
      <c r="BA888" s="1">
        <f t="shared" si="1255"/>
        <v>5</v>
      </c>
      <c r="BB888" s="1">
        <f>MIN(30,R888+5)</f>
        <v>15</v>
      </c>
      <c r="BC888" s="1">
        <f t="shared" ref="BC888:BC911" si="1261">MIN(3,S888+0)</f>
        <v>3</v>
      </c>
      <c r="BD888" s="1">
        <f t="shared" si="1242"/>
        <v>1</v>
      </c>
      <c r="BE888" s="1">
        <f t="shared" si="1235"/>
        <v>0</v>
      </c>
      <c r="BF888" s="1">
        <f>MIN(4,V888+0)</f>
        <v>3</v>
      </c>
      <c r="BG888" s="1">
        <f t="shared" si="1252"/>
        <v>1</v>
      </c>
      <c r="BH888" s="1">
        <f t="shared" si="1236"/>
        <v>1</v>
      </c>
      <c r="BI888" s="1">
        <f t="shared" si="1253"/>
        <v>1</v>
      </c>
      <c r="BJ888" s="1">
        <f t="shared" si="1256"/>
        <v>1</v>
      </c>
      <c r="BK888" s="1">
        <f t="shared" si="1257"/>
        <v>1</v>
      </c>
      <c r="BL888" s="1">
        <f>MAX(AB888,1)</f>
        <v>1</v>
      </c>
      <c r="BM888" s="1">
        <f t="shared" si="1260"/>
        <v>1</v>
      </c>
      <c r="BN888" s="1">
        <f t="shared" si="1237"/>
        <v>1</v>
      </c>
      <c r="BO888" s="1">
        <f t="shared" si="1238"/>
        <v>1</v>
      </c>
    </row>
    <row r="889" spans="1:67" ht="30.95" customHeight="1">
      <c r="A889" s="1">
        <f>24</f>
        <v>24</v>
      </c>
      <c r="B889" s="1">
        <f>固定流程!A25</f>
        <v>20</v>
      </c>
      <c r="C889" s="1">
        <f>27</f>
        <v>27</v>
      </c>
      <c r="D889" s="1">
        <f>1</f>
        <v>1</v>
      </c>
      <c r="E889" s="1">
        <f>固定流程!C25</f>
        <v>3</v>
      </c>
      <c r="F889" s="1">
        <f>固定流程!G25</f>
        <v>1</v>
      </c>
      <c r="G889" s="1" t="str">
        <f>固定流程!H25</f>
        <v>LILYA_ULT</v>
      </c>
      <c r="H889" s="1">
        <f>固定流程!F25</f>
        <v>1</v>
      </c>
      <c r="I889" s="1">
        <f>INDEX(配置与结果!$B$15:$B$18,F889)</f>
        <v>2296</v>
      </c>
      <c r="J889" s="1">
        <f>INDEX(配置与结果!$D$15:$D$18,F889)</f>
        <v>0.7</v>
      </c>
      <c r="K889" s="1">
        <f>INDEX(配置与结果!$E$15:$E$18,F889)</f>
        <v>2.0249999999999999</v>
      </c>
      <c r="L889" s="1">
        <f t="shared" si="1249"/>
        <v>2</v>
      </c>
      <c r="M889" s="1">
        <f t="shared" si="1250"/>
        <v>10</v>
      </c>
      <c r="N889" s="1">
        <f t="shared" si="1251"/>
        <v>2</v>
      </c>
      <c r="O889" s="1">
        <f t="shared" si="1243"/>
        <v>6</v>
      </c>
      <c r="P889" s="1">
        <f>MIN(方案参数!$AI$27,AZ888+0+0)</f>
        <v>5</v>
      </c>
      <c r="Q889" s="1">
        <f t="shared" si="1221"/>
        <v>5</v>
      </c>
      <c r="R889" s="1">
        <f t="shared" si="1222"/>
        <v>15</v>
      </c>
      <c r="S889" s="1">
        <f t="shared" si="1223"/>
        <v>3</v>
      </c>
      <c r="T889" s="1">
        <f t="shared" si="1258"/>
        <v>1</v>
      </c>
      <c r="U889" s="1">
        <f t="shared" si="1225"/>
        <v>0</v>
      </c>
      <c r="V889" s="1">
        <f t="shared" si="1226"/>
        <v>3</v>
      </c>
      <c r="W889" s="1">
        <f t="shared" si="1227"/>
        <v>1</v>
      </c>
      <c r="X889" s="1">
        <f t="shared" si="1228"/>
        <v>1</v>
      </c>
      <c r="Y889" s="1">
        <f t="shared" si="1229"/>
        <v>1</v>
      </c>
      <c r="Z889" s="1">
        <f t="shared" si="1230"/>
        <v>1</v>
      </c>
      <c r="AA889" s="1">
        <f t="shared" si="1254"/>
        <v>1</v>
      </c>
      <c r="AB889" s="1">
        <f t="shared" si="1232"/>
        <v>1</v>
      </c>
      <c r="AC889" s="1">
        <f t="shared" si="1259"/>
        <v>1</v>
      </c>
      <c r="AD889" s="1">
        <f>ROUNDDOWN(I889*(1+IF(F889=3,0.05+方案参数!$Y$27+AA889*0.12,IF(F889=4,方案参数!$BZ$27*方案参数!$AS$27,0)))+IF(AND(X889=1,F889&lt;&gt;3),方案参数!$CC$27,0)+AC889*方案参数!$CB$27,0)</f>
        <v>3034</v>
      </c>
      <c r="AE889" s="1">
        <f>IF(OR(F889=1,F889=4),配置与结果!$B$24,配置与结果!$B$25)*MAX(0,1-INDEX(配置与结果!$I$15:$I$18,F889)+IF(O889&gt;=6,方案参数!$BK$27,0))</f>
        <v>1440</v>
      </c>
      <c r="AF889" s="1">
        <f>方案参数!$BG$27+IF(O889&gt;=6,方案参数!$BH$27,0)</f>
        <v>36</v>
      </c>
      <c r="AG889" s="1">
        <f>MAX(配置与结果!$B$32,1+INDEX(配置与结果!$F$15:$F$18,F889)+0.08+方案参数!$CD$27+Q889*方案参数!$W$27+Y889*(方案参数!$AN$27+MIN(方案参数!$AO$27,P889*0.03))+AB889*方案参数!$BZ$27*0.025-配置与结果!$B$28)</f>
        <v>2.4650000000000003</v>
      </c>
      <c r="AH889" s="1">
        <f>MAX(0,1+INDEX(配置与结果!$H$15:$H$18,F889)+W889*方案参数!$AG$27+O889*方案参数!$BF$27+IF(O889&gt;=6,方案参数!$BI$27,0))</f>
        <v>2.4500000000000002</v>
      </c>
      <c r="AI889" s="1">
        <f>IF(OR(INDEX(配置与结果!$K$15:$K$18,F889)=1,G889="RHI_BERRY"),1+配置与结果!$B$33+P889*方案参数!$AH$27,1)</f>
        <v>1</v>
      </c>
      <c r="AJ889" s="1">
        <f>MIN(1,MAX(0,J889+方案参数!$AB$27-配置与结果!$B$27))</f>
        <v>1</v>
      </c>
      <c r="AK889" s="1">
        <f>MAX(1,K889+IF(F889=2,0.15+方案参数!$CH$27,0)+BN889*方案参数!$X$27+R889*方案参数!$AA$27+IF(O889&gt;=6,方案参数!$BJ$27,0)-配置与结果!$B$26+Z889*(方案参数!$AP$27+MIN(方案参数!$AQ$27,P889*0.03)))</f>
        <v>3.145</v>
      </c>
      <c r="AL889" s="7">
        <f>ROUNDDOWN(MAX(AD889*配置与结果!$B$31,AD889-AE889)*AF889*AG889*AH889*AI889,0)</f>
        <v>346556</v>
      </c>
      <c r="AM889" s="7">
        <f>ROUNDDOWN(MAX(AD889*配置与结果!$B$31,AD889-AE889)*AF889*AG889*AH889*AI889*AK889,0)</f>
        <v>1089919</v>
      </c>
      <c r="AN889" s="7">
        <f t="shared" si="1188"/>
        <v>1089919</v>
      </c>
      <c r="AO889" s="7">
        <f>0</f>
        <v>0</v>
      </c>
      <c r="AP889" s="7">
        <f>MAX(0,1+INDEX(配置与结果!$J$15:$J$18,F889)+IF(T889&gt;0,方案参数!$BY$27,0)-配置与结果!$B$30)</f>
        <v>2</v>
      </c>
      <c r="AQ889" s="7">
        <f t="shared" si="1189"/>
        <v>0</v>
      </c>
      <c r="AR889" s="7">
        <f t="shared" si="1190"/>
        <v>0</v>
      </c>
      <c r="AS889" s="7">
        <f t="shared" si="1191"/>
        <v>0</v>
      </c>
      <c r="AT889" s="7">
        <f>0</f>
        <v>0</v>
      </c>
      <c r="AU889" s="7">
        <f t="shared" si="1192"/>
        <v>1089919</v>
      </c>
      <c r="AV889" s="1">
        <f t="shared" si="1193"/>
        <v>2</v>
      </c>
      <c r="AW889" s="1">
        <f t="shared" si="1247"/>
        <v>10</v>
      </c>
      <c r="AX889" s="1">
        <f t="shared" si="1194"/>
        <v>2</v>
      </c>
      <c r="AY889" s="1">
        <f>MIN(20,MAX(0,O889+0+0-IF(O889&gt;=6,6,0)))</f>
        <v>0</v>
      </c>
      <c r="AZ889" s="1">
        <f t="shared" si="1195"/>
        <v>5</v>
      </c>
      <c r="BA889" s="1">
        <f t="shared" si="1255"/>
        <v>5</v>
      </c>
      <c r="BB889" s="1">
        <f>MIN(30,R889+5)</f>
        <v>20</v>
      </c>
      <c r="BC889" s="1">
        <f t="shared" si="1261"/>
        <v>3</v>
      </c>
      <c r="BD889" s="1">
        <f t="shared" si="1242"/>
        <v>1</v>
      </c>
      <c r="BE889" s="1">
        <f t="shared" si="1235"/>
        <v>0</v>
      </c>
      <c r="BF889" s="1">
        <f>MIN(4,V889+0)</f>
        <v>3</v>
      </c>
      <c r="BG889" s="1">
        <f t="shared" si="1252"/>
        <v>1</v>
      </c>
      <c r="BH889" s="1">
        <f t="shared" si="1236"/>
        <v>1</v>
      </c>
      <c r="BI889" s="1">
        <f t="shared" si="1253"/>
        <v>1</v>
      </c>
      <c r="BJ889" s="1">
        <f t="shared" si="1256"/>
        <v>1</v>
      </c>
      <c r="BK889" s="1">
        <f t="shared" si="1257"/>
        <v>1</v>
      </c>
      <c r="BL889" s="1">
        <f t="shared" ref="BL889:BL923" si="1262">MAX(AB889,0)</f>
        <v>1</v>
      </c>
      <c r="BM889" s="1">
        <f t="shared" si="1260"/>
        <v>1</v>
      </c>
      <c r="BN889" s="1">
        <f t="shared" si="1237"/>
        <v>1</v>
      </c>
      <c r="BO889" s="1">
        <f t="shared" si="1238"/>
        <v>1</v>
      </c>
    </row>
    <row r="890" spans="1:67" ht="30.95" customHeight="1">
      <c r="A890" s="1">
        <f>24</f>
        <v>24</v>
      </c>
      <c r="B890" s="1">
        <f>固定流程!A26</f>
        <v>21</v>
      </c>
      <c r="C890" s="1">
        <f>27</f>
        <v>27</v>
      </c>
      <c r="D890" s="1">
        <f>1</f>
        <v>1</v>
      </c>
      <c r="E890" s="1">
        <f>固定流程!C26</f>
        <v>3</v>
      </c>
      <c r="F890" s="1">
        <f>固定流程!G26</f>
        <v>1</v>
      </c>
      <c r="G890" s="1" t="str">
        <f>固定流程!H26</f>
        <v>LILYA_DIVE</v>
      </c>
      <c r="H890" s="1">
        <f>固定流程!F26</f>
        <v>3</v>
      </c>
      <c r="I890" s="1">
        <f>INDEX(配置与结果!$B$15:$B$18,F890)</f>
        <v>2296</v>
      </c>
      <c r="J890" s="1">
        <f>INDEX(配置与结果!$D$15:$D$18,F890)</f>
        <v>0.7</v>
      </c>
      <c r="K890" s="1">
        <f>INDEX(配置与结果!$E$15:$E$18,F890)</f>
        <v>2.0249999999999999</v>
      </c>
      <c r="L890" s="1">
        <f t="shared" si="1249"/>
        <v>2</v>
      </c>
      <c r="M890" s="1">
        <f t="shared" si="1250"/>
        <v>10</v>
      </c>
      <c r="N890" s="1">
        <f t="shared" si="1251"/>
        <v>2</v>
      </c>
      <c r="O890" s="1">
        <f t="shared" si="1243"/>
        <v>0</v>
      </c>
      <c r="P890" s="1">
        <f>MIN(方案参数!$AI$27,AZ889+0+0)</f>
        <v>5</v>
      </c>
      <c r="Q890" s="1">
        <f t="shared" si="1221"/>
        <v>5</v>
      </c>
      <c r="R890" s="1">
        <f t="shared" si="1222"/>
        <v>20</v>
      </c>
      <c r="S890" s="1">
        <f t="shared" si="1223"/>
        <v>3</v>
      </c>
      <c r="T890" s="1">
        <f t="shared" si="1258"/>
        <v>1</v>
      </c>
      <c r="U890" s="1">
        <f t="shared" si="1225"/>
        <v>0</v>
      </c>
      <c r="V890" s="1">
        <f t="shared" si="1226"/>
        <v>3</v>
      </c>
      <c r="W890" s="1">
        <f t="shared" si="1227"/>
        <v>1</v>
      </c>
      <c r="X890" s="1">
        <f t="shared" si="1228"/>
        <v>1</v>
      </c>
      <c r="Y890" s="1">
        <f t="shared" si="1229"/>
        <v>1</v>
      </c>
      <c r="Z890" s="1">
        <f t="shared" si="1230"/>
        <v>1</v>
      </c>
      <c r="AA890" s="1">
        <f t="shared" si="1254"/>
        <v>1</v>
      </c>
      <c r="AB890" s="1">
        <f t="shared" si="1232"/>
        <v>1</v>
      </c>
      <c r="AC890" s="1">
        <f t="shared" si="1259"/>
        <v>1</v>
      </c>
      <c r="AD890" s="1">
        <f>ROUNDDOWN(I890*(1+IF(F890=3,0.05+方案参数!$Y$27+AA890*0.12,IF(F890=4,方案参数!$BZ$27*方案参数!$AS$27,0)))+IF(AND(X890=1,F890&lt;&gt;3),方案参数!$CC$27,0)+AC890*方案参数!$CB$27,0)</f>
        <v>3034</v>
      </c>
      <c r="AE890" s="1">
        <f>IF(OR(F890=1,F890=4),配置与结果!$B$24,配置与结果!$B$25)*MAX(0,1-INDEX(配置与结果!$I$15:$I$18,F890))</f>
        <v>1200</v>
      </c>
      <c r="AF890" s="1">
        <f>(IF(L890=1,方案参数!$AW$27,IF(L890=2,方案参数!$AX$27,0))+方案参数!$AV$27)*H890</f>
        <v>30</v>
      </c>
      <c r="AG890" s="1">
        <f>MAX(配置与结果!$B$32,1+INDEX(配置与结果!$F$15:$F$18,F890)+0.08+方案参数!$CD$27+Q890*方案参数!$W$27+Y890*(方案参数!$AN$27+MIN(方案参数!$AO$27,P890*0.03))+AB890*方案参数!$BZ$27*0.025+IF(L890=1,方案参数!$AY$27+(H890-1)*0.1,IF(L890=2,方案参数!$AZ$27+(H890-1)*0.2,0))-配置与结果!$B$28)</f>
        <v>3.0650000000000004</v>
      </c>
      <c r="AH890" s="1">
        <f>MAX(0,1+INDEX(配置与结果!$G$15:$G$18,F890)+W890*方案参数!$AG$27+IF(L890=1,方案参数!$BA$27,IF(L890=2,方案参数!$BB$27,0))+M890*方案参数!$BC$27)</f>
        <v>3.1</v>
      </c>
      <c r="AI890" s="1">
        <f>IF(OR(INDEX(配置与结果!$K$15:$K$18,F890)=1,G890="RHI_BERRY"),1+配置与结果!$B$33+P890*方案参数!$AH$27,1)</f>
        <v>1</v>
      </c>
      <c r="AJ890" s="1">
        <f>MIN(1,MAX(0,J890+方案参数!$AB$27-配置与结果!$B$27))</f>
        <v>1</v>
      </c>
      <c r="AK890" s="1">
        <f>MAX(1,K890+IF(F890=2,0.15+方案参数!$CH$27,0)+BN890*方案参数!$X$27+R890*方案参数!$AA$27+0-配置与结果!$B$26+Z890*(方案参数!$AP$27+MIN(方案参数!$AQ$27,P890*0.03)))</f>
        <v>2.165</v>
      </c>
      <c r="AL890" s="7">
        <f>ROUNDDOWN(MAX(AD890*配置与结果!$B$31,AD890-AE890)*AF890*AG890*AH890*AI890,0)</f>
        <v>522772</v>
      </c>
      <c r="AM890" s="7">
        <f>ROUNDDOWN(MAX(AD890*配置与结果!$B$31,AD890-AE890)*AF890*AG890*AH890*AI890*AK890,0)</f>
        <v>1131802</v>
      </c>
      <c r="AN890" s="7">
        <f t="shared" si="1188"/>
        <v>1131802</v>
      </c>
      <c r="AO890" s="7">
        <f>0</f>
        <v>0</v>
      </c>
      <c r="AP890" s="7">
        <f>MAX(0,1+INDEX(配置与结果!$J$15:$J$18,F890)+IF(T890&gt;0,方案参数!$BY$27,0)-配置与结果!$B$30)</f>
        <v>2</v>
      </c>
      <c r="AQ890" s="7">
        <f t="shared" si="1189"/>
        <v>0</v>
      </c>
      <c r="AR890" s="7">
        <f t="shared" si="1190"/>
        <v>0</v>
      </c>
      <c r="AS890" s="7">
        <f t="shared" si="1191"/>
        <v>0</v>
      </c>
      <c r="AT890" s="7">
        <f>0</f>
        <v>0</v>
      </c>
      <c r="AU890" s="7">
        <f t="shared" si="1192"/>
        <v>1131802</v>
      </c>
      <c r="AV890" s="1">
        <f t="shared" si="1193"/>
        <v>2</v>
      </c>
      <c r="AW890" s="1">
        <f>MIN(10,M890+0+IF(L890=1,方案参数!$BE$27,0))</f>
        <v>10</v>
      </c>
      <c r="AX890" s="1">
        <f t="shared" si="1194"/>
        <v>2</v>
      </c>
      <c r="AY890" s="1">
        <f>MIN(20,MAX(0,O890+0+0-0))</f>
        <v>0</v>
      </c>
      <c r="AZ890" s="1">
        <f t="shared" si="1195"/>
        <v>5</v>
      </c>
      <c r="BA890" s="1">
        <f t="shared" si="1255"/>
        <v>5</v>
      </c>
      <c r="BB890" s="1">
        <f t="shared" ref="BB890:BB905" si="1263">MIN(30,R890+0)</f>
        <v>20</v>
      </c>
      <c r="BC890" s="1">
        <f t="shared" si="1261"/>
        <v>3</v>
      </c>
      <c r="BD890" s="1">
        <f t="shared" si="1242"/>
        <v>1</v>
      </c>
      <c r="BE890" s="1">
        <f t="shared" si="1235"/>
        <v>0</v>
      </c>
      <c r="BF890" s="1">
        <f>MIN(4,V890+0)</f>
        <v>3</v>
      </c>
      <c r="BG890" s="1">
        <f t="shared" si="1252"/>
        <v>1</v>
      </c>
      <c r="BH890" s="1">
        <f t="shared" si="1236"/>
        <v>1</v>
      </c>
      <c r="BI890" s="1">
        <f t="shared" si="1253"/>
        <v>1</v>
      </c>
      <c r="BJ890" s="1">
        <f t="shared" si="1256"/>
        <v>1</v>
      </c>
      <c r="BK890" s="1">
        <f t="shared" si="1257"/>
        <v>1</v>
      </c>
      <c r="BL890" s="1">
        <f t="shared" si="1262"/>
        <v>1</v>
      </c>
      <c r="BM890" s="1">
        <f t="shared" si="1260"/>
        <v>1</v>
      </c>
      <c r="BN890" s="1">
        <f t="shared" si="1237"/>
        <v>1</v>
      </c>
      <c r="BO890" s="1">
        <f t="shared" si="1238"/>
        <v>1</v>
      </c>
    </row>
    <row r="891" spans="1:67" ht="30.95" customHeight="1">
      <c r="A891" s="1">
        <f>24</f>
        <v>24</v>
      </c>
      <c r="B891" s="1">
        <f>固定流程!A27</f>
        <v>22</v>
      </c>
      <c r="C891" s="1">
        <f>27</f>
        <v>27</v>
      </c>
      <c r="D891" s="1">
        <f>1</f>
        <v>1</v>
      </c>
      <c r="E891" s="1">
        <f>固定流程!C27</f>
        <v>3</v>
      </c>
      <c r="F891" s="1">
        <f>固定流程!G27</f>
        <v>3</v>
      </c>
      <c r="G891" s="1" t="str">
        <f>固定流程!H27</f>
        <v>RHI_BERRY</v>
      </c>
      <c r="H891" s="1">
        <f>固定流程!F27</f>
        <v>1</v>
      </c>
      <c r="I891" s="1">
        <f>INDEX(配置与结果!$B$15:$B$18,F891)</f>
        <v>2597</v>
      </c>
      <c r="J891" s="1">
        <f>INDEX(配置与结果!$D$15:$D$18,F891)</f>
        <v>0.255</v>
      </c>
      <c r="K891" s="1">
        <f>INDEX(配置与结果!$E$15:$E$18,F891)</f>
        <v>1.55</v>
      </c>
      <c r="L891" s="1">
        <f t="shared" si="1249"/>
        <v>2</v>
      </c>
      <c r="M891" s="1">
        <f t="shared" si="1250"/>
        <v>10</v>
      </c>
      <c r="N891" s="1">
        <f t="shared" si="1251"/>
        <v>2</v>
      </c>
      <c r="O891" s="1">
        <f t="shared" si="1243"/>
        <v>0</v>
      </c>
      <c r="P891" s="1">
        <f>MIN(方案参数!$AI$27,AZ890+0+0)</f>
        <v>5</v>
      </c>
      <c r="Q891" s="1">
        <f t="shared" si="1221"/>
        <v>5</v>
      </c>
      <c r="R891" s="1">
        <f t="shared" si="1222"/>
        <v>20</v>
      </c>
      <c r="S891" s="1">
        <f t="shared" si="1223"/>
        <v>3</v>
      </c>
      <c r="T891" s="1">
        <f t="shared" si="1258"/>
        <v>1</v>
      </c>
      <c r="U891" s="1">
        <f t="shared" si="1225"/>
        <v>0</v>
      </c>
      <c r="V891" s="1">
        <f t="shared" si="1226"/>
        <v>3</v>
      </c>
      <c r="W891" s="1">
        <f t="shared" si="1227"/>
        <v>1</v>
      </c>
      <c r="X891" s="1">
        <f t="shared" si="1228"/>
        <v>1</v>
      </c>
      <c r="Y891" s="1">
        <f t="shared" si="1229"/>
        <v>1</v>
      </c>
      <c r="Z891" s="1">
        <f t="shared" si="1230"/>
        <v>1</v>
      </c>
      <c r="AA891" s="1">
        <f t="shared" si="1254"/>
        <v>1</v>
      </c>
      <c r="AB891" s="1">
        <f t="shared" si="1232"/>
        <v>1</v>
      </c>
      <c r="AC891" s="1">
        <f t="shared" si="1259"/>
        <v>1</v>
      </c>
      <c r="AD891" s="1">
        <f>ROUNDDOWN(I891*(1+IF(F891=3,0.05+方案参数!$Y$27+AA891*0.12,IF(F891=4,方案参数!$BZ$27*方案参数!$AS$27,0)))+IF(AND(X891=1,F891&lt;&gt;3),方案参数!$CC$27,0)+AC891*方案参数!$CB$27,0)</f>
        <v>3798</v>
      </c>
      <c r="AE891" s="1">
        <f>IF(OR(F891=1,F891=4),配置与结果!$B$24,配置与结果!$B$25)*MAX(0,1-INDEX(配置与结果!$I$15:$I$18,F891))</f>
        <v>1000</v>
      </c>
      <c r="AF891" s="1">
        <f>方案参数!$CF$27+P891*方案参数!$CG$27</f>
        <v>22.5</v>
      </c>
      <c r="AG891" s="1">
        <f>MAX(配置与结果!$B$32,1+INDEX(配置与结果!$F$15:$F$18,F891)+0+Q891*方案参数!$W$27+Y891*(方案参数!$AN$27+MIN(方案参数!$AO$27,P891*0.03))+AB891*方案参数!$BZ$27*0.025-配置与结果!$B$28)</f>
        <v>2.16</v>
      </c>
      <c r="AH891" s="1">
        <f>MAX(0,1+INDEX(配置与结果!$G$15:$G$18,F891)+W891*方案参数!$AG$27)</f>
        <v>1.3</v>
      </c>
      <c r="AI891" s="1">
        <f>IF(OR(INDEX(配置与结果!$K$15:$K$18,F891)=1,G891="RHI_BERRY"),1+配置与结果!$B$33+P891*方案参数!$AH$27,1)</f>
        <v>1.5</v>
      </c>
      <c r="AJ891" s="1">
        <f>MIN(1,MAX(0,J891+方案参数!$AB$27-配置与结果!$B$27))</f>
        <v>0.55499999999999994</v>
      </c>
      <c r="AK891" s="1">
        <f>MAX(1,K891+IF(F891=2,0.15+方案参数!$CH$27,0)+BN891*方案参数!$X$27+R891*方案参数!$AA$27+0-配置与结果!$B$26+Z891*(方案参数!$AP$27+MIN(方案参数!$AQ$27,P891*0.03)))</f>
        <v>1.6900000000000002</v>
      </c>
      <c r="AL891" s="7">
        <f>ROUNDDOWN(MAX(AD891*配置与结果!$B$31,AD891-AE891)*AF891*AG891*AH891*AI891,0)</f>
        <v>265166</v>
      </c>
      <c r="AM891" s="7">
        <f>ROUNDDOWN(MAX(AD891*配置与结果!$B$31,AD891-AE891)*AF891*AG891*AH891*AI891*AK891,0)</f>
        <v>448131</v>
      </c>
      <c r="AN891" s="7">
        <f t="shared" si="1188"/>
        <v>366711.57499999995</v>
      </c>
      <c r="AO891" s="7">
        <f>0</f>
        <v>0</v>
      </c>
      <c r="AP891" s="7">
        <f>MAX(0,1+INDEX(配置与结果!$J$15:$J$18,F891)+IF(T891&gt;0,方案参数!$BY$27,0)-配置与结果!$B$30)</f>
        <v>2</v>
      </c>
      <c r="AQ891" s="7">
        <f t="shared" si="1189"/>
        <v>0</v>
      </c>
      <c r="AR891" s="7">
        <f t="shared" si="1190"/>
        <v>0</v>
      </c>
      <c r="AS891" s="7">
        <f t="shared" si="1191"/>
        <v>0</v>
      </c>
      <c r="AT891" s="7">
        <f>0</f>
        <v>0</v>
      </c>
      <c r="AU891" s="7">
        <f t="shared" si="1192"/>
        <v>366711.57499999995</v>
      </c>
      <c r="AV891" s="1">
        <f t="shared" si="1193"/>
        <v>2</v>
      </c>
      <c r="AW891" s="1">
        <f t="shared" ref="AW891:AW907" si="1264">MIN(10,M891+0+0)</f>
        <v>10</v>
      </c>
      <c r="AX891" s="1">
        <f t="shared" si="1194"/>
        <v>2</v>
      </c>
      <c r="AY891" s="1">
        <f>MIN(20,MAX(0,O891+0+0-0))</f>
        <v>0</v>
      </c>
      <c r="AZ891" s="1">
        <f t="shared" si="1195"/>
        <v>5</v>
      </c>
      <c r="BA891" s="1">
        <f t="shared" si="1255"/>
        <v>5</v>
      </c>
      <c r="BB891" s="1">
        <f t="shared" si="1263"/>
        <v>20</v>
      </c>
      <c r="BC891" s="1">
        <f t="shared" si="1261"/>
        <v>3</v>
      </c>
      <c r="BD891" s="1">
        <f t="shared" si="1242"/>
        <v>1</v>
      </c>
      <c r="BE891" s="1">
        <f t="shared" si="1235"/>
        <v>0</v>
      </c>
      <c r="BF891" s="1">
        <f>MIN(4,V891+0)</f>
        <v>3</v>
      </c>
      <c r="BG891" s="1">
        <f t="shared" si="1252"/>
        <v>1</v>
      </c>
      <c r="BH891" s="1">
        <f t="shared" si="1236"/>
        <v>1</v>
      </c>
      <c r="BI891" s="1">
        <f t="shared" si="1253"/>
        <v>1</v>
      </c>
      <c r="BJ891" s="1">
        <f t="shared" si="1256"/>
        <v>1</v>
      </c>
      <c r="BK891" s="1">
        <f t="shared" si="1257"/>
        <v>1</v>
      </c>
      <c r="BL891" s="1">
        <f t="shared" si="1262"/>
        <v>1</v>
      </c>
      <c r="BM891" s="1">
        <f t="shared" si="1260"/>
        <v>1</v>
      </c>
      <c r="BN891" s="1">
        <f t="shared" si="1237"/>
        <v>1</v>
      </c>
      <c r="BO891" s="1">
        <f t="shared" si="1238"/>
        <v>1</v>
      </c>
    </row>
    <row r="892" spans="1:67" ht="30.95" customHeight="1">
      <c r="A892" s="1">
        <f>24</f>
        <v>24</v>
      </c>
      <c r="B892" s="1">
        <f>固定流程!A28</f>
        <v>23</v>
      </c>
      <c r="C892" s="1">
        <f>27</f>
        <v>27</v>
      </c>
      <c r="D892" s="1">
        <f>1</f>
        <v>1</v>
      </c>
      <c r="E892" s="1">
        <f>固定流程!C28</f>
        <v>3</v>
      </c>
      <c r="F892" s="1">
        <f>固定流程!G28</f>
        <v>2</v>
      </c>
      <c r="G892" s="1" t="str">
        <f>固定流程!H28</f>
        <v>37_FOLLOW</v>
      </c>
      <c r="H892" s="1">
        <f>固定流程!F28</f>
        <v>1</v>
      </c>
      <c r="I892" s="1">
        <f>INDEX(配置与结果!$B$15:$B$18,F892)</f>
        <v>2306</v>
      </c>
      <c r="J892" s="1">
        <f>INDEX(配置与结果!$D$15:$D$18,F892)</f>
        <v>0.46</v>
      </c>
      <c r="K892" s="1">
        <f>INDEX(配置与结果!$E$15:$E$18,F892)</f>
        <v>1.9279999999999999</v>
      </c>
      <c r="L892" s="1">
        <f t="shared" si="1249"/>
        <v>2</v>
      </c>
      <c r="M892" s="1">
        <f t="shared" si="1250"/>
        <v>10</v>
      </c>
      <c r="N892" s="1">
        <f t="shared" si="1251"/>
        <v>2</v>
      </c>
      <c r="O892" s="1">
        <f t="shared" si="1243"/>
        <v>0</v>
      </c>
      <c r="P892" s="1">
        <f>MIN(方案参数!$AI$27,AZ891+0+0)</f>
        <v>5</v>
      </c>
      <c r="Q892" s="1">
        <f t="shared" si="1221"/>
        <v>5</v>
      </c>
      <c r="R892" s="1">
        <f t="shared" si="1222"/>
        <v>20</v>
      </c>
      <c r="S892" s="1">
        <f t="shared" si="1223"/>
        <v>3</v>
      </c>
      <c r="T892" s="1">
        <f t="shared" si="1258"/>
        <v>1</v>
      </c>
      <c r="U892" s="1">
        <f t="shared" si="1225"/>
        <v>0</v>
      </c>
      <c r="V892" s="1">
        <f t="shared" si="1226"/>
        <v>3</v>
      </c>
      <c r="W892" s="1">
        <f t="shared" si="1227"/>
        <v>1</v>
      </c>
      <c r="X892" s="1">
        <f t="shared" si="1228"/>
        <v>1</v>
      </c>
      <c r="Y892" s="1">
        <f t="shared" si="1229"/>
        <v>1</v>
      </c>
      <c r="Z892" s="1">
        <f t="shared" si="1230"/>
        <v>1</v>
      </c>
      <c r="AA892" s="1">
        <f t="shared" si="1254"/>
        <v>1</v>
      </c>
      <c r="AB892" s="1">
        <f t="shared" si="1232"/>
        <v>1</v>
      </c>
      <c r="AC892" s="1">
        <f t="shared" si="1259"/>
        <v>1</v>
      </c>
      <c r="AD892" s="1">
        <f>ROUNDDOWN(I892*(1+IF(F892=3,0.05+方案参数!$Y$27+AA892*0.12,IF(F892=4,方案参数!$BZ$27*方案参数!$AS$27,0)))+IF(AND(X892=1,F892&lt;&gt;3),方案参数!$CC$27,0)+AC892*方案参数!$CB$27,0)</f>
        <v>3044</v>
      </c>
      <c r="AE892" s="1">
        <f>IF(OR(F892=1,F892=4),配置与结果!$B$24,配置与结果!$B$25)*MAX(0,1-INDEX(配置与结果!$I$15:$I$18,F892))</f>
        <v>1000</v>
      </c>
      <c r="AF892" s="1">
        <f>方案参数!$BV$27</f>
        <v>3</v>
      </c>
      <c r="AG892" s="1">
        <f>MAX(配置与结果!$B$32,1+INDEX(配置与结果!$F$15:$F$18,F892)+0+Q892*方案参数!$W$27+Y892*(方案参数!$AN$27+MIN(方案参数!$AO$27,P892*0.03))+AB892*方案参数!$BZ$27*0.025-配置与结果!$B$28)</f>
        <v>2.1300000000000003</v>
      </c>
      <c r="AH892" s="1">
        <f>MAX(0,1+INDEX(配置与结果!$G$15:$G$18,F892)+W892*方案参数!$AG$27)</f>
        <v>1.3</v>
      </c>
      <c r="AI892" s="1">
        <f>IF(OR(INDEX(配置与结果!$K$15:$K$18,F892)=1,G892="RHI_BERRY"),1+配置与结果!$B$33+P892*方案参数!$AH$27,1)</f>
        <v>1</v>
      </c>
      <c r="AJ892" s="1">
        <f>MIN(1,MAX(0,J892+方案参数!$AB$27-配置与结果!$B$27))</f>
        <v>0.76</v>
      </c>
      <c r="AK892" s="1">
        <f>MAX(1,K892+IF(F892=2,0.15+方案参数!$CH$27,0)+BN892*方案参数!$X$27+R892*方案参数!$AA$27+0-配置与结果!$B$26+Z892*(方案参数!$AP$27+MIN(方案参数!$AQ$27,P892*0.03)))</f>
        <v>2.3380000000000001</v>
      </c>
      <c r="AL892" s="7">
        <f>ROUNDDOWN(MAX(AD892*配置与结果!$B$31,AD892-AE892)*AF892*AG892*AH892*AI892,0)</f>
        <v>16979</v>
      </c>
      <c r="AM892" s="7">
        <f>ROUNDDOWN(MAX(AD892*配置与结果!$B$31,AD892-AE892)*AF892*AG892*AH892*AI892*AK892,0)</f>
        <v>39698</v>
      </c>
      <c r="AN892" s="7">
        <f t="shared" si="1188"/>
        <v>34245.440000000002</v>
      </c>
      <c r="AO892" s="7">
        <f>方案参数!$BW$27</f>
        <v>1</v>
      </c>
      <c r="AP892" s="7">
        <f>MAX(0,1+INDEX(配置与结果!$J$15:$J$18,F892)+IF(T892&gt;0,方案参数!$BY$27,0)-配置与结果!$B$30)</f>
        <v>2</v>
      </c>
      <c r="AQ892" s="7">
        <f t="shared" si="1189"/>
        <v>6088</v>
      </c>
      <c r="AR892" s="7">
        <f t="shared" si="1190"/>
        <v>14233</v>
      </c>
      <c r="AS892" s="7">
        <f t="shared" si="1191"/>
        <v>12278.2</v>
      </c>
      <c r="AT892" s="7">
        <f>0</f>
        <v>0</v>
      </c>
      <c r="AU892" s="7">
        <f t="shared" si="1192"/>
        <v>46523.64</v>
      </c>
      <c r="AV892" s="1">
        <f t="shared" si="1193"/>
        <v>2</v>
      </c>
      <c r="AW892" s="1">
        <f t="shared" si="1264"/>
        <v>10</v>
      </c>
      <c r="AX892" s="1">
        <f t="shared" si="1194"/>
        <v>2</v>
      </c>
      <c r="AY892" s="1">
        <f>MIN(20,MAX(0,O892+0+0-0))</f>
        <v>0</v>
      </c>
      <c r="AZ892" s="1">
        <f t="shared" si="1195"/>
        <v>5</v>
      </c>
      <c r="BA892" s="1">
        <f t="shared" si="1255"/>
        <v>5</v>
      </c>
      <c r="BB892" s="1">
        <f t="shared" si="1263"/>
        <v>20</v>
      </c>
      <c r="BC892" s="1">
        <f t="shared" si="1261"/>
        <v>3</v>
      </c>
      <c r="BD892" s="1">
        <f t="shared" si="1242"/>
        <v>0</v>
      </c>
      <c r="BE892" s="1">
        <f t="shared" si="1235"/>
        <v>0</v>
      </c>
      <c r="BF892" s="1">
        <f>MIN(4,V892+1)</f>
        <v>4</v>
      </c>
      <c r="BG892" s="1">
        <f t="shared" si="1252"/>
        <v>1</v>
      </c>
      <c r="BH892" s="1">
        <f t="shared" si="1236"/>
        <v>1</v>
      </c>
      <c r="BI892" s="1">
        <f t="shared" si="1253"/>
        <v>1</v>
      </c>
      <c r="BJ892" s="1">
        <f t="shared" si="1256"/>
        <v>1</v>
      </c>
      <c r="BK892" s="1">
        <f t="shared" si="1257"/>
        <v>1</v>
      </c>
      <c r="BL892" s="1">
        <f t="shared" si="1262"/>
        <v>1</v>
      </c>
      <c r="BM892" s="1">
        <f t="shared" si="1260"/>
        <v>1</v>
      </c>
      <c r="BN892" s="1">
        <f t="shared" si="1237"/>
        <v>1</v>
      </c>
      <c r="BO892" s="1">
        <f t="shared" si="1238"/>
        <v>1</v>
      </c>
    </row>
    <row r="893" spans="1:67" ht="30.95" customHeight="1">
      <c r="A893" s="1">
        <f>24</f>
        <v>24</v>
      </c>
      <c r="B893" s="1">
        <f>固定流程!A29</f>
        <v>24</v>
      </c>
      <c r="C893" s="1">
        <f>27</f>
        <v>27</v>
      </c>
      <c r="D893" s="1">
        <f>2</f>
        <v>2</v>
      </c>
      <c r="E893" s="1">
        <f>固定流程!C29</f>
        <v>3</v>
      </c>
      <c r="F893" s="1">
        <f>固定流程!G29</f>
        <v>1</v>
      </c>
      <c r="G893" s="1" t="str">
        <f>固定流程!H29</f>
        <v>LILYA_WEAK</v>
      </c>
      <c r="H893" s="1">
        <f>固定流程!F29</f>
        <v>1</v>
      </c>
      <c r="I893" s="1">
        <f>INDEX(配置与结果!$B$15:$B$18,F893)</f>
        <v>2296</v>
      </c>
      <c r="J893" s="1">
        <f>INDEX(配置与结果!$D$15:$D$18,F893)</f>
        <v>0.7</v>
      </c>
      <c r="K893" s="1">
        <f>INDEX(配置与结果!$E$15:$E$18,F893)</f>
        <v>2.0249999999999999</v>
      </c>
      <c r="L893" s="1">
        <f t="shared" si="1249"/>
        <v>2</v>
      </c>
      <c r="M893" s="1">
        <f t="shared" si="1250"/>
        <v>10</v>
      </c>
      <c r="N893" s="1">
        <f t="shared" si="1251"/>
        <v>2</v>
      </c>
      <c r="O893" s="1">
        <f t="shared" si="1243"/>
        <v>0</v>
      </c>
      <c r="P893" s="1">
        <f>MIN(方案参数!$AI$27,AZ892+0+0)</f>
        <v>5</v>
      </c>
      <c r="Q893" s="1">
        <f t="shared" si="1221"/>
        <v>5</v>
      </c>
      <c r="R893" s="1">
        <f t="shared" si="1222"/>
        <v>20</v>
      </c>
      <c r="S893" s="1">
        <f t="shared" si="1223"/>
        <v>3</v>
      </c>
      <c r="T893" s="1">
        <f t="shared" si="1258"/>
        <v>0</v>
      </c>
      <c r="U893" s="1">
        <f t="shared" si="1225"/>
        <v>0</v>
      </c>
      <c r="V893" s="1">
        <f t="shared" si="1226"/>
        <v>4</v>
      </c>
      <c r="W893" s="1">
        <f t="shared" si="1227"/>
        <v>1</v>
      </c>
      <c r="X893" s="1">
        <f t="shared" si="1228"/>
        <v>1</v>
      </c>
      <c r="Y893" s="1">
        <f t="shared" si="1229"/>
        <v>1</v>
      </c>
      <c r="Z893" s="1">
        <f t="shared" si="1230"/>
        <v>1</v>
      </c>
      <c r="AA893" s="1">
        <f t="shared" si="1254"/>
        <v>1</v>
      </c>
      <c r="AB893" s="1">
        <f t="shared" si="1232"/>
        <v>1</v>
      </c>
      <c r="AC893" s="1">
        <f t="shared" si="1259"/>
        <v>1</v>
      </c>
      <c r="AD893" s="1">
        <f>ROUNDDOWN(I893*(1+IF(F893=3,0.05+方案参数!$Y$27+AA893*0.12,IF(F893=4,方案参数!$BZ$27*方案参数!$AS$27,0)))+IF(AND(X893=1,F893&lt;&gt;3),方案参数!$CC$27,0)+AC893*方案参数!$CB$27,0)</f>
        <v>3034</v>
      </c>
      <c r="AE893" s="1">
        <f>IF(OR(F893=1,F893=4),配置与结果!$B$24,配置与结果!$B$25)*MAX(0,1-INDEX(配置与结果!$I$15:$I$18,F893))</f>
        <v>1200</v>
      </c>
      <c r="AF893" s="1">
        <f>方案参数!$BL$27</f>
        <v>9</v>
      </c>
      <c r="AG893" s="1">
        <f>MAX(配置与结果!$B$32,1+INDEX(配置与结果!$F$15:$F$18,F893)+0.08+方案参数!$CD$27+Q893*方案参数!$W$27+Y893*(方案参数!$AN$27+MIN(方案参数!$AO$27,P893*0.03))+AB893*方案参数!$BZ$27*0.025-配置与结果!$B$28+方案参数!$AE$27)</f>
        <v>2.8650000000000002</v>
      </c>
      <c r="AH893" s="1">
        <f>MAX(0,1+V893*方案参数!$U$27+0*方案参数!$V$27+方案参数!$AE$27-配置与结果!$B$29)</f>
        <v>1.56</v>
      </c>
      <c r="AI893" s="1">
        <f>IF(OR(INDEX(配置与结果!$K$15:$K$18,F893)=1,G893="RHI_BERRY"),1+配置与结果!$B$33+P893*方案参数!$AH$27,1)</f>
        <v>1</v>
      </c>
      <c r="AJ893" s="1">
        <f>MIN(1,MAX(0,J893+方案参数!$AB$27-配置与结果!$B$27))</f>
        <v>1</v>
      </c>
      <c r="AK893" s="1">
        <f>MAX(1,K893+IF(F893=2,0.15+方案参数!$CH$27,0)+BN893*方案参数!$X$27+R893*方案参数!$AA$27+方案参数!$BP$27-配置与结果!$B$26+Z893*(方案参数!$AP$27+MIN(方案参数!$AQ$27,P893*0.03)))</f>
        <v>2.7650000000000001</v>
      </c>
      <c r="AL893" s="7">
        <f>ROUNDDOWN(MAX(AD893*配置与结果!$B$31,AD893-AE893)*AF893*AG893*AH893*AI893,0)</f>
        <v>73771</v>
      </c>
      <c r="AM893" s="7">
        <f>ROUNDDOWN(MAX(AD893*配置与结果!$B$31,AD893-AE893)*AF893*AG893*AH893*AI893*AK893,0)</f>
        <v>203979</v>
      </c>
      <c r="AN893" s="7">
        <f t="shared" si="1188"/>
        <v>203979</v>
      </c>
      <c r="AO893" s="7">
        <f>0</f>
        <v>0</v>
      </c>
      <c r="AP893" s="7">
        <f>MAX(0,1+INDEX(配置与结果!$J$15:$J$18,F893)+IF(T893&gt;0,方案参数!$BY$27,0)-配置与结果!$B$30)</f>
        <v>1</v>
      </c>
      <c r="AQ893" s="7">
        <f t="shared" si="1189"/>
        <v>0</v>
      </c>
      <c r="AR893" s="7">
        <f t="shared" si="1190"/>
        <v>0</v>
      </c>
      <c r="AS893" s="7">
        <f t="shared" si="1191"/>
        <v>0</v>
      </c>
      <c r="AT893" s="7">
        <f>IF(U893&gt;0,ROUNDDOWN(AL893*方案参数!$AF$27,0)*(1-AJ893)+ROUNDDOWN(AM893*方案参数!$AF$27,0)*AJ893,0)</f>
        <v>0</v>
      </c>
      <c r="AU893" s="7">
        <f t="shared" si="1192"/>
        <v>203979</v>
      </c>
      <c r="AV893" s="1">
        <f t="shared" si="1193"/>
        <v>2</v>
      </c>
      <c r="AW893" s="1">
        <f t="shared" si="1264"/>
        <v>10</v>
      </c>
      <c r="AX893" s="1">
        <f t="shared" si="1194"/>
        <v>2</v>
      </c>
      <c r="AY893" s="1">
        <f>MIN(20,MAX(0,O893+0+1-0))</f>
        <v>1</v>
      </c>
      <c r="AZ893" s="1">
        <f t="shared" si="1195"/>
        <v>5</v>
      </c>
      <c r="BA893" s="1">
        <f t="shared" si="1255"/>
        <v>5</v>
      </c>
      <c r="BB893" s="1">
        <f t="shared" si="1263"/>
        <v>20</v>
      </c>
      <c r="BC893" s="1">
        <f t="shared" si="1261"/>
        <v>3</v>
      </c>
      <c r="BD893" s="1">
        <f t="shared" si="1242"/>
        <v>0</v>
      </c>
      <c r="BE893" s="1">
        <f>MAX(0,U893-IF(AF893&gt;0,1,0))+0</f>
        <v>0</v>
      </c>
      <c r="BF893" s="1">
        <f t="shared" ref="BF893:BF910" si="1265">MIN(4,V893+0)</f>
        <v>4</v>
      </c>
      <c r="BG893" s="1">
        <f t="shared" si="1252"/>
        <v>1</v>
      </c>
      <c r="BH893" s="1">
        <f t="shared" si="1236"/>
        <v>1</v>
      </c>
      <c r="BI893" s="1">
        <f t="shared" si="1253"/>
        <v>1</v>
      </c>
      <c r="BJ893" s="1">
        <f t="shared" si="1256"/>
        <v>1</v>
      </c>
      <c r="BK893" s="1">
        <f t="shared" si="1257"/>
        <v>1</v>
      </c>
      <c r="BL893" s="1">
        <f t="shared" si="1262"/>
        <v>1</v>
      </c>
      <c r="BM893" s="1">
        <f t="shared" si="1260"/>
        <v>1</v>
      </c>
      <c r="BN893" s="1">
        <f t="shared" si="1237"/>
        <v>1</v>
      </c>
      <c r="BO893" s="1">
        <f t="shared" si="1238"/>
        <v>1</v>
      </c>
    </row>
    <row r="894" spans="1:67" ht="30.95" customHeight="1">
      <c r="A894" s="1">
        <f>24</f>
        <v>24</v>
      </c>
      <c r="B894" s="1">
        <f>固定流程!A30</f>
        <v>25</v>
      </c>
      <c r="C894" s="1">
        <f>27</f>
        <v>27</v>
      </c>
      <c r="D894" s="1">
        <f>2</f>
        <v>2</v>
      </c>
      <c r="E894" s="1">
        <f>固定流程!C30</f>
        <v>3</v>
      </c>
      <c r="F894" s="1">
        <f>固定流程!G30</f>
        <v>1</v>
      </c>
      <c r="G894" s="1" t="str">
        <f>固定流程!H30</f>
        <v>LILYA_WEAK</v>
      </c>
      <c r="H894" s="1">
        <f>固定流程!F30</f>
        <v>1</v>
      </c>
      <c r="I894" s="1">
        <f>INDEX(配置与结果!$B$15:$B$18,F894)</f>
        <v>2296</v>
      </c>
      <c r="J894" s="1">
        <f>INDEX(配置与结果!$D$15:$D$18,F894)</f>
        <v>0.7</v>
      </c>
      <c r="K894" s="1">
        <f>INDEX(配置与结果!$E$15:$E$18,F894)</f>
        <v>2.0249999999999999</v>
      </c>
      <c r="L894" s="1">
        <f t="shared" si="1249"/>
        <v>2</v>
      </c>
      <c r="M894" s="1">
        <f t="shared" si="1250"/>
        <v>10</v>
      </c>
      <c r="N894" s="1">
        <f t="shared" si="1251"/>
        <v>2</v>
      </c>
      <c r="O894" s="1">
        <f t="shared" si="1243"/>
        <v>1</v>
      </c>
      <c r="P894" s="1">
        <f>MIN(方案参数!$AI$27,AZ893+0+0)</f>
        <v>5</v>
      </c>
      <c r="Q894" s="1">
        <f t="shared" si="1221"/>
        <v>5</v>
      </c>
      <c r="R894" s="1">
        <f t="shared" si="1222"/>
        <v>20</v>
      </c>
      <c r="S894" s="1">
        <f t="shared" si="1223"/>
        <v>3</v>
      </c>
      <c r="T894" s="1">
        <f t="shared" si="1258"/>
        <v>0</v>
      </c>
      <c r="U894" s="1">
        <f t="shared" si="1225"/>
        <v>0</v>
      </c>
      <c r="V894" s="1">
        <f t="shared" si="1226"/>
        <v>4</v>
      </c>
      <c r="W894" s="1">
        <f t="shared" si="1227"/>
        <v>1</v>
      </c>
      <c r="X894" s="1">
        <f t="shared" si="1228"/>
        <v>1</v>
      </c>
      <c r="Y894" s="1">
        <f t="shared" si="1229"/>
        <v>1</v>
      </c>
      <c r="Z894" s="1">
        <f t="shared" si="1230"/>
        <v>1</v>
      </c>
      <c r="AA894" s="1">
        <f t="shared" si="1254"/>
        <v>1</v>
      </c>
      <c r="AB894" s="1">
        <f t="shared" si="1232"/>
        <v>1</v>
      </c>
      <c r="AC894" s="1">
        <f t="shared" si="1259"/>
        <v>1</v>
      </c>
      <c r="AD894" s="1">
        <f>ROUNDDOWN(I894*(1+IF(F894=3,0.05+方案参数!$Y$27+AA894*0.12,IF(F894=4,方案参数!$BZ$27*方案参数!$AS$27,0)))+IF(AND(X894=1,F894&lt;&gt;3),方案参数!$CC$27,0)+AC894*方案参数!$CB$27,0)</f>
        <v>3034</v>
      </c>
      <c r="AE894" s="1">
        <f>IF(OR(F894=1,F894=4),配置与结果!$B$24,配置与结果!$B$25)*MAX(0,1-INDEX(配置与结果!$I$15:$I$18,F894))</f>
        <v>1200</v>
      </c>
      <c r="AF894" s="1">
        <f>方案参数!$BL$27</f>
        <v>9</v>
      </c>
      <c r="AG894" s="1">
        <f>MAX(配置与结果!$B$32,1+INDEX(配置与结果!$F$15:$F$18,F894)+0.08+方案参数!$CD$27+Q894*方案参数!$W$27+Y894*(方案参数!$AN$27+MIN(方案参数!$AO$27,P894*0.03))+AB894*方案参数!$BZ$27*0.025-配置与结果!$B$28+方案参数!$AE$27)</f>
        <v>2.8650000000000002</v>
      </c>
      <c r="AH894" s="1">
        <f>MAX(0,1+V894*方案参数!$U$27+1*方案参数!$V$27+方案参数!$AE$27-配置与结果!$B$29)</f>
        <v>1.62</v>
      </c>
      <c r="AI894" s="1">
        <f>IF(OR(INDEX(配置与结果!$K$15:$K$18,F894)=1,G894="RHI_BERRY"),1+配置与结果!$B$33+P894*方案参数!$AH$27,1)</f>
        <v>1</v>
      </c>
      <c r="AJ894" s="1">
        <f>MIN(1,MAX(0,J894+方案参数!$AB$27-配置与结果!$B$27))</f>
        <v>1</v>
      </c>
      <c r="AK894" s="1">
        <f>MAX(1,K894+IF(F894=2,0.15+方案参数!$CH$27,0)+BN894*方案参数!$X$27+R894*方案参数!$AA$27+方案参数!$BP$27-配置与结果!$B$26+Z894*(方案参数!$AP$27+MIN(方案参数!$AQ$27,P894*0.03)))</f>
        <v>2.7650000000000001</v>
      </c>
      <c r="AL894" s="7">
        <f>ROUNDDOWN(MAX(AD894*配置与结果!$B$31,AD894-AE894)*AF894*AG894*AH894*AI894,0)</f>
        <v>76609</v>
      </c>
      <c r="AM894" s="7">
        <f>ROUNDDOWN(MAX(AD894*配置与结果!$B$31,AD894-AE894)*AF894*AG894*AH894*AI894*AK894,0)</f>
        <v>211824</v>
      </c>
      <c r="AN894" s="7">
        <f t="shared" si="1188"/>
        <v>211824</v>
      </c>
      <c r="AO894" s="7">
        <f>0</f>
        <v>0</v>
      </c>
      <c r="AP894" s="7">
        <f>MAX(0,1+INDEX(配置与结果!$J$15:$J$18,F894)+IF(T894&gt;0,方案参数!$BY$27,0)-配置与结果!$B$30)</f>
        <v>1</v>
      </c>
      <c r="AQ894" s="7">
        <f t="shared" si="1189"/>
        <v>0</v>
      </c>
      <c r="AR894" s="7">
        <f t="shared" si="1190"/>
        <v>0</v>
      </c>
      <c r="AS894" s="7">
        <f t="shared" si="1191"/>
        <v>0</v>
      </c>
      <c r="AT894" s="7">
        <f>IF(U894&gt;0,ROUNDDOWN(AL894*方案参数!$AF$27,0)*(1-AJ894)+ROUNDDOWN(AM894*方案参数!$AF$27,0)*AJ894,0)</f>
        <v>0</v>
      </c>
      <c r="AU894" s="7">
        <f t="shared" si="1192"/>
        <v>211824</v>
      </c>
      <c r="AV894" s="1">
        <f t="shared" si="1193"/>
        <v>2</v>
      </c>
      <c r="AW894" s="1">
        <f t="shared" si="1264"/>
        <v>10</v>
      </c>
      <c r="AX894" s="1">
        <f t="shared" si="1194"/>
        <v>2</v>
      </c>
      <c r="AY894" s="1">
        <f>MIN(20,MAX(0,O894+0+1-0))</f>
        <v>2</v>
      </c>
      <c r="AZ894" s="1">
        <f t="shared" si="1195"/>
        <v>5</v>
      </c>
      <c r="BA894" s="1">
        <f t="shared" si="1255"/>
        <v>5</v>
      </c>
      <c r="BB894" s="1">
        <f t="shared" si="1263"/>
        <v>20</v>
      </c>
      <c r="BC894" s="1">
        <f t="shared" si="1261"/>
        <v>3</v>
      </c>
      <c r="BD894" s="1">
        <f t="shared" si="1242"/>
        <v>0</v>
      </c>
      <c r="BE894" s="1">
        <f>MAX(0,U894-IF(AF894&gt;0,1,0))+0</f>
        <v>0</v>
      </c>
      <c r="BF894" s="1">
        <f t="shared" si="1265"/>
        <v>4</v>
      </c>
      <c r="BG894" s="1">
        <f t="shared" si="1252"/>
        <v>1</v>
      </c>
      <c r="BH894" s="1">
        <f t="shared" si="1236"/>
        <v>1</v>
      </c>
      <c r="BI894" s="1">
        <f t="shared" si="1253"/>
        <v>1</v>
      </c>
      <c r="BJ894" s="1">
        <f t="shared" si="1256"/>
        <v>1</v>
      </c>
      <c r="BK894" s="1">
        <f t="shared" si="1257"/>
        <v>1</v>
      </c>
      <c r="BL894" s="1">
        <f t="shared" si="1262"/>
        <v>1</v>
      </c>
      <c r="BM894" s="1">
        <f t="shared" si="1260"/>
        <v>1</v>
      </c>
      <c r="BN894" s="1">
        <f t="shared" si="1237"/>
        <v>1</v>
      </c>
      <c r="BO894" s="1">
        <f t="shared" si="1238"/>
        <v>1</v>
      </c>
    </row>
    <row r="895" spans="1:67" ht="30.95" customHeight="1">
      <c r="A895" s="1">
        <f>24</f>
        <v>24</v>
      </c>
      <c r="B895" s="1">
        <f>固定流程!A31</f>
        <v>26</v>
      </c>
      <c r="C895" s="1">
        <f>27</f>
        <v>27</v>
      </c>
      <c r="D895" s="1">
        <f>2</f>
        <v>2</v>
      </c>
      <c r="E895" s="1">
        <f>固定流程!C31</f>
        <v>3</v>
      </c>
      <c r="F895" s="1">
        <f>固定流程!G31</f>
        <v>2</v>
      </c>
      <c r="G895" s="1" t="str">
        <f>固定流程!H31</f>
        <v>37_WEAK</v>
      </c>
      <c r="H895" s="1">
        <f>固定流程!F31</f>
        <v>1</v>
      </c>
      <c r="I895" s="1">
        <f>INDEX(配置与结果!$B$15:$B$18,F895)</f>
        <v>2306</v>
      </c>
      <c r="J895" s="1">
        <f>INDEX(配置与结果!$D$15:$D$18,F895)</f>
        <v>0.46</v>
      </c>
      <c r="K895" s="1">
        <f>INDEX(配置与结果!$E$15:$E$18,F895)</f>
        <v>1.9279999999999999</v>
      </c>
      <c r="L895" s="1">
        <f t="shared" si="1249"/>
        <v>2</v>
      </c>
      <c r="M895" s="1">
        <f t="shared" si="1250"/>
        <v>10</v>
      </c>
      <c r="N895" s="1">
        <f t="shared" si="1251"/>
        <v>2</v>
      </c>
      <c r="O895" s="1">
        <f t="shared" si="1243"/>
        <v>2</v>
      </c>
      <c r="P895" s="1">
        <f>MIN(方案参数!$AI$27,AZ894+0+0)</f>
        <v>5</v>
      </c>
      <c r="Q895" s="1">
        <f t="shared" si="1221"/>
        <v>5</v>
      </c>
      <c r="R895" s="1">
        <f t="shared" si="1222"/>
        <v>20</v>
      </c>
      <c r="S895" s="1">
        <f t="shared" si="1223"/>
        <v>3</v>
      </c>
      <c r="T895" s="1">
        <f t="shared" si="1258"/>
        <v>0</v>
      </c>
      <c r="U895" s="1">
        <f t="shared" si="1225"/>
        <v>0</v>
      </c>
      <c r="V895" s="1">
        <f t="shared" si="1226"/>
        <v>4</v>
      </c>
      <c r="W895" s="1">
        <f t="shared" si="1227"/>
        <v>1</v>
      </c>
      <c r="X895" s="1">
        <f t="shared" si="1228"/>
        <v>1</v>
      </c>
      <c r="Y895" s="1">
        <f t="shared" si="1229"/>
        <v>1</v>
      </c>
      <c r="Z895" s="1">
        <f t="shared" si="1230"/>
        <v>1</v>
      </c>
      <c r="AA895" s="1">
        <f t="shared" si="1254"/>
        <v>1</v>
      </c>
      <c r="AB895" s="1">
        <f t="shared" si="1232"/>
        <v>1</v>
      </c>
      <c r="AC895" s="1">
        <f t="shared" si="1259"/>
        <v>1</v>
      </c>
      <c r="AD895" s="1">
        <f>ROUNDDOWN(I895*(1+IF(F895=3,0.05+方案参数!$Y$27+AA895*0.12,IF(F895=4,方案参数!$BZ$27*方案参数!$AS$27,0)))+IF(AND(X895=1,F895&lt;&gt;3),方案参数!$CC$27,0)+AC895*方案参数!$CB$27,0)</f>
        <v>3044</v>
      </c>
      <c r="AE895" s="1">
        <f>IF(OR(F895=1,F895=4),配置与结果!$B$24,配置与结果!$B$25)*MAX(0,1-INDEX(配置与结果!$I$15:$I$18,F895))</f>
        <v>1000</v>
      </c>
      <c r="AF895" s="1">
        <f>方案参数!$CE$27</f>
        <v>8</v>
      </c>
      <c r="AG895" s="1">
        <f>MAX(配置与结果!$B$32,1+INDEX(配置与结果!$F$15:$F$18,F895)+0+Q895*方案参数!$W$27+Y895*(方案参数!$AN$27+MIN(方案参数!$AO$27,P895*0.03))+AB895*方案参数!$BZ$27*0.025-配置与结果!$B$28+方案参数!$AE$27)</f>
        <v>2.5300000000000002</v>
      </c>
      <c r="AH895" s="1">
        <f>MAX(0,1+V895*方案参数!$U$27+方案参数!$AE$27-配置与结果!$B$29)</f>
        <v>1.56</v>
      </c>
      <c r="AI895" s="1">
        <f>IF(OR(INDEX(配置与结果!$K$15:$K$18,F895)=1,G895="RHI_BERRY"),1+配置与结果!$B$33+P895*方案参数!$AH$27,1)</f>
        <v>1</v>
      </c>
      <c r="AJ895" s="1">
        <f>MIN(1,MAX(0,J895+方案参数!$AB$27-配置与结果!$B$27))</f>
        <v>0.76</v>
      </c>
      <c r="AK895" s="1">
        <f>MAX(1,K895+IF(F895=2,0.15+方案参数!$CH$27,0)+BN895*方案参数!$X$27+R895*方案参数!$AA$27+0-配置与结果!$B$26+Z895*(方案参数!$AP$27+MIN(方案参数!$AQ$27,P895*0.03)))</f>
        <v>2.3380000000000001</v>
      </c>
      <c r="AL895" s="7">
        <f>ROUNDDOWN(MAX(AD895*配置与结果!$B$31,AD895-AE895)*AF895*AG895*AH895*AI895,0)</f>
        <v>64538</v>
      </c>
      <c r="AM895" s="7">
        <f>ROUNDDOWN(MAX(AD895*配置与结果!$B$31,AD895-AE895)*AF895*AG895*AH895*AI895*AK895,0)</f>
        <v>150890</v>
      </c>
      <c r="AN895" s="7">
        <f t="shared" si="1188"/>
        <v>130165.51999999999</v>
      </c>
      <c r="AO895" s="7">
        <f>0</f>
        <v>0</v>
      </c>
      <c r="AP895" s="7">
        <f>MAX(0,1+INDEX(配置与结果!$J$15:$J$18,F895)+IF(T895&gt;0,方案参数!$BY$27,0)-配置与结果!$B$30)</f>
        <v>1</v>
      </c>
      <c r="AQ895" s="7">
        <f t="shared" si="1189"/>
        <v>0</v>
      </c>
      <c r="AR895" s="7">
        <f t="shared" si="1190"/>
        <v>0</v>
      </c>
      <c r="AS895" s="7">
        <f t="shared" si="1191"/>
        <v>0</v>
      </c>
      <c r="AT895" s="7">
        <f>IF(U895&gt;0,ROUNDDOWN(AL895*方案参数!$AF$27,0)*(1-AJ895)+ROUNDDOWN(AM895*方案参数!$AF$27,0)*AJ895,0)</f>
        <v>0</v>
      </c>
      <c r="AU895" s="7">
        <f t="shared" si="1192"/>
        <v>130165.51999999999</v>
      </c>
      <c r="AV895" s="1">
        <f t="shared" si="1193"/>
        <v>2</v>
      </c>
      <c r="AW895" s="1">
        <f t="shared" si="1264"/>
        <v>10</v>
      </c>
      <c r="AX895" s="1">
        <f t="shared" si="1194"/>
        <v>2</v>
      </c>
      <c r="AY895" s="1">
        <f>MIN(20,MAX(0,O895+0+0-0))</f>
        <v>2</v>
      </c>
      <c r="AZ895" s="1">
        <f t="shared" si="1195"/>
        <v>5</v>
      </c>
      <c r="BA895" s="1">
        <f t="shared" si="1255"/>
        <v>5</v>
      </c>
      <c r="BB895" s="1">
        <f t="shared" si="1263"/>
        <v>20</v>
      </c>
      <c r="BC895" s="1">
        <f t="shared" si="1261"/>
        <v>3</v>
      </c>
      <c r="BD895" s="1">
        <f t="shared" si="1242"/>
        <v>0</v>
      </c>
      <c r="BE895" s="1">
        <f>MAX(0,U895-IF(AF895&gt;0,1,0))+1</f>
        <v>1</v>
      </c>
      <c r="BF895" s="1">
        <f t="shared" si="1265"/>
        <v>4</v>
      </c>
      <c r="BG895" s="1">
        <f t="shared" si="1252"/>
        <v>1</v>
      </c>
      <c r="BH895" s="1">
        <f t="shared" si="1236"/>
        <v>1</v>
      </c>
      <c r="BI895" s="1">
        <f t="shared" si="1253"/>
        <v>1</v>
      </c>
      <c r="BJ895" s="1">
        <f t="shared" si="1256"/>
        <v>1</v>
      </c>
      <c r="BK895" s="1">
        <f t="shared" si="1257"/>
        <v>1</v>
      </c>
      <c r="BL895" s="1">
        <f t="shared" si="1262"/>
        <v>1</v>
      </c>
      <c r="BM895" s="1">
        <f t="shared" si="1260"/>
        <v>1</v>
      </c>
      <c r="BN895" s="1">
        <f t="shared" si="1237"/>
        <v>1</v>
      </c>
      <c r="BO895" s="1">
        <f t="shared" si="1238"/>
        <v>1</v>
      </c>
    </row>
    <row r="896" spans="1:67" ht="30.95" customHeight="1">
      <c r="A896" s="1">
        <f>24</f>
        <v>24</v>
      </c>
      <c r="B896" s="1">
        <f>固定流程!A32</f>
        <v>27</v>
      </c>
      <c r="C896" s="1">
        <f>27</f>
        <v>27</v>
      </c>
      <c r="D896" s="1">
        <f>2</f>
        <v>2</v>
      </c>
      <c r="E896" s="1">
        <f>固定流程!C32</f>
        <v>3</v>
      </c>
      <c r="F896" s="1">
        <f>固定流程!G32</f>
        <v>1</v>
      </c>
      <c r="G896" s="1" t="str">
        <f>固定流程!H32</f>
        <v>LILYA_THIRD</v>
      </c>
      <c r="H896" s="1">
        <f>固定流程!F32</f>
        <v>1</v>
      </c>
      <c r="I896" s="1">
        <f>INDEX(配置与结果!$B$15:$B$18,F896)</f>
        <v>2296</v>
      </c>
      <c r="J896" s="1">
        <f>INDEX(配置与结果!$D$15:$D$18,F896)</f>
        <v>0.7</v>
      </c>
      <c r="K896" s="1">
        <f>INDEX(配置与结果!$E$15:$E$18,F896)</f>
        <v>2.0249999999999999</v>
      </c>
      <c r="L896" s="1">
        <f t="shared" si="1249"/>
        <v>2</v>
      </c>
      <c r="M896" s="1">
        <f t="shared" si="1250"/>
        <v>10</v>
      </c>
      <c r="N896" s="1">
        <f t="shared" si="1251"/>
        <v>2</v>
      </c>
      <c r="O896" s="1">
        <f t="shared" si="1243"/>
        <v>2</v>
      </c>
      <c r="P896" s="1">
        <f>MIN(方案参数!$AI$27,AZ895+0+0)</f>
        <v>5</v>
      </c>
      <c r="Q896" s="1">
        <f t="shared" si="1221"/>
        <v>5</v>
      </c>
      <c r="R896" s="1">
        <f t="shared" si="1222"/>
        <v>20</v>
      </c>
      <c r="S896" s="1">
        <f t="shared" si="1223"/>
        <v>3</v>
      </c>
      <c r="T896" s="1">
        <f t="shared" si="1258"/>
        <v>0</v>
      </c>
      <c r="U896" s="1">
        <f t="shared" si="1225"/>
        <v>1</v>
      </c>
      <c r="V896" s="1">
        <f t="shared" si="1226"/>
        <v>4</v>
      </c>
      <c r="W896" s="1">
        <f t="shared" si="1227"/>
        <v>1</v>
      </c>
      <c r="X896" s="1">
        <f t="shared" si="1228"/>
        <v>1</v>
      </c>
      <c r="Y896" s="1">
        <f t="shared" si="1229"/>
        <v>1</v>
      </c>
      <c r="Z896" s="1">
        <f t="shared" si="1230"/>
        <v>1</v>
      </c>
      <c r="AA896" s="1">
        <f t="shared" si="1254"/>
        <v>1</v>
      </c>
      <c r="AB896" s="1">
        <f t="shared" si="1232"/>
        <v>1</v>
      </c>
      <c r="AC896" s="1">
        <f t="shared" si="1259"/>
        <v>1</v>
      </c>
      <c r="AD896" s="1">
        <f>ROUNDDOWN(I896*(1+IF(F896=3,0.05+方案参数!$Y$27+AA896*0.12,IF(F896=4,方案参数!$BZ$27*方案参数!$AS$27,0)))+IF(AND(X896=1,F896&lt;&gt;3),方案参数!$CC$27,0)+AC896*方案参数!$CB$27,0)</f>
        <v>3034</v>
      </c>
      <c r="AE896" s="1">
        <f>IF(OR(F896=1,F896=4),配置与结果!$B$24,配置与结果!$B$25)*MAX(0,1-INDEX(配置与结果!$I$15:$I$18,F896))</f>
        <v>1200</v>
      </c>
      <c r="AF896" s="1">
        <f>方案参数!$BM$27</f>
        <v>20</v>
      </c>
      <c r="AG896" s="1">
        <f>MAX(配置与结果!$B$32,1+INDEX(配置与结果!$F$15:$F$18,F896)+0.08+方案参数!$CD$27+Q896*方案参数!$W$27+Y896*(方案参数!$AN$27+MIN(方案参数!$AO$27,P896*0.03))+AB896*方案参数!$BZ$27*0.025-配置与结果!$B$28+方案参数!$AE$27)</f>
        <v>2.8650000000000002</v>
      </c>
      <c r="AH896" s="1">
        <f>MAX(0,1+V896*方案参数!$U$27+3*方案参数!$V$27+方案参数!$AE$27-配置与结果!$B$29)</f>
        <v>1.7399999999999998</v>
      </c>
      <c r="AI896" s="1">
        <f>IF(OR(INDEX(配置与结果!$K$15:$K$18,F896)=1,G896="RHI_BERRY"),1+配置与结果!$B$33+P896*方案参数!$AH$27,1)</f>
        <v>1</v>
      </c>
      <c r="AJ896" s="1">
        <f>MIN(1,MAX(0,J896+方案参数!$AB$27-配置与结果!$B$27))</f>
        <v>1</v>
      </c>
      <c r="AK896" s="1">
        <f>MAX(1,K896+IF(F896=2,0.15+方案参数!$CH$27,0)+BN896*方案参数!$X$27+R896*方案参数!$AA$27+方案参数!$BQ$27-配置与结果!$B$26+Z896*(方案参数!$AP$27+MIN(方案参数!$AQ$27,P896*0.03)))</f>
        <v>2.9650000000000003</v>
      </c>
      <c r="AL896" s="7">
        <f>ROUNDDOWN(MAX(AD896*配置与结果!$B$31,AD896-AE896)*AF896*AG896*AH896*AI896,0)</f>
        <v>182853</v>
      </c>
      <c r="AM896" s="7">
        <f>ROUNDDOWN(MAX(AD896*配置与结果!$B$31,AD896-AE896)*AF896*AG896*AH896*AI896*AK896,0)</f>
        <v>542160</v>
      </c>
      <c r="AN896" s="7">
        <f t="shared" si="1188"/>
        <v>542160</v>
      </c>
      <c r="AO896" s="7">
        <f>0</f>
        <v>0</v>
      </c>
      <c r="AP896" s="7">
        <f>MAX(0,1+INDEX(配置与结果!$J$15:$J$18,F896)+IF(T896&gt;0,方案参数!$BY$27,0)-配置与结果!$B$30)</f>
        <v>1</v>
      </c>
      <c r="AQ896" s="7">
        <f t="shared" si="1189"/>
        <v>0</v>
      </c>
      <c r="AR896" s="7">
        <f t="shared" si="1190"/>
        <v>0</v>
      </c>
      <c r="AS896" s="7">
        <f t="shared" si="1191"/>
        <v>0</v>
      </c>
      <c r="AT896" s="7">
        <f>IF(U896&gt;0,ROUNDDOWN(AL896*方案参数!$AF$27,0)*(1-AJ896)+ROUNDDOWN(AM896*方案参数!$AF$27,0)*AJ896,0)</f>
        <v>216864</v>
      </c>
      <c r="AU896" s="7">
        <f t="shared" si="1192"/>
        <v>759024</v>
      </c>
      <c r="AV896" s="1">
        <f t="shared" si="1193"/>
        <v>2</v>
      </c>
      <c r="AW896" s="1">
        <f t="shared" si="1264"/>
        <v>10</v>
      </c>
      <c r="AX896" s="1">
        <f t="shared" si="1194"/>
        <v>2</v>
      </c>
      <c r="AY896" s="1">
        <f>MIN(20,MAX(0,O896+0+1-0))</f>
        <v>3</v>
      </c>
      <c r="AZ896" s="1">
        <f t="shared" si="1195"/>
        <v>5</v>
      </c>
      <c r="BA896" s="1">
        <f t="shared" si="1255"/>
        <v>5</v>
      </c>
      <c r="BB896" s="1">
        <f t="shared" si="1263"/>
        <v>20</v>
      </c>
      <c r="BC896" s="1">
        <f t="shared" si="1261"/>
        <v>3</v>
      </c>
      <c r="BD896" s="1">
        <f t="shared" si="1242"/>
        <v>0</v>
      </c>
      <c r="BE896" s="1">
        <f>MAX(0,U896-IF(AF896&gt;0,1,0))+0</f>
        <v>0</v>
      </c>
      <c r="BF896" s="1">
        <f t="shared" si="1265"/>
        <v>4</v>
      </c>
      <c r="BG896" s="1">
        <f t="shared" si="1252"/>
        <v>1</v>
      </c>
      <c r="BH896" s="1">
        <f t="shared" si="1236"/>
        <v>1</v>
      </c>
      <c r="BI896" s="1">
        <f t="shared" si="1253"/>
        <v>1</v>
      </c>
      <c r="BJ896" s="1">
        <f t="shared" si="1256"/>
        <v>1</v>
      </c>
      <c r="BK896" s="1">
        <f t="shared" si="1257"/>
        <v>1</v>
      </c>
      <c r="BL896" s="1">
        <f t="shared" si="1262"/>
        <v>1</v>
      </c>
      <c r="BM896" s="1">
        <f t="shared" si="1260"/>
        <v>1</v>
      </c>
      <c r="BN896" s="1">
        <f t="shared" si="1237"/>
        <v>1</v>
      </c>
      <c r="BO896" s="1">
        <f t="shared" si="1238"/>
        <v>1</v>
      </c>
    </row>
    <row r="897" spans="1:67" ht="30.95" customHeight="1">
      <c r="A897" s="1">
        <f>24</f>
        <v>24</v>
      </c>
      <c r="B897" s="1">
        <f>固定流程!A33</f>
        <v>28</v>
      </c>
      <c r="C897" s="1">
        <f>27</f>
        <v>27</v>
      </c>
      <c r="D897" s="1">
        <f>2</f>
        <v>2</v>
      </c>
      <c r="E897" s="1">
        <f>固定流程!C33</f>
        <v>3</v>
      </c>
      <c r="F897" s="1">
        <f>固定流程!G33</f>
        <v>1</v>
      </c>
      <c r="G897" s="1" t="str">
        <f>固定流程!H33</f>
        <v>LILYA_WEAK</v>
      </c>
      <c r="H897" s="1">
        <f>固定流程!F33</f>
        <v>1</v>
      </c>
      <c r="I897" s="1">
        <f>INDEX(配置与结果!$B$15:$B$18,F897)</f>
        <v>2296</v>
      </c>
      <c r="J897" s="1">
        <f>INDEX(配置与结果!$D$15:$D$18,F897)</f>
        <v>0.7</v>
      </c>
      <c r="K897" s="1">
        <f>INDEX(配置与结果!$E$15:$E$18,F897)</f>
        <v>2.0249999999999999</v>
      </c>
      <c r="L897" s="1">
        <f t="shared" si="1249"/>
        <v>2</v>
      </c>
      <c r="M897" s="1">
        <f t="shared" si="1250"/>
        <v>10</v>
      </c>
      <c r="N897" s="1">
        <f t="shared" si="1251"/>
        <v>2</v>
      </c>
      <c r="O897" s="1">
        <f t="shared" si="1243"/>
        <v>3</v>
      </c>
      <c r="P897" s="1">
        <f>MIN(方案参数!$AI$27,AZ896+0+0)</f>
        <v>5</v>
      </c>
      <c r="Q897" s="1">
        <f t="shared" si="1221"/>
        <v>5</v>
      </c>
      <c r="R897" s="1">
        <f t="shared" si="1222"/>
        <v>20</v>
      </c>
      <c r="S897" s="1">
        <f t="shared" si="1223"/>
        <v>3</v>
      </c>
      <c r="T897" s="1">
        <f t="shared" si="1258"/>
        <v>0</v>
      </c>
      <c r="U897" s="1">
        <f t="shared" si="1225"/>
        <v>0</v>
      </c>
      <c r="V897" s="1">
        <f t="shared" si="1226"/>
        <v>4</v>
      </c>
      <c r="W897" s="1">
        <f t="shared" si="1227"/>
        <v>1</v>
      </c>
      <c r="X897" s="1">
        <f t="shared" si="1228"/>
        <v>1</v>
      </c>
      <c r="Y897" s="1">
        <f t="shared" si="1229"/>
        <v>1</v>
      </c>
      <c r="Z897" s="1">
        <f t="shared" si="1230"/>
        <v>1</v>
      </c>
      <c r="AA897" s="1">
        <f t="shared" si="1254"/>
        <v>1</v>
      </c>
      <c r="AB897" s="1">
        <f t="shared" si="1232"/>
        <v>1</v>
      </c>
      <c r="AC897" s="1">
        <f t="shared" si="1259"/>
        <v>1</v>
      </c>
      <c r="AD897" s="1">
        <f>ROUNDDOWN(I897*(1+IF(F897=3,0.05+方案参数!$Y$27+AA897*0.12,IF(F897=4,方案参数!$BZ$27*方案参数!$AS$27,0)))+IF(AND(X897=1,F897&lt;&gt;3),方案参数!$CC$27,0)+AC897*方案参数!$CB$27,0)</f>
        <v>3034</v>
      </c>
      <c r="AE897" s="1">
        <f>IF(OR(F897=1,F897=4),配置与结果!$B$24,配置与结果!$B$25)*MAX(0,1-INDEX(配置与结果!$I$15:$I$18,F897))</f>
        <v>1200</v>
      </c>
      <c r="AF897" s="1">
        <f>方案参数!$BL$27</f>
        <v>9</v>
      </c>
      <c r="AG897" s="1">
        <f>MAX(配置与结果!$B$32,1+INDEX(配置与结果!$F$15:$F$18,F897)+0.08+方案参数!$CD$27+Q897*方案参数!$W$27+Y897*(方案参数!$AN$27+MIN(方案参数!$AO$27,P897*0.03))+AB897*方案参数!$BZ$27*0.025-配置与结果!$B$28+方案参数!$AE$27)</f>
        <v>2.8650000000000002</v>
      </c>
      <c r="AH897" s="1">
        <f>MAX(0,1+V897*方案参数!$U$27+4*方案参数!$V$27+方案参数!$AE$27-配置与结果!$B$29)</f>
        <v>1.7999999999999998</v>
      </c>
      <c r="AI897" s="1">
        <f>IF(OR(INDEX(配置与结果!$K$15:$K$18,F897)=1,G897="RHI_BERRY"),1+配置与结果!$B$33+P897*方案参数!$AH$27,1)</f>
        <v>1</v>
      </c>
      <c r="AJ897" s="1">
        <f>MIN(1,MAX(0,J897+方案参数!$AB$27-配置与结果!$B$27))</f>
        <v>1</v>
      </c>
      <c r="AK897" s="1">
        <f>MAX(1,K897+IF(F897=2,0.15+方案参数!$CH$27,0)+BN897*方案参数!$X$27+R897*方案参数!$AA$27+方案参数!$BP$27-配置与结果!$B$26+Z897*(方案参数!$AP$27+MIN(方案参数!$AQ$27,P897*0.03)))</f>
        <v>2.7650000000000001</v>
      </c>
      <c r="AL897" s="7">
        <f>ROUNDDOWN(MAX(AD897*配置与结果!$B$31,AD897-AE897)*AF897*AG897*AH897*AI897,0)</f>
        <v>85121</v>
      </c>
      <c r="AM897" s="7">
        <f>ROUNDDOWN(MAX(AD897*配置与结果!$B$31,AD897-AE897)*AF897*AG897*AH897*AI897*AK897,0)</f>
        <v>235360</v>
      </c>
      <c r="AN897" s="7">
        <f t="shared" si="1188"/>
        <v>235360</v>
      </c>
      <c r="AO897" s="7">
        <f>0</f>
        <v>0</v>
      </c>
      <c r="AP897" s="7">
        <f>MAX(0,1+INDEX(配置与结果!$J$15:$J$18,F897)+IF(T897&gt;0,方案参数!$BY$27,0)-配置与结果!$B$30)</f>
        <v>1</v>
      </c>
      <c r="AQ897" s="7">
        <f t="shared" si="1189"/>
        <v>0</v>
      </c>
      <c r="AR897" s="7">
        <f t="shared" si="1190"/>
        <v>0</v>
      </c>
      <c r="AS897" s="7">
        <f t="shared" si="1191"/>
        <v>0</v>
      </c>
      <c r="AT897" s="7">
        <f>IF(U897&gt;0,ROUNDDOWN(AL897*方案参数!$AF$27,0)*(1-AJ897)+ROUNDDOWN(AM897*方案参数!$AF$27,0)*AJ897,0)</f>
        <v>0</v>
      </c>
      <c r="AU897" s="7">
        <f t="shared" si="1192"/>
        <v>235360</v>
      </c>
      <c r="AV897" s="1">
        <f t="shared" si="1193"/>
        <v>2</v>
      </c>
      <c r="AW897" s="1">
        <f t="shared" si="1264"/>
        <v>10</v>
      </c>
      <c r="AX897" s="1">
        <f t="shared" si="1194"/>
        <v>2</v>
      </c>
      <c r="AY897" s="1">
        <f>MIN(20,MAX(0,O897+0+1-0))</f>
        <v>4</v>
      </c>
      <c r="AZ897" s="1">
        <f t="shared" si="1195"/>
        <v>5</v>
      </c>
      <c r="BA897" s="1">
        <f t="shared" si="1255"/>
        <v>5</v>
      </c>
      <c r="BB897" s="1">
        <f t="shared" si="1263"/>
        <v>20</v>
      </c>
      <c r="BC897" s="1">
        <f t="shared" si="1261"/>
        <v>3</v>
      </c>
      <c r="BD897" s="1">
        <f t="shared" si="1242"/>
        <v>0</v>
      </c>
      <c r="BE897" s="1">
        <f>MAX(0,U897-IF(AF897&gt;0,1,0))+0</f>
        <v>0</v>
      </c>
      <c r="BF897" s="1">
        <f t="shared" si="1265"/>
        <v>4</v>
      </c>
      <c r="BG897" s="1">
        <f t="shared" si="1252"/>
        <v>1</v>
      </c>
      <c r="BH897" s="1">
        <f t="shared" si="1236"/>
        <v>1</v>
      </c>
      <c r="BI897" s="1">
        <f t="shared" si="1253"/>
        <v>1</v>
      </c>
      <c r="BJ897" s="1">
        <f t="shared" si="1256"/>
        <v>1</v>
      </c>
      <c r="BK897" s="1">
        <f t="shared" si="1257"/>
        <v>1</v>
      </c>
      <c r="BL897" s="1">
        <f t="shared" si="1262"/>
        <v>1</v>
      </c>
      <c r="BM897" s="1">
        <f t="shared" si="1260"/>
        <v>1</v>
      </c>
      <c r="BN897" s="1">
        <f t="shared" si="1237"/>
        <v>1</v>
      </c>
      <c r="BO897" s="1">
        <f t="shared" si="1238"/>
        <v>1</v>
      </c>
    </row>
    <row r="898" spans="1:67" ht="30.95" customHeight="1">
      <c r="A898" s="1">
        <f>24</f>
        <v>24</v>
      </c>
      <c r="B898" s="1">
        <f>固定流程!A34</f>
        <v>29</v>
      </c>
      <c r="C898" s="1">
        <f>27</f>
        <v>27</v>
      </c>
      <c r="D898" s="1">
        <f>2</f>
        <v>2</v>
      </c>
      <c r="E898" s="1">
        <f>固定流程!C34</f>
        <v>3</v>
      </c>
      <c r="F898" s="1">
        <f>固定流程!G34</f>
        <v>1</v>
      </c>
      <c r="G898" s="1" t="str">
        <f>固定流程!H34</f>
        <v>LILYA_WEAK</v>
      </c>
      <c r="H898" s="1">
        <f>固定流程!F34</f>
        <v>1</v>
      </c>
      <c r="I898" s="1">
        <f>INDEX(配置与结果!$B$15:$B$18,F898)</f>
        <v>2296</v>
      </c>
      <c r="J898" s="1">
        <f>INDEX(配置与结果!$D$15:$D$18,F898)</f>
        <v>0.7</v>
      </c>
      <c r="K898" s="1">
        <f>INDEX(配置与结果!$E$15:$E$18,F898)</f>
        <v>2.0249999999999999</v>
      </c>
      <c r="L898" s="1">
        <f t="shared" si="1249"/>
        <v>2</v>
      </c>
      <c r="M898" s="1">
        <f t="shared" si="1250"/>
        <v>10</v>
      </c>
      <c r="N898" s="1">
        <f t="shared" si="1251"/>
        <v>2</v>
      </c>
      <c r="O898" s="1">
        <f t="shared" si="1243"/>
        <v>4</v>
      </c>
      <c r="P898" s="1">
        <f>MIN(方案参数!$AI$27,AZ897+0+0)</f>
        <v>5</v>
      </c>
      <c r="Q898" s="1">
        <f t="shared" si="1221"/>
        <v>5</v>
      </c>
      <c r="R898" s="1">
        <f t="shared" si="1222"/>
        <v>20</v>
      </c>
      <c r="S898" s="1">
        <f t="shared" si="1223"/>
        <v>3</v>
      </c>
      <c r="T898" s="1">
        <f t="shared" si="1258"/>
        <v>0</v>
      </c>
      <c r="U898" s="1">
        <f t="shared" si="1225"/>
        <v>0</v>
      </c>
      <c r="V898" s="1">
        <f t="shared" si="1226"/>
        <v>4</v>
      </c>
      <c r="W898" s="1">
        <f t="shared" si="1227"/>
        <v>1</v>
      </c>
      <c r="X898" s="1">
        <f t="shared" si="1228"/>
        <v>1</v>
      </c>
      <c r="Y898" s="1">
        <f t="shared" si="1229"/>
        <v>1</v>
      </c>
      <c r="Z898" s="1">
        <f t="shared" si="1230"/>
        <v>1</v>
      </c>
      <c r="AA898" s="1">
        <f t="shared" si="1254"/>
        <v>1</v>
      </c>
      <c r="AB898" s="1">
        <f t="shared" si="1232"/>
        <v>1</v>
      </c>
      <c r="AC898" s="1">
        <f t="shared" si="1259"/>
        <v>1</v>
      </c>
      <c r="AD898" s="1">
        <f>ROUNDDOWN(I898*(1+IF(F898=3,0.05+方案参数!$Y$27+AA898*0.12,IF(F898=4,方案参数!$BZ$27*方案参数!$AS$27,0)))+IF(AND(X898=1,F898&lt;&gt;3),方案参数!$CC$27,0)+AC898*方案参数!$CB$27,0)</f>
        <v>3034</v>
      </c>
      <c r="AE898" s="1">
        <f>IF(OR(F898=1,F898=4),配置与结果!$B$24,配置与结果!$B$25)*MAX(0,1-INDEX(配置与结果!$I$15:$I$18,F898))</f>
        <v>1200</v>
      </c>
      <c r="AF898" s="1">
        <f>方案参数!$BL$27</f>
        <v>9</v>
      </c>
      <c r="AG898" s="1">
        <f>MAX(配置与结果!$B$32,1+INDEX(配置与结果!$F$15:$F$18,F898)+0.08+方案参数!$CD$27+Q898*方案参数!$W$27+Y898*(方案参数!$AN$27+MIN(方案参数!$AO$27,P898*0.03))+AB898*方案参数!$BZ$27*0.025-配置与结果!$B$28+方案参数!$AE$27)</f>
        <v>2.8650000000000002</v>
      </c>
      <c r="AH898" s="1">
        <f>MAX(0,1+V898*方案参数!$U$27+5*方案参数!$V$27+方案参数!$AE$27-配置与结果!$B$29)</f>
        <v>1.8599999999999999</v>
      </c>
      <c r="AI898" s="1">
        <f>IF(OR(INDEX(配置与结果!$K$15:$K$18,F898)=1,G898="RHI_BERRY"),1+配置与结果!$B$33+P898*方案参数!$AH$27,1)</f>
        <v>1</v>
      </c>
      <c r="AJ898" s="1">
        <f>MIN(1,MAX(0,J898+方案参数!$AB$27-配置与结果!$B$27))</f>
        <v>1</v>
      </c>
      <c r="AK898" s="1">
        <f>MAX(1,K898+IF(F898=2,0.15+方案参数!$CH$27,0)+BN898*方案参数!$X$27+R898*方案参数!$AA$27+方案参数!$BP$27-配置与结果!$B$26+Z898*(方案参数!$AP$27+MIN(方案参数!$AQ$27,P898*0.03)))</f>
        <v>2.7650000000000001</v>
      </c>
      <c r="AL898" s="7">
        <f>ROUNDDOWN(MAX(AD898*配置与结果!$B$31,AD898-AE898)*AF898*AG898*AH898*AI898,0)</f>
        <v>87958</v>
      </c>
      <c r="AM898" s="7">
        <f>ROUNDDOWN(MAX(AD898*配置与结果!$B$31,AD898-AE898)*AF898*AG898*AH898*AI898*AK898,0)</f>
        <v>243206</v>
      </c>
      <c r="AN898" s="7">
        <f t="shared" si="1188"/>
        <v>243206</v>
      </c>
      <c r="AO898" s="7">
        <f>0</f>
        <v>0</v>
      </c>
      <c r="AP898" s="7">
        <f>MAX(0,1+INDEX(配置与结果!$J$15:$J$18,F898)+IF(T898&gt;0,方案参数!$BY$27,0)-配置与结果!$B$30)</f>
        <v>1</v>
      </c>
      <c r="AQ898" s="7">
        <f t="shared" si="1189"/>
        <v>0</v>
      </c>
      <c r="AR898" s="7">
        <f t="shared" si="1190"/>
        <v>0</v>
      </c>
      <c r="AS898" s="7">
        <f t="shared" si="1191"/>
        <v>0</v>
      </c>
      <c r="AT898" s="7">
        <f>IF(U898&gt;0,ROUNDDOWN(AL898*方案参数!$AF$27,0)*(1-AJ898)+ROUNDDOWN(AM898*方案参数!$AF$27,0)*AJ898,0)</f>
        <v>0</v>
      </c>
      <c r="AU898" s="7">
        <f t="shared" si="1192"/>
        <v>243206</v>
      </c>
      <c r="AV898" s="1">
        <f t="shared" si="1193"/>
        <v>2</v>
      </c>
      <c r="AW898" s="1">
        <f t="shared" si="1264"/>
        <v>10</v>
      </c>
      <c r="AX898" s="1">
        <f t="shared" si="1194"/>
        <v>2</v>
      </c>
      <c r="AY898" s="1">
        <f>MIN(20,MAX(0,O898+0+1-0))</f>
        <v>5</v>
      </c>
      <c r="AZ898" s="1">
        <f t="shared" si="1195"/>
        <v>5</v>
      </c>
      <c r="BA898" s="1">
        <f t="shared" si="1255"/>
        <v>5</v>
      </c>
      <c r="BB898" s="1">
        <f t="shared" si="1263"/>
        <v>20</v>
      </c>
      <c r="BC898" s="1">
        <f t="shared" si="1261"/>
        <v>3</v>
      </c>
      <c r="BD898" s="1">
        <f t="shared" si="1242"/>
        <v>0</v>
      </c>
      <c r="BE898" s="1">
        <f>MAX(0,U898-IF(AF898&gt;0,1,0))+0</f>
        <v>0</v>
      </c>
      <c r="BF898" s="1">
        <f t="shared" si="1265"/>
        <v>4</v>
      </c>
      <c r="BG898" s="1">
        <f t="shared" si="1252"/>
        <v>1</v>
      </c>
      <c r="BH898" s="1">
        <f t="shared" si="1236"/>
        <v>1</v>
      </c>
      <c r="BI898" s="1">
        <f t="shared" si="1253"/>
        <v>1</v>
      </c>
      <c r="BJ898" s="1">
        <f t="shared" si="1256"/>
        <v>1</v>
      </c>
      <c r="BK898" s="1">
        <f t="shared" si="1257"/>
        <v>1</v>
      </c>
      <c r="BL898" s="1">
        <f t="shared" si="1262"/>
        <v>1</v>
      </c>
      <c r="BM898" s="1">
        <f t="shared" si="1260"/>
        <v>1</v>
      </c>
      <c r="BN898" s="1">
        <f t="shared" si="1237"/>
        <v>1</v>
      </c>
      <c r="BO898" s="1">
        <f t="shared" si="1238"/>
        <v>1</v>
      </c>
    </row>
    <row r="899" spans="1:67" ht="30.95" customHeight="1">
      <c r="A899" s="1">
        <f>24</f>
        <v>24</v>
      </c>
      <c r="B899" s="1">
        <f>固定流程!A35</f>
        <v>30</v>
      </c>
      <c r="C899" s="1">
        <f>27</f>
        <v>27</v>
      </c>
      <c r="D899" s="1">
        <f>2</f>
        <v>2</v>
      </c>
      <c r="E899" s="1">
        <f>固定流程!C35</f>
        <v>3</v>
      </c>
      <c r="F899" s="1">
        <f>固定流程!G35</f>
        <v>2</v>
      </c>
      <c r="G899" s="1" t="str">
        <f>固定流程!H35</f>
        <v>37_WEAK</v>
      </c>
      <c r="H899" s="1">
        <f>固定流程!F35</f>
        <v>1</v>
      </c>
      <c r="I899" s="1">
        <f>INDEX(配置与结果!$B$15:$B$18,F899)</f>
        <v>2306</v>
      </c>
      <c r="J899" s="1">
        <f>INDEX(配置与结果!$D$15:$D$18,F899)</f>
        <v>0.46</v>
      </c>
      <c r="K899" s="1">
        <f>INDEX(配置与结果!$E$15:$E$18,F899)</f>
        <v>1.9279999999999999</v>
      </c>
      <c r="L899" s="1">
        <f t="shared" si="1249"/>
        <v>2</v>
      </c>
      <c r="M899" s="1">
        <f t="shared" si="1250"/>
        <v>10</v>
      </c>
      <c r="N899" s="1">
        <f t="shared" si="1251"/>
        <v>2</v>
      </c>
      <c r="O899" s="1">
        <f t="shared" si="1243"/>
        <v>5</v>
      </c>
      <c r="P899" s="1">
        <f>MIN(方案参数!$AI$27,AZ898+0+0)</f>
        <v>5</v>
      </c>
      <c r="Q899" s="1">
        <f t="shared" si="1221"/>
        <v>5</v>
      </c>
      <c r="R899" s="1">
        <f t="shared" si="1222"/>
        <v>20</v>
      </c>
      <c r="S899" s="1">
        <f t="shared" si="1223"/>
        <v>3</v>
      </c>
      <c r="T899" s="1">
        <f t="shared" si="1258"/>
        <v>0</v>
      </c>
      <c r="U899" s="1">
        <f t="shared" si="1225"/>
        <v>0</v>
      </c>
      <c r="V899" s="1">
        <f t="shared" si="1226"/>
        <v>4</v>
      </c>
      <c r="W899" s="1">
        <f t="shared" si="1227"/>
        <v>1</v>
      </c>
      <c r="X899" s="1">
        <f t="shared" si="1228"/>
        <v>1</v>
      </c>
      <c r="Y899" s="1">
        <f t="shared" si="1229"/>
        <v>1</v>
      </c>
      <c r="Z899" s="1">
        <f t="shared" si="1230"/>
        <v>1</v>
      </c>
      <c r="AA899" s="1">
        <f t="shared" si="1254"/>
        <v>1</v>
      </c>
      <c r="AB899" s="1">
        <f t="shared" si="1232"/>
        <v>1</v>
      </c>
      <c r="AC899" s="1">
        <f t="shared" si="1259"/>
        <v>1</v>
      </c>
      <c r="AD899" s="1">
        <f>ROUNDDOWN(I899*(1+IF(F899=3,0.05+方案参数!$Y$27+AA899*0.12,IF(F899=4,方案参数!$BZ$27*方案参数!$AS$27,0)))+IF(AND(X899=1,F899&lt;&gt;3),方案参数!$CC$27,0)+AC899*方案参数!$CB$27,0)</f>
        <v>3044</v>
      </c>
      <c r="AE899" s="1">
        <f>IF(OR(F899=1,F899=4),配置与结果!$B$24,配置与结果!$B$25)*MAX(0,1-INDEX(配置与结果!$I$15:$I$18,F899))</f>
        <v>1000</v>
      </c>
      <c r="AF899" s="1">
        <f>方案参数!$CE$27</f>
        <v>8</v>
      </c>
      <c r="AG899" s="1">
        <f>MAX(配置与结果!$B$32,1+INDEX(配置与结果!$F$15:$F$18,F899)+0+Q899*方案参数!$W$27+Y899*(方案参数!$AN$27+MIN(方案参数!$AO$27,P899*0.03))+AB899*方案参数!$BZ$27*0.025-配置与结果!$B$28+方案参数!$AE$27)</f>
        <v>2.5300000000000002</v>
      </c>
      <c r="AH899" s="1">
        <f>MAX(0,1+V899*方案参数!$U$27+方案参数!$AE$27-配置与结果!$B$29)</f>
        <v>1.56</v>
      </c>
      <c r="AI899" s="1">
        <f>IF(OR(INDEX(配置与结果!$K$15:$K$18,F899)=1,G899="RHI_BERRY"),1+配置与结果!$B$33+P899*方案参数!$AH$27,1)</f>
        <v>1</v>
      </c>
      <c r="AJ899" s="1">
        <f>MIN(1,MAX(0,J899+方案参数!$AB$27-配置与结果!$B$27))</f>
        <v>0.76</v>
      </c>
      <c r="AK899" s="1">
        <f>MAX(1,K899+IF(F899=2,0.15+方案参数!$CH$27,0)+BN899*方案参数!$X$27+R899*方案参数!$AA$27+0-配置与结果!$B$26+Z899*(方案参数!$AP$27+MIN(方案参数!$AQ$27,P899*0.03)))</f>
        <v>2.3380000000000001</v>
      </c>
      <c r="AL899" s="7">
        <f>ROUNDDOWN(MAX(AD899*配置与结果!$B$31,AD899-AE899)*AF899*AG899*AH899*AI899,0)</f>
        <v>64538</v>
      </c>
      <c r="AM899" s="7">
        <f>ROUNDDOWN(MAX(AD899*配置与结果!$B$31,AD899-AE899)*AF899*AG899*AH899*AI899*AK899,0)</f>
        <v>150890</v>
      </c>
      <c r="AN899" s="7">
        <f t="shared" si="1188"/>
        <v>130165.51999999999</v>
      </c>
      <c r="AO899" s="7">
        <f>0</f>
        <v>0</v>
      </c>
      <c r="AP899" s="7">
        <f>MAX(0,1+INDEX(配置与结果!$J$15:$J$18,F899)+IF(T899&gt;0,方案参数!$BY$27,0)-配置与结果!$B$30)</f>
        <v>1</v>
      </c>
      <c r="AQ899" s="7">
        <f t="shared" si="1189"/>
        <v>0</v>
      </c>
      <c r="AR899" s="7">
        <f t="shared" si="1190"/>
        <v>0</v>
      </c>
      <c r="AS899" s="7">
        <f t="shared" si="1191"/>
        <v>0</v>
      </c>
      <c r="AT899" s="7">
        <f>IF(U899&gt;0,ROUNDDOWN(AL899*方案参数!$AF$27,0)*(1-AJ899)+ROUNDDOWN(AM899*方案参数!$AF$27,0)*AJ899,0)</f>
        <v>0</v>
      </c>
      <c r="AU899" s="7">
        <f t="shared" si="1192"/>
        <v>130165.51999999999</v>
      </c>
      <c r="AV899" s="1">
        <f t="shared" si="1193"/>
        <v>2</v>
      </c>
      <c r="AW899" s="1">
        <f t="shared" si="1264"/>
        <v>10</v>
      </c>
      <c r="AX899" s="1">
        <f t="shared" si="1194"/>
        <v>2</v>
      </c>
      <c r="AY899" s="1">
        <f>MIN(20,MAX(0,O899+0+0-0))</f>
        <v>5</v>
      </c>
      <c r="AZ899" s="1">
        <f t="shared" si="1195"/>
        <v>5</v>
      </c>
      <c r="BA899" s="1">
        <f t="shared" si="1255"/>
        <v>5</v>
      </c>
      <c r="BB899" s="1">
        <f t="shared" si="1263"/>
        <v>20</v>
      </c>
      <c r="BC899" s="1">
        <f t="shared" si="1261"/>
        <v>3</v>
      </c>
      <c r="BD899" s="1">
        <f t="shared" si="1242"/>
        <v>0</v>
      </c>
      <c r="BE899" s="1">
        <f>MAX(0,U899-IF(AF899&gt;0,1,0))+1</f>
        <v>1</v>
      </c>
      <c r="BF899" s="1">
        <f t="shared" si="1265"/>
        <v>4</v>
      </c>
      <c r="BG899" s="1">
        <f t="shared" si="1252"/>
        <v>1</v>
      </c>
      <c r="BH899" s="1">
        <f t="shared" si="1236"/>
        <v>1</v>
      </c>
      <c r="BI899" s="1">
        <f t="shared" si="1253"/>
        <v>1</v>
      </c>
      <c r="BJ899" s="1">
        <f t="shared" si="1256"/>
        <v>1</v>
      </c>
      <c r="BK899" s="1">
        <f t="shared" si="1257"/>
        <v>1</v>
      </c>
      <c r="BL899" s="1">
        <f t="shared" si="1262"/>
        <v>1</v>
      </c>
      <c r="BM899" s="1">
        <f t="shared" si="1260"/>
        <v>1</v>
      </c>
      <c r="BN899" s="1">
        <f t="shared" si="1237"/>
        <v>1</v>
      </c>
      <c r="BO899" s="1">
        <f t="shared" si="1238"/>
        <v>1</v>
      </c>
    </row>
    <row r="900" spans="1:67" ht="30.95" customHeight="1">
      <c r="A900" s="1">
        <f>24</f>
        <v>24</v>
      </c>
      <c r="B900" s="1">
        <f>固定流程!A36</f>
        <v>31</v>
      </c>
      <c r="C900" s="1">
        <f>27</f>
        <v>27</v>
      </c>
      <c r="D900" s="1">
        <f>2</f>
        <v>2</v>
      </c>
      <c r="E900" s="1">
        <f>固定流程!C36</f>
        <v>3</v>
      </c>
      <c r="F900" s="1">
        <f>固定流程!G36</f>
        <v>1</v>
      </c>
      <c r="G900" s="1" t="str">
        <f>固定流程!H36</f>
        <v>LILYA_THIRD</v>
      </c>
      <c r="H900" s="1">
        <f>固定流程!F36</f>
        <v>1</v>
      </c>
      <c r="I900" s="1">
        <f>INDEX(配置与结果!$B$15:$B$18,F900)</f>
        <v>2296</v>
      </c>
      <c r="J900" s="1">
        <f>INDEX(配置与结果!$D$15:$D$18,F900)</f>
        <v>0.7</v>
      </c>
      <c r="K900" s="1">
        <f>INDEX(配置与结果!$E$15:$E$18,F900)</f>
        <v>2.0249999999999999</v>
      </c>
      <c r="L900" s="1">
        <f t="shared" si="1249"/>
        <v>2</v>
      </c>
      <c r="M900" s="1">
        <f t="shared" si="1250"/>
        <v>10</v>
      </c>
      <c r="N900" s="1">
        <f t="shared" si="1251"/>
        <v>2</v>
      </c>
      <c r="O900" s="1">
        <f t="shared" si="1243"/>
        <v>5</v>
      </c>
      <c r="P900" s="1">
        <f>MIN(方案参数!$AI$27,AZ899+0+0)</f>
        <v>5</v>
      </c>
      <c r="Q900" s="1">
        <f t="shared" si="1221"/>
        <v>5</v>
      </c>
      <c r="R900" s="1">
        <f t="shared" si="1222"/>
        <v>20</v>
      </c>
      <c r="S900" s="1">
        <f t="shared" si="1223"/>
        <v>3</v>
      </c>
      <c r="T900" s="1">
        <f t="shared" si="1258"/>
        <v>0</v>
      </c>
      <c r="U900" s="1">
        <f t="shared" si="1225"/>
        <v>1</v>
      </c>
      <c r="V900" s="1">
        <f t="shared" si="1226"/>
        <v>4</v>
      </c>
      <c r="W900" s="1">
        <f t="shared" si="1227"/>
        <v>1</v>
      </c>
      <c r="X900" s="1">
        <f t="shared" si="1228"/>
        <v>1</v>
      </c>
      <c r="Y900" s="1">
        <f t="shared" si="1229"/>
        <v>1</v>
      </c>
      <c r="Z900" s="1">
        <f t="shared" si="1230"/>
        <v>1</v>
      </c>
      <c r="AA900" s="1">
        <f t="shared" si="1254"/>
        <v>1</v>
      </c>
      <c r="AB900" s="1">
        <f t="shared" si="1232"/>
        <v>1</v>
      </c>
      <c r="AC900" s="1">
        <f t="shared" si="1259"/>
        <v>1</v>
      </c>
      <c r="AD900" s="1">
        <f>ROUNDDOWN(I900*(1+IF(F900=3,0.05+方案参数!$Y$27+AA900*0.12,IF(F900=4,方案参数!$BZ$27*方案参数!$AS$27,0)))+IF(AND(X900=1,F900&lt;&gt;3),方案参数!$CC$27,0)+AC900*方案参数!$CB$27,0)</f>
        <v>3034</v>
      </c>
      <c r="AE900" s="1">
        <f>IF(OR(F900=1,F900=4),配置与结果!$B$24,配置与结果!$B$25)*MAX(0,1-INDEX(配置与结果!$I$15:$I$18,F900))</f>
        <v>1200</v>
      </c>
      <c r="AF900" s="1">
        <f>方案参数!$BM$27</f>
        <v>20</v>
      </c>
      <c r="AG900" s="1">
        <f>MAX(配置与结果!$B$32,1+INDEX(配置与结果!$F$15:$F$18,F900)+0.08+方案参数!$CD$27+Q900*方案参数!$W$27+Y900*(方案参数!$AN$27+MIN(方案参数!$AO$27,P900*0.03))+AB900*方案参数!$BZ$27*0.025-配置与结果!$B$28+方案参数!$AE$27)</f>
        <v>2.8650000000000002</v>
      </c>
      <c r="AH900" s="1">
        <f>MAX(0,1+V900*方案参数!$U$27+7*方案参数!$V$27+方案参数!$AE$27-配置与结果!$B$29)</f>
        <v>1.98</v>
      </c>
      <c r="AI900" s="1">
        <f>IF(OR(INDEX(配置与结果!$K$15:$K$18,F900)=1,G900="RHI_BERRY"),1+配置与结果!$B$33+P900*方案参数!$AH$27,1)</f>
        <v>1</v>
      </c>
      <c r="AJ900" s="1">
        <f>MIN(1,MAX(0,J900+方案参数!$AB$27-配置与结果!$B$27))</f>
        <v>1</v>
      </c>
      <c r="AK900" s="1">
        <f>MAX(1,K900+IF(F900=2,0.15+方案参数!$CH$27,0)+BN900*方案参数!$X$27+R900*方案参数!$AA$27+方案参数!$BQ$27-配置与结果!$B$26+Z900*(方案参数!$AP$27+MIN(方案参数!$AQ$27,P900*0.03)))</f>
        <v>2.9650000000000003</v>
      </c>
      <c r="AL900" s="7">
        <f>ROUNDDOWN(MAX(AD900*配置与结果!$B$31,AD900-AE900)*AF900*AG900*AH900*AI900,0)</f>
        <v>208074</v>
      </c>
      <c r="AM900" s="7">
        <f>ROUNDDOWN(MAX(AD900*配置与结果!$B$31,AD900-AE900)*AF900*AG900*AH900*AI900*AK900,0)</f>
        <v>616941</v>
      </c>
      <c r="AN900" s="7">
        <f t="shared" si="1188"/>
        <v>616941</v>
      </c>
      <c r="AO900" s="7">
        <f>0</f>
        <v>0</v>
      </c>
      <c r="AP900" s="7">
        <f>MAX(0,1+INDEX(配置与结果!$J$15:$J$18,F900)+IF(T900&gt;0,方案参数!$BY$27,0)-配置与结果!$B$30)</f>
        <v>1</v>
      </c>
      <c r="AQ900" s="7">
        <f t="shared" si="1189"/>
        <v>0</v>
      </c>
      <c r="AR900" s="7">
        <f t="shared" si="1190"/>
        <v>0</v>
      </c>
      <c r="AS900" s="7">
        <f t="shared" si="1191"/>
        <v>0</v>
      </c>
      <c r="AT900" s="7">
        <f>IF(U900&gt;0,ROUNDDOWN(AL900*方案参数!$AF$27,0)*(1-AJ900)+ROUNDDOWN(AM900*方案参数!$AF$27,0)*AJ900,0)</f>
        <v>246776</v>
      </c>
      <c r="AU900" s="7">
        <f t="shared" si="1192"/>
        <v>863717</v>
      </c>
      <c r="AV900" s="1">
        <f t="shared" si="1193"/>
        <v>2</v>
      </c>
      <c r="AW900" s="1">
        <f t="shared" si="1264"/>
        <v>10</v>
      </c>
      <c r="AX900" s="1">
        <f t="shared" si="1194"/>
        <v>2</v>
      </c>
      <c r="AY900" s="1">
        <f>MIN(20,MAX(0,O900+0+1-0))</f>
        <v>6</v>
      </c>
      <c r="AZ900" s="1">
        <f t="shared" si="1195"/>
        <v>5</v>
      </c>
      <c r="BA900" s="1">
        <f t="shared" si="1255"/>
        <v>5</v>
      </c>
      <c r="BB900" s="1">
        <f t="shared" si="1263"/>
        <v>20</v>
      </c>
      <c r="BC900" s="1">
        <f t="shared" si="1261"/>
        <v>3</v>
      </c>
      <c r="BD900" s="1">
        <f t="shared" si="1242"/>
        <v>0</v>
      </c>
      <c r="BE900" s="1">
        <f>MAX(0,U900-IF(AF900&gt;0,1,0))+0</f>
        <v>0</v>
      </c>
      <c r="BF900" s="1">
        <f t="shared" si="1265"/>
        <v>4</v>
      </c>
      <c r="BG900" s="1">
        <f t="shared" si="1252"/>
        <v>1</v>
      </c>
      <c r="BH900" s="1">
        <f t="shared" si="1236"/>
        <v>1</v>
      </c>
      <c r="BI900" s="1">
        <f t="shared" si="1253"/>
        <v>1</v>
      </c>
      <c r="BJ900" s="1">
        <f t="shared" si="1256"/>
        <v>1</v>
      </c>
      <c r="BK900" s="1">
        <f t="shared" si="1257"/>
        <v>1</v>
      </c>
      <c r="BL900" s="1">
        <f t="shared" si="1262"/>
        <v>1</v>
      </c>
      <c r="BM900" s="1">
        <f t="shared" si="1260"/>
        <v>1</v>
      </c>
      <c r="BN900" s="1">
        <f t="shared" si="1237"/>
        <v>1</v>
      </c>
      <c r="BO900" s="1">
        <f t="shared" si="1238"/>
        <v>1</v>
      </c>
    </row>
    <row r="901" spans="1:67" ht="30.95" customHeight="1">
      <c r="A901" s="1">
        <f>24</f>
        <v>24</v>
      </c>
      <c r="B901" s="1">
        <f>固定流程!A37</f>
        <v>32</v>
      </c>
      <c r="C901" s="1">
        <f>27</f>
        <v>27</v>
      </c>
      <c r="D901" s="1">
        <f>2</f>
        <v>2</v>
      </c>
      <c r="E901" s="1">
        <f>固定流程!C37</f>
        <v>3</v>
      </c>
      <c r="F901" s="1">
        <f>固定流程!G37</f>
        <v>1</v>
      </c>
      <c r="G901" s="1" t="str">
        <f>固定流程!H37</f>
        <v>LILYA_WEAK</v>
      </c>
      <c r="H901" s="1">
        <f>固定流程!F37</f>
        <v>1</v>
      </c>
      <c r="I901" s="1">
        <f>INDEX(配置与结果!$B$15:$B$18,F901)</f>
        <v>2296</v>
      </c>
      <c r="J901" s="1">
        <f>INDEX(配置与结果!$D$15:$D$18,F901)</f>
        <v>0.7</v>
      </c>
      <c r="K901" s="1">
        <f>INDEX(配置与结果!$E$15:$E$18,F901)</f>
        <v>2.0249999999999999</v>
      </c>
      <c r="L901" s="1">
        <f t="shared" si="1249"/>
        <v>2</v>
      </c>
      <c r="M901" s="1">
        <f t="shared" si="1250"/>
        <v>10</v>
      </c>
      <c r="N901" s="1">
        <f t="shared" si="1251"/>
        <v>2</v>
      </c>
      <c r="O901" s="1">
        <f t="shared" si="1243"/>
        <v>6</v>
      </c>
      <c r="P901" s="1">
        <f>MIN(方案参数!$AI$27,AZ900+0+0)</f>
        <v>5</v>
      </c>
      <c r="Q901" s="1">
        <f t="shared" si="1221"/>
        <v>5</v>
      </c>
      <c r="R901" s="1">
        <f t="shared" si="1222"/>
        <v>20</v>
      </c>
      <c r="S901" s="1">
        <f t="shared" si="1223"/>
        <v>3</v>
      </c>
      <c r="T901" s="1">
        <f t="shared" si="1258"/>
        <v>0</v>
      </c>
      <c r="U901" s="1">
        <f t="shared" si="1225"/>
        <v>0</v>
      </c>
      <c r="V901" s="1">
        <f t="shared" si="1226"/>
        <v>4</v>
      </c>
      <c r="W901" s="1">
        <f t="shared" si="1227"/>
        <v>1</v>
      </c>
      <c r="X901" s="1">
        <f t="shared" si="1228"/>
        <v>1</v>
      </c>
      <c r="Y901" s="1">
        <f t="shared" si="1229"/>
        <v>1</v>
      </c>
      <c r="Z901" s="1">
        <f t="shared" si="1230"/>
        <v>1</v>
      </c>
      <c r="AA901" s="1">
        <f t="shared" si="1254"/>
        <v>1</v>
      </c>
      <c r="AB901" s="1">
        <f t="shared" si="1232"/>
        <v>1</v>
      </c>
      <c r="AC901" s="1">
        <f t="shared" si="1259"/>
        <v>1</v>
      </c>
      <c r="AD901" s="1">
        <f>ROUNDDOWN(I901*(1+IF(F901=3,0.05+方案参数!$Y$27+AA901*0.12,IF(F901=4,方案参数!$BZ$27*方案参数!$AS$27,0)))+IF(AND(X901=1,F901&lt;&gt;3),方案参数!$CC$27,0)+AC901*方案参数!$CB$27,0)</f>
        <v>3034</v>
      </c>
      <c r="AE901" s="1">
        <f>IF(OR(F901=1,F901=4),配置与结果!$B$24,配置与结果!$B$25)*MAX(0,1-INDEX(配置与结果!$I$15:$I$18,F901))</f>
        <v>1200</v>
      </c>
      <c r="AF901" s="1">
        <f>方案参数!$BL$27</f>
        <v>9</v>
      </c>
      <c r="AG901" s="1">
        <f>MAX(配置与结果!$B$32,1+INDEX(配置与结果!$F$15:$F$18,F901)+0.08+方案参数!$CD$27+Q901*方案参数!$W$27+Y901*(方案参数!$AN$27+MIN(方案参数!$AO$27,P901*0.03))+AB901*方案参数!$BZ$27*0.025-配置与结果!$B$28+方案参数!$AE$27)</f>
        <v>2.8650000000000002</v>
      </c>
      <c r="AH901" s="1">
        <f>MAX(0,1+V901*方案参数!$U$27+8*方案参数!$V$27+方案参数!$AE$27-配置与结果!$B$29)</f>
        <v>2.04</v>
      </c>
      <c r="AI901" s="1">
        <f>IF(OR(INDEX(配置与结果!$K$15:$K$18,F901)=1,G901="RHI_BERRY"),1+配置与结果!$B$33+P901*方案参数!$AH$27,1)</f>
        <v>1</v>
      </c>
      <c r="AJ901" s="1">
        <f>MIN(1,MAX(0,J901+方案参数!$AB$27-配置与结果!$B$27))</f>
        <v>1</v>
      </c>
      <c r="AK901" s="1">
        <f>MAX(1,K901+IF(F901=2,0.15+方案参数!$CH$27,0)+BN901*方案参数!$X$27+R901*方案参数!$AA$27+方案参数!$BP$27-配置与结果!$B$26+Z901*(方案参数!$AP$27+MIN(方案参数!$AQ$27,P901*0.03)))</f>
        <v>2.7650000000000001</v>
      </c>
      <c r="AL901" s="7">
        <f>ROUNDDOWN(MAX(AD901*配置与结果!$B$31,AD901-AE901)*AF901*AG901*AH901*AI901,0)</f>
        <v>96470</v>
      </c>
      <c r="AM901" s="7">
        <f>ROUNDDOWN(MAX(AD901*配置与结果!$B$31,AD901-AE901)*AF901*AG901*AH901*AI901*AK901,0)</f>
        <v>266742</v>
      </c>
      <c r="AN901" s="7">
        <f t="shared" si="1188"/>
        <v>266742</v>
      </c>
      <c r="AO901" s="7">
        <f>0</f>
        <v>0</v>
      </c>
      <c r="AP901" s="7">
        <f>MAX(0,1+INDEX(配置与结果!$J$15:$J$18,F901)+IF(T901&gt;0,方案参数!$BY$27,0)-配置与结果!$B$30)</f>
        <v>1</v>
      </c>
      <c r="AQ901" s="7">
        <f t="shared" si="1189"/>
        <v>0</v>
      </c>
      <c r="AR901" s="7">
        <f t="shared" si="1190"/>
        <v>0</v>
      </c>
      <c r="AS901" s="7">
        <f t="shared" si="1191"/>
        <v>0</v>
      </c>
      <c r="AT901" s="7">
        <f>IF(U901&gt;0,ROUNDDOWN(AL901*方案参数!$AF$27,0)*(1-AJ901)+ROUNDDOWN(AM901*方案参数!$AF$27,0)*AJ901,0)</f>
        <v>0</v>
      </c>
      <c r="AU901" s="7">
        <f t="shared" si="1192"/>
        <v>266742</v>
      </c>
      <c r="AV901" s="1">
        <f t="shared" si="1193"/>
        <v>2</v>
      </c>
      <c r="AW901" s="1">
        <f t="shared" si="1264"/>
        <v>10</v>
      </c>
      <c r="AX901" s="1">
        <f t="shared" si="1194"/>
        <v>2</v>
      </c>
      <c r="AY901" s="1">
        <f>MIN(20,MAX(0,O901+0+1-0))</f>
        <v>7</v>
      </c>
      <c r="AZ901" s="1">
        <f t="shared" si="1195"/>
        <v>5</v>
      </c>
      <c r="BA901" s="1">
        <f t="shared" si="1255"/>
        <v>5</v>
      </c>
      <c r="BB901" s="1">
        <f t="shared" si="1263"/>
        <v>20</v>
      </c>
      <c r="BC901" s="1">
        <f t="shared" si="1261"/>
        <v>3</v>
      </c>
      <c r="BD901" s="1">
        <f t="shared" si="1242"/>
        <v>0</v>
      </c>
      <c r="BE901" s="1">
        <f>MAX(0,U901-IF(AF901&gt;0,1,0))+0</f>
        <v>0</v>
      </c>
      <c r="BF901" s="1">
        <f t="shared" si="1265"/>
        <v>4</v>
      </c>
      <c r="BG901" s="1">
        <f t="shared" si="1252"/>
        <v>1</v>
      </c>
      <c r="BH901" s="1">
        <f t="shared" si="1236"/>
        <v>1</v>
      </c>
      <c r="BI901" s="1">
        <f t="shared" si="1253"/>
        <v>1</v>
      </c>
      <c r="BJ901" s="1">
        <f t="shared" si="1256"/>
        <v>1</v>
      </c>
      <c r="BK901" s="1">
        <f t="shared" si="1257"/>
        <v>1</v>
      </c>
      <c r="BL901" s="1">
        <f t="shared" si="1262"/>
        <v>1</v>
      </c>
      <c r="BM901" s="1">
        <f t="shared" si="1260"/>
        <v>1</v>
      </c>
      <c r="BN901" s="1">
        <f t="shared" si="1237"/>
        <v>1</v>
      </c>
      <c r="BO901" s="1">
        <f t="shared" si="1238"/>
        <v>1</v>
      </c>
    </row>
    <row r="902" spans="1:67" ht="30.95" customHeight="1">
      <c r="A902" s="1">
        <f>24</f>
        <v>24</v>
      </c>
      <c r="B902" s="1">
        <f>固定流程!A38</f>
        <v>33</v>
      </c>
      <c r="C902" s="1">
        <f>27</f>
        <v>27</v>
      </c>
      <c r="D902" s="1">
        <f>2</f>
        <v>2</v>
      </c>
      <c r="E902" s="1">
        <f>固定流程!C38</f>
        <v>3</v>
      </c>
      <c r="F902" s="1">
        <f>固定流程!G38</f>
        <v>1</v>
      </c>
      <c r="G902" s="1" t="str">
        <f>固定流程!H38</f>
        <v>LILYA_WEAK</v>
      </c>
      <c r="H902" s="1">
        <f>固定流程!F38</f>
        <v>1</v>
      </c>
      <c r="I902" s="1">
        <f>INDEX(配置与结果!$B$15:$B$18,F902)</f>
        <v>2296</v>
      </c>
      <c r="J902" s="1">
        <f>INDEX(配置与结果!$D$15:$D$18,F902)</f>
        <v>0.7</v>
      </c>
      <c r="K902" s="1">
        <f>INDEX(配置与结果!$E$15:$E$18,F902)</f>
        <v>2.0249999999999999</v>
      </c>
      <c r="L902" s="1">
        <f t="shared" si="1249"/>
        <v>2</v>
      </c>
      <c r="M902" s="1">
        <f t="shared" si="1250"/>
        <v>10</v>
      </c>
      <c r="N902" s="1">
        <f t="shared" si="1251"/>
        <v>2</v>
      </c>
      <c r="O902" s="1">
        <f t="shared" si="1243"/>
        <v>7</v>
      </c>
      <c r="P902" s="1">
        <f>MIN(方案参数!$AI$27,AZ901+0+0)</f>
        <v>5</v>
      </c>
      <c r="Q902" s="1">
        <f t="shared" si="1221"/>
        <v>5</v>
      </c>
      <c r="R902" s="1">
        <f t="shared" si="1222"/>
        <v>20</v>
      </c>
      <c r="S902" s="1">
        <f t="shared" si="1223"/>
        <v>3</v>
      </c>
      <c r="T902" s="1">
        <f t="shared" si="1258"/>
        <v>0</v>
      </c>
      <c r="U902" s="1">
        <f t="shared" si="1225"/>
        <v>0</v>
      </c>
      <c r="V902" s="1">
        <f t="shared" si="1226"/>
        <v>4</v>
      </c>
      <c r="W902" s="1">
        <f t="shared" si="1227"/>
        <v>1</v>
      </c>
      <c r="X902" s="1">
        <f t="shared" si="1228"/>
        <v>1</v>
      </c>
      <c r="Y902" s="1">
        <f t="shared" si="1229"/>
        <v>1</v>
      </c>
      <c r="Z902" s="1">
        <f t="shared" si="1230"/>
        <v>1</v>
      </c>
      <c r="AA902" s="1">
        <f t="shared" si="1254"/>
        <v>1</v>
      </c>
      <c r="AB902" s="1">
        <f t="shared" si="1232"/>
        <v>1</v>
      </c>
      <c r="AC902" s="1">
        <f t="shared" si="1259"/>
        <v>1</v>
      </c>
      <c r="AD902" s="1">
        <f>ROUNDDOWN(I902*(1+IF(F902=3,0.05+方案参数!$Y$27+AA902*0.12,IF(F902=4,方案参数!$BZ$27*方案参数!$AS$27,0)))+IF(AND(X902=1,F902&lt;&gt;3),方案参数!$CC$27,0)+AC902*方案参数!$CB$27,0)</f>
        <v>3034</v>
      </c>
      <c r="AE902" s="1">
        <f>IF(OR(F902=1,F902=4),配置与结果!$B$24,配置与结果!$B$25)*MAX(0,1-INDEX(配置与结果!$I$15:$I$18,F902))</f>
        <v>1200</v>
      </c>
      <c r="AF902" s="1">
        <f>方案参数!$BL$27</f>
        <v>9</v>
      </c>
      <c r="AG902" s="1">
        <f>MAX(配置与结果!$B$32,1+INDEX(配置与结果!$F$15:$F$18,F902)+0.08+方案参数!$CD$27+Q902*方案参数!$W$27+Y902*(方案参数!$AN$27+MIN(方案参数!$AO$27,P902*0.03))+AB902*方案参数!$BZ$27*0.025-配置与结果!$B$28+方案参数!$AE$27)</f>
        <v>2.8650000000000002</v>
      </c>
      <c r="AH902" s="1">
        <f>MAX(0,1+V902*方案参数!$U$27+9*方案参数!$V$27+方案参数!$AE$27-配置与结果!$B$29)</f>
        <v>2.1</v>
      </c>
      <c r="AI902" s="1">
        <f>IF(OR(INDEX(配置与结果!$K$15:$K$18,F902)=1,G902="RHI_BERRY"),1+配置与结果!$B$33+P902*方案参数!$AH$27,1)</f>
        <v>1</v>
      </c>
      <c r="AJ902" s="1">
        <f>MIN(1,MAX(0,J902+方案参数!$AB$27-配置与结果!$B$27))</f>
        <v>1</v>
      </c>
      <c r="AK902" s="1">
        <f>MAX(1,K902+IF(F902=2,0.15+方案参数!$CH$27,0)+BN902*方案参数!$X$27+R902*方案参数!$AA$27+方案参数!$BP$27-配置与结果!$B$26+Z902*(方案参数!$AP$27+MIN(方案参数!$AQ$27,P902*0.03)))</f>
        <v>2.7650000000000001</v>
      </c>
      <c r="AL902" s="7">
        <f>ROUNDDOWN(MAX(AD902*配置与结果!$B$31,AD902-AE902)*AF902*AG902*AH902*AI902,0)</f>
        <v>99308</v>
      </c>
      <c r="AM902" s="7">
        <f>ROUNDDOWN(MAX(AD902*配置与结果!$B$31,AD902-AE902)*AF902*AG902*AH902*AI902*AK902,0)</f>
        <v>274587</v>
      </c>
      <c r="AN902" s="7">
        <f t="shared" ref="AN902:AN965" si="1266">AL902*(1-AJ902)+AM902*AJ902</f>
        <v>274587</v>
      </c>
      <c r="AO902" s="7">
        <f>0</f>
        <v>0</v>
      </c>
      <c r="AP902" s="7">
        <f>MAX(0,1+INDEX(配置与结果!$J$15:$J$18,F902)+IF(T902&gt;0,方案参数!$BY$27,0)-配置与结果!$B$30)</f>
        <v>1</v>
      </c>
      <c r="AQ902" s="7">
        <f t="shared" ref="AQ902:AQ965" si="1267">ROUNDDOWN(ROUNDDOWN(AD902*AO902,0)*AP902,0)</f>
        <v>0</v>
      </c>
      <c r="AR902" s="7">
        <f t="shared" ref="AR902:AR965" si="1268">ROUNDDOWN(ROUNDDOWN(AD902*AO902,0)*AP902*AK902,0)</f>
        <v>0</v>
      </c>
      <c r="AS902" s="7">
        <f t="shared" ref="AS902:AS965" si="1269">AQ902*(1-AJ902)+AR902*AJ902</f>
        <v>0</v>
      </c>
      <c r="AT902" s="7">
        <f>IF(U902&gt;0,ROUNDDOWN(AL902*方案参数!$AF$27,0)*(1-AJ902)+ROUNDDOWN(AM902*方案参数!$AF$27,0)*AJ902,0)</f>
        <v>0</v>
      </c>
      <c r="AU902" s="7">
        <f t="shared" ref="AU902:AU965" si="1270">AN902+AS902+AT902</f>
        <v>274587</v>
      </c>
      <c r="AV902" s="1">
        <f t="shared" ref="AV902:AV965" si="1271">IF(G902="LILYA_COBRA",IF(L902=0,1,L902),L902)</f>
        <v>2</v>
      </c>
      <c r="AW902" s="1">
        <f t="shared" si="1264"/>
        <v>10</v>
      </c>
      <c r="AX902" s="1">
        <f t="shared" ref="AX902:AX965" si="1272">N902</f>
        <v>2</v>
      </c>
      <c r="AY902" s="1">
        <f>MIN(20,MAX(0,O902+0+1-0))</f>
        <v>8</v>
      </c>
      <c r="AZ902" s="1">
        <f t="shared" ref="AZ902:AZ965" si="1273">P902</f>
        <v>5</v>
      </c>
      <c r="BA902" s="1">
        <f t="shared" si="1255"/>
        <v>5</v>
      </c>
      <c r="BB902" s="1">
        <f t="shared" si="1263"/>
        <v>20</v>
      </c>
      <c r="BC902" s="1">
        <f t="shared" si="1261"/>
        <v>3</v>
      </c>
      <c r="BD902" s="1">
        <f t="shared" si="1242"/>
        <v>0</v>
      </c>
      <c r="BE902" s="1">
        <f>MAX(0,U902-IF(AF902&gt;0,1,0))+0</f>
        <v>0</v>
      </c>
      <c r="BF902" s="1">
        <f t="shared" si="1265"/>
        <v>4</v>
      </c>
      <c r="BG902" s="1">
        <f t="shared" si="1252"/>
        <v>1</v>
      </c>
      <c r="BH902" s="1">
        <f t="shared" si="1236"/>
        <v>1</v>
      </c>
      <c r="BI902" s="1">
        <f t="shared" si="1253"/>
        <v>1</v>
      </c>
      <c r="BJ902" s="1">
        <f t="shared" si="1256"/>
        <v>1</v>
      </c>
      <c r="BK902" s="1">
        <f t="shared" si="1257"/>
        <v>1</v>
      </c>
      <c r="BL902" s="1">
        <f t="shared" si="1262"/>
        <v>1</v>
      </c>
      <c r="BM902" s="1">
        <f t="shared" si="1260"/>
        <v>1</v>
      </c>
      <c r="BN902" s="1">
        <f t="shared" si="1237"/>
        <v>1</v>
      </c>
      <c r="BO902" s="1">
        <f t="shared" si="1238"/>
        <v>1</v>
      </c>
    </row>
    <row r="903" spans="1:67" ht="30.95" customHeight="1">
      <c r="A903" s="1">
        <f>24</f>
        <v>24</v>
      </c>
      <c r="B903" s="1">
        <f>固定流程!A39</f>
        <v>34</v>
      </c>
      <c r="C903" s="1">
        <f>27</f>
        <v>27</v>
      </c>
      <c r="D903" s="1">
        <f>2</f>
        <v>2</v>
      </c>
      <c r="E903" s="1">
        <f>固定流程!C39</f>
        <v>3</v>
      </c>
      <c r="F903" s="1">
        <f>固定流程!G39</f>
        <v>2</v>
      </c>
      <c r="G903" s="1" t="str">
        <f>固定流程!H39</f>
        <v>37_WEAK</v>
      </c>
      <c r="H903" s="1">
        <f>固定流程!F39</f>
        <v>1</v>
      </c>
      <c r="I903" s="1">
        <f>INDEX(配置与结果!$B$15:$B$18,F903)</f>
        <v>2306</v>
      </c>
      <c r="J903" s="1">
        <f>INDEX(配置与结果!$D$15:$D$18,F903)</f>
        <v>0.46</v>
      </c>
      <c r="K903" s="1">
        <f>INDEX(配置与结果!$E$15:$E$18,F903)</f>
        <v>1.9279999999999999</v>
      </c>
      <c r="L903" s="1">
        <f t="shared" si="1249"/>
        <v>2</v>
      </c>
      <c r="M903" s="1">
        <f t="shared" si="1250"/>
        <v>10</v>
      </c>
      <c r="N903" s="1">
        <f t="shared" si="1251"/>
        <v>2</v>
      </c>
      <c r="O903" s="1">
        <f t="shared" si="1243"/>
        <v>8</v>
      </c>
      <c r="P903" s="1">
        <f>MIN(方案参数!$AI$27,AZ902+0+0)</f>
        <v>5</v>
      </c>
      <c r="Q903" s="1">
        <f t="shared" si="1221"/>
        <v>5</v>
      </c>
      <c r="R903" s="1">
        <f t="shared" si="1222"/>
        <v>20</v>
      </c>
      <c r="S903" s="1">
        <f t="shared" si="1223"/>
        <v>3</v>
      </c>
      <c r="T903" s="1">
        <f t="shared" si="1258"/>
        <v>0</v>
      </c>
      <c r="U903" s="1">
        <f t="shared" si="1225"/>
        <v>0</v>
      </c>
      <c r="V903" s="1">
        <f t="shared" si="1226"/>
        <v>4</v>
      </c>
      <c r="W903" s="1">
        <f t="shared" si="1227"/>
        <v>1</v>
      </c>
      <c r="X903" s="1">
        <f t="shared" si="1228"/>
        <v>1</v>
      </c>
      <c r="Y903" s="1">
        <f t="shared" si="1229"/>
        <v>1</v>
      </c>
      <c r="Z903" s="1">
        <f t="shared" si="1230"/>
        <v>1</v>
      </c>
      <c r="AA903" s="1">
        <f t="shared" si="1254"/>
        <v>1</v>
      </c>
      <c r="AB903" s="1">
        <f t="shared" si="1232"/>
        <v>1</v>
      </c>
      <c r="AC903" s="1">
        <f t="shared" si="1259"/>
        <v>1</v>
      </c>
      <c r="AD903" s="1">
        <f>ROUNDDOWN(I903*(1+IF(F903=3,0.05+方案参数!$Y$27+AA903*0.12,IF(F903=4,方案参数!$BZ$27*方案参数!$AS$27,0)))+IF(AND(X903=1,F903&lt;&gt;3),方案参数!$CC$27,0)+AC903*方案参数!$CB$27,0)</f>
        <v>3044</v>
      </c>
      <c r="AE903" s="1">
        <f>IF(OR(F903=1,F903=4),配置与结果!$B$24,配置与结果!$B$25)*MAX(0,1-INDEX(配置与结果!$I$15:$I$18,F903))</f>
        <v>1000</v>
      </c>
      <c r="AF903" s="1">
        <f>方案参数!$CE$27</f>
        <v>8</v>
      </c>
      <c r="AG903" s="1">
        <f>MAX(配置与结果!$B$32,1+INDEX(配置与结果!$F$15:$F$18,F903)+0+Q903*方案参数!$W$27+Y903*(方案参数!$AN$27+MIN(方案参数!$AO$27,P903*0.03))+AB903*方案参数!$BZ$27*0.025-配置与结果!$B$28+方案参数!$AE$27)</f>
        <v>2.5300000000000002</v>
      </c>
      <c r="AH903" s="1">
        <f>MAX(0,1+V903*方案参数!$U$27+方案参数!$AE$27-配置与结果!$B$29)</f>
        <v>1.56</v>
      </c>
      <c r="AI903" s="1">
        <f>IF(OR(INDEX(配置与结果!$K$15:$K$18,F903)=1,G903="RHI_BERRY"),1+配置与结果!$B$33+P903*方案参数!$AH$27,1)</f>
        <v>1</v>
      </c>
      <c r="AJ903" s="1">
        <f>MIN(1,MAX(0,J903+方案参数!$AB$27-配置与结果!$B$27))</f>
        <v>0.76</v>
      </c>
      <c r="AK903" s="1">
        <f>MAX(1,K903+IF(F903=2,0.15+方案参数!$CH$27,0)+BN903*方案参数!$X$27+R903*方案参数!$AA$27+0-配置与结果!$B$26+Z903*(方案参数!$AP$27+MIN(方案参数!$AQ$27,P903*0.03)))</f>
        <v>2.3380000000000001</v>
      </c>
      <c r="AL903" s="7">
        <f>ROUNDDOWN(MAX(AD903*配置与结果!$B$31,AD903-AE903)*AF903*AG903*AH903*AI903,0)</f>
        <v>64538</v>
      </c>
      <c r="AM903" s="7">
        <f>ROUNDDOWN(MAX(AD903*配置与结果!$B$31,AD903-AE903)*AF903*AG903*AH903*AI903*AK903,0)</f>
        <v>150890</v>
      </c>
      <c r="AN903" s="7">
        <f t="shared" si="1266"/>
        <v>130165.51999999999</v>
      </c>
      <c r="AO903" s="7">
        <f>0</f>
        <v>0</v>
      </c>
      <c r="AP903" s="7">
        <f>MAX(0,1+INDEX(配置与结果!$J$15:$J$18,F903)+IF(T903&gt;0,方案参数!$BY$27,0)-配置与结果!$B$30)</f>
        <v>1</v>
      </c>
      <c r="AQ903" s="7">
        <f t="shared" si="1267"/>
        <v>0</v>
      </c>
      <c r="AR903" s="7">
        <f t="shared" si="1268"/>
        <v>0</v>
      </c>
      <c r="AS903" s="7">
        <f t="shared" si="1269"/>
        <v>0</v>
      </c>
      <c r="AT903" s="7">
        <f>IF(U903&gt;0,ROUNDDOWN(AL903*方案参数!$AF$27,0)*(1-AJ903)+ROUNDDOWN(AM903*方案参数!$AF$27,0)*AJ903,0)</f>
        <v>0</v>
      </c>
      <c r="AU903" s="7">
        <f t="shared" si="1270"/>
        <v>130165.51999999999</v>
      </c>
      <c r="AV903" s="1">
        <f t="shared" si="1271"/>
        <v>2</v>
      </c>
      <c r="AW903" s="1">
        <f t="shared" si="1264"/>
        <v>10</v>
      </c>
      <c r="AX903" s="1">
        <f t="shared" si="1272"/>
        <v>2</v>
      </c>
      <c r="AY903" s="1">
        <f>MIN(20,MAX(0,O903+0+0-0))</f>
        <v>8</v>
      </c>
      <c r="AZ903" s="1">
        <f t="shared" si="1273"/>
        <v>5</v>
      </c>
      <c r="BA903" s="1">
        <f t="shared" si="1255"/>
        <v>5</v>
      </c>
      <c r="BB903" s="1">
        <f t="shared" si="1263"/>
        <v>20</v>
      </c>
      <c r="BC903" s="1">
        <f t="shared" si="1261"/>
        <v>3</v>
      </c>
      <c r="BD903" s="1">
        <f t="shared" si="1242"/>
        <v>0</v>
      </c>
      <c r="BE903" s="1">
        <f>MAX(0,U903-IF(AF903&gt;0,1,0))+1</f>
        <v>1</v>
      </c>
      <c r="BF903" s="1">
        <f t="shared" si="1265"/>
        <v>4</v>
      </c>
      <c r="BG903" s="1">
        <f t="shared" si="1252"/>
        <v>1</v>
      </c>
      <c r="BH903" s="1">
        <f t="shared" si="1236"/>
        <v>1</v>
      </c>
      <c r="BI903" s="1">
        <f t="shared" si="1253"/>
        <v>1</v>
      </c>
      <c r="BJ903" s="1">
        <f t="shared" si="1256"/>
        <v>1</v>
      </c>
      <c r="BK903" s="1">
        <f t="shared" si="1257"/>
        <v>1</v>
      </c>
      <c r="BL903" s="1">
        <f t="shared" si="1262"/>
        <v>1</v>
      </c>
      <c r="BM903" s="1">
        <f t="shared" si="1260"/>
        <v>1</v>
      </c>
      <c r="BN903" s="1">
        <f t="shared" si="1237"/>
        <v>1</v>
      </c>
      <c r="BO903" s="1">
        <f t="shared" si="1238"/>
        <v>1</v>
      </c>
    </row>
    <row r="904" spans="1:67" ht="30.95" customHeight="1">
      <c r="A904" s="1">
        <f>24</f>
        <v>24</v>
      </c>
      <c r="B904" s="1">
        <f>固定流程!A40</f>
        <v>35</v>
      </c>
      <c r="C904" s="1">
        <f>27</f>
        <v>27</v>
      </c>
      <c r="D904" s="1">
        <f>2</f>
        <v>2</v>
      </c>
      <c r="E904" s="1">
        <f>固定流程!C40</f>
        <v>3</v>
      </c>
      <c r="F904" s="1">
        <f>固定流程!G40</f>
        <v>2</v>
      </c>
      <c r="G904" s="1" t="str">
        <f>固定流程!H40</f>
        <v>37_WEAK</v>
      </c>
      <c r="H904" s="1">
        <f>固定流程!F40</f>
        <v>1</v>
      </c>
      <c r="I904" s="1">
        <f>INDEX(配置与结果!$B$15:$B$18,F904)</f>
        <v>2306</v>
      </c>
      <c r="J904" s="1">
        <f>INDEX(配置与结果!$D$15:$D$18,F904)</f>
        <v>0.46</v>
      </c>
      <c r="K904" s="1">
        <f>INDEX(配置与结果!$E$15:$E$18,F904)</f>
        <v>1.9279999999999999</v>
      </c>
      <c r="L904" s="1">
        <f t="shared" si="1249"/>
        <v>2</v>
      </c>
      <c r="M904" s="1">
        <f t="shared" si="1250"/>
        <v>10</v>
      </c>
      <c r="N904" s="1">
        <f t="shared" si="1251"/>
        <v>2</v>
      </c>
      <c r="O904" s="1">
        <f t="shared" si="1243"/>
        <v>8</v>
      </c>
      <c r="P904" s="1">
        <f>MIN(方案参数!$AI$27,AZ903+0+0)</f>
        <v>5</v>
      </c>
      <c r="Q904" s="1">
        <f t="shared" si="1221"/>
        <v>5</v>
      </c>
      <c r="R904" s="1">
        <f t="shared" si="1222"/>
        <v>20</v>
      </c>
      <c r="S904" s="1">
        <f t="shared" si="1223"/>
        <v>3</v>
      </c>
      <c r="T904" s="1">
        <f t="shared" si="1258"/>
        <v>0</v>
      </c>
      <c r="U904" s="1">
        <f t="shared" si="1225"/>
        <v>1</v>
      </c>
      <c r="V904" s="1">
        <f t="shared" si="1226"/>
        <v>4</v>
      </c>
      <c r="W904" s="1">
        <f t="shared" si="1227"/>
        <v>1</v>
      </c>
      <c r="X904" s="1">
        <f t="shared" si="1228"/>
        <v>1</v>
      </c>
      <c r="Y904" s="1">
        <f t="shared" si="1229"/>
        <v>1</v>
      </c>
      <c r="Z904" s="1">
        <f t="shared" si="1230"/>
        <v>1</v>
      </c>
      <c r="AA904" s="1">
        <f t="shared" si="1254"/>
        <v>1</v>
      </c>
      <c r="AB904" s="1">
        <f t="shared" si="1232"/>
        <v>1</v>
      </c>
      <c r="AC904" s="1">
        <f t="shared" si="1259"/>
        <v>1</v>
      </c>
      <c r="AD904" s="1">
        <f>ROUNDDOWN(I904*(1+IF(F904=3,0.05+方案参数!$Y$27+AA904*0.12,IF(F904=4,方案参数!$BZ$27*方案参数!$AS$27,0)))+IF(AND(X904=1,F904&lt;&gt;3),方案参数!$CC$27,0)+AC904*方案参数!$CB$27,0)</f>
        <v>3044</v>
      </c>
      <c r="AE904" s="1">
        <f>IF(OR(F904=1,F904=4),配置与结果!$B$24,配置与结果!$B$25)*MAX(0,1-INDEX(配置与结果!$I$15:$I$18,F904))</f>
        <v>1000</v>
      </c>
      <c r="AF904" s="1">
        <f>方案参数!$CE$27</f>
        <v>8</v>
      </c>
      <c r="AG904" s="1">
        <f>MAX(配置与结果!$B$32,1+INDEX(配置与结果!$F$15:$F$18,F904)+0+Q904*方案参数!$W$27+Y904*(方案参数!$AN$27+MIN(方案参数!$AO$27,P904*0.03))+AB904*方案参数!$BZ$27*0.025-配置与结果!$B$28+方案参数!$AE$27)</f>
        <v>2.5300000000000002</v>
      </c>
      <c r="AH904" s="1">
        <f>MAX(0,1+V904*方案参数!$U$27+方案参数!$AE$27-配置与结果!$B$29)</f>
        <v>1.56</v>
      </c>
      <c r="AI904" s="1">
        <f>IF(OR(INDEX(配置与结果!$K$15:$K$18,F904)=1,G904="RHI_BERRY"),1+配置与结果!$B$33+P904*方案参数!$AH$27,1)</f>
        <v>1</v>
      </c>
      <c r="AJ904" s="1">
        <f>MIN(1,MAX(0,J904+方案参数!$AB$27-配置与结果!$B$27))</f>
        <v>0.76</v>
      </c>
      <c r="AK904" s="1">
        <f>MAX(1,K904+IF(F904=2,0.15+方案参数!$CH$27,0)+BN904*方案参数!$X$27+R904*方案参数!$AA$27+0-配置与结果!$B$26+Z904*(方案参数!$AP$27+MIN(方案参数!$AQ$27,P904*0.03)))</f>
        <v>2.3380000000000001</v>
      </c>
      <c r="AL904" s="7">
        <f>ROUNDDOWN(MAX(AD904*配置与结果!$B$31,AD904-AE904)*AF904*AG904*AH904*AI904,0)</f>
        <v>64538</v>
      </c>
      <c r="AM904" s="7">
        <f>ROUNDDOWN(MAX(AD904*配置与结果!$B$31,AD904-AE904)*AF904*AG904*AH904*AI904*AK904,0)</f>
        <v>150890</v>
      </c>
      <c r="AN904" s="7">
        <f t="shared" si="1266"/>
        <v>130165.51999999999</v>
      </c>
      <c r="AO904" s="7">
        <f>0</f>
        <v>0</v>
      </c>
      <c r="AP904" s="7">
        <f>MAX(0,1+INDEX(配置与结果!$J$15:$J$18,F904)+IF(T904&gt;0,方案参数!$BY$27,0)-配置与结果!$B$30)</f>
        <v>1</v>
      </c>
      <c r="AQ904" s="7">
        <f t="shared" si="1267"/>
        <v>0</v>
      </c>
      <c r="AR904" s="7">
        <f t="shared" si="1268"/>
        <v>0</v>
      </c>
      <c r="AS904" s="7">
        <f t="shared" si="1269"/>
        <v>0</v>
      </c>
      <c r="AT904" s="7">
        <f>IF(U904&gt;0,ROUNDDOWN(AL904*方案参数!$AF$27,0)*(1-AJ904)+ROUNDDOWN(AM904*方案参数!$AF$27,0)*AJ904,0)</f>
        <v>52066.159999999996</v>
      </c>
      <c r="AU904" s="7">
        <f t="shared" si="1270"/>
        <v>182231.67999999999</v>
      </c>
      <c r="AV904" s="1">
        <f t="shared" si="1271"/>
        <v>2</v>
      </c>
      <c r="AW904" s="1">
        <f t="shared" si="1264"/>
        <v>10</v>
      </c>
      <c r="AX904" s="1">
        <f t="shared" si="1272"/>
        <v>2</v>
      </c>
      <c r="AY904" s="1">
        <f>MIN(20,MAX(0,O904+0+0-0))</f>
        <v>8</v>
      </c>
      <c r="AZ904" s="1">
        <f t="shared" si="1273"/>
        <v>5</v>
      </c>
      <c r="BA904" s="1">
        <f t="shared" si="1255"/>
        <v>5</v>
      </c>
      <c r="BB904" s="1">
        <f t="shared" si="1263"/>
        <v>20</v>
      </c>
      <c r="BC904" s="1">
        <f t="shared" si="1261"/>
        <v>3</v>
      </c>
      <c r="BD904" s="1">
        <f t="shared" si="1242"/>
        <v>0</v>
      </c>
      <c r="BE904" s="1">
        <f>MAX(0,U904-IF(AF904&gt;0,1,0))+1</f>
        <v>1</v>
      </c>
      <c r="BF904" s="1">
        <f t="shared" si="1265"/>
        <v>4</v>
      </c>
      <c r="BG904" s="1">
        <f t="shared" si="1252"/>
        <v>1</v>
      </c>
      <c r="BH904" s="1">
        <f t="shared" si="1236"/>
        <v>1</v>
      </c>
      <c r="BI904" s="1">
        <f t="shared" si="1253"/>
        <v>1</v>
      </c>
      <c r="BJ904" s="1">
        <f t="shared" si="1256"/>
        <v>1</v>
      </c>
      <c r="BK904" s="1">
        <f t="shared" si="1257"/>
        <v>1</v>
      </c>
      <c r="BL904" s="1">
        <f t="shared" si="1262"/>
        <v>1</v>
      </c>
      <c r="BM904" s="1">
        <f t="shared" si="1260"/>
        <v>1</v>
      </c>
      <c r="BN904" s="1">
        <f t="shared" si="1237"/>
        <v>1</v>
      </c>
      <c r="BO904" s="1">
        <f t="shared" si="1238"/>
        <v>1</v>
      </c>
    </row>
    <row r="905" spans="1:67" ht="30.95" customHeight="1">
      <c r="A905" s="1">
        <f>24</f>
        <v>24</v>
      </c>
      <c r="B905" s="1">
        <f>固定流程!A41</f>
        <v>36</v>
      </c>
      <c r="C905" s="1">
        <f>27</f>
        <v>27</v>
      </c>
      <c r="D905" s="1">
        <f>2</f>
        <v>2</v>
      </c>
      <c r="E905" s="1">
        <f>固定流程!C41</f>
        <v>3</v>
      </c>
      <c r="F905" s="1">
        <f>固定流程!G41</f>
        <v>1</v>
      </c>
      <c r="G905" s="1" t="str">
        <f>固定流程!H41</f>
        <v>LILYA_FINISH</v>
      </c>
      <c r="H905" s="1">
        <f>固定流程!F41</f>
        <v>1</v>
      </c>
      <c r="I905" s="1">
        <f>INDEX(配置与结果!$B$15:$B$18,F905)</f>
        <v>2296</v>
      </c>
      <c r="J905" s="1">
        <f>INDEX(配置与结果!$D$15:$D$18,F905)</f>
        <v>0.7</v>
      </c>
      <c r="K905" s="1">
        <f>INDEX(配置与结果!$E$15:$E$18,F905)</f>
        <v>2.0249999999999999</v>
      </c>
      <c r="L905" s="1">
        <f t="shared" si="1249"/>
        <v>2</v>
      </c>
      <c r="M905" s="1">
        <f t="shared" si="1250"/>
        <v>10</v>
      </c>
      <c r="N905" s="1">
        <f t="shared" si="1251"/>
        <v>2</v>
      </c>
      <c r="O905" s="1">
        <f t="shared" si="1243"/>
        <v>8</v>
      </c>
      <c r="P905" s="1">
        <f>MIN(方案参数!$AI$27,AZ904+0+0)</f>
        <v>5</v>
      </c>
      <c r="Q905" s="1">
        <f t="shared" si="1221"/>
        <v>5</v>
      </c>
      <c r="R905" s="1">
        <f t="shared" si="1222"/>
        <v>20</v>
      </c>
      <c r="S905" s="1">
        <f t="shared" si="1223"/>
        <v>3</v>
      </c>
      <c r="T905" s="1">
        <f t="shared" si="1258"/>
        <v>0</v>
      </c>
      <c r="U905" s="1">
        <f t="shared" si="1225"/>
        <v>1</v>
      </c>
      <c r="V905" s="1">
        <f t="shared" si="1226"/>
        <v>4</v>
      </c>
      <c r="W905" s="1">
        <f t="shared" si="1227"/>
        <v>1</v>
      </c>
      <c r="X905" s="1">
        <f t="shared" si="1228"/>
        <v>1</v>
      </c>
      <c r="Y905" s="1">
        <f t="shared" si="1229"/>
        <v>1</v>
      </c>
      <c r="Z905" s="1">
        <f t="shared" si="1230"/>
        <v>1</v>
      </c>
      <c r="AA905" s="1">
        <f t="shared" si="1254"/>
        <v>1</v>
      </c>
      <c r="AB905" s="1">
        <f t="shared" si="1232"/>
        <v>1</v>
      </c>
      <c r="AC905" s="1">
        <f t="shared" si="1259"/>
        <v>1</v>
      </c>
      <c r="AD905" s="1">
        <f>ROUNDDOWN(I905*(1+IF(F905=3,0.05+方案参数!$Y$27+AA905*0.12,IF(F905=4,方案参数!$BZ$27*方案参数!$AS$27,0)))+IF(AND(X905=1,F905&lt;&gt;3),方案参数!$CC$27,0)+AC905*方案参数!$CB$27,0)</f>
        <v>3034</v>
      </c>
      <c r="AE905" s="1">
        <f>IF(OR(F905=1,F905=4),配置与结果!$B$24,配置与结果!$B$25)*MAX(0,1-INDEX(配置与结果!$I$15:$I$18,F905))</f>
        <v>1200</v>
      </c>
      <c r="AF905" s="1">
        <f>方案参数!$BN$27+12*方案参数!$BO$27</f>
        <v>48</v>
      </c>
      <c r="AG905" s="1">
        <f>MAX(配置与结果!$B$32,1+INDEX(配置与结果!$F$15:$F$18,F905)+0.08+方案参数!$CD$27+Q905*方案参数!$W$27+Y905*(方案参数!$AN$27+MIN(方案参数!$AO$27,P905*0.03))+AB905*方案参数!$BZ$27*0.025-配置与结果!$B$28+方案参数!$AE$27)</f>
        <v>2.8650000000000002</v>
      </c>
      <c r="AH905" s="1">
        <f>MAX(0,1+V905*方案参数!$U$27+12*方案参数!$V$27+方案参数!$AE$27-配置与结果!$B$29)</f>
        <v>2.2799999999999998</v>
      </c>
      <c r="AI905" s="1">
        <f>IF(OR(INDEX(配置与结果!$K$15:$K$18,F905)=1,G905="RHI_BERRY"),1+配置与结果!$B$33+P905*方案参数!$AH$27,1)</f>
        <v>1</v>
      </c>
      <c r="AJ905" s="1">
        <f>MIN(1,MAX(0,J905+方案参数!$AB$27-配置与结果!$B$27))</f>
        <v>1</v>
      </c>
      <c r="AK905" s="1">
        <f>MAX(1,K905+IF(F905=2,0.15+方案参数!$CH$27,0)+BN905*方案参数!$X$27+R905*方案参数!$AA$27+方案参数!$BR$27-配置与结果!$B$26+Z905*(方案参数!$AP$27+MIN(方案参数!$AQ$27,P905*0.03)))</f>
        <v>3.165</v>
      </c>
      <c r="AL905" s="7">
        <f>ROUNDDOWN(MAX(AD905*配置与结果!$B$31,AD905-AE905)*AF905*AG905*AH905*AI905,0)</f>
        <v>575042</v>
      </c>
      <c r="AM905" s="7">
        <f>ROUNDDOWN(MAX(AD905*配置与结果!$B$31,AD905-AE905)*AF905*AG905*AH905*AI905*AK905,0)</f>
        <v>1820009</v>
      </c>
      <c r="AN905" s="7">
        <f t="shared" si="1266"/>
        <v>1820009</v>
      </c>
      <c r="AO905" s="7">
        <f>0</f>
        <v>0</v>
      </c>
      <c r="AP905" s="7">
        <f>MAX(0,1+INDEX(配置与结果!$J$15:$J$18,F905)+IF(T905&gt;0,方案参数!$BY$27,0)-配置与结果!$B$30)</f>
        <v>1</v>
      </c>
      <c r="AQ905" s="7">
        <f t="shared" si="1267"/>
        <v>0</v>
      </c>
      <c r="AR905" s="7">
        <f t="shared" si="1268"/>
        <v>0</v>
      </c>
      <c r="AS905" s="7">
        <f t="shared" si="1269"/>
        <v>0</v>
      </c>
      <c r="AT905" s="7">
        <f>IF(U905&gt;0,ROUNDDOWN(AL905*方案参数!$AF$27,0)*(1-AJ905)+ROUNDDOWN(AM905*方案参数!$AF$27,0)*AJ905,0)</f>
        <v>728003</v>
      </c>
      <c r="AU905" s="7">
        <f t="shared" si="1270"/>
        <v>2548012</v>
      </c>
      <c r="AV905" s="1">
        <f t="shared" si="1271"/>
        <v>2</v>
      </c>
      <c r="AW905" s="1">
        <f t="shared" si="1264"/>
        <v>10</v>
      </c>
      <c r="AX905" s="1">
        <f t="shared" si="1272"/>
        <v>2</v>
      </c>
      <c r="AY905" s="1">
        <f>MIN(20,MAX(0,O905+0+1-0))</f>
        <v>9</v>
      </c>
      <c r="AZ905" s="1">
        <f t="shared" si="1273"/>
        <v>5</v>
      </c>
      <c r="BA905" s="1">
        <f t="shared" si="1255"/>
        <v>5</v>
      </c>
      <c r="BB905" s="1">
        <f t="shared" si="1263"/>
        <v>20</v>
      </c>
      <c r="BC905" s="1">
        <f t="shared" si="1261"/>
        <v>3</v>
      </c>
      <c r="BD905" s="1">
        <f t="shared" si="1242"/>
        <v>0</v>
      </c>
      <c r="BE905" s="1">
        <f>MAX(0,U905-IF(AF905&gt;0,1,0))+0</f>
        <v>0</v>
      </c>
      <c r="BF905" s="1">
        <f t="shared" si="1265"/>
        <v>4</v>
      </c>
      <c r="BG905" s="1">
        <f t="shared" si="1252"/>
        <v>1</v>
      </c>
      <c r="BH905" s="1">
        <f t="shared" si="1236"/>
        <v>1</v>
      </c>
      <c r="BI905" s="1">
        <f t="shared" si="1253"/>
        <v>1</v>
      </c>
      <c r="BJ905" s="1">
        <f t="shared" si="1256"/>
        <v>1</v>
      </c>
      <c r="BK905" s="1">
        <f t="shared" si="1257"/>
        <v>1</v>
      </c>
      <c r="BL905" s="1">
        <f t="shared" si="1262"/>
        <v>1</v>
      </c>
      <c r="BM905" s="1">
        <f t="shared" si="1260"/>
        <v>1</v>
      </c>
      <c r="BN905" s="1">
        <f t="shared" si="1237"/>
        <v>1</v>
      </c>
      <c r="BO905" s="1">
        <f t="shared" si="1238"/>
        <v>1</v>
      </c>
    </row>
    <row r="906" spans="1:67" ht="30.95" customHeight="1">
      <c r="A906" s="1">
        <f>25</f>
        <v>25</v>
      </c>
      <c r="B906" s="1">
        <f>固定流程!A6</f>
        <v>1</v>
      </c>
      <c r="C906" s="1">
        <f>28</f>
        <v>28</v>
      </c>
      <c r="D906" s="1">
        <f>1</f>
        <v>1</v>
      </c>
      <c r="E906" s="1">
        <f>固定流程!C6</f>
        <v>1</v>
      </c>
      <c r="F906" s="1">
        <f>固定流程!G6</f>
        <v>3</v>
      </c>
      <c r="G906" s="1" t="str">
        <f>固定流程!H6</f>
        <v>RHI_ULT</v>
      </c>
      <c r="H906" s="1">
        <f>固定流程!F6</f>
        <v>1</v>
      </c>
      <c r="I906" s="1">
        <f>INDEX(配置与结果!$B$15:$B$18,F906)</f>
        <v>2597</v>
      </c>
      <c r="J906" s="1">
        <f>INDEX(配置与结果!$D$15:$D$18,F906)</f>
        <v>0.255</v>
      </c>
      <c r="K906" s="1">
        <f>INDEX(配置与结果!$E$15:$E$18,F906)</f>
        <v>1.55</v>
      </c>
      <c r="L906" s="1">
        <f>0</f>
        <v>0</v>
      </c>
      <c r="M906" s="1">
        <f>0</f>
        <v>0</v>
      </c>
      <c r="N906" s="1">
        <f>0</f>
        <v>0</v>
      </c>
      <c r="O906" s="1">
        <f>0</f>
        <v>0</v>
      </c>
      <c r="P906" s="1">
        <f>MIN(方案参数!$AI$28,0+方案参数!$AJ$28+0)</f>
        <v>1</v>
      </c>
      <c r="Q906" s="1">
        <f>0</f>
        <v>0</v>
      </c>
      <c r="R906" s="1">
        <f>0</f>
        <v>0</v>
      </c>
      <c r="S906" s="1">
        <f>0</f>
        <v>0</v>
      </c>
      <c r="T906" s="1">
        <f>0+0</f>
        <v>0</v>
      </c>
      <c r="U906" s="1">
        <f>0</f>
        <v>0</v>
      </c>
      <c r="V906" s="1">
        <f>0</f>
        <v>0</v>
      </c>
      <c r="W906" s="1">
        <f>0</f>
        <v>0</v>
      </c>
      <c r="X906" s="1">
        <f>0</f>
        <v>0</v>
      </c>
      <c r="Y906" s="1">
        <f>0</f>
        <v>0</v>
      </c>
      <c r="Z906" s="1">
        <f>0</f>
        <v>0</v>
      </c>
      <c r="AA906" s="1">
        <f>MAX(0,0)</f>
        <v>0</v>
      </c>
      <c r="AB906" s="1">
        <f>0</f>
        <v>0</v>
      </c>
      <c r="AC906" s="1">
        <f>MAX(0,0)</f>
        <v>0</v>
      </c>
      <c r="AD906" s="1">
        <f>ROUNDDOWN(I906*(1+IF(F906=3,0.05+方案参数!$Y$28+AA906*0.12,IF(F906=4,方案参数!$BZ$28*方案参数!$AS$28,0)))+IF(AND(X906=1,F906&lt;&gt;3),方案参数!$CC$28,0)+AC906*方案参数!$CB$28,0)</f>
        <v>2986</v>
      </c>
      <c r="AE906" s="1">
        <f>IF(OR(F906=1,F906=4),配置与结果!$B$24,配置与结果!$B$25)*MAX(0,1-INDEX(配置与结果!$I$15:$I$18,F906))</f>
        <v>1000</v>
      </c>
      <c r="AF906" s="1">
        <f>0</f>
        <v>0</v>
      </c>
      <c r="AG906" s="1">
        <f>MAX(配置与结果!$B$32,1+INDEX(配置与结果!$F$15:$F$18,F906)+0+Q906*方案参数!$W$28+Y906*(方案参数!$AN$28+MIN(方案参数!$AO$28,P906*0.03))+AB906*方案参数!$BZ$28*0.025-配置与结果!$B$28)</f>
        <v>0.6349999999999999</v>
      </c>
      <c r="AH906" s="1">
        <f>MAX(0,1+INDEX(配置与结果!$G$15:$G$18,F906)+W906*方案参数!$AG$28)</f>
        <v>1</v>
      </c>
      <c r="AI906" s="1">
        <f>IF(OR(INDEX(配置与结果!$K$15:$K$18,F906)=1,G906="RHI_BERRY"),1+配置与结果!$B$33+P906*方案参数!$AH$28,1)</f>
        <v>1</v>
      </c>
      <c r="AJ906" s="1">
        <f>MIN(1,MAX(0,J906+方案参数!$AB$28-配置与结果!$B$27))</f>
        <v>0.55499999999999994</v>
      </c>
      <c r="AK906" s="1">
        <f>MAX(1,K906+IF(F906=2,0.15+方案参数!$CH$28,0)+BN906*方案参数!$X$28+R906*方案参数!$AA$28+0-配置与结果!$B$26+Z906*(方案参数!$AP$28+MIN(方案参数!$AQ$28,P906*0.03)))</f>
        <v>1.1499999999999999</v>
      </c>
      <c r="AL906" s="7">
        <f>ROUNDDOWN(MAX(AD906*配置与结果!$B$31,AD906-AE906)*AF906*AG906*AH906*AI906,0)</f>
        <v>0</v>
      </c>
      <c r="AM906" s="7">
        <f>ROUNDDOWN(MAX(AD906*配置与结果!$B$31,AD906-AE906)*AF906*AG906*AH906*AI906*AK906,0)</f>
        <v>0</v>
      </c>
      <c r="AN906" s="7">
        <f t="shared" si="1266"/>
        <v>0</v>
      </c>
      <c r="AO906" s="7">
        <f>0</f>
        <v>0</v>
      </c>
      <c r="AP906" s="7">
        <f>MAX(0,1+INDEX(配置与结果!$J$15:$J$18,F906)+IF(T906&gt;0,方案参数!$BY$28,0)-配置与结果!$B$30)</f>
        <v>1</v>
      </c>
      <c r="AQ906" s="7">
        <f t="shared" si="1267"/>
        <v>0</v>
      </c>
      <c r="AR906" s="7">
        <f t="shared" si="1268"/>
        <v>0</v>
      </c>
      <c r="AS906" s="7">
        <f t="shared" si="1269"/>
        <v>0</v>
      </c>
      <c r="AT906" s="7">
        <f>0</f>
        <v>0</v>
      </c>
      <c r="AU906" s="7">
        <f t="shared" si="1270"/>
        <v>0</v>
      </c>
      <c r="AV906" s="1">
        <f t="shared" si="1271"/>
        <v>0</v>
      </c>
      <c r="AW906" s="1">
        <f t="shared" si="1264"/>
        <v>0</v>
      </c>
      <c r="AX906" s="1">
        <f t="shared" si="1272"/>
        <v>0</v>
      </c>
      <c r="AY906" s="1">
        <f>MIN(20,MAX(0,O906+0+0-0))</f>
        <v>0</v>
      </c>
      <c r="AZ906" s="1">
        <f t="shared" si="1273"/>
        <v>1</v>
      </c>
      <c r="BA906" s="1">
        <f>MIN(6,Q906+1)</f>
        <v>1</v>
      </c>
      <c r="BB906" s="1">
        <f>MIN(30,R906+5)</f>
        <v>5</v>
      </c>
      <c r="BC906" s="1">
        <f t="shared" si="1261"/>
        <v>0</v>
      </c>
      <c r="BD906" s="1">
        <f t="shared" si="1242"/>
        <v>0</v>
      </c>
      <c r="BE906" s="1">
        <f>0</f>
        <v>0</v>
      </c>
      <c r="BF906" s="1">
        <f t="shared" si="1265"/>
        <v>0</v>
      </c>
      <c r="BG906" s="1">
        <f t="shared" si="1252"/>
        <v>0</v>
      </c>
      <c r="BH906" s="1">
        <f>MAX(X906,1)</f>
        <v>1</v>
      </c>
      <c r="BI906" s="1">
        <f t="shared" si="1253"/>
        <v>0</v>
      </c>
      <c r="BJ906" s="1">
        <f t="shared" si="1256"/>
        <v>0</v>
      </c>
      <c r="BK906" s="1">
        <f t="shared" si="1257"/>
        <v>0</v>
      </c>
      <c r="BL906" s="1">
        <f t="shared" si="1262"/>
        <v>0</v>
      </c>
      <c r="BM906" s="1">
        <f t="shared" si="1260"/>
        <v>0</v>
      </c>
      <c r="BN906" s="1">
        <f>0</f>
        <v>0</v>
      </c>
      <c r="BO906" s="1">
        <f>MAX(BN906,1)</f>
        <v>1</v>
      </c>
    </row>
    <row r="907" spans="1:67" ht="30.95" customHeight="1">
      <c r="A907" s="1">
        <f>25</f>
        <v>25</v>
      </c>
      <c r="B907" s="1">
        <f>固定流程!A7</f>
        <v>2</v>
      </c>
      <c r="C907" s="1">
        <f>28</f>
        <v>28</v>
      </c>
      <c r="D907" s="1">
        <f>1</f>
        <v>1</v>
      </c>
      <c r="E907" s="1">
        <f>固定流程!C7</f>
        <v>1</v>
      </c>
      <c r="F907" s="1">
        <f>固定流程!G7</f>
        <v>3</v>
      </c>
      <c r="G907" s="1" t="str">
        <f>固定流程!H7</f>
        <v>RHI_BUFF</v>
      </c>
      <c r="H907" s="1">
        <f>固定流程!F7</f>
        <v>1</v>
      </c>
      <c r="I907" s="1">
        <f>INDEX(配置与结果!$B$15:$B$18,F907)</f>
        <v>2597</v>
      </c>
      <c r="J907" s="1">
        <f>INDEX(配置与结果!$D$15:$D$18,F907)</f>
        <v>0.255</v>
      </c>
      <c r="K907" s="1">
        <f>INDEX(配置与结果!$E$15:$E$18,F907)</f>
        <v>1.55</v>
      </c>
      <c r="L907" s="1">
        <f t="shared" ref="L907:O912" si="1274">AV906</f>
        <v>0</v>
      </c>
      <c r="M907" s="1">
        <f t="shared" si="1274"/>
        <v>0</v>
      </c>
      <c r="N907" s="1">
        <f t="shared" si="1274"/>
        <v>0</v>
      </c>
      <c r="O907" s="1">
        <f t="shared" si="1274"/>
        <v>0</v>
      </c>
      <c r="P907" s="1">
        <f>MIN(方案参数!$AI$28,AZ906+0+方案参数!$AK$28)</f>
        <v>3</v>
      </c>
      <c r="Q907" s="1">
        <f t="shared" ref="Q907:Q941" si="1275">BA906</f>
        <v>1</v>
      </c>
      <c r="R907" s="1">
        <f t="shared" ref="R907:R941" si="1276">BB906</f>
        <v>5</v>
      </c>
      <c r="S907" s="1">
        <f t="shared" ref="S907:S941" si="1277">BC906</f>
        <v>0</v>
      </c>
      <c r="T907" s="1">
        <f t="shared" ref="T907:T920" si="1278">BD906+0</f>
        <v>0</v>
      </c>
      <c r="U907" s="1">
        <f t="shared" ref="U907:U941" si="1279">BE906</f>
        <v>0</v>
      </c>
      <c r="V907" s="1">
        <f t="shared" ref="V907:V941" si="1280">BF906</f>
        <v>0</v>
      </c>
      <c r="W907" s="1">
        <f t="shared" ref="W907:W941" si="1281">BG906</f>
        <v>0</v>
      </c>
      <c r="X907" s="1">
        <f t="shared" ref="X907:X941" si="1282">BH906</f>
        <v>1</v>
      </c>
      <c r="Y907" s="1">
        <f t="shared" ref="Y907:Y941" si="1283">BI906</f>
        <v>0</v>
      </c>
      <c r="Z907" s="1">
        <f t="shared" ref="Z907:Z941" si="1284">BJ906</f>
        <v>0</v>
      </c>
      <c r="AA907" s="1">
        <f t="shared" ref="AA907:AA912" si="1285">MAX(BK906,0)</f>
        <v>0</v>
      </c>
      <c r="AB907" s="1">
        <f t="shared" ref="AB907:AB941" si="1286">BL906</f>
        <v>0</v>
      </c>
      <c r="AC907" s="1">
        <f t="shared" ref="AC907:AC920" si="1287">MAX(BM906,0)</f>
        <v>0</v>
      </c>
      <c r="AD907" s="1">
        <f>ROUNDDOWN(I907*(1+IF(F907=3,0.05+方案参数!$Y$28+AA907*0.12,IF(F907=4,方案参数!$BZ$28*方案参数!$AS$28,0)))+IF(AND(X907=1,F907&lt;&gt;3),方案参数!$CC$28,0)+AC907*方案参数!$CB$28,0)</f>
        <v>2986</v>
      </c>
      <c r="AE907" s="1">
        <f>IF(OR(F907=1,F907=4),配置与结果!$B$24,配置与结果!$B$25)*MAX(0,1-INDEX(配置与结果!$I$15:$I$18,F907))</f>
        <v>1000</v>
      </c>
      <c r="AF907" s="1">
        <f>0</f>
        <v>0</v>
      </c>
      <c r="AG907" s="1">
        <f>MAX(配置与结果!$B$32,1+INDEX(配置与结果!$F$15:$F$18,F907)+0+Q907*方案参数!$W$28+Y907*(方案参数!$AN$28+MIN(方案参数!$AO$28,P907*0.03))+AB907*方案参数!$BZ$28*0.025-配置与结果!$B$28)</f>
        <v>0.65499999999999992</v>
      </c>
      <c r="AH907" s="1">
        <f>MAX(0,1+INDEX(配置与结果!$G$15:$G$18,F907)+W907*方案参数!$AG$28)</f>
        <v>1</v>
      </c>
      <c r="AI907" s="1">
        <f>IF(OR(INDEX(配置与结果!$K$15:$K$18,F907)=1,G907="RHI_BERRY"),1+配置与结果!$B$33+P907*方案参数!$AH$28,1)</f>
        <v>1</v>
      </c>
      <c r="AJ907" s="1">
        <f>MIN(1,MAX(0,J907+方案参数!$AB$28-配置与结果!$B$27))</f>
        <v>0.55499999999999994</v>
      </c>
      <c r="AK907" s="1">
        <f>MAX(1,K907+IF(F907=2,0.15+方案参数!$CH$28,0)+BN907*方案参数!$X$28+R907*方案参数!$AA$28+0-配置与结果!$B$26+Z907*(方案参数!$AP$28+MIN(方案参数!$AQ$28,P907*0.03)))</f>
        <v>1.33</v>
      </c>
      <c r="AL907" s="7">
        <f>ROUNDDOWN(MAX(AD907*配置与结果!$B$31,AD907-AE907)*AF907*AG907*AH907*AI907,0)</f>
        <v>0</v>
      </c>
      <c r="AM907" s="7">
        <f>ROUNDDOWN(MAX(AD907*配置与结果!$B$31,AD907-AE907)*AF907*AG907*AH907*AI907*AK907,0)</f>
        <v>0</v>
      </c>
      <c r="AN907" s="7">
        <f t="shared" si="1266"/>
        <v>0</v>
      </c>
      <c r="AO907" s="7">
        <f>0</f>
        <v>0</v>
      </c>
      <c r="AP907" s="7">
        <f>MAX(0,1+INDEX(配置与结果!$J$15:$J$18,F907)+IF(T907&gt;0,方案参数!$BY$28,0)-配置与结果!$B$30)</f>
        <v>1</v>
      </c>
      <c r="AQ907" s="7">
        <f t="shared" si="1267"/>
        <v>0</v>
      </c>
      <c r="AR907" s="7">
        <f t="shared" si="1268"/>
        <v>0</v>
      </c>
      <c r="AS907" s="7">
        <f t="shared" si="1269"/>
        <v>0</v>
      </c>
      <c r="AT907" s="7">
        <f>0</f>
        <v>0</v>
      </c>
      <c r="AU907" s="7">
        <f t="shared" si="1270"/>
        <v>0</v>
      </c>
      <c r="AV907" s="1">
        <f t="shared" si="1271"/>
        <v>0</v>
      </c>
      <c r="AW907" s="1">
        <f t="shared" si="1264"/>
        <v>0</v>
      </c>
      <c r="AX907" s="1">
        <f t="shared" si="1272"/>
        <v>0</v>
      </c>
      <c r="AY907" s="1">
        <f>MIN(20,MAX(0,O907+0+0-0))</f>
        <v>0</v>
      </c>
      <c r="AZ907" s="1">
        <f t="shared" si="1273"/>
        <v>3</v>
      </c>
      <c r="BA907" s="1">
        <f>MIN(6,Q907+1)</f>
        <v>2</v>
      </c>
      <c r="BB907" s="1">
        <f t="shared" ref="BB907:BB920" si="1288">MIN(30,R907+0)</f>
        <v>5</v>
      </c>
      <c r="BC907" s="1">
        <f t="shared" si="1261"/>
        <v>0</v>
      </c>
      <c r="BD907" s="1">
        <f t="shared" si="1242"/>
        <v>0</v>
      </c>
      <c r="BE907" s="1">
        <f t="shared" ref="BE907:BE928" si="1289">BE906</f>
        <v>0</v>
      </c>
      <c r="BF907" s="1">
        <f t="shared" si="1265"/>
        <v>0</v>
      </c>
      <c r="BG907" s="1">
        <f>MAX(W907,1)</f>
        <v>1</v>
      </c>
      <c r="BH907" s="1">
        <f t="shared" ref="BH907:BH941" si="1290">MAX(X907,0)</f>
        <v>1</v>
      </c>
      <c r="BI907" s="1">
        <f>MAX(Y907,1)</f>
        <v>1</v>
      </c>
      <c r="BJ907" s="1">
        <f t="shared" si="1256"/>
        <v>0</v>
      </c>
      <c r="BK907" s="1">
        <f t="shared" si="1257"/>
        <v>0</v>
      </c>
      <c r="BL907" s="1">
        <f t="shared" si="1262"/>
        <v>0</v>
      </c>
      <c r="BM907" s="1">
        <f t="shared" si="1260"/>
        <v>0</v>
      </c>
      <c r="BN907" s="1">
        <f t="shared" ref="BN907:BN941" si="1291">BO906</f>
        <v>1</v>
      </c>
      <c r="BO907" s="1">
        <f t="shared" ref="BO907:BO941" si="1292">MAX(BN907,0)</f>
        <v>1</v>
      </c>
    </row>
    <row r="908" spans="1:67" ht="30.95" customHeight="1">
      <c r="A908" s="1">
        <f>25</f>
        <v>25</v>
      </c>
      <c r="B908" s="1">
        <f>固定流程!A8</f>
        <v>3</v>
      </c>
      <c r="C908" s="1">
        <f>28</f>
        <v>28</v>
      </c>
      <c r="D908" s="1">
        <f>1</f>
        <v>1</v>
      </c>
      <c r="E908" s="1">
        <f>固定流程!C8</f>
        <v>1</v>
      </c>
      <c r="F908" s="1">
        <f>固定流程!G8</f>
        <v>1</v>
      </c>
      <c r="G908" s="1" t="str">
        <f>固定流程!H8</f>
        <v>LILYA_COBRA</v>
      </c>
      <c r="H908" s="1">
        <f>固定流程!F8</f>
        <v>1</v>
      </c>
      <c r="I908" s="1">
        <f>INDEX(配置与结果!$B$15:$B$18,F908)</f>
        <v>2296</v>
      </c>
      <c r="J908" s="1">
        <f>INDEX(配置与结果!$D$15:$D$18,F908)</f>
        <v>0.7</v>
      </c>
      <c r="K908" s="1">
        <f>INDEX(配置与结果!$E$15:$E$18,F908)</f>
        <v>2.0249999999999999</v>
      </c>
      <c r="L908" s="1">
        <f t="shared" si="1274"/>
        <v>0</v>
      </c>
      <c r="M908" s="1">
        <f t="shared" si="1274"/>
        <v>0</v>
      </c>
      <c r="N908" s="1">
        <f t="shared" si="1274"/>
        <v>0</v>
      </c>
      <c r="O908" s="1">
        <f t="shared" si="1274"/>
        <v>0</v>
      </c>
      <c r="P908" s="1">
        <f>MIN(方案参数!$AI$28,AZ907+0+0)</f>
        <v>3</v>
      </c>
      <c r="Q908" s="1">
        <f t="shared" si="1275"/>
        <v>2</v>
      </c>
      <c r="R908" s="1">
        <f t="shared" si="1276"/>
        <v>5</v>
      </c>
      <c r="S908" s="1">
        <f t="shared" si="1277"/>
        <v>0</v>
      </c>
      <c r="T908" s="1">
        <f t="shared" si="1278"/>
        <v>0</v>
      </c>
      <c r="U908" s="1">
        <f t="shared" si="1279"/>
        <v>0</v>
      </c>
      <c r="V908" s="1">
        <f t="shared" si="1280"/>
        <v>0</v>
      </c>
      <c r="W908" s="1">
        <f t="shared" si="1281"/>
        <v>1</v>
      </c>
      <c r="X908" s="1">
        <f t="shared" si="1282"/>
        <v>1</v>
      </c>
      <c r="Y908" s="1">
        <f t="shared" si="1283"/>
        <v>1</v>
      </c>
      <c r="Z908" s="1">
        <f t="shared" si="1284"/>
        <v>0</v>
      </c>
      <c r="AA908" s="1">
        <f t="shared" si="1285"/>
        <v>0</v>
      </c>
      <c r="AB908" s="1">
        <f t="shared" si="1286"/>
        <v>0</v>
      </c>
      <c r="AC908" s="1">
        <f t="shared" si="1287"/>
        <v>0</v>
      </c>
      <c r="AD908" s="1">
        <f>ROUNDDOWN(I908*(1+IF(F908=3,0.05+方案参数!$Y$28+AA908*0.12,IF(F908=4,方案参数!$BZ$28*方案参数!$AS$28,0)))+IF(AND(X908=1,F908&lt;&gt;3),方案参数!$CC$28,0)+AC908*方案参数!$CB$28,0)</f>
        <v>2534</v>
      </c>
      <c r="AE908" s="1">
        <f>IF(OR(F908=1,F908=4),配置与结果!$B$24,配置与结果!$B$25)*MAX(0,1-INDEX(配置与结果!$I$15:$I$18,F908))</f>
        <v>1200</v>
      </c>
      <c r="AF908" s="1">
        <f>0</f>
        <v>0</v>
      </c>
      <c r="AG908" s="1">
        <f>MAX(配置与结果!$B$32,1+INDEX(配置与结果!$F$15:$F$18,F908)+0.08+方案参数!$CD$28+Q908*方案参数!$W$28+Y908*(方案参数!$AN$28+MIN(方案参数!$AO$28,P908*0.03))+AB908*方案参数!$BZ$28*0.025-配置与结果!$B$28)</f>
        <v>1.2200000000000002</v>
      </c>
      <c r="AH908" s="1">
        <f>MAX(0,1+INDEX(配置与结果!$G$15:$G$18,F908)+W908*方案参数!$AG$28)</f>
        <v>1.3</v>
      </c>
      <c r="AI908" s="1">
        <f>IF(OR(INDEX(配置与结果!$K$15:$K$18,F908)=1,G908="RHI_BERRY"),1+配置与结果!$B$33+P908*方案参数!$AH$28,1)</f>
        <v>1</v>
      </c>
      <c r="AJ908" s="1">
        <f>MIN(1,MAX(0,J908+方案参数!$AB$28-配置与结果!$B$27))</f>
        <v>1</v>
      </c>
      <c r="AK908" s="1">
        <f>MAX(1,K908+IF(F908=2,0.15+方案参数!$CH$28,0)+BN908*方案参数!$X$28+R908*方案参数!$AA$28+0-配置与结果!$B$26+Z908*(方案参数!$AP$28+MIN(方案参数!$AQ$28,P908*0.03)))</f>
        <v>1.8050000000000002</v>
      </c>
      <c r="AL908" s="7">
        <f>ROUNDDOWN(MAX(AD908*配置与结果!$B$31,AD908-AE908)*AF908*AG908*AH908*AI908,0)</f>
        <v>0</v>
      </c>
      <c r="AM908" s="7">
        <f>ROUNDDOWN(MAX(AD908*配置与结果!$B$31,AD908-AE908)*AF908*AG908*AH908*AI908*AK908,0)</f>
        <v>0</v>
      </c>
      <c r="AN908" s="7">
        <f t="shared" si="1266"/>
        <v>0</v>
      </c>
      <c r="AO908" s="7">
        <f>0</f>
        <v>0</v>
      </c>
      <c r="AP908" s="7">
        <f>MAX(0,1+INDEX(配置与结果!$J$15:$J$18,F908)+IF(T908&gt;0,方案参数!$BY$28,0)-配置与结果!$B$30)</f>
        <v>1</v>
      </c>
      <c r="AQ908" s="7">
        <f t="shared" si="1267"/>
        <v>0</v>
      </c>
      <c r="AR908" s="7">
        <f t="shared" si="1268"/>
        <v>0</v>
      </c>
      <c r="AS908" s="7">
        <f t="shared" si="1269"/>
        <v>0</v>
      </c>
      <c r="AT908" s="7">
        <f>0</f>
        <v>0</v>
      </c>
      <c r="AU908" s="7">
        <f t="shared" si="1270"/>
        <v>0</v>
      </c>
      <c r="AV908" s="1">
        <f t="shared" si="1271"/>
        <v>1</v>
      </c>
      <c r="AW908" s="1">
        <f>MIN(10,M908+方案参数!$BD$28+0)</f>
        <v>3</v>
      </c>
      <c r="AX908" s="1">
        <f t="shared" si="1272"/>
        <v>0</v>
      </c>
      <c r="AY908" s="1">
        <f>MIN(20,MAX(0,O908+6+0-0))</f>
        <v>6</v>
      </c>
      <c r="AZ908" s="1">
        <f t="shared" si="1273"/>
        <v>3</v>
      </c>
      <c r="BA908" s="1">
        <f>MIN(6,Q908+0)</f>
        <v>2</v>
      </c>
      <c r="BB908" s="1">
        <f t="shared" si="1288"/>
        <v>5</v>
      </c>
      <c r="BC908" s="1">
        <f t="shared" si="1261"/>
        <v>0</v>
      </c>
      <c r="BD908" s="1">
        <f t="shared" si="1242"/>
        <v>0</v>
      </c>
      <c r="BE908" s="1">
        <f t="shared" si="1289"/>
        <v>0</v>
      </c>
      <c r="BF908" s="1">
        <f t="shared" si="1265"/>
        <v>0</v>
      </c>
      <c r="BG908" s="1">
        <f t="shared" ref="BG908:BG918" si="1293">MAX(W908,0)</f>
        <v>1</v>
      </c>
      <c r="BH908" s="1">
        <f t="shared" si="1290"/>
        <v>1</v>
      </c>
      <c r="BI908" s="1">
        <f t="shared" ref="BI908:BI918" si="1294">MAX(Y908,0)</f>
        <v>1</v>
      </c>
      <c r="BJ908" s="1">
        <f t="shared" si="1256"/>
        <v>0</v>
      </c>
      <c r="BK908" s="1">
        <f t="shared" si="1257"/>
        <v>0</v>
      </c>
      <c r="BL908" s="1">
        <f t="shared" si="1262"/>
        <v>0</v>
      </c>
      <c r="BM908" s="1">
        <f t="shared" si="1260"/>
        <v>0</v>
      </c>
      <c r="BN908" s="1">
        <f t="shared" si="1291"/>
        <v>1</v>
      </c>
      <c r="BO908" s="1">
        <f t="shared" si="1292"/>
        <v>1</v>
      </c>
    </row>
    <row r="909" spans="1:67" ht="30.95" customHeight="1">
      <c r="A909" s="1">
        <f>25</f>
        <v>25</v>
      </c>
      <c r="B909" s="1">
        <f>固定流程!A9</f>
        <v>4</v>
      </c>
      <c r="C909" s="1">
        <f>28</f>
        <v>28</v>
      </c>
      <c r="D909" s="1">
        <f>1</f>
        <v>1</v>
      </c>
      <c r="E909" s="1">
        <f>固定流程!C9</f>
        <v>1</v>
      </c>
      <c r="F909" s="1">
        <f>固定流程!G9</f>
        <v>1</v>
      </c>
      <c r="G909" s="1" t="str">
        <f>固定流程!H9</f>
        <v>LILYA_DIVE</v>
      </c>
      <c r="H909" s="1">
        <f>固定流程!F9</f>
        <v>1</v>
      </c>
      <c r="I909" s="1">
        <f>INDEX(配置与结果!$B$15:$B$18,F909)</f>
        <v>2296</v>
      </c>
      <c r="J909" s="1">
        <f>INDEX(配置与结果!$D$15:$D$18,F909)</f>
        <v>0.7</v>
      </c>
      <c r="K909" s="1">
        <f>INDEX(配置与结果!$E$15:$E$18,F909)</f>
        <v>2.0249999999999999</v>
      </c>
      <c r="L909" s="1">
        <f t="shared" si="1274"/>
        <v>1</v>
      </c>
      <c r="M909" s="1">
        <f t="shared" si="1274"/>
        <v>3</v>
      </c>
      <c r="N909" s="1">
        <f t="shared" si="1274"/>
        <v>0</v>
      </c>
      <c r="O909" s="1">
        <f t="shared" si="1274"/>
        <v>6</v>
      </c>
      <c r="P909" s="1">
        <f>MIN(方案参数!$AI$28,AZ908+0+0)</f>
        <v>3</v>
      </c>
      <c r="Q909" s="1">
        <f t="shared" si="1275"/>
        <v>2</v>
      </c>
      <c r="R909" s="1">
        <f t="shared" si="1276"/>
        <v>5</v>
      </c>
      <c r="S909" s="1">
        <f t="shared" si="1277"/>
        <v>0</v>
      </c>
      <c r="T909" s="1">
        <f t="shared" si="1278"/>
        <v>0</v>
      </c>
      <c r="U909" s="1">
        <f t="shared" si="1279"/>
        <v>0</v>
      </c>
      <c r="V909" s="1">
        <f t="shared" si="1280"/>
        <v>0</v>
      </c>
      <c r="W909" s="1">
        <f t="shared" si="1281"/>
        <v>1</v>
      </c>
      <c r="X909" s="1">
        <f t="shared" si="1282"/>
        <v>1</v>
      </c>
      <c r="Y909" s="1">
        <f t="shared" si="1283"/>
        <v>1</v>
      </c>
      <c r="Z909" s="1">
        <f t="shared" si="1284"/>
        <v>0</v>
      </c>
      <c r="AA909" s="1">
        <f t="shared" si="1285"/>
        <v>0</v>
      </c>
      <c r="AB909" s="1">
        <f t="shared" si="1286"/>
        <v>0</v>
      </c>
      <c r="AC909" s="1">
        <f t="shared" si="1287"/>
        <v>0</v>
      </c>
      <c r="AD909" s="1">
        <f>ROUNDDOWN(I909*(1+IF(F909=3,0.05+方案参数!$Y$28+AA909*0.12,IF(F909=4,方案参数!$BZ$28*方案参数!$AS$28,0)))+IF(AND(X909=1,F909&lt;&gt;3),方案参数!$CC$28,0)+AC909*方案参数!$CB$28,0)</f>
        <v>2534</v>
      </c>
      <c r="AE909" s="1">
        <f>IF(OR(F909=1,F909=4),配置与结果!$B$24,配置与结果!$B$25)*MAX(0,1-INDEX(配置与结果!$I$15:$I$18,F909))</f>
        <v>1200</v>
      </c>
      <c r="AF909" s="1">
        <f>(IF(L909=1,方案参数!$AW$28,IF(L909=2,方案参数!$AX$28,0))+方案参数!$AV$28)*H909</f>
        <v>6</v>
      </c>
      <c r="AG909" s="1">
        <f>MAX(配置与结果!$B$32,1+INDEX(配置与结果!$F$15:$F$18,F909)+0.08+方案参数!$CD$28+Q909*方案参数!$W$28+Y909*(方案参数!$AN$28+MIN(方案参数!$AO$28,P909*0.03))+AB909*方案参数!$BZ$28*0.025+IF(L909=1,方案参数!$AY$28+(H909-1)*0.1,IF(L909=2,方案参数!$AZ$28+(H909-1)*0.2,0))-配置与结果!$B$28)</f>
        <v>1.3200000000000003</v>
      </c>
      <c r="AH909" s="1">
        <f>MAX(0,1+INDEX(配置与结果!$G$15:$G$18,F909)+W909*方案参数!$AG$28+IF(L909=1,方案参数!$BA$28,IF(L909=2,方案参数!$BB$28,0))+M909*方案参数!$BC$28)</f>
        <v>2.08</v>
      </c>
      <c r="AI909" s="1">
        <f>IF(OR(INDEX(配置与结果!$K$15:$K$18,F909)=1,G909="RHI_BERRY"),1+配置与结果!$B$33+P909*方案参数!$AH$28,1)</f>
        <v>1</v>
      </c>
      <c r="AJ909" s="1">
        <f>MIN(1,MAX(0,J909+方案参数!$AB$28-配置与结果!$B$27))</f>
        <v>1</v>
      </c>
      <c r="AK909" s="1">
        <f>MAX(1,K909+IF(F909=2,0.15+方案参数!$CH$28,0)+BN909*方案参数!$X$28+R909*方案参数!$AA$28+0-配置与结果!$B$26+Z909*(方案参数!$AP$28+MIN(方案参数!$AQ$28,P909*0.03)))</f>
        <v>1.8050000000000002</v>
      </c>
      <c r="AL909" s="7">
        <f>ROUNDDOWN(MAX(AD909*配置与结果!$B$31,AD909-AE909)*AF909*AG909*AH909*AI909,0)</f>
        <v>21975</v>
      </c>
      <c r="AM909" s="7">
        <f>ROUNDDOWN(MAX(AD909*配置与结果!$B$31,AD909-AE909)*AF909*AG909*AH909*AI909*AK909,0)</f>
        <v>39666</v>
      </c>
      <c r="AN909" s="7">
        <f t="shared" si="1266"/>
        <v>39666</v>
      </c>
      <c r="AO909" s="7">
        <f>0</f>
        <v>0</v>
      </c>
      <c r="AP909" s="7">
        <f>MAX(0,1+INDEX(配置与结果!$J$15:$J$18,F909)+IF(T909&gt;0,方案参数!$BY$28,0)-配置与结果!$B$30)</f>
        <v>1</v>
      </c>
      <c r="AQ909" s="7">
        <f t="shared" si="1267"/>
        <v>0</v>
      </c>
      <c r="AR909" s="7">
        <f t="shared" si="1268"/>
        <v>0</v>
      </c>
      <c r="AS909" s="7">
        <f t="shared" si="1269"/>
        <v>0</v>
      </c>
      <c r="AT909" s="7">
        <f>0</f>
        <v>0</v>
      </c>
      <c r="AU909" s="7">
        <f t="shared" si="1270"/>
        <v>39666</v>
      </c>
      <c r="AV909" s="1">
        <f t="shared" si="1271"/>
        <v>1</v>
      </c>
      <c r="AW909" s="1">
        <f>MIN(10,M909+0+IF(L909=1,方案参数!$BE$28,0))</f>
        <v>4</v>
      </c>
      <c r="AX909" s="1">
        <f t="shared" si="1272"/>
        <v>0</v>
      </c>
      <c r="AY909" s="1">
        <f t="shared" ref="AY909:AY924" si="1295">MIN(20,MAX(0,O909+0+0-0))</f>
        <v>6</v>
      </c>
      <c r="AZ909" s="1">
        <f t="shared" si="1273"/>
        <v>3</v>
      </c>
      <c r="BA909" s="1">
        <f>MIN(6,Q909+0)</f>
        <v>2</v>
      </c>
      <c r="BB909" s="1">
        <f t="shared" si="1288"/>
        <v>5</v>
      </c>
      <c r="BC909" s="1">
        <f t="shared" si="1261"/>
        <v>0</v>
      </c>
      <c r="BD909" s="1">
        <f t="shared" si="1242"/>
        <v>0</v>
      </c>
      <c r="BE909" s="1">
        <f t="shared" si="1289"/>
        <v>0</v>
      </c>
      <c r="BF909" s="1">
        <f t="shared" si="1265"/>
        <v>0</v>
      </c>
      <c r="BG909" s="1">
        <f t="shared" si="1293"/>
        <v>1</v>
      </c>
      <c r="BH909" s="1">
        <f t="shared" si="1290"/>
        <v>1</v>
      </c>
      <c r="BI909" s="1">
        <f t="shared" si="1294"/>
        <v>1</v>
      </c>
      <c r="BJ909" s="1">
        <f t="shared" si="1256"/>
        <v>0</v>
      </c>
      <c r="BK909" s="1">
        <f t="shared" si="1257"/>
        <v>0</v>
      </c>
      <c r="BL909" s="1">
        <f t="shared" si="1262"/>
        <v>0</v>
      </c>
      <c r="BM909" s="1">
        <f t="shared" si="1260"/>
        <v>0</v>
      </c>
      <c r="BN909" s="1">
        <f t="shared" si="1291"/>
        <v>1</v>
      </c>
      <c r="BO909" s="1">
        <f t="shared" si="1292"/>
        <v>1</v>
      </c>
    </row>
    <row r="910" spans="1:67" ht="30.95" customHeight="1">
      <c r="A910" s="1">
        <f>25</f>
        <v>25</v>
      </c>
      <c r="B910" s="1">
        <f>固定流程!A10</f>
        <v>5</v>
      </c>
      <c r="C910" s="1">
        <f>28</f>
        <v>28</v>
      </c>
      <c r="D910" s="1">
        <f>1</f>
        <v>1</v>
      </c>
      <c r="E910" s="1">
        <f>固定流程!C10</f>
        <v>1</v>
      </c>
      <c r="F910" s="1">
        <f>固定流程!G10</f>
        <v>2</v>
      </c>
      <c r="G910" s="1" t="str">
        <f>固定流程!H10</f>
        <v>37_TRIANGLE</v>
      </c>
      <c r="H910" s="1">
        <f>固定流程!F10</f>
        <v>1</v>
      </c>
      <c r="I910" s="1">
        <f>INDEX(配置与结果!$B$15:$B$18,F910)</f>
        <v>2306</v>
      </c>
      <c r="J910" s="1">
        <f>INDEX(配置与结果!$D$15:$D$18,F910)</f>
        <v>0.46</v>
      </c>
      <c r="K910" s="1">
        <f>INDEX(配置与结果!$E$15:$E$18,F910)</f>
        <v>1.9279999999999999</v>
      </c>
      <c r="L910" s="1">
        <f t="shared" si="1274"/>
        <v>1</v>
      </c>
      <c r="M910" s="1">
        <f t="shared" si="1274"/>
        <v>4</v>
      </c>
      <c r="N910" s="1">
        <f t="shared" si="1274"/>
        <v>0</v>
      </c>
      <c r="O910" s="1">
        <f t="shared" si="1274"/>
        <v>6</v>
      </c>
      <c r="P910" s="1">
        <f>MIN(方案参数!$AI$28,AZ909+0+0)</f>
        <v>3</v>
      </c>
      <c r="Q910" s="1">
        <f t="shared" si="1275"/>
        <v>2</v>
      </c>
      <c r="R910" s="1">
        <f t="shared" si="1276"/>
        <v>5</v>
      </c>
      <c r="S910" s="1">
        <f t="shared" si="1277"/>
        <v>0</v>
      </c>
      <c r="T910" s="1">
        <f t="shared" si="1278"/>
        <v>0</v>
      </c>
      <c r="U910" s="1">
        <f t="shared" si="1279"/>
        <v>0</v>
      </c>
      <c r="V910" s="1">
        <f t="shared" si="1280"/>
        <v>0</v>
      </c>
      <c r="W910" s="1">
        <f t="shared" si="1281"/>
        <v>1</v>
      </c>
      <c r="X910" s="1">
        <f t="shared" si="1282"/>
        <v>1</v>
      </c>
      <c r="Y910" s="1">
        <f t="shared" si="1283"/>
        <v>1</v>
      </c>
      <c r="Z910" s="1">
        <f t="shared" si="1284"/>
        <v>0</v>
      </c>
      <c r="AA910" s="1">
        <f t="shared" si="1285"/>
        <v>0</v>
      </c>
      <c r="AB910" s="1">
        <f t="shared" si="1286"/>
        <v>0</v>
      </c>
      <c r="AC910" s="1">
        <f t="shared" si="1287"/>
        <v>0</v>
      </c>
      <c r="AD910" s="1">
        <f>ROUNDDOWN(I910*(1+IF(F910=3,0.05+方案参数!$Y$28+AA910*0.12,IF(F910=4,方案参数!$BZ$28*方案参数!$AS$28,0)))+IF(AND(X910=1,F910&lt;&gt;3),方案参数!$CC$28,0)+AC910*方案参数!$CB$28,0)</f>
        <v>2544</v>
      </c>
      <c r="AE910" s="1">
        <f>IF(OR(F910=1,F910=4),配置与结果!$B$24,配置与结果!$B$25)*MAX(0,1-INDEX(配置与结果!$I$15:$I$18,F910))</f>
        <v>1000</v>
      </c>
      <c r="AF910" s="1">
        <f>方案参数!$BS$28*IF(H910=1,1,IF(H910=2,1.5,2.5))</f>
        <v>2.8</v>
      </c>
      <c r="AG910" s="1">
        <f>MAX(配置与结果!$B$32,1+INDEX(配置与结果!$F$15:$F$18,F910)+0+Q910*方案参数!$W$28+Y910*(方案参数!$AN$28+MIN(方案参数!$AO$28,P910*0.03))+AB910*方案参数!$BZ$28*0.025-配置与结果!$B$28)</f>
        <v>0.8849999999999999</v>
      </c>
      <c r="AH910" s="1">
        <f>MAX(0,1+INDEX(配置与结果!$G$15:$G$18,F910)+W910*方案参数!$AG$28)</f>
        <v>1.3</v>
      </c>
      <c r="AI910" s="1">
        <f>IF(OR(INDEX(配置与结果!$K$15:$K$18,F910)=1,G910="RHI_BERRY"),1+配置与结果!$B$33+P910*方案参数!$AH$28,1)</f>
        <v>1</v>
      </c>
      <c r="AJ910" s="1">
        <f>MIN(1,MAX(0,J910+方案参数!$AB$28-配置与结果!$B$27))</f>
        <v>0.76</v>
      </c>
      <c r="AK910" s="1">
        <f>MAX(1,K910+IF(F910=2,0.15+方案参数!$CH$28,0)+BN910*方案参数!$X$28+R910*方案参数!$AA$28+0-配置与结果!$B$26+Z910*(方案参数!$AP$28+MIN(方案参数!$AQ$28,P910*0.03)))</f>
        <v>1.9780000000000002</v>
      </c>
      <c r="AL910" s="7">
        <f>ROUNDDOWN(MAX(AD910*配置与结果!$B$31,AD910-AE910)*AF910*AG910*AH910*AI910,0)</f>
        <v>4973</v>
      </c>
      <c r="AM910" s="7">
        <f>ROUNDDOWN(MAX(AD910*配置与结果!$B$31,AD910-AE910)*AF910*AG910*AH910*AI910*AK910,0)</f>
        <v>9838</v>
      </c>
      <c r="AN910" s="7">
        <f t="shared" si="1266"/>
        <v>8670.4</v>
      </c>
      <c r="AO910" s="7">
        <f>方案参数!$BU$28*IF(H910=1,1,IF(H910=2,1.5,2.5))</f>
        <v>0.8</v>
      </c>
      <c r="AP910" s="7">
        <f>MAX(0,1+INDEX(配置与结果!$J$15:$J$18,F910)+IF(T910&gt;0,方案参数!$BY$28,0)-配置与结果!$B$30)</f>
        <v>1</v>
      </c>
      <c r="AQ910" s="7">
        <f t="shared" si="1267"/>
        <v>2035</v>
      </c>
      <c r="AR910" s="7">
        <f t="shared" si="1268"/>
        <v>4025</v>
      </c>
      <c r="AS910" s="7">
        <f t="shared" si="1269"/>
        <v>3547.4</v>
      </c>
      <c r="AT910" s="7">
        <f>0</f>
        <v>0</v>
      </c>
      <c r="AU910" s="7">
        <f t="shared" si="1270"/>
        <v>12217.8</v>
      </c>
      <c r="AV910" s="1">
        <f t="shared" si="1271"/>
        <v>1</v>
      </c>
      <c r="AW910" s="1">
        <f>MIN(10,M910+0+0)</f>
        <v>4</v>
      </c>
      <c r="AX910" s="1">
        <f t="shared" si="1272"/>
        <v>0</v>
      </c>
      <c r="AY910" s="1">
        <f t="shared" si="1295"/>
        <v>6</v>
      </c>
      <c r="AZ910" s="1">
        <f t="shared" si="1273"/>
        <v>3</v>
      </c>
      <c r="BA910" s="1">
        <f>MIN(6,Q910+0)</f>
        <v>2</v>
      </c>
      <c r="BB910" s="1">
        <f t="shared" si="1288"/>
        <v>5</v>
      </c>
      <c r="BC910" s="1">
        <f t="shared" si="1261"/>
        <v>0</v>
      </c>
      <c r="BD910" s="1">
        <f>MAX(0,T910-IF(AO910&gt;0,1,0))+1</f>
        <v>1</v>
      </c>
      <c r="BE910" s="1">
        <f t="shared" si="1289"/>
        <v>0</v>
      </c>
      <c r="BF910" s="1">
        <f t="shared" si="1265"/>
        <v>0</v>
      </c>
      <c r="BG910" s="1">
        <f t="shared" si="1293"/>
        <v>1</v>
      </c>
      <c r="BH910" s="1">
        <f t="shared" si="1290"/>
        <v>1</v>
      </c>
      <c r="BI910" s="1">
        <f t="shared" si="1294"/>
        <v>1</v>
      </c>
      <c r="BJ910" s="1">
        <f t="shared" si="1256"/>
        <v>0</v>
      </c>
      <c r="BK910" s="1">
        <f t="shared" si="1257"/>
        <v>0</v>
      </c>
      <c r="BL910" s="1">
        <f t="shared" si="1262"/>
        <v>0</v>
      </c>
      <c r="BM910" s="1">
        <f t="shared" si="1260"/>
        <v>0</v>
      </c>
      <c r="BN910" s="1">
        <f t="shared" si="1291"/>
        <v>1</v>
      </c>
      <c r="BO910" s="1">
        <f t="shared" si="1292"/>
        <v>1</v>
      </c>
    </row>
    <row r="911" spans="1:67" ht="30.95" customHeight="1">
      <c r="A911" s="1">
        <f>25</f>
        <v>25</v>
      </c>
      <c r="B911" s="1">
        <f>固定流程!A11</f>
        <v>6</v>
      </c>
      <c r="C911" s="1">
        <f>28</f>
        <v>28</v>
      </c>
      <c r="D911" s="1">
        <f>1</f>
        <v>1</v>
      </c>
      <c r="E911" s="1">
        <f>固定流程!C11</f>
        <v>1</v>
      </c>
      <c r="F911" s="1">
        <f>固定流程!G11</f>
        <v>2</v>
      </c>
      <c r="G911" s="1" t="str">
        <f>固定流程!H11</f>
        <v>37_FOLLOW</v>
      </c>
      <c r="H911" s="1">
        <f>固定流程!F11</f>
        <v>1</v>
      </c>
      <c r="I911" s="1">
        <f>INDEX(配置与结果!$B$15:$B$18,F911)</f>
        <v>2306</v>
      </c>
      <c r="J911" s="1">
        <f>INDEX(配置与结果!$D$15:$D$18,F911)</f>
        <v>0.46</v>
      </c>
      <c r="K911" s="1">
        <f>INDEX(配置与结果!$E$15:$E$18,F911)</f>
        <v>1.9279999999999999</v>
      </c>
      <c r="L911" s="1">
        <f t="shared" si="1274"/>
        <v>1</v>
      </c>
      <c r="M911" s="1">
        <f t="shared" si="1274"/>
        <v>4</v>
      </c>
      <c r="N911" s="1">
        <f t="shared" si="1274"/>
        <v>0</v>
      </c>
      <c r="O911" s="1">
        <f t="shared" si="1274"/>
        <v>6</v>
      </c>
      <c r="P911" s="1">
        <f>MIN(方案参数!$AI$28,AZ910+0+0)</f>
        <v>3</v>
      </c>
      <c r="Q911" s="1">
        <f t="shared" si="1275"/>
        <v>2</v>
      </c>
      <c r="R911" s="1">
        <f t="shared" si="1276"/>
        <v>5</v>
      </c>
      <c r="S911" s="1">
        <f t="shared" si="1277"/>
        <v>0</v>
      </c>
      <c r="T911" s="1">
        <f t="shared" si="1278"/>
        <v>1</v>
      </c>
      <c r="U911" s="1">
        <f t="shared" si="1279"/>
        <v>0</v>
      </c>
      <c r="V911" s="1">
        <f t="shared" si="1280"/>
        <v>0</v>
      </c>
      <c r="W911" s="1">
        <f t="shared" si="1281"/>
        <v>1</v>
      </c>
      <c r="X911" s="1">
        <f t="shared" si="1282"/>
        <v>1</v>
      </c>
      <c r="Y911" s="1">
        <f t="shared" si="1283"/>
        <v>1</v>
      </c>
      <c r="Z911" s="1">
        <f t="shared" si="1284"/>
        <v>0</v>
      </c>
      <c r="AA911" s="1">
        <f t="shared" si="1285"/>
        <v>0</v>
      </c>
      <c r="AB911" s="1">
        <f t="shared" si="1286"/>
        <v>0</v>
      </c>
      <c r="AC911" s="1">
        <f t="shared" si="1287"/>
        <v>0</v>
      </c>
      <c r="AD911" s="1">
        <f>ROUNDDOWN(I911*(1+IF(F911=3,0.05+方案参数!$Y$28+AA911*0.12,IF(F911=4,方案参数!$BZ$28*方案参数!$AS$28,0)))+IF(AND(X911=1,F911&lt;&gt;3),方案参数!$CC$28,0)+AC911*方案参数!$CB$28,0)</f>
        <v>2544</v>
      </c>
      <c r="AE911" s="1">
        <f>IF(OR(F911=1,F911=4),配置与结果!$B$24,配置与结果!$B$25)*MAX(0,1-INDEX(配置与结果!$I$15:$I$18,F911))</f>
        <v>1000</v>
      </c>
      <c r="AF911" s="1">
        <f>方案参数!$BV$28</f>
        <v>3</v>
      </c>
      <c r="AG911" s="1">
        <f>MAX(配置与结果!$B$32,1+INDEX(配置与结果!$F$15:$F$18,F911)+0+Q911*方案参数!$W$28+Y911*(方案参数!$AN$28+MIN(方案参数!$AO$28,P911*0.03))+AB911*方案参数!$BZ$28*0.025-配置与结果!$B$28)</f>
        <v>0.8849999999999999</v>
      </c>
      <c r="AH911" s="1">
        <f>MAX(0,1+INDEX(配置与结果!$G$15:$G$18,F911)+W911*方案参数!$AG$28)</f>
        <v>1.3</v>
      </c>
      <c r="AI911" s="1">
        <f>IF(OR(INDEX(配置与结果!$K$15:$K$18,F911)=1,G911="RHI_BERRY"),1+配置与结果!$B$33+P911*方案参数!$AH$28,1)</f>
        <v>1</v>
      </c>
      <c r="AJ911" s="1">
        <f>MIN(1,MAX(0,J911+方案参数!$AB$28-配置与结果!$B$27))</f>
        <v>0.76</v>
      </c>
      <c r="AK911" s="1">
        <f>MAX(1,K911+IF(F911=2,0.15+方案参数!$CH$28,0)+BN911*方案参数!$X$28+R911*方案参数!$AA$28+0-配置与结果!$B$26+Z911*(方案参数!$AP$28+MIN(方案参数!$AQ$28,P911*0.03)))</f>
        <v>1.9780000000000002</v>
      </c>
      <c r="AL911" s="7">
        <f>ROUNDDOWN(MAX(AD911*配置与结果!$B$31,AD911-AE911)*AF911*AG911*AH911*AI911,0)</f>
        <v>5329</v>
      </c>
      <c r="AM911" s="7">
        <f>ROUNDDOWN(MAX(AD911*配置与结果!$B$31,AD911-AE911)*AF911*AG911*AH911*AI911*AK911,0)</f>
        <v>10540</v>
      </c>
      <c r="AN911" s="7">
        <f t="shared" si="1266"/>
        <v>9289.36</v>
      </c>
      <c r="AO911" s="7">
        <f>方案参数!$BW$28</f>
        <v>1</v>
      </c>
      <c r="AP911" s="7">
        <f>MAX(0,1+INDEX(配置与结果!$J$15:$J$18,F911)+IF(T911&gt;0,方案参数!$BY$28,0)-配置与结果!$B$30)</f>
        <v>2</v>
      </c>
      <c r="AQ911" s="7">
        <f t="shared" si="1267"/>
        <v>5088</v>
      </c>
      <c r="AR911" s="7">
        <f t="shared" si="1268"/>
        <v>10064</v>
      </c>
      <c r="AS911" s="7">
        <f t="shared" si="1269"/>
        <v>8869.76</v>
      </c>
      <c r="AT911" s="7">
        <f>0</f>
        <v>0</v>
      </c>
      <c r="AU911" s="7">
        <f t="shared" si="1270"/>
        <v>18159.120000000003</v>
      </c>
      <c r="AV911" s="1">
        <f t="shared" si="1271"/>
        <v>1</v>
      </c>
      <c r="AW911" s="1">
        <f>MIN(10,M911+0+0)</f>
        <v>4</v>
      </c>
      <c r="AX911" s="1">
        <f t="shared" si="1272"/>
        <v>0</v>
      </c>
      <c r="AY911" s="1">
        <f t="shared" si="1295"/>
        <v>6</v>
      </c>
      <c r="AZ911" s="1">
        <f t="shared" si="1273"/>
        <v>3</v>
      </c>
      <c r="BA911" s="1">
        <f>MIN(6,Q911+0)</f>
        <v>2</v>
      </c>
      <c r="BB911" s="1">
        <f t="shared" si="1288"/>
        <v>5</v>
      </c>
      <c r="BC911" s="1">
        <f t="shared" si="1261"/>
        <v>0</v>
      </c>
      <c r="BD911" s="1">
        <f t="shared" ref="BD911:BD945" si="1296">MAX(0,T911-IF(AO911&gt;0,1,0))+0</f>
        <v>0</v>
      </c>
      <c r="BE911" s="1">
        <f t="shared" si="1289"/>
        <v>0</v>
      </c>
      <c r="BF911" s="1">
        <f>MIN(4,V911+1)</f>
        <v>1</v>
      </c>
      <c r="BG911" s="1">
        <f t="shared" si="1293"/>
        <v>1</v>
      </c>
      <c r="BH911" s="1">
        <f t="shared" si="1290"/>
        <v>1</v>
      </c>
      <c r="BI911" s="1">
        <f t="shared" si="1294"/>
        <v>1</v>
      </c>
      <c r="BJ911" s="1">
        <f t="shared" si="1256"/>
        <v>0</v>
      </c>
      <c r="BK911" s="1">
        <f t="shared" si="1257"/>
        <v>0</v>
      </c>
      <c r="BL911" s="1">
        <f t="shared" si="1262"/>
        <v>0</v>
      </c>
      <c r="BM911" s="1">
        <f t="shared" si="1260"/>
        <v>0</v>
      </c>
      <c r="BN911" s="1">
        <f t="shared" si="1291"/>
        <v>1</v>
      </c>
      <c r="BO911" s="1">
        <f t="shared" si="1292"/>
        <v>1</v>
      </c>
    </row>
    <row r="912" spans="1:67" ht="30.95" customHeight="1">
      <c r="A912" s="1">
        <f>25</f>
        <v>25</v>
      </c>
      <c r="B912" s="1">
        <f>固定流程!A12</f>
        <v>7</v>
      </c>
      <c r="C912" s="1">
        <f>28</f>
        <v>28</v>
      </c>
      <c r="D912" s="1">
        <f>1</f>
        <v>1</v>
      </c>
      <c r="E912" s="1">
        <f>固定流程!C12</f>
        <v>1</v>
      </c>
      <c r="F912" s="1">
        <f>固定流程!G12</f>
        <v>4</v>
      </c>
      <c r="G912" s="1" t="str">
        <f>固定流程!H12</f>
        <v>J_HARD</v>
      </c>
      <c r="H912" s="1">
        <f>固定流程!F12</f>
        <v>1</v>
      </c>
      <c r="I912" s="1">
        <f>INDEX(配置与结果!$B$15:$B$18,F912)</f>
        <v>1906</v>
      </c>
      <c r="J912" s="1">
        <f>INDEX(配置与结果!$D$15:$D$18,F912)</f>
        <v>0.36699999999999999</v>
      </c>
      <c r="K912" s="1">
        <f>INDEX(配置与结果!$E$15:$E$18,F912)</f>
        <v>1.7170000000000001</v>
      </c>
      <c r="L912" s="1">
        <f t="shared" si="1274"/>
        <v>1</v>
      </c>
      <c r="M912" s="1">
        <f t="shared" si="1274"/>
        <v>4</v>
      </c>
      <c r="N912" s="1">
        <f t="shared" si="1274"/>
        <v>0</v>
      </c>
      <c r="O912" s="1">
        <f t="shared" si="1274"/>
        <v>6</v>
      </c>
      <c r="P912" s="1">
        <f>MIN(方案参数!$AI$28,AZ911+0+0)</f>
        <v>3</v>
      </c>
      <c r="Q912" s="1">
        <f t="shared" si="1275"/>
        <v>2</v>
      </c>
      <c r="R912" s="1">
        <f t="shared" si="1276"/>
        <v>5</v>
      </c>
      <c r="S912" s="1">
        <f t="shared" si="1277"/>
        <v>0</v>
      </c>
      <c r="T912" s="1">
        <f t="shared" si="1278"/>
        <v>0</v>
      </c>
      <c r="U912" s="1">
        <f t="shared" si="1279"/>
        <v>0</v>
      </c>
      <c r="V912" s="1">
        <f t="shared" si="1280"/>
        <v>1</v>
      </c>
      <c r="W912" s="1">
        <f t="shared" si="1281"/>
        <v>1</v>
      </c>
      <c r="X912" s="1">
        <f t="shared" si="1282"/>
        <v>1</v>
      </c>
      <c r="Y912" s="1">
        <f t="shared" si="1283"/>
        <v>1</v>
      </c>
      <c r="Z912" s="1">
        <f t="shared" si="1284"/>
        <v>0</v>
      </c>
      <c r="AA912" s="1">
        <f t="shared" si="1285"/>
        <v>0</v>
      </c>
      <c r="AB912" s="1">
        <f t="shared" si="1286"/>
        <v>0</v>
      </c>
      <c r="AC912" s="1">
        <f t="shared" si="1287"/>
        <v>0</v>
      </c>
      <c r="AD912" s="1">
        <f>ROUNDDOWN(I912*(1+IF(F912=3,0.05+方案参数!$Y$28+AA912*0.12,IF(F912=4,方案参数!$BZ$28*方案参数!$AS$28,0)))+IF(AND(X912=1,F912&lt;&gt;3),方案参数!$CC$28,0)+AC912*方案参数!$CB$28,0)</f>
        <v>4717</v>
      </c>
      <c r="AE912" s="1">
        <f>IF(OR(F912=1,F912=4),配置与结果!$B$24,配置与结果!$B$25)*MAX(0,1-INDEX(配置与结果!$I$15:$I$18,F912))</f>
        <v>1200</v>
      </c>
      <c r="AF912" s="1">
        <f>3.6*IF(H912=1,1,IF(H912=2,1.5,2.5))</f>
        <v>3.6</v>
      </c>
      <c r="AG912" s="1">
        <f>MAX(配置与结果!$B$32,1+INDEX(配置与结果!$F$15:$F$18,F912)+0.08+Q912*方案参数!$W$28+Y912*(方案参数!$AN$28+MIN(方案参数!$AO$28,P912*0.03))+AB912*方案参数!$BZ$28*0.025+0.1+IF(方案参数!$BZ$28&gt;=30,方案参数!$BZ$28*0.01,0)-配置与结果!$B$28)</f>
        <v>1.5350000000000001</v>
      </c>
      <c r="AH912" s="1">
        <f>MAX(0,1+INDEX(配置与结果!$G$15:$G$18,F912)+W912*方案参数!$AG$28)</f>
        <v>1.3</v>
      </c>
      <c r="AI912" s="1">
        <f>IF(OR(INDEX(配置与结果!$K$15:$K$18,F912)=1,G912="RHI_BERRY"),1+配置与结果!$B$33+P912*方案参数!$AH$28,1)</f>
        <v>1</v>
      </c>
      <c r="AJ912" s="1">
        <f>MIN(1,MAX(0,J912+方案参数!$AB$28-配置与结果!$B$27))</f>
        <v>0.66700000000000004</v>
      </c>
      <c r="AK912" s="1">
        <f>MAX(1,K912+IF(F912=2,0.15+方案参数!$CH$28,0)+BN912*方案参数!$X$28+R912*方案参数!$AA$28+0-配置与结果!$B$26+Z912*(方案参数!$AP$28+MIN(方案参数!$AQ$28,P912*0.03)))</f>
        <v>1.4969999999999999</v>
      </c>
      <c r="AL912" s="7">
        <f>ROUNDDOWN(MAX(AD912*配置与结果!$B$31,AD912-AE912)*AF912*AG912*AH912*AI912,0)</f>
        <v>25265</v>
      </c>
      <c r="AM912" s="7">
        <f>ROUNDDOWN(MAX(AD912*配置与结果!$B$31,AD912-AE912)*AF912*AG912*AH912*AI912*AK912,0)</f>
        <v>37822</v>
      </c>
      <c r="AN912" s="7">
        <f t="shared" si="1266"/>
        <v>33640.519</v>
      </c>
      <c r="AO912" s="7">
        <f>0</f>
        <v>0</v>
      </c>
      <c r="AP912" s="7">
        <f>MAX(0,1+INDEX(配置与结果!$J$15:$J$18,F912)+IF(T912&gt;0,方案参数!$BY$28,0)-配置与结果!$B$30)</f>
        <v>1</v>
      </c>
      <c r="AQ912" s="7">
        <f t="shared" si="1267"/>
        <v>0</v>
      </c>
      <c r="AR912" s="7">
        <f t="shared" si="1268"/>
        <v>0</v>
      </c>
      <c r="AS912" s="7">
        <f t="shared" si="1269"/>
        <v>0</v>
      </c>
      <c r="AT912" s="7">
        <f>0</f>
        <v>0</v>
      </c>
      <c r="AU912" s="7">
        <f t="shared" si="1270"/>
        <v>33640.519</v>
      </c>
      <c r="AV912" s="1">
        <f t="shared" si="1271"/>
        <v>1</v>
      </c>
      <c r="AW912" s="1">
        <f>MIN(10,M912+0+0)</f>
        <v>4</v>
      </c>
      <c r="AX912" s="1">
        <f t="shared" si="1272"/>
        <v>0</v>
      </c>
      <c r="AY912" s="1">
        <f t="shared" si="1295"/>
        <v>6</v>
      </c>
      <c r="AZ912" s="1">
        <f t="shared" si="1273"/>
        <v>3</v>
      </c>
      <c r="BA912" s="1">
        <f>MIN(6,Q912+0)</f>
        <v>2</v>
      </c>
      <c r="BB912" s="1">
        <f t="shared" si="1288"/>
        <v>5</v>
      </c>
      <c r="BC912" s="1">
        <f>MIN(3,S912+1)</f>
        <v>1</v>
      </c>
      <c r="BD912" s="1">
        <f t="shared" si="1296"/>
        <v>0</v>
      </c>
      <c r="BE912" s="1">
        <f t="shared" si="1289"/>
        <v>0</v>
      </c>
      <c r="BF912" s="1">
        <f>MIN(4,V912+0)</f>
        <v>1</v>
      </c>
      <c r="BG912" s="1">
        <f t="shared" si="1293"/>
        <v>1</v>
      </c>
      <c r="BH912" s="1">
        <f t="shared" si="1290"/>
        <v>1</v>
      </c>
      <c r="BI912" s="1">
        <f t="shared" si="1294"/>
        <v>1</v>
      </c>
      <c r="BJ912" s="1">
        <f t="shared" si="1256"/>
        <v>0</v>
      </c>
      <c r="BK912" s="1">
        <f t="shared" si="1257"/>
        <v>0</v>
      </c>
      <c r="BL912" s="1">
        <f t="shared" si="1262"/>
        <v>0</v>
      </c>
      <c r="BM912" s="1">
        <f t="shared" si="1260"/>
        <v>0</v>
      </c>
      <c r="BN912" s="1">
        <f t="shared" si="1291"/>
        <v>1</v>
      </c>
      <c r="BO912" s="1">
        <f t="shared" si="1292"/>
        <v>1</v>
      </c>
    </row>
    <row r="913" spans="1:67" ht="30.95" customHeight="1">
      <c r="A913" s="1">
        <f>25</f>
        <v>25</v>
      </c>
      <c r="B913" s="1">
        <f>固定流程!A13</f>
        <v>8</v>
      </c>
      <c r="C913" s="1">
        <f>28</f>
        <v>28</v>
      </c>
      <c r="D913" s="1">
        <f>1</f>
        <v>1</v>
      </c>
      <c r="E913" s="1">
        <f>固定流程!C13</f>
        <v>2</v>
      </c>
      <c r="F913" s="1">
        <f>固定流程!G13</f>
        <v>3</v>
      </c>
      <c r="G913" s="1" t="str">
        <f>固定流程!H13</f>
        <v>RHI_ATTACK</v>
      </c>
      <c r="H913" s="1">
        <f>固定流程!F13</f>
        <v>1</v>
      </c>
      <c r="I913" s="1">
        <f>INDEX(配置与结果!$B$15:$B$18,F913)</f>
        <v>2597</v>
      </c>
      <c r="J913" s="1">
        <f>INDEX(配置与结果!$D$15:$D$18,F913)</f>
        <v>0.255</v>
      </c>
      <c r="K913" s="1">
        <f>INDEX(配置与结果!$E$15:$E$18,F913)</f>
        <v>1.55</v>
      </c>
      <c r="L913" s="1">
        <f>IF(AV912=1,IF(M913&gt;=10,2,1),IF(AV912=2,IF(AX912&lt;=1,0,2),0))</f>
        <v>1</v>
      </c>
      <c r="M913" s="1">
        <f>IF(AND(AV912=2,AX912&lt;=1),0,MIN(10,AW912+IF(AV912=1,3,0)))</f>
        <v>7</v>
      </c>
      <c r="N913" s="1">
        <f>IF(AND(AV912=1,M913&gt;=10),2,IF(AV912=2,MAX(0,AX912-1),0))</f>
        <v>0</v>
      </c>
      <c r="O913" s="1">
        <f t="shared" ref="O913:O941" si="1297">AY912</f>
        <v>6</v>
      </c>
      <c r="P913" s="1">
        <f>MIN(方案参数!$AI$28,AZ912+方案参数!$AJ$28+方案参数!$AK$28)</f>
        <v>5</v>
      </c>
      <c r="Q913" s="1">
        <f t="shared" si="1275"/>
        <v>2</v>
      </c>
      <c r="R913" s="1">
        <f t="shared" si="1276"/>
        <v>5</v>
      </c>
      <c r="S913" s="1">
        <f t="shared" si="1277"/>
        <v>1</v>
      </c>
      <c r="T913" s="1">
        <f t="shared" si="1278"/>
        <v>0</v>
      </c>
      <c r="U913" s="1">
        <f t="shared" si="1279"/>
        <v>0</v>
      </c>
      <c r="V913" s="1">
        <f t="shared" si="1280"/>
        <v>1</v>
      </c>
      <c r="W913" s="1">
        <f t="shared" si="1281"/>
        <v>1</v>
      </c>
      <c r="X913" s="1">
        <f t="shared" si="1282"/>
        <v>1</v>
      </c>
      <c r="Y913" s="1">
        <f t="shared" si="1283"/>
        <v>1</v>
      </c>
      <c r="Z913" s="1">
        <f t="shared" si="1284"/>
        <v>0</v>
      </c>
      <c r="AA913" s="1">
        <f>MAX(BK912,1)</f>
        <v>1</v>
      </c>
      <c r="AB913" s="1">
        <f t="shared" si="1286"/>
        <v>0</v>
      </c>
      <c r="AC913" s="1">
        <f t="shared" si="1287"/>
        <v>0</v>
      </c>
      <c r="AD913" s="1">
        <f>ROUNDDOWN(I913*(1+IF(F913=3,0.05+方案参数!$Y$28+AA913*0.12,IF(F913=4,方案参数!$BZ$28*方案参数!$AS$28,0)))+IF(AND(X913=1,F913&lt;&gt;3),方案参数!$CC$28,0)+AC913*方案参数!$CB$28,0)</f>
        <v>3298</v>
      </c>
      <c r="AE913" s="1">
        <f>IF(OR(F913=1,F913=4),配置与结果!$B$24,配置与结果!$B$25)*MAX(0,1-INDEX(配置与结果!$I$15:$I$18,F913))</f>
        <v>1000</v>
      </c>
      <c r="AF913" s="1">
        <f>4</f>
        <v>4</v>
      </c>
      <c r="AG913" s="1">
        <f>MAX(配置与结果!$B$32,1+INDEX(配置与结果!$F$15:$F$18,F913)+0+Q913*方案参数!$W$28+Y913*(方案参数!$AN$28+MIN(方案参数!$AO$28,P913*0.03))+AB913*方案参数!$BZ$28*0.025-配置与结果!$B$28)</f>
        <v>0.97499999999999998</v>
      </c>
      <c r="AH913" s="1">
        <f>MAX(0,1+INDEX(配置与结果!$G$15:$G$18,F913)+W913*方案参数!$AG$28)</f>
        <v>1.3</v>
      </c>
      <c r="AI913" s="1">
        <f>IF(OR(INDEX(配置与结果!$K$15:$K$18,F913)=1,G913="RHI_BERRY"),1+配置与结果!$B$33+P913*方案参数!$AH$28,1)</f>
        <v>1</v>
      </c>
      <c r="AJ913" s="1">
        <f>MIN(1,MAX(0,J913+方案参数!$AB$28-配置与结果!$B$27))</f>
        <v>0.55499999999999994</v>
      </c>
      <c r="AK913" s="1">
        <f>MAX(1,K913+IF(F913=2,0.15+方案参数!$CH$28,0)+BN913*方案参数!$X$28+R913*方案参数!$AA$28+0-配置与结果!$B$26+Z913*(方案参数!$AP$28+MIN(方案参数!$AQ$28,P913*0.03)))</f>
        <v>1.33</v>
      </c>
      <c r="AL913" s="7">
        <f>ROUNDDOWN(MAX(AD913*配置与结果!$B$31,AD913-AE913)*AF913*AG913*AH913*AI913,0)</f>
        <v>11650</v>
      </c>
      <c r="AM913" s="7">
        <f>ROUNDDOWN(MAX(AD913*配置与结果!$B$31,AD913-AE913)*AF913*AG913*AH913*AI913*AK913,0)</f>
        <v>15495</v>
      </c>
      <c r="AN913" s="7">
        <f t="shared" si="1266"/>
        <v>13783.974999999999</v>
      </c>
      <c r="AO913" s="7">
        <f>0</f>
        <v>0</v>
      </c>
      <c r="AP913" s="7">
        <f>MAX(0,1+INDEX(配置与结果!$J$15:$J$18,F913)+IF(T913&gt;0,方案参数!$BY$28,0)-配置与结果!$B$30)</f>
        <v>1</v>
      </c>
      <c r="AQ913" s="7">
        <f t="shared" si="1267"/>
        <v>0</v>
      </c>
      <c r="AR913" s="7">
        <f t="shared" si="1268"/>
        <v>0</v>
      </c>
      <c r="AS913" s="7">
        <f t="shared" si="1269"/>
        <v>0</v>
      </c>
      <c r="AT913" s="7">
        <f>0</f>
        <v>0</v>
      </c>
      <c r="AU913" s="7">
        <f t="shared" si="1270"/>
        <v>13783.974999999999</v>
      </c>
      <c r="AV913" s="1">
        <f t="shared" si="1271"/>
        <v>1</v>
      </c>
      <c r="AW913" s="1">
        <f>MIN(10,M913+0+0)</f>
        <v>7</v>
      </c>
      <c r="AX913" s="1">
        <f t="shared" si="1272"/>
        <v>0</v>
      </c>
      <c r="AY913" s="1">
        <f t="shared" si="1295"/>
        <v>6</v>
      </c>
      <c r="AZ913" s="1">
        <f t="shared" si="1273"/>
        <v>5</v>
      </c>
      <c r="BA913" s="1">
        <f>MIN(6,Q913+1)</f>
        <v>3</v>
      </c>
      <c r="BB913" s="1">
        <f t="shared" si="1288"/>
        <v>5</v>
      </c>
      <c r="BC913" s="1">
        <f>MIN(3,S913+0)</f>
        <v>1</v>
      </c>
      <c r="BD913" s="1">
        <f t="shared" si="1296"/>
        <v>0</v>
      </c>
      <c r="BE913" s="1">
        <f t="shared" si="1289"/>
        <v>0</v>
      </c>
      <c r="BF913" s="1">
        <f>MIN(4,V913+0)</f>
        <v>1</v>
      </c>
      <c r="BG913" s="1">
        <f t="shared" si="1293"/>
        <v>1</v>
      </c>
      <c r="BH913" s="1">
        <f t="shared" si="1290"/>
        <v>1</v>
      </c>
      <c r="BI913" s="1">
        <f t="shared" si="1294"/>
        <v>1</v>
      </c>
      <c r="BJ913" s="1">
        <f>MAX(Z913,1)</f>
        <v>1</v>
      </c>
      <c r="BK913" s="1">
        <f>MAX(AA913,1)</f>
        <v>1</v>
      </c>
      <c r="BL913" s="1">
        <f t="shared" si="1262"/>
        <v>0</v>
      </c>
      <c r="BM913" s="1">
        <f t="shared" si="1260"/>
        <v>0</v>
      </c>
      <c r="BN913" s="1">
        <f t="shared" si="1291"/>
        <v>1</v>
      </c>
      <c r="BO913" s="1">
        <f t="shared" si="1292"/>
        <v>1</v>
      </c>
    </row>
    <row r="914" spans="1:67" ht="30.95" customHeight="1">
      <c r="A914" s="1">
        <f>25</f>
        <v>25</v>
      </c>
      <c r="B914" s="1">
        <f>固定流程!A14</f>
        <v>9</v>
      </c>
      <c r="C914" s="1">
        <f>28</f>
        <v>28</v>
      </c>
      <c r="D914" s="1">
        <f>1</f>
        <v>1</v>
      </c>
      <c r="E914" s="1">
        <f>固定流程!C14</f>
        <v>2</v>
      </c>
      <c r="F914" s="1">
        <f>固定流程!G14</f>
        <v>1</v>
      </c>
      <c r="G914" s="1" t="str">
        <f>固定流程!H14</f>
        <v>LILYA_DIVE</v>
      </c>
      <c r="H914" s="1">
        <f>固定流程!F14</f>
        <v>3</v>
      </c>
      <c r="I914" s="1">
        <f>INDEX(配置与结果!$B$15:$B$18,F914)</f>
        <v>2296</v>
      </c>
      <c r="J914" s="1">
        <f>INDEX(配置与结果!$D$15:$D$18,F914)</f>
        <v>0.7</v>
      </c>
      <c r="K914" s="1">
        <f>INDEX(配置与结果!$E$15:$E$18,F914)</f>
        <v>2.0249999999999999</v>
      </c>
      <c r="L914" s="1">
        <f t="shared" ref="L914:N918" si="1298">AV913</f>
        <v>1</v>
      </c>
      <c r="M914" s="1">
        <f t="shared" si="1298"/>
        <v>7</v>
      </c>
      <c r="N914" s="1">
        <f t="shared" si="1298"/>
        <v>0</v>
      </c>
      <c r="O914" s="1">
        <f t="shared" si="1297"/>
        <v>6</v>
      </c>
      <c r="P914" s="1">
        <f>MIN(方案参数!$AI$28,AZ913+0+0)</f>
        <v>5</v>
      </c>
      <c r="Q914" s="1">
        <f t="shared" si="1275"/>
        <v>3</v>
      </c>
      <c r="R914" s="1">
        <f t="shared" si="1276"/>
        <v>5</v>
      </c>
      <c r="S914" s="1">
        <f t="shared" si="1277"/>
        <v>1</v>
      </c>
      <c r="T914" s="1">
        <f t="shared" si="1278"/>
        <v>0</v>
      </c>
      <c r="U914" s="1">
        <f t="shared" si="1279"/>
        <v>0</v>
      </c>
      <c r="V914" s="1">
        <f t="shared" si="1280"/>
        <v>1</v>
      </c>
      <c r="W914" s="1">
        <f t="shared" si="1281"/>
        <v>1</v>
      </c>
      <c r="X914" s="1">
        <f t="shared" si="1282"/>
        <v>1</v>
      </c>
      <c r="Y914" s="1">
        <f t="shared" si="1283"/>
        <v>1</v>
      </c>
      <c r="Z914" s="1">
        <f t="shared" si="1284"/>
        <v>1</v>
      </c>
      <c r="AA914" s="1">
        <f t="shared" ref="AA914:AA919" si="1299">MAX(BK913,0)</f>
        <v>1</v>
      </c>
      <c r="AB914" s="1">
        <f t="shared" si="1286"/>
        <v>0</v>
      </c>
      <c r="AC914" s="1">
        <f t="shared" si="1287"/>
        <v>0</v>
      </c>
      <c r="AD914" s="1">
        <f>ROUNDDOWN(I914*(1+IF(F914=3,0.05+方案参数!$Y$28+AA914*0.12,IF(F914=4,方案参数!$BZ$28*方案参数!$AS$28,0)))+IF(AND(X914=1,F914&lt;&gt;3),方案参数!$CC$28,0)+AC914*方案参数!$CB$28,0)</f>
        <v>2534</v>
      </c>
      <c r="AE914" s="1">
        <f>IF(OR(F914=1,F914=4),配置与结果!$B$24,配置与结果!$B$25)*MAX(0,1-INDEX(配置与结果!$I$15:$I$18,F914))</f>
        <v>1200</v>
      </c>
      <c r="AF914" s="1">
        <f>(IF(L914=1,方案参数!$AW$28,IF(L914=2,方案参数!$AX$28,0))+方案参数!$AV$28)*H914</f>
        <v>18</v>
      </c>
      <c r="AG914" s="1">
        <f>MAX(配置与结果!$B$32,1+INDEX(配置与结果!$F$15:$F$18,F914)+0.08+方案参数!$CD$28+Q914*方案参数!$W$28+Y914*(方案参数!$AN$28+MIN(方案参数!$AO$28,P914*0.03))+AB914*方案参数!$BZ$28*0.025+IF(L914=1,方案参数!$AY$28+(H914-1)*0.1,IF(L914=2,方案参数!$AZ$28+(H914-1)*0.2,0))-配置与结果!$B$28)</f>
        <v>1.6</v>
      </c>
      <c r="AH914" s="1">
        <f>MAX(0,1+INDEX(配置与结果!$G$15:$G$18,F914)+W914*方案参数!$AG$28+IF(L914=1,方案参数!$BA$28,IF(L914=2,方案参数!$BB$28,0))+M914*方案参数!$BC$28)</f>
        <v>2.3199999999999998</v>
      </c>
      <c r="AI914" s="1">
        <f>IF(OR(INDEX(配置与结果!$K$15:$K$18,F914)=1,G914="RHI_BERRY"),1+配置与结果!$B$33+P914*方案参数!$AH$28,1)</f>
        <v>1</v>
      </c>
      <c r="AJ914" s="1">
        <f>MIN(1,MAX(0,J914+方案参数!$AB$28-配置与结果!$B$27))</f>
        <v>1</v>
      </c>
      <c r="AK914" s="1">
        <f>MAX(1,K914+IF(F914=2,0.15+方案参数!$CH$28,0)+BN914*方案参数!$X$28+R914*方案参数!$AA$28+0-配置与结果!$B$26+Z914*(方案参数!$AP$28+MIN(方案参数!$AQ$28,P914*0.03)))</f>
        <v>2.105</v>
      </c>
      <c r="AL914" s="7">
        <f>ROUNDDOWN(MAX(AD914*配置与结果!$B$31,AD914-AE914)*AF914*AG914*AH914*AI914,0)</f>
        <v>89132</v>
      </c>
      <c r="AM914" s="7">
        <f>ROUNDDOWN(MAX(AD914*配置与结果!$B$31,AD914-AE914)*AF914*AG914*AH914*AI914*AK914,0)</f>
        <v>187624</v>
      </c>
      <c r="AN914" s="7">
        <f t="shared" si="1266"/>
        <v>187624</v>
      </c>
      <c r="AO914" s="7">
        <f>0</f>
        <v>0</v>
      </c>
      <c r="AP914" s="7">
        <f>MAX(0,1+INDEX(配置与结果!$J$15:$J$18,F914)+IF(T914&gt;0,方案参数!$BY$28,0)-配置与结果!$B$30)</f>
        <v>1</v>
      </c>
      <c r="AQ914" s="7">
        <f t="shared" si="1267"/>
        <v>0</v>
      </c>
      <c r="AR914" s="7">
        <f t="shared" si="1268"/>
        <v>0</v>
      </c>
      <c r="AS914" s="7">
        <f t="shared" si="1269"/>
        <v>0</v>
      </c>
      <c r="AT914" s="7">
        <f>0</f>
        <v>0</v>
      </c>
      <c r="AU914" s="7">
        <f t="shared" si="1270"/>
        <v>187624</v>
      </c>
      <c r="AV914" s="1">
        <f t="shared" si="1271"/>
        <v>1</v>
      </c>
      <c r="AW914" s="1">
        <f>MIN(10,M914+0+IF(L914=1,方案参数!$BE$28,0))</f>
        <v>8</v>
      </c>
      <c r="AX914" s="1">
        <f t="shared" si="1272"/>
        <v>0</v>
      </c>
      <c r="AY914" s="1">
        <f t="shared" si="1295"/>
        <v>6</v>
      </c>
      <c r="AZ914" s="1">
        <f t="shared" si="1273"/>
        <v>5</v>
      </c>
      <c r="BA914" s="1">
        <f>MIN(6,Q914+0)</f>
        <v>3</v>
      </c>
      <c r="BB914" s="1">
        <f t="shared" si="1288"/>
        <v>5</v>
      </c>
      <c r="BC914" s="1">
        <f>MIN(3,S914+0)</f>
        <v>1</v>
      </c>
      <c r="BD914" s="1">
        <f t="shared" si="1296"/>
        <v>0</v>
      </c>
      <c r="BE914" s="1">
        <f t="shared" si="1289"/>
        <v>0</v>
      </c>
      <c r="BF914" s="1">
        <f>MIN(4,V914+0)</f>
        <v>1</v>
      </c>
      <c r="BG914" s="1">
        <f t="shared" si="1293"/>
        <v>1</v>
      </c>
      <c r="BH914" s="1">
        <f t="shared" si="1290"/>
        <v>1</v>
      </c>
      <c r="BI914" s="1">
        <f t="shared" si="1294"/>
        <v>1</v>
      </c>
      <c r="BJ914" s="1">
        <f t="shared" ref="BJ914:BK919" si="1300">MAX(Z914,0)</f>
        <v>1</v>
      </c>
      <c r="BK914" s="1">
        <f t="shared" si="1300"/>
        <v>1</v>
      </c>
      <c r="BL914" s="1">
        <f t="shared" si="1262"/>
        <v>0</v>
      </c>
      <c r="BM914" s="1">
        <f t="shared" si="1260"/>
        <v>0</v>
      </c>
      <c r="BN914" s="1">
        <f t="shared" si="1291"/>
        <v>1</v>
      </c>
      <c r="BO914" s="1">
        <f t="shared" si="1292"/>
        <v>1</v>
      </c>
    </row>
    <row r="915" spans="1:67" ht="30.95" customHeight="1">
      <c r="A915" s="1">
        <f>25</f>
        <v>25</v>
      </c>
      <c r="B915" s="1">
        <f>固定流程!A15</f>
        <v>10</v>
      </c>
      <c r="C915" s="1">
        <f>28</f>
        <v>28</v>
      </c>
      <c r="D915" s="1">
        <f>1</f>
        <v>1</v>
      </c>
      <c r="E915" s="1">
        <f>固定流程!C15</f>
        <v>2</v>
      </c>
      <c r="F915" s="1">
        <f>固定流程!G15</f>
        <v>4</v>
      </c>
      <c r="G915" s="1" t="str">
        <f>固定流程!H15</f>
        <v>J_HARD</v>
      </c>
      <c r="H915" s="1">
        <f>固定流程!F15</f>
        <v>1</v>
      </c>
      <c r="I915" s="1">
        <f>INDEX(配置与结果!$B$15:$B$18,F915)</f>
        <v>1906</v>
      </c>
      <c r="J915" s="1">
        <f>INDEX(配置与结果!$D$15:$D$18,F915)</f>
        <v>0.36699999999999999</v>
      </c>
      <c r="K915" s="1">
        <f>INDEX(配置与结果!$E$15:$E$18,F915)</f>
        <v>1.7170000000000001</v>
      </c>
      <c r="L915" s="1">
        <f t="shared" si="1298"/>
        <v>1</v>
      </c>
      <c r="M915" s="1">
        <f t="shared" si="1298"/>
        <v>8</v>
      </c>
      <c r="N915" s="1">
        <f t="shared" si="1298"/>
        <v>0</v>
      </c>
      <c r="O915" s="1">
        <f t="shared" si="1297"/>
        <v>6</v>
      </c>
      <c r="P915" s="1">
        <f>MIN(方案参数!$AI$28,AZ914+0+0)</f>
        <v>5</v>
      </c>
      <c r="Q915" s="1">
        <f t="shared" si="1275"/>
        <v>3</v>
      </c>
      <c r="R915" s="1">
        <f t="shared" si="1276"/>
        <v>5</v>
      </c>
      <c r="S915" s="1">
        <f t="shared" si="1277"/>
        <v>1</v>
      </c>
      <c r="T915" s="1">
        <f t="shared" si="1278"/>
        <v>0</v>
      </c>
      <c r="U915" s="1">
        <f t="shared" si="1279"/>
        <v>0</v>
      </c>
      <c r="V915" s="1">
        <f t="shared" si="1280"/>
        <v>1</v>
      </c>
      <c r="W915" s="1">
        <f t="shared" si="1281"/>
        <v>1</v>
      </c>
      <c r="X915" s="1">
        <f t="shared" si="1282"/>
        <v>1</v>
      </c>
      <c r="Y915" s="1">
        <f t="shared" si="1283"/>
        <v>1</v>
      </c>
      <c r="Z915" s="1">
        <f t="shared" si="1284"/>
        <v>1</v>
      </c>
      <c r="AA915" s="1">
        <f t="shared" si="1299"/>
        <v>1</v>
      </c>
      <c r="AB915" s="1">
        <f t="shared" si="1286"/>
        <v>0</v>
      </c>
      <c r="AC915" s="1">
        <f t="shared" si="1287"/>
        <v>0</v>
      </c>
      <c r="AD915" s="1">
        <f>ROUNDDOWN(I915*(1+IF(F915=3,0.05+方案参数!$Y$28+AA915*0.12,IF(F915=4,方案参数!$BZ$28*方案参数!$AS$28,0)))+IF(AND(X915=1,F915&lt;&gt;3),方案参数!$CC$28,0)+AC915*方案参数!$CB$28,0)</f>
        <v>4717</v>
      </c>
      <c r="AE915" s="1">
        <f>IF(OR(F915=1,F915=4),配置与结果!$B$24,配置与结果!$B$25)*MAX(0,1-INDEX(配置与结果!$I$15:$I$18,F915))</f>
        <v>1200</v>
      </c>
      <c r="AF915" s="1">
        <f>3.6*IF(H915=1,1,IF(H915=2,1.5,2.5))</f>
        <v>3.6</v>
      </c>
      <c r="AG915" s="1">
        <f>MAX(配置与结果!$B$32,1+INDEX(配置与结果!$F$15:$F$18,F915)+0.08+Q915*方案参数!$W$28+Y915*(方案参数!$AN$28+MIN(方案参数!$AO$28,P915*0.03))+AB915*方案参数!$BZ$28*0.025+0.1+IF(方案参数!$BZ$28&gt;=30,方案参数!$BZ$28*0.01,0)-配置与结果!$B$28)</f>
        <v>1.6150000000000002</v>
      </c>
      <c r="AH915" s="1">
        <f>MAX(0,1+INDEX(配置与结果!$G$15:$G$18,F915)+W915*方案参数!$AG$28)</f>
        <v>1.3</v>
      </c>
      <c r="AI915" s="1">
        <f>IF(OR(INDEX(配置与结果!$K$15:$K$18,F915)=1,G915="RHI_BERRY"),1+配置与结果!$B$33+P915*方案参数!$AH$28,1)</f>
        <v>1</v>
      </c>
      <c r="AJ915" s="1">
        <f>MIN(1,MAX(0,J915+方案参数!$AB$28-配置与结果!$B$27))</f>
        <v>0.66700000000000004</v>
      </c>
      <c r="AK915" s="1">
        <f>MAX(1,K915+IF(F915=2,0.15+方案参数!$CH$28,0)+BN915*方案参数!$X$28+R915*方案参数!$AA$28+0-配置与结果!$B$26+Z915*(方案参数!$AP$28+MIN(方案参数!$AQ$28,P915*0.03)))</f>
        <v>1.7969999999999999</v>
      </c>
      <c r="AL915" s="7">
        <f>ROUNDDOWN(MAX(AD915*配置与结果!$B$31,AD915-AE915)*AF915*AG915*AH915*AI915,0)</f>
        <v>26582</v>
      </c>
      <c r="AM915" s="7">
        <f>ROUNDDOWN(MAX(AD915*配置与结果!$B$31,AD915-AE915)*AF915*AG915*AH915*AI915*AK915,0)</f>
        <v>47768</v>
      </c>
      <c r="AN915" s="7">
        <f t="shared" si="1266"/>
        <v>40713.061999999998</v>
      </c>
      <c r="AO915" s="7">
        <f>0</f>
        <v>0</v>
      </c>
      <c r="AP915" s="7">
        <f>MAX(0,1+INDEX(配置与结果!$J$15:$J$18,F915)+IF(T915&gt;0,方案参数!$BY$28,0)-配置与结果!$B$30)</f>
        <v>1</v>
      </c>
      <c r="AQ915" s="7">
        <f t="shared" si="1267"/>
        <v>0</v>
      </c>
      <c r="AR915" s="7">
        <f t="shared" si="1268"/>
        <v>0</v>
      </c>
      <c r="AS915" s="7">
        <f t="shared" si="1269"/>
        <v>0</v>
      </c>
      <c r="AT915" s="7">
        <f>0</f>
        <v>0</v>
      </c>
      <c r="AU915" s="7">
        <f t="shared" si="1270"/>
        <v>40713.061999999998</v>
      </c>
      <c r="AV915" s="1">
        <f t="shared" si="1271"/>
        <v>1</v>
      </c>
      <c r="AW915" s="1">
        <f t="shared" ref="AW915:AW925" si="1301">MIN(10,M915+0+0)</f>
        <v>8</v>
      </c>
      <c r="AX915" s="1">
        <f t="shared" si="1272"/>
        <v>0</v>
      </c>
      <c r="AY915" s="1">
        <f t="shared" si="1295"/>
        <v>6</v>
      </c>
      <c r="AZ915" s="1">
        <f t="shared" si="1273"/>
        <v>5</v>
      </c>
      <c r="BA915" s="1">
        <f>MIN(6,Q915+0)</f>
        <v>3</v>
      </c>
      <c r="BB915" s="1">
        <f t="shared" si="1288"/>
        <v>5</v>
      </c>
      <c r="BC915" s="1">
        <f>MIN(3,S915+1)</f>
        <v>2</v>
      </c>
      <c r="BD915" s="1">
        <f t="shared" si="1296"/>
        <v>0</v>
      </c>
      <c r="BE915" s="1">
        <f t="shared" si="1289"/>
        <v>0</v>
      </c>
      <c r="BF915" s="1">
        <f>MIN(4,V915+0)</f>
        <v>1</v>
      </c>
      <c r="BG915" s="1">
        <f t="shared" si="1293"/>
        <v>1</v>
      </c>
      <c r="BH915" s="1">
        <f t="shared" si="1290"/>
        <v>1</v>
      </c>
      <c r="BI915" s="1">
        <f t="shared" si="1294"/>
        <v>1</v>
      </c>
      <c r="BJ915" s="1">
        <f t="shared" si="1300"/>
        <v>1</v>
      </c>
      <c r="BK915" s="1">
        <f t="shared" si="1300"/>
        <v>1</v>
      </c>
      <c r="BL915" s="1">
        <f t="shared" si="1262"/>
        <v>0</v>
      </c>
      <c r="BM915" s="1">
        <f t="shared" si="1260"/>
        <v>0</v>
      </c>
      <c r="BN915" s="1">
        <f t="shared" si="1291"/>
        <v>1</v>
      </c>
      <c r="BO915" s="1">
        <f t="shared" si="1292"/>
        <v>1</v>
      </c>
    </row>
    <row r="916" spans="1:67" ht="30.95" customHeight="1">
      <c r="A916" s="1">
        <f>25</f>
        <v>25</v>
      </c>
      <c r="B916" s="1">
        <f>固定流程!A16</f>
        <v>11</v>
      </c>
      <c r="C916" s="1">
        <f>28</f>
        <v>28</v>
      </c>
      <c r="D916" s="1">
        <f>1</f>
        <v>1</v>
      </c>
      <c r="E916" s="1">
        <f>固定流程!C16</f>
        <v>2</v>
      </c>
      <c r="F916" s="1">
        <f>固定流程!G16</f>
        <v>2</v>
      </c>
      <c r="G916" s="1" t="str">
        <f>固定流程!H16</f>
        <v>37_CURVE</v>
      </c>
      <c r="H916" s="1">
        <f>固定流程!F16</f>
        <v>1</v>
      </c>
      <c r="I916" s="1">
        <f>INDEX(配置与结果!$B$15:$B$18,F916)</f>
        <v>2306</v>
      </c>
      <c r="J916" s="1">
        <f>INDEX(配置与结果!$D$15:$D$18,F916)</f>
        <v>0.46</v>
      </c>
      <c r="K916" s="1">
        <f>INDEX(配置与结果!$E$15:$E$18,F916)</f>
        <v>1.9279999999999999</v>
      </c>
      <c r="L916" s="1">
        <f t="shared" si="1298"/>
        <v>1</v>
      </c>
      <c r="M916" s="1">
        <f t="shared" si="1298"/>
        <v>8</v>
      </c>
      <c r="N916" s="1">
        <f t="shared" si="1298"/>
        <v>0</v>
      </c>
      <c r="O916" s="1">
        <f t="shared" si="1297"/>
        <v>6</v>
      </c>
      <c r="P916" s="1">
        <f>MIN(方案参数!$AI$28,AZ915+0+0)</f>
        <v>5</v>
      </c>
      <c r="Q916" s="1">
        <f t="shared" si="1275"/>
        <v>3</v>
      </c>
      <c r="R916" s="1">
        <f t="shared" si="1276"/>
        <v>5</v>
      </c>
      <c r="S916" s="1">
        <f t="shared" si="1277"/>
        <v>2</v>
      </c>
      <c r="T916" s="1">
        <f t="shared" si="1278"/>
        <v>0</v>
      </c>
      <c r="U916" s="1">
        <f t="shared" si="1279"/>
        <v>0</v>
      </c>
      <c r="V916" s="1">
        <f t="shared" si="1280"/>
        <v>1</v>
      </c>
      <c r="W916" s="1">
        <f t="shared" si="1281"/>
        <v>1</v>
      </c>
      <c r="X916" s="1">
        <f t="shared" si="1282"/>
        <v>1</v>
      </c>
      <c r="Y916" s="1">
        <f t="shared" si="1283"/>
        <v>1</v>
      </c>
      <c r="Z916" s="1">
        <f t="shared" si="1284"/>
        <v>1</v>
      </c>
      <c r="AA916" s="1">
        <f t="shared" si="1299"/>
        <v>1</v>
      </c>
      <c r="AB916" s="1">
        <f t="shared" si="1286"/>
        <v>0</v>
      </c>
      <c r="AC916" s="1">
        <f t="shared" si="1287"/>
        <v>0</v>
      </c>
      <c r="AD916" s="1">
        <f>ROUNDDOWN(I916*(1+IF(F916=3,0.05+方案参数!$Y$28+AA916*0.12,IF(F916=4,方案参数!$BZ$28*方案参数!$AS$28,0)))+IF(AND(X916=1,F916&lt;&gt;3),方案参数!$CC$28,0)+AC916*方案参数!$CB$28,0)</f>
        <v>2544</v>
      </c>
      <c r="AE916" s="1">
        <f>IF(OR(F916=1,F916=4),配置与结果!$B$24,配置与结果!$B$25)*MAX(0,1-INDEX(配置与结果!$I$15:$I$18,F916))</f>
        <v>1000</v>
      </c>
      <c r="AF916" s="1">
        <f>方案参数!$BT$28*IF(H916=1,1,IF(H916=2,1.5,2.5))</f>
        <v>1.4</v>
      </c>
      <c r="AG916" s="1">
        <f>MAX(配置与结果!$B$32,1+INDEX(配置与结果!$F$15:$F$18,F916)+0+Q916*方案参数!$W$28+Y916*(方案参数!$AN$28+MIN(方案参数!$AO$28,P916*0.03))+AB916*方案参数!$BZ$28*0.025-配置与结果!$B$28)</f>
        <v>0.96499999999999997</v>
      </c>
      <c r="AH916" s="1">
        <f>MAX(0,1+INDEX(配置与结果!$G$15:$G$18,F916)+W916*方案参数!$AG$28)</f>
        <v>1.3</v>
      </c>
      <c r="AI916" s="1">
        <f>IF(OR(INDEX(配置与结果!$K$15:$K$18,F916)=1,G916="RHI_BERRY"),1+配置与结果!$B$33+P916*方案参数!$AH$28,1)</f>
        <v>1</v>
      </c>
      <c r="AJ916" s="1">
        <f>MIN(1,MAX(0,J916+方案参数!$AB$28-配置与结果!$B$27))</f>
        <v>0.76</v>
      </c>
      <c r="AK916" s="1">
        <f>MAX(1,K916+IF(F916=2,0.15+方案参数!$CH$28,0)+BN916*方案参数!$X$28+R916*方案参数!$AA$28+0-配置与结果!$B$26+Z916*(方案参数!$AP$28+MIN(方案参数!$AQ$28,P916*0.03)))</f>
        <v>2.278</v>
      </c>
      <c r="AL916" s="7">
        <f>ROUNDDOWN(MAX(AD916*配置与结果!$B$31,AD916-AE916)*AF916*AG916*AH916*AI916,0)</f>
        <v>2711</v>
      </c>
      <c r="AM916" s="7">
        <f>ROUNDDOWN(MAX(AD916*配置与结果!$B$31,AD916-AE916)*AF916*AG916*AH916*AI916*AK916,0)</f>
        <v>6177</v>
      </c>
      <c r="AN916" s="7">
        <f t="shared" si="1266"/>
        <v>5345.1600000000008</v>
      </c>
      <c r="AO916" s="7">
        <f>方案参数!$BU$28*IF(H916=1,1,IF(H916=2,1.5,2.5))</f>
        <v>0.8</v>
      </c>
      <c r="AP916" s="7">
        <f>MAX(0,1+INDEX(配置与结果!$J$15:$J$18,F916)+IF(T916&gt;0,方案参数!$BY$28,0)-配置与结果!$B$30)</f>
        <v>1</v>
      </c>
      <c r="AQ916" s="7">
        <f t="shared" si="1267"/>
        <v>2035</v>
      </c>
      <c r="AR916" s="7">
        <f t="shared" si="1268"/>
        <v>4635</v>
      </c>
      <c r="AS916" s="7">
        <f t="shared" si="1269"/>
        <v>4011</v>
      </c>
      <c r="AT916" s="7">
        <f>0</f>
        <v>0</v>
      </c>
      <c r="AU916" s="7">
        <f t="shared" si="1270"/>
        <v>9356.16</v>
      </c>
      <c r="AV916" s="1">
        <f t="shared" si="1271"/>
        <v>1</v>
      </c>
      <c r="AW916" s="1">
        <f t="shared" si="1301"/>
        <v>8</v>
      </c>
      <c r="AX916" s="1">
        <f t="shared" si="1272"/>
        <v>0</v>
      </c>
      <c r="AY916" s="1">
        <f t="shared" si="1295"/>
        <v>6</v>
      </c>
      <c r="AZ916" s="1">
        <f t="shared" si="1273"/>
        <v>5</v>
      </c>
      <c r="BA916" s="1">
        <f>MIN(6,Q916+0)</f>
        <v>3</v>
      </c>
      <c r="BB916" s="1">
        <f t="shared" si="1288"/>
        <v>5</v>
      </c>
      <c r="BC916" s="1">
        <f t="shared" ref="BC916:BC922" si="1302">MIN(3,S916+0)</f>
        <v>2</v>
      </c>
      <c r="BD916" s="1">
        <f t="shared" si="1296"/>
        <v>0</v>
      </c>
      <c r="BE916" s="1">
        <f t="shared" si="1289"/>
        <v>0</v>
      </c>
      <c r="BF916" s="1">
        <f>MIN(4,V916+0)</f>
        <v>1</v>
      </c>
      <c r="BG916" s="1">
        <f t="shared" si="1293"/>
        <v>1</v>
      </c>
      <c r="BH916" s="1">
        <f t="shared" si="1290"/>
        <v>1</v>
      </c>
      <c r="BI916" s="1">
        <f t="shared" si="1294"/>
        <v>1</v>
      </c>
      <c r="BJ916" s="1">
        <f t="shared" si="1300"/>
        <v>1</v>
      </c>
      <c r="BK916" s="1">
        <f t="shared" si="1300"/>
        <v>1</v>
      </c>
      <c r="BL916" s="1">
        <f t="shared" si="1262"/>
        <v>0</v>
      </c>
      <c r="BM916" s="1">
        <f t="shared" si="1260"/>
        <v>0</v>
      </c>
      <c r="BN916" s="1">
        <f t="shared" si="1291"/>
        <v>1</v>
      </c>
      <c r="BO916" s="1">
        <f t="shared" si="1292"/>
        <v>1</v>
      </c>
    </row>
    <row r="917" spans="1:67" ht="30.95" customHeight="1">
      <c r="A917" s="1">
        <f>25</f>
        <v>25</v>
      </c>
      <c r="B917" s="1">
        <f>固定流程!A17</f>
        <v>12</v>
      </c>
      <c r="C917" s="1">
        <f>28</f>
        <v>28</v>
      </c>
      <c r="D917" s="1">
        <f>1</f>
        <v>1</v>
      </c>
      <c r="E917" s="1">
        <f>固定流程!C17</f>
        <v>2</v>
      </c>
      <c r="F917" s="1">
        <f>固定流程!G17</f>
        <v>2</v>
      </c>
      <c r="G917" s="1" t="str">
        <f>固定流程!H17</f>
        <v>37_FOLLOW</v>
      </c>
      <c r="H917" s="1">
        <f>固定流程!F17</f>
        <v>1</v>
      </c>
      <c r="I917" s="1">
        <f>INDEX(配置与结果!$B$15:$B$18,F917)</f>
        <v>2306</v>
      </c>
      <c r="J917" s="1">
        <f>INDEX(配置与结果!$D$15:$D$18,F917)</f>
        <v>0.46</v>
      </c>
      <c r="K917" s="1">
        <f>INDEX(配置与结果!$E$15:$E$18,F917)</f>
        <v>1.9279999999999999</v>
      </c>
      <c r="L917" s="1">
        <f t="shared" si="1298"/>
        <v>1</v>
      </c>
      <c r="M917" s="1">
        <f t="shared" si="1298"/>
        <v>8</v>
      </c>
      <c r="N917" s="1">
        <f t="shared" si="1298"/>
        <v>0</v>
      </c>
      <c r="O917" s="1">
        <f t="shared" si="1297"/>
        <v>6</v>
      </c>
      <c r="P917" s="1">
        <f>MIN(方案参数!$AI$28,AZ916+0+0)</f>
        <v>5</v>
      </c>
      <c r="Q917" s="1">
        <f t="shared" si="1275"/>
        <v>3</v>
      </c>
      <c r="R917" s="1">
        <f t="shared" si="1276"/>
        <v>5</v>
      </c>
      <c r="S917" s="1">
        <f t="shared" si="1277"/>
        <v>2</v>
      </c>
      <c r="T917" s="1">
        <f t="shared" si="1278"/>
        <v>0</v>
      </c>
      <c r="U917" s="1">
        <f t="shared" si="1279"/>
        <v>0</v>
      </c>
      <c r="V917" s="1">
        <f t="shared" si="1280"/>
        <v>1</v>
      </c>
      <c r="W917" s="1">
        <f t="shared" si="1281"/>
        <v>1</v>
      </c>
      <c r="X917" s="1">
        <f t="shared" si="1282"/>
        <v>1</v>
      </c>
      <c r="Y917" s="1">
        <f t="shared" si="1283"/>
        <v>1</v>
      </c>
      <c r="Z917" s="1">
        <f t="shared" si="1284"/>
        <v>1</v>
      </c>
      <c r="AA917" s="1">
        <f t="shared" si="1299"/>
        <v>1</v>
      </c>
      <c r="AB917" s="1">
        <f t="shared" si="1286"/>
        <v>0</v>
      </c>
      <c r="AC917" s="1">
        <f t="shared" si="1287"/>
        <v>0</v>
      </c>
      <c r="AD917" s="1">
        <f>ROUNDDOWN(I917*(1+IF(F917=3,0.05+方案参数!$Y$28+AA917*0.12,IF(F917=4,方案参数!$BZ$28*方案参数!$AS$28,0)))+IF(AND(X917=1,F917&lt;&gt;3),方案参数!$CC$28,0)+AC917*方案参数!$CB$28,0)</f>
        <v>2544</v>
      </c>
      <c r="AE917" s="1">
        <f>IF(OR(F917=1,F917=4),配置与结果!$B$24,配置与结果!$B$25)*MAX(0,1-INDEX(配置与结果!$I$15:$I$18,F917))</f>
        <v>1000</v>
      </c>
      <c r="AF917" s="1">
        <f>方案参数!$BV$28</f>
        <v>3</v>
      </c>
      <c r="AG917" s="1">
        <f>MAX(配置与结果!$B$32,1+INDEX(配置与结果!$F$15:$F$18,F917)+0+Q917*方案参数!$W$28+Y917*(方案参数!$AN$28+MIN(方案参数!$AO$28,P917*0.03))+AB917*方案参数!$BZ$28*0.025-配置与结果!$B$28)</f>
        <v>0.96499999999999997</v>
      </c>
      <c r="AH917" s="1">
        <f>MAX(0,1+INDEX(配置与结果!$G$15:$G$18,F917)+W917*方案参数!$AG$28)</f>
        <v>1.3</v>
      </c>
      <c r="AI917" s="1">
        <f>IF(OR(INDEX(配置与结果!$K$15:$K$18,F917)=1,G917="RHI_BERRY"),1+配置与结果!$B$33+P917*方案参数!$AH$28,1)</f>
        <v>1</v>
      </c>
      <c r="AJ917" s="1">
        <f>MIN(1,MAX(0,J917+方案参数!$AB$28-配置与结果!$B$27))</f>
        <v>0.76</v>
      </c>
      <c r="AK917" s="1">
        <f>MAX(1,K917+IF(F917=2,0.15+方案参数!$CH$28,0)+BN917*方案参数!$X$28+R917*方案参数!$AA$28+0-配置与结果!$B$26+Z917*(方案参数!$AP$28+MIN(方案参数!$AQ$28,P917*0.03)))</f>
        <v>2.278</v>
      </c>
      <c r="AL917" s="7">
        <f>ROUNDDOWN(MAX(AD917*配置与结果!$B$31,AD917-AE917)*AF917*AG917*AH917*AI917,0)</f>
        <v>5810</v>
      </c>
      <c r="AM917" s="7">
        <f>ROUNDDOWN(MAX(AD917*配置与结果!$B$31,AD917-AE917)*AF917*AG917*AH917*AI917*AK917,0)</f>
        <v>13237</v>
      </c>
      <c r="AN917" s="7">
        <f t="shared" si="1266"/>
        <v>11454.52</v>
      </c>
      <c r="AO917" s="7">
        <f>方案参数!$BW$28</f>
        <v>1</v>
      </c>
      <c r="AP917" s="7">
        <f>MAX(0,1+INDEX(配置与结果!$J$15:$J$18,F917)+IF(T917&gt;0,方案参数!$BY$28,0)-配置与结果!$B$30)</f>
        <v>1</v>
      </c>
      <c r="AQ917" s="7">
        <f t="shared" si="1267"/>
        <v>2544</v>
      </c>
      <c r="AR917" s="7">
        <f t="shared" si="1268"/>
        <v>5795</v>
      </c>
      <c r="AS917" s="7">
        <f t="shared" si="1269"/>
        <v>5014.76</v>
      </c>
      <c r="AT917" s="7">
        <f>0</f>
        <v>0</v>
      </c>
      <c r="AU917" s="7">
        <f t="shared" si="1270"/>
        <v>16469.28</v>
      </c>
      <c r="AV917" s="1">
        <f t="shared" si="1271"/>
        <v>1</v>
      </c>
      <c r="AW917" s="1">
        <f t="shared" si="1301"/>
        <v>8</v>
      </c>
      <c r="AX917" s="1">
        <f t="shared" si="1272"/>
        <v>0</v>
      </c>
      <c r="AY917" s="1">
        <f t="shared" si="1295"/>
        <v>6</v>
      </c>
      <c r="AZ917" s="1">
        <f t="shared" si="1273"/>
        <v>5</v>
      </c>
      <c r="BA917" s="1">
        <f>MIN(6,Q917+0)</f>
        <v>3</v>
      </c>
      <c r="BB917" s="1">
        <f t="shared" si="1288"/>
        <v>5</v>
      </c>
      <c r="BC917" s="1">
        <f t="shared" si="1302"/>
        <v>2</v>
      </c>
      <c r="BD917" s="1">
        <f t="shared" si="1296"/>
        <v>0</v>
      </c>
      <c r="BE917" s="1">
        <f t="shared" si="1289"/>
        <v>0</v>
      </c>
      <c r="BF917" s="1">
        <f>MIN(4,V917+1)</f>
        <v>2</v>
      </c>
      <c r="BG917" s="1">
        <f t="shared" si="1293"/>
        <v>1</v>
      </c>
      <c r="BH917" s="1">
        <f t="shared" si="1290"/>
        <v>1</v>
      </c>
      <c r="BI917" s="1">
        <f t="shared" si="1294"/>
        <v>1</v>
      </c>
      <c r="BJ917" s="1">
        <f t="shared" si="1300"/>
        <v>1</v>
      </c>
      <c r="BK917" s="1">
        <f t="shared" si="1300"/>
        <v>1</v>
      </c>
      <c r="BL917" s="1">
        <f t="shared" si="1262"/>
        <v>0</v>
      </c>
      <c r="BM917" s="1">
        <f t="shared" si="1260"/>
        <v>0</v>
      </c>
      <c r="BN917" s="1">
        <f t="shared" si="1291"/>
        <v>1</v>
      </c>
      <c r="BO917" s="1">
        <f t="shared" si="1292"/>
        <v>1</v>
      </c>
    </row>
    <row r="918" spans="1:67" ht="30.95" customHeight="1">
      <c r="A918" s="1">
        <f>25</f>
        <v>25</v>
      </c>
      <c r="B918" s="1">
        <f>固定流程!A18</f>
        <v>13</v>
      </c>
      <c r="C918" s="1">
        <f>28</f>
        <v>28</v>
      </c>
      <c r="D918" s="1">
        <f>1</f>
        <v>1</v>
      </c>
      <c r="E918" s="1">
        <f>固定流程!C18</f>
        <v>2</v>
      </c>
      <c r="F918" s="1">
        <f>固定流程!G18</f>
        <v>3</v>
      </c>
      <c r="G918" s="1" t="str">
        <f>固定流程!H18</f>
        <v>RHI_BERRY</v>
      </c>
      <c r="H918" s="1">
        <f>固定流程!F18</f>
        <v>1</v>
      </c>
      <c r="I918" s="1">
        <f>INDEX(配置与结果!$B$15:$B$18,F918)</f>
        <v>2597</v>
      </c>
      <c r="J918" s="1">
        <f>INDEX(配置与结果!$D$15:$D$18,F918)</f>
        <v>0.255</v>
      </c>
      <c r="K918" s="1">
        <f>INDEX(配置与结果!$E$15:$E$18,F918)</f>
        <v>1.55</v>
      </c>
      <c r="L918" s="1">
        <f t="shared" si="1298"/>
        <v>1</v>
      </c>
      <c r="M918" s="1">
        <f t="shared" si="1298"/>
        <v>8</v>
      </c>
      <c r="N918" s="1">
        <f t="shared" si="1298"/>
        <v>0</v>
      </c>
      <c r="O918" s="1">
        <f t="shared" si="1297"/>
        <v>6</v>
      </c>
      <c r="P918" s="1">
        <f>MIN(方案参数!$AI$28,AZ917+0+0)</f>
        <v>5</v>
      </c>
      <c r="Q918" s="1">
        <f t="shared" si="1275"/>
        <v>3</v>
      </c>
      <c r="R918" s="1">
        <f t="shared" si="1276"/>
        <v>5</v>
      </c>
      <c r="S918" s="1">
        <f t="shared" si="1277"/>
        <v>2</v>
      </c>
      <c r="T918" s="1">
        <f t="shared" si="1278"/>
        <v>0</v>
      </c>
      <c r="U918" s="1">
        <f t="shared" si="1279"/>
        <v>0</v>
      </c>
      <c r="V918" s="1">
        <f t="shared" si="1280"/>
        <v>2</v>
      </c>
      <c r="W918" s="1">
        <f t="shared" si="1281"/>
        <v>1</v>
      </c>
      <c r="X918" s="1">
        <f t="shared" si="1282"/>
        <v>1</v>
      </c>
      <c r="Y918" s="1">
        <f t="shared" si="1283"/>
        <v>1</v>
      </c>
      <c r="Z918" s="1">
        <f t="shared" si="1284"/>
        <v>1</v>
      </c>
      <c r="AA918" s="1">
        <f t="shared" si="1299"/>
        <v>1</v>
      </c>
      <c r="AB918" s="1">
        <f t="shared" si="1286"/>
        <v>0</v>
      </c>
      <c r="AC918" s="1">
        <f t="shared" si="1287"/>
        <v>0</v>
      </c>
      <c r="AD918" s="1">
        <f>ROUNDDOWN(I918*(1+IF(F918=3,0.05+方案参数!$Y$28+AA918*0.12,IF(F918=4,方案参数!$BZ$28*方案参数!$AS$28,0)))+IF(AND(X918=1,F918&lt;&gt;3),方案参数!$CC$28,0)+AC918*方案参数!$CB$28,0)</f>
        <v>3298</v>
      </c>
      <c r="AE918" s="1">
        <f>IF(OR(F918=1,F918=4),配置与结果!$B$24,配置与结果!$B$25)*MAX(0,1-INDEX(配置与结果!$I$15:$I$18,F918))</f>
        <v>1000</v>
      </c>
      <c r="AF918" s="1">
        <f>方案参数!$CF$28+P918*方案参数!$CG$28</f>
        <v>22.5</v>
      </c>
      <c r="AG918" s="1">
        <f>MAX(配置与结果!$B$32,1+INDEX(配置与结果!$F$15:$F$18,F918)+0+Q918*方案参数!$W$28+Y918*(方案参数!$AN$28+MIN(方案参数!$AO$28,P918*0.03))+AB918*方案参数!$BZ$28*0.025-配置与结果!$B$28)</f>
        <v>0.995</v>
      </c>
      <c r="AH918" s="1">
        <f>MAX(0,1+INDEX(配置与结果!$G$15:$G$18,F918)+W918*方案参数!$AG$28)</f>
        <v>1.3</v>
      </c>
      <c r="AI918" s="1">
        <f>IF(OR(INDEX(配置与结果!$K$15:$K$18,F918)=1,G918="RHI_BERRY"),1+配置与结果!$B$33+P918*方案参数!$AH$28,1)</f>
        <v>1.5</v>
      </c>
      <c r="AJ918" s="1">
        <f>MIN(1,MAX(0,J918+方案参数!$AB$28-配置与结果!$B$27))</f>
        <v>0.55499999999999994</v>
      </c>
      <c r="AK918" s="1">
        <f>MAX(1,K918+IF(F918=2,0.15+方案参数!$CH$28,0)+BN918*方案参数!$X$28+R918*方案参数!$AA$28+0-配置与结果!$B$26+Z918*(方案参数!$AP$28+MIN(方案参数!$AQ$28,P918*0.03)))</f>
        <v>1.6300000000000001</v>
      </c>
      <c r="AL918" s="7">
        <f>ROUNDDOWN(MAX(AD918*配置与结果!$B$31,AD918-AE918)*AF918*AG918*AH918*AI918,0)</f>
        <v>100320</v>
      </c>
      <c r="AM918" s="7">
        <f>ROUNDDOWN(MAX(AD918*配置与结果!$B$31,AD918-AE918)*AF918*AG918*AH918*AI918*AK918,0)</f>
        <v>163522</v>
      </c>
      <c r="AN918" s="7">
        <f t="shared" si="1266"/>
        <v>135397.10999999999</v>
      </c>
      <c r="AO918" s="7">
        <f>0</f>
        <v>0</v>
      </c>
      <c r="AP918" s="7">
        <f>MAX(0,1+INDEX(配置与结果!$J$15:$J$18,F918)+IF(T918&gt;0,方案参数!$BY$28,0)-配置与结果!$B$30)</f>
        <v>1</v>
      </c>
      <c r="AQ918" s="7">
        <f t="shared" si="1267"/>
        <v>0</v>
      </c>
      <c r="AR918" s="7">
        <f t="shared" si="1268"/>
        <v>0</v>
      </c>
      <c r="AS918" s="7">
        <f t="shared" si="1269"/>
        <v>0</v>
      </c>
      <c r="AT918" s="7">
        <f>0</f>
        <v>0</v>
      </c>
      <c r="AU918" s="7">
        <f t="shared" si="1270"/>
        <v>135397.10999999999</v>
      </c>
      <c r="AV918" s="1">
        <f t="shared" si="1271"/>
        <v>1</v>
      </c>
      <c r="AW918" s="1">
        <f t="shared" si="1301"/>
        <v>8</v>
      </c>
      <c r="AX918" s="1">
        <f t="shared" si="1272"/>
        <v>0</v>
      </c>
      <c r="AY918" s="1">
        <f t="shared" si="1295"/>
        <v>6</v>
      </c>
      <c r="AZ918" s="1">
        <f t="shared" si="1273"/>
        <v>5</v>
      </c>
      <c r="BA918" s="1">
        <f>MIN(6,Q918+0)</f>
        <v>3</v>
      </c>
      <c r="BB918" s="1">
        <f t="shared" si="1288"/>
        <v>5</v>
      </c>
      <c r="BC918" s="1">
        <f t="shared" si="1302"/>
        <v>2</v>
      </c>
      <c r="BD918" s="1">
        <f t="shared" si="1296"/>
        <v>0</v>
      </c>
      <c r="BE918" s="1">
        <f t="shared" si="1289"/>
        <v>0</v>
      </c>
      <c r="BF918" s="1">
        <f>MIN(4,V918+0)</f>
        <v>2</v>
      </c>
      <c r="BG918" s="1">
        <f t="shared" si="1293"/>
        <v>1</v>
      </c>
      <c r="BH918" s="1">
        <f t="shared" si="1290"/>
        <v>1</v>
      </c>
      <c r="BI918" s="1">
        <f t="shared" si="1294"/>
        <v>1</v>
      </c>
      <c r="BJ918" s="1">
        <f t="shared" si="1300"/>
        <v>1</v>
      </c>
      <c r="BK918" s="1">
        <f t="shared" si="1300"/>
        <v>1</v>
      </c>
      <c r="BL918" s="1">
        <f t="shared" si="1262"/>
        <v>0</v>
      </c>
      <c r="BM918" s="1">
        <f t="shared" si="1260"/>
        <v>0</v>
      </c>
      <c r="BN918" s="1">
        <f t="shared" si="1291"/>
        <v>1</v>
      </c>
      <c r="BO918" s="1">
        <f t="shared" si="1292"/>
        <v>1</v>
      </c>
    </row>
    <row r="919" spans="1:67" ht="30.95" customHeight="1">
      <c r="A919" s="1">
        <f>25</f>
        <v>25</v>
      </c>
      <c r="B919" s="1">
        <f>固定流程!A19</f>
        <v>14</v>
      </c>
      <c r="C919" s="1">
        <f>28</f>
        <v>28</v>
      </c>
      <c r="D919" s="1">
        <f>1</f>
        <v>1</v>
      </c>
      <c r="E919" s="1">
        <f>固定流程!C19</f>
        <v>3</v>
      </c>
      <c r="F919" s="1">
        <f>固定流程!G19</f>
        <v>3</v>
      </c>
      <c r="G919" s="1" t="str">
        <f>固定流程!H19</f>
        <v>RHI_BUFF</v>
      </c>
      <c r="H919" s="1">
        <f>固定流程!F19</f>
        <v>1</v>
      </c>
      <c r="I919" s="1">
        <f>INDEX(配置与结果!$B$15:$B$18,F919)</f>
        <v>2597</v>
      </c>
      <c r="J919" s="1">
        <f>INDEX(配置与结果!$D$15:$D$18,F919)</f>
        <v>0.255</v>
      </c>
      <c r="K919" s="1">
        <f>INDEX(配置与结果!$E$15:$E$18,F919)</f>
        <v>1.55</v>
      </c>
      <c r="L919" s="1">
        <f>IF(AV918=1,IF(M919&gt;=10,2,1),IF(AV918=2,IF(AX918&lt;=1,0,2),0))</f>
        <v>2</v>
      </c>
      <c r="M919" s="1">
        <f>IF(AND(AV918=2,AX918&lt;=1),0,MIN(10,AW918+IF(AV918=1,3,0)))</f>
        <v>10</v>
      </c>
      <c r="N919" s="1">
        <f>IF(AND(AV918=1,M919&gt;=10),2,IF(AV918=2,MAX(0,AX918-1),0))</f>
        <v>2</v>
      </c>
      <c r="O919" s="1">
        <f t="shared" si="1297"/>
        <v>6</v>
      </c>
      <c r="P919" s="1">
        <f>MIN(方案参数!$AI$28,AZ918+方案参数!$AJ$28+方案参数!$AK$28)</f>
        <v>5</v>
      </c>
      <c r="Q919" s="1">
        <f t="shared" si="1275"/>
        <v>3</v>
      </c>
      <c r="R919" s="1">
        <f t="shared" si="1276"/>
        <v>5</v>
      </c>
      <c r="S919" s="1">
        <f t="shared" si="1277"/>
        <v>2</v>
      </c>
      <c r="T919" s="1">
        <f t="shared" si="1278"/>
        <v>0</v>
      </c>
      <c r="U919" s="1">
        <f t="shared" si="1279"/>
        <v>0</v>
      </c>
      <c r="V919" s="1">
        <f t="shared" si="1280"/>
        <v>2</v>
      </c>
      <c r="W919" s="1">
        <f t="shared" si="1281"/>
        <v>1</v>
      </c>
      <c r="X919" s="1">
        <f t="shared" si="1282"/>
        <v>1</v>
      </c>
      <c r="Y919" s="1">
        <f t="shared" si="1283"/>
        <v>1</v>
      </c>
      <c r="Z919" s="1">
        <f t="shared" si="1284"/>
        <v>1</v>
      </c>
      <c r="AA919" s="1">
        <f t="shared" si="1299"/>
        <v>1</v>
      </c>
      <c r="AB919" s="1">
        <f t="shared" si="1286"/>
        <v>0</v>
      </c>
      <c r="AC919" s="1">
        <f t="shared" si="1287"/>
        <v>0</v>
      </c>
      <c r="AD919" s="1">
        <f>ROUNDDOWN(I919*(1+IF(F919=3,0.05+方案参数!$Y$28+AA919*0.12,IF(F919=4,方案参数!$BZ$28*方案参数!$AS$28,0)))+IF(AND(X919=1,F919&lt;&gt;3),方案参数!$CC$28,0)+AC919*方案参数!$CB$28,0)</f>
        <v>3298</v>
      </c>
      <c r="AE919" s="1">
        <f>IF(OR(F919=1,F919=4),配置与结果!$B$24,配置与结果!$B$25)*MAX(0,1-INDEX(配置与结果!$I$15:$I$18,F919))</f>
        <v>1000</v>
      </c>
      <c r="AF919" s="1">
        <f>0</f>
        <v>0</v>
      </c>
      <c r="AG919" s="1">
        <f>MAX(配置与结果!$B$32,1+INDEX(配置与结果!$F$15:$F$18,F919)+0+Q919*方案参数!$W$28+Y919*(方案参数!$AN$28+MIN(方案参数!$AO$28,P919*0.03))+AB919*方案参数!$BZ$28*0.025-配置与结果!$B$28)</f>
        <v>0.995</v>
      </c>
      <c r="AH919" s="1">
        <f>MAX(0,1+INDEX(配置与结果!$G$15:$G$18,F919)+W919*方案参数!$AG$28)</f>
        <v>1.3</v>
      </c>
      <c r="AI919" s="1">
        <f>IF(OR(INDEX(配置与结果!$K$15:$K$18,F919)=1,G919="RHI_BERRY"),1+配置与结果!$B$33+P919*方案参数!$AH$28,1)</f>
        <v>1</v>
      </c>
      <c r="AJ919" s="1">
        <f>MIN(1,MAX(0,J919+方案参数!$AB$28-配置与结果!$B$27))</f>
        <v>0.55499999999999994</v>
      </c>
      <c r="AK919" s="1">
        <f>MAX(1,K919+IF(F919=2,0.15+方案参数!$CH$28,0)+BN919*方案参数!$X$28+R919*方案参数!$AA$28+0-配置与结果!$B$26+Z919*(方案参数!$AP$28+MIN(方案参数!$AQ$28,P919*0.03)))</f>
        <v>1.6300000000000001</v>
      </c>
      <c r="AL919" s="7">
        <f>ROUNDDOWN(MAX(AD919*配置与结果!$B$31,AD919-AE919)*AF919*AG919*AH919*AI919,0)</f>
        <v>0</v>
      </c>
      <c r="AM919" s="7">
        <f>ROUNDDOWN(MAX(AD919*配置与结果!$B$31,AD919-AE919)*AF919*AG919*AH919*AI919*AK919,0)</f>
        <v>0</v>
      </c>
      <c r="AN919" s="7">
        <f t="shared" si="1266"/>
        <v>0</v>
      </c>
      <c r="AO919" s="7">
        <f>0</f>
        <v>0</v>
      </c>
      <c r="AP919" s="7">
        <f>MAX(0,1+INDEX(配置与结果!$J$15:$J$18,F919)+IF(T919&gt;0,方案参数!$BY$28,0)-配置与结果!$B$30)</f>
        <v>1</v>
      </c>
      <c r="AQ919" s="7">
        <f t="shared" si="1267"/>
        <v>0</v>
      </c>
      <c r="AR919" s="7">
        <f t="shared" si="1268"/>
        <v>0</v>
      </c>
      <c r="AS919" s="7">
        <f t="shared" si="1269"/>
        <v>0</v>
      </c>
      <c r="AT919" s="7">
        <f>0</f>
        <v>0</v>
      </c>
      <c r="AU919" s="7">
        <f t="shared" si="1270"/>
        <v>0</v>
      </c>
      <c r="AV919" s="1">
        <f t="shared" si="1271"/>
        <v>2</v>
      </c>
      <c r="AW919" s="1">
        <f t="shared" si="1301"/>
        <v>10</v>
      </c>
      <c r="AX919" s="1">
        <f t="shared" si="1272"/>
        <v>2</v>
      </c>
      <c r="AY919" s="1">
        <f t="shared" si="1295"/>
        <v>6</v>
      </c>
      <c r="AZ919" s="1">
        <f t="shared" si="1273"/>
        <v>5</v>
      </c>
      <c r="BA919" s="1">
        <f>MIN(6,Q919+1)</f>
        <v>4</v>
      </c>
      <c r="BB919" s="1">
        <f t="shared" si="1288"/>
        <v>5</v>
      </c>
      <c r="BC919" s="1">
        <f t="shared" si="1302"/>
        <v>2</v>
      </c>
      <c r="BD919" s="1">
        <f t="shared" si="1296"/>
        <v>0</v>
      </c>
      <c r="BE919" s="1">
        <f t="shared" si="1289"/>
        <v>0</v>
      </c>
      <c r="BF919" s="1">
        <f>MIN(4,V919+0)</f>
        <v>2</v>
      </c>
      <c r="BG919" s="1">
        <f>MAX(W919,1)</f>
        <v>1</v>
      </c>
      <c r="BH919" s="1">
        <f t="shared" si="1290"/>
        <v>1</v>
      </c>
      <c r="BI919" s="1">
        <f>MAX(Y919,1)</f>
        <v>1</v>
      </c>
      <c r="BJ919" s="1">
        <f t="shared" si="1300"/>
        <v>1</v>
      </c>
      <c r="BK919" s="1">
        <f t="shared" si="1300"/>
        <v>1</v>
      </c>
      <c r="BL919" s="1">
        <f t="shared" si="1262"/>
        <v>0</v>
      </c>
      <c r="BM919" s="1">
        <f t="shared" si="1260"/>
        <v>0</v>
      </c>
      <c r="BN919" s="1">
        <f t="shared" si="1291"/>
        <v>1</v>
      </c>
      <c r="BO919" s="1">
        <f t="shared" si="1292"/>
        <v>1</v>
      </c>
    </row>
    <row r="920" spans="1:67" ht="30.95" customHeight="1">
      <c r="A920" s="1">
        <f>25</f>
        <v>25</v>
      </c>
      <c r="B920" s="1">
        <f>固定流程!A20</f>
        <v>15</v>
      </c>
      <c r="C920" s="1">
        <f>28</f>
        <v>28</v>
      </c>
      <c r="D920" s="1">
        <f>1</f>
        <v>1</v>
      </c>
      <c r="E920" s="1">
        <f>固定流程!C20</f>
        <v>3</v>
      </c>
      <c r="F920" s="1">
        <f>固定流程!G20</f>
        <v>3</v>
      </c>
      <c r="G920" s="1" t="str">
        <f>固定流程!H20</f>
        <v>RHI_ATTACK</v>
      </c>
      <c r="H920" s="1">
        <f>固定流程!F20</f>
        <v>1</v>
      </c>
      <c r="I920" s="1">
        <f>INDEX(配置与结果!$B$15:$B$18,F920)</f>
        <v>2597</v>
      </c>
      <c r="J920" s="1">
        <f>INDEX(配置与结果!$D$15:$D$18,F920)</f>
        <v>0.255</v>
      </c>
      <c r="K920" s="1">
        <f>INDEX(配置与结果!$E$15:$E$18,F920)</f>
        <v>1.55</v>
      </c>
      <c r="L920" s="1">
        <f t="shared" ref="L920:L941" si="1303">AV919</f>
        <v>2</v>
      </c>
      <c r="M920" s="1">
        <f t="shared" ref="M920:M941" si="1304">AW919</f>
        <v>10</v>
      </c>
      <c r="N920" s="1">
        <f t="shared" ref="N920:N941" si="1305">AX919</f>
        <v>2</v>
      </c>
      <c r="O920" s="1">
        <f t="shared" si="1297"/>
        <v>6</v>
      </c>
      <c r="P920" s="1">
        <f>MIN(方案参数!$AI$28,AZ919+0+方案参数!$AK$28)</f>
        <v>5</v>
      </c>
      <c r="Q920" s="1">
        <f t="shared" si="1275"/>
        <v>4</v>
      </c>
      <c r="R920" s="1">
        <f t="shared" si="1276"/>
        <v>5</v>
      </c>
      <c r="S920" s="1">
        <f t="shared" si="1277"/>
        <v>2</v>
      </c>
      <c r="T920" s="1">
        <f t="shared" si="1278"/>
        <v>0</v>
      </c>
      <c r="U920" s="1">
        <f t="shared" si="1279"/>
        <v>0</v>
      </c>
      <c r="V920" s="1">
        <f t="shared" si="1280"/>
        <v>2</v>
      </c>
      <c r="W920" s="1">
        <f t="shared" si="1281"/>
        <v>1</v>
      </c>
      <c r="X920" s="1">
        <f t="shared" si="1282"/>
        <v>1</v>
      </c>
      <c r="Y920" s="1">
        <f t="shared" si="1283"/>
        <v>1</v>
      </c>
      <c r="Z920" s="1">
        <f t="shared" si="1284"/>
        <v>1</v>
      </c>
      <c r="AA920" s="1">
        <f>MAX(BK919,1)</f>
        <v>1</v>
      </c>
      <c r="AB920" s="1">
        <f t="shared" si="1286"/>
        <v>0</v>
      </c>
      <c r="AC920" s="1">
        <f t="shared" si="1287"/>
        <v>0</v>
      </c>
      <c r="AD920" s="1">
        <f>ROUNDDOWN(I920*(1+IF(F920=3,0.05+方案参数!$Y$28+AA920*0.12,IF(F920=4,方案参数!$BZ$28*方案参数!$AS$28,0)))+IF(AND(X920=1,F920&lt;&gt;3),方案参数!$CC$28,0)+AC920*方案参数!$CB$28,0)</f>
        <v>3298</v>
      </c>
      <c r="AE920" s="1">
        <f>IF(OR(F920=1,F920=4),配置与结果!$B$24,配置与结果!$B$25)*MAX(0,1-INDEX(配置与结果!$I$15:$I$18,F920))</f>
        <v>1000</v>
      </c>
      <c r="AF920" s="1">
        <f>4</f>
        <v>4</v>
      </c>
      <c r="AG920" s="1">
        <f>MAX(配置与结果!$B$32,1+INDEX(配置与结果!$F$15:$F$18,F920)+0+Q920*方案参数!$W$28+Y920*(方案参数!$AN$28+MIN(方案参数!$AO$28,P920*0.03))+AB920*方案参数!$BZ$28*0.025-配置与结果!$B$28)</f>
        <v>1.0150000000000001</v>
      </c>
      <c r="AH920" s="1">
        <f>MAX(0,1+INDEX(配置与结果!$G$15:$G$18,F920)+W920*方案参数!$AG$28)</f>
        <v>1.3</v>
      </c>
      <c r="AI920" s="1">
        <f>IF(OR(INDEX(配置与结果!$K$15:$K$18,F920)=1,G920="RHI_BERRY"),1+配置与结果!$B$33+P920*方案参数!$AH$28,1)</f>
        <v>1</v>
      </c>
      <c r="AJ920" s="1">
        <f>MIN(1,MAX(0,J920+方案参数!$AB$28-配置与结果!$B$27))</f>
        <v>0.55499999999999994</v>
      </c>
      <c r="AK920" s="1">
        <f>MAX(1,K920+IF(F920=2,0.15+方案参数!$CH$28,0)+BN920*方案参数!$X$28+R920*方案参数!$AA$28+0-配置与结果!$B$26+Z920*(方案参数!$AP$28+MIN(方案参数!$AQ$28,P920*0.03)))</f>
        <v>1.6300000000000001</v>
      </c>
      <c r="AL920" s="7">
        <f>ROUNDDOWN(MAX(AD920*配置与结果!$B$31,AD920-AE920)*AF920*AG920*AH920*AI920,0)</f>
        <v>12128</v>
      </c>
      <c r="AM920" s="7">
        <f>ROUNDDOWN(MAX(AD920*配置与结果!$B$31,AD920-AE920)*AF920*AG920*AH920*AI920*AK920,0)</f>
        <v>19770</v>
      </c>
      <c r="AN920" s="7">
        <f t="shared" si="1266"/>
        <v>16369.31</v>
      </c>
      <c r="AO920" s="7">
        <f>0</f>
        <v>0</v>
      </c>
      <c r="AP920" s="7">
        <f>MAX(0,1+INDEX(配置与结果!$J$15:$J$18,F920)+IF(T920&gt;0,方案参数!$BY$28,0)-配置与结果!$B$30)</f>
        <v>1</v>
      </c>
      <c r="AQ920" s="7">
        <f t="shared" si="1267"/>
        <v>0</v>
      </c>
      <c r="AR920" s="7">
        <f t="shared" si="1268"/>
        <v>0</v>
      </c>
      <c r="AS920" s="7">
        <f t="shared" si="1269"/>
        <v>0</v>
      </c>
      <c r="AT920" s="7">
        <f>0</f>
        <v>0</v>
      </c>
      <c r="AU920" s="7">
        <f t="shared" si="1270"/>
        <v>16369.31</v>
      </c>
      <c r="AV920" s="1">
        <f t="shared" si="1271"/>
        <v>2</v>
      </c>
      <c r="AW920" s="1">
        <f t="shared" si="1301"/>
        <v>10</v>
      </c>
      <c r="AX920" s="1">
        <f t="shared" si="1272"/>
        <v>2</v>
      </c>
      <c r="AY920" s="1">
        <f t="shared" si="1295"/>
        <v>6</v>
      </c>
      <c r="AZ920" s="1">
        <f t="shared" si="1273"/>
        <v>5</v>
      </c>
      <c r="BA920" s="1">
        <f>MIN(6,Q920+1)</f>
        <v>5</v>
      </c>
      <c r="BB920" s="1">
        <f t="shared" si="1288"/>
        <v>5</v>
      </c>
      <c r="BC920" s="1">
        <f t="shared" si="1302"/>
        <v>2</v>
      </c>
      <c r="BD920" s="1">
        <f t="shared" si="1296"/>
        <v>0</v>
      </c>
      <c r="BE920" s="1">
        <f t="shared" si="1289"/>
        <v>0</v>
      </c>
      <c r="BF920" s="1">
        <f>MIN(4,V920+0)</f>
        <v>2</v>
      </c>
      <c r="BG920" s="1">
        <f t="shared" ref="BG920:BG942" si="1306">MAX(W920,0)</f>
        <v>1</v>
      </c>
      <c r="BH920" s="1">
        <f t="shared" si="1290"/>
        <v>1</v>
      </c>
      <c r="BI920" s="1">
        <f t="shared" ref="BI920:BI942" si="1307">MAX(Y920,0)</f>
        <v>1</v>
      </c>
      <c r="BJ920" s="1">
        <f>MAX(Z920,1)</f>
        <v>1</v>
      </c>
      <c r="BK920" s="1">
        <f>MAX(AA920,1)</f>
        <v>1</v>
      </c>
      <c r="BL920" s="1">
        <f t="shared" si="1262"/>
        <v>0</v>
      </c>
      <c r="BM920" s="1">
        <f t="shared" si="1260"/>
        <v>0</v>
      </c>
      <c r="BN920" s="1">
        <f t="shared" si="1291"/>
        <v>1</v>
      </c>
      <c r="BO920" s="1">
        <f t="shared" si="1292"/>
        <v>1</v>
      </c>
    </row>
    <row r="921" spans="1:67" ht="30.95" customHeight="1">
      <c r="A921" s="1">
        <f>25</f>
        <v>25</v>
      </c>
      <c r="B921" s="1">
        <f>固定流程!A21</f>
        <v>16</v>
      </c>
      <c r="C921" s="1">
        <f>28</f>
        <v>28</v>
      </c>
      <c r="D921" s="1">
        <f>1</f>
        <v>1</v>
      </c>
      <c r="E921" s="1">
        <f>固定流程!C21</f>
        <v>3</v>
      </c>
      <c r="F921" s="1">
        <f>固定流程!G21</f>
        <v>2</v>
      </c>
      <c r="G921" s="1" t="str">
        <f>固定流程!H21</f>
        <v>37_ULT</v>
      </c>
      <c r="H921" s="1">
        <f>固定流程!F21</f>
        <v>1</v>
      </c>
      <c r="I921" s="1">
        <f>INDEX(配置与结果!$B$15:$B$18,F921)</f>
        <v>2306</v>
      </c>
      <c r="J921" s="1">
        <f>INDEX(配置与结果!$D$15:$D$18,F921)</f>
        <v>0.46</v>
      </c>
      <c r="K921" s="1">
        <f>INDEX(配置与结果!$E$15:$E$18,F921)</f>
        <v>1.9279999999999999</v>
      </c>
      <c r="L921" s="1">
        <f t="shared" si="1303"/>
        <v>2</v>
      </c>
      <c r="M921" s="1">
        <f t="shared" si="1304"/>
        <v>10</v>
      </c>
      <c r="N921" s="1">
        <f t="shared" si="1305"/>
        <v>2</v>
      </c>
      <c r="O921" s="1">
        <f t="shared" si="1297"/>
        <v>6</v>
      </c>
      <c r="P921" s="1">
        <f>MIN(方案参数!$AI$28,AZ920+0+0)</f>
        <v>5</v>
      </c>
      <c r="Q921" s="1">
        <f t="shared" si="1275"/>
        <v>5</v>
      </c>
      <c r="R921" s="1">
        <f t="shared" si="1276"/>
        <v>5</v>
      </c>
      <c r="S921" s="1">
        <f t="shared" si="1277"/>
        <v>2</v>
      </c>
      <c r="T921" s="1">
        <f>BD920+方案参数!$BX$28</f>
        <v>2</v>
      </c>
      <c r="U921" s="1">
        <f t="shared" si="1279"/>
        <v>0</v>
      </c>
      <c r="V921" s="1">
        <f t="shared" si="1280"/>
        <v>2</v>
      </c>
      <c r="W921" s="1">
        <f t="shared" si="1281"/>
        <v>1</v>
      </c>
      <c r="X921" s="1">
        <f t="shared" si="1282"/>
        <v>1</v>
      </c>
      <c r="Y921" s="1">
        <f t="shared" si="1283"/>
        <v>1</v>
      </c>
      <c r="Z921" s="1">
        <f t="shared" si="1284"/>
        <v>1</v>
      </c>
      <c r="AA921" s="1">
        <f t="shared" ref="AA921:AA941" si="1308">MAX(BK920,0)</f>
        <v>1</v>
      </c>
      <c r="AB921" s="1">
        <f t="shared" si="1286"/>
        <v>0</v>
      </c>
      <c r="AC921" s="1">
        <f>MAX(BM920,1)</f>
        <v>1</v>
      </c>
      <c r="AD921" s="1">
        <f>ROUNDDOWN(I921*(1+IF(F921=3,0.05+方案参数!$Y$28+AA921*0.12,IF(F921=4,方案参数!$BZ$28*方案参数!$AS$28,0)))+IF(AND(X921=1,F921&lt;&gt;3),方案参数!$CC$28,0)+AC921*方案参数!$CB$28,0)</f>
        <v>3044</v>
      </c>
      <c r="AE921" s="1">
        <f>IF(OR(F921=1,F921=4),配置与结果!$B$24,配置与结果!$B$25)*MAX(0,1-INDEX(配置与结果!$I$15:$I$18,F921))</f>
        <v>1000</v>
      </c>
      <c r="AF921" s="1">
        <f>0</f>
        <v>0</v>
      </c>
      <c r="AG921" s="1">
        <f>MAX(配置与结果!$B$32,1+INDEX(配置与结果!$F$15:$F$18,F921)+0+Q921*方案参数!$W$28+Y921*(方案参数!$AN$28+MIN(方案参数!$AO$28,P921*0.03))+AB921*方案参数!$BZ$28*0.025-配置与结果!$B$28)</f>
        <v>1.0049999999999999</v>
      </c>
      <c r="AH921" s="1">
        <f>MAX(0,1+INDEX(配置与结果!$G$15:$G$18,F921)+W921*方案参数!$AG$28)</f>
        <v>1.3</v>
      </c>
      <c r="AI921" s="1">
        <f>IF(OR(INDEX(配置与结果!$K$15:$K$18,F921)=1,G921="RHI_BERRY"),1+配置与结果!$B$33+P921*方案参数!$AH$28,1)</f>
        <v>1</v>
      </c>
      <c r="AJ921" s="1">
        <f>MIN(1,MAX(0,J921+方案参数!$AB$28-配置与结果!$B$27))</f>
        <v>0.76</v>
      </c>
      <c r="AK921" s="1">
        <f>MAX(1,K921+IF(F921=2,0.15+方案参数!$CH$28,0)+BN921*方案参数!$X$28+R921*方案参数!$AA$28+0-配置与结果!$B$26+Z921*(方案参数!$AP$28+MIN(方案参数!$AQ$28,P921*0.03)))</f>
        <v>2.278</v>
      </c>
      <c r="AL921" s="7">
        <f>ROUNDDOWN(MAX(AD921*配置与结果!$B$31,AD921-AE921)*AF921*AG921*AH921*AI921,0)</f>
        <v>0</v>
      </c>
      <c r="AM921" s="7">
        <f>ROUNDDOWN(MAX(AD921*配置与结果!$B$31,AD921-AE921)*AF921*AG921*AH921*AI921*AK921,0)</f>
        <v>0</v>
      </c>
      <c r="AN921" s="7">
        <f t="shared" si="1266"/>
        <v>0</v>
      </c>
      <c r="AO921" s="7">
        <f>0</f>
        <v>0</v>
      </c>
      <c r="AP921" s="7">
        <f>MAX(0,1+INDEX(配置与结果!$J$15:$J$18,F921)+IF(T921&gt;0,方案参数!$BY$28,0)-配置与结果!$B$30)</f>
        <v>2</v>
      </c>
      <c r="AQ921" s="7">
        <f t="shared" si="1267"/>
        <v>0</v>
      </c>
      <c r="AR921" s="7">
        <f t="shared" si="1268"/>
        <v>0</v>
      </c>
      <c r="AS921" s="7">
        <f t="shared" si="1269"/>
        <v>0</v>
      </c>
      <c r="AT921" s="7">
        <f>0</f>
        <v>0</v>
      </c>
      <c r="AU921" s="7">
        <f t="shared" si="1270"/>
        <v>0</v>
      </c>
      <c r="AV921" s="1">
        <f t="shared" si="1271"/>
        <v>2</v>
      </c>
      <c r="AW921" s="1">
        <f t="shared" si="1301"/>
        <v>10</v>
      </c>
      <c r="AX921" s="1">
        <f t="shared" si="1272"/>
        <v>2</v>
      </c>
      <c r="AY921" s="1">
        <f t="shared" si="1295"/>
        <v>6</v>
      </c>
      <c r="AZ921" s="1">
        <f t="shared" si="1273"/>
        <v>5</v>
      </c>
      <c r="BA921" s="1">
        <f t="shared" ref="BA921:BA941" si="1309">MIN(6,Q921+0)</f>
        <v>5</v>
      </c>
      <c r="BB921" s="1">
        <f>MIN(30,R921+5)</f>
        <v>10</v>
      </c>
      <c r="BC921" s="1">
        <f t="shared" si="1302"/>
        <v>2</v>
      </c>
      <c r="BD921" s="1">
        <f t="shared" si="1296"/>
        <v>2</v>
      </c>
      <c r="BE921" s="1">
        <f t="shared" si="1289"/>
        <v>0</v>
      </c>
      <c r="BF921" s="1">
        <f>MIN(4,V921+0)</f>
        <v>2</v>
      </c>
      <c r="BG921" s="1">
        <f t="shared" si="1306"/>
        <v>1</v>
      </c>
      <c r="BH921" s="1">
        <f t="shared" si="1290"/>
        <v>1</v>
      </c>
      <c r="BI921" s="1">
        <f t="shared" si="1307"/>
        <v>1</v>
      </c>
      <c r="BJ921" s="1">
        <f t="shared" ref="BJ921:BJ948" si="1310">MAX(Z921,0)</f>
        <v>1</v>
      </c>
      <c r="BK921" s="1">
        <f t="shared" ref="BK921:BK948" si="1311">MAX(AA921,0)</f>
        <v>1</v>
      </c>
      <c r="BL921" s="1">
        <f t="shared" si="1262"/>
        <v>0</v>
      </c>
      <c r="BM921" s="1">
        <f>MAX(AC921,1)</f>
        <v>1</v>
      </c>
      <c r="BN921" s="1">
        <f t="shared" si="1291"/>
        <v>1</v>
      </c>
      <c r="BO921" s="1">
        <f t="shared" si="1292"/>
        <v>1</v>
      </c>
    </row>
    <row r="922" spans="1:67" ht="30.95" customHeight="1">
      <c r="A922" s="1">
        <f>25</f>
        <v>25</v>
      </c>
      <c r="B922" s="1">
        <f>固定流程!A22</f>
        <v>17</v>
      </c>
      <c r="C922" s="1">
        <f>28</f>
        <v>28</v>
      </c>
      <c r="D922" s="1">
        <f>1</f>
        <v>1</v>
      </c>
      <c r="E922" s="1">
        <f>固定流程!C22</f>
        <v>3</v>
      </c>
      <c r="F922" s="1">
        <f>固定流程!G22</f>
        <v>2</v>
      </c>
      <c r="G922" s="1" t="str">
        <f>固定流程!H22</f>
        <v>37_FOLLOW</v>
      </c>
      <c r="H922" s="1">
        <f>固定流程!F22</f>
        <v>1</v>
      </c>
      <c r="I922" s="1">
        <f>INDEX(配置与结果!$B$15:$B$18,F922)</f>
        <v>2306</v>
      </c>
      <c r="J922" s="1">
        <f>INDEX(配置与结果!$D$15:$D$18,F922)</f>
        <v>0.46</v>
      </c>
      <c r="K922" s="1">
        <f>INDEX(配置与结果!$E$15:$E$18,F922)</f>
        <v>1.9279999999999999</v>
      </c>
      <c r="L922" s="1">
        <f t="shared" si="1303"/>
        <v>2</v>
      </c>
      <c r="M922" s="1">
        <f t="shared" si="1304"/>
        <v>10</v>
      </c>
      <c r="N922" s="1">
        <f t="shared" si="1305"/>
        <v>2</v>
      </c>
      <c r="O922" s="1">
        <f t="shared" si="1297"/>
        <v>6</v>
      </c>
      <c r="P922" s="1">
        <f>MIN(方案参数!$AI$28,AZ921+0+0)</f>
        <v>5</v>
      </c>
      <c r="Q922" s="1">
        <f t="shared" si="1275"/>
        <v>5</v>
      </c>
      <c r="R922" s="1">
        <f t="shared" si="1276"/>
        <v>10</v>
      </c>
      <c r="S922" s="1">
        <f t="shared" si="1277"/>
        <v>2</v>
      </c>
      <c r="T922" s="1">
        <f t="shared" ref="T922:T941" si="1312">BD921+0</f>
        <v>2</v>
      </c>
      <c r="U922" s="1">
        <f t="shared" si="1279"/>
        <v>0</v>
      </c>
      <c r="V922" s="1">
        <f t="shared" si="1280"/>
        <v>2</v>
      </c>
      <c r="W922" s="1">
        <f t="shared" si="1281"/>
        <v>1</v>
      </c>
      <c r="X922" s="1">
        <f t="shared" si="1282"/>
        <v>1</v>
      </c>
      <c r="Y922" s="1">
        <f t="shared" si="1283"/>
        <v>1</v>
      </c>
      <c r="Z922" s="1">
        <f t="shared" si="1284"/>
        <v>1</v>
      </c>
      <c r="AA922" s="1">
        <f t="shared" si="1308"/>
        <v>1</v>
      </c>
      <c r="AB922" s="1">
        <f t="shared" si="1286"/>
        <v>0</v>
      </c>
      <c r="AC922" s="1">
        <f t="shared" ref="AC922:AC941" si="1313">MAX(BM921,0)</f>
        <v>1</v>
      </c>
      <c r="AD922" s="1">
        <f>ROUNDDOWN(I922*(1+IF(F922=3,0.05+方案参数!$Y$28+AA922*0.12,IF(F922=4,方案参数!$BZ$28*方案参数!$AS$28,0)))+IF(AND(X922=1,F922&lt;&gt;3),方案参数!$CC$28,0)+AC922*方案参数!$CB$28,0)</f>
        <v>3044</v>
      </c>
      <c r="AE922" s="1">
        <f>IF(OR(F922=1,F922=4),配置与结果!$B$24,配置与结果!$B$25)*MAX(0,1-INDEX(配置与结果!$I$15:$I$18,F922))</f>
        <v>1000</v>
      </c>
      <c r="AF922" s="1">
        <f>方案参数!$BV$28</f>
        <v>3</v>
      </c>
      <c r="AG922" s="1">
        <f>MAX(配置与结果!$B$32,1+INDEX(配置与结果!$F$15:$F$18,F922)+0+Q922*方案参数!$W$28+Y922*(方案参数!$AN$28+MIN(方案参数!$AO$28,P922*0.03))+AB922*方案参数!$BZ$28*0.025-配置与结果!$B$28)</f>
        <v>1.0049999999999999</v>
      </c>
      <c r="AH922" s="1">
        <f>MAX(0,1+INDEX(配置与结果!$G$15:$G$18,F922)+W922*方案参数!$AG$28)</f>
        <v>1.3</v>
      </c>
      <c r="AI922" s="1">
        <f>IF(OR(INDEX(配置与结果!$K$15:$K$18,F922)=1,G922="RHI_BERRY"),1+配置与结果!$B$33+P922*方案参数!$AH$28,1)</f>
        <v>1</v>
      </c>
      <c r="AJ922" s="1">
        <f>MIN(1,MAX(0,J922+方案参数!$AB$28-配置与结果!$B$27))</f>
        <v>0.76</v>
      </c>
      <c r="AK922" s="1">
        <f>MAX(1,K922+IF(F922=2,0.15+方案参数!$CH$28,0)+BN922*方案参数!$X$28+R922*方案参数!$AA$28+0-配置与结果!$B$26+Z922*(方案参数!$AP$28+MIN(方案参数!$AQ$28,P922*0.03)))</f>
        <v>2.298</v>
      </c>
      <c r="AL922" s="7">
        <f>ROUNDDOWN(MAX(AD922*配置与结果!$B$31,AD922-AE922)*AF922*AG922*AH922*AI922,0)</f>
        <v>8011</v>
      </c>
      <c r="AM922" s="7">
        <f>ROUNDDOWN(MAX(AD922*配置与结果!$B$31,AD922-AE922)*AF922*AG922*AH922*AI922*AK922,0)</f>
        <v>18410</v>
      </c>
      <c r="AN922" s="7">
        <f t="shared" si="1266"/>
        <v>15914.24</v>
      </c>
      <c r="AO922" s="7">
        <f>方案参数!$BW$28</f>
        <v>1</v>
      </c>
      <c r="AP922" s="7">
        <f>MAX(0,1+INDEX(配置与结果!$J$15:$J$18,F922)+IF(T922&gt;0,方案参数!$BY$28,0)-配置与结果!$B$30)</f>
        <v>2</v>
      </c>
      <c r="AQ922" s="7">
        <f t="shared" si="1267"/>
        <v>6088</v>
      </c>
      <c r="AR922" s="7">
        <f t="shared" si="1268"/>
        <v>13990</v>
      </c>
      <c r="AS922" s="7">
        <f t="shared" si="1269"/>
        <v>12093.52</v>
      </c>
      <c r="AT922" s="7">
        <f>0</f>
        <v>0</v>
      </c>
      <c r="AU922" s="7">
        <f t="shared" si="1270"/>
        <v>28007.760000000002</v>
      </c>
      <c r="AV922" s="1">
        <f t="shared" si="1271"/>
        <v>2</v>
      </c>
      <c r="AW922" s="1">
        <f t="shared" si="1301"/>
        <v>10</v>
      </c>
      <c r="AX922" s="1">
        <f t="shared" si="1272"/>
        <v>2</v>
      </c>
      <c r="AY922" s="1">
        <f t="shared" si="1295"/>
        <v>6</v>
      </c>
      <c r="AZ922" s="1">
        <f t="shared" si="1273"/>
        <v>5</v>
      </c>
      <c r="BA922" s="1">
        <f t="shared" si="1309"/>
        <v>5</v>
      </c>
      <c r="BB922" s="1">
        <f>MIN(30,R922+0)</f>
        <v>10</v>
      </c>
      <c r="BC922" s="1">
        <f t="shared" si="1302"/>
        <v>2</v>
      </c>
      <c r="BD922" s="1">
        <f t="shared" si="1296"/>
        <v>1</v>
      </c>
      <c r="BE922" s="1">
        <f t="shared" si="1289"/>
        <v>0</v>
      </c>
      <c r="BF922" s="1">
        <f>MIN(4,V922+1)</f>
        <v>3</v>
      </c>
      <c r="BG922" s="1">
        <f t="shared" si="1306"/>
        <v>1</v>
      </c>
      <c r="BH922" s="1">
        <f t="shared" si="1290"/>
        <v>1</v>
      </c>
      <c r="BI922" s="1">
        <f t="shared" si="1307"/>
        <v>1</v>
      </c>
      <c r="BJ922" s="1">
        <f t="shared" si="1310"/>
        <v>1</v>
      </c>
      <c r="BK922" s="1">
        <f t="shared" si="1311"/>
        <v>1</v>
      </c>
      <c r="BL922" s="1">
        <f t="shared" si="1262"/>
        <v>0</v>
      </c>
      <c r="BM922" s="1">
        <f t="shared" ref="BM922:BM956" si="1314">MAX(AC922,0)</f>
        <v>1</v>
      </c>
      <c r="BN922" s="1">
        <f t="shared" si="1291"/>
        <v>1</v>
      </c>
      <c r="BO922" s="1">
        <f t="shared" si="1292"/>
        <v>1</v>
      </c>
    </row>
    <row r="923" spans="1:67" ht="30.95" customHeight="1">
      <c r="A923" s="1">
        <f>25</f>
        <v>25</v>
      </c>
      <c r="B923" s="1">
        <f>固定流程!A23</f>
        <v>18</v>
      </c>
      <c r="C923" s="1">
        <f>28</f>
        <v>28</v>
      </c>
      <c r="D923" s="1">
        <f>1</f>
        <v>1</v>
      </c>
      <c r="E923" s="1">
        <f>固定流程!C23</f>
        <v>3</v>
      </c>
      <c r="F923" s="1">
        <f>固定流程!G23</f>
        <v>4</v>
      </c>
      <c r="G923" s="1" t="str">
        <f>固定流程!H23</f>
        <v>J_HARD</v>
      </c>
      <c r="H923" s="1">
        <f>固定流程!F23</f>
        <v>1</v>
      </c>
      <c r="I923" s="1">
        <f>INDEX(配置与结果!$B$15:$B$18,F923)</f>
        <v>1906</v>
      </c>
      <c r="J923" s="1">
        <f>INDEX(配置与结果!$D$15:$D$18,F923)</f>
        <v>0.36699999999999999</v>
      </c>
      <c r="K923" s="1">
        <f>INDEX(配置与结果!$E$15:$E$18,F923)</f>
        <v>1.7170000000000001</v>
      </c>
      <c r="L923" s="1">
        <f t="shared" si="1303"/>
        <v>2</v>
      </c>
      <c r="M923" s="1">
        <f t="shared" si="1304"/>
        <v>10</v>
      </c>
      <c r="N923" s="1">
        <f t="shared" si="1305"/>
        <v>2</v>
      </c>
      <c r="O923" s="1">
        <f t="shared" si="1297"/>
        <v>6</v>
      </c>
      <c r="P923" s="1">
        <f>MIN(方案参数!$AI$28,AZ922+0+0)</f>
        <v>5</v>
      </c>
      <c r="Q923" s="1">
        <f t="shared" si="1275"/>
        <v>5</v>
      </c>
      <c r="R923" s="1">
        <f t="shared" si="1276"/>
        <v>10</v>
      </c>
      <c r="S923" s="1">
        <f t="shared" si="1277"/>
        <v>2</v>
      </c>
      <c r="T923" s="1">
        <f t="shared" si="1312"/>
        <v>1</v>
      </c>
      <c r="U923" s="1">
        <f t="shared" si="1279"/>
        <v>0</v>
      </c>
      <c r="V923" s="1">
        <f t="shared" si="1280"/>
        <v>3</v>
      </c>
      <c r="W923" s="1">
        <f t="shared" si="1281"/>
        <v>1</v>
      </c>
      <c r="X923" s="1">
        <f t="shared" si="1282"/>
        <v>1</v>
      </c>
      <c r="Y923" s="1">
        <f t="shared" si="1283"/>
        <v>1</v>
      </c>
      <c r="Z923" s="1">
        <f t="shared" si="1284"/>
        <v>1</v>
      </c>
      <c r="AA923" s="1">
        <f t="shared" si="1308"/>
        <v>1</v>
      </c>
      <c r="AB923" s="1">
        <f t="shared" si="1286"/>
        <v>0</v>
      </c>
      <c r="AC923" s="1">
        <f t="shared" si="1313"/>
        <v>1</v>
      </c>
      <c r="AD923" s="1">
        <f>ROUNDDOWN(I923*(1+IF(F923=3,0.05+方案参数!$Y$28+AA923*0.12,IF(F923=4,方案参数!$BZ$28*方案参数!$AS$28,0)))+IF(AND(X923=1,F923&lt;&gt;3),方案参数!$CC$28,0)+AC923*方案参数!$CB$28,0)</f>
        <v>5217</v>
      </c>
      <c r="AE923" s="1">
        <f>IF(OR(F923=1,F923=4),配置与结果!$B$24,配置与结果!$B$25)*MAX(0,1-INDEX(配置与结果!$I$15:$I$18,F923))</f>
        <v>1200</v>
      </c>
      <c r="AF923" s="1">
        <f>3.6*IF(H923=1,1,IF(H923=2,1.5,2.5))</f>
        <v>3.6</v>
      </c>
      <c r="AG923" s="1">
        <f>MAX(配置与结果!$B$32,1+INDEX(配置与结果!$F$15:$F$18,F923)+0.08+Q923*方案参数!$W$28+Y923*(方案参数!$AN$28+MIN(方案参数!$AO$28,P923*0.03))+AB923*方案参数!$BZ$28*0.025+0.1+IF(方案参数!$BZ$28&gt;=30,方案参数!$BZ$28*0.01,0)-配置与结果!$B$28)</f>
        <v>1.6550000000000002</v>
      </c>
      <c r="AH923" s="1">
        <f>MAX(0,1+INDEX(配置与结果!$G$15:$G$18,F923)+W923*方案参数!$AG$28)</f>
        <v>1.3</v>
      </c>
      <c r="AI923" s="1">
        <f>IF(OR(INDEX(配置与结果!$K$15:$K$18,F923)=1,G923="RHI_BERRY"),1+配置与结果!$B$33+P923*方案参数!$AH$28,1)</f>
        <v>1</v>
      </c>
      <c r="AJ923" s="1">
        <f>MIN(1,MAX(0,J923+方案参数!$AB$28-配置与结果!$B$27))</f>
        <v>0.66700000000000004</v>
      </c>
      <c r="AK923" s="1">
        <f>MAX(1,K923+IF(F923=2,0.15+方案参数!$CH$28,0)+BN923*方案参数!$X$28+R923*方案参数!$AA$28+0-配置与结果!$B$26+Z923*(方案参数!$AP$28+MIN(方案参数!$AQ$28,P923*0.03)))</f>
        <v>1.8169999999999999</v>
      </c>
      <c r="AL923" s="7">
        <f>ROUNDDOWN(MAX(AD923*配置与结果!$B$31,AD923-AE923)*AF923*AG923*AH923*AI923,0)</f>
        <v>31113</v>
      </c>
      <c r="AM923" s="7">
        <f>ROUNDDOWN(MAX(AD923*配置与结果!$B$31,AD923-AE923)*AF923*AG923*AH923*AI923*AK923,0)</f>
        <v>56532</v>
      </c>
      <c r="AN923" s="7">
        <f t="shared" si="1266"/>
        <v>48067.473000000005</v>
      </c>
      <c r="AO923" s="7">
        <f>0</f>
        <v>0</v>
      </c>
      <c r="AP923" s="7">
        <f>MAX(0,1+INDEX(配置与结果!$J$15:$J$18,F923)+IF(T923&gt;0,方案参数!$BY$28,0)-配置与结果!$B$30)</f>
        <v>2</v>
      </c>
      <c r="AQ923" s="7">
        <f t="shared" si="1267"/>
        <v>0</v>
      </c>
      <c r="AR923" s="7">
        <f t="shared" si="1268"/>
        <v>0</v>
      </c>
      <c r="AS923" s="7">
        <f t="shared" si="1269"/>
        <v>0</v>
      </c>
      <c r="AT923" s="7">
        <f>0</f>
        <v>0</v>
      </c>
      <c r="AU923" s="7">
        <f t="shared" si="1270"/>
        <v>48067.473000000005</v>
      </c>
      <c r="AV923" s="1">
        <f t="shared" si="1271"/>
        <v>2</v>
      </c>
      <c r="AW923" s="1">
        <f t="shared" si="1301"/>
        <v>10</v>
      </c>
      <c r="AX923" s="1">
        <f t="shared" si="1272"/>
        <v>2</v>
      </c>
      <c r="AY923" s="1">
        <f t="shared" si="1295"/>
        <v>6</v>
      </c>
      <c r="AZ923" s="1">
        <f t="shared" si="1273"/>
        <v>5</v>
      </c>
      <c r="BA923" s="1">
        <f t="shared" si="1309"/>
        <v>5</v>
      </c>
      <c r="BB923" s="1">
        <f>MIN(30,R923+0)</f>
        <v>10</v>
      </c>
      <c r="BC923" s="1">
        <f>MIN(3,S923+1)</f>
        <v>3</v>
      </c>
      <c r="BD923" s="1">
        <f t="shared" si="1296"/>
        <v>1</v>
      </c>
      <c r="BE923" s="1">
        <f t="shared" si="1289"/>
        <v>0</v>
      </c>
      <c r="BF923" s="1">
        <f>MIN(4,V923+0)</f>
        <v>3</v>
      </c>
      <c r="BG923" s="1">
        <f t="shared" si="1306"/>
        <v>1</v>
      </c>
      <c r="BH923" s="1">
        <f t="shared" si="1290"/>
        <v>1</v>
      </c>
      <c r="BI923" s="1">
        <f t="shared" si="1307"/>
        <v>1</v>
      </c>
      <c r="BJ923" s="1">
        <f t="shared" si="1310"/>
        <v>1</v>
      </c>
      <c r="BK923" s="1">
        <f t="shared" si="1311"/>
        <v>1</v>
      </c>
      <c r="BL923" s="1">
        <f t="shared" si="1262"/>
        <v>0</v>
      </c>
      <c r="BM923" s="1">
        <f t="shared" si="1314"/>
        <v>1</v>
      </c>
      <c r="BN923" s="1">
        <f t="shared" si="1291"/>
        <v>1</v>
      </c>
      <c r="BO923" s="1">
        <f t="shared" si="1292"/>
        <v>1</v>
      </c>
    </row>
    <row r="924" spans="1:67" ht="30.95" customHeight="1">
      <c r="A924" s="1">
        <f>25</f>
        <v>25</v>
      </c>
      <c r="B924" s="1">
        <f>固定流程!A24</f>
        <v>19</v>
      </c>
      <c r="C924" s="1">
        <f>28</f>
        <v>28</v>
      </c>
      <c r="D924" s="1">
        <f>1</f>
        <v>1</v>
      </c>
      <c r="E924" s="1">
        <f>固定流程!C24</f>
        <v>3</v>
      </c>
      <c r="F924" s="1">
        <f>固定流程!G24</f>
        <v>4</v>
      </c>
      <c r="G924" s="1" t="str">
        <f>固定流程!H24</f>
        <v>J_ULT</v>
      </c>
      <c r="H924" s="1">
        <f>固定流程!F24</f>
        <v>1</v>
      </c>
      <c r="I924" s="1">
        <f>INDEX(配置与结果!$B$15:$B$18,F924)</f>
        <v>1906</v>
      </c>
      <c r="J924" s="1">
        <f>INDEX(配置与结果!$D$15:$D$18,F924)</f>
        <v>0.36699999999999999</v>
      </c>
      <c r="K924" s="1">
        <f>INDEX(配置与结果!$E$15:$E$18,F924)</f>
        <v>1.7170000000000001</v>
      </c>
      <c r="L924" s="1">
        <f t="shared" si="1303"/>
        <v>2</v>
      </c>
      <c r="M924" s="1">
        <f t="shared" si="1304"/>
        <v>10</v>
      </c>
      <c r="N924" s="1">
        <f t="shared" si="1305"/>
        <v>2</v>
      </c>
      <c r="O924" s="1">
        <f t="shared" si="1297"/>
        <v>6</v>
      </c>
      <c r="P924" s="1">
        <f>MIN(方案参数!$AI$28,AZ923+0+0)</f>
        <v>5</v>
      </c>
      <c r="Q924" s="1">
        <f t="shared" si="1275"/>
        <v>5</v>
      </c>
      <c r="R924" s="1">
        <f t="shared" si="1276"/>
        <v>10</v>
      </c>
      <c r="S924" s="1">
        <f t="shared" si="1277"/>
        <v>3</v>
      </c>
      <c r="T924" s="1">
        <f t="shared" si="1312"/>
        <v>1</v>
      </c>
      <c r="U924" s="1">
        <f t="shared" si="1279"/>
        <v>0</v>
      </c>
      <c r="V924" s="1">
        <f t="shared" si="1280"/>
        <v>3</v>
      </c>
      <c r="W924" s="1">
        <f t="shared" si="1281"/>
        <v>1</v>
      </c>
      <c r="X924" s="1">
        <f t="shared" si="1282"/>
        <v>1</v>
      </c>
      <c r="Y924" s="1">
        <f t="shared" si="1283"/>
        <v>1</v>
      </c>
      <c r="Z924" s="1">
        <f t="shared" si="1284"/>
        <v>1</v>
      </c>
      <c r="AA924" s="1">
        <f t="shared" si="1308"/>
        <v>1</v>
      </c>
      <c r="AB924" s="1">
        <f t="shared" si="1286"/>
        <v>0</v>
      </c>
      <c r="AC924" s="1">
        <f t="shared" si="1313"/>
        <v>1</v>
      </c>
      <c r="AD924" s="1">
        <f>ROUNDDOWN(I924*(1+IF(F924=3,0.05+方案参数!$Y$28+AA924*0.12,IF(F924=4,方案参数!$BZ$28*方案参数!$AS$28,0)))+IF(AND(X924=1,F924&lt;&gt;3),方案参数!$CC$28,0)+AC924*方案参数!$CB$28,0)</f>
        <v>5217</v>
      </c>
      <c r="AE924" s="1">
        <f>IF(OR(F924=1,F924=4),配置与结果!$B$24,配置与结果!$B$25)*MAX(0,1-INDEX(配置与结果!$I$15:$I$18,F924))</f>
        <v>1200</v>
      </c>
      <c r="AF924" s="1">
        <f>方案参数!$AT$28+MAX(0,配置与结果!$H$26+方案参数!$BZ$28-30)*方案参数!$AU$28*配置与结果!$H$27</f>
        <v>76.5</v>
      </c>
      <c r="AG924" s="1">
        <f>MAX(配置与结果!$B$32,1+INDEX(配置与结果!$F$15:$F$18,F924)+0.08+Q924*方案参数!$W$28+Y924*(方案参数!$AN$28+MIN(方案参数!$AO$28,P924*0.03))+AB924*方案参数!$BZ$28*0.025-配置与结果!$B$28)</f>
        <v>1.105</v>
      </c>
      <c r="AH924" s="1">
        <f>MAX(0,1+INDEX(配置与结果!$H$15:$H$18,F924)+W924*方案参数!$AG$28+S924*方案参数!$Z$28)</f>
        <v>1.42</v>
      </c>
      <c r="AI924" s="1">
        <f>IF(OR(INDEX(配置与结果!$K$15:$K$18,F924)=1,G924="RHI_BERRY"),1+配置与结果!$B$33+P924*方案参数!$AH$28,1)</f>
        <v>1</v>
      </c>
      <c r="AJ924" s="1">
        <f>MIN(1,MAX(0,J924+方案参数!$AB$28-配置与结果!$B$27))</f>
        <v>0.66700000000000004</v>
      </c>
      <c r="AK924" s="1">
        <f>MAX(1,K924+IF(F924=2,0.15+方案参数!$CH$28,0)+BN924*方案参数!$X$28+R924*方案参数!$AA$28+0-配置与结果!$B$26+Z924*(方案参数!$AP$28+MIN(方案参数!$AQ$28,P924*0.03)))</f>
        <v>1.8169999999999999</v>
      </c>
      <c r="AL924" s="7">
        <f>ROUNDDOWN(MAX(AD924*配置与结果!$B$31,AD924-AE924)*AF924*AG924*AH924*AI924,0)</f>
        <v>482185</v>
      </c>
      <c r="AM924" s="7">
        <f>ROUNDDOWN(MAX(AD924*配置与结果!$B$31,AD924-AE924)*AF924*AG924*AH924*AI924*AK924,0)</f>
        <v>876130</v>
      </c>
      <c r="AN924" s="7">
        <f t="shared" si="1266"/>
        <v>744946.31500000006</v>
      </c>
      <c r="AO924" s="7">
        <f>0</f>
        <v>0</v>
      </c>
      <c r="AP924" s="7">
        <f>MAX(0,1+INDEX(配置与结果!$J$15:$J$18,F924)+IF(T924&gt;0,方案参数!$BY$28,0)-配置与结果!$B$30)</f>
        <v>2</v>
      </c>
      <c r="AQ924" s="7">
        <f t="shared" si="1267"/>
        <v>0</v>
      </c>
      <c r="AR924" s="7">
        <f t="shared" si="1268"/>
        <v>0</v>
      </c>
      <c r="AS924" s="7">
        <f t="shared" si="1269"/>
        <v>0</v>
      </c>
      <c r="AT924" s="7">
        <f>0</f>
        <v>0</v>
      </c>
      <c r="AU924" s="7">
        <f t="shared" si="1270"/>
        <v>744946.31500000006</v>
      </c>
      <c r="AV924" s="1">
        <f t="shared" si="1271"/>
        <v>2</v>
      </c>
      <c r="AW924" s="1">
        <f t="shared" si="1301"/>
        <v>10</v>
      </c>
      <c r="AX924" s="1">
        <f t="shared" si="1272"/>
        <v>2</v>
      </c>
      <c r="AY924" s="1">
        <f t="shared" si="1295"/>
        <v>6</v>
      </c>
      <c r="AZ924" s="1">
        <f t="shared" si="1273"/>
        <v>5</v>
      </c>
      <c r="BA924" s="1">
        <f t="shared" si="1309"/>
        <v>5</v>
      </c>
      <c r="BB924" s="1">
        <f>MIN(30,R924+5)</f>
        <v>15</v>
      </c>
      <c r="BC924" s="1">
        <f t="shared" ref="BC924:BC947" si="1315">MIN(3,S924+0)</f>
        <v>3</v>
      </c>
      <c r="BD924" s="1">
        <f t="shared" si="1296"/>
        <v>1</v>
      </c>
      <c r="BE924" s="1">
        <f t="shared" si="1289"/>
        <v>0</v>
      </c>
      <c r="BF924" s="1">
        <f>MIN(4,V924+0)</f>
        <v>3</v>
      </c>
      <c r="BG924" s="1">
        <f t="shared" si="1306"/>
        <v>1</v>
      </c>
      <c r="BH924" s="1">
        <f t="shared" si="1290"/>
        <v>1</v>
      </c>
      <c r="BI924" s="1">
        <f t="shared" si="1307"/>
        <v>1</v>
      </c>
      <c r="BJ924" s="1">
        <f t="shared" si="1310"/>
        <v>1</v>
      </c>
      <c r="BK924" s="1">
        <f t="shared" si="1311"/>
        <v>1</v>
      </c>
      <c r="BL924" s="1">
        <f>MAX(AB924,1)</f>
        <v>1</v>
      </c>
      <c r="BM924" s="1">
        <f t="shared" si="1314"/>
        <v>1</v>
      </c>
      <c r="BN924" s="1">
        <f t="shared" si="1291"/>
        <v>1</v>
      </c>
      <c r="BO924" s="1">
        <f t="shared" si="1292"/>
        <v>1</v>
      </c>
    </row>
    <row r="925" spans="1:67" ht="30.95" customHeight="1">
      <c r="A925" s="1">
        <f>25</f>
        <v>25</v>
      </c>
      <c r="B925" s="1">
        <f>固定流程!A25</f>
        <v>20</v>
      </c>
      <c r="C925" s="1">
        <f>28</f>
        <v>28</v>
      </c>
      <c r="D925" s="1">
        <f>1</f>
        <v>1</v>
      </c>
      <c r="E925" s="1">
        <f>固定流程!C25</f>
        <v>3</v>
      </c>
      <c r="F925" s="1">
        <f>固定流程!G25</f>
        <v>1</v>
      </c>
      <c r="G925" s="1" t="str">
        <f>固定流程!H25</f>
        <v>LILYA_ULT</v>
      </c>
      <c r="H925" s="1">
        <f>固定流程!F25</f>
        <v>1</v>
      </c>
      <c r="I925" s="1">
        <f>INDEX(配置与结果!$B$15:$B$18,F925)</f>
        <v>2296</v>
      </c>
      <c r="J925" s="1">
        <f>INDEX(配置与结果!$D$15:$D$18,F925)</f>
        <v>0.7</v>
      </c>
      <c r="K925" s="1">
        <f>INDEX(配置与结果!$E$15:$E$18,F925)</f>
        <v>2.0249999999999999</v>
      </c>
      <c r="L925" s="1">
        <f t="shared" si="1303"/>
        <v>2</v>
      </c>
      <c r="M925" s="1">
        <f t="shared" si="1304"/>
        <v>10</v>
      </c>
      <c r="N925" s="1">
        <f t="shared" si="1305"/>
        <v>2</v>
      </c>
      <c r="O925" s="1">
        <f t="shared" si="1297"/>
        <v>6</v>
      </c>
      <c r="P925" s="1">
        <f>MIN(方案参数!$AI$28,AZ924+0+0)</f>
        <v>5</v>
      </c>
      <c r="Q925" s="1">
        <f t="shared" si="1275"/>
        <v>5</v>
      </c>
      <c r="R925" s="1">
        <f t="shared" si="1276"/>
        <v>15</v>
      </c>
      <c r="S925" s="1">
        <f t="shared" si="1277"/>
        <v>3</v>
      </c>
      <c r="T925" s="1">
        <f t="shared" si="1312"/>
        <v>1</v>
      </c>
      <c r="U925" s="1">
        <f t="shared" si="1279"/>
        <v>0</v>
      </c>
      <c r="V925" s="1">
        <f t="shared" si="1280"/>
        <v>3</v>
      </c>
      <c r="W925" s="1">
        <f t="shared" si="1281"/>
        <v>1</v>
      </c>
      <c r="X925" s="1">
        <f t="shared" si="1282"/>
        <v>1</v>
      </c>
      <c r="Y925" s="1">
        <f t="shared" si="1283"/>
        <v>1</v>
      </c>
      <c r="Z925" s="1">
        <f t="shared" si="1284"/>
        <v>1</v>
      </c>
      <c r="AA925" s="1">
        <f t="shared" si="1308"/>
        <v>1</v>
      </c>
      <c r="AB925" s="1">
        <f t="shared" si="1286"/>
        <v>1</v>
      </c>
      <c r="AC925" s="1">
        <f t="shared" si="1313"/>
        <v>1</v>
      </c>
      <c r="AD925" s="1">
        <f>ROUNDDOWN(I925*(1+IF(F925=3,0.05+方案参数!$Y$28+AA925*0.12,IF(F925=4,方案参数!$BZ$28*方案参数!$AS$28,0)))+IF(AND(X925=1,F925&lt;&gt;3),方案参数!$CC$28,0)+AC925*方案参数!$CB$28,0)</f>
        <v>3034</v>
      </c>
      <c r="AE925" s="1">
        <f>IF(OR(F925=1,F925=4),配置与结果!$B$24,配置与结果!$B$25)*MAX(0,1-INDEX(配置与结果!$I$15:$I$18,F925)+IF(O925&gt;=6,方案参数!$BK$28,0))</f>
        <v>1440</v>
      </c>
      <c r="AF925" s="1">
        <f>方案参数!$BG$28+IF(O925&gt;=6,方案参数!$BH$28,0)</f>
        <v>36</v>
      </c>
      <c r="AG925" s="1">
        <f>MAX(配置与结果!$B$32,1+INDEX(配置与结果!$F$15:$F$18,F925)+0.08+方案参数!$CD$28+Q925*方案参数!$W$28+Y925*(方案参数!$AN$28+MIN(方案参数!$AO$28,P925*0.03))+AB925*方案参数!$BZ$28*0.025-配置与结果!$B$28)</f>
        <v>2.4650000000000003</v>
      </c>
      <c r="AH925" s="1">
        <f>MAX(0,1+INDEX(配置与结果!$H$15:$H$18,F925)+W925*方案参数!$AG$28+O925*方案参数!$BF$28+IF(O925&gt;=6,方案参数!$BI$28,0))</f>
        <v>2.4500000000000002</v>
      </c>
      <c r="AI925" s="1">
        <f>IF(OR(INDEX(配置与结果!$K$15:$K$18,F925)=1,G925="RHI_BERRY"),1+配置与结果!$B$33+P925*方案参数!$AH$28,1)</f>
        <v>1</v>
      </c>
      <c r="AJ925" s="1">
        <f>MIN(1,MAX(0,J925+方案参数!$AB$28-配置与结果!$B$27))</f>
        <v>1</v>
      </c>
      <c r="AK925" s="1">
        <f>MAX(1,K925+IF(F925=2,0.15+方案参数!$CH$28,0)+BN925*方案参数!$X$28+R925*方案参数!$AA$28+IF(O925&gt;=6,方案参数!$BJ$28,0)-配置与结果!$B$26+Z925*(方案参数!$AP$28+MIN(方案参数!$AQ$28,P925*0.03)))</f>
        <v>3.145</v>
      </c>
      <c r="AL925" s="7">
        <f>ROUNDDOWN(MAX(AD925*配置与结果!$B$31,AD925-AE925)*AF925*AG925*AH925*AI925,0)</f>
        <v>346556</v>
      </c>
      <c r="AM925" s="7">
        <f>ROUNDDOWN(MAX(AD925*配置与结果!$B$31,AD925-AE925)*AF925*AG925*AH925*AI925*AK925,0)</f>
        <v>1089919</v>
      </c>
      <c r="AN925" s="7">
        <f t="shared" si="1266"/>
        <v>1089919</v>
      </c>
      <c r="AO925" s="7">
        <f>0</f>
        <v>0</v>
      </c>
      <c r="AP925" s="7">
        <f>MAX(0,1+INDEX(配置与结果!$J$15:$J$18,F925)+IF(T925&gt;0,方案参数!$BY$28,0)-配置与结果!$B$30)</f>
        <v>2</v>
      </c>
      <c r="AQ925" s="7">
        <f t="shared" si="1267"/>
        <v>0</v>
      </c>
      <c r="AR925" s="7">
        <f t="shared" si="1268"/>
        <v>0</v>
      </c>
      <c r="AS925" s="7">
        <f t="shared" si="1269"/>
        <v>0</v>
      </c>
      <c r="AT925" s="7">
        <f>0</f>
        <v>0</v>
      </c>
      <c r="AU925" s="7">
        <f t="shared" si="1270"/>
        <v>1089919</v>
      </c>
      <c r="AV925" s="1">
        <f t="shared" si="1271"/>
        <v>2</v>
      </c>
      <c r="AW925" s="1">
        <f t="shared" si="1301"/>
        <v>10</v>
      </c>
      <c r="AX925" s="1">
        <f t="shared" si="1272"/>
        <v>2</v>
      </c>
      <c r="AY925" s="1">
        <f>MIN(20,MAX(0,O925+0+0-IF(O925&gt;=6,6,0)))</f>
        <v>0</v>
      </c>
      <c r="AZ925" s="1">
        <f t="shared" si="1273"/>
        <v>5</v>
      </c>
      <c r="BA925" s="1">
        <f t="shared" si="1309"/>
        <v>5</v>
      </c>
      <c r="BB925" s="1">
        <f>MIN(30,R925+5)</f>
        <v>20</v>
      </c>
      <c r="BC925" s="1">
        <f t="shared" si="1315"/>
        <v>3</v>
      </c>
      <c r="BD925" s="1">
        <f t="shared" si="1296"/>
        <v>1</v>
      </c>
      <c r="BE925" s="1">
        <f t="shared" si="1289"/>
        <v>0</v>
      </c>
      <c r="BF925" s="1">
        <f>MIN(4,V925+0)</f>
        <v>3</v>
      </c>
      <c r="BG925" s="1">
        <f t="shared" si="1306"/>
        <v>1</v>
      </c>
      <c r="BH925" s="1">
        <f t="shared" si="1290"/>
        <v>1</v>
      </c>
      <c r="BI925" s="1">
        <f t="shared" si="1307"/>
        <v>1</v>
      </c>
      <c r="BJ925" s="1">
        <f t="shared" si="1310"/>
        <v>1</v>
      </c>
      <c r="BK925" s="1">
        <f t="shared" si="1311"/>
        <v>1</v>
      </c>
      <c r="BL925" s="1">
        <f t="shared" ref="BL925:BL959" si="1316">MAX(AB925,0)</f>
        <v>1</v>
      </c>
      <c r="BM925" s="1">
        <f t="shared" si="1314"/>
        <v>1</v>
      </c>
      <c r="BN925" s="1">
        <f t="shared" si="1291"/>
        <v>1</v>
      </c>
      <c r="BO925" s="1">
        <f t="shared" si="1292"/>
        <v>1</v>
      </c>
    </row>
    <row r="926" spans="1:67" ht="30.95" customHeight="1">
      <c r="A926" s="1">
        <f>25</f>
        <v>25</v>
      </c>
      <c r="B926" s="1">
        <f>固定流程!A26</f>
        <v>21</v>
      </c>
      <c r="C926" s="1">
        <f>28</f>
        <v>28</v>
      </c>
      <c r="D926" s="1">
        <f>1</f>
        <v>1</v>
      </c>
      <c r="E926" s="1">
        <f>固定流程!C26</f>
        <v>3</v>
      </c>
      <c r="F926" s="1">
        <f>固定流程!G26</f>
        <v>1</v>
      </c>
      <c r="G926" s="1" t="str">
        <f>固定流程!H26</f>
        <v>LILYA_DIVE</v>
      </c>
      <c r="H926" s="1">
        <f>固定流程!F26</f>
        <v>3</v>
      </c>
      <c r="I926" s="1">
        <f>INDEX(配置与结果!$B$15:$B$18,F926)</f>
        <v>2296</v>
      </c>
      <c r="J926" s="1">
        <f>INDEX(配置与结果!$D$15:$D$18,F926)</f>
        <v>0.7</v>
      </c>
      <c r="K926" s="1">
        <f>INDEX(配置与结果!$E$15:$E$18,F926)</f>
        <v>2.0249999999999999</v>
      </c>
      <c r="L926" s="1">
        <f t="shared" si="1303"/>
        <v>2</v>
      </c>
      <c r="M926" s="1">
        <f t="shared" si="1304"/>
        <v>10</v>
      </c>
      <c r="N926" s="1">
        <f t="shared" si="1305"/>
        <v>2</v>
      </c>
      <c r="O926" s="1">
        <f t="shared" si="1297"/>
        <v>0</v>
      </c>
      <c r="P926" s="1">
        <f>MIN(方案参数!$AI$28,AZ925+0+0)</f>
        <v>5</v>
      </c>
      <c r="Q926" s="1">
        <f t="shared" si="1275"/>
        <v>5</v>
      </c>
      <c r="R926" s="1">
        <f t="shared" si="1276"/>
        <v>20</v>
      </c>
      <c r="S926" s="1">
        <f t="shared" si="1277"/>
        <v>3</v>
      </c>
      <c r="T926" s="1">
        <f t="shared" si="1312"/>
        <v>1</v>
      </c>
      <c r="U926" s="1">
        <f t="shared" si="1279"/>
        <v>0</v>
      </c>
      <c r="V926" s="1">
        <f t="shared" si="1280"/>
        <v>3</v>
      </c>
      <c r="W926" s="1">
        <f t="shared" si="1281"/>
        <v>1</v>
      </c>
      <c r="X926" s="1">
        <f t="shared" si="1282"/>
        <v>1</v>
      </c>
      <c r="Y926" s="1">
        <f t="shared" si="1283"/>
        <v>1</v>
      </c>
      <c r="Z926" s="1">
        <f t="shared" si="1284"/>
        <v>1</v>
      </c>
      <c r="AA926" s="1">
        <f t="shared" si="1308"/>
        <v>1</v>
      </c>
      <c r="AB926" s="1">
        <f t="shared" si="1286"/>
        <v>1</v>
      </c>
      <c r="AC926" s="1">
        <f t="shared" si="1313"/>
        <v>1</v>
      </c>
      <c r="AD926" s="1">
        <f>ROUNDDOWN(I926*(1+IF(F926=3,0.05+方案参数!$Y$28+AA926*0.12,IF(F926=4,方案参数!$BZ$28*方案参数!$AS$28,0)))+IF(AND(X926=1,F926&lt;&gt;3),方案参数!$CC$28,0)+AC926*方案参数!$CB$28,0)</f>
        <v>3034</v>
      </c>
      <c r="AE926" s="1">
        <f>IF(OR(F926=1,F926=4),配置与结果!$B$24,配置与结果!$B$25)*MAX(0,1-INDEX(配置与结果!$I$15:$I$18,F926))</f>
        <v>1200</v>
      </c>
      <c r="AF926" s="1">
        <f>(IF(L926=1,方案参数!$AW$28,IF(L926=2,方案参数!$AX$28,0))+方案参数!$AV$28)*H926</f>
        <v>30</v>
      </c>
      <c r="AG926" s="1">
        <f>MAX(配置与结果!$B$32,1+INDEX(配置与结果!$F$15:$F$18,F926)+0.08+方案参数!$CD$28+Q926*方案参数!$W$28+Y926*(方案参数!$AN$28+MIN(方案参数!$AO$28,P926*0.03))+AB926*方案参数!$BZ$28*0.025+IF(L926=1,方案参数!$AY$28+(H926-1)*0.1,IF(L926=2,方案参数!$AZ$28+(H926-1)*0.2,0))-配置与结果!$B$28)</f>
        <v>3.0650000000000004</v>
      </c>
      <c r="AH926" s="1">
        <f>MAX(0,1+INDEX(配置与结果!$G$15:$G$18,F926)+W926*方案参数!$AG$28+IF(L926=1,方案参数!$BA$28,IF(L926=2,方案参数!$BB$28,0))+M926*方案参数!$BC$28)</f>
        <v>3.1</v>
      </c>
      <c r="AI926" s="1">
        <f>IF(OR(INDEX(配置与结果!$K$15:$K$18,F926)=1,G926="RHI_BERRY"),1+配置与结果!$B$33+P926*方案参数!$AH$28,1)</f>
        <v>1</v>
      </c>
      <c r="AJ926" s="1">
        <f>MIN(1,MAX(0,J926+方案参数!$AB$28-配置与结果!$B$27))</f>
        <v>1</v>
      </c>
      <c r="AK926" s="1">
        <f>MAX(1,K926+IF(F926=2,0.15+方案参数!$CH$28,0)+BN926*方案参数!$X$28+R926*方案参数!$AA$28+0-配置与结果!$B$26+Z926*(方案参数!$AP$28+MIN(方案参数!$AQ$28,P926*0.03)))</f>
        <v>2.165</v>
      </c>
      <c r="AL926" s="7">
        <f>ROUNDDOWN(MAX(AD926*配置与结果!$B$31,AD926-AE926)*AF926*AG926*AH926*AI926,0)</f>
        <v>522772</v>
      </c>
      <c r="AM926" s="7">
        <f>ROUNDDOWN(MAX(AD926*配置与结果!$B$31,AD926-AE926)*AF926*AG926*AH926*AI926*AK926,0)</f>
        <v>1131802</v>
      </c>
      <c r="AN926" s="7">
        <f t="shared" si="1266"/>
        <v>1131802</v>
      </c>
      <c r="AO926" s="7">
        <f>0</f>
        <v>0</v>
      </c>
      <c r="AP926" s="7">
        <f>MAX(0,1+INDEX(配置与结果!$J$15:$J$18,F926)+IF(T926&gt;0,方案参数!$BY$28,0)-配置与结果!$B$30)</f>
        <v>2</v>
      </c>
      <c r="AQ926" s="7">
        <f t="shared" si="1267"/>
        <v>0</v>
      </c>
      <c r="AR926" s="7">
        <f t="shared" si="1268"/>
        <v>0</v>
      </c>
      <c r="AS926" s="7">
        <f t="shared" si="1269"/>
        <v>0</v>
      </c>
      <c r="AT926" s="7">
        <f>0</f>
        <v>0</v>
      </c>
      <c r="AU926" s="7">
        <f t="shared" si="1270"/>
        <v>1131802</v>
      </c>
      <c r="AV926" s="1">
        <f t="shared" si="1271"/>
        <v>2</v>
      </c>
      <c r="AW926" s="1">
        <f>MIN(10,M926+0+IF(L926=1,方案参数!$BE$28,0))</f>
        <v>10</v>
      </c>
      <c r="AX926" s="1">
        <f t="shared" si="1272"/>
        <v>2</v>
      </c>
      <c r="AY926" s="1">
        <f>MIN(20,MAX(0,O926+0+0-0))</f>
        <v>0</v>
      </c>
      <c r="AZ926" s="1">
        <f t="shared" si="1273"/>
        <v>5</v>
      </c>
      <c r="BA926" s="1">
        <f t="shared" si="1309"/>
        <v>5</v>
      </c>
      <c r="BB926" s="1">
        <f t="shared" ref="BB926:BB941" si="1317">MIN(30,R926+0)</f>
        <v>20</v>
      </c>
      <c r="BC926" s="1">
        <f t="shared" si="1315"/>
        <v>3</v>
      </c>
      <c r="BD926" s="1">
        <f t="shared" si="1296"/>
        <v>1</v>
      </c>
      <c r="BE926" s="1">
        <f t="shared" si="1289"/>
        <v>0</v>
      </c>
      <c r="BF926" s="1">
        <f>MIN(4,V926+0)</f>
        <v>3</v>
      </c>
      <c r="BG926" s="1">
        <f t="shared" si="1306"/>
        <v>1</v>
      </c>
      <c r="BH926" s="1">
        <f t="shared" si="1290"/>
        <v>1</v>
      </c>
      <c r="BI926" s="1">
        <f t="shared" si="1307"/>
        <v>1</v>
      </c>
      <c r="BJ926" s="1">
        <f t="shared" si="1310"/>
        <v>1</v>
      </c>
      <c r="BK926" s="1">
        <f t="shared" si="1311"/>
        <v>1</v>
      </c>
      <c r="BL926" s="1">
        <f t="shared" si="1316"/>
        <v>1</v>
      </c>
      <c r="BM926" s="1">
        <f t="shared" si="1314"/>
        <v>1</v>
      </c>
      <c r="BN926" s="1">
        <f t="shared" si="1291"/>
        <v>1</v>
      </c>
      <c r="BO926" s="1">
        <f t="shared" si="1292"/>
        <v>1</v>
      </c>
    </row>
    <row r="927" spans="1:67" ht="30.95" customHeight="1">
      <c r="A927" s="1">
        <f>25</f>
        <v>25</v>
      </c>
      <c r="B927" s="1">
        <f>固定流程!A27</f>
        <v>22</v>
      </c>
      <c r="C927" s="1">
        <f>28</f>
        <v>28</v>
      </c>
      <c r="D927" s="1">
        <f>1</f>
        <v>1</v>
      </c>
      <c r="E927" s="1">
        <f>固定流程!C27</f>
        <v>3</v>
      </c>
      <c r="F927" s="1">
        <f>固定流程!G27</f>
        <v>3</v>
      </c>
      <c r="G927" s="1" t="str">
        <f>固定流程!H27</f>
        <v>RHI_BERRY</v>
      </c>
      <c r="H927" s="1">
        <f>固定流程!F27</f>
        <v>1</v>
      </c>
      <c r="I927" s="1">
        <f>INDEX(配置与结果!$B$15:$B$18,F927)</f>
        <v>2597</v>
      </c>
      <c r="J927" s="1">
        <f>INDEX(配置与结果!$D$15:$D$18,F927)</f>
        <v>0.255</v>
      </c>
      <c r="K927" s="1">
        <f>INDEX(配置与结果!$E$15:$E$18,F927)</f>
        <v>1.55</v>
      </c>
      <c r="L927" s="1">
        <f t="shared" si="1303"/>
        <v>2</v>
      </c>
      <c r="M927" s="1">
        <f t="shared" si="1304"/>
        <v>10</v>
      </c>
      <c r="N927" s="1">
        <f t="shared" si="1305"/>
        <v>2</v>
      </c>
      <c r="O927" s="1">
        <f t="shared" si="1297"/>
        <v>0</v>
      </c>
      <c r="P927" s="1">
        <f>MIN(方案参数!$AI$28,AZ926+0+0)</f>
        <v>5</v>
      </c>
      <c r="Q927" s="1">
        <f t="shared" si="1275"/>
        <v>5</v>
      </c>
      <c r="R927" s="1">
        <f t="shared" si="1276"/>
        <v>20</v>
      </c>
      <c r="S927" s="1">
        <f t="shared" si="1277"/>
        <v>3</v>
      </c>
      <c r="T927" s="1">
        <f t="shared" si="1312"/>
        <v>1</v>
      </c>
      <c r="U927" s="1">
        <f t="shared" si="1279"/>
        <v>0</v>
      </c>
      <c r="V927" s="1">
        <f t="shared" si="1280"/>
        <v>3</v>
      </c>
      <c r="W927" s="1">
        <f t="shared" si="1281"/>
        <v>1</v>
      </c>
      <c r="X927" s="1">
        <f t="shared" si="1282"/>
        <v>1</v>
      </c>
      <c r="Y927" s="1">
        <f t="shared" si="1283"/>
        <v>1</v>
      </c>
      <c r="Z927" s="1">
        <f t="shared" si="1284"/>
        <v>1</v>
      </c>
      <c r="AA927" s="1">
        <f t="shared" si="1308"/>
        <v>1</v>
      </c>
      <c r="AB927" s="1">
        <f t="shared" si="1286"/>
        <v>1</v>
      </c>
      <c r="AC927" s="1">
        <f t="shared" si="1313"/>
        <v>1</v>
      </c>
      <c r="AD927" s="1">
        <f>ROUNDDOWN(I927*(1+IF(F927=3,0.05+方案参数!$Y$28+AA927*0.12,IF(F927=4,方案参数!$BZ$28*方案参数!$AS$28,0)))+IF(AND(X927=1,F927&lt;&gt;3),方案参数!$CC$28,0)+AC927*方案参数!$CB$28,0)</f>
        <v>3798</v>
      </c>
      <c r="AE927" s="1">
        <f>IF(OR(F927=1,F927=4),配置与结果!$B$24,配置与结果!$B$25)*MAX(0,1-INDEX(配置与结果!$I$15:$I$18,F927))</f>
        <v>1000</v>
      </c>
      <c r="AF927" s="1">
        <f>方案参数!$CF$28+P927*方案参数!$CG$28</f>
        <v>22.5</v>
      </c>
      <c r="AG927" s="1">
        <f>MAX(配置与结果!$B$32,1+INDEX(配置与结果!$F$15:$F$18,F927)+0+Q927*方案参数!$W$28+Y927*(方案参数!$AN$28+MIN(方案参数!$AO$28,P927*0.03))+AB927*方案参数!$BZ$28*0.025-配置与结果!$B$28)</f>
        <v>2.16</v>
      </c>
      <c r="AH927" s="1">
        <f>MAX(0,1+INDEX(配置与结果!$G$15:$G$18,F927)+W927*方案参数!$AG$28)</f>
        <v>1.3</v>
      </c>
      <c r="AI927" s="1">
        <f>IF(OR(INDEX(配置与结果!$K$15:$K$18,F927)=1,G927="RHI_BERRY"),1+配置与结果!$B$33+P927*方案参数!$AH$28,1)</f>
        <v>1.5</v>
      </c>
      <c r="AJ927" s="1">
        <f>MIN(1,MAX(0,J927+方案参数!$AB$28-配置与结果!$B$27))</f>
        <v>0.55499999999999994</v>
      </c>
      <c r="AK927" s="1">
        <f>MAX(1,K927+IF(F927=2,0.15+方案参数!$CH$28,0)+BN927*方案参数!$X$28+R927*方案参数!$AA$28+0-配置与结果!$B$26+Z927*(方案参数!$AP$28+MIN(方案参数!$AQ$28,P927*0.03)))</f>
        <v>1.6900000000000002</v>
      </c>
      <c r="AL927" s="7">
        <f>ROUNDDOWN(MAX(AD927*配置与结果!$B$31,AD927-AE927)*AF927*AG927*AH927*AI927,0)</f>
        <v>265166</v>
      </c>
      <c r="AM927" s="7">
        <f>ROUNDDOWN(MAX(AD927*配置与结果!$B$31,AD927-AE927)*AF927*AG927*AH927*AI927*AK927,0)</f>
        <v>448131</v>
      </c>
      <c r="AN927" s="7">
        <f t="shared" si="1266"/>
        <v>366711.57499999995</v>
      </c>
      <c r="AO927" s="7">
        <f>0</f>
        <v>0</v>
      </c>
      <c r="AP927" s="7">
        <f>MAX(0,1+INDEX(配置与结果!$J$15:$J$18,F927)+IF(T927&gt;0,方案参数!$BY$28,0)-配置与结果!$B$30)</f>
        <v>2</v>
      </c>
      <c r="AQ927" s="7">
        <f t="shared" si="1267"/>
        <v>0</v>
      </c>
      <c r="AR927" s="7">
        <f t="shared" si="1268"/>
        <v>0</v>
      </c>
      <c r="AS927" s="7">
        <f t="shared" si="1269"/>
        <v>0</v>
      </c>
      <c r="AT927" s="7">
        <f>0</f>
        <v>0</v>
      </c>
      <c r="AU927" s="7">
        <f t="shared" si="1270"/>
        <v>366711.57499999995</v>
      </c>
      <c r="AV927" s="1">
        <f t="shared" si="1271"/>
        <v>2</v>
      </c>
      <c r="AW927" s="1">
        <f t="shared" ref="AW927:AW943" si="1318">MIN(10,M927+0+0)</f>
        <v>10</v>
      </c>
      <c r="AX927" s="1">
        <f t="shared" si="1272"/>
        <v>2</v>
      </c>
      <c r="AY927" s="1">
        <f>MIN(20,MAX(0,O927+0+0-0))</f>
        <v>0</v>
      </c>
      <c r="AZ927" s="1">
        <f t="shared" si="1273"/>
        <v>5</v>
      </c>
      <c r="BA927" s="1">
        <f t="shared" si="1309"/>
        <v>5</v>
      </c>
      <c r="BB927" s="1">
        <f t="shared" si="1317"/>
        <v>20</v>
      </c>
      <c r="BC927" s="1">
        <f t="shared" si="1315"/>
        <v>3</v>
      </c>
      <c r="BD927" s="1">
        <f t="shared" si="1296"/>
        <v>1</v>
      </c>
      <c r="BE927" s="1">
        <f t="shared" si="1289"/>
        <v>0</v>
      </c>
      <c r="BF927" s="1">
        <f>MIN(4,V927+0)</f>
        <v>3</v>
      </c>
      <c r="BG927" s="1">
        <f t="shared" si="1306"/>
        <v>1</v>
      </c>
      <c r="BH927" s="1">
        <f t="shared" si="1290"/>
        <v>1</v>
      </c>
      <c r="BI927" s="1">
        <f t="shared" si="1307"/>
        <v>1</v>
      </c>
      <c r="BJ927" s="1">
        <f t="shared" si="1310"/>
        <v>1</v>
      </c>
      <c r="BK927" s="1">
        <f t="shared" si="1311"/>
        <v>1</v>
      </c>
      <c r="BL927" s="1">
        <f t="shared" si="1316"/>
        <v>1</v>
      </c>
      <c r="BM927" s="1">
        <f t="shared" si="1314"/>
        <v>1</v>
      </c>
      <c r="BN927" s="1">
        <f t="shared" si="1291"/>
        <v>1</v>
      </c>
      <c r="BO927" s="1">
        <f t="shared" si="1292"/>
        <v>1</v>
      </c>
    </row>
    <row r="928" spans="1:67" ht="30.95" customHeight="1">
      <c r="A928" s="1">
        <f>25</f>
        <v>25</v>
      </c>
      <c r="B928" s="1">
        <f>固定流程!A28</f>
        <v>23</v>
      </c>
      <c r="C928" s="1">
        <f>28</f>
        <v>28</v>
      </c>
      <c r="D928" s="1">
        <f>1</f>
        <v>1</v>
      </c>
      <c r="E928" s="1">
        <f>固定流程!C28</f>
        <v>3</v>
      </c>
      <c r="F928" s="1">
        <f>固定流程!G28</f>
        <v>2</v>
      </c>
      <c r="G928" s="1" t="str">
        <f>固定流程!H28</f>
        <v>37_FOLLOW</v>
      </c>
      <c r="H928" s="1">
        <f>固定流程!F28</f>
        <v>1</v>
      </c>
      <c r="I928" s="1">
        <f>INDEX(配置与结果!$B$15:$B$18,F928)</f>
        <v>2306</v>
      </c>
      <c r="J928" s="1">
        <f>INDEX(配置与结果!$D$15:$D$18,F928)</f>
        <v>0.46</v>
      </c>
      <c r="K928" s="1">
        <f>INDEX(配置与结果!$E$15:$E$18,F928)</f>
        <v>1.9279999999999999</v>
      </c>
      <c r="L928" s="1">
        <f t="shared" si="1303"/>
        <v>2</v>
      </c>
      <c r="M928" s="1">
        <f t="shared" si="1304"/>
        <v>10</v>
      </c>
      <c r="N928" s="1">
        <f t="shared" si="1305"/>
        <v>2</v>
      </c>
      <c r="O928" s="1">
        <f t="shared" si="1297"/>
        <v>0</v>
      </c>
      <c r="P928" s="1">
        <f>MIN(方案参数!$AI$28,AZ927+0+0)</f>
        <v>5</v>
      </c>
      <c r="Q928" s="1">
        <f t="shared" si="1275"/>
        <v>5</v>
      </c>
      <c r="R928" s="1">
        <f t="shared" si="1276"/>
        <v>20</v>
      </c>
      <c r="S928" s="1">
        <f t="shared" si="1277"/>
        <v>3</v>
      </c>
      <c r="T928" s="1">
        <f t="shared" si="1312"/>
        <v>1</v>
      </c>
      <c r="U928" s="1">
        <f t="shared" si="1279"/>
        <v>0</v>
      </c>
      <c r="V928" s="1">
        <f t="shared" si="1280"/>
        <v>3</v>
      </c>
      <c r="W928" s="1">
        <f t="shared" si="1281"/>
        <v>1</v>
      </c>
      <c r="X928" s="1">
        <f t="shared" si="1282"/>
        <v>1</v>
      </c>
      <c r="Y928" s="1">
        <f t="shared" si="1283"/>
        <v>1</v>
      </c>
      <c r="Z928" s="1">
        <f t="shared" si="1284"/>
        <v>1</v>
      </c>
      <c r="AA928" s="1">
        <f t="shared" si="1308"/>
        <v>1</v>
      </c>
      <c r="AB928" s="1">
        <f t="shared" si="1286"/>
        <v>1</v>
      </c>
      <c r="AC928" s="1">
        <f t="shared" si="1313"/>
        <v>1</v>
      </c>
      <c r="AD928" s="1">
        <f>ROUNDDOWN(I928*(1+IF(F928=3,0.05+方案参数!$Y$28+AA928*0.12,IF(F928=4,方案参数!$BZ$28*方案参数!$AS$28,0)))+IF(AND(X928=1,F928&lt;&gt;3),方案参数!$CC$28,0)+AC928*方案参数!$CB$28,0)</f>
        <v>3044</v>
      </c>
      <c r="AE928" s="1">
        <f>IF(OR(F928=1,F928=4),配置与结果!$B$24,配置与结果!$B$25)*MAX(0,1-INDEX(配置与结果!$I$15:$I$18,F928))</f>
        <v>1000</v>
      </c>
      <c r="AF928" s="1">
        <f>方案参数!$BV$28</f>
        <v>3</v>
      </c>
      <c r="AG928" s="1">
        <f>MAX(配置与结果!$B$32,1+INDEX(配置与结果!$F$15:$F$18,F928)+0+Q928*方案参数!$W$28+Y928*(方案参数!$AN$28+MIN(方案参数!$AO$28,P928*0.03))+AB928*方案参数!$BZ$28*0.025-配置与结果!$B$28)</f>
        <v>2.1300000000000003</v>
      </c>
      <c r="AH928" s="1">
        <f>MAX(0,1+INDEX(配置与结果!$G$15:$G$18,F928)+W928*方案参数!$AG$28)</f>
        <v>1.3</v>
      </c>
      <c r="AI928" s="1">
        <f>IF(OR(INDEX(配置与结果!$K$15:$K$18,F928)=1,G928="RHI_BERRY"),1+配置与结果!$B$33+P928*方案参数!$AH$28,1)</f>
        <v>1</v>
      </c>
      <c r="AJ928" s="1">
        <f>MIN(1,MAX(0,J928+方案参数!$AB$28-配置与结果!$B$27))</f>
        <v>0.76</v>
      </c>
      <c r="AK928" s="1">
        <f>MAX(1,K928+IF(F928=2,0.15+方案参数!$CH$28,0)+BN928*方案参数!$X$28+R928*方案参数!$AA$28+0-配置与结果!$B$26+Z928*(方案参数!$AP$28+MIN(方案参数!$AQ$28,P928*0.03)))</f>
        <v>2.3380000000000001</v>
      </c>
      <c r="AL928" s="7">
        <f>ROUNDDOWN(MAX(AD928*配置与结果!$B$31,AD928-AE928)*AF928*AG928*AH928*AI928,0)</f>
        <v>16979</v>
      </c>
      <c r="AM928" s="7">
        <f>ROUNDDOWN(MAX(AD928*配置与结果!$B$31,AD928-AE928)*AF928*AG928*AH928*AI928*AK928,0)</f>
        <v>39698</v>
      </c>
      <c r="AN928" s="7">
        <f t="shared" si="1266"/>
        <v>34245.440000000002</v>
      </c>
      <c r="AO928" s="7">
        <f>方案参数!$BW$28</f>
        <v>1</v>
      </c>
      <c r="AP928" s="7">
        <f>MAX(0,1+INDEX(配置与结果!$J$15:$J$18,F928)+IF(T928&gt;0,方案参数!$BY$28,0)-配置与结果!$B$30)</f>
        <v>2</v>
      </c>
      <c r="AQ928" s="7">
        <f t="shared" si="1267"/>
        <v>6088</v>
      </c>
      <c r="AR928" s="7">
        <f t="shared" si="1268"/>
        <v>14233</v>
      </c>
      <c r="AS928" s="7">
        <f t="shared" si="1269"/>
        <v>12278.2</v>
      </c>
      <c r="AT928" s="7">
        <f>0</f>
        <v>0</v>
      </c>
      <c r="AU928" s="7">
        <f t="shared" si="1270"/>
        <v>46523.64</v>
      </c>
      <c r="AV928" s="1">
        <f t="shared" si="1271"/>
        <v>2</v>
      </c>
      <c r="AW928" s="1">
        <f t="shared" si="1318"/>
        <v>10</v>
      </c>
      <c r="AX928" s="1">
        <f t="shared" si="1272"/>
        <v>2</v>
      </c>
      <c r="AY928" s="1">
        <f>MIN(20,MAX(0,O928+0+0-0))</f>
        <v>0</v>
      </c>
      <c r="AZ928" s="1">
        <f t="shared" si="1273"/>
        <v>5</v>
      </c>
      <c r="BA928" s="1">
        <f t="shared" si="1309"/>
        <v>5</v>
      </c>
      <c r="BB928" s="1">
        <f t="shared" si="1317"/>
        <v>20</v>
      </c>
      <c r="BC928" s="1">
        <f t="shared" si="1315"/>
        <v>3</v>
      </c>
      <c r="BD928" s="1">
        <f t="shared" si="1296"/>
        <v>0</v>
      </c>
      <c r="BE928" s="1">
        <f t="shared" si="1289"/>
        <v>0</v>
      </c>
      <c r="BF928" s="1">
        <f>MIN(4,V928+1)</f>
        <v>4</v>
      </c>
      <c r="BG928" s="1">
        <f t="shared" si="1306"/>
        <v>1</v>
      </c>
      <c r="BH928" s="1">
        <f t="shared" si="1290"/>
        <v>1</v>
      </c>
      <c r="BI928" s="1">
        <f t="shared" si="1307"/>
        <v>1</v>
      </c>
      <c r="BJ928" s="1">
        <f t="shared" si="1310"/>
        <v>1</v>
      </c>
      <c r="BK928" s="1">
        <f t="shared" si="1311"/>
        <v>1</v>
      </c>
      <c r="BL928" s="1">
        <f t="shared" si="1316"/>
        <v>1</v>
      </c>
      <c r="BM928" s="1">
        <f t="shared" si="1314"/>
        <v>1</v>
      </c>
      <c r="BN928" s="1">
        <f t="shared" si="1291"/>
        <v>1</v>
      </c>
      <c r="BO928" s="1">
        <f t="shared" si="1292"/>
        <v>1</v>
      </c>
    </row>
    <row r="929" spans="1:67" ht="30.95" customHeight="1">
      <c r="A929" s="1">
        <f>25</f>
        <v>25</v>
      </c>
      <c r="B929" s="1">
        <f>固定流程!A29</f>
        <v>24</v>
      </c>
      <c r="C929" s="1">
        <f>28</f>
        <v>28</v>
      </c>
      <c r="D929" s="1">
        <f>2</f>
        <v>2</v>
      </c>
      <c r="E929" s="1">
        <f>固定流程!C29</f>
        <v>3</v>
      </c>
      <c r="F929" s="1">
        <f>固定流程!G29</f>
        <v>1</v>
      </c>
      <c r="G929" s="1" t="str">
        <f>固定流程!H29</f>
        <v>LILYA_WEAK</v>
      </c>
      <c r="H929" s="1">
        <f>固定流程!F29</f>
        <v>1</v>
      </c>
      <c r="I929" s="1">
        <f>INDEX(配置与结果!$B$15:$B$18,F929)</f>
        <v>2296</v>
      </c>
      <c r="J929" s="1">
        <f>INDEX(配置与结果!$D$15:$D$18,F929)</f>
        <v>0.7</v>
      </c>
      <c r="K929" s="1">
        <f>INDEX(配置与结果!$E$15:$E$18,F929)</f>
        <v>2.0249999999999999</v>
      </c>
      <c r="L929" s="1">
        <f t="shared" si="1303"/>
        <v>2</v>
      </c>
      <c r="M929" s="1">
        <f t="shared" si="1304"/>
        <v>10</v>
      </c>
      <c r="N929" s="1">
        <f t="shared" si="1305"/>
        <v>2</v>
      </c>
      <c r="O929" s="1">
        <f t="shared" si="1297"/>
        <v>0</v>
      </c>
      <c r="P929" s="1">
        <f>MIN(方案参数!$AI$28,AZ928+0+0)</f>
        <v>5</v>
      </c>
      <c r="Q929" s="1">
        <f t="shared" si="1275"/>
        <v>5</v>
      </c>
      <c r="R929" s="1">
        <f t="shared" si="1276"/>
        <v>20</v>
      </c>
      <c r="S929" s="1">
        <f t="shared" si="1277"/>
        <v>3</v>
      </c>
      <c r="T929" s="1">
        <f t="shared" si="1312"/>
        <v>0</v>
      </c>
      <c r="U929" s="1">
        <f t="shared" si="1279"/>
        <v>0</v>
      </c>
      <c r="V929" s="1">
        <f t="shared" si="1280"/>
        <v>4</v>
      </c>
      <c r="W929" s="1">
        <f t="shared" si="1281"/>
        <v>1</v>
      </c>
      <c r="X929" s="1">
        <f t="shared" si="1282"/>
        <v>1</v>
      </c>
      <c r="Y929" s="1">
        <f t="shared" si="1283"/>
        <v>1</v>
      </c>
      <c r="Z929" s="1">
        <f t="shared" si="1284"/>
        <v>1</v>
      </c>
      <c r="AA929" s="1">
        <f t="shared" si="1308"/>
        <v>1</v>
      </c>
      <c r="AB929" s="1">
        <f t="shared" si="1286"/>
        <v>1</v>
      </c>
      <c r="AC929" s="1">
        <f t="shared" si="1313"/>
        <v>1</v>
      </c>
      <c r="AD929" s="1">
        <f>ROUNDDOWN(I929*(1+IF(F929=3,0.05+方案参数!$Y$28+AA929*0.12,IF(F929=4,方案参数!$BZ$28*方案参数!$AS$28,0)))+IF(AND(X929=1,F929&lt;&gt;3),方案参数!$CC$28,0)+AC929*方案参数!$CB$28,0)</f>
        <v>3034</v>
      </c>
      <c r="AE929" s="1">
        <f>IF(OR(F929=1,F929=4),配置与结果!$B$24,配置与结果!$B$25)*MAX(0,1-INDEX(配置与结果!$I$15:$I$18,F929))</f>
        <v>1200</v>
      </c>
      <c r="AF929" s="1">
        <f>方案参数!$BL$28</f>
        <v>9</v>
      </c>
      <c r="AG929" s="1">
        <f>MAX(配置与结果!$B$32,1+INDEX(配置与结果!$F$15:$F$18,F929)+0.08+方案参数!$CD$28+Q929*方案参数!$W$28+Y929*(方案参数!$AN$28+MIN(方案参数!$AO$28,P929*0.03))+AB929*方案参数!$BZ$28*0.025-配置与结果!$B$28+方案参数!$AE$28)</f>
        <v>2.8650000000000002</v>
      </c>
      <c r="AH929" s="1">
        <f>MAX(0,1+V929*方案参数!$U$28+0*方案参数!$V$28+方案参数!$AE$28-配置与结果!$B$29)</f>
        <v>1.56</v>
      </c>
      <c r="AI929" s="1">
        <f>IF(OR(INDEX(配置与结果!$K$15:$K$18,F929)=1,G929="RHI_BERRY"),1+配置与结果!$B$33+P929*方案参数!$AH$28,1)</f>
        <v>1</v>
      </c>
      <c r="AJ929" s="1">
        <f>MIN(1,MAX(0,J929+方案参数!$AB$28-配置与结果!$B$27))</f>
        <v>1</v>
      </c>
      <c r="AK929" s="1">
        <f>MAX(1,K929+IF(F929=2,0.15+方案参数!$CH$28,0)+BN929*方案参数!$X$28+R929*方案参数!$AA$28+方案参数!$BP$28-配置与结果!$B$26+Z929*(方案参数!$AP$28+MIN(方案参数!$AQ$28,P929*0.03)))</f>
        <v>2.7650000000000001</v>
      </c>
      <c r="AL929" s="7">
        <f>ROUNDDOWN(MAX(AD929*配置与结果!$B$31,AD929-AE929)*AF929*AG929*AH929*AI929,0)</f>
        <v>73771</v>
      </c>
      <c r="AM929" s="7">
        <f>ROUNDDOWN(MAX(AD929*配置与结果!$B$31,AD929-AE929)*AF929*AG929*AH929*AI929*AK929,0)</f>
        <v>203979</v>
      </c>
      <c r="AN929" s="7">
        <f t="shared" si="1266"/>
        <v>203979</v>
      </c>
      <c r="AO929" s="7">
        <f>0</f>
        <v>0</v>
      </c>
      <c r="AP929" s="7">
        <f>MAX(0,1+INDEX(配置与结果!$J$15:$J$18,F929)+IF(T929&gt;0,方案参数!$BY$28,0)-配置与结果!$B$30)</f>
        <v>1</v>
      </c>
      <c r="AQ929" s="7">
        <f t="shared" si="1267"/>
        <v>0</v>
      </c>
      <c r="AR929" s="7">
        <f t="shared" si="1268"/>
        <v>0</v>
      </c>
      <c r="AS929" s="7">
        <f t="shared" si="1269"/>
        <v>0</v>
      </c>
      <c r="AT929" s="7">
        <f>IF(U929&gt;0,ROUNDDOWN(AL929*方案参数!$AF$28,0)*(1-AJ929)+ROUNDDOWN(AM929*方案参数!$AF$28,0)*AJ929,0)</f>
        <v>0</v>
      </c>
      <c r="AU929" s="7">
        <f t="shared" si="1270"/>
        <v>203979</v>
      </c>
      <c r="AV929" s="1">
        <f t="shared" si="1271"/>
        <v>2</v>
      </c>
      <c r="AW929" s="1">
        <f t="shared" si="1318"/>
        <v>10</v>
      </c>
      <c r="AX929" s="1">
        <f t="shared" si="1272"/>
        <v>2</v>
      </c>
      <c r="AY929" s="1">
        <f>MIN(20,MAX(0,O929+0+1-0))</f>
        <v>1</v>
      </c>
      <c r="AZ929" s="1">
        <f t="shared" si="1273"/>
        <v>5</v>
      </c>
      <c r="BA929" s="1">
        <f t="shared" si="1309"/>
        <v>5</v>
      </c>
      <c r="BB929" s="1">
        <f t="shared" si="1317"/>
        <v>20</v>
      </c>
      <c r="BC929" s="1">
        <f t="shared" si="1315"/>
        <v>3</v>
      </c>
      <c r="BD929" s="1">
        <f t="shared" si="1296"/>
        <v>0</v>
      </c>
      <c r="BE929" s="1">
        <f>MAX(0,U929-IF(AF929&gt;0,1,0))+0</f>
        <v>0</v>
      </c>
      <c r="BF929" s="1">
        <f t="shared" ref="BF929:BF946" si="1319">MIN(4,V929+0)</f>
        <v>4</v>
      </c>
      <c r="BG929" s="1">
        <f t="shared" si="1306"/>
        <v>1</v>
      </c>
      <c r="BH929" s="1">
        <f t="shared" si="1290"/>
        <v>1</v>
      </c>
      <c r="BI929" s="1">
        <f t="shared" si="1307"/>
        <v>1</v>
      </c>
      <c r="BJ929" s="1">
        <f t="shared" si="1310"/>
        <v>1</v>
      </c>
      <c r="BK929" s="1">
        <f t="shared" si="1311"/>
        <v>1</v>
      </c>
      <c r="BL929" s="1">
        <f t="shared" si="1316"/>
        <v>1</v>
      </c>
      <c r="BM929" s="1">
        <f t="shared" si="1314"/>
        <v>1</v>
      </c>
      <c r="BN929" s="1">
        <f t="shared" si="1291"/>
        <v>1</v>
      </c>
      <c r="BO929" s="1">
        <f t="shared" si="1292"/>
        <v>1</v>
      </c>
    </row>
    <row r="930" spans="1:67" ht="30.95" customHeight="1">
      <c r="A930" s="1">
        <f>25</f>
        <v>25</v>
      </c>
      <c r="B930" s="1">
        <f>固定流程!A30</f>
        <v>25</v>
      </c>
      <c r="C930" s="1">
        <f>28</f>
        <v>28</v>
      </c>
      <c r="D930" s="1">
        <f>2</f>
        <v>2</v>
      </c>
      <c r="E930" s="1">
        <f>固定流程!C30</f>
        <v>3</v>
      </c>
      <c r="F930" s="1">
        <f>固定流程!G30</f>
        <v>1</v>
      </c>
      <c r="G930" s="1" t="str">
        <f>固定流程!H30</f>
        <v>LILYA_WEAK</v>
      </c>
      <c r="H930" s="1">
        <f>固定流程!F30</f>
        <v>1</v>
      </c>
      <c r="I930" s="1">
        <f>INDEX(配置与结果!$B$15:$B$18,F930)</f>
        <v>2296</v>
      </c>
      <c r="J930" s="1">
        <f>INDEX(配置与结果!$D$15:$D$18,F930)</f>
        <v>0.7</v>
      </c>
      <c r="K930" s="1">
        <f>INDEX(配置与结果!$E$15:$E$18,F930)</f>
        <v>2.0249999999999999</v>
      </c>
      <c r="L930" s="1">
        <f t="shared" si="1303"/>
        <v>2</v>
      </c>
      <c r="M930" s="1">
        <f t="shared" si="1304"/>
        <v>10</v>
      </c>
      <c r="N930" s="1">
        <f t="shared" si="1305"/>
        <v>2</v>
      </c>
      <c r="O930" s="1">
        <f t="shared" si="1297"/>
        <v>1</v>
      </c>
      <c r="P930" s="1">
        <f>MIN(方案参数!$AI$28,AZ929+0+0)</f>
        <v>5</v>
      </c>
      <c r="Q930" s="1">
        <f t="shared" si="1275"/>
        <v>5</v>
      </c>
      <c r="R930" s="1">
        <f t="shared" si="1276"/>
        <v>20</v>
      </c>
      <c r="S930" s="1">
        <f t="shared" si="1277"/>
        <v>3</v>
      </c>
      <c r="T930" s="1">
        <f t="shared" si="1312"/>
        <v>0</v>
      </c>
      <c r="U930" s="1">
        <f t="shared" si="1279"/>
        <v>0</v>
      </c>
      <c r="V930" s="1">
        <f t="shared" si="1280"/>
        <v>4</v>
      </c>
      <c r="W930" s="1">
        <f t="shared" si="1281"/>
        <v>1</v>
      </c>
      <c r="X930" s="1">
        <f t="shared" si="1282"/>
        <v>1</v>
      </c>
      <c r="Y930" s="1">
        <f t="shared" si="1283"/>
        <v>1</v>
      </c>
      <c r="Z930" s="1">
        <f t="shared" si="1284"/>
        <v>1</v>
      </c>
      <c r="AA930" s="1">
        <f t="shared" si="1308"/>
        <v>1</v>
      </c>
      <c r="AB930" s="1">
        <f t="shared" si="1286"/>
        <v>1</v>
      </c>
      <c r="AC930" s="1">
        <f t="shared" si="1313"/>
        <v>1</v>
      </c>
      <c r="AD930" s="1">
        <f>ROUNDDOWN(I930*(1+IF(F930=3,0.05+方案参数!$Y$28+AA930*0.12,IF(F930=4,方案参数!$BZ$28*方案参数!$AS$28,0)))+IF(AND(X930=1,F930&lt;&gt;3),方案参数!$CC$28,0)+AC930*方案参数!$CB$28,0)</f>
        <v>3034</v>
      </c>
      <c r="AE930" s="1">
        <f>IF(OR(F930=1,F930=4),配置与结果!$B$24,配置与结果!$B$25)*MAX(0,1-INDEX(配置与结果!$I$15:$I$18,F930))</f>
        <v>1200</v>
      </c>
      <c r="AF930" s="1">
        <f>方案参数!$BL$28</f>
        <v>9</v>
      </c>
      <c r="AG930" s="1">
        <f>MAX(配置与结果!$B$32,1+INDEX(配置与结果!$F$15:$F$18,F930)+0.08+方案参数!$CD$28+Q930*方案参数!$W$28+Y930*(方案参数!$AN$28+MIN(方案参数!$AO$28,P930*0.03))+AB930*方案参数!$BZ$28*0.025-配置与结果!$B$28+方案参数!$AE$28)</f>
        <v>2.8650000000000002</v>
      </c>
      <c r="AH930" s="1">
        <f>MAX(0,1+V930*方案参数!$U$28+1*方案参数!$V$28+方案参数!$AE$28-配置与结果!$B$29)</f>
        <v>1.62</v>
      </c>
      <c r="AI930" s="1">
        <f>IF(OR(INDEX(配置与结果!$K$15:$K$18,F930)=1,G930="RHI_BERRY"),1+配置与结果!$B$33+P930*方案参数!$AH$28,1)</f>
        <v>1</v>
      </c>
      <c r="AJ930" s="1">
        <f>MIN(1,MAX(0,J930+方案参数!$AB$28-配置与结果!$B$27))</f>
        <v>1</v>
      </c>
      <c r="AK930" s="1">
        <f>MAX(1,K930+IF(F930=2,0.15+方案参数!$CH$28,0)+BN930*方案参数!$X$28+R930*方案参数!$AA$28+方案参数!$BP$28-配置与结果!$B$26+Z930*(方案参数!$AP$28+MIN(方案参数!$AQ$28,P930*0.03)))</f>
        <v>2.7650000000000001</v>
      </c>
      <c r="AL930" s="7">
        <f>ROUNDDOWN(MAX(AD930*配置与结果!$B$31,AD930-AE930)*AF930*AG930*AH930*AI930,0)</f>
        <v>76609</v>
      </c>
      <c r="AM930" s="7">
        <f>ROUNDDOWN(MAX(AD930*配置与结果!$B$31,AD930-AE930)*AF930*AG930*AH930*AI930*AK930,0)</f>
        <v>211824</v>
      </c>
      <c r="AN930" s="7">
        <f t="shared" si="1266"/>
        <v>211824</v>
      </c>
      <c r="AO930" s="7">
        <f>0</f>
        <v>0</v>
      </c>
      <c r="AP930" s="7">
        <f>MAX(0,1+INDEX(配置与结果!$J$15:$J$18,F930)+IF(T930&gt;0,方案参数!$BY$28,0)-配置与结果!$B$30)</f>
        <v>1</v>
      </c>
      <c r="AQ930" s="7">
        <f t="shared" si="1267"/>
        <v>0</v>
      </c>
      <c r="AR930" s="7">
        <f t="shared" si="1268"/>
        <v>0</v>
      </c>
      <c r="AS930" s="7">
        <f t="shared" si="1269"/>
        <v>0</v>
      </c>
      <c r="AT930" s="7">
        <f>IF(U930&gt;0,ROUNDDOWN(AL930*方案参数!$AF$28,0)*(1-AJ930)+ROUNDDOWN(AM930*方案参数!$AF$28,0)*AJ930,0)</f>
        <v>0</v>
      </c>
      <c r="AU930" s="7">
        <f t="shared" si="1270"/>
        <v>211824</v>
      </c>
      <c r="AV930" s="1">
        <f t="shared" si="1271"/>
        <v>2</v>
      </c>
      <c r="AW930" s="1">
        <f t="shared" si="1318"/>
        <v>10</v>
      </c>
      <c r="AX930" s="1">
        <f t="shared" si="1272"/>
        <v>2</v>
      </c>
      <c r="AY930" s="1">
        <f>MIN(20,MAX(0,O930+0+1-0))</f>
        <v>2</v>
      </c>
      <c r="AZ930" s="1">
        <f t="shared" si="1273"/>
        <v>5</v>
      </c>
      <c r="BA930" s="1">
        <f t="shared" si="1309"/>
        <v>5</v>
      </c>
      <c r="BB930" s="1">
        <f t="shared" si="1317"/>
        <v>20</v>
      </c>
      <c r="BC930" s="1">
        <f t="shared" si="1315"/>
        <v>3</v>
      </c>
      <c r="BD930" s="1">
        <f t="shared" si="1296"/>
        <v>0</v>
      </c>
      <c r="BE930" s="1">
        <f>MAX(0,U930-IF(AF930&gt;0,1,0))+0</f>
        <v>0</v>
      </c>
      <c r="BF930" s="1">
        <f t="shared" si="1319"/>
        <v>4</v>
      </c>
      <c r="BG930" s="1">
        <f t="shared" si="1306"/>
        <v>1</v>
      </c>
      <c r="BH930" s="1">
        <f t="shared" si="1290"/>
        <v>1</v>
      </c>
      <c r="BI930" s="1">
        <f t="shared" si="1307"/>
        <v>1</v>
      </c>
      <c r="BJ930" s="1">
        <f t="shared" si="1310"/>
        <v>1</v>
      </c>
      <c r="BK930" s="1">
        <f t="shared" si="1311"/>
        <v>1</v>
      </c>
      <c r="BL930" s="1">
        <f t="shared" si="1316"/>
        <v>1</v>
      </c>
      <c r="BM930" s="1">
        <f t="shared" si="1314"/>
        <v>1</v>
      </c>
      <c r="BN930" s="1">
        <f t="shared" si="1291"/>
        <v>1</v>
      </c>
      <c r="BO930" s="1">
        <f t="shared" si="1292"/>
        <v>1</v>
      </c>
    </row>
    <row r="931" spans="1:67" ht="30.95" customHeight="1">
      <c r="A931" s="1">
        <f>25</f>
        <v>25</v>
      </c>
      <c r="B931" s="1">
        <f>固定流程!A31</f>
        <v>26</v>
      </c>
      <c r="C931" s="1">
        <f>28</f>
        <v>28</v>
      </c>
      <c r="D931" s="1">
        <f>2</f>
        <v>2</v>
      </c>
      <c r="E931" s="1">
        <f>固定流程!C31</f>
        <v>3</v>
      </c>
      <c r="F931" s="1">
        <f>固定流程!G31</f>
        <v>2</v>
      </c>
      <c r="G931" s="1" t="str">
        <f>固定流程!H31</f>
        <v>37_WEAK</v>
      </c>
      <c r="H931" s="1">
        <f>固定流程!F31</f>
        <v>1</v>
      </c>
      <c r="I931" s="1">
        <f>INDEX(配置与结果!$B$15:$B$18,F931)</f>
        <v>2306</v>
      </c>
      <c r="J931" s="1">
        <f>INDEX(配置与结果!$D$15:$D$18,F931)</f>
        <v>0.46</v>
      </c>
      <c r="K931" s="1">
        <f>INDEX(配置与结果!$E$15:$E$18,F931)</f>
        <v>1.9279999999999999</v>
      </c>
      <c r="L931" s="1">
        <f t="shared" si="1303"/>
        <v>2</v>
      </c>
      <c r="M931" s="1">
        <f t="shared" si="1304"/>
        <v>10</v>
      </c>
      <c r="N931" s="1">
        <f t="shared" si="1305"/>
        <v>2</v>
      </c>
      <c r="O931" s="1">
        <f t="shared" si="1297"/>
        <v>2</v>
      </c>
      <c r="P931" s="1">
        <f>MIN(方案参数!$AI$28,AZ930+0+0)</f>
        <v>5</v>
      </c>
      <c r="Q931" s="1">
        <f t="shared" si="1275"/>
        <v>5</v>
      </c>
      <c r="R931" s="1">
        <f t="shared" si="1276"/>
        <v>20</v>
      </c>
      <c r="S931" s="1">
        <f t="shared" si="1277"/>
        <v>3</v>
      </c>
      <c r="T931" s="1">
        <f t="shared" si="1312"/>
        <v>0</v>
      </c>
      <c r="U931" s="1">
        <f t="shared" si="1279"/>
        <v>0</v>
      </c>
      <c r="V931" s="1">
        <f t="shared" si="1280"/>
        <v>4</v>
      </c>
      <c r="W931" s="1">
        <f t="shared" si="1281"/>
        <v>1</v>
      </c>
      <c r="X931" s="1">
        <f t="shared" si="1282"/>
        <v>1</v>
      </c>
      <c r="Y931" s="1">
        <f t="shared" si="1283"/>
        <v>1</v>
      </c>
      <c r="Z931" s="1">
        <f t="shared" si="1284"/>
        <v>1</v>
      </c>
      <c r="AA931" s="1">
        <f t="shared" si="1308"/>
        <v>1</v>
      </c>
      <c r="AB931" s="1">
        <f t="shared" si="1286"/>
        <v>1</v>
      </c>
      <c r="AC931" s="1">
        <f t="shared" si="1313"/>
        <v>1</v>
      </c>
      <c r="AD931" s="1">
        <f>ROUNDDOWN(I931*(1+IF(F931=3,0.05+方案参数!$Y$28+AA931*0.12,IF(F931=4,方案参数!$BZ$28*方案参数!$AS$28,0)))+IF(AND(X931=1,F931&lt;&gt;3),方案参数!$CC$28,0)+AC931*方案参数!$CB$28,0)</f>
        <v>3044</v>
      </c>
      <c r="AE931" s="1">
        <f>IF(OR(F931=1,F931=4),配置与结果!$B$24,配置与结果!$B$25)*MAX(0,1-INDEX(配置与结果!$I$15:$I$18,F931))</f>
        <v>1000</v>
      </c>
      <c r="AF931" s="1">
        <f>方案参数!$CE$28</f>
        <v>8</v>
      </c>
      <c r="AG931" s="1">
        <f>MAX(配置与结果!$B$32,1+INDEX(配置与结果!$F$15:$F$18,F931)+0+Q931*方案参数!$W$28+Y931*(方案参数!$AN$28+MIN(方案参数!$AO$28,P931*0.03))+AB931*方案参数!$BZ$28*0.025-配置与结果!$B$28+方案参数!$AE$28)</f>
        <v>2.5300000000000002</v>
      </c>
      <c r="AH931" s="1">
        <f>MAX(0,1+V931*方案参数!$U$28+方案参数!$AE$28-配置与结果!$B$29)</f>
        <v>1.56</v>
      </c>
      <c r="AI931" s="1">
        <f>IF(OR(INDEX(配置与结果!$K$15:$K$18,F931)=1,G931="RHI_BERRY"),1+配置与结果!$B$33+P931*方案参数!$AH$28,1)</f>
        <v>1</v>
      </c>
      <c r="AJ931" s="1">
        <f>MIN(1,MAX(0,J931+方案参数!$AB$28-配置与结果!$B$27))</f>
        <v>0.76</v>
      </c>
      <c r="AK931" s="1">
        <f>MAX(1,K931+IF(F931=2,0.15+方案参数!$CH$28,0)+BN931*方案参数!$X$28+R931*方案参数!$AA$28+0-配置与结果!$B$26+Z931*(方案参数!$AP$28+MIN(方案参数!$AQ$28,P931*0.03)))</f>
        <v>2.3380000000000001</v>
      </c>
      <c r="AL931" s="7">
        <f>ROUNDDOWN(MAX(AD931*配置与结果!$B$31,AD931-AE931)*AF931*AG931*AH931*AI931,0)</f>
        <v>64538</v>
      </c>
      <c r="AM931" s="7">
        <f>ROUNDDOWN(MAX(AD931*配置与结果!$B$31,AD931-AE931)*AF931*AG931*AH931*AI931*AK931,0)</f>
        <v>150890</v>
      </c>
      <c r="AN931" s="7">
        <f t="shared" si="1266"/>
        <v>130165.51999999999</v>
      </c>
      <c r="AO931" s="7">
        <f>0</f>
        <v>0</v>
      </c>
      <c r="AP931" s="7">
        <f>MAX(0,1+INDEX(配置与结果!$J$15:$J$18,F931)+IF(T931&gt;0,方案参数!$BY$28,0)-配置与结果!$B$30)</f>
        <v>1</v>
      </c>
      <c r="AQ931" s="7">
        <f t="shared" si="1267"/>
        <v>0</v>
      </c>
      <c r="AR931" s="7">
        <f t="shared" si="1268"/>
        <v>0</v>
      </c>
      <c r="AS931" s="7">
        <f t="shared" si="1269"/>
        <v>0</v>
      </c>
      <c r="AT931" s="7">
        <f>IF(U931&gt;0,ROUNDDOWN(AL931*方案参数!$AF$28,0)*(1-AJ931)+ROUNDDOWN(AM931*方案参数!$AF$28,0)*AJ931,0)</f>
        <v>0</v>
      </c>
      <c r="AU931" s="7">
        <f t="shared" si="1270"/>
        <v>130165.51999999999</v>
      </c>
      <c r="AV931" s="1">
        <f t="shared" si="1271"/>
        <v>2</v>
      </c>
      <c r="AW931" s="1">
        <f t="shared" si="1318"/>
        <v>10</v>
      </c>
      <c r="AX931" s="1">
        <f t="shared" si="1272"/>
        <v>2</v>
      </c>
      <c r="AY931" s="1">
        <f>MIN(20,MAX(0,O931+0+0-0))</f>
        <v>2</v>
      </c>
      <c r="AZ931" s="1">
        <f t="shared" si="1273"/>
        <v>5</v>
      </c>
      <c r="BA931" s="1">
        <f t="shared" si="1309"/>
        <v>5</v>
      </c>
      <c r="BB931" s="1">
        <f t="shared" si="1317"/>
        <v>20</v>
      </c>
      <c r="BC931" s="1">
        <f t="shared" si="1315"/>
        <v>3</v>
      </c>
      <c r="BD931" s="1">
        <f t="shared" si="1296"/>
        <v>0</v>
      </c>
      <c r="BE931" s="1">
        <f>MAX(0,U931-IF(AF931&gt;0,1,0))+1</f>
        <v>1</v>
      </c>
      <c r="BF931" s="1">
        <f t="shared" si="1319"/>
        <v>4</v>
      </c>
      <c r="BG931" s="1">
        <f t="shared" si="1306"/>
        <v>1</v>
      </c>
      <c r="BH931" s="1">
        <f t="shared" si="1290"/>
        <v>1</v>
      </c>
      <c r="BI931" s="1">
        <f t="shared" si="1307"/>
        <v>1</v>
      </c>
      <c r="BJ931" s="1">
        <f t="shared" si="1310"/>
        <v>1</v>
      </c>
      <c r="BK931" s="1">
        <f t="shared" si="1311"/>
        <v>1</v>
      </c>
      <c r="BL931" s="1">
        <f t="shared" si="1316"/>
        <v>1</v>
      </c>
      <c r="BM931" s="1">
        <f t="shared" si="1314"/>
        <v>1</v>
      </c>
      <c r="BN931" s="1">
        <f t="shared" si="1291"/>
        <v>1</v>
      </c>
      <c r="BO931" s="1">
        <f t="shared" si="1292"/>
        <v>1</v>
      </c>
    </row>
    <row r="932" spans="1:67" ht="30.95" customHeight="1">
      <c r="A932" s="1">
        <f>25</f>
        <v>25</v>
      </c>
      <c r="B932" s="1">
        <f>固定流程!A32</f>
        <v>27</v>
      </c>
      <c r="C932" s="1">
        <f>28</f>
        <v>28</v>
      </c>
      <c r="D932" s="1">
        <f>2</f>
        <v>2</v>
      </c>
      <c r="E932" s="1">
        <f>固定流程!C32</f>
        <v>3</v>
      </c>
      <c r="F932" s="1">
        <f>固定流程!G32</f>
        <v>1</v>
      </c>
      <c r="G932" s="1" t="str">
        <f>固定流程!H32</f>
        <v>LILYA_THIRD</v>
      </c>
      <c r="H932" s="1">
        <f>固定流程!F32</f>
        <v>1</v>
      </c>
      <c r="I932" s="1">
        <f>INDEX(配置与结果!$B$15:$B$18,F932)</f>
        <v>2296</v>
      </c>
      <c r="J932" s="1">
        <f>INDEX(配置与结果!$D$15:$D$18,F932)</f>
        <v>0.7</v>
      </c>
      <c r="K932" s="1">
        <f>INDEX(配置与结果!$E$15:$E$18,F932)</f>
        <v>2.0249999999999999</v>
      </c>
      <c r="L932" s="1">
        <f t="shared" si="1303"/>
        <v>2</v>
      </c>
      <c r="M932" s="1">
        <f t="shared" si="1304"/>
        <v>10</v>
      </c>
      <c r="N932" s="1">
        <f t="shared" si="1305"/>
        <v>2</v>
      </c>
      <c r="O932" s="1">
        <f t="shared" si="1297"/>
        <v>2</v>
      </c>
      <c r="P932" s="1">
        <f>MIN(方案参数!$AI$28,AZ931+0+0)</f>
        <v>5</v>
      </c>
      <c r="Q932" s="1">
        <f t="shared" si="1275"/>
        <v>5</v>
      </c>
      <c r="R932" s="1">
        <f t="shared" si="1276"/>
        <v>20</v>
      </c>
      <c r="S932" s="1">
        <f t="shared" si="1277"/>
        <v>3</v>
      </c>
      <c r="T932" s="1">
        <f t="shared" si="1312"/>
        <v>0</v>
      </c>
      <c r="U932" s="1">
        <f t="shared" si="1279"/>
        <v>1</v>
      </c>
      <c r="V932" s="1">
        <f t="shared" si="1280"/>
        <v>4</v>
      </c>
      <c r="W932" s="1">
        <f t="shared" si="1281"/>
        <v>1</v>
      </c>
      <c r="X932" s="1">
        <f t="shared" si="1282"/>
        <v>1</v>
      </c>
      <c r="Y932" s="1">
        <f t="shared" si="1283"/>
        <v>1</v>
      </c>
      <c r="Z932" s="1">
        <f t="shared" si="1284"/>
        <v>1</v>
      </c>
      <c r="AA932" s="1">
        <f t="shared" si="1308"/>
        <v>1</v>
      </c>
      <c r="AB932" s="1">
        <f t="shared" si="1286"/>
        <v>1</v>
      </c>
      <c r="AC932" s="1">
        <f t="shared" si="1313"/>
        <v>1</v>
      </c>
      <c r="AD932" s="1">
        <f>ROUNDDOWN(I932*(1+IF(F932=3,0.05+方案参数!$Y$28+AA932*0.12,IF(F932=4,方案参数!$BZ$28*方案参数!$AS$28,0)))+IF(AND(X932=1,F932&lt;&gt;3),方案参数!$CC$28,0)+AC932*方案参数!$CB$28,0)</f>
        <v>3034</v>
      </c>
      <c r="AE932" s="1">
        <f>IF(OR(F932=1,F932=4),配置与结果!$B$24,配置与结果!$B$25)*MAX(0,1-INDEX(配置与结果!$I$15:$I$18,F932))</f>
        <v>1200</v>
      </c>
      <c r="AF932" s="1">
        <f>方案参数!$BM$28</f>
        <v>20</v>
      </c>
      <c r="AG932" s="1">
        <f>MAX(配置与结果!$B$32,1+INDEX(配置与结果!$F$15:$F$18,F932)+0.08+方案参数!$CD$28+Q932*方案参数!$W$28+Y932*(方案参数!$AN$28+MIN(方案参数!$AO$28,P932*0.03))+AB932*方案参数!$BZ$28*0.025-配置与结果!$B$28+方案参数!$AE$28)</f>
        <v>2.8650000000000002</v>
      </c>
      <c r="AH932" s="1">
        <f>MAX(0,1+V932*方案参数!$U$28+3*方案参数!$V$28+方案参数!$AE$28-配置与结果!$B$29)</f>
        <v>1.7399999999999998</v>
      </c>
      <c r="AI932" s="1">
        <f>IF(OR(INDEX(配置与结果!$K$15:$K$18,F932)=1,G932="RHI_BERRY"),1+配置与结果!$B$33+P932*方案参数!$AH$28,1)</f>
        <v>1</v>
      </c>
      <c r="AJ932" s="1">
        <f>MIN(1,MAX(0,J932+方案参数!$AB$28-配置与结果!$B$27))</f>
        <v>1</v>
      </c>
      <c r="AK932" s="1">
        <f>MAX(1,K932+IF(F932=2,0.15+方案参数!$CH$28,0)+BN932*方案参数!$X$28+R932*方案参数!$AA$28+方案参数!$BQ$28-配置与结果!$B$26+Z932*(方案参数!$AP$28+MIN(方案参数!$AQ$28,P932*0.03)))</f>
        <v>2.9650000000000003</v>
      </c>
      <c r="AL932" s="7">
        <f>ROUNDDOWN(MAX(AD932*配置与结果!$B$31,AD932-AE932)*AF932*AG932*AH932*AI932,0)</f>
        <v>182853</v>
      </c>
      <c r="AM932" s="7">
        <f>ROUNDDOWN(MAX(AD932*配置与结果!$B$31,AD932-AE932)*AF932*AG932*AH932*AI932*AK932,0)</f>
        <v>542160</v>
      </c>
      <c r="AN932" s="7">
        <f t="shared" si="1266"/>
        <v>542160</v>
      </c>
      <c r="AO932" s="7">
        <f>0</f>
        <v>0</v>
      </c>
      <c r="AP932" s="7">
        <f>MAX(0,1+INDEX(配置与结果!$J$15:$J$18,F932)+IF(T932&gt;0,方案参数!$BY$28,0)-配置与结果!$B$30)</f>
        <v>1</v>
      </c>
      <c r="AQ932" s="7">
        <f t="shared" si="1267"/>
        <v>0</v>
      </c>
      <c r="AR932" s="7">
        <f t="shared" si="1268"/>
        <v>0</v>
      </c>
      <c r="AS932" s="7">
        <f t="shared" si="1269"/>
        <v>0</v>
      </c>
      <c r="AT932" s="7">
        <f>IF(U932&gt;0,ROUNDDOWN(AL932*方案参数!$AF$28,0)*(1-AJ932)+ROUNDDOWN(AM932*方案参数!$AF$28,0)*AJ932,0)</f>
        <v>216864</v>
      </c>
      <c r="AU932" s="7">
        <f t="shared" si="1270"/>
        <v>759024</v>
      </c>
      <c r="AV932" s="1">
        <f t="shared" si="1271"/>
        <v>2</v>
      </c>
      <c r="AW932" s="1">
        <f t="shared" si="1318"/>
        <v>10</v>
      </c>
      <c r="AX932" s="1">
        <f t="shared" si="1272"/>
        <v>2</v>
      </c>
      <c r="AY932" s="1">
        <f>MIN(20,MAX(0,O932+0+1-0))</f>
        <v>3</v>
      </c>
      <c r="AZ932" s="1">
        <f t="shared" si="1273"/>
        <v>5</v>
      </c>
      <c r="BA932" s="1">
        <f t="shared" si="1309"/>
        <v>5</v>
      </c>
      <c r="BB932" s="1">
        <f t="shared" si="1317"/>
        <v>20</v>
      </c>
      <c r="BC932" s="1">
        <f t="shared" si="1315"/>
        <v>3</v>
      </c>
      <c r="BD932" s="1">
        <f t="shared" si="1296"/>
        <v>0</v>
      </c>
      <c r="BE932" s="1">
        <f>MAX(0,U932-IF(AF932&gt;0,1,0))+0</f>
        <v>0</v>
      </c>
      <c r="BF932" s="1">
        <f t="shared" si="1319"/>
        <v>4</v>
      </c>
      <c r="BG932" s="1">
        <f t="shared" si="1306"/>
        <v>1</v>
      </c>
      <c r="BH932" s="1">
        <f t="shared" si="1290"/>
        <v>1</v>
      </c>
      <c r="BI932" s="1">
        <f t="shared" si="1307"/>
        <v>1</v>
      </c>
      <c r="BJ932" s="1">
        <f t="shared" si="1310"/>
        <v>1</v>
      </c>
      <c r="BK932" s="1">
        <f t="shared" si="1311"/>
        <v>1</v>
      </c>
      <c r="BL932" s="1">
        <f t="shared" si="1316"/>
        <v>1</v>
      </c>
      <c r="BM932" s="1">
        <f t="shared" si="1314"/>
        <v>1</v>
      </c>
      <c r="BN932" s="1">
        <f t="shared" si="1291"/>
        <v>1</v>
      </c>
      <c r="BO932" s="1">
        <f t="shared" si="1292"/>
        <v>1</v>
      </c>
    </row>
    <row r="933" spans="1:67" ht="30.95" customHeight="1">
      <c r="A933" s="1">
        <f>25</f>
        <v>25</v>
      </c>
      <c r="B933" s="1">
        <f>固定流程!A33</f>
        <v>28</v>
      </c>
      <c r="C933" s="1">
        <f>28</f>
        <v>28</v>
      </c>
      <c r="D933" s="1">
        <f>2</f>
        <v>2</v>
      </c>
      <c r="E933" s="1">
        <f>固定流程!C33</f>
        <v>3</v>
      </c>
      <c r="F933" s="1">
        <f>固定流程!G33</f>
        <v>1</v>
      </c>
      <c r="G933" s="1" t="str">
        <f>固定流程!H33</f>
        <v>LILYA_WEAK</v>
      </c>
      <c r="H933" s="1">
        <f>固定流程!F33</f>
        <v>1</v>
      </c>
      <c r="I933" s="1">
        <f>INDEX(配置与结果!$B$15:$B$18,F933)</f>
        <v>2296</v>
      </c>
      <c r="J933" s="1">
        <f>INDEX(配置与结果!$D$15:$D$18,F933)</f>
        <v>0.7</v>
      </c>
      <c r="K933" s="1">
        <f>INDEX(配置与结果!$E$15:$E$18,F933)</f>
        <v>2.0249999999999999</v>
      </c>
      <c r="L933" s="1">
        <f t="shared" si="1303"/>
        <v>2</v>
      </c>
      <c r="M933" s="1">
        <f t="shared" si="1304"/>
        <v>10</v>
      </c>
      <c r="N933" s="1">
        <f t="shared" si="1305"/>
        <v>2</v>
      </c>
      <c r="O933" s="1">
        <f t="shared" si="1297"/>
        <v>3</v>
      </c>
      <c r="P933" s="1">
        <f>MIN(方案参数!$AI$28,AZ932+0+0)</f>
        <v>5</v>
      </c>
      <c r="Q933" s="1">
        <f t="shared" si="1275"/>
        <v>5</v>
      </c>
      <c r="R933" s="1">
        <f t="shared" si="1276"/>
        <v>20</v>
      </c>
      <c r="S933" s="1">
        <f t="shared" si="1277"/>
        <v>3</v>
      </c>
      <c r="T933" s="1">
        <f t="shared" si="1312"/>
        <v>0</v>
      </c>
      <c r="U933" s="1">
        <f t="shared" si="1279"/>
        <v>0</v>
      </c>
      <c r="V933" s="1">
        <f t="shared" si="1280"/>
        <v>4</v>
      </c>
      <c r="W933" s="1">
        <f t="shared" si="1281"/>
        <v>1</v>
      </c>
      <c r="X933" s="1">
        <f t="shared" si="1282"/>
        <v>1</v>
      </c>
      <c r="Y933" s="1">
        <f t="shared" si="1283"/>
        <v>1</v>
      </c>
      <c r="Z933" s="1">
        <f t="shared" si="1284"/>
        <v>1</v>
      </c>
      <c r="AA933" s="1">
        <f t="shared" si="1308"/>
        <v>1</v>
      </c>
      <c r="AB933" s="1">
        <f t="shared" si="1286"/>
        <v>1</v>
      </c>
      <c r="AC933" s="1">
        <f t="shared" si="1313"/>
        <v>1</v>
      </c>
      <c r="AD933" s="1">
        <f>ROUNDDOWN(I933*(1+IF(F933=3,0.05+方案参数!$Y$28+AA933*0.12,IF(F933=4,方案参数!$BZ$28*方案参数!$AS$28,0)))+IF(AND(X933=1,F933&lt;&gt;3),方案参数!$CC$28,0)+AC933*方案参数!$CB$28,0)</f>
        <v>3034</v>
      </c>
      <c r="AE933" s="1">
        <f>IF(OR(F933=1,F933=4),配置与结果!$B$24,配置与结果!$B$25)*MAX(0,1-INDEX(配置与结果!$I$15:$I$18,F933))</f>
        <v>1200</v>
      </c>
      <c r="AF933" s="1">
        <f>方案参数!$BL$28</f>
        <v>9</v>
      </c>
      <c r="AG933" s="1">
        <f>MAX(配置与结果!$B$32,1+INDEX(配置与结果!$F$15:$F$18,F933)+0.08+方案参数!$CD$28+Q933*方案参数!$W$28+Y933*(方案参数!$AN$28+MIN(方案参数!$AO$28,P933*0.03))+AB933*方案参数!$BZ$28*0.025-配置与结果!$B$28+方案参数!$AE$28)</f>
        <v>2.8650000000000002</v>
      </c>
      <c r="AH933" s="1">
        <f>MAX(0,1+V933*方案参数!$U$28+4*方案参数!$V$28+方案参数!$AE$28-配置与结果!$B$29)</f>
        <v>1.7999999999999998</v>
      </c>
      <c r="AI933" s="1">
        <f>IF(OR(INDEX(配置与结果!$K$15:$K$18,F933)=1,G933="RHI_BERRY"),1+配置与结果!$B$33+P933*方案参数!$AH$28,1)</f>
        <v>1</v>
      </c>
      <c r="AJ933" s="1">
        <f>MIN(1,MAX(0,J933+方案参数!$AB$28-配置与结果!$B$27))</f>
        <v>1</v>
      </c>
      <c r="AK933" s="1">
        <f>MAX(1,K933+IF(F933=2,0.15+方案参数!$CH$28,0)+BN933*方案参数!$X$28+R933*方案参数!$AA$28+方案参数!$BP$28-配置与结果!$B$26+Z933*(方案参数!$AP$28+MIN(方案参数!$AQ$28,P933*0.03)))</f>
        <v>2.7650000000000001</v>
      </c>
      <c r="AL933" s="7">
        <f>ROUNDDOWN(MAX(AD933*配置与结果!$B$31,AD933-AE933)*AF933*AG933*AH933*AI933,0)</f>
        <v>85121</v>
      </c>
      <c r="AM933" s="7">
        <f>ROUNDDOWN(MAX(AD933*配置与结果!$B$31,AD933-AE933)*AF933*AG933*AH933*AI933*AK933,0)</f>
        <v>235360</v>
      </c>
      <c r="AN933" s="7">
        <f t="shared" si="1266"/>
        <v>235360</v>
      </c>
      <c r="AO933" s="7">
        <f>0</f>
        <v>0</v>
      </c>
      <c r="AP933" s="7">
        <f>MAX(0,1+INDEX(配置与结果!$J$15:$J$18,F933)+IF(T933&gt;0,方案参数!$BY$28,0)-配置与结果!$B$30)</f>
        <v>1</v>
      </c>
      <c r="AQ933" s="7">
        <f t="shared" si="1267"/>
        <v>0</v>
      </c>
      <c r="AR933" s="7">
        <f t="shared" si="1268"/>
        <v>0</v>
      </c>
      <c r="AS933" s="7">
        <f t="shared" si="1269"/>
        <v>0</v>
      </c>
      <c r="AT933" s="7">
        <f>IF(U933&gt;0,ROUNDDOWN(AL933*方案参数!$AF$28,0)*(1-AJ933)+ROUNDDOWN(AM933*方案参数!$AF$28,0)*AJ933,0)</f>
        <v>0</v>
      </c>
      <c r="AU933" s="7">
        <f t="shared" si="1270"/>
        <v>235360</v>
      </c>
      <c r="AV933" s="1">
        <f t="shared" si="1271"/>
        <v>2</v>
      </c>
      <c r="AW933" s="1">
        <f t="shared" si="1318"/>
        <v>10</v>
      </c>
      <c r="AX933" s="1">
        <f t="shared" si="1272"/>
        <v>2</v>
      </c>
      <c r="AY933" s="1">
        <f>MIN(20,MAX(0,O933+0+1-0))</f>
        <v>4</v>
      </c>
      <c r="AZ933" s="1">
        <f t="shared" si="1273"/>
        <v>5</v>
      </c>
      <c r="BA933" s="1">
        <f t="shared" si="1309"/>
        <v>5</v>
      </c>
      <c r="BB933" s="1">
        <f t="shared" si="1317"/>
        <v>20</v>
      </c>
      <c r="BC933" s="1">
        <f t="shared" si="1315"/>
        <v>3</v>
      </c>
      <c r="BD933" s="1">
        <f t="shared" si="1296"/>
        <v>0</v>
      </c>
      <c r="BE933" s="1">
        <f>MAX(0,U933-IF(AF933&gt;0,1,0))+0</f>
        <v>0</v>
      </c>
      <c r="BF933" s="1">
        <f t="shared" si="1319"/>
        <v>4</v>
      </c>
      <c r="BG933" s="1">
        <f t="shared" si="1306"/>
        <v>1</v>
      </c>
      <c r="BH933" s="1">
        <f t="shared" si="1290"/>
        <v>1</v>
      </c>
      <c r="BI933" s="1">
        <f t="shared" si="1307"/>
        <v>1</v>
      </c>
      <c r="BJ933" s="1">
        <f t="shared" si="1310"/>
        <v>1</v>
      </c>
      <c r="BK933" s="1">
        <f t="shared" si="1311"/>
        <v>1</v>
      </c>
      <c r="BL933" s="1">
        <f t="shared" si="1316"/>
        <v>1</v>
      </c>
      <c r="BM933" s="1">
        <f t="shared" si="1314"/>
        <v>1</v>
      </c>
      <c r="BN933" s="1">
        <f t="shared" si="1291"/>
        <v>1</v>
      </c>
      <c r="BO933" s="1">
        <f t="shared" si="1292"/>
        <v>1</v>
      </c>
    </row>
    <row r="934" spans="1:67" ht="30.95" customHeight="1">
      <c r="A934" s="1">
        <f>25</f>
        <v>25</v>
      </c>
      <c r="B934" s="1">
        <f>固定流程!A34</f>
        <v>29</v>
      </c>
      <c r="C934" s="1">
        <f>28</f>
        <v>28</v>
      </c>
      <c r="D934" s="1">
        <f>2</f>
        <v>2</v>
      </c>
      <c r="E934" s="1">
        <f>固定流程!C34</f>
        <v>3</v>
      </c>
      <c r="F934" s="1">
        <f>固定流程!G34</f>
        <v>1</v>
      </c>
      <c r="G934" s="1" t="str">
        <f>固定流程!H34</f>
        <v>LILYA_WEAK</v>
      </c>
      <c r="H934" s="1">
        <f>固定流程!F34</f>
        <v>1</v>
      </c>
      <c r="I934" s="1">
        <f>INDEX(配置与结果!$B$15:$B$18,F934)</f>
        <v>2296</v>
      </c>
      <c r="J934" s="1">
        <f>INDEX(配置与结果!$D$15:$D$18,F934)</f>
        <v>0.7</v>
      </c>
      <c r="K934" s="1">
        <f>INDEX(配置与结果!$E$15:$E$18,F934)</f>
        <v>2.0249999999999999</v>
      </c>
      <c r="L934" s="1">
        <f t="shared" si="1303"/>
        <v>2</v>
      </c>
      <c r="M934" s="1">
        <f t="shared" si="1304"/>
        <v>10</v>
      </c>
      <c r="N934" s="1">
        <f t="shared" si="1305"/>
        <v>2</v>
      </c>
      <c r="O934" s="1">
        <f t="shared" si="1297"/>
        <v>4</v>
      </c>
      <c r="P934" s="1">
        <f>MIN(方案参数!$AI$28,AZ933+0+0)</f>
        <v>5</v>
      </c>
      <c r="Q934" s="1">
        <f t="shared" si="1275"/>
        <v>5</v>
      </c>
      <c r="R934" s="1">
        <f t="shared" si="1276"/>
        <v>20</v>
      </c>
      <c r="S934" s="1">
        <f t="shared" si="1277"/>
        <v>3</v>
      </c>
      <c r="T934" s="1">
        <f t="shared" si="1312"/>
        <v>0</v>
      </c>
      <c r="U934" s="1">
        <f t="shared" si="1279"/>
        <v>0</v>
      </c>
      <c r="V934" s="1">
        <f t="shared" si="1280"/>
        <v>4</v>
      </c>
      <c r="W934" s="1">
        <f t="shared" si="1281"/>
        <v>1</v>
      </c>
      <c r="X934" s="1">
        <f t="shared" si="1282"/>
        <v>1</v>
      </c>
      <c r="Y934" s="1">
        <f t="shared" si="1283"/>
        <v>1</v>
      </c>
      <c r="Z934" s="1">
        <f t="shared" si="1284"/>
        <v>1</v>
      </c>
      <c r="AA934" s="1">
        <f t="shared" si="1308"/>
        <v>1</v>
      </c>
      <c r="AB934" s="1">
        <f t="shared" si="1286"/>
        <v>1</v>
      </c>
      <c r="AC934" s="1">
        <f t="shared" si="1313"/>
        <v>1</v>
      </c>
      <c r="AD934" s="1">
        <f>ROUNDDOWN(I934*(1+IF(F934=3,0.05+方案参数!$Y$28+AA934*0.12,IF(F934=4,方案参数!$BZ$28*方案参数!$AS$28,0)))+IF(AND(X934=1,F934&lt;&gt;3),方案参数!$CC$28,0)+AC934*方案参数!$CB$28,0)</f>
        <v>3034</v>
      </c>
      <c r="AE934" s="1">
        <f>IF(OR(F934=1,F934=4),配置与结果!$B$24,配置与结果!$B$25)*MAX(0,1-INDEX(配置与结果!$I$15:$I$18,F934))</f>
        <v>1200</v>
      </c>
      <c r="AF934" s="1">
        <f>方案参数!$BL$28</f>
        <v>9</v>
      </c>
      <c r="AG934" s="1">
        <f>MAX(配置与结果!$B$32,1+INDEX(配置与结果!$F$15:$F$18,F934)+0.08+方案参数!$CD$28+Q934*方案参数!$W$28+Y934*(方案参数!$AN$28+MIN(方案参数!$AO$28,P934*0.03))+AB934*方案参数!$BZ$28*0.025-配置与结果!$B$28+方案参数!$AE$28)</f>
        <v>2.8650000000000002</v>
      </c>
      <c r="AH934" s="1">
        <f>MAX(0,1+V934*方案参数!$U$28+5*方案参数!$V$28+方案参数!$AE$28-配置与结果!$B$29)</f>
        <v>1.8599999999999999</v>
      </c>
      <c r="AI934" s="1">
        <f>IF(OR(INDEX(配置与结果!$K$15:$K$18,F934)=1,G934="RHI_BERRY"),1+配置与结果!$B$33+P934*方案参数!$AH$28,1)</f>
        <v>1</v>
      </c>
      <c r="AJ934" s="1">
        <f>MIN(1,MAX(0,J934+方案参数!$AB$28-配置与结果!$B$27))</f>
        <v>1</v>
      </c>
      <c r="AK934" s="1">
        <f>MAX(1,K934+IF(F934=2,0.15+方案参数!$CH$28,0)+BN934*方案参数!$X$28+R934*方案参数!$AA$28+方案参数!$BP$28-配置与结果!$B$26+Z934*(方案参数!$AP$28+MIN(方案参数!$AQ$28,P934*0.03)))</f>
        <v>2.7650000000000001</v>
      </c>
      <c r="AL934" s="7">
        <f>ROUNDDOWN(MAX(AD934*配置与结果!$B$31,AD934-AE934)*AF934*AG934*AH934*AI934,0)</f>
        <v>87958</v>
      </c>
      <c r="AM934" s="7">
        <f>ROUNDDOWN(MAX(AD934*配置与结果!$B$31,AD934-AE934)*AF934*AG934*AH934*AI934*AK934,0)</f>
        <v>243206</v>
      </c>
      <c r="AN934" s="7">
        <f t="shared" si="1266"/>
        <v>243206</v>
      </c>
      <c r="AO934" s="7">
        <f>0</f>
        <v>0</v>
      </c>
      <c r="AP934" s="7">
        <f>MAX(0,1+INDEX(配置与结果!$J$15:$J$18,F934)+IF(T934&gt;0,方案参数!$BY$28,0)-配置与结果!$B$30)</f>
        <v>1</v>
      </c>
      <c r="AQ934" s="7">
        <f t="shared" si="1267"/>
        <v>0</v>
      </c>
      <c r="AR934" s="7">
        <f t="shared" si="1268"/>
        <v>0</v>
      </c>
      <c r="AS934" s="7">
        <f t="shared" si="1269"/>
        <v>0</v>
      </c>
      <c r="AT934" s="7">
        <f>IF(U934&gt;0,ROUNDDOWN(AL934*方案参数!$AF$28,0)*(1-AJ934)+ROUNDDOWN(AM934*方案参数!$AF$28,0)*AJ934,0)</f>
        <v>0</v>
      </c>
      <c r="AU934" s="7">
        <f t="shared" si="1270"/>
        <v>243206</v>
      </c>
      <c r="AV934" s="1">
        <f t="shared" si="1271"/>
        <v>2</v>
      </c>
      <c r="AW934" s="1">
        <f t="shared" si="1318"/>
        <v>10</v>
      </c>
      <c r="AX934" s="1">
        <f t="shared" si="1272"/>
        <v>2</v>
      </c>
      <c r="AY934" s="1">
        <f>MIN(20,MAX(0,O934+0+1-0))</f>
        <v>5</v>
      </c>
      <c r="AZ934" s="1">
        <f t="shared" si="1273"/>
        <v>5</v>
      </c>
      <c r="BA934" s="1">
        <f t="shared" si="1309"/>
        <v>5</v>
      </c>
      <c r="BB934" s="1">
        <f t="shared" si="1317"/>
        <v>20</v>
      </c>
      <c r="BC934" s="1">
        <f t="shared" si="1315"/>
        <v>3</v>
      </c>
      <c r="BD934" s="1">
        <f t="shared" si="1296"/>
        <v>0</v>
      </c>
      <c r="BE934" s="1">
        <f>MAX(0,U934-IF(AF934&gt;0,1,0))+0</f>
        <v>0</v>
      </c>
      <c r="BF934" s="1">
        <f t="shared" si="1319"/>
        <v>4</v>
      </c>
      <c r="BG934" s="1">
        <f t="shared" si="1306"/>
        <v>1</v>
      </c>
      <c r="BH934" s="1">
        <f t="shared" si="1290"/>
        <v>1</v>
      </c>
      <c r="BI934" s="1">
        <f t="shared" si="1307"/>
        <v>1</v>
      </c>
      <c r="BJ934" s="1">
        <f t="shared" si="1310"/>
        <v>1</v>
      </c>
      <c r="BK934" s="1">
        <f t="shared" si="1311"/>
        <v>1</v>
      </c>
      <c r="BL934" s="1">
        <f t="shared" si="1316"/>
        <v>1</v>
      </c>
      <c r="BM934" s="1">
        <f t="shared" si="1314"/>
        <v>1</v>
      </c>
      <c r="BN934" s="1">
        <f t="shared" si="1291"/>
        <v>1</v>
      </c>
      <c r="BO934" s="1">
        <f t="shared" si="1292"/>
        <v>1</v>
      </c>
    </row>
    <row r="935" spans="1:67" ht="30.95" customHeight="1">
      <c r="A935" s="1">
        <f>25</f>
        <v>25</v>
      </c>
      <c r="B935" s="1">
        <f>固定流程!A35</f>
        <v>30</v>
      </c>
      <c r="C935" s="1">
        <f>28</f>
        <v>28</v>
      </c>
      <c r="D935" s="1">
        <f>2</f>
        <v>2</v>
      </c>
      <c r="E935" s="1">
        <f>固定流程!C35</f>
        <v>3</v>
      </c>
      <c r="F935" s="1">
        <f>固定流程!G35</f>
        <v>2</v>
      </c>
      <c r="G935" s="1" t="str">
        <f>固定流程!H35</f>
        <v>37_WEAK</v>
      </c>
      <c r="H935" s="1">
        <f>固定流程!F35</f>
        <v>1</v>
      </c>
      <c r="I935" s="1">
        <f>INDEX(配置与结果!$B$15:$B$18,F935)</f>
        <v>2306</v>
      </c>
      <c r="J935" s="1">
        <f>INDEX(配置与结果!$D$15:$D$18,F935)</f>
        <v>0.46</v>
      </c>
      <c r="K935" s="1">
        <f>INDEX(配置与结果!$E$15:$E$18,F935)</f>
        <v>1.9279999999999999</v>
      </c>
      <c r="L935" s="1">
        <f t="shared" si="1303"/>
        <v>2</v>
      </c>
      <c r="M935" s="1">
        <f t="shared" si="1304"/>
        <v>10</v>
      </c>
      <c r="N935" s="1">
        <f t="shared" si="1305"/>
        <v>2</v>
      </c>
      <c r="O935" s="1">
        <f t="shared" si="1297"/>
        <v>5</v>
      </c>
      <c r="P935" s="1">
        <f>MIN(方案参数!$AI$28,AZ934+0+0)</f>
        <v>5</v>
      </c>
      <c r="Q935" s="1">
        <f t="shared" si="1275"/>
        <v>5</v>
      </c>
      <c r="R935" s="1">
        <f t="shared" si="1276"/>
        <v>20</v>
      </c>
      <c r="S935" s="1">
        <f t="shared" si="1277"/>
        <v>3</v>
      </c>
      <c r="T935" s="1">
        <f t="shared" si="1312"/>
        <v>0</v>
      </c>
      <c r="U935" s="1">
        <f t="shared" si="1279"/>
        <v>0</v>
      </c>
      <c r="V935" s="1">
        <f t="shared" si="1280"/>
        <v>4</v>
      </c>
      <c r="W935" s="1">
        <f t="shared" si="1281"/>
        <v>1</v>
      </c>
      <c r="X935" s="1">
        <f t="shared" si="1282"/>
        <v>1</v>
      </c>
      <c r="Y935" s="1">
        <f t="shared" si="1283"/>
        <v>1</v>
      </c>
      <c r="Z935" s="1">
        <f t="shared" si="1284"/>
        <v>1</v>
      </c>
      <c r="AA935" s="1">
        <f t="shared" si="1308"/>
        <v>1</v>
      </c>
      <c r="AB935" s="1">
        <f t="shared" si="1286"/>
        <v>1</v>
      </c>
      <c r="AC935" s="1">
        <f t="shared" si="1313"/>
        <v>1</v>
      </c>
      <c r="AD935" s="1">
        <f>ROUNDDOWN(I935*(1+IF(F935=3,0.05+方案参数!$Y$28+AA935*0.12,IF(F935=4,方案参数!$BZ$28*方案参数!$AS$28,0)))+IF(AND(X935=1,F935&lt;&gt;3),方案参数!$CC$28,0)+AC935*方案参数!$CB$28,0)</f>
        <v>3044</v>
      </c>
      <c r="AE935" s="1">
        <f>IF(OR(F935=1,F935=4),配置与结果!$B$24,配置与结果!$B$25)*MAX(0,1-INDEX(配置与结果!$I$15:$I$18,F935))</f>
        <v>1000</v>
      </c>
      <c r="AF935" s="1">
        <f>方案参数!$CE$28</f>
        <v>8</v>
      </c>
      <c r="AG935" s="1">
        <f>MAX(配置与结果!$B$32,1+INDEX(配置与结果!$F$15:$F$18,F935)+0+Q935*方案参数!$W$28+Y935*(方案参数!$AN$28+MIN(方案参数!$AO$28,P935*0.03))+AB935*方案参数!$BZ$28*0.025-配置与结果!$B$28+方案参数!$AE$28)</f>
        <v>2.5300000000000002</v>
      </c>
      <c r="AH935" s="1">
        <f>MAX(0,1+V935*方案参数!$U$28+方案参数!$AE$28-配置与结果!$B$29)</f>
        <v>1.56</v>
      </c>
      <c r="AI935" s="1">
        <f>IF(OR(INDEX(配置与结果!$K$15:$K$18,F935)=1,G935="RHI_BERRY"),1+配置与结果!$B$33+P935*方案参数!$AH$28,1)</f>
        <v>1</v>
      </c>
      <c r="AJ935" s="1">
        <f>MIN(1,MAX(0,J935+方案参数!$AB$28-配置与结果!$B$27))</f>
        <v>0.76</v>
      </c>
      <c r="AK935" s="1">
        <f>MAX(1,K935+IF(F935=2,0.15+方案参数!$CH$28,0)+BN935*方案参数!$X$28+R935*方案参数!$AA$28+0-配置与结果!$B$26+Z935*(方案参数!$AP$28+MIN(方案参数!$AQ$28,P935*0.03)))</f>
        <v>2.3380000000000001</v>
      </c>
      <c r="AL935" s="7">
        <f>ROUNDDOWN(MAX(AD935*配置与结果!$B$31,AD935-AE935)*AF935*AG935*AH935*AI935,0)</f>
        <v>64538</v>
      </c>
      <c r="AM935" s="7">
        <f>ROUNDDOWN(MAX(AD935*配置与结果!$B$31,AD935-AE935)*AF935*AG935*AH935*AI935*AK935,0)</f>
        <v>150890</v>
      </c>
      <c r="AN935" s="7">
        <f t="shared" si="1266"/>
        <v>130165.51999999999</v>
      </c>
      <c r="AO935" s="7">
        <f>0</f>
        <v>0</v>
      </c>
      <c r="AP935" s="7">
        <f>MAX(0,1+INDEX(配置与结果!$J$15:$J$18,F935)+IF(T935&gt;0,方案参数!$BY$28,0)-配置与结果!$B$30)</f>
        <v>1</v>
      </c>
      <c r="AQ935" s="7">
        <f t="shared" si="1267"/>
        <v>0</v>
      </c>
      <c r="AR935" s="7">
        <f t="shared" si="1268"/>
        <v>0</v>
      </c>
      <c r="AS935" s="7">
        <f t="shared" si="1269"/>
        <v>0</v>
      </c>
      <c r="AT935" s="7">
        <f>IF(U935&gt;0,ROUNDDOWN(AL935*方案参数!$AF$28,0)*(1-AJ935)+ROUNDDOWN(AM935*方案参数!$AF$28,0)*AJ935,0)</f>
        <v>0</v>
      </c>
      <c r="AU935" s="7">
        <f t="shared" si="1270"/>
        <v>130165.51999999999</v>
      </c>
      <c r="AV935" s="1">
        <f t="shared" si="1271"/>
        <v>2</v>
      </c>
      <c r="AW935" s="1">
        <f t="shared" si="1318"/>
        <v>10</v>
      </c>
      <c r="AX935" s="1">
        <f t="shared" si="1272"/>
        <v>2</v>
      </c>
      <c r="AY935" s="1">
        <f>MIN(20,MAX(0,O935+0+0-0))</f>
        <v>5</v>
      </c>
      <c r="AZ935" s="1">
        <f t="shared" si="1273"/>
        <v>5</v>
      </c>
      <c r="BA935" s="1">
        <f t="shared" si="1309"/>
        <v>5</v>
      </c>
      <c r="BB935" s="1">
        <f t="shared" si="1317"/>
        <v>20</v>
      </c>
      <c r="BC935" s="1">
        <f t="shared" si="1315"/>
        <v>3</v>
      </c>
      <c r="BD935" s="1">
        <f t="shared" si="1296"/>
        <v>0</v>
      </c>
      <c r="BE935" s="1">
        <f>MAX(0,U935-IF(AF935&gt;0,1,0))+1</f>
        <v>1</v>
      </c>
      <c r="BF935" s="1">
        <f t="shared" si="1319"/>
        <v>4</v>
      </c>
      <c r="BG935" s="1">
        <f t="shared" si="1306"/>
        <v>1</v>
      </c>
      <c r="BH935" s="1">
        <f t="shared" si="1290"/>
        <v>1</v>
      </c>
      <c r="BI935" s="1">
        <f t="shared" si="1307"/>
        <v>1</v>
      </c>
      <c r="BJ935" s="1">
        <f t="shared" si="1310"/>
        <v>1</v>
      </c>
      <c r="BK935" s="1">
        <f t="shared" si="1311"/>
        <v>1</v>
      </c>
      <c r="BL935" s="1">
        <f t="shared" si="1316"/>
        <v>1</v>
      </c>
      <c r="BM935" s="1">
        <f t="shared" si="1314"/>
        <v>1</v>
      </c>
      <c r="BN935" s="1">
        <f t="shared" si="1291"/>
        <v>1</v>
      </c>
      <c r="BO935" s="1">
        <f t="shared" si="1292"/>
        <v>1</v>
      </c>
    </row>
    <row r="936" spans="1:67" ht="30.95" customHeight="1">
      <c r="A936" s="1">
        <f>25</f>
        <v>25</v>
      </c>
      <c r="B936" s="1">
        <f>固定流程!A36</f>
        <v>31</v>
      </c>
      <c r="C936" s="1">
        <f>28</f>
        <v>28</v>
      </c>
      <c r="D936" s="1">
        <f>2</f>
        <v>2</v>
      </c>
      <c r="E936" s="1">
        <f>固定流程!C36</f>
        <v>3</v>
      </c>
      <c r="F936" s="1">
        <f>固定流程!G36</f>
        <v>1</v>
      </c>
      <c r="G936" s="1" t="str">
        <f>固定流程!H36</f>
        <v>LILYA_THIRD</v>
      </c>
      <c r="H936" s="1">
        <f>固定流程!F36</f>
        <v>1</v>
      </c>
      <c r="I936" s="1">
        <f>INDEX(配置与结果!$B$15:$B$18,F936)</f>
        <v>2296</v>
      </c>
      <c r="J936" s="1">
        <f>INDEX(配置与结果!$D$15:$D$18,F936)</f>
        <v>0.7</v>
      </c>
      <c r="K936" s="1">
        <f>INDEX(配置与结果!$E$15:$E$18,F936)</f>
        <v>2.0249999999999999</v>
      </c>
      <c r="L936" s="1">
        <f t="shared" si="1303"/>
        <v>2</v>
      </c>
      <c r="M936" s="1">
        <f t="shared" si="1304"/>
        <v>10</v>
      </c>
      <c r="N936" s="1">
        <f t="shared" si="1305"/>
        <v>2</v>
      </c>
      <c r="O936" s="1">
        <f t="shared" si="1297"/>
        <v>5</v>
      </c>
      <c r="P936" s="1">
        <f>MIN(方案参数!$AI$28,AZ935+0+0)</f>
        <v>5</v>
      </c>
      <c r="Q936" s="1">
        <f t="shared" si="1275"/>
        <v>5</v>
      </c>
      <c r="R936" s="1">
        <f t="shared" si="1276"/>
        <v>20</v>
      </c>
      <c r="S936" s="1">
        <f t="shared" si="1277"/>
        <v>3</v>
      </c>
      <c r="T936" s="1">
        <f t="shared" si="1312"/>
        <v>0</v>
      </c>
      <c r="U936" s="1">
        <f t="shared" si="1279"/>
        <v>1</v>
      </c>
      <c r="V936" s="1">
        <f t="shared" si="1280"/>
        <v>4</v>
      </c>
      <c r="W936" s="1">
        <f t="shared" si="1281"/>
        <v>1</v>
      </c>
      <c r="X936" s="1">
        <f t="shared" si="1282"/>
        <v>1</v>
      </c>
      <c r="Y936" s="1">
        <f t="shared" si="1283"/>
        <v>1</v>
      </c>
      <c r="Z936" s="1">
        <f t="shared" si="1284"/>
        <v>1</v>
      </c>
      <c r="AA936" s="1">
        <f t="shared" si="1308"/>
        <v>1</v>
      </c>
      <c r="AB936" s="1">
        <f t="shared" si="1286"/>
        <v>1</v>
      </c>
      <c r="AC936" s="1">
        <f t="shared" si="1313"/>
        <v>1</v>
      </c>
      <c r="AD936" s="1">
        <f>ROUNDDOWN(I936*(1+IF(F936=3,0.05+方案参数!$Y$28+AA936*0.12,IF(F936=4,方案参数!$BZ$28*方案参数!$AS$28,0)))+IF(AND(X936=1,F936&lt;&gt;3),方案参数!$CC$28,0)+AC936*方案参数!$CB$28,0)</f>
        <v>3034</v>
      </c>
      <c r="AE936" s="1">
        <f>IF(OR(F936=1,F936=4),配置与结果!$B$24,配置与结果!$B$25)*MAX(0,1-INDEX(配置与结果!$I$15:$I$18,F936))</f>
        <v>1200</v>
      </c>
      <c r="AF936" s="1">
        <f>方案参数!$BM$28</f>
        <v>20</v>
      </c>
      <c r="AG936" s="1">
        <f>MAX(配置与结果!$B$32,1+INDEX(配置与结果!$F$15:$F$18,F936)+0.08+方案参数!$CD$28+Q936*方案参数!$W$28+Y936*(方案参数!$AN$28+MIN(方案参数!$AO$28,P936*0.03))+AB936*方案参数!$BZ$28*0.025-配置与结果!$B$28+方案参数!$AE$28)</f>
        <v>2.8650000000000002</v>
      </c>
      <c r="AH936" s="1">
        <f>MAX(0,1+V936*方案参数!$U$28+7*方案参数!$V$28+方案参数!$AE$28-配置与结果!$B$29)</f>
        <v>1.98</v>
      </c>
      <c r="AI936" s="1">
        <f>IF(OR(INDEX(配置与结果!$K$15:$K$18,F936)=1,G936="RHI_BERRY"),1+配置与结果!$B$33+P936*方案参数!$AH$28,1)</f>
        <v>1</v>
      </c>
      <c r="AJ936" s="1">
        <f>MIN(1,MAX(0,J936+方案参数!$AB$28-配置与结果!$B$27))</f>
        <v>1</v>
      </c>
      <c r="AK936" s="1">
        <f>MAX(1,K936+IF(F936=2,0.15+方案参数!$CH$28,0)+BN936*方案参数!$X$28+R936*方案参数!$AA$28+方案参数!$BQ$28-配置与结果!$B$26+Z936*(方案参数!$AP$28+MIN(方案参数!$AQ$28,P936*0.03)))</f>
        <v>2.9650000000000003</v>
      </c>
      <c r="AL936" s="7">
        <f>ROUNDDOWN(MAX(AD936*配置与结果!$B$31,AD936-AE936)*AF936*AG936*AH936*AI936,0)</f>
        <v>208074</v>
      </c>
      <c r="AM936" s="7">
        <f>ROUNDDOWN(MAX(AD936*配置与结果!$B$31,AD936-AE936)*AF936*AG936*AH936*AI936*AK936,0)</f>
        <v>616941</v>
      </c>
      <c r="AN936" s="7">
        <f t="shared" si="1266"/>
        <v>616941</v>
      </c>
      <c r="AO936" s="7">
        <f>0</f>
        <v>0</v>
      </c>
      <c r="AP936" s="7">
        <f>MAX(0,1+INDEX(配置与结果!$J$15:$J$18,F936)+IF(T936&gt;0,方案参数!$BY$28,0)-配置与结果!$B$30)</f>
        <v>1</v>
      </c>
      <c r="AQ936" s="7">
        <f t="shared" si="1267"/>
        <v>0</v>
      </c>
      <c r="AR936" s="7">
        <f t="shared" si="1268"/>
        <v>0</v>
      </c>
      <c r="AS936" s="7">
        <f t="shared" si="1269"/>
        <v>0</v>
      </c>
      <c r="AT936" s="7">
        <f>IF(U936&gt;0,ROUNDDOWN(AL936*方案参数!$AF$28,0)*(1-AJ936)+ROUNDDOWN(AM936*方案参数!$AF$28,0)*AJ936,0)</f>
        <v>246776</v>
      </c>
      <c r="AU936" s="7">
        <f t="shared" si="1270"/>
        <v>863717</v>
      </c>
      <c r="AV936" s="1">
        <f t="shared" si="1271"/>
        <v>2</v>
      </c>
      <c r="AW936" s="1">
        <f t="shared" si="1318"/>
        <v>10</v>
      </c>
      <c r="AX936" s="1">
        <f t="shared" si="1272"/>
        <v>2</v>
      </c>
      <c r="AY936" s="1">
        <f>MIN(20,MAX(0,O936+0+1-0))</f>
        <v>6</v>
      </c>
      <c r="AZ936" s="1">
        <f t="shared" si="1273"/>
        <v>5</v>
      </c>
      <c r="BA936" s="1">
        <f t="shared" si="1309"/>
        <v>5</v>
      </c>
      <c r="BB936" s="1">
        <f t="shared" si="1317"/>
        <v>20</v>
      </c>
      <c r="BC936" s="1">
        <f t="shared" si="1315"/>
        <v>3</v>
      </c>
      <c r="BD936" s="1">
        <f t="shared" si="1296"/>
        <v>0</v>
      </c>
      <c r="BE936" s="1">
        <f>MAX(0,U936-IF(AF936&gt;0,1,0))+0</f>
        <v>0</v>
      </c>
      <c r="BF936" s="1">
        <f t="shared" si="1319"/>
        <v>4</v>
      </c>
      <c r="BG936" s="1">
        <f t="shared" si="1306"/>
        <v>1</v>
      </c>
      <c r="BH936" s="1">
        <f t="shared" si="1290"/>
        <v>1</v>
      </c>
      <c r="BI936" s="1">
        <f t="shared" si="1307"/>
        <v>1</v>
      </c>
      <c r="BJ936" s="1">
        <f t="shared" si="1310"/>
        <v>1</v>
      </c>
      <c r="BK936" s="1">
        <f t="shared" si="1311"/>
        <v>1</v>
      </c>
      <c r="BL936" s="1">
        <f t="shared" si="1316"/>
        <v>1</v>
      </c>
      <c r="BM936" s="1">
        <f t="shared" si="1314"/>
        <v>1</v>
      </c>
      <c r="BN936" s="1">
        <f t="shared" si="1291"/>
        <v>1</v>
      </c>
      <c r="BO936" s="1">
        <f t="shared" si="1292"/>
        <v>1</v>
      </c>
    </row>
    <row r="937" spans="1:67" ht="30.95" customHeight="1">
      <c r="A937" s="1">
        <f>25</f>
        <v>25</v>
      </c>
      <c r="B937" s="1">
        <f>固定流程!A37</f>
        <v>32</v>
      </c>
      <c r="C937" s="1">
        <f>28</f>
        <v>28</v>
      </c>
      <c r="D937" s="1">
        <f>2</f>
        <v>2</v>
      </c>
      <c r="E937" s="1">
        <f>固定流程!C37</f>
        <v>3</v>
      </c>
      <c r="F937" s="1">
        <f>固定流程!G37</f>
        <v>1</v>
      </c>
      <c r="G937" s="1" t="str">
        <f>固定流程!H37</f>
        <v>LILYA_WEAK</v>
      </c>
      <c r="H937" s="1">
        <f>固定流程!F37</f>
        <v>1</v>
      </c>
      <c r="I937" s="1">
        <f>INDEX(配置与结果!$B$15:$B$18,F937)</f>
        <v>2296</v>
      </c>
      <c r="J937" s="1">
        <f>INDEX(配置与结果!$D$15:$D$18,F937)</f>
        <v>0.7</v>
      </c>
      <c r="K937" s="1">
        <f>INDEX(配置与结果!$E$15:$E$18,F937)</f>
        <v>2.0249999999999999</v>
      </c>
      <c r="L937" s="1">
        <f t="shared" si="1303"/>
        <v>2</v>
      </c>
      <c r="M937" s="1">
        <f t="shared" si="1304"/>
        <v>10</v>
      </c>
      <c r="N937" s="1">
        <f t="shared" si="1305"/>
        <v>2</v>
      </c>
      <c r="O937" s="1">
        <f t="shared" si="1297"/>
        <v>6</v>
      </c>
      <c r="P937" s="1">
        <f>MIN(方案参数!$AI$28,AZ936+0+0)</f>
        <v>5</v>
      </c>
      <c r="Q937" s="1">
        <f t="shared" si="1275"/>
        <v>5</v>
      </c>
      <c r="R937" s="1">
        <f t="shared" si="1276"/>
        <v>20</v>
      </c>
      <c r="S937" s="1">
        <f t="shared" si="1277"/>
        <v>3</v>
      </c>
      <c r="T937" s="1">
        <f t="shared" si="1312"/>
        <v>0</v>
      </c>
      <c r="U937" s="1">
        <f t="shared" si="1279"/>
        <v>0</v>
      </c>
      <c r="V937" s="1">
        <f t="shared" si="1280"/>
        <v>4</v>
      </c>
      <c r="W937" s="1">
        <f t="shared" si="1281"/>
        <v>1</v>
      </c>
      <c r="X937" s="1">
        <f t="shared" si="1282"/>
        <v>1</v>
      </c>
      <c r="Y937" s="1">
        <f t="shared" si="1283"/>
        <v>1</v>
      </c>
      <c r="Z937" s="1">
        <f t="shared" si="1284"/>
        <v>1</v>
      </c>
      <c r="AA937" s="1">
        <f t="shared" si="1308"/>
        <v>1</v>
      </c>
      <c r="AB937" s="1">
        <f t="shared" si="1286"/>
        <v>1</v>
      </c>
      <c r="AC937" s="1">
        <f t="shared" si="1313"/>
        <v>1</v>
      </c>
      <c r="AD937" s="1">
        <f>ROUNDDOWN(I937*(1+IF(F937=3,0.05+方案参数!$Y$28+AA937*0.12,IF(F937=4,方案参数!$BZ$28*方案参数!$AS$28,0)))+IF(AND(X937=1,F937&lt;&gt;3),方案参数!$CC$28,0)+AC937*方案参数!$CB$28,0)</f>
        <v>3034</v>
      </c>
      <c r="AE937" s="1">
        <f>IF(OR(F937=1,F937=4),配置与结果!$B$24,配置与结果!$B$25)*MAX(0,1-INDEX(配置与结果!$I$15:$I$18,F937))</f>
        <v>1200</v>
      </c>
      <c r="AF937" s="1">
        <f>方案参数!$BL$28</f>
        <v>9</v>
      </c>
      <c r="AG937" s="1">
        <f>MAX(配置与结果!$B$32,1+INDEX(配置与结果!$F$15:$F$18,F937)+0.08+方案参数!$CD$28+Q937*方案参数!$W$28+Y937*(方案参数!$AN$28+MIN(方案参数!$AO$28,P937*0.03))+AB937*方案参数!$BZ$28*0.025-配置与结果!$B$28+方案参数!$AE$28)</f>
        <v>2.8650000000000002</v>
      </c>
      <c r="AH937" s="1">
        <f>MAX(0,1+V937*方案参数!$U$28+8*方案参数!$V$28+方案参数!$AE$28-配置与结果!$B$29)</f>
        <v>2.04</v>
      </c>
      <c r="AI937" s="1">
        <f>IF(OR(INDEX(配置与结果!$K$15:$K$18,F937)=1,G937="RHI_BERRY"),1+配置与结果!$B$33+P937*方案参数!$AH$28,1)</f>
        <v>1</v>
      </c>
      <c r="AJ937" s="1">
        <f>MIN(1,MAX(0,J937+方案参数!$AB$28-配置与结果!$B$27))</f>
        <v>1</v>
      </c>
      <c r="AK937" s="1">
        <f>MAX(1,K937+IF(F937=2,0.15+方案参数!$CH$28,0)+BN937*方案参数!$X$28+R937*方案参数!$AA$28+方案参数!$BP$28-配置与结果!$B$26+Z937*(方案参数!$AP$28+MIN(方案参数!$AQ$28,P937*0.03)))</f>
        <v>2.7650000000000001</v>
      </c>
      <c r="AL937" s="7">
        <f>ROUNDDOWN(MAX(AD937*配置与结果!$B$31,AD937-AE937)*AF937*AG937*AH937*AI937,0)</f>
        <v>96470</v>
      </c>
      <c r="AM937" s="7">
        <f>ROUNDDOWN(MAX(AD937*配置与结果!$B$31,AD937-AE937)*AF937*AG937*AH937*AI937*AK937,0)</f>
        <v>266742</v>
      </c>
      <c r="AN937" s="7">
        <f t="shared" si="1266"/>
        <v>266742</v>
      </c>
      <c r="AO937" s="7">
        <f>0</f>
        <v>0</v>
      </c>
      <c r="AP937" s="7">
        <f>MAX(0,1+INDEX(配置与结果!$J$15:$J$18,F937)+IF(T937&gt;0,方案参数!$BY$28,0)-配置与结果!$B$30)</f>
        <v>1</v>
      </c>
      <c r="AQ937" s="7">
        <f t="shared" si="1267"/>
        <v>0</v>
      </c>
      <c r="AR937" s="7">
        <f t="shared" si="1268"/>
        <v>0</v>
      </c>
      <c r="AS937" s="7">
        <f t="shared" si="1269"/>
        <v>0</v>
      </c>
      <c r="AT937" s="7">
        <f>IF(U937&gt;0,ROUNDDOWN(AL937*方案参数!$AF$28,0)*(1-AJ937)+ROUNDDOWN(AM937*方案参数!$AF$28,0)*AJ937,0)</f>
        <v>0</v>
      </c>
      <c r="AU937" s="7">
        <f t="shared" si="1270"/>
        <v>266742</v>
      </c>
      <c r="AV937" s="1">
        <f t="shared" si="1271"/>
        <v>2</v>
      </c>
      <c r="AW937" s="1">
        <f t="shared" si="1318"/>
        <v>10</v>
      </c>
      <c r="AX937" s="1">
        <f t="shared" si="1272"/>
        <v>2</v>
      </c>
      <c r="AY937" s="1">
        <f>MIN(20,MAX(0,O937+0+1-0))</f>
        <v>7</v>
      </c>
      <c r="AZ937" s="1">
        <f t="shared" si="1273"/>
        <v>5</v>
      </c>
      <c r="BA937" s="1">
        <f t="shared" si="1309"/>
        <v>5</v>
      </c>
      <c r="BB937" s="1">
        <f t="shared" si="1317"/>
        <v>20</v>
      </c>
      <c r="BC937" s="1">
        <f t="shared" si="1315"/>
        <v>3</v>
      </c>
      <c r="BD937" s="1">
        <f t="shared" si="1296"/>
        <v>0</v>
      </c>
      <c r="BE937" s="1">
        <f>MAX(0,U937-IF(AF937&gt;0,1,0))+0</f>
        <v>0</v>
      </c>
      <c r="BF937" s="1">
        <f t="shared" si="1319"/>
        <v>4</v>
      </c>
      <c r="BG937" s="1">
        <f t="shared" si="1306"/>
        <v>1</v>
      </c>
      <c r="BH937" s="1">
        <f t="shared" si="1290"/>
        <v>1</v>
      </c>
      <c r="BI937" s="1">
        <f t="shared" si="1307"/>
        <v>1</v>
      </c>
      <c r="BJ937" s="1">
        <f t="shared" si="1310"/>
        <v>1</v>
      </c>
      <c r="BK937" s="1">
        <f t="shared" si="1311"/>
        <v>1</v>
      </c>
      <c r="BL937" s="1">
        <f t="shared" si="1316"/>
        <v>1</v>
      </c>
      <c r="BM937" s="1">
        <f t="shared" si="1314"/>
        <v>1</v>
      </c>
      <c r="BN937" s="1">
        <f t="shared" si="1291"/>
        <v>1</v>
      </c>
      <c r="BO937" s="1">
        <f t="shared" si="1292"/>
        <v>1</v>
      </c>
    </row>
    <row r="938" spans="1:67" ht="30.95" customHeight="1">
      <c r="A938" s="1">
        <f>25</f>
        <v>25</v>
      </c>
      <c r="B938" s="1">
        <f>固定流程!A38</f>
        <v>33</v>
      </c>
      <c r="C938" s="1">
        <f>28</f>
        <v>28</v>
      </c>
      <c r="D938" s="1">
        <f>2</f>
        <v>2</v>
      </c>
      <c r="E938" s="1">
        <f>固定流程!C38</f>
        <v>3</v>
      </c>
      <c r="F938" s="1">
        <f>固定流程!G38</f>
        <v>1</v>
      </c>
      <c r="G938" s="1" t="str">
        <f>固定流程!H38</f>
        <v>LILYA_WEAK</v>
      </c>
      <c r="H938" s="1">
        <f>固定流程!F38</f>
        <v>1</v>
      </c>
      <c r="I938" s="1">
        <f>INDEX(配置与结果!$B$15:$B$18,F938)</f>
        <v>2296</v>
      </c>
      <c r="J938" s="1">
        <f>INDEX(配置与结果!$D$15:$D$18,F938)</f>
        <v>0.7</v>
      </c>
      <c r="K938" s="1">
        <f>INDEX(配置与结果!$E$15:$E$18,F938)</f>
        <v>2.0249999999999999</v>
      </c>
      <c r="L938" s="1">
        <f t="shared" si="1303"/>
        <v>2</v>
      </c>
      <c r="M938" s="1">
        <f t="shared" si="1304"/>
        <v>10</v>
      </c>
      <c r="N938" s="1">
        <f t="shared" si="1305"/>
        <v>2</v>
      </c>
      <c r="O938" s="1">
        <f t="shared" si="1297"/>
        <v>7</v>
      </c>
      <c r="P938" s="1">
        <f>MIN(方案参数!$AI$28,AZ937+0+0)</f>
        <v>5</v>
      </c>
      <c r="Q938" s="1">
        <f t="shared" si="1275"/>
        <v>5</v>
      </c>
      <c r="R938" s="1">
        <f t="shared" si="1276"/>
        <v>20</v>
      </c>
      <c r="S938" s="1">
        <f t="shared" si="1277"/>
        <v>3</v>
      </c>
      <c r="T938" s="1">
        <f t="shared" si="1312"/>
        <v>0</v>
      </c>
      <c r="U938" s="1">
        <f t="shared" si="1279"/>
        <v>0</v>
      </c>
      <c r="V938" s="1">
        <f t="shared" si="1280"/>
        <v>4</v>
      </c>
      <c r="W938" s="1">
        <f t="shared" si="1281"/>
        <v>1</v>
      </c>
      <c r="X938" s="1">
        <f t="shared" si="1282"/>
        <v>1</v>
      </c>
      <c r="Y938" s="1">
        <f t="shared" si="1283"/>
        <v>1</v>
      </c>
      <c r="Z938" s="1">
        <f t="shared" si="1284"/>
        <v>1</v>
      </c>
      <c r="AA938" s="1">
        <f t="shared" si="1308"/>
        <v>1</v>
      </c>
      <c r="AB938" s="1">
        <f t="shared" si="1286"/>
        <v>1</v>
      </c>
      <c r="AC938" s="1">
        <f t="shared" si="1313"/>
        <v>1</v>
      </c>
      <c r="AD938" s="1">
        <f>ROUNDDOWN(I938*(1+IF(F938=3,0.05+方案参数!$Y$28+AA938*0.12,IF(F938=4,方案参数!$BZ$28*方案参数!$AS$28,0)))+IF(AND(X938=1,F938&lt;&gt;3),方案参数!$CC$28,0)+AC938*方案参数!$CB$28,0)</f>
        <v>3034</v>
      </c>
      <c r="AE938" s="1">
        <f>IF(OR(F938=1,F938=4),配置与结果!$B$24,配置与结果!$B$25)*MAX(0,1-INDEX(配置与结果!$I$15:$I$18,F938))</f>
        <v>1200</v>
      </c>
      <c r="AF938" s="1">
        <f>方案参数!$BL$28</f>
        <v>9</v>
      </c>
      <c r="AG938" s="1">
        <f>MAX(配置与结果!$B$32,1+INDEX(配置与结果!$F$15:$F$18,F938)+0.08+方案参数!$CD$28+Q938*方案参数!$W$28+Y938*(方案参数!$AN$28+MIN(方案参数!$AO$28,P938*0.03))+AB938*方案参数!$BZ$28*0.025-配置与结果!$B$28+方案参数!$AE$28)</f>
        <v>2.8650000000000002</v>
      </c>
      <c r="AH938" s="1">
        <f>MAX(0,1+V938*方案参数!$U$28+9*方案参数!$V$28+方案参数!$AE$28-配置与结果!$B$29)</f>
        <v>2.1</v>
      </c>
      <c r="AI938" s="1">
        <f>IF(OR(INDEX(配置与结果!$K$15:$K$18,F938)=1,G938="RHI_BERRY"),1+配置与结果!$B$33+P938*方案参数!$AH$28,1)</f>
        <v>1</v>
      </c>
      <c r="AJ938" s="1">
        <f>MIN(1,MAX(0,J938+方案参数!$AB$28-配置与结果!$B$27))</f>
        <v>1</v>
      </c>
      <c r="AK938" s="1">
        <f>MAX(1,K938+IF(F938=2,0.15+方案参数!$CH$28,0)+BN938*方案参数!$X$28+R938*方案参数!$AA$28+方案参数!$BP$28-配置与结果!$B$26+Z938*(方案参数!$AP$28+MIN(方案参数!$AQ$28,P938*0.03)))</f>
        <v>2.7650000000000001</v>
      </c>
      <c r="AL938" s="7">
        <f>ROUNDDOWN(MAX(AD938*配置与结果!$B$31,AD938-AE938)*AF938*AG938*AH938*AI938,0)</f>
        <v>99308</v>
      </c>
      <c r="AM938" s="7">
        <f>ROUNDDOWN(MAX(AD938*配置与结果!$B$31,AD938-AE938)*AF938*AG938*AH938*AI938*AK938,0)</f>
        <v>274587</v>
      </c>
      <c r="AN938" s="7">
        <f t="shared" si="1266"/>
        <v>274587</v>
      </c>
      <c r="AO938" s="7">
        <f>0</f>
        <v>0</v>
      </c>
      <c r="AP938" s="7">
        <f>MAX(0,1+INDEX(配置与结果!$J$15:$J$18,F938)+IF(T938&gt;0,方案参数!$BY$28,0)-配置与结果!$B$30)</f>
        <v>1</v>
      </c>
      <c r="AQ938" s="7">
        <f t="shared" si="1267"/>
        <v>0</v>
      </c>
      <c r="AR938" s="7">
        <f t="shared" si="1268"/>
        <v>0</v>
      </c>
      <c r="AS938" s="7">
        <f t="shared" si="1269"/>
        <v>0</v>
      </c>
      <c r="AT938" s="7">
        <f>IF(U938&gt;0,ROUNDDOWN(AL938*方案参数!$AF$28,0)*(1-AJ938)+ROUNDDOWN(AM938*方案参数!$AF$28,0)*AJ938,0)</f>
        <v>0</v>
      </c>
      <c r="AU938" s="7">
        <f t="shared" si="1270"/>
        <v>274587</v>
      </c>
      <c r="AV938" s="1">
        <f t="shared" si="1271"/>
        <v>2</v>
      </c>
      <c r="AW938" s="1">
        <f t="shared" si="1318"/>
        <v>10</v>
      </c>
      <c r="AX938" s="1">
        <f t="shared" si="1272"/>
        <v>2</v>
      </c>
      <c r="AY938" s="1">
        <f>MIN(20,MAX(0,O938+0+1-0))</f>
        <v>8</v>
      </c>
      <c r="AZ938" s="1">
        <f t="shared" si="1273"/>
        <v>5</v>
      </c>
      <c r="BA938" s="1">
        <f t="shared" si="1309"/>
        <v>5</v>
      </c>
      <c r="BB938" s="1">
        <f t="shared" si="1317"/>
        <v>20</v>
      </c>
      <c r="BC938" s="1">
        <f t="shared" si="1315"/>
        <v>3</v>
      </c>
      <c r="BD938" s="1">
        <f t="shared" si="1296"/>
        <v>0</v>
      </c>
      <c r="BE938" s="1">
        <f>MAX(0,U938-IF(AF938&gt;0,1,0))+0</f>
        <v>0</v>
      </c>
      <c r="BF938" s="1">
        <f t="shared" si="1319"/>
        <v>4</v>
      </c>
      <c r="BG938" s="1">
        <f t="shared" si="1306"/>
        <v>1</v>
      </c>
      <c r="BH938" s="1">
        <f t="shared" si="1290"/>
        <v>1</v>
      </c>
      <c r="BI938" s="1">
        <f t="shared" si="1307"/>
        <v>1</v>
      </c>
      <c r="BJ938" s="1">
        <f t="shared" si="1310"/>
        <v>1</v>
      </c>
      <c r="BK938" s="1">
        <f t="shared" si="1311"/>
        <v>1</v>
      </c>
      <c r="BL938" s="1">
        <f t="shared" si="1316"/>
        <v>1</v>
      </c>
      <c r="BM938" s="1">
        <f t="shared" si="1314"/>
        <v>1</v>
      </c>
      <c r="BN938" s="1">
        <f t="shared" si="1291"/>
        <v>1</v>
      </c>
      <c r="BO938" s="1">
        <f t="shared" si="1292"/>
        <v>1</v>
      </c>
    </row>
    <row r="939" spans="1:67" ht="30.95" customHeight="1">
      <c r="A939" s="1">
        <f>25</f>
        <v>25</v>
      </c>
      <c r="B939" s="1">
        <f>固定流程!A39</f>
        <v>34</v>
      </c>
      <c r="C939" s="1">
        <f>28</f>
        <v>28</v>
      </c>
      <c r="D939" s="1">
        <f>2</f>
        <v>2</v>
      </c>
      <c r="E939" s="1">
        <f>固定流程!C39</f>
        <v>3</v>
      </c>
      <c r="F939" s="1">
        <f>固定流程!G39</f>
        <v>2</v>
      </c>
      <c r="G939" s="1" t="str">
        <f>固定流程!H39</f>
        <v>37_WEAK</v>
      </c>
      <c r="H939" s="1">
        <f>固定流程!F39</f>
        <v>1</v>
      </c>
      <c r="I939" s="1">
        <f>INDEX(配置与结果!$B$15:$B$18,F939)</f>
        <v>2306</v>
      </c>
      <c r="J939" s="1">
        <f>INDEX(配置与结果!$D$15:$D$18,F939)</f>
        <v>0.46</v>
      </c>
      <c r="K939" s="1">
        <f>INDEX(配置与结果!$E$15:$E$18,F939)</f>
        <v>1.9279999999999999</v>
      </c>
      <c r="L939" s="1">
        <f t="shared" si="1303"/>
        <v>2</v>
      </c>
      <c r="M939" s="1">
        <f t="shared" si="1304"/>
        <v>10</v>
      </c>
      <c r="N939" s="1">
        <f t="shared" si="1305"/>
        <v>2</v>
      </c>
      <c r="O939" s="1">
        <f t="shared" si="1297"/>
        <v>8</v>
      </c>
      <c r="P939" s="1">
        <f>MIN(方案参数!$AI$28,AZ938+0+0)</f>
        <v>5</v>
      </c>
      <c r="Q939" s="1">
        <f t="shared" si="1275"/>
        <v>5</v>
      </c>
      <c r="R939" s="1">
        <f t="shared" si="1276"/>
        <v>20</v>
      </c>
      <c r="S939" s="1">
        <f t="shared" si="1277"/>
        <v>3</v>
      </c>
      <c r="T939" s="1">
        <f t="shared" si="1312"/>
        <v>0</v>
      </c>
      <c r="U939" s="1">
        <f t="shared" si="1279"/>
        <v>0</v>
      </c>
      <c r="V939" s="1">
        <f t="shared" si="1280"/>
        <v>4</v>
      </c>
      <c r="W939" s="1">
        <f t="shared" si="1281"/>
        <v>1</v>
      </c>
      <c r="X939" s="1">
        <f t="shared" si="1282"/>
        <v>1</v>
      </c>
      <c r="Y939" s="1">
        <f t="shared" si="1283"/>
        <v>1</v>
      </c>
      <c r="Z939" s="1">
        <f t="shared" si="1284"/>
        <v>1</v>
      </c>
      <c r="AA939" s="1">
        <f t="shared" si="1308"/>
        <v>1</v>
      </c>
      <c r="AB939" s="1">
        <f t="shared" si="1286"/>
        <v>1</v>
      </c>
      <c r="AC939" s="1">
        <f t="shared" si="1313"/>
        <v>1</v>
      </c>
      <c r="AD939" s="1">
        <f>ROUNDDOWN(I939*(1+IF(F939=3,0.05+方案参数!$Y$28+AA939*0.12,IF(F939=4,方案参数!$BZ$28*方案参数!$AS$28,0)))+IF(AND(X939=1,F939&lt;&gt;3),方案参数!$CC$28,0)+AC939*方案参数!$CB$28,0)</f>
        <v>3044</v>
      </c>
      <c r="AE939" s="1">
        <f>IF(OR(F939=1,F939=4),配置与结果!$B$24,配置与结果!$B$25)*MAX(0,1-INDEX(配置与结果!$I$15:$I$18,F939))</f>
        <v>1000</v>
      </c>
      <c r="AF939" s="1">
        <f>方案参数!$CE$28</f>
        <v>8</v>
      </c>
      <c r="AG939" s="1">
        <f>MAX(配置与结果!$B$32,1+INDEX(配置与结果!$F$15:$F$18,F939)+0+Q939*方案参数!$W$28+Y939*(方案参数!$AN$28+MIN(方案参数!$AO$28,P939*0.03))+AB939*方案参数!$BZ$28*0.025-配置与结果!$B$28+方案参数!$AE$28)</f>
        <v>2.5300000000000002</v>
      </c>
      <c r="AH939" s="1">
        <f>MAX(0,1+V939*方案参数!$U$28+方案参数!$AE$28-配置与结果!$B$29)</f>
        <v>1.56</v>
      </c>
      <c r="AI939" s="1">
        <f>IF(OR(INDEX(配置与结果!$K$15:$K$18,F939)=1,G939="RHI_BERRY"),1+配置与结果!$B$33+P939*方案参数!$AH$28,1)</f>
        <v>1</v>
      </c>
      <c r="AJ939" s="1">
        <f>MIN(1,MAX(0,J939+方案参数!$AB$28-配置与结果!$B$27))</f>
        <v>0.76</v>
      </c>
      <c r="AK939" s="1">
        <f>MAX(1,K939+IF(F939=2,0.15+方案参数!$CH$28,0)+BN939*方案参数!$X$28+R939*方案参数!$AA$28+0-配置与结果!$B$26+Z939*(方案参数!$AP$28+MIN(方案参数!$AQ$28,P939*0.03)))</f>
        <v>2.3380000000000001</v>
      </c>
      <c r="AL939" s="7">
        <f>ROUNDDOWN(MAX(AD939*配置与结果!$B$31,AD939-AE939)*AF939*AG939*AH939*AI939,0)</f>
        <v>64538</v>
      </c>
      <c r="AM939" s="7">
        <f>ROUNDDOWN(MAX(AD939*配置与结果!$B$31,AD939-AE939)*AF939*AG939*AH939*AI939*AK939,0)</f>
        <v>150890</v>
      </c>
      <c r="AN939" s="7">
        <f t="shared" si="1266"/>
        <v>130165.51999999999</v>
      </c>
      <c r="AO939" s="7">
        <f>0</f>
        <v>0</v>
      </c>
      <c r="AP939" s="7">
        <f>MAX(0,1+INDEX(配置与结果!$J$15:$J$18,F939)+IF(T939&gt;0,方案参数!$BY$28,0)-配置与结果!$B$30)</f>
        <v>1</v>
      </c>
      <c r="AQ939" s="7">
        <f t="shared" si="1267"/>
        <v>0</v>
      </c>
      <c r="AR939" s="7">
        <f t="shared" si="1268"/>
        <v>0</v>
      </c>
      <c r="AS939" s="7">
        <f t="shared" si="1269"/>
        <v>0</v>
      </c>
      <c r="AT939" s="7">
        <f>IF(U939&gt;0,ROUNDDOWN(AL939*方案参数!$AF$28,0)*(1-AJ939)+ROUNDDOWN(AM939*方案参数!$AF$28,0)*AJ939,0)</f>
        <v>0</v>
      </c>
      <c r="AU939" s="7">
        <f t="shared" si="1270"/>
        <v>130165.51999999999</v>
      </c>
      <c r="AV939" s="1">
        <f t="shared" si="1271"/>
        <v>2</v>
      </c>
      <c r="AW939" s="1">
        <f t="shared" si="1318"/>
        <v>10</v>
      </c>
      <c r="AX939" s="1">
        <f t="shared" si="1272"/>
        <v>2</v>
      </c>
      <c r="AY939" s="1">
        <f>MIN(20,MAX(0,O939+0+0-0))</f>
        <v>8</v>
      </c>
      <c r="AZ939" s="1">
        <f t="shared" si="1273"/>
        <v>5</v>
      </c>
      <c r="BA939" s="1">
        <f t="shared" si="1309"/>
        <v>5</v>
      </c>
      <c r="BB939" s="1">
        <f t="shared" si="1317"/>
        <v>20</v>
      </c>
      <c r="BC939" s="1">
        <f t="shared" si="1315"/>
        <v>3</v>
      </c>
      <c r="BD939" s="1">
        <f t="shared" si="1296"/>
        <v>0</v>
      </c>
      <c r="BE939" s="1">
        <f>MAX(0,U939-IF(AF939&gt;0,1,0))+1</f>
        <v>1</v>
      </c>
      <c r="BF939" s="1">
        <f t="shared" si="1319"/>
        <v>4</v>
      </c>
      <c r="BG939" s="1">
        <f t="shared" si="1306"/>
        <v>1</v>
      </c>
      <c r="BH939" s="1">
        <f t="shared" si="1290"/>
        <v>1</v>
      </c>
      <c r="BI939" s="1">
        <f t="shared" si="1307"/>
        <v>1</v>
      </c>
      <c r="BJ939" s="1">
        <f t="shared" si="1310"/>
        <v>1</v>
      </c>
      <c r="BK939" s="1">
        <f t="shared" si="1311"/>
        <v>1</v>
      </c>
      <c r="BL939" s="1">
        <f t="shared" si="1316"/>
        <v>1</v>
      </c>
      <c r="BM939" s="1">
        <f t="shared" si="1314"/>
        <v>1</v>
      </c>
      <c r="BN939" s="1">
        <f t="shared" si="1291"/>
        <v>1</v>
      </c>
      <c r="BO939" s="1">
        <f t="shared" si="1292"/>
        <v>1</v>
      </c>
    </row>
    <row r="940" spans="1:67" ht="30.95" customHeight="1">
      <c r="A940" s="1">
        <f>25</f>
        <v>25</v>
      </c>
      <c r="B940" s="1">
        <f>固定流程!A40</f>
        <v>35</v>
      </c>
      <c r="C940" s="1">
        <f>28</f>
        <v>28</v>
      </c>
      <c r="D940" s="1">
        <f>2</f>
        <v>2</v>
      </c>
      <c r="E940" s="1">
        <f>固定流程!C40</f>
        <v>3</v>
      </c>
      <c r="F940" s="1">
        <f>固定流程!G40</f>
        <v>2</v>
      </c>
      <c r="G940" s="1" t="str">
        <f>固定流程!H40</f>
        <v>37_WEAK</v>
      </c>
      <c r="H940" s="1">
        <f>固定流程!F40</f>
        <v>1</v>
      </c>
      <c r="I940" s="1">
        <f>INDEX(配置与结果!$B$15:$B$18,F940)</f>
        <v>2306</v>
      </c>
      <c r="J940" s="1">
        <f>INDEX(配置与结果!$D$15:$D$18,F940)</f>
        <v>0.46</v>
      </c>
      <c r="K940" s="1">
        <f>INDEX(配置与结果!$E$15:$E$18,F940)</f>
        <v>1.9279999999999999</v>
      </c>
      <c r="L940" s="1">
        <f t="shared" si="1303"/>
        <v>2</v>
      </c>
      <c r="M940" s="1">
        <f t="shared" si="1304"/>
        <v>10</v>
      </c>
      <c r="N940" s="1">
        <f t="shared" si="1305"/>
        <v>2</v>
      </c>
      <c r="O940" s="1">
        <f t="shared" si="1297"/>
        <v>8</v>
      </c>
      <c r="P940" s="1">
        <f>MIN(方案参数!$AI$28,AZ939+0+0)</f>
        <v>5</v>
      </c>
      <c r="Q940" s="1">
        <f t="shared" si="1275"/>
        <v>5</v>
      </c>
      <c r="R940" s="1">
        <f t="shared" si="1276"/>
        <v>20</v>
      </c>
      <c r="S940" s="1">
        <f t="shared" si="1277"/>
        <v>3</v>
      </c>
      <c r="T940" s="1">
        <f t="shared" si="1312"/>
        <v>0</v>
      </c>
      <c r="U940" s="1">
        <f t="shared" si="1279"/>
        <v>1</v>
      </c>
      <c r="V940" s="1">
        <f t="shared" si="1280"/>
        <v>4</v>
      </c>
      <c r="W940" s="1">
        <f t="shared" si="1281"/>
        <v>1</v>
      </c>
      <c r="X940" s="1">
        <f t="shared" si="1282"/>
        <v>1</v>
      </c>
      <c r="Y940" s="1">
        <f t="shared" si="1283"/>
        <v>1</v>
      </c>
      <c r="Z940" s="1">
        <f t="shared" si="1284"/>
        <v>1</v>
      </c>
      <c r="AA940" s="1">
        <f t="shared" si="1308"/>
        <v>1</v>
      </c>
      <c r="AB940" s="1">
        <f t="shared" si="1286"/>
        <v>1</v>
      </c>
      <c r="AC940" s="1">
        <f t="shared" si="1313"/>
        <v>1</v>
      </c>
      <c r="AD940" s="1">
        <f>ROUNDDOWN(I940*(1+IF(F940=3,0.05+方案参数!$Y$28+AA940*0.12,IF(F940=4,方案参数!$BZ$28*方案参数!$AS$28,0)))+IF(AND(X940=1,F940&lt;&gt;3),方案参数!$CC$28,0)+AC940*方案参数!$CB$28,0)</f>
        <v>3044</v>
      </c>
      <c r="AE940" s="1">
        <f>IF(OR(F940=1,F940=4),配置与结果!$B$24,配置与结果!$B$25)*MAX(0,1-INDEX(配置与结果!$I$15:$I$18,F940))</f>
        <v>1000</v>
      </c>
      <c r="AF940" s="1">
        <f>方案参数!$CE$28</f>
        <v>8</v>
      </c>
      <c r="AG940" s="1">
        <f>MAX(配置与结果!$B$32,1+INDEX(配置与结果!$F$15:$F$18,F940)+0+Q940*方案参数!$W$28+Y940*(方案参数!$AN$28+MIN(方案参数!$AO$28,P940*0.03))+AB940*方案参数!$BZ$28*0.025-配置与结果!$B$28+方案参数!$AE$28)</f>
        <v>2.5300000000000002</v>
      </c>
      <c r="AH940" s="1">
        <f>MAX(0,1+V940*方案参数!$U$28+方案参数!$AE$28-配置与结果!$B$29)</f>
        <v>1.56</v>
      </c>
      <c r="AI940" s="1">
        <f>IF(OR(INDEX(配置与结果!$K$15:$K$18,F940)=1,G940="RHI_BERRY"),1+配置与结果!$B$33+P940*方案参数!$AH$28,1)</f>
        <v>1</v>
      </c>
      <c r="AJ940" s="1">
        <f>MIN(1,MAX(0,J940+方案参数!$AB$28-配置与结果!$B$27))</f>
        <v>0.76</v>
      </c>
      <c r="AK940" s="1">
        <f>MAX(1,K940+IF(F940=2,0.15+方案参数!$CH$28,0)+BN940*方案参数!$X$28+R940*方案参数!$AA$28+0-配置与结果!$B$26+Z940*(方案参数!$AP$28+MIN(方案参数!$AQ$28,P940*0.03)))</f>
        <v>2.3380000000000001</v>
      </c>
      <c r="AL940" s="7">
        <f>ROUNDDOWN(MAX(AD940*配置与结果!$B$31,AD940-AE940)*AF940*AG940*AH940*AI940,0)</f>
        <v>64538</v>
      </c>
      <c r="AM940" s="7">
        <f>ROUNDDOWN(MAX(AD940*配置与结果!$B$31,AD940-AE940)*AF940*AG940*AH940*AI940*AK940,0)</f>
        <v>150890</v>
      </c>
      <c r="AN940" s="7">
        <f t="shared" si="1266"/>
        <v>130165.51999999999</v>
      </c>
      <c r="AO940" s="7">
        <f>0</f>
        <v>0</v>
      </c>
      <c r="AP940" s="7">
        <f>MAX(0,1+INDEX(配置与结果!$J$15:$J$18,F940)+IF(T940&gt;0,方案参数!$BY$28,0)-配置与结果!$B$30)</f>
        <v>1</v>
      </c>
      <c r="AQ940" s="7">
        <f t="shared" si="1267"/>
        <v>0</v>
      </c>
      <c r="AR940" s="7">
        <f t="shared" si="1268"/>
        <v>0</v>
      </c>
      <c r="AS940" s="7">
        <f t="shared" si="1269"/>
        <v>0</v>
      </c>
      <c r="AT940" s="7">
        <f>IF(U940&gt;0,ROUNDDOWN(AL940*方案参数!$AF$28,0)*(1-AJ940)+ROUNDDOWN(AM940*方案参数!$AF$28,0)*AJ940,0)</f>
        <v>52066.159999999996</v>
      </c>
      <c r="AU940" s="7">
        <f t="shared" si="1270"/>
        <v>182231.67999999999</v>
      </c>
      <c r="AV940" s="1">
        <f t="shared" si="1271"/>
        <v>2</v>
      </c>
      <c r="AW940" s="1">
        <f t="shared" si="1318"/>
        <v>10</v>
      </c>
      <c r="AX940" s="1">
        <f t="shared" si="1272"/>
        <v>2</v>
      </c>
      <c r="AY940" s="1">
        <f>MIN(20,MAX(0,O940+0+0-0))</f>
        <v>8</v>
      </c>
      <c r="AZ940" s="1">
        <f t="shared" si="1273"/>
        <v>5</v>
      </c>
      <c r="BA940" s="1">
        <f t="shared" si="1309"/>
        <v>5</v>
      </c>
      <c r="BB940" s="1">
        <f t="shared" si="1317"/>
        <v>20</v>
      </c>
      <c r="BC940" s="1">
        <f t="shared" si="1315"/>
        <v>3</v>
      </c>
      <c r="BD940" s="1">
        <f t="shared" si="1296"/>
        <v>0</v>
      </c>
      <c r="BE940" s="1">
        <f>MAX(0,U940-IF(AF940&gt;0,1,0))+1</f>
        <v>1</v>
      </c>
      <c r="BF940" s="1">
        <f t="shared" si="1319"/>
        <v>4</v>
      </c>
      <c r="BG940" s="1">
        <f t="shared" si="1306"/>
        <v>1</v>
      </c>
      <c r="BH940" s="1">
        <f t="shared" si="1290"/>
        <v>1</v>
      </c>
      <c r="BI940" s="1">
        <f t="shared" si="1307"/>
        <v>1</v>
      </c>
      <c r="BJ940" s="1">
        <f t="shared" si="1310"/>
        <v>1</v>
      </c>
      <c r="BK940" s="1">
        <f t="shared" si="1311"/>
        <v>1</v>
      </c>
      <c r="BL940" s="1">
        <f t="shared" si="1316"/>
        <v>1</v>
      </c>
      <c r="BM940" s="1">
        <f t="shared" si="1314"/>
        <v>1</v>
      </c>
      <c r="BN940" s="1">
        <f t="shared" si="1291"/>
        <v>1</v>
      </c>
      <c r="BO940" s="1">
        <f t="shared" si="1292"/>
        <v>1</v>
      </c>
    </row>
    <row r="941" spans="1:67" ht="30.95" customHeight="1">
      <c r="A941" s="1">
        <f>25</f>
        <v>25</v>
      </c>
      <c r="B941" s="1">
        <f>固定流程!A41</f>
        <v>36</v>
      </c>
      <c r="C941" s="1">
        <f>28</f>
        <v>28</v>
      </c>
      <c r="D941" s="1">
        <f>2</f>
        <v>2</v>
      </c>
      <c r="E941" s="1">
        <f>固定流程!C41</f>
        <v>3</v>
      </c>
      <c r="F941" s="1">
        <f>固定流程!G41</f>
        <v>1</v>
      </c>
      <c r="G941" s="1" t="str">
        <f>固定流程!H41</f>
        <v>LILYA_FINISH</v>
      </c>
      <c r="H941" s="1">
        <f>固定流程!F41</f>
        <v>1</v>
      </c>
      <c r="I941" s="1">
        <f>INDEX(配置与结果!$B$15:$B$18,F941)</f>
        <v>2296</v>
      </c>
      <c r="J941" s="1">
        <f>INDEX(配置与结果!$D$15:$D$18,F941)</f>
        <v>0.7</v>
      </c>
      <c r="K941" s="1">
        <f>INDEX(配置与结果!$E$15:$E$18,F941)</f>
        <v>2.0249999999999999</v>
      </c>
      <c r="L941" s="1">
        <f t="shared" si="1303"/>
        <v>2</v>
      </c>
      <c r="M941" s="1">
        <f t="shared" si="1304"/>
        <v>10</v>
      </c>
      <c r="N941" s="1">
        <f t="shared" si="1305"/>
        <v>2</v>
      </c>
      <c r="O941" s="1">
        <f t="shared" si="1297"/>
        <v>8</v>
      </c>
      <c r="P941" s="1">
        <f>MIN(方案参数!$AI$28,AZ940+0+0)</f>
        <v>5</v>
      </c>
      <c r="Q941" s="1">
        <f t="shared" si="1275"/>
        <v>5</v>
      </c>
      <c r="R941" s="1">
        <f t="shared" si="1276"/>
        <v>20</v>
      </c>
      <c r="S941" s="1">
        <f t="shared" si="1277"/>
        <v>3</v>
      </c>
      <c r="T941" s="1">
        <f t="shared" si="1312"/>
        <v>0</v>
      </c>
      <c r="U941" s="1">
        <f t="shared" si="1279"/>
        <v>1</v>
      </c>
      <c r="V941" s="1">
        <f t="shared" si="1280"/>
        <v>4</v>
      </c>
      <c r="W941" s="1">
        <f t="shared" si="1281"/>
        <v>1</v>
      </c>
      <c r="X941" s="1">
        <f t="shared" si="1282"/>
        <v>1</v>
      </c>
      <c r="Y941" s="1">
        <f t="shared" si="1283"/>
        <v>1</v>
      </c>
      <c r="Z941" s="1">
        <f t="shared" si="1284"/>
        <v>1</v>
      </c>
      <c r="AA941" s="1">
        <f t="shared" si="1308"/>
        <v>1</v>
      </c>
      <c r="AB941" s="1">
        <f t="shared" si="1286"/>
        <v>1</v>
      </c>
      <c r="AC941" s="1">
        <f t="shared" si="1313"/>
        <v>1</v>
      </c>
      <c r="AD941" s="1">
        <f>ROUNDDOWN(I941*(1+IF(F941=3,0.05+方案参数!$Y$28+AA941*0.12,IF(F941=4,方案参数!$BZ$28*方案参数!$AS$28,0)))+IF(AND(X941=1,F941&lt;&gt;3),方案参数!$CC$28,0)+AC941*方案参数!$CB$28,0)</f>
        <v>3034</v>
      </c>
      <c r="AE941" s="1">
        <f>IF(OR(F941=1,F941=4),配置与结果!$B$24,配置与结果!$B$25)*MAX(0,1-INDEX(配置与结果!$I$15:$I$18,F941))</f>
        <v>1200</v>
      </c>
      <c r="AF941" s="1">
        <f>方案参数!$BN$28+12*方案参数!$BO$28</f>
        <v>48</v>
      </c>
      <c r="AG941" s="1">
        <f>MAX(配置与结果!$B$32,1+INDEX(配置与结果!$F$15:$F$18,F941)+0.08+方案参数!$CD$28+Q941*方案参数!$W$28+Y941*(方案参数!$AN$28+MIN(方案参数!$AO$28,P941*0.03))+AB941*方案参数!$BZ$28*0.025-配置与结果!$B$28+方案参数!$AE$28)</f>
        <v>2.8650000000000002</v>
      </c>
      <c r="AH941" s="1">
        <f>MAX(0,1+V941*方案参数!$U$28+12*方案参数!$V$28+方案参数!$AE$28-配置与结果!$B$29)</f>
        <v>2.2799999999999998</v>
      </c>
      <c r="AI941" s="1">
        <f>IF(OR(INDEX(配置与结果!$K$15:$K$18,F941)=1,G941="RHI_BERRY"),1+配置与结果!$B$33+P941*方案参数!$AH$28,1)</f>
        <v>1</v>
      </c>
      <c r="AJ941" s="1">
        <f>MIN(1,MAX(0,J941+方案参数!$AB$28-配置与结果!$B$27))</f>
        <v>1</v>
      </c>
      <c r="AK941" s="1">
        <f>MAX(1,K941+IF(F941=2,0.15+方案参数!$CH$28,0)+BN941*方案参数!$X$28+R941*方案参数!$AA$28+方案参数!$BR$28-配置与结果!$B$26+Z941*(方案参数!$AP$28+MIN(方案参数!$AQ$28,P941*0.03)))</f>
        <v>3.165</v>
      </c>
      <c r="AL941" s="7">
        <f>ROUNDDOWN(MAX(AD941*配置与结果!$B$31,AD941-AE941)*AF941*AG941*AH941*AI941,0)</f>
        <v>575042</v>
      </c>
      <c r="AM941" s="7">
        <f>ROUNDDOWN(MAX(AD941*配置与结果!$B$31,AD941-AE941)*AF941*AG941*AH941*AI941*AK941,0)</f>
        <v>1820009</v>
      </c>
      <c r="AN941" s="7">
        <f t="shared" si="1266"/>
        <v>1820009</v>
      </c>
      <c r="AO941" s="7">
        <f>0</f>
        <v>0</v>
      </c>
      <c r="AP941" s="7">
        <f>MAX(0,1+INDEX(配置与结果!$J$15:$J$18,F941)+IF(T941&gt;0,方案参数!$BY$28,0)-配置与结果!$B$30)</f>
        <v>1</v>
      </c>
      <c r="AQ941" s="7">
        <f t="shared" si="1267"/>
        <v>0</v>
      </c>
      <c r="AR941" s="7">
        <f t="shared" si="1268"/>
        <v>0</v>
      </c>
      <c r="AS941" s="7">
        <f t="shared" si="1269"/>
        <v>0</v>
      </c>
      <c r="AT941" s="7">
        <f>IF(U941&gt;0,ROUNDDOWN(AL941*方案参数!$AF$28,0)*(1-AJ941)+ROUNDDOWN(AM941*方案参数!$AF$28,0)*AJ941,0)</f>
        <v>728003</v>
      </c>
      <c r="AU941" s="7">
        <f t="shared" si="1270"/>
        <v>2548012</v>
      </c>
      <c r="AV941" s="1">
        <f t="shared" si="1271"/>
        <v>2</v>
      </c>
      <c r="AW941" s="1">
        <f t="shared" si="1318"/>
        <v>10</v>
      </c>
      <c r="AX941" s="1">
        <f t="shared" si="1272"/>
        <v>2</v>
      </c>
      <c r="AY941" s="1">
        <f>MIN(20,MAX(0,O941+0+1-0))</f>
        <v>9</v>
      </c>
      <c r="AZ941" s="1">
        <f t="shared" si="1273"/>
        <v>5</v>
      </c>
      <c r="BA941" s="1">
        <f t="shared" si="1309"/>
        <v>5</v>
      </c>
      <c r="BB941" s="1">
        <f t="shared" si="1317"/>
        <v>20</v>
      </c>
      <c r="BC941" s="1">
        <f t="shared" si="1315"/>
        <v>3</v>
      </c>
      <c r="BD941" s="1">
        <f t="shared" si="1296"/>
        <v>0</v>
      </c>
      <c r="BE941" s="1">
        <f>MAX(0,U941-IF(AF941&gt;0,1,0))+0</f>
        <v>0</v>
      </c>
      <c r="BF941" s="1">
        <f t="shared" si="1319"/>
        <v>4</v>
      </c>
      <c r="BG941" s="1">
        <f t="shared" si="1306"/>
        <v>1</v>
      </c>
      <c r="BH941" s="1">
        <f t="shared" si="1290"/>
        <v>1</v>
      </c>
      <c r="BI941" s="1">
        <f t="shared" si="1307"/>
        <v>1</v>
      </c>
      <c r="BJ941" s="1">
        <f t="shared" si="1310"/>
        <v>1</v>
      </c>
      <c r="BK941" s="1">
        <f t="shared" si="1311"/>
        <v>1</v>
      </c>
      <c r="BL941" s="1">
        <f t="shared" si="1316"/>
        <v>1</v>
      </c>
      <c r="BM941" s="1">
        <f t="shared" si="1314"/>
        <v>1</v>
      </c>
      <c r="BN941" s="1">
        <f t="shared" si="1291"/>
        <v>1</v>
      </c>
      <c r="BO941" s="1">
        <f t="shared" si="1292"/>
        <v>1</v>
      </c>
    </row>
    <row r="942" spans="1:67" ht="30.95" customHeight="1">
      <c r="A942" s="1">
        <f>26</f>
        <v>26</v>
      </c>
      <c r="B942" s="1">
        <f>固定流程!A6</f>
        <v>1</v>
      </c>
      <c r="C942" s="1">
        <f>29</f>
        <v>29</v>
      </c>
      <c r="D942" s="1">
        <f>1</f>
        <v>1</v>
      </c>
      <c r="E942" s="1">
        <f>固定流程!C6</f>
        <v>1</v>
      </c>
      <c r="F942" s="1">
        <f>固定流程!G6</f>
        <v>3</v>
      </c>
      <c r="G942" s="1" t="str">
        <f>固定流程!H6</f>
        <v>RHI_ULT</v>
      </c>
      <c r="H942" s="1">
        <f>固定流程!F6</f>
        <v>1</v>
      </c>
      <c r="I942" s="1">
        <f>INDEX(配置与结果!$B$15:$B$18,F942)</f>
        <v>2597</v>
      </c>
      <c r="J942" s="1">
        <f>INDEX(配置与结果!$D$15:$D$18,F942)</f>
        <v>0.255</v>
      </c>
      <c r="K942" s="1">
        <f>INDEX(配置与结果!$E$15:$E$18,F942)</f>
        <v>1.55</v>
      </c>
      <c r="L942" s="1">
        <f>0</f>
        <v>0</v>
      </c>
      <c r="M942" s="1">
        <f>0</f>
        <v>0</v>
      </c>
      <c r="N942" s="1">
        <f>0</f>
        <v>0</v>
      </c>
      <c r="O942" s="1">
        <f>0</f>
        <v>0</v>
      </c>
      <c r="P942" s="1">
        <f>MIN(方案参数!$AI$29,0+方案参数!$AJ$29+0)</f>
        <v>1</v>
      </c>
      <c r="Q942" s="1">
        <f>0</f>
        <v>0</v>
      </c>
      <c r="R942" s="1">
        <f>0</f>
        <v>0</v>
      </c>
      <c r="S942" s="1">
        <f>0</f>
        <v>0</v>
      </c>
      <c r="T942" s="1">
        <f>0+0</f>
        <v>0</v>
      </c>
      <c r="U942" s="1">
        <f>0</f>
        <v>0</v>
      </c>
      <c r="V942" s="1">
        <f>0</f>
        <v>0</v>
      </c>
      <c r="W942" s="1">
        <f>0</f>
        <v>0</v>
      </c>
      <c r="X942" s="1">
        <f>0</f>
        <v>0</v>
      </c>
      <c r="Y942" s="1">
        <f>0</f>
        <v>0</v>
      </c>
      <c r="Z942" s="1">
        <f>0</f>
        <v>0</v>
      </c>
      <c r="AA942" s="1">
        <f>MAX(0,0)</f>
        <v>0</v>
      </c>
      <c r="AB942" s="1">
        <f>0</f>
        <v>0</v>
      </c>
      <c r="AC942" s="1">
        <f>MAX(0,0)</f>
        <v>0</v>
      </c>
      <c r="AD942" s="1">
        <f>ROUNDDOWN(I942*(1+IF(F942=3,0.05+方案参数!$Y$29+AA942*0.12,IF(F942=4,方案参数!$BZ$29*方案参数!$AS$29,0)))+IF(AND(X942=1,F942&lt;&gt;3),方案参数!$CC$29,0)+AC942*方案参数!$CB$29,0)</f>
        <v>2986</v>
      </c>
      <c r="AE942" s="1">
        <f>IF(OR(F942=1,F942=4),配置与结果!$B$24,配置与结果!$B$25)*MAX(0,1-INDEX(配置与结果!$I$15:$I$18,F942))</f>
        <v>1000</v>
      </c>
      <c r="AF942" s="1">
        <f>0</f>
        <v>0</v>
      </c>
      <c r="AG942" s="1">
        <f>MAX(配置与结果!$B$32,1+INDEX(配置与结果!$F$15:$F$18,F942)+0+Q942*方案参数!$W$29+Y942*(方案参数!$AN$29+MIN(方案参数!$AO$29,P942*0.03))+AB942*方案参数!$BZ$29*0.025-配置与结果!$B$28)</f>
        <v>0.6349999999999999</v>
      </c>
      <c r="AH942" s="1">
        <f>MAX(0,1+INDEX(配置与结果!$G$15:$G$18,F942)+W942*方案参数!$AG$29)</f>
        <v>1</v>
      </c>
      <c r="AI942" s="1">
        <f>IF(OR(INDEX(配置与结果!$K$15:$K$18,F942)=1,G942="RHI_BERRY"),1+配置与结果!$B$33+P942*方案参数!$AH$29,1)</f>
        <v>1</v>
      </c>
      <c r="AJ942" s="1">
        <f>MIN(1,MAX(0,J942+方案参数!$AB$29-配置与结果!$B$27))</f>
        <v>0.55499999999999994</v>
      </c>
      <c r="AK942" s="1">
        <f>MAX(1,K942+IF(F942=2,0.15+方案参数!$CH$29,0)+BN942*方案参数!$X$29+R942*方案参数!$AA$29+0-配置与结果!$B$26+Z942*(方案参数!$AP$29+MIN(方案参数!$AQ$29,P942*0.03)))</f>
        <v>1.1499999999999999</v>
      </c>
      <c r="AL942" s="7">
        <f>ROUNDDOWN(MAX(AD942*配置与结果!$B$31,AD942-AE942)*AF942*AG942*AH942*AI942,0)</f>
        <v>0</v>
      </c>
      <c r="AM942" s="7">
        <f>ROUNDDOWN(MAX(AD942*配置与结果!$B$31,AD942-AE942)*AF942*AG942*AH942*AI942*AK942,0)</f>
        <v>0</v>
      </c>
      <c r="AN942" s="7">
        <f t="shared" si="1266"/>
        <v>0</v>
      </c>
      <c r="AO942" s="7">
        <f>0</f>
        <v>0</v>
      </c>
      <c r="AP942" s="7">
        <f>MAX(0,1+INDEX(配置与结果!$J$15:$J$18,F942)+IF(T942&gt;0,方案参数!$BY$29,0)-配置与结果!$B$30)</f>
        <v>1</v>
      </c>
      <c r="AQ942" s="7">
        <f t="shared" si="1267"/>
        <v>0</v>
      </c>
      <c r="AR942" s="7">
        <f t="shared" si="1268"/>
        <v>0</v>
      </c>
      <c r="AS942" s="7">
        <f t="shared" si="1269"/>
        <v>0</v>
      </c>
      <c r="AT942" s="7">
        <f>0</f>
        <v>0</v>
      </c>
      <c r="AU942" s="7">
        <f t="shared" si="1270"/>
        <v>0</v>
      </c>
      <c r="AV942" s="1">
        <f t="shared" si="1271"/>
        <v>0</v>
      </c>
      <c r="AW942" s="1">
        <f t="shared" si="1318"/>
        <v>0</v>
      </c>
      <c r="AX942" s="1">
        <f t="shared" si="1272"/>
        <v>0</v>
      </c>
      <c r="AY942" s="1">
        <f>MIN(20,MAX(0,O942+0+0-0))</f>
        <v>0</v>
      </c>
      <c r="AZ942" s="1">
        <f t="shared" si="1273"/>
        <v>1</v>
      </c>
      <c r="BA942" s="1">
        <f>MIN(6,Q942+1)</f>
        <v>1</v>
      </c>
      <c r="BB942" s="1">
        <f>MIN(30,R942+5)</f>
        <v>5</v>
      </c>
      <c r="BC942" s="1">
        <f t="shared" si="1315"/>
        <v>0</v>
      </c>
      <c r="BD942" s="1">
        <f t="shared" si="1296"/>
        <v>0</v>
      </c>
      <c r="BE942" s="1">
        <f>0</f>
        <v>0</v>
      </c>
      <c r="BF942" s="1">
        <f t="shared" si="1319"/>
        <v>0</v>
      </c>
      <c r="BG942" s="1">
        <f t="shared" si="1306"/>
        <v>0</v>
      </c>
      <c r="BH942" s="1">
        <f>MAX(X942,1)</f>
        <v>1</v>
      </c>
      <c r="BI942" s="1">
        <f t="shared" si="1307"/>
        <v>0</v>
      </c>
      <c r="BJ942" s="1">
        <f t="shared" si="1310"/>
        <v>0</v>
      </c>
      <c r="BK942" s="1">
        <f t="shared" si="1311"/>
        <v>0</v>
      </c>
      <c r="BL942" s="1">
        <f t="shared" si="1316"/>
        <v>0</v>
      </c>
      <c r="BM942" s="1">
        <f t="shared" si="1314"/>
        <v>0</v>
      </c>
      <c r="BN942" s="1">
        <f>0</f>
        <v>0</v>
      </c>
      <c r="BO942" s="1">
        <f>MAX(BN942,1)</f>
        <v>1</v>
      </c>
    </row>
    <row r="943" spans="1:67" ht="30.95" customHeight="1">
      <c r="A943" s="1">
        <f>26</f>
        <v>26</v>
      </c>
      <c r="B943" s="1">
        <f>固定流程!A7</f>
        <v>2</v>
      </c>
      <c r="C943" s="1">
        <f>29</f>
        <v>29</v>
      </c>
      <c r="D943" s="1">
        <f>1</f>
        <v>1</v>
      </c>
      <c r="E943" s="1">
        <f>固定流程!C7</f>
        <v>1</v>
      </c>
      <c r="F943" s="1">
        <f>固定流程!G7</f>
        <v>3</v>
      </c>
      <c r="G943" s="1" t="str">
        <f>固定流程!H7</f>
        <v>RHI_BUFF</v>
      </c>
      <c r="H943" s="1">
        <f>固定流程!F7</f>
        <v>1</v>
      </c>
      <c r="I943" s="1">
        <f>INDEX(配置与结果!$B$15:$B$18,F943)</f>
        <v>2597</v>
      </c>
      <c r="J943" s="1">
        <f>INDEX(配置与结果!$D$15:$D$18,F943)</f>
        <v>0.255</v>
      </c>
      <c r="K943" s="1">
        <f>INDEX(配置与结果!$E$15:$E$18,F943)</f>
        <v>1.55</v>
      </c>
      <c r="L943" s="1">
        <f t="shared" ref="L943:O948" si="1320">AV942</f>
        <v>0</v>
      </c>
      <c r="M943" s="1">
        <f t="shared" si="1320"/>
        <v>0</v>
      </c>
      <c r="N943" s="1">
        <f t="shared" si="1320"/>
        <v>0</v>
      </c>
      <c r="O943" s="1">
        <f t="shared" si="1320"/>
        <v>0</v>
      </c>
      <c r="P943" s="1">
        <f>MIN(方案参数!$AI$29,AZ942+0+方案参数!$AK$29)</f>
        <v>3</v>
      </c>
      <c r="Q943" s="1">
        <f t="shared" ref="Q943:Q977" si="1321">BA942</f>
        <v>1</v>
      </c>
      <c r="R943" s="1">
        <f t="shared" ref="R943:R977" si="1322">BB942</f>
        <v>5</v>
      </c>
      <c r="S943" s="1">
        <f t="shared" ref="S943:S977" si="1323">BC942</f>
        <v>0</v>
      </c>
      <c r="T943" s="1">
        <f t="shared" ref="T943:T956" si="1324">BD942+0</f>
        <v>0</v>
      </c>
      <c r="U943" s="1">
        <f t="shared" ref="U943:U977" si="1325">BE942</f>
        <v>0</v>
      </c>
      <c r="V943" s="1">
        <f t="shared" ref="V943:V977" si="1326">BF942</f>
        <v>0</v>
      </c>
      <c r="W943" s="1">
        <f t="shared" ref="W943:W977" si="1327">BG942</f>
        <v>0</v>
      </c>
      <c r="X943" s="1">
        <f t="shared" ref="X943:X977" si="1328">BH942</f>
        <v>1</v>
      </c>
      <c r="Y943" s="1">
        <f t="shared" ref="Y943:Y977" si="1329">BI942</f>
        <v>0</v>
      </c>
      <c r="Z943" s="1">
        <f t="shared" ref="Z943:Z977" si="1330">BJ942</f>
        <v>0</v>
      </c>
      <c r="AA943" s="1">
        <f t="shared" ref="AA943:AA948" si="1331">MAX(BK942,0)</f>
        <v>0</v>
      </c>
      <c r="AB943" s="1">
        <f t="shared" ref="AB943:AB977" si="1332">BL942</f>
        <v>0</v>
      </c>
      <c r="AC943" s="1">
        <f t="shared" ref="AC943:AC956" si="1333">MAX(BM942,0)</f>
        <v>0</v>
      </c>
      <c r="AD943" s="1">
        <f>ROUNDDOWN(I943*(1+IF(F943=3,0.05+方案参数!$Y$29+AA943*0.12,IF(F943=4,方案参数!$BZ$29*方案参数!$AS$29,0)))+IF(AND(X943=1,F943&lt;&gt;3),方案参数!$CC$29,0)+AC943*方案参数!$CB$29,0)</f>
        <v>2986</v>
      </c>
      <c r="AE943" s="1">
        <f>IF(OR(F943=1,F943=4),配置与结果!$B$24,配置与结果!$B$25)*MAX(0,1-INDEX(配置与结果!$I$15:$I$18,F943))</f>
        <v>1000</v>
      </c>
      <c r="AF943" s="1">
        <f>0</f>
        <v>0</v>
      </c>
      <c r="AG943" s="1">
        <f>MAX(配置与结果!$B$32,1+INDEX(配置与结果!$F$15:$F$18,F943)+0+Q943*方案参数!$W$29+Y943*(方案参数!$AN$29+MIN(方案参数!$AO$29,P943*0.03))+AB943*方案参数!$BZ$29*0.025-配置与结果!$B$28)</f>
        <v>0.65499999999999992</v>
      </c>
      <c r="AH943" s="1">
        <f>MAX(0,1+INDEX(配置与结果!$G$15:$G$18,F943)+W943*方案参数!$AG$29)</f>
        <v>1</v>
      </c>
      <c r="AI943" s="1">
        <f>IF(OR(INDEX(配置与结果!$K$15:$K$18,F943)=1,G943="RHI_BERRY"),1+配置与结果!$B$33+P943*方案参数!$AH$29,1)</f>
        <v>1</v>
      </c>
      <c r="AJ943" s="1">
        <f>MIN(1,MAX(0,J943+方案参数!$AB$29-配置与结果!$B$27))</f>
        <v>0.55499999999999994</v>
      </c>
      <c r="AK943" s="1">
        <f>MAX(1,K943+IF(F943=2,0.15+方案参数!$CH$29,0)+BN943*方案参数!$X$29+R943*方案参数!$AA$29+0-配置与结果!$B$26+Z943*(方案参数!$AP$29+MIN(方案参数!$AQ$29,P943*0.03)))</f>
        <v>1.33</v>
      </c>
      <c r="AL943" s="7">
        <f>ROUNDDOWN(MAX(AD943*配置与结果!$B$31,AD943-AE943)*AF943*AG943*AH943*AI943,0)</f>
        <v>0</v>
      </c>
      <c r="AM943" s="7">
        <f>ROUNDDOWN(MAX(AD943*配置与结果!$B$31,AD943-AE943)*AF943*AG943*AH943*AI943*AK943,0)</f>
        <v>0</v>
      </c>
      <c r="AN943" s="7">
        <f t="shared" si="1266"/>
        <v>0</v>
      </c>
      <c r="AO943" s="7">
        <f>0</f>
        <v>0</v>
      </c>
      <c r="AP943" s="7">
        <f>MAX(0,1+INDEX(配置与结果!$J$15:$J$18,F943)+IF(T943&gt;0,方案参数!$BY$29,0)-配置与结果!$B$30)</f>
        <v>1</v>
      </c>
      <c r="AQ943" s="7">
        <f t="shared" si="1267"/>
        <v>0</v>
      </c>
      <c r="AR943" s="7">
        <f t="shared" si="1268"/>
        <v>0</v>
      </c>
      <c r="AS943" s="7">
        <f t="shared" si="1269"/>
        <v>0</v>
      </c>
      <c r="AT943" s="7">
        <f>0</f>
        <v>0</v>
      </c>
      <c r="AU943" s="7">
        <f t="shared" si="1270"/>
        <v>0</v>
      </c>
      <c r="AV943" s="1">
        <f t="shared" si="1271"/>
        <v>0</v>
      </c>
      <c r="AW943" s="1">
        <f t="shared" si="1318"/>
        <v>0</v>
      </c>
      <c r="AX943" s="1">
        <f t="shared" si="1272"/>
        <v>0</v>
      </c>
      <c r="AY943" s="1">
        <f>MIN(20,MAX(0,O943+0+0-0))</f>
        <v>0</v>
      </c>
      <c r="AZ943" s="1">
        <f t="shared" si="1273"/>
        <v>3</v>
      </c>
      <c r="BA943" s="1">
        <f>MIN(6,Q943+1)</f>
        <v>2</v>
      </c>
      <c r="BB943" s="1">
        <f t="shared" ref="BB943:BB956" si="1334">MIN(30,R943+0)</f>
        <v>5</v>
      </c>
      <c r="BC943" s="1">
        <f t="shared" si="1315"/>
        <v>0</v>
      </c>
      <c r="BD943" s="1">
        <f t="shared" si="1296"/>
        <v>0</v>
      </c>
      <c r="BE943" s="1">
        <f t="shared" ref="BE943:BE964" si="1335">BE942</f>
        <v>0</v>
      </c>
      <c r="BF943" s="1">
        <f t="shared" si="1319"/>
        <v>0</v>
      </c>
      <c r="BG943" s="1">
        <f>MAX(W943,1)</f>
        <v>1</v>
      </c>
      <c r="BH943" s="1">
        <f t="shared" ref="BH943:BH977" si="1336">MAX(X943,0)</f>
        <v>1</v>
      </c>
      <c r="BI943" s="1">
        <f>MAX(Y943,1)</f>
        <v>1</v>
      </c>
      <c r="BJ943" s="1">
        <f t="shared" si="1310"/>
        <v>0</v>
      </c>
      <c r="BK943" s="1">
        <f t="shared" si="1311"/>
        <v>0</v>
      </c>
      <c r="BL943" s="1">
        <f t="shared" si="1316"/>
        <v>0</v>
      </c>
      <c r="BM943" s="1">
        <f t="shared" si="1314"/>
        <v>0</v>
      </c>
      <c r="BN943" s="1">
        <f t="shared" ref="BN943:BN977" si="1337">BO942</f>
        <v>1</v>
      </c>
      <c r="BO943" s="1">
        <f t="shared" ref="BO943:BO977" si="1338">MAX(BN943,0)</f>
        <v>1</v>
      </c>
    </row>
    <row r="944" spans="1:67" ht="30.95" customHeight="1">
      <c r="A944" s="1">
        <f>26</f>
        <v>26</v>
      </c>
      <c r="B944" s="1">
        <f>固定流程!A8</f>
        <v>3</v>
      </c>
      <c r="C944" s="1">
        <f>29</f>
        <v>29</v>
      </c>
      <c r="D944" s="1">
        <f>1</f>
        <v>1</v>
      </c>
      <c r="E944" s="1">
        <f>固定流程!C8</f>
        <v>1</v>
      </c>
      <c r="F944" s="1">
        <f>固定流程!G8</f>
        <v>1</v>
      </c>
      <c r="G944" s="1" t="str">
        <f>固定流程!H8</f>
        <v>LILYA_COBRA</v>
      </c>
      <c r="H944" s="1">
        <f>固定流程!F8</f>
        <v>1</v>
      </c>
      <c r="I944" s="1">
        <f>INDEX(配置与结果!$B$15:$B$18,F944)</f>
        <v>2296</v>
      </c>
      <c r="J944" s="1">
        <f>INDEX(配置与结果!$D$15:$D$18,F944)</f>
        <v>0.7</v>
      </c>
      <c r="K944" s="1">
        <f>INDEX(配置与结果!$E$15:$E$18,F944)</f>
        <v>2.0249999999999999</v>
      </c>
      <c r="L944" s="1">
        <f t="shared" si="1320"/>
        <v>0</v>
      </c>
      <c r="M944" s="1">
        <f t="shared" si="1320"/>
        <v>0</v>
      </c>
      <c r="N944" s="1">
        <f t="shared" si="1320"/>
        <v>0</v>
      </c>
      <c r="O944" s="1">
        <f t="shared" si="1320"/>
        <v>0</v>
      </c>
      <c r="P944" s="1">
        <f>MIN(方案参数!$AI$29,AZ943+0+0)</f>
        <v>3</v>
      </c>
      <c r="Q944" s="1">
        <f t="shared" si="1321"/>
        <v>2</v>
      </c>
      <c r="R944" s="1">
        <f t="shared" si="1322"/>
        <v>5</v>
      </c>
      <c r="S944" s="1">
        <f t="shared" si="1323"/>
        <v>0</v>
      </c>
      <c r="T944" s="1">
        <f t="shared" si="1324"/>
        <v>0</v>
      </c>
      <c r="U944" s="1">
        <f t="shared" si="1325"/>
        <v>0</v>
      </c>
      <c r="V944" s="1">
        <f t="shared" si="1326"/>
        <v>0</v>
      </c>
      <c r="W944" s="1">
        <f t="shared" si="1327"/>
        <v>1</v>
      </c>
      <c r="X944" s="1">
        <f t="shared" si="1328"/>
        <v>1</v>
      </c>
      <c r="Y944" s="1">
        <f t="shared" si="1329"/>
        <v>1</v>
      </c>
      <c r="Z944" s="1">
        <f t="shared" si="1330"/>
        <v>0</v>
      </c>
      <c r="AA944" s="1">
        <f t="shared" si="1331"/>
        <v>0</v>
      </c>
      <c r="AB944" s="1">
        <f t="shared" si="1332"/>
        <v>0</v>
      </c>
      <c r="AC944" s="1">
        <f t="shared" si="1333"/>
        <v>0</v>
      </c>
      <c r="AD944" s="1">
        <f>ROUNDDOWN(I944*(1+IF(F944=3,0.05+方案参数!$Y$29+AA944*0.12,IF(F944=4,方案参数!$BZ$29*方案参数!$AS$29,0)))+IF(AND(X944=1,F944&lt;&gt;3),方案参数!$CC$29,0)+AC944*方案参数!$CB$29,0)</f>
        <v>2534</v>
      </c>
      <c r="AE944" s="1">
        <f>IF(OR(F944=1,F944=4),配置与结果!$B$24,配置与结果!$B$25)*MAX(0,1-INDEX(配置与结果!$I$15:$I$18,F944))</f>
        <v>1200</v>
      </c>
      <c r="AF944" s="1">
        <f>0</f>
        <v>0</v>
      </c>
      <c r="AG944" s="1">
        <f>MAX(配置与结果!$B$32,1+INDEX(配置与结果!$F$15:$F$18,F944)+0.08+方案参数!$CD$29+Q944*方案参数!$W$29+Y944*(方案参数!$AN$29+MIN(方案参数!$AO$29,P944*0.03))+AB944*方案参数!$BZ$29*0.025-配置与结果!$B$28)</f>
        <v>1.1400000000000001</v>
      </c>
      <c r="AH944" s="1">
        <f>MAX(0,1+INDEX(配置与结果!$G$15:$G$18,F944)+W944*方案参数!$AG$29)</f>
        <v>1.3</v>
      </c>
      <c r="AI944" s="1">
        <f>IF(OR(INDEX(配置与结果!$K$15:$K$18,F944)=1,G944="RHI_BERRY"),1+配置与结果!$B$33+P944*方案参数!$AH$29,1)</f>
        <v>1</v>
      </c>
      <c r="AJ944" s="1">
        <f>MIN(1,MAX(0,J944+方案参数!$AB$29-配置与结果!$B$27))</f>
        <v>1</v>
      </c>
      <c r="AK944" s="1">
        <f>MAX(1,K944+IF(F944=2,0.15+方案参数!$CH$29,0)+BN944*方案参数!$X$29+R944*方案参数!$AA$29+0-配置与结果!$B$26+Z944*(方案参数!$AP$29+MIN(方案参数!$AQ$29,P944*0.03)))</f>
        <v>1.8050000000000002</v>
      </c>
      <c r="AL944" s="7">
        <f>ROUNDDOWN(MAX(AD944*配置与结果!$B$31,AD944-AE944)*AF944*AG944*AH944*AI944,0)</f>
        <v>0</v>
      </c>
      <c r="AM944" s="7">
        <f>ROUNDDOWN(MAX(AD944*配置与结果!$B$31,AD944-AE944)*AF944*AG944*AH944*AI944*AK944,0)</f>
        <v>0</v>
      </c>
      <c r="AN944" s="7">
        <f t="shared" si="1266"/>
        <v>0</v>
      </c>
      <c r="AO944" s="7">
        <f>0</f>
        <v>0</v>
      </c>
      <c r="AP944" s="7">
        <f>MAX(0,1+INDEX(配置与结果!$J$15:$J$18,F944)+IF(T944&gt;0,方案参数!$BY$29,0)-配置与结果!$B$30)</f>
        <v>1</v>
      </c>
      <c r="AQ944" s="7">
        <f t="shared" si="1267"/>
        <v>0</v>
      </c>
      <c r="AR944" s="7">
        <f t="shared" si="1268"/>
        <v>0</v>
      </c>
      <c r="AS944" s="7">
        <f t="shared" si="1269"/>
        <v>0</v>
      </c>
      <c r="AT944" s="7">
        <f>0</f>
        <v>0</v>
      </c>
      <c r="AU944" s="7">
        <f t="shared" si="1270"/>
        <v>0</v>
      </c>
      <c r="AV944" s="1">
        <f t="shared" si="1271"/>
        <v>1</v>
      </c>
      <c r="AW944" s="1">
        <f>MIN(10,M944+方案参数!$BD$29+0)</f>
        <v>3</v>
      </c>
      <c r="AX944" s="1">
        <f t="shared" si="1272"/>
        <v>0</v>
      </c>
      <c r="AY944" s="1">
        <f>MIN(20,MAX(0,O944+6+0-0))</f>
        <v>6</v>
      </c>
      <c r="AZ944" s="1">
        <f t="shared" si="1273"/>
        <v>3</v>
      </c>
      <c r="BA944" s="1">
        <f>MIN(6,Q944+0)</f>
        <v>2</v>
      </c>
      <c r="BB944" s="1">
        <f t="shared" si="1334"/>
        <v>5</v>
      </c>
      <c r="BC944" s="1">
        <f t="shared" si="1315"/>
        <v>0</v>
      </c>
      <c r="BD944" s="1">
        <f t="shared" si="1296"/>
        <v>0</v>
      </c>
      <c r="BE944" s="1">
        <f t="shared" si="1335"/>
        <v>0</v>
      </c>
      <c r="BF944" s="1">
        <f t="shared" si="1319"/>
        <v>0</v>
      </c>
      <c r="BG944" s="1">
        <f t="shared" ref="BG944:BG954" si="1339">MAX(W944,0)</f>
        <v>1</v>
      </c>
      <c r="BH944" s="1">
        <f t="shared" si="1336"/>
        <v>1</v>
      </c>
      <c r="BI944" s="1">
        <f t="shared" ref="BI944:BI954" si="1340">MAX(Y944,0)</f>
        <v>1</v>
      </c>
      <c r="BJ944" s="1">
        <f t="shared" si="1310"/>
        <v>0</v>
      </c>
      <c r="BK944" s="1">
        <f t="shared" si="1311"/>
        <v>0</v>
      </c>
      <c r="BL944" s="1">
        <f t="shared" si="1316"/>
        <v>0</v>
      </c>
      <c r="BM944" s="1">
        <f t="shared" si="1314"/>
        <v>0</v>
      </c>
      <c r="BN944" s="1">
        <f t="shared" si="1337"/>
        <v>1</v>
      </c>
      <c r="BO944" s="1">
        <f t="shared" si="1338"/>
        <v>1</v>
      </c>
    </row>
    <row r="945" spans="1:67" ht="30.95" customHeight="1">
      <c r="A945" s="1">
        <f>26</f>
        <v>26</v>
      </c>
      <c r="B945" s="1">
        <f>固定流程!A9</f>
        <v>4</v>
      </c>
      <c r="C945" s="1">
        <f>29</f>
        <v>29</v>
      </c>
      <c r="D945" s="1">
        <f>1</f>
        <v>1</v>
      </c>
      <c r="E945" s="1">
        <f>固定流程!C9</f>
        <v>1</v>
      </c>
      <c r="F945" s="1">
        <f>固定流程!G9</f>
        <v>1</v>
      </c>
      <c r="G945" s="1" t="str">
        <f>固定流程!H9</f>
        <v>LILYA_DIVE</v>
      </c>
      <c r="H945" s="1">
        <f>固定流程!F9</f>
        <v>1</v>
      </c>
      <c r="I945" s="1">
        <f>INDEX(配置与结果!$B$15:$B$18,F945)</f>
        <v>2296</v>
      </c>
      <c r="J945" s="1">
        <f>INDEX(配置与结果!$D$15:$D$18,F945)</f>
        <v>0.7</v>
      </c>
      <c r="K945" s="1">
        <f>INDEX(配置与结果!$E$15:$E$18,F945)</f>
        <v>2.0249999999999999</v>
      </c>
      <c r="L945" s="1">
        <f t="shared" si="1320"/>
        <v>1</v>
      </c>
      <c r="M945" s="1">
        <f t="shared" si="1320"/>
        <v>3</v>
      </c>
      <c r="N945" s="1">
        <f t="shared" si="1320"/>
        <v>0</v>
      </c>
      <c r="O945" s="1">
        <f t="shared" si="1320"/>
        <v>6</v>
      </c>
      <c r="P945" s="1">
        <f>MIN(方案参数!$AI$29,AZ944+0+0)</f>
        <v>3</v>
      </c>
      <c r="Q945" s="1">
        <f t="shared" si="1321"/>
        <v>2</v>
      </c>
      <c r="R945" s="1">
        <f t="shared" si="1322"/>
        <v>5</v>
      </c>
      <c r="S945" s="1">
        <f t="shared" si="1323"/>
        <v>0</v>
      </c>
      <c r="T945" s="1">
        <f t="shared" si="1324"/>
        <v>0</v>
      </c>
      <c r="U945" s="1">
        <f t="shared" si="1325"/>
        <v>0</v>
      </c>
      <c r="V945" s="1">
        <f t="shared" si="1326"/>
        <v>0</v>
      </c>
      <c r="W945" s="1">
        <f t="shared" si="1327"/>
        <v>1</v>
      </c>
      <c r="X945" s="1">
        <f t="shared" si="1328"/>
        <v>1</v>
      </c>
      <c r="Y945" s="1">
        <f t="shared" si="1329"/>
        <v>1</v>
      </c>
      <c r="Z945" s="1">
        <f t="shared" si="1330"/>
        <v>0</v>
      </c>
      <c r="AA945" s="1">
        <f t="shared" si="1331"/>
        <v>0</v>
      </c>
      <c r="AB945" s="1">
        <f t="shared" si="1332"/>
        <v>0</v>
      </c>
      <c r="AC945" s="1">
        <f t="shared" si="1333"/>
        <v>0</v>
      </c>
      <c r="AD945" s="1">
        <f>ROUNDDOWN(I945*(1+IF(F945=3,0.05+方案参数!$Y$29+AA945*0.12,IF(F945=4,方案参数!$BZ$29*方案参数!$AS$29,0)))+IF(AND(X945=1,F945&lt;&gt;3),方案参数!$CC$29,0)+AC945*方案参数!$CB$29,0)</f>
        <v>2534</v>
      </c>
      <c r="AE945" s="1">
        <f>IF(OR(F945=1,F945=4),配置与结果!$B$24,配置与结果!$B$25)*MAX(0,1-INDEX(配置与结果!$I$15:$I$18,F945))</f>
        <v>1200</v>
      </c>
      <c r="AF945" s="1">
        <f>(IF(L945=1,方案参数!$AW$29,IF(L945=2,方案参数!$AX$29,0))+方案参数!$AV$29)*H945</f>
        <v>6</v>
      </c>
      <c r="AG945" s="1">
        <f>MAX(配置与结果!$B$32,1+INDEX(配置与结果!$F$15:$F$18,F945)+0.08+方案参数!$CD$29+Q945*方案参数!$W$29+Y945*(方案参数!$AN$29+MIN(方案参数!$AO$29,P945*0.03))+AB945*方案参数!$BZ$29*0.025+IF(L945=1,方案参数!$AY$29+(H945-1)*0.1,IF(L945=2,方案参数!$AZ$29+(H945-1)*0.2,0))-配置与结果!$B$28)</f>
        <v>1.2400000000000002</v>
      </c>
      <c r="AH945" s="1">
        <f>MAX(0,1+INDEX(配置与结果!$G$15:$G$18,F945)+W945*方案参数!$AG$29+IF(L945=1,方案参数!$BA$29,IF(L945=2,方案参数!$BB$29,0))+M945*方案参数!$BC$29)</f>
        <v>2.08</v>
      </c>
      <c r="AI945" s="1">
        <f>IF(OR(INDEX(配置与结果!$K$15:$K$18,F945)=1,G945="RHI_BERRY"),1+配置与结果!$B$33+P945*方案参数!$AH$29,1)</f>
        <v>1</v>
      </c>
      <c r="AJ945" s="1">
        <f>MIN(1,MAX(0,J945+方案参数!$AB$29-配置与结果!$B$27))</f>
        <v>1</v>
      </c>
      <c r="AK945" s="1">
        <f>MAX(1,K945+IF(F945=2,0.15+方案参数!$CH$29,0)+BN945*方案参数!$X$29+R945*方案参数!$AA$29+0-配置与结果!$B$26+Z945*(方案参数!$AP$29+MIN(方案参数!$AQ$29,P945*0.03)))</f>
        <v>1.8050000000000002</v>
      </c>
      <c r="AL945" s="7">
        <f>ROUNDDOWN(MAX(AD945*配置与结果!$B$31,AD945-AE945)*AF945*AG945*AH945*AI945,0)</f>
        <v>20643</v>
      </c>
      <c r="AM945" s="7">
        <f>ROUNDDOWN(MAX(AD945*配置与结果!$B$31,AD945-AE945)*AF945*AG945*AH945*AI945*AK945,0)</f>
        <v>37262</v>
      </c>
      <c r="AN945" s="7">
        <f t="shared" si="1266"/>
        <v>37262</v>
      </c>
      <c r="AO945" s="7">
        <f>0</f>
        <v>0</v>
      </c>
      <c r="AP945" s="7">
        <f>MAX(0,1+INDEX(配置与结果!$J$15:$J$18,F945)+IF(T945&gt;0,方案参数!$BY$29,0)-配置与结果!$B$30)</f>
        <v>1</v>
      </c>
      <c r="AQ945" s="7">
        <f t="shared" si="1267"/>
        <v>0</v>
      </c>
      <c r="AR945" s="7">
        <f t="shared" si="1268"/>
        <v>0</v>
      </c>
      <c r="AS945" s="7">
        <f t="shared" si="1269"/>
        <v>0</v>
      </c>
      <c r="AT945" s="7">
        <f>0</f>
        <v>0</v>
      </c>
      <c r="AU945" s="7">
        <f t="shared" si="1270"/>
        <v>37262</v>
      </c>
      <c r="AV945" s="1">
        <f t="shared" si="1271"/>
        <v>1</v>
      </c>
      <c r="AW945" s="1">
        <f>MIN(10,M945+0+IF(L945=1,方案参数!$BE$29,0))</f>
        <v>4</v>
      </c>
      <c r="AX945" s="1">
        <f t="shared" si="1272"/>
        <v>0</v>
      </c>
      <c r="AY945" s="1">
        <f t="shared" ref="AY945:AY960" si="1341">MIN(20,MAX(0,O945+0+0-0))</f>
        <v>6</v>
      </c>
      <c r="AZ945" s="1">
        <f t="shared" si="1273"/>
        <v>3</v>
      </c>
      <c r="BA945" s="1">
        <f>MIN(6,Q945+0)</f>
        <v>2</v>
      </c>
      <c r="BB945" s="1">
        <f t="shared" si="1334"/>
        <v>5</v>
      </c>
      <c r="BC945" s="1">
        <f t="shared" si="1315"/>
        <v>0</v>
      </c>
      <c r="BD945" s="1">
        <f t="shared" si="1296"/>
        <v>0</v>
      </c>
      <c r="BE945" s="1">
        <f t="shared" si="1335"/>
        <v>0</v>
      </c>
      <c r="BF945" s="1">
        <f t="shared" si="1319"/>
        <v>0</v>
      </c>
      <c r="BG945" s="1">
        <f t="shared" si="1339"/>
        <v>1</v>
      </c>
      <c r="BH945" s="1">
        <f t="shared" si="1336"/>
        <v>1</v>
      </c>
      <c r="BI945" s="1">
        <f t="shared" si="1340"/>
        <v>1</v>
      </c>
      <c r="BJ945" s="1">
        <f t="shared" si="1310"/>
        <v>0</v>
      </c>
      <c r="BK945" s="1">
        <f t="shared" si="1311"/>
        <v>0</v>
      </c>
      <c r="BL945" s="1">
        <f t="shared" si="1316"/>
        <v>0</v>
      </c>
      <c r="BM945" s="1">
        <f t="shared" si="1314"/>
        <v>0</v>
      </c>
      <c r="BN945" s="1">
        <f t="shared" si="1337"/>
        <v>1</v>
      </c>
      <c r="BO945" s="1">
        <f t="shared" si="1338"/>
        <v>1</v>
      </c>
    </row>
    <row r="946" spans="1:67" ht="30.95" customHeight="1">
      <c r="A946" s="1">
        <f>26</f>
        <v>26</v>
      </c>
      <c r="B946" s="1">
        <f>固定流程!A10</f>
        <v>5</v>
      </c>
      <c r="C946" s="1">
        <f>29</f>
        <v>29</v>
      </c>
      <c r="D946" s="1">
        <f>1</f>
        <v>1</v>
      </c>
      <c r="E946" s="1">
        <f>固定流程!C10</f>
        <v>1</v>
      </c>
      <c r="F946" s="1">
        <f>固定流程!G10</f>
        <v>2</v>
      </c>
      <c r="G946" s="1" t="str">
        <f>固定流程!H10</f>
        <v>37_TRIANGLE</v>
      </c>
      <c r="H946" s="1">
        <f>固定流程!F10</f>
        <v>1</v>
      </c>
      <c r="I946" s="1">
        <f>INDEX(配置与结果!$B$15:$B$18,F946)</f>
        <v>2306</v>
      </c>
      <c r="J946" s="1">
        <f>INDEX(配置与结果!$D$15:$D$18,F946)</f>
        <v>0.46</v>
      </c>
      <c r="K946" s="1">
        <f>INDEX(配置与结果!$E$15:$E$18,F946)</f>
        <v>1.9279999999999999</v>
      </c>
      <c r="L946" s="1">
        <f t="shared" si="1320"/>
        <v>1</v>
      </c>
      <c r="M946" s="1">
        <f t="shared" si="1320"/>
        <v>4</v>
      </c>
      <c r="N946" s="1">
        <f t="shared" si="1320"/>
        <v>0</v>
      </c>
      <c r="O946" s="1">
        <f t="shared" si="1320"/>
        <v>6</v>
      </c>
      <c r="P946" s="1">
        <f>MIN(方案参数!$AI$29,AZ945+0+0)</f>
        <v>3</v>
      </c>
      <c r="Q946" s="1">
        <f t="shared" si="1321"/>
        <v>2</v>
      </c>
      <c r="R946" s="1">
        <f t="shared" si="1322"/>
        <v>5</v>
      </c>
      <c r="S946" s="1">
        <f t="shared" si="1323"/>
        <v>0</v>
      </c>
      <c r="T946" s="1">
        <f t="shared" si="1324"/>
        <v>0</v>
      </c>
      <c r="U946" s="1">
        <f t="shared" si="1325"/>
        <v>0</v>
      </c>
      <c r="V946" s="1">
        <f t="shared" si="1326"/>
        <v>0</v>
      </c>
      <c r="W946" s="1">
        <f t="shared" si="1327"/>
        <v>1</v>
      </c>
      <c r="X946" s="1">
        <f t="shared" si="1328"/>
        <v>1</v>
      </c>
      <c r="Y946" s="1">
        <f t="shared" si="1329"/>
        <v>1</v>
      </c>
      <c r="Z946" s="1">
        <f t="shared" si="1330"/>
        <v>0</v>
      </c>
      <c r="AA946" s="1">
        <f t="shared" si="1331"/>
        <v>0</v>
      </c>
      <c r="AB946" s="1">
        <f t="shared" si="1332"/>
        <v>0</v>
      </c>
      <c r="AC946" s="1">
        <f t="shared" si="1333"/>
        <v>0</v>
      </c>
      <c r="AD946" s="1">
        <f>ROUNDDOWN(I946*(1+IF(F946=3,0.05+方案参数!$Y$29+AA946*0.12,IF(F946=4,方案参数!$BZ$29*方案参数!$AS$29,0)))+IF(AND(X946=1,F946&lt;&gt;3),方案参数!$CC$29,0)+AC946*方案参数!$CB$29,0)</f>
        <v>2544</v>
      </c>
      <c r="AE946" s="1">
        <f>IF(OR(F946=1,F946=4),配置与结果!$B$24,配置与结果!$B$25)*MAX(0,1-INDEX(配置与结果!$I$15:$I$18,F946))</f>
        <v>1000</v>
      </c>
      <c r="AF946" s="1">
        <f>方案参数!$BS$29*IF(H946=1,1,IF(H946=2,1.5,2.5))</f>
        <v>2.8</v>
      </c>
      <c r="AG946" s="1">
        <f>MAX(配置与结果!$B$32,1+INDEX(配置与结果!$F$15:$F$18,F946)+0+Q946*方案参数!$W$29+Y946*(方案参数!$AN$29+MIN(方案参数!$AO$29,P946*0.03))+AB946*方案参数!$BZ$29*0.025-配置与结果!$B$28)</f>
        <v>0.8849999999999999</v>
      </c>
      <c r="AH946" s="1">
        <f>MAX(0,1+INDEX(配置与结果!$G$15:$G$18,F946)+W946*方案参数!$AG$29)</f>
        <v>1.3</v>
      </c>
      <c r="AI946" s="1">
        <f>IF(OR(INDEX(配置与结果!$K$15:$K$18,F946)=1,G946="RHI_BERRY"),1+配置与结果!$B$33+P946*方案参数!$AH$29,1)</f>
        <v>1</v>
      </c>
      <c r="AJ946" s="1">
        <f>MIN(1,MAX(0,J946+方案参数!$AB$29-配置与结果!$B$27))</f>
        <v>0.76</v>
      </c>
      <c r="AK946" s="1">
        <f>MAX(1,K946+IF(F946=2,0.15+方案参数!$CH$29,0)+BN946*方案参数!$X$29+R946*方案参数!$AA$29+0-配置与结果!$B$26+Z946*(方案参数!$AP$29+MIN(方案参数!$AQ$29,P946*0.03)))</f>
        <v>1.9780000000000002</v>
      </c>
      <c r="AL946" s="7">
        <f>ROUNDDOWN(MAX(AD946*配置与结果!$B$31,AD946-AE946)*AF946*AG946*AH946*AI946,0)</f>
        <v>4973</v>
      </c>
      <c r="AM946" s="7">
        <f>ROUNDDOWN(MAX(AD946*配置与结果!$B$31,AD946-AE946)*AF946*AG946*AH946*AI946*AK946,0)</f>
        <v>9838</v>
      </c>
      <c r="AN946" s="7">
        <f t="shared" si="1266"/>
        <v>8670.4</v>
      </c>
      <c r="AO946" s="7">
        <f>方案参数!$BU$29*IF(H946=1,1,IF(H946=2,1.5,2.5))</f>
        <v>0.8</v>
      </c>
      <c r="AP946" s="7">
        <f>MAX(0,1+INDEX(配置与结果!$J$15:$J$18,F946)+IF(T946&gt;0,方案参数!$BY$29,0)-配置与结果!$B$30)</f>
        <v>1</v>
      </c>
      <c r="AQ946" s="7">
        <f t="shared" si="1267"/>
        <v>2035</v>
      </c>
      <c r="AR946" s="7">
        <f t="shared" si="1268"/>
        <v>4025</v>
      </c>
      <c r="AS946" s="7">
        <f t="shared" si="1269"/>
        <v>3547.4</v>
      </c>
      <c r="AT946" s="7">
        <f>0</f>
        <v>0</v>
      </c>
      <c r="AU946" s="7">
        <f t="shared" si="1270"/>
        <v>12217.8</v>
      </c>
      <c r="AV946" s="1">
        <f t="shared" si="1271"/>
        <v>1</v>
      </c>
      <c r="AW946" s="1">
        <f>MIN(10,M946+0+0)</f>
        <v>4</v>
      </c>
      <c r="AX946" s="1">
        <f t="shared" si="1272"/>
        <v>0</v>
      </c>
      <c r="AY946" s="1">
        <f t="shared" si="1341"/>
        <v>6</v>
      </c>
      <c r="AZ946" s="1">
        <f t="shared" si="1273"/>
        <v>3</v>
      </c>
      <c r="BA946" s="1">
        <f>MIN(6,Q946+0)</f>
        <v>2</v>
      </c>
      <c r="BB946" s="1">
        <f t="shared" si="1334"/>
        <v>5</v>
      </c>
      <c r="BC946" s="1">
        <f t="shared" si="1315"/>
        <v>0</v>
      </c>
      <c r="BD946" s="1">
        <f>MAX(0,T946-IF(AO946&gt;0,1,0))+1</f>
        <v>1</v>
      </c>
      <c r="BE946" s="1">
        <f t="shared" si="1335"/>
        <v>0</v>
      </c>
      <c r="BF946" s="1">
        <f t="shared" si="1319"/>
        <v>0</v>
      </c>
      <c r="BG946" s="1">
        <f t="shared" si="1339"/>
        <v>1</v>
      </c>
      <c r="BH946" s="1">
        <f t="shared" si="1336"/>
        <v>1</v>
      </c>
      <c r="BI946" s="1">
        <f t="shared" si="1340"/>
        <v>1</v>
      </c>
      <c r="BJ946" s="1">
        <f t="shared" si="1310"/>
        <v>0</v>
      </c>
      <c r="BK946" s="1">
        <f t="shared" si="1311"/>
        <v>0</v>
      </c>
      <c r="BL946" s="1">
        <f t="shared" si="1316"/>
        <v>0</v>
      </c>
      <c r="BM946" s="1">
        <f t="shared" si="1314"/>
        <v>0</v>
      </c>
      <c r="BN946" s="1">
        <f t="shared" si="1337"/>
        <v>1</v>
      </c>
      <c r="BO946" s="1">
        <f t="shared" si="1338"/>
        <v>1</v>
      </c>
    </row>
    <row r="947" spans="1:67" ht="30.95" customHeight="1">
      <c r="A947" s="1">
        <f>26</f>
        <v>26</v>
      </c>
      <c r="B947" s="1">
        <f>固定流程!A11</f>
        <v>6</v>
      </c>
      <c r="C947" s="1">
        <f>29</f>
        <v>29</v>
      </c>
      <c r="D947" s="1">
        <f>1</f>
        <v>1</v>
      </c>
      <c r="E947" s="1">
        <f>固定流程!C11</f>
        <v>1</v>
      </c>
      <c r="F947" s="1">
        <f>固定流程!G11</f>
        <v>2</v>
      </c>
      <c r="G947" s="1" t="str">
        <f>固定流程!H11</f>
        <v>37_FOLLOW</v>
      </c>
      <c r="H947" s="1">
        <f>固定流程!F11</f>
        <v>1</v>
      </c>
      <c r="I947" s="1">
        <f>INDEX(配置与结果!$B$15:$B$18,F947)</f>
        <v>2306</v>
      </c>
      <c r="J947" s="1">
        <f>INDEX(配置与结果!$D$15:$D$18,F947)</f>
        <v>0.46</v>
      </c>
      <c r="K947" s="1">
        <f>INDEX(配置与结果!$E$15:$E$18,F947)</f>
        <v>1.9279999999999999</v>
      </c>
      <c r="L947" s="1">
        <f t="shared" si="1320"/>
        <v>1</v>
      </c>
      <c r="M947" s="1">
        <f t="shared" si="1320"/>
        <v>4</v>
      </c>
      <c r="N947" s="1">
        <f t="shared" si="1320"/>
        <v>0</v>
      </c>
      <c r="O947" s="1">
        <f t="shared" si="1320"/>
        <v>6</v>
      </c>
      <c r="P947" s="1">
        <f>MIN(方案参数!$AI$29,AZ946+0+0)</f>
        <v>3</v>
      </c>
      <c r="Q947" s="1">
        <f t="shared" si="1321"/>
        <v>2</v>
      </c>
      <c r="R947" s="1">
        <f t="shared" si="1322"/>
        <v>5</v>
      </c>
      <c r="S947" s="1">
        <f t="shared" si="1323"/>
        <v>0</v>
      </c>
      <c r="T947" s="1">
        <f t="shared" si="1324"/>
        <v>1</v>
      </c>
      <c r="U947" s="1">
        <f t="shared" si="1325"/>
        <v>0</v>
      </c>
      <c r="V947" s="1">
        <f t="shared" si="1326"/>
        <v>0</v>
      </c>
      <c r="W947" s="1">
        <f t="shared" si="1327"/>
        <v>1</v>
      </c>
      <c r="X947" s="1">
        <f t="shared" si="1328"/>
        <v>1</v>
      </c>
      <c r="Y947" s="1">
        <f t="shared" si="1329"/>
        <v>1</v>
      </c>
      <c r="Z947" s="1">
        <f t="shared" si="1330"/>
        <v>0</v>
      </c>
      <c r="AA947" s="1">
        <f t="shared" si="1331"/>
        <v>0</v>
      </c>
      <c r="AB947" s="1">
        <f t="shared" si="1332"/>
        <v>0</v>
      </c>
      <c r="AC947" s="1">
        <f t="shared" si="1333"/>
        <v>0</v>
      </c>
      <c r="AD947" s="1">
        <f>ROUNDDOWN(I947*(1+IF(F947=3,0.05+方案参数!$Y$29+AA947*0.12,IF(F947=4,方案参数!$BZ$29*方案参数!$AS$29,0)))+IF(AND(X947=1,F947&lt;&gt;3),方案参数!$CC$29,0)+AC947*方案参数!$CB$29,0)</f>
        <v>2544</v>
      </c>
      <c r="AE947" s="1">
        <f>IF(OR(F947=1,F947=4),配置与结果!$B$24,配置与结果!$B$25)*MAX(0,1-INDEX(配置与结果!$I$15:$I$18,F947))</f>
        <v>1000</v>
      </c>
      <c r="AF947" s="1">
        <f>方案参数!$BV$29</f>
        <v>3</v>
      </c>
      <c r="AG947" s="1">
        <f>MAX(配置与结果!$B$32,1+INDEX(配置与结果!$F$15:$F$18,F947)+0+Q947*方案参数!$W$29+Y947*(方案参数!$AN$29+MIN(方案参数!$AO$29,P947*0.03))+AB947*方案参数!$BZ$29*0.025-配置与结果!$B$28)</f>
        <v>0.8849999999999999</v>
      </c>
      <c r="AH947" s="1">
        <f>MAX(0,1+INDEX(配置与结果!$G$15:$G$18,F947)+W947*方案参数!$AG$29)</f>
        <v>1.3</v>
      </c>
      <c r="AI947" s="1">
        <f>IF(OR(INDEX(配置与结果!$K$15:$K$18,F947)=1,G947="RHI_BERRY"),1+配置与结果!$B$33+P947*方案参数!$AH$29,1)</f>
        <v>1</v>
      </c>
      <c r="AJ947" s="1">
        <f>MIN(1,MAX(0,J947+方案参数!$AB$29-配置与结果!$B$27))</f>
        <v>0.76</v>
      </c>
      <c r="AK947" s="1">
        <f>MAX(1,K947+IF(F947=2,0.15+方案参数!$CH$29,0)+BN947*方案参数!$X$29+R947*方案参数!$AA$29+0-配置与结果!$B$26+Z947*(方案参数!$AP$29+MIN(方案参数!$AQ$29,P947*0.03)))</f>
        <v>1.9780000000000002</v>
      </c>
      <c r="AL947" s="7">
        <f>ROUNDDOWN(MAX(AD947*配置与结果!$B$31,AD947-AE947)*AF947*AG947*AH947*AI947,0)</f>
        <v>5329</v>
      </c>
      <c r="AM947" s="7">
        <f>ROUNDDOWN(MAX(AD947*配置与结果!$B$31,AD947-AE947)*AF947*AG947*AH947*AI947*AK947,0)</f>
        <v>10540</v>
      </c>
      <c r="AN947" s="7">
        <f t="shared" si="1266"/>
        <v>9289.36</v>
      </c>
      <c r="AO947" s="7">
        <f>方案参数!$BW$29</f>
        <v>1</v>
      </c>
      <c r="AP947" s="7">
        <f>MAX(0,1+INDEX(配置与结果!$J$15:$J$18,F947)+IF(T947&gt;0,方案参数!$BY$29,0)-配置与结果!$B$30)</f>
        <v>2</v>
      </c>
      <c r="AQ947" s="7">
        <f t="shared" si="1267"/>
        <v>5088</v>
      </c>
      <c r="AR947" s="7">
        <f t="shared" si="1268"/>
        <v>10064</v>
      </c>
      <c r="AS947" s="7">
        <f t="shared" si="1269"/>
        <v>8869.76</v>
      </c>
      <c r="AT947" s="7">
        <f>0</f>
        <v>0</v>
      </c>
      <c r="AU947" s="7">
        <f t="shared" si="1270"/>
        <v>18159.120000000003</v>
      </c>
      <c r="AV947" s="1">
        <f t="shared" si="1271"/>
        <v>1</v>
      </c>
      <c r="AW947" s="1">
        <f>MIN(10,M947+0+0)</f>
        <v>4</v>
      </c>
      <c r="AX947" s="1">
        <f t="shared" si="1272"/>
        <v>0</v>
      </c>
      <c r="AY947" s="1">
        <f t="shared" si="1341"/>
        <v>6</v>
      </c>
      <c r="AZ947" s="1">
        <f t="shared" si="1273"/>
        <v>3</v>
      </c>
      <c r="BA947" s="1">
        <f>MIN(6,Q947+0)</f>
        <v>2</v>
      </c>
      <c r="BB947" s="1">
        <f t="shared" si="1334"/>
        <v>5</v>
      </c>
      <c r="BC947" s="1">
        <f t="shared" si="1315"/>
        <v>0</v>
      </c>
      <c r="BD947" s="1">
        <f t="shared" ref="BD947:BD981" si="1342">MAX(0,T947-IF(AO947&gt;0,1,0))+0</f>
        <v>0</v>
      </c>
      <c r="BE947" s="1">
        <f t="shared" si="1335"/>
        <v>0</v>
      </c>
      <c r="BF947" s="1">
        <f>MIN(4,V947+1)</f>
        <v>1</v>
      </c>
      <c r="BG947" s="1">
        <f t="shared" si="1339"/>
        <v>1</v>
      </c>
      <c r="BH947" s="1">
        <f t="shared" si="1336"/>
        <v>1</v>
      </c>
      <c r="BI947" s="1">
        <f t="shared" si="1340"/>
        <v>1</v>
      </c>
      <c r="BJ947" s="1">
        <f t="shared" si="1310"/>
        <v>0</v>
      </c>
      <c r="BK947" s="1">
        <f t="shared" si="1311"/>
        <v>0</v>
      </c>
      <c r="BL947" s="1">
        <f t="shared" si="1316"/>
        <v>0</v>
      </c>
      <c r="BM947" s="1">
        <f t="shared" si="1314"/>
        <v>0</v>
      </c>
      <c r="BN947" s="1">
        <f t="shared" si="1337"/>
        <v>1</v>
      </c>
      <c r="BO947" s="1">
        <f t="shared" si="1338"/>
        <v>1</v>
      </c>
    </row>
    <row r="948" spans="1:67" ht="30.95" customHeight="1">
      <c r="A948" s="1">
        <f>26</f>
        <v>26</v>
      </c>
      <c r="B948" s="1">
        <f>固定流程!A12</f>
        <v>7</v>
      </c>
      <c r="C948" s="1">
        <f>29</f>
        <v>29</v>
      </c>
      <c r="D948" s="1">
        <f>1</f>
        <v>1</v>
      </c>
      <c r="E948" s="1">
        <f>固定流程!C12</f>
        <v>1</v>
      </c>
      <c r="F948" s="1">
        <f>固定流程!G12</f>
        <v>4</v>
      </c>
      <c r="G948" s="1" t="str">
        <f>固定流程!H12</f>
        <v>J_HARD</v>
      </c>
      <c r="H948" s="1">
        <f>固定流程!F12</f>
        <v>1</v>
      </c>
      <c r="I948" s="1">
        <f>INDEX(配置与结果!$B$15:$B$18,F948)</f>
        <v>1906</v>
      </c>
      <c r="J948" s="1">
        <f>INDEX(配置与结果!$D$15:$D$18,F948)</f>
        <v>0.36699999999999999</v>
      </c>
      <c r="K948" s="1">
        <f>INDEX(配置与结果!$E$15:$E$18,F948)</f>
        <v>1.7170000000000001</v>
      </c>
      <c r="L948" s="1">
        <f t="shared" si="1320"/>
        <v>1</v>
      </c>
      <c r="M948" s="1">
        <f t="shared" si="1320"/>
        <v>4</v>
      </c>
      <c r="N948" s="1">
        <f t="shared" si="1320"/>
        <v>0</v>
      </c>
      <c r="O948" s="1">
        <f t="shared" si="1320"/>
        <v>6</v>
      </c>
      <c r="P948" s="1">
        <f>MIN(方案参数!$AI$29,AZ947+0+0)</f>
        <v>3</v>
      </c>
      <c r="Q948" s="1">
        <f t="shared" si="1321"/>
        <v>2</v>
      </c>
      <c r="R948" s="1">
        <f t="shared" si="1322"/>
        <v>5</v>
      </c>
      <c r="S948" s="1">
        <f t="shared" si="1323"/>
        <v>0</v>
      </c>
      <c r="T948" s="1">
        <f t="shared" si="1324"/>
        <v>0</v>
      </c>
      <c r="U948" s="1">
        <f t="shared" si="1325"/>
        <v>0</v>
      </c>
      <c r="V948" s="1">
        <f t="shared" si="1326"/>
        <v>1</v>
      </c>
      <c r="W948" s="1">
        <f t="shared" si="1327"/>
        <v>1</v>
      </c>
      <c r="X948" s="1">
        <f t="shared" si="1328"/>
        <v>1</v>
      </c>
      <c r="Y948" s="1">
        <f t="shared" si="1329"/>
        <v>1</v>
      </c>
      <c r="Z948" s="1">
        <f t="shared" si="1330"/>
        <v>0</v>
      </c>
      <c r="AA948" s="1">
        <f t="shared" si="1331"/>
        <v>0</v>
      </c>
      <c r="AB948" s="1">
        <f t="shared" si="1332"/>
        <v>0</v>
      </c>
      <c r="AC948" s="1">
        <f t="shared" si="1333"/>
        <v>0</v>
      </c>
      <c r="AD948" s="1">
        <f>ROUNDDOWN(I948*(1+IF(F948=3,0.05+方案参数!$Y$29+AA948*0.12,IF(F948=4,方案参数!$BZ$29*方案参数!$AS$29,0)))+IF(AND(X948=1,F948&lt;&gt;3),方案参数!$CC$29,0)+AC948*方案参数!$CB$29,0)</f>
        <v>2811</v>
      </c>
      <c r="AE948" s="1">
        <f>IF(OR(F948=1,F948=4),配置与结果!$B$24,配置与结果!$B$25)*MAX(0,1-INDEX(配置与结果!$I$15:$I$18,F948))</f>
        <v>1200</v>
      </c>
      <c r="AF948" s="1">
        <f>3.6*IF(H948=1,1,IF(H948=2,1.5,2.5))</f>
        <v>3.6</v>
      </c>
      <c r="AG948" s="1">
        <f>MAX(配置与结果!$B$32,1+INDEX(配置与结果!$F$15:$F$18,F948)+0.08+Q948*方案参数!$W$29+Y948*(方案参数!$AN$29+MIN(方案参数!$AO$29,P948*0.03))+AB948*方案参数!$BZ$29*0.025+0.1+IF(方案参数!$BZ$29&gt;=30,方案参数!$BZ$29*0.01,0)-配置与结果!$B$28)</f>
        <v>1.4350000000000001</v>
      </c>
      <c r="AH948" s="1">
        <f>MAX(0,1+INDEX(配置与结果!$G$15:$G$18,F948)+W948*方案参数!$AG$29)</f>
        <v>1.3</v>
      </c>
      <c r="AI948" s="1">
        <f>IF(OR(INDEX(配置与结果!$K$15:$K$18,F948)=1,G948="RHI_BERRY"),1+配置与结果!$B$33+P948*方案参数!$AH$29,1)</f>
        <v>1</v>
      </c>
      <c r="AJ948" s="1">
        <f>MIN(1,MAX(0,J948+方案参数!$AB$29-配置与结果!$B$27))</f>
        <v>0.66700000000000004</v>
      </c>
      <c r="AK948" s="1">
        <f>MAX(1,K948+IF(F948=2,0.15+方案参数!$CH$29,0)+BN948*方案参数!$X$29+R948*方案参数!$AA$29+0-配置与结果!$B$26+Z948*(方案参数!$AP$29+MIN(方案参数!$AQ$29,P948*0.03)))</f>
        <v>1.4969999999999999</v>
      </c>
      <c r="AL948" s="7">
        <f>ROUNDDOWN(MAX(AD948*配置与结果!$B$31,AD948-AE948)*AF948*AG948*AH948*AI948,0)</f>
        <v>10819</v>
      </c>
      <c r="AM948" s="7">
        <f>ROUNDDOWN(MAX(AD948*配置与结果!$B$31,AD948-AE948)*AF948*AG948*AH948*AI948*AK948,0)</f>
        <v>16196</v>
      </c>
      <c r="AN948" s="7">
        <f t="shared" si="1266"/>
        <v>14405.458999999999</v>
      </c>
      <c r="AO948" s="7">
        <f>0</f>
        <v>0</v>
      </c>
      <c r="AP948" s="7">
        <f>MAX(0,1+INDEX(配置与结果!$J$15:$J$18,F948)+IF(T948&gt;0,方案参数!$BY$29,0)-配置与结果!$B$30)</f>
        <v>1</v>
      </c>
      <c r="AQ948" s="7">
        <f t="shared" si="1267"/>
        <v>0</v>
      </c>
      <c r="AR948" s="7">
        <f t="shared" si="1268"/>
        <v>0</v>
      </c>
      <c r="AS948" s="7">
        <f t="shared" si="1269"/>
        <v>0</v>
      </c>
      <c r="AT948" s="7">
        <f>0</f>
        <v>0</v>
      </c>
      <c r="AU948" s="7">
        <f t="shared" si="1270"/>
        <v>14405.458999999999</v>
      </c>
      <c r="AV948" s="1">
        <f t="shared" si="1271"/>
        <v>1</v>
      </c>
      <c r="AW948" s="1">
        <f>MIN(10,M948+0+0)</f>
        <v>4</v>
      </c>
      <c r="AX948" s="1">
        <f t="shared" si="1272"/>
        <v>0</v>
      </c>
      <c r="AY948" s="1">
        <f t="shared" si="1341"/>
        <v>6</v>
      </c>
      <c r="AZ948" s="1">
        <f t="shared" si="1273"/>
        <v>3</v>
      </c>
      <c r="BA948" s="1">
        <f>MIN(6,Q948+0)</f>
        <v>2</v>
      </c>
      <c r="BB948" s="1">
        <f t="shared" si="1334"/>
        <v>5</v>
      </c>
      <c r="BC948" s="1">
        <f>MIN(3,S948+1)</f>
        <v>1</v>
      </c>
      <c r="BD948" s="1">
        <f t="shared" si="1342"/>
        <v>0</v>
      </c>
      <c r="BE948" s="1">
        <f t="shared" si="1335"/>
        <v>0</v>
      </c>
      <c r="BF948" s="1">
        <f>MIN(4,V948+0)</f>
        <v>1</v>
      </c>
      <c r="BG948" s="1">
        <f t="shared" si="1339"/>
        <v>1</v>
      </c>
      <c r="BH948" s="1">
        <f t="shared" si="1336"/>
        <v>1</v>
      </c>
      <c r="BI948" s="1">
        <f t="shared" si="1340"/>
        <v>1</v>
      </c>
      <c r="BJ948" s="1">
        <f t="shared" si="1310"/>
        <v>0</v>
      </c>
      <c r="BK948" s="1">
        <f t="shared" si="1311"/>
        <v>0</v>
      </c>
      <c r="BL948" s="1">
        <f t="shared" si="1316"/>
        <v>0</v>
      </c>
      <c r="BM948" s="1">
        <f t="shared" si="1314"/>
        <v>0</v>
      </c>
      <c r="BN948" s="1">
        <f t="shared" si="1337"/>
        <v>1</v>
      </c>
      <c r="BO948" s="1">
        <f t="shared" si="1338"/>
        <v>1</v>
      </c>
    </row>
    <row r="949" spans="1:67" ht="30.95" customHeight="1">
      <c r="A949" s="1">
        <f>26</f>
        <v>26</v>
      </c>
      <c r="B949" s="1">
        <f>固定流程!A13</f>
        <v>8</v>
      </c>
      <c r="C949" s="1">
        <f>29</f>
        <v>29</v>
      </c>
      <c r="D949" s="1">
        <f>1</f>
        <v>1</v>
      </c>
      <c r="E949" s="1">
        <f>固定流程!C13</f>
        <v>2</v>
      </c>
      <c r="F949" s="1">
        <f>固定流程!G13</f>
        <v>3</v>
      </c>
      <c r="G949" s="1" t="str">
        <f>固定流程!H13</f>
        <v>RHI_ATTACK</v>
      </c>
      <c r="H949" s="1">
        <f>固定流程!F13</f>
        <v>1</v>
      </c>
      <c r="I949" s="1">
        <f>INDEX(配置与结果!$B$15:$B$18,F949)</f>
        <v>2597</v>
      </c>
      <c r="J949" s="1">
        <f>INDEX(配置与结果!$D$15:$D$18,F949)</f>
        <v>0.255</v>
      </c>
      <c r="K949" s="1">
        <f>INDEX(配置与结果!$E$15:$E$18,F949)</f>
        <v>1.55</v>
      </c>
      <c r="L949" s="1">
        <f>IF(AV948=1,IF(M949&gt;=10,2,1),IF(AV948=2,IF(AX948&lt;=1,0,2),0))</f>
        <v>1</v>
      </c>
      <c r="M949" s="1">
        <f>IF(AND(AV948=2,AX948&lt;=1),0,MIN(10,AW948+IF(AV948=1,3,0)))</f>
        <v>7</v>
      </c>
      <c r="N949" s="1">
        <f>IF(AND(AV948=1,M949&gt;=10),2,IF(AV948=2,MAX(0,AX948-1),0))</f>
        <v>0</v>
      </c>
      <c r="O949" s="1">
        <f t="shared" ref="O949:O977" si="1343">AY948</f>
        <v>6</v>
      </c>
      <c r="P949" s="1">
        <f>MIN(方案参数!$AI$29,AZ948+方案参数!$AJ$29+方案参数!$AK$29)</f>
        <v>5</v>
      </c>
      <c r="Q949" s="1">
        <f t="shared" si="1321"/>
        <v>2</v>
      </c>
      <c r="R949" s="1">
        <f t="shared" si="1322"/>
        <v>5</v>
      </c>
      <c r="S949" s="1">
        <f t="shared" si="1323"/>
        <v>1</v>
      </c>
      <c r="T949" s="1">
        <f t="shared" si="1324"/>
        <v>0</v>
      </c>
      <c r="U949" s="1">
        <f t="shared" si="1325"/>
        <v>0</v>
      </c>
      <c r="V949" s="1">
        <f t="shared" si="1326"/>
        <v>1</v>
      </c>
      <c r="W949" s="1">
        <f t="shared" si="1327"/>
        <v>1</v>
      </c>
      <c r="X949" s="1">
        <f t="shared" si="1328"/>
        <v>1</v>
      </c>
      <c r="Y949" s="1">
        <f t="shared" si="1329"/>
        <v>1</v>
      </c>
      <c r="Z949" s="1">
        <f t="shared" si="1330"/>
        <v>0</v>
      </c>
      <c r="AA949" s="1">
        <f>MAX(BK948,1)</f>
        <v>1</v>
      </c>
      <c r="AB949" s="1">
        <f t="shared" si="1332"/>
        <v>0</v>
      </c>
      <c r="AC949" s="1">
        <f t="shared" si="1333"/>
        <v>0</v>
      </c>
      <c r="AD949" s="1">
        <f>ROUNDDOWN(I949*(1+IF(F949=3,0.05+方案参数!$Y$29+AA949*0.12,IF(F949=4,方案参数!$BZ$29*方案参数!$AS$29,0)))+IF(AND(X949=1,F949&lt;&gt;3),方案参数!$CC$29,0)+AC949*方案参数!$CB$29,0)</f>
        <v>3298</v>
      </c>
      <c r="AE949" s="1">
        <f>IF(OR(F949=1,F949=4),配置与结果!$B$24,配置与结果!$B$25)*MAX(0,1-INDEX(配置与结果!$I$15:$I$18,F949))</f>
        <v>1000</v>
      </c>
      <c r="AF949" s="1">
        <f>4</f>
        <v>4</v>
      </c>
      <c r="AG949" s="1">
        <f>MAX(配置与结果!$B$32,1+INDEX(配置与结果!$F$15:$F$18,F949)+0+Q949*方案参数!$W$29+Y949*(方案参数!$AN$29+MIN(方案参数!$AO$29,P949*0.03))+AB949*方案参数!$BZ$29*0.025-配置与结果!$B$28)</f>
        <v>0.97499999999999998</v>
      </c>
      <c r="AH949" s="1">
        <f>MAX(0,1+INDEX(配置与结果!$G$15:$G$18,F949)+W949*方案参数!$AG$29)</f>
        <v>1.3</v>
      </c>
      <c r="AI949" s="1">
        <f>IF(OR(INDEX(配置与结果!$K$15:$K$18,F949)=1,G949="RHI_BERRY"),1+配置与结果!$B$33+P949*方案参数!$AH$29,1)</f>
        <v>1</v>
      </c>
      <c r="AJ949" s="1">
        <f>MIN(1,MAX(0,J949+方案参数!$AB$29-配置与结果!$B$27))</f>
        <v>0.55499999999999994</v>
      </c>
      <c r="AK949" s="1">
        <f>MAX(1,K949+IF(F949=2,0.15+方案参数!$CH$29,0)+BN949*方案参数!$X$29+R949*方案参数!$AA$29+0-配置与结果!$B$26+Z949*(方案参数!$AP$29+MIN(方案参数!$AQ$29,P949*0.03)))</f>
        <v>1.33</v>
      </c>
      <c r="AL949" s="7">
        <f>ROUNDDOWN(MAX(AD949*配置与结果!$B$31,AD949-AE949)*AF949*AG949*AH949*AI949,0)</f>
        <v>11650</v>
      </c>
      <c r="AM949" s="7">
        <f>ROUNDDOWN(MAX(AD949*配置与结果!$B$31,AD949-AE949)*AF949*AG949*AH949*AI949*AK949,0)</f>
        <v>15495</v>
      </c>
      <c r="AN949" s="7">
        <f t="shared" si="1266"/>
        <v>13783.974999999999</v>
      </c>
      <c r="AO949" s="7">
        <f>0</f>
        <v>0</v>
      </c>
      <c r="AP949" s="7">
        <f>MAX(0,1+INDEX(配置与结果!$J$15:$J$18,F949)+IF(T949&gt;0,方案参数!$BY$29,0)-配置与结果!$B$30)</f>
        <v>1</v>
      </c>
      <c r="AQ949" s="7">
        <f t="shared" si="1267"/>
        <v>0</v>
      </c>
      <c r="AR949" s="7">
        <f t="shared" si="1268"/>
        <v>0</v>
      </c>
      <c r="AS949" s="7">
        <f t="shared" si="1269"/>
        <v>0</v>
      </c>
      <c r="AT949" s="7">
        <f>0</f>
        <v>0</v>
      </c>
      <c r="AU949" s="7">
        <f t="shared" si="1270"/>
        <v>13783.974999999999</v>
      </c>
      <c r="AV949" s="1">
        <f t="shared" si="1271"/>
        <v>1</v>
      </c>
      <c r="AW949" s="1">
        <f>MIN(10,M949+0+0)</f>
        <v>7</v>
      </c>
      <c r="AX949" s="1">
        <f t="shared" si="1272"/>
        <v>0</v>
      </c>
      <c r="AY949" s="1">
        <f t="shared" si="1341"/>
        <v>6</v>
      </c>
      <c r="AZ949" s="1">
        <f t="shared" si="1273"/>
        <v>5</v>
      </c>
      <c r="BA949" s="1">
        <f>MIN(6,Q949+1)</f>
        <v>3</v>
      </c>
      <c r="BB949" s="1">
        <f t="shared" si="1334"/>
        <v>5</v>
      </c>
      <c r="BC949" s="1">
        <f>MIN(3,S949+0)</f>
        <v>1</v>
      </c>
      <c r="BD949" s="1">
        <f t="shared" si="1342"/>
        <v>0</v>
      </c>
      <c r="BE949" s="1">
        <f t="shared" si="1335"/>
        <v>0</v>
      </c>
      <c r="BF949" s="1">
        <f>MIN(4,V949+0)</f>
        <v>1</v>
      </c>
      <c r="BG949" s="1">
        <f t="shared" si="1339"/>
        <v>1</v>
      </c>
      <c r="BH949" s="1">
        <f t="shared" si="1336"/>
        <v>1</v>
      </c>
      <c r="BI949" s="1">
        <f t="shared" si="1340"/>
        <v>1</v>
      </c>
      <c r="BJ949" s="1">
        <f>MAX(Z949,1)</f>
        <v>1</v>
      </c>
      <c r="BK949" s="1">
        <f>MAX(AA949,1)</f>
        <v>1</v>
      </c>
      <c r="BL949" s="1">
        <f t="shared" si="1316"/>
        <v>0</v>
      </c>
      <c r="BM949" s="1">
        <f t="shared" si="1314"/>
        <v>0</v>
      </c>
      <c r="BN949" s="1">
        <f t="shared" si="1337"/>
        <v>1</v>
      </c>
      <c r="BO949" s="1">
        <f t="shared" si="1338"/>
        <v>1</v>
      </c>
    </row>
    <row r="950" spans="1:67" ht="30.95" customHeight="1">
      <c r="A950" s="1">
        <f>26</f>
        <v>26</v>
      </c>
      <c r="B950" s="1">
        <f>固定流程!A14</f>
        <v>9</v>
      </c>
      <c r="C950" s="1">
        <f>29</f>
        <v>29</v>
      </c>
      <c r="D950" s="1">
        <f>1</f>
        <v>1</v>
      </c>
      <c r="E950" s="1">
        <f>固定流程!C14</f>
        <v>2</v>
      </c>
      <c r="F950" s="1">
        <f>固定流程!G14</f>
        <v>1</v>
      </c>
      <c r="G950" s="1" t="str">
        <f>固定流程!H14</f>
        <v>LILYA_DIVE</v>
      </c>
      <c r="H950" s="1">
        <f>固定流程!F14</f>
        <v>3</v>
      </c>
      <c r="I950" s="1">
        <f>INDEX(配置与结果!$B$15:$B$18,F950)</f>
        <v>2296</v>
      </c>
      <c r="J950" s="1">
        <f>INDEX(配置与结果!$D$15:$D$18,F950)</f>
        <v>0.7</v>
      </c>
      <c r="K950" s="1">
        <f>INDEX(配置与结果!$E$15:$E$18,F950)</f>
        <v>2.0249999999999999</v>
      </c>
      <c r="L950" s="1">
        <f t="shared" ref="L950:N954" si="1344">AV949</f>
        <v>1</v>
      </c>
      <c r="M950" s="1">
        <f t="shared" si="1344"/>
        <v>7</v>
      </c>
      <c r="N950" s="1">
        <f t="shared" si="1344"/>
        <v>0</v>
      </c>
      <c r="O950" s="1">
        <f t="shared" si="1343"/>
        <v>6</v>
      </c>
      <c r="P950" s="1">
        <f>MIN(方案参数!$AI$29,AZ949+0+0)</f>
        <v>5</v>
      </c>
      <c r="Q950" s="1">
        <f t="shared" si="1321"/>
        <v>3</v>
      </c>
      <c r="R950" s="1">
        <f t="shared" si="1322"/>
        <v>5</v>
      </c>
      <c r="S950" s="1">
        <f t="shared" si="1323"/>
        <v>1</v>
      </c>
      <c r="T950" s="1">
        <f t="shared" si="1324"/>
        <v>0</v>
      </c>
      <c r="U950" s="1">
        <f t="shared" si="1325"/>
        <v>0</v>
      </c>
      <c r="V950" s="1">
        <f t="shared" si="1326"/>
        <v>1</v>
      </c>
      <c r="W950" s="1">
        <f t="shared" si="1327"/>
        <v>1</v>
      </c>
      <c r="X950" s="1">
        <f t="shared" si="1328"/>
        <v>1</v>
      </c>
      <c r="Y950" s="1">
        <f t="shared" si="1329"/>
        <v>1</v>
      </c>
      <c r="Z950" s="1">
        <f t="shared" si="1330"/>
        <v>1</v>
      </c>
      <c r="AA950" s="1">
        <f t="shared" ref="AA950:AA955" si="1345">MAX(BK949,0)</f>
        <v>1</v>
      </c>
      <c r="AB950" s="1">
        <f t="shared" si="1332"/>
        <v>0</v>
      </c>
      <c r="AC950" s="1">
        <f t="shared" si="1333"/>
        <v>0</v>
      </c>
      <c r="AD950" s="1">
        <f>ROUNDDOWN(I950*(1+IF(F950=3,0.05+方案参数!$Y$29+AA950*0.12,IF(F950=4,方案参数!$BZ$29*方案参数!$AS$29,0)))+IF(AND(X950=1,F950&lt;&gt;3),方案参数!$CC$29,0)+AC950*方案参数!$CB$29,0)</f>
        <v>2534</v>
      </c>
      <c r="AE950" s="1">
        <f>IF(OR(F950=1,F950=4),配置与结果!$B$24,配置与结果!$B$25)*MAX(0,1-INDEX(配置与结果!$I$15:$I$18,F950))</f>
        <v>1200</v>
      </c>
      <c r="AF950" s="1">
        <f>(IF(L950=1,方案参数!$AW$29,IF(L950=2,方案参数!$AX$29,0))+方案参数!$AV$29)*H950</f>
        <v>18</v>
      </c>
      <c r="AG950" s="1">
        <f>MAX(配置与结果!$B$32,1+INDEX(配置与结果!$F$15:$F$18,F950)+0.08+方案参数!$CD$29+Q950*方案参数!$W$29+Y950*(方案参数!$AN$29+MIN(方案参数!$AO$29,P950*0.03))+AB950*方案参数!$BZ$29*0.025+IF(L950=1,方案参数!$AY$29+(H950-1)*0.1,IF(L950=2,方案参数!$AZ$29+(H950-1)*0.2,0))-配置与结果!$B$28)</f>
        <v>1.5200000000000005</v>
      </c>
      <c r="AH950" s="1">
        <f>MAX(0,1+INDEX(配置与结果!$G$15:$G$18,F950)+W950*方案参数!$AG$29+IF(L950=1,方案参数!$BA$29,IF(L950=2,方案参数!$BB$29,0))+M950*方案参数!$BC$29)</f>
        <v>2.3199999999999998</v>
      </c>
      <c r="AI950" s="1">
        <f>IF(OR(INDEX(配置与结果!$K$15:$K$18,F950)=1,G950="RHI_BERRY"),1+配置与结果!$B$33+P950*方案参数!$AH$29,1)</f>
        <v>1</v>
      </c>
      <c r="AJ950" s="1">
        <f>MIN(1,MAX(0,J950+方案参数!$AB$29-配置与结果!$B$27))</f>
        <v>1</v>
      </c>
      <c r="AK950" s="1">
        <f>MAX(1,K950+IF(F950=2,0.15+方案参数!$CH$29,0)+BN950*方案参数!$X$29+R950*方案参数!$AA$29+0-配置与结果!$B$26+Z950*(方案参数!$AP$29+MIN(方案参数!$AQ$29,P950*0.03)))</f>
        <v>2.105</v>
      </c>
      <c r="AL950" s="7">
        <f>ROUNDDOWN(MAX(AD950*配置与结果!$B$31,AD950-AE950)*AF950*AG950*AH950*AI950,0)</f>
        <v>84675</v>
      </c>
      <c r="AM950" s="7">
        <f>ROUNDDOWN(MAX(AD950*配置与结果!$B$31,AD950-AE950)*AF950*AG950*AH950*AI950*AK950,0)</f>
        <v>178242</v>
      </c>
      <c r="AN950" s="7">
        <f t="shared" si="1266"/>
        <v>178242</v>
      </c>
      <c r="AO950" s="7">
        <f>0</f>
        <v>0</v>
      </c>
      <c r="AP950" s="7">
        <f>MAX(0,1+INDEX(配置与结果!$J$15:$J$18,F950)+IF(T950&gt;0,方案参数!$BY$29,0)-配置与结果!$B$30)</f>
        <v>1</v>
      </c>
      <c r="AQ950" s="7">
        <f t="shared" si="1267"/>
        <v>0</v>
      </c>
      <c r="AR950" s="7">
        <f t="shared" si="1268"/>
        <v>0</v>
      </c>
      <c r="AS950" s="7">
        <f t="shared" si="1269"/>
        <v>0</v>
      </c>
      <c r="AT950" s="7">
        <f>0</f>
        <v>0</v>
      </c>
      <c r="AU950" s="7">
        <f t="shared" si="1270"/>
        <v>178242</v>
      </c>
      <c r="AV950" s="1">
        <f t="shared" si="1271"/>
        <v>1</v>
      </c>
      <c r="AW950" s="1">
        <f>MIN(10,M950+0+IF(L950=1,方案参数!$BE$29,0))</f>
        <v>8</v>
      </c>
      <c r="AX950" s="1">
        <f t="shared" si="1272"/>
        <v>0</v>
      </c>
      <c r="AY950" s="1">
        <f t="shared" si="1341"/>
        <v>6</v>
      </c>
      <c r="AZ950" s="1">
        <f t="shared" si="1273"/>
        <v>5</v>
      </c>
      <c r="BA950" s="1">
        <f>MIN(6,Q950+0)</f>
        <v>3</v>
      </c>
      <c r="BB950" s="1">
        <f t="shared" si="1334"/>
        <v>5</v>
      </c>
      <c r="BC950" s="1">
        <f>MIN(3,S950+0)</f>
        <v>1</v>
      </c>
      <c r="BD950" s="1">
        <f t="shared" si="1342"/>
        <v>0</v>
      </c>
      <c r="BE950" s="1">
        <f t="shared" si="1335"/>
        <v>0</v>
      </c>
      <c r="BF950" s="1">
        <f>MIN(4,V950+0)</f>
        <v>1</v>
      </c>
      <c r="BG950" s="1">
        <f t="shared" si="1339"/>
        <v>1</v>
      </c>
      <c r="BH950" s="1">
        <f t="shared" si="1336"/>
        <v>1</v>
      </c>
      <c r="BI950" s="1">
        <f t="shared" si="1340"/>
        <v>1</v>
      </c>
      <c r="BJ950" s="1">
        <f t="shared" ref="BJ950:BK955" si="1346">MAX(Z950,0)</f>
        <v>1</v>
      </c>
      <c r="BK950" s="1">
        <f t="shared" si="1346"/>
        <v>1</v>
      </c>
      <c r="BL950" s="1">
        <f t="shared" si="1316"/>
        <v>0</v>
      </c>
      <c r="BM950" s="1">
        <f t="shared" si="1314"/>
        <v>0</v>
      </c>
      <c r="BN950" s="1">
        <f t="shared" si="1337"/>
        <v>1</v>
      </c>
      <c r="BO950" s="1">
        <f t="shared" si="1338"/>
        <v>1</v>
      </c>
    </row>
    <row r="951" spans="1:67" ht="30.95" customHeight="1">
      <c r="A951" s="1">
        <f>26</f>
        <v>26</v>
      </c>
      <c r="B951" s="1">
        <f>固定流程!A15</f>
        <v>10</v>
      </c>
      <c r="C951" s="1">
        <f>29</f>
        <v>29</v>
      </c>
      <c r="D951" s="1">
        <f>1</f>
        <v>1</v>
      </c>
      <c r="E951" s="1">
        <f>固定流程!C15</f>
        <v>2</v>
      </c>
      <c r="F951" s="1">
        <f>固定流程!G15</f>
        <v>4</v>
      </c>
      <c r="G951" s="1" t="str">
        <f>固定流程!H15</f>
        <v>J_HARD</v>
      </c>
      <c r="H951" s="1">
        <f>固定流程!F15</f>
        <v>1</v>
      </c>
      <c r="I951" s="1">
        <f>INDEX(配置与结果!$B$15:$B$18,F951)</f>
        <v>1906</v>
      </c>
      <c r="J951" s="1">
        <f>INDEX(配置与结果!$D$15:$D$18,F951)</f>
        <v>0.36699999999999999</v>
      </c>
      <c r="K951" s="1">
        <f>INDEX(配置与结果!$E$15:$E$18,F951)</f>
        <v>1.7170000000000001</v>
      </c>
      <c r="L951" s="1">
        <f t="shared" si="1344"/>
        <v>1</v>
      </c>
      <c r="M951" s="1">
        <f t="shared" si="1344"/>
        <v>8</v>
      </c>
      <c r="N951" s="1">
        <f t="shared" si="1344"/>
        <v>0</v>
      </c>
      <c r="O951" s="1">
        <f t="shared" si="1343"/>
        <v>6</v>
      </c>
      <c r="P951" s="1">
        <f>MIN(方案参数!$AI$29,AZ950+0+0)</f>
        <v>5</v>
      </c>
      <c r="Q951" s="1">
        <f t="shared" si="1321"/>
        <v>3</v>
      </c>
      <c r="R951" s="1">
        <f t="shared" si="1322"/>
        <v>5</v>
      </c>
      <c r="S951" s="1">
        <f t="shared" si="1323"/>
        <v>1</v>
      </c>
      <c r="T951" s="1">
        <f t="shared" si="1324"/>
        <v>0</v>
      </c>
      <c r="U951" s="1">
        <f t="shared" si="1325"/>
        <v>0</v>
      </c>
      <c r="V951" s="1">
        <f t="shared" si="1326"/>
        <v>1</v>
      </c>
      <c r="W951" s="1">
        <f t="shared" si="1327"/>
        <v>1</v>
      </c>
      <c r="X951" s="1">
        <f t="shared" si="1328"/>
        <v>1</v>
      </c>
      <c r="Y951" s="1">
        <f t="shared" si="1329"/>
        <v>1</v>
      </c>
      <c r="Z951" s="1">
        <f t="shared" si="1330"/>
        <v>1</v>
      </c>
      <c r="AA951" s="1">
        <f t="shared" si="1345"/>
        <v>1</v>
      </c>
      <c r="AB951" s="1">
        <f t="shared" si="1332"/>
        <v>0</v>
      </c>
      <c r="AC951" s="1">
        <f t="shared" si="1333"/>
        <v>0</v>
      </c>
      <c r="AD951" s="1">
        <f>ROUNDDOWN(I951*(1+IF(F951=3,0.05+方案参数!$Y$29+AA951*0.12,IF(F951=4,方案参数!$BZ$29*方案参数!$AS$29,0)))+IF(AND(X951=1,F951&lt;&gt;3),方案参数!$CC$29,0)+AC951*方案参数!$CB$29,0)</f>
        <v>2811</v>
      </c>
      <c r="AE951" s="1">
        <f>IF(OR(F951=1,F951=4),配置与结果!$B$24,配置与结果!$B$25)*MAX(0,1-INDEX(配置与结果!$I$15:$I$18,F951))</f>
        <v>1200</v>
      </c>
      <c r="AF951" s="1">
        <f>3.6*IF(H951=1,1,IF(H951=2,1.5,2.5))</f>
        <v>3.6</v>
      </c>
      <c r="AG951" s="1">
        <f>MAX(配置与结果!$B$32,1+INDEX(配置与结果!$F$15:$F$18,F951)+0.08+Q951*方案参数!$W$29+Y951*(方案参数!$AN$29+MIN(方案参数!$AO$29,P951*0.03))+AB951*方案参数!$BZ$29*0.025+0.1+IF(方案参数!$BZ$29&gt;=30,方案参数!$BZ$29*0.01,0)-配置与结果!$B$28)</f>
        <v>1.5150000000000001</v>
      </c>
      <c r="AH951" s="1">
        <f>MAX(0,1+INDEX(配置与结果!$G$15:$G$18,F951)+W951*方案参数!$AG$29)</f>
        <v>1.3</v>
      </c>
      <c r="AI951" s="1">
        <f>IF(OR(INDEX(配置与结果!$K$15:$K$18,F951)=1,G951="RHI_BERRY"),1+配置与结果!$B$33+P951*方案参数!$AH$29,1)</f>
        <v>1</v>
      </c>
      <c r="AJ951" s="1">
        <f>MIN(1,MAX(0,J951+方案参数!$AB$29-配置与结果!$B$27))</f>
        <v>0.66700000000000004</v>
      </c>
      <c r="AK951" s="1">
        <f>MAX(1,K951+IF(F951=2,0.15+方案参数!$CH$29,0)+BN951*方案参数!$X$29+R951*方案参数!$AA$29+0-配置与结果!$B$26+Z951*(方案参数!$AP$29+MIN(方案参数!$AQ$29,P951*0.03)))</f>
        <v>1.7969999999999999</v>
      </c>
      <c r="AL951" s="7">
        <f>ROUNDDOWN(MAX(AD951*配置与结果!$B$31,AD951-AE951)*AF951*AG951*AH951*AI951,0)</f>
        <v>11422</v>
      </c>
      <c r="AM951" s="7">
        <f>ROUNDDOWN(MAX(AD951*配置与结果!$B$31,AD951-AE951)*AF951*AG951*AH951*AI951*AK951,0)</f>
        <v>20525</v>
      </c>
      <c r="AN951" s="7">
        <f t="shared" si="1266"/>
        <v>17493.701000000001</v>
      </c>
      <c r="AO951" s="7">
        <f>0</f>
        <v>0</v>
      </c>
      <c r="AP951" s="7">
        <f>MAX(0,1+INDEX(配置与结果!$J$15:$J$18,F951)+IF(T951&gt;0,方案参数!$BY$29,0)-配置与结果!$B$30)</f>
        <v>1</v>
      </c>
      <c r="AQ951" s="7">
        <f t="shared" si="1267"/>
        <v>0</v>
      </c>
      <c r="AR951" s="7">
        <f t="shared" si="1268"/>
        <v>0</v>
      </c>
      <c r="AS951" s="7">
        <f t="shared" si="1269"/>
        <v>0</v>
      </c>
      <c r="AT951" s="7">
        <f>0</f>
        <v>0</v>
      </c>
      <c r="AU951" s="7">
        <f t="shared" si="1270"/>
        <v>17493.701000000001</v>
      </c>
      <c r="AV951" s="1">
        <f t="shared" si="1271"/>
        <v>1</v>
      </c>
      <c r="AW951" s="1">
        <f t="shared" ref="AW951:AW961" si="1347">MIN(10,M951+0+0)</f>
        <v>8</v>
      </c>
      <c r="AX951" s="1">
        <f t="shared" si="1272"/>
        <v>0</v>
      </c>
      <c r="AY951" s="1">
        <f t="shared" si="1341"/>
        <v>6</v>
      </c>
      <c r="AZ951" s="1">
        <f t="shared" si="1273"/>
        <v>5</v>
      </c>
      <c r="BA951" s="1">
        <f>MIN(6,Q951+0)</f>
        <v>3</v>
      </c>
      <c r="BB951" s="1">
        <f t="shared" si="1334"/>
        <v>5</v>
      </c>
      <c r="BC951" s="1">
        <f>MIN(3,S951+1)</f>
        <v>2</v>
      </c>
      <c r="BD951" s="1">
        <f t="shared" si="1342"/>
        <v>0</v>
      </c>
      <c r="BE951" s="1">
        <f t="shared" si="1335"/>
        <v>0</v>
      </c>
      <c r="BF951" s="1">
        <f>MIN(4,V951+0)</f>
        <v>1</v>
      </c>
      <c r="BG951" s="1">
        <f t="shared" si="1339"/>
        <v>1</v>
      </c>
      <c r="BH951" s="1">
        <f t="shared" si="1336"/>
        <v>1</v>
      </c>
      <c r="BI951" s="1">
        <f t="shared" si="1340"/>
        <v>1</v>
      </c>
      <c r="BJ951" s="1">
        <f t="shared" si="1346"/>
        <v>1</v>
      </c>
      <c r="BK951" s="1">
        <f t="shared" si="1346"/>
        <v>1</v>
      </c>
      <c r="BL951" s="1">
        <f t="shared" si="1316"/>
        <v>0</v>
      </c>
      <c r="BM951" s="1">
        <f t="shared" si="1314"/>
        <v>0</v>
      </c>
      <c r="BN951" s="1">
        <f t="shared" si="1337"/>
        <v>1</v>
      </c>
      <c r="BO951" s="1">
        <f t="shared" si="1338"/>
        <v>1</v>
      </c>
    </row>
    <row r="952" spans="1:67" ht="30.95" customHeight="1">
      <c r="A952" s="1">
        <f>26</f>
        <v>26</v>
      </c>
      <c r="B952" s="1">
        <f>固定流程!A16</f>
        <v>11</v>
      </c>
      <c r="C952" s="1">
        <f>29</f>
        <v>29</v>
      </c>
      <c r="D952" s="1">
        <f>1</f>
        <v>1</v>
      </c>
      <c r="E952" s="1">
        <f>固定流程!C16</f>
        <v>2</v>
      </c>
      <c r="F952" s="1">
        <f>固定流程!G16</f>
        <v>2</v>
      </c>
      <c r="G952" s="1" t="str">
        <f>固定流程!H16</f>
        <v>37_CURVE</v>
      </c>
      <c r="H952" s="1">
        <f>固定流程!F16</f>
        <v>1</v>
      </c>
      <c r="I952" s="1">
        <f>INDEX(配置与结果!$B$15:$B$18,F952)</f>
        <v>2306</v>
      </c>
      <c r="J952" s="1">
        <f>INDEX(配置与结果!$D$15:$D$18,F952)</f>
        <v>0.46</v>
      </c>
      <c r="K952" s="1">
        <f>INDEX(配置与结果!$E$15:$E$18,F952)</f>
        <v>1.9279999999999999</v>
      </c>
      <c r="L952" s="1">
        <f t="shared" si="1344"/>
        <v>1</v>
      </c>
      <c r="M952" s="1">
        <f t="shared" si="1344"/>
        <v>8</v>
      </c>
      <c r="N952" s="1">
        <f t="shared" si="1344"/>
        <v>0</v>
      </c>
      <c r="O952" s="1">
        <f t="shared" si="1343"/>
        <v>6</v>
      </c>
      <c r="P952" s="1">
        <f>MIN(方案参数!$AI$29,AZ951+0+0)</f>
        <v>5</v>
      </c>
      <c r="Q952" s="1">
        <f t="shared" si="1321"/>
        <v>3</v>
      </c>
      <c r="R952" s="1">
        <f t="shared" si="1322"/>
        <v>5</v>
      </c>
      <c r="S952" s="1">
        <f t="shared" si="1323"/>
        <v>2</v>
      </c>
      <c r="T952" s="1">
        <f t="shared" si="1324"/>
        <v>0</v>
      </c>
      <c r="U952" s="1">
        <f t="shared" si="1325"/>
        <v>0</v>
      </c>
      <c r="V952" s="1">
        <f t="shared" si="1326"/>
        <v>1</v>
      </c>
      <c r="W952" s="1">
        <f t="shared" si="1327"/>
        <v>1</v>
      </c>
      <c r="X952" s="1">
        <f t="shared" si="1328"/>
        <v>1</v>
      </c>
      <c r="Y952" s="1">
        <f t="shared" si="1329"/>
        <v>1</v>
      </c>
      <c r="Z952" s="1">
        <f t="shared" si="1330"/>
        <v>1</v>
      </c>
      <c r="AA952" s="1">
        <f t="shared" si="1345"/>
        <v>1</v>
      </c>
      <c r="AB952" s="1">
        <f t="shared" si="1332"/>
        <v>0</v>
      </c>
      <c r="AC952" s="1">
        <f t="shared" si="1333"/>
        <v>0</v>
      </c>
      <c r="AD952" s="1">
        <f>ROUNDDOWN(I952*(1+IF(F952=3,0.05+方案参数!$Y$29+AA952*0.12,IF(F952=4,方案参数!$BZ$29*方案参数!$AS$29,0)))+IF(AND(X952=1,F952&lt;&gt;3),方案参数!$CC$29,0)+AC952*方案参数!$CB$29,0)</f>
        <v>2544</v>
      </c>
      <c r="AE952" s="1">
        <f>IF(OR(F952=1,F952=4),配置与结果!$B$24,配置与结果!$B$25)*MAX(0,1-INDEX(配置与结果!$I$15:$I$18,F952))</f>
        <v>1000</v>
      </c>
      <c r="AF952" s="1">
        <f>方案参数!$BT$29*IF(H952=1,1,IF(H952=2,1.5,2.5))</f>
        <v>1.4</v>
      </c>
      <c r="AG952" s="1">
        <f>MAX(配置与结果!$B$32,1+INDEX(配置与结果!$F$15:$F$18,F952)+0+Q952*方案参数!$W$29+Y952*(方案参数!$AN$29+MIN(方案参数!$AO$29,P952*0.03))+AB952*方案参数!$BZ$29*0.025-配置与结果!$B$28)</f>
        <v>0.96499999999999997</v>
      </c>
      <c r="AH952" s="1">
        <f>MAX(0,1+INDEX(配置与结果!$G$15:$G$18,F952)+W952*方案参数!$AG$29)</f>
        <v>1.3</v>
      </c>
      <c r="AI952" s="1">
        <f>IF(OR(INDEX(配置与结果!$K$15:$K$18,F952)=1,G952="RHI_BERRY"),1+配置与结果!$B$33+P952*方案参数!$AH$29,1)</f>
        <v>1</v>
      </c>
      <c r="AJ952" s="1">
        <f>MIN(1,MAX(0,J952+方案参数!$AB$29-配置与结果!$B$27))</f>
        <v>0.76</v>
      </c>
      <c r="AK952" s="1">
        <f>MAX(1,K952+IF(F952=2,0.15+方案参数!$CH$29,0)+BN952*方案参数!$X$29+R952*方案参数!$AA$29+0-配置与结果!$B$26+Z952*(方案参数!$AP$29+MIN(方案参数!$AQ$29,P952*0.03)))</f>
        <v>2.278</v>
      </c>
      <c r="AL952" s="7">
        <f>ROUNDDOWN(MAX(AD952*配置与结果!$B$31,AD952-AE952)*AF952*AG952*AH952*AI952,0)</f>
        <v>2711</v>
      </c>
      <c r="AM952" s="7">
        <f>ROUNDDOWN(MAX(AD952*配置与结果!$B$31,AD952-AE952)*AF952*AG952*AH952*AI952*AK952,0)</f>
        <v>6177</v>
      </c>
      <c r="AN952" s="7">
        <f t="shared" si="1266"/>
        <v>5345.1600000000008</v>
      </c>
      <c r="AO952" s="7">
        <f>方案参数!$BU$29*IF(H952=1,1,IF(H952=2,1.5,2.5))</f>
        <v>0.8</v>
      </c>
      <c r="AP952" s="7">
        <f>MAX(0,1+INDEX(配置与结果!$J$15:$J$18,F952)+IF(T952&gt;0,方案参数!$BY$29,0)-配置与结果!$B$30)</f>
        <v>1</v>
      </c>
      <c r="AQ952" s="7">
        <f t="shared" si="1267"/>
        <v>2035</v>
      </c>
      <c r="AR952" s="7">
        <f t="shared" si="1268"/>
        <v>4635</v>
      </c>
      <c r="AS952" s="7">
        <f t="shared" si="1269"/>
        <v>4011</v>
      </c>
      <c r="AT952" s="7">
        <f>0</f>
        <v>0</v>
      </c>
      <c r="AU952" s="7">
        <f t="shared" si="1270"/>
        <v>9356.16</v>
      </c>
      <c r="AV952" s="1">
        <f t="shared" si="1271"/>
        <v>1</v>
      </c>
      <c r="AW952" s="1">
        <f t="shared" si="1347"/>
        <v>8</v>
      </c>
      <c r="AX952" s="1">
        <f t="shared" si="1272"/>
        <v>0</v>
      </c>
      <c r="AY952" s="1">
        <f t="shared" si="1341"/>
        <v>6</v>
      </c>
      <c r="AZ952" s="1">
        <f t="shared" si="1273"/>
        <v>5</v>
      </c>
      <c r="BA952" s="1">
        <f>MIN(6,Q952+0)</f>
        <v>3</v>
      </c>
      <c r="BB952" s="1">
        <f t="shared" si="1334"/>
        <v>5</v>
      </c>
      <c r="BC952" s="1">
        <f t="shared" ref="BC952:BC958" si="1348">MIN(3,S952+0)</f>
        <v>2</v>
      </c>
      <c r="BD952" s="1">
        <f t="shared" si="1342"/>
        <v>0</v>
      </c>
      <c r="BE952" s="1">
        <f t="shared" si="1335"/>
        <v>0</v>
      </c>
      <c r="BF952" s="1">
        <f>MIN(4,V952+0)</f>
        <v>1</v>
      </c>
      <c r="BG952" s="1">
        <f t="shared" si="1339"/>
        <v>1</v>
      </c>
      <c r="BH952" s="1">
        <f t="shared" si="1336"/>
        <v>1</v>
      </c>
      <c r="BI952" s="1">
        <f t="shared" si="1340"/>
        <v>1</v>
      </c>
      <c r="BJ952" s="1">
        <f t="shared" si="1346"/>
        <v>1</v>
      </c>
      <c r="BK952" s="1">
        <f t="shared" si="1346"/>
        <v>1</v>
      </c>
      <c r="BL952" s="1">
        <f t="shared" si="1316"/>
        <v>0</v>
      </c>
      <c r="BM952" s="1">
        <f t="shared" si="1314"/>
        <v>0</v>
      </c>
      <c r="BN952" s="1">
        <f t="shared" si="1337"/>
        <v>1</v>
      </c>
      <c r="BO952" s="1">
        <f t="shared" si="1338"/>
        <v>1</v>
      </c>
    </row>
    <row r="953" spans="1:67" ht="30.95" customHeight="1">
      <c r="A953" s="1">
        <f>26</f>
        <v>26</v>
      </c>
      <c r="B953" s="1">
        <f>固定流程!A17</f>
        <v>12</v>
      </c>
      <c r="C953" s="1">
        <f>29</f>
        <v>29</v>
      </c>
      <c r="D953" s="1">
        <f>1</f>
        <v>1</v>
      </c>
      <c r="E953" s="1">
        <f>固定流程!C17</f>
        <v>2</v>
      </c>
      <c r="F953" s="1">
        <f>固定流程!G17</f>
        <v>2</v>
      </c>
      <c r="G953" s="1" t="str">
        <f>固定流程!H17</f>
        <v>37_FOLLOW</v>
      </c>
      <c r="H953" s="1">
        <f>固定流程!F17</f>
        <v>1</v>
      </c>
      <c r="I953" s="1">
        <f>INDEX(配置与结果!$B$15:$B$18,F953)</f>
        <v>2306</v>
      </c>
      <c r="J953" s="1">
        <f>INDEX(配置与结果!$D$15:$D$18,F953)</f>
        <v>0.46</v>
      </c>
      <c r="K953" s="1">
        <f>INDEX(配置与结果!$E$15:$E$18,F953)</f>
        <v>1.9279999999999999</v>
      </c>
      <c r="L953" s="1">
        <f t="shared" si="1344"/>
        <v>1</v>
      </c>
      <c r="M953" s="1">
        <f t="shared" si="1344"/>
        <v>8</v>
      </c>
      <c r="N953" s="1">
        <f t="shared" si="1344"/>
        <v>0</v>
      </c>
      <c r="O953" s="1">
        <f t="shared" si="1343"/>
        <v>6</v>
      </c>
      <c r="P953" s="1">
        <f>MIN(方案参数!$AI$29,AZ952+0+0)</f>
        <v>5</v>
      </c>
      <c r="Q953" s="1">
        <f t="shared" si="1321"/>
        <v>3</v>
      </c>
      <c r="R953" s="1">
        <f t="shared" si="1322"/>
        <v>5</v>
      </c>
      <c r="S953" s="1">
        <f t="shared" si="1323"/>
        <v>2</v>
      </c>
      <c r="T953" s="1">
        <f t="shared" si="1324"/>
        <v>0</v>
      </c>
      <c r="U953" s="1">
        <f t="shared" si="1325"/>
        <v>0</v>
      </c>
      <c r="V953" s="1">
        <f t="shared" si="1326"/>
        <v>1</v>
      </c>
      <c r="W953" s="1">
        <f t="shared" si="1327"/>
        <v>1</v>
      </c>
      <c r="X953" s="1">
        <f t="shared" si="1328"/>
        <v>1</v>
      </c>
      <c r="Y953" s="1">
        <f t="shared" si="1329"/>
        <v>1</v>
      </c>
      <c r="Z953" s="1">
        <f t="shared" si="1330"/>
        <v>1</v>
      </c>
      <c r="AA953" s="1">
        <f t="shared" si="1345"/>
        <v>1</v>
      </c>
      <c r="AB953" s="1">
        <f t="shared" si="1332"/>
        <v>0</v>
      </c>
      <c r="AC953" s="1">
        <f t="shared" si="1333"/>
        <v>0</v>
      </c>
      <c r="AD953" s="1">
        <f>ROUNDDOWN(I953*(1+IF(F953=3,0.05+方案参数!$Y$29+AA953*0.12,IF(F953=4,方案参数!$BZ$29*方案参数!$AS$29,0)))+IF(AND(X953=1,F953&lt;&gt;3),方案参数!$CC$29,0)+AC953*方案参数!$CB$29,0)</f>
        <v>2544</v>
      </c>
      <c r="AE953" s="1">
        <f>IF(OR(F953=1,F953=4),配置与结果!$B$24,配置与结果!$B$25)*MAX(0,1-INDEX(配置与结果!$I$15:$I$18,F953))</f>
        <v>1000</v>
      </c>
      <c r="AF953" s="1">
        <f>方案参数!$BV$29</f>
        <v>3</v>
      </c>
      <c r="AG953" s="1">
        <f>MAX(配置与结果!$B$32,1+INDEX(配置与结果!$F$15:$F$18,F953)+0+Q953*方案参数!$W$29+Y953*(方案参数!$AN$29+MIN(方案参数!$AO$29,P953*0.03))+AB953*方案参数!$BZ$29*0.025-配置与结果!$B$28)</f>
        <v>0.96499999999999997</v>
      </c>
      <c r="AH953" s="1">
        <f>MAX(0,1+INDEX(配置与结果!$G$15:$G$18,F953)+W953*方案参数!$AG$29)</f>
        <v>1.3</v>
      </c>
      <c r="AI953" s="1">
        <f>IF(OR(INDEX(配置与结果!$K$15:$K$18,F953)=1,G953="RHI_BERRY"),1+配置与结果!$B$33+P953*方案参数!$AH$29,1)</f>
        <v>1</v>
      </c>
      <c r="AJ953" s="1">
        <f>MIN(1,MAX(0,J953+方案参数!$AB$29-配置与结果!$B$27))</f>
        <v>0.76</v>
      </c>
      <c r="AK953" s="1">
        <f>MAX(1,K953+IF(F953=2,0.15+方案参数!$CH$29,0)+BN953*方案参数!$X$29+R953*方案参数!$AA$29+0-配置与结果!$B$26+Z953*(方案参数!$AP$29+MIN(方案参数!$AQ$29,P953*0.03)))</f>
        <v>2.278</v>
      </c>
      <c r="AL953" s="7">
        <f>ROUNDDOWN(MAX(AD953*配置与结果!$B$31,AD953-AE953)*AF953*AG953*AH953*AI953,0)</f>
        <v>5810</v>
      </c>
      <c r="AM953" s="7">
        <f>ROUNDDOWN(MAX(AD953*配置与结果!$B$31,AD953-AE953)*AF953*AG953*AH953*AI953*AK953,0)</f>
        <v>13237</v>
      </c>
      <c r="AN953" s="7">
        <f t="shared" si="1266"/>
        <v>11454.52</v>
      </c>
      <c r="AO953" s="7">
        <f>方案参数!$BW$29</f>
        <v>1</v>
      </c>
      <c r="AP953" s="7">
        <f>MAX(0,1+INDEX(配置与结果!$J$15:$J$18,F953)+IF(T953&gt;0,方案参数!$BY$29,0)-配置与结果!$B$30)</f>
        <v>1</v>
      </c>
      <c r="AQ953" s="7">
        <f t="shared" si="1267"/>
        <v>2544</v>
      </c>
      <c r="AR953" s="7">
        <f t="shared" si="1268"/>
        <v>5795</v>
      </c>
      <c r="AS953" s="7">
        <f t="shared" si="1269"/>
        <v>5014.76</v>
      </c>
      <c r="AT953" s="7">
        <f>0</f>
        <v>0</v>
      </c>
      <c r="AU953" s="7">
        <f t="shared" si="1270"/>
        <v>16469.28</v>
      </c>
      <c r="AV953" s="1">
        <f t="shared" si="1271"/>
        <v>1</v>
      </c>
      <c r="AW953" s="1">
        <f t="shared" si="1347"/>
        <v>8</v>
      </c>
      <c r="AX953" s="1">
        <f t="shared" si="1272"/>
        <v>0</v>
      </c>
      <c r="AY953" s="1">
        <f t="shared" si="1341"/>
        <v>6</v>
      </c>
      <c r="AZ953" s="1">
        <f t="shared" si="1273"/>
        <v>5</v>
      </c>
      <c r="BA953" s="1">
        <f>MIN(6,Q953+0)</f>
        <v>3</v>
      </c>
      <c r="BB953" s="1">
        <f t="shared" si="1334"/>
        <v>5</v>
      </c>
      <c r="BC953" s="1">
        <f t="shared" si="1348"/>
        <v>2</v>
      </c>
      <c r="BD953" s="1">
        <f t="shared" si="1342"/>
        <v>0</v>
      </c>
      <c r="BE953" s="1">
        <f t="shared" si="1335"/>
        <v>0</v>
      </c>
      <c r="BF953" s="1">
        <f>MIN(4,V953+1)</f>
        <v>2</v>
      </c>
      <c r="BG953" s="1">
        <f t="shared" si="1339"/>
        <v>1</v>
      </c>
      <c r="BH953" s="1">
        <f t="shared" si="1336"/>
        <v>1</v>
      </c>
      <c r="BI953" s="1">
        <f t="shared" si="1340"/>
        <v>1</v>
      </c>
      <c r="BJ953" s="1">
        <f t="shared" si="1346"/>
        <v>1</v>
      </c>
      <c r="BK953" s="1">
        <f t="shared" si="1346"/>
        <v>1</v>
      </c>
      <c r="BL953" s="1">
        <f t="shared" si="1316"/>
        <v>0</v>
      </c>
      <c r="BM953" s="1">
        <f t="shared" si="1314"/>
        <v>0</v>
      </c>
      <c r="BN953" s="1">
        <f t="shared" si="1337"/>
        <v>1</v>
      </c>
      <c r="BO953" s="1">
        <f t="shared" si="1338"/>
        <v>1</v>
      </c>
    </row>
    <row r="954" spans="1:67" ht="30.95" customHeight="1">
      <c r="A954" s="1">
        <f>26</f>
        <v>26</v>
      </c>
      <c r="B954" s="1">
        <f>固定流程!A18</f>
        <v>13</v>
      </c>
      <c r="C954" s="1">
        <f>29</f>
        <v>29</v>
      </c>
      <c r="D954" s="1">
        <f>1</f>
        <v>1</v>
      </c>
      <c r="E954" s="1">
        <f>固定流程!C18</f>
        <v>2</v>
      </c>
      <c r="F954" s="1">
        <f>固定流程!G18</f>
        <v>3</v>
      </c>
      <c r="G954" s="1" t="str">
        <f>固定流程!H18</f>
        <v>RHI_BERRY</v>
      </c>
      <c r="H954" s="1">
        <f>固定流程!F18</f>
        <v>1</v>
      </c>
      <c r="I954" s="1">
        <f>INDEX(配置与结果!$B$15:$B$18,F954)</f>
        <v>2597</v>
      </c>
      <c r="J954" s="1">
        <f>INDEX(配置与结果!$D$15:$D$18,F954)</f>
        <v>0.255</v>
      </c>
      <c r="K954" s="1">
        <f>INDEX(配置与结果!$E$15:$E$18,F954)</f>
        <v>1.55</v>
      </c>
      <c r="L954" s="1">
        <f t="shared" si="1344"/>
        <v>1</v>
      </c>
      <c r="M954" s="1">
        <f t="shared" si="1344"/>
        <v>8</v>
      </c>
      <c r="N954" s="1">
        <f t="shared" si="1344"/>
        <v>0</v>
      </c>
      <c r="O954" s="1">
        <f t="shared" si="1343"/>
        <v>6</v>
      </c>
      <c r="P954" s="1">
        <f>MIN(方案参数!$AI$29,AZ953+0+0)</f>
        <v>5</v>
      </c>
      <c r="Q954" s="1">
        <f t="shared" si="1321"/>
        <v>3</v>
      </c>
      <c r="R954" s="1">
        <f t="shared" si="1322"/>
        <v>5</v>
      </c>
      <c r="S954" s="1">
        <f t="shared" si="1323"/>
        <v>2</v>
      </c>
      <c r="T954" s="1">
        <f t="shared" si="1324"/>
        <v>0</v>
      </c>
      <c r="U954" s="1">
        <f t="shared" si="1325"/>
        <v>0</v>
      </c>
      <c r="V954" s="1">
        <f t="shared" si="1326"/>
        <v>2</v>
      </c>
      <c r="W954" s="1">
        <f t="shared" si="1327"/>
        <v>1</v>
      </c>
      <c r="X954" s="1">
        <f t="shared" si="1328"/>
        <v>1</v>
      </c>
      <c r="Y954" s="1">
        <f t="shared" si="1329"/>
        <v>1</v>
      </c>
      <c r="Z954" s="1">
        <f t="shared" si="1330"/>
        <v>1</v>
      </c>
      <c r="AA954" s="1">
        <f t="shared" si="1345"/>
        <v>1</v>
      </c>
      <c r="AB954" s="1">
        <f t="shared" si="1332"/>
        <v>0</v>
      </c>
      <c r="AC954" s="1">
        <f t="shared" si="1333"/>
        <v>0</v>
      </c>
      <c r="AD954" s="1">
        <f>ROUNDDOWN(I954*(1+IF(F954=3,0.05+方案参数!$Y$29+AA954*0.12,IF(F954=4,方案参数!$BZ$29*方案参数!$AS$29,0)))+IF(AND(X954=1,F954&lt;&gt;3),方案参数!$CC$29,0)+AC954*方案参数!$CB$29,0)</f>
        <v>3298</v>
      </c>
      <c r="AE954" s="1">
        <f>IF(OR(F954=1,F954=4),配置与结果!$B$24,配置与结果!$B$25)*MAX(0,1-INDEX(配置与结果!$I$15:$I$18,F954))</f>
        <v>1000</v>
      </c>
      <c r="AF954" s="1">
        <f>方案参数!$CF$29+P954*方案参数!$CG$29</f>
        <v>22.5</v>
      </c>
      <c r="AG954" s="1">
        <f>MAX(配置与结果!$B$32,1+INDEX(配置与结果!$F$15:$F$18,F954)+0+Q954*方案参数!$W$29+Y954*(方案参数!$AN$29+MIN(方案参数!$AO$29,P954*0.03))+AB954*方案参数!$BZ$29*0.025-配置与结果!$B$28)</f>
        <v>0.995</v>
      </c>
      <c r="AH954" s="1">
        <f>MAX(0,1+INDEX(配置与结果!$G$15:$G$18,F954)+W954*方案参数!$AG$29)</f>
        <v>1.3</v>
      </c>
      <c r="AI954" s="1">
        <f>IF(OR(INDEX(配置与结果!$K$15:$K$18,F954)=1,G954="RHI_BERRY"),1+配置与结果!$B$33+P954*方案参数!$AH$29,1)</f>
        <v>1.5</v>
      </c>
      <c r="AJ954" s="1">
        <f>MIN(1,MAX(0,J954+方案参数!$AB$29-配置与结果!$B$27))</f>
        <v>0.55499999999999994</v>
      </c>
      <c r="AK954" s="1">
        <f>MAX(1,K954+IF(F954=2,0.15+方案参数!$CH$29,0)+BN954*方案参数!$X$29+R954*方案参数!$AA$29+0-配置与结果!$B$26+Z954*(方案参数!$AP$29+MIN(方案参数!$AQ$29,P954*0.03)))</f>
        <v>1.6300000000000001</v>
      </c>
      <c r="AL954" s="7">
        <f>ROUNDDOWN(MAX(AD954*配置与结果!$B$31,AD954-AE954)*AF954*AG954*AH954*AI954,0)</f>
        <v>100320</v>
      </c>
      <c r="AM954" s="7">
        <f>ROUNDDOWN(MAX(AD954*配置与结果!$B$31,AD954-AE954)*AF954*AG954*AH954*AI954*AK954,0)</f>
        <v>163522</v>
      </c>
      <c r="AN954" s="7">
        <f t="shared" si="1266"/>
        <v>135397.10999999999</v>
      </c>
      <c r="AO954" s="7">
        <f>0</f>
        <v>0</v>
      </c>
      <c r="AP954" s="7">
        <f>MAX(0,1+INDEX(配置与结果!$J$15:$J$18,F954)+IF(T954&gt;0,方案参数!$BY$29,0)-配置与结果!$B$30)</f>
        <v>1</v>
      </c>
      <c r="AQ954" s="7">
        <f t="shared" si="1267"/>
        <v>0</v>
      </c>
      <c r="AR954" s="7">
        <f t="shared" si="1268"/>
        <v>0</v>
      </c>
      <c r="AS954" s="7">
        <f t="shared" si="1269"/>
        <v>0</v>
      </c>
      <c r="AT954" s="7">
        <f>0</f>
        <v>0</v>
      </c>
      <c r="AU954" s="7">
        <f t="shared" si="1270"/>
        <v>135397.10999999999</v>
      </c>
      <c r="AV954" s="1">
        <f t="shared" si="1271"/>
        <v>1</v>
      </c>
      <c r="AW954" s="1">
        <f t="shared" si="1347"/>
        <v>8</v>
      </c>
      <c r="AX954" s="1">
        <f t="shared" si="1272"/>
        <v>0</v>
      </c>
      <c r="AY954" s="1">
        <f t="shared" si="1341"/>
        <v>6</v>
      </c>
      <c r="AZ954" s="1">
        <f t="shared" si="1273"/>
        <v>5</v>
      </c>
      <c r="BA954" s="1">
        <f>MIN(6,Q954+0)</f>
        <v>3</v>
      </c>
      <c r="BB954" s="1">
        <f t="shared" si="1334"/>
        <v>5</v>
      </c>
      <c r="BC954" s="1">
        <f t="shared" si="1348"/>
        <v>2</v>
      </c>
      <c r="BD954" s="1">
        <f t="shared" si="1342"/>
        <v>0</v>
      </c>
      <c r="BE954" s="1">
        <f t="shared" si="1335"/>
        <v>0</v>
      </c>
      <c r="BF954" s="1">
        <f>MIN(4,V954+0)</f>
        <v>2</v>
      </c>
      <c r="BG954" s="1">
        <f t="shared" si="1339"/>
        <v>1</v>
      </c>
      <c r="BH954" s="1">
        <f t="shared" si="1336"/>
        <v>1</v>
      </c>
      <c r="BI954" s="1">
        <f t="shared" si="1340"/>
        <v>1</v>
      </c>
      <c r="BJ954" s="1">
        <f t="shared" si="1346"/>
        <v>1</v>
      </c>
      <c r="BK954" s="1">
        <f t="shared" si="1346"/>
        <v>1</v>
      </c>
      <c r="BL954" s="1">
        <f t="shared" si="1316"/>
        <v>0</v>
      </c>
      <c r="BM954" s="1">
        <f t="shared" si="1314"/>
        <v>0</v>
      </c>
      <c r="BN954" s="1">
        <f t="shared" si="1337"/>
        <v>1</v>
      </c>
      <c r="BO954" s="1">
        <f t="shared" si="1338"/>
        <v>1</v>
      </c>
    </row>
    <row r="955" spans="1:67" ht="30.95" customHeight="1">
      <c r="A955" s="1">
        <f>26</f>
        <v>26</v>
      </c>
      <c r="B955" s="1">
        <f>固定流程!A19</f>
        <v>14</v>
      </c>
      <c r="C955" s="1">
        <f>29</f>
        <v>29</v>
      </c>
      <c r="D955" s="1">
        <f>1</f>
        <v>1</v>
      </c>
      <c r="E955" s="1">
        <f>固定流程!C19</f>
        <v>3</v>
      </c>
      <c r="F955" s="1">
        <f>固定流程!G19</f>
        <v>3</v>
      </c>
      <c r="G955" s="1" t="str">
        <f>固定流程!H19</f>
        <v>RHI_BUFF</v>
      </c>
      <c r="H955" s="1">
        <f>固定流程!F19</f>
        <v>1</v>
      </c>
      <c r="I955" s="1">
        <f>INDEX(配置与结果!$B$15:$B$18,F955)</f>
        <v>2597</v>
      </c>
      <c r="J955" s="1">
        <f>INDEX(配置与结果!$D$15:$D$18,F955)</f>
        <v>0.255</v>
      </c>
      <c r="K955" s="1">
        <f>INDEX(配置与结果!$E$15:$E$18,F955)</f>
        <v>1.55</v>
      </c>
      <c r="L955" s="1">
        <f>IF(AV954=1,IF(M955&gt;=10,2,1),IF(AV954=2,IF(AX954&lt;=1,0,2),0))</f>
        <v>2</v>
      </c>
      <c r="M955" s="1">
        <f>IF(AND(AV954=2,AX954&lt;=1),0,MIN(10,AW954+IF(AV954=1,3,0)))</f>
        <v>10</v>
      </c>
      <c r="N955" s="1">
        <f>IF(AND(AV954=1,M955&gt;=10),2,IF(AV954=2,MAX(0,AX954-1),0))</f>
        <v>2</v>
      </c>
      <c r="O955" s="1">
        <f t="shared" si="1343"/>
        <v>6</v>
      </c>
      <c r="P955" s="1">
        <f>MIN(方案参数!$AI$29,AZ954+方案参数!$AJ$29+方案参数!$AK$29)</f>
        <v>5</v>
      </c>
      <c r="Q955" s="1">
        <f t="shared" si="1321"/>
        <v>3</v>
      </c>
      <c r="R955" s="1">
        <f t="shared" si="1322"/>
        <v>5</v>
      </c>
      <c r="S955" s="1">
        <f t="shared" si="1323"/>
        <v>2</v>
      </c>
      <c r="T955" s="1">
        <f t="shared" si="1324"/>
        <v>0</v>
      </c>
      <c r="U955" s="1">
        <f t="shared" si="1325"/>
        <v>0</v>
      </c>
      <c r="V955" s="1">
        <f t="shared" si="1326"/>
        <v>2</v>
      </c>
      <c r="W955" s="1">
        <f t="shared" si="1327"/>
        <v>1</v>
      </c>
      <c r="X955" s="1">
        <f t="shared" si="1328"/>
        <v>1</v>
      </c>
      <c r="Y955" s="1">
        <f t="shared" si="1329"/>
        <v>1</v>
      </c>
      <c r="Z955" s="1">
        <f t="shared" si="1330"/>
        <v>1</v>
      </c>
      <c r="AA955" s="1">
        <f t="shared" si="1345"/>
        <v>1</v>
      </c>
      <c r="AB955" s="1">
        <f t="shared" si="1332"/>
        <v>0</v>
      </c>
      <c r="AC955" s="1">
        <f t="shared" si="1333"/>
        <v>0</v>
      </c>
      <c r="AD955" s="1">
        <f>ROUNDDOWN(I955*(1+IF(F955=3,0.05+方案参数!$Y$29+AA955*0.12,IF(F955=4,方案参数!$BZ$29*方案参数!$AS$29,0)))+IF(AND(X955=1,F955&lt;&gt;3),方案参数!$CC$29,0)+AC955*方案参数!$CB$29,0)</f>
        <v>3298</v>
      </c>
      <c r="AE955" s="1">
        <f>IF(OR(F955=1,F955=4),配置与结果!$B$24,配置与结果!$B$25)*MAX(0,1-INDEX(配置与结果!$I$15:$I$18,F955))</f>
        <v>1000</v>
      </c>
      <c r="AF955" s="1">
        <f>0</f>
        <v>0</v>
      </c>
      <c r="AG955" s="1">
        <f>MAX(配置与结果!$B$32,1+INDEX(配置与结果!$F$15:$F$18,F955)+0+Q955*方案参数!$W$29+Y955*(方案参数!$AN$29+MIN(方案参数!$AO$29,P955*0.03))+AB955*方案参数!$BZ$29*0.025-配置与结果!$B$28)</f>
        <v>0.995</v>
      </c>
      <c r="AH955" s="1">
        <f>MAX(0,1+INDEX(配置与结果!$G$15:$G$18,F955)+W955*方案参数!$AG$29)</f>
        <v>1.3</v>
      </c>
      <c r="AI955" s="1">
        <f>IF(OR(INDEX(配置与结果!$K$15:$K$18,F955)=1,G955="RHI_BERRY"),1+配置与结果!$B$33+P955*方案参数!$AH$29,1)</f>
        <v>1</v>
      </c>
      <c r="AJ955" s="1">
        <f>MIN(1,MAX(0,J955+方案参数!$AB$29-配置与结果!$B$27))</f>
        <v>0.55499999999999994</v>
      </c>
      <c r="AK955" s="1">
        <f>MAX(1,K955+IF(F955=2,0.15+方案参数!$CH$29,0)+BN955*方案参数!$X$29+R955*方案参数!$AA$29+0-配置与结果!$B$26+Z955*(方案参数!$AP$29+MIN(方案参数!$AQ$29,P955*0.03)))</f>
        <v>1.6300000000000001</v>
      </c>
      <c r="AL955" s="7">
        <f>ROUNDDOWN(MAX(AD955*配置与结果!$B$31,AD955-AE955)*AF955*AG955*AH955*AI955,0)</f>
        <v>0</v>
      </c>
      <c r="AM955" s="7">
        <f>ROUNDDOWN(MAX(AD955*配置与结果!$B$31,AD955-AE955)*AF955*AG955*AH955*AI955*AK955,0)</f>
        <v>0</v>
      </c>
      <c r="AN955" s="7">
        <f t="shared" si="1266"/>
        <v>0</v>
      </c>
      <c r="AO955" s="7">
        <f>0</f>
        <v>0</v>
      </c>
      <c r="AP955" s="7">
        <f>MAX(0,1+INDEX(配置与结果!$J$15:$J$18,F955)+IF(T955&gt;0,方案参数!$BY$29,0)-配置与结果!$B$30)</f>
        <v>1</v>
      </c>
      <c r="AQ955" s="7">
        <f t="shared" si="1267"/>
        <v>0</v>
      </c>
      <c r="AR955" s="7">
        <f t="shared" si="1268"/>
        <v>0</v>
      </c>
      <c r="AS955" s="7">
        <f t="shared" si="1269"/>
        <v>0</v>
      </c>
      <c r="AT955" s="7">
        <f>0</f>
        <v>0</v>
      </c>
      <c r="AU955" s="7">
        <f t="shared" si="1270"/>
        <v>0</v>
      </c>
      <c r="AV955" s="1">
        <f t="shared" si="1271"/>
        <v>2</v>
      </c>
      <c r="AW955" s="1">
        <f t="shared" si="1347"/>
        <v>10</v>
      </c>
      <c r="AX955" s="1">
        <f t="shared" si="1272"/>
        <v>2</v>
      </c>
      <c r="AY955" s="1">
        <f t="shared" si="1341"/>
        <v>6</v>
      </c>
      <c r="AZ955" s="1">
        <f t="shared" si="1273"/>
        <v>5</v>
      </c>
      <c r="BA955" s="1">
        <f>MIN(6,Q955+1)</f>
        <v>4</v>
      </c>
      <c r="BB955" s="1">
        <f t="shared" si="1334"/>
        <v>5</v>
      </c>
      <c r="BC955" s="1">
        <f t="shared" si="1348"/>
        <v>2</v>
      </c>
      <c r="BD955" s="1">
        <f t="shared" si="1342"/>
        <v>0</v>
      </c>
      <c r="BE955" s="1">
        <f t="shared" si="1335"/>
        <v>0</v>
      </c>
      <c r="BF955" s="1">
        <f>MIN(4,V955+0)</f>
        <v>2</v>
      </c>
      <c r="BG955" s="1">
        <f>MAX(W955,1)</f>
        <v>1</v>
      </c>
      <c r="BH955" s="1">
        <f t="shared" si="1336"/>
        <v>1</v>
      </c>
      <c r="BI955" s="1">
        <f>MAX(Y955,1)</f>
        <v>1</v>
      </c>
      <c r="BJ955" s="1">
        <f t="shared" si="1346"/>
        <v>1</v>
      </c>
      <c r="BK955" s="1">
        <f t="shared" si="1346"/>
        <v>1</v>
      </c>
      <c r="BL955" s="1">
        <f t="shared" si="1316"/>
        <v>0</v>
      </c>
      <c r="BM955" s="1">
        <f t="shared" si="1314"/>
        <v>0</v>
      </c>
      <c r="BN955" s="1">
        <f t="shared" si="1337"/>
        <v>1</v>
      </c>
      <c r="BO955" s="1">
        <f t="shared" si="1338"/>
        <v>1</v>
      </c>
    </row>
    <row r="956" spans="1:67" ht="30.95" customHeight="1">
      <c r="A956" s="1">
        <f>26</f>
        <v>26</v>
      </c>
      <c r="B956" s="1">
        <f>固定流程!A20</f>
        <v>15</v>
      </c>
      <c r="C956" s="1">
        <f>29</f>
        <v>29</v>
      </c>
      <c r="D956" s="1">
        <f>1</f>
        <v>1</v>
      </c>
      <c r="E956" s="1">
        <f>固定流程!C20</f>
        <v>3</v>
      </c>
      <c r="F956" s="1">
        <f>固定流程!G20</f>
        <v>3</v>
      </c>
      <c r="G956" s="1" t="str">
        <f>固定流程!H20</f>
        <v>RHI_ATTACK</v>
      </c>
      <c r="H956" s="1">
        <f>固定流程!F20</f>
        <v>1</v>
      </c>
      <c r="I956" s="1">
        <f>INDEX(配置与结果!$B$15:$B$18,F956)</f>
        <v>2597</v>
      </c>
      <c r="J956" s="1">
        <f>INDEX(配置与结果!$D$15:$D$18,F956)</f>
        <v>0.255</v>
      </c>
      <c r="K956" s="1">
        <f>INDEX(配置与结果!$E$15:$E$18,F956)</f>
        <v>1.55</v>
      </c>
      <c r="L956" s="1">
        <f t="shared" ref="L956:L977" si="1349">AV955</f>
        <v>2</v>
      </c>
      <c r="M956" s="1">
        <f t="shared" ref="M956:M977" si="1350">AW955</f>
        <v>10</v>
      </c>
      <c r="N956" s="1">
        <f t="shared" ref="N956:N977" si="1351">AX955</f>
        <v>2</v>
      </c>
      <c r="O956" s="1">
        <f t="shared" si="1343"/>
        <v>6</v>
      </c>
      <c r="P956" s="1">
        <f>MIN(方案参数!$AI$29,AZ955+0+方案参数!$AK$29)</f>
        <v>5</v>
      </c>
      <c r="Q956" s="1">
        <f t="shared" si="1321"/>
        <v>4</v>
      </c>
      <c r="R956" s="1">
        <f t="shared" si="1322"/>
        <v>5</v>
      </c>
      <c r="S956" s="1">
        <f t="shared" si="1323"/>
        <v>2</v>
      </c>
      <c r="T956" s="1">
        <f t="shared" si="1324"/>
        <v>0</v>
      </c>
      <c r="U956" s="1">
        <f t="shared" si="1325"/>
        <v>0</v>
      </c>
      <c r="V956" s="1">
        <f t="shared" si="1326"/>
        <v>2</v>
      </c>
      <c r="W956" s="1">
        <f t="shared" si="1327"/>
        <v>1</v>
      </c>
      <c r="X956" s="1">
        <f t="shared" si="1328"/>
        <v>1</v>
      </c>
      <c r="Y956" s="1">
        <f t="shared" si="1329"/>
        <v>1</v>
      </c>
      <c r="Z956" s="1">
        <f t="shared" si="1330"/>
        <v>1</v>
      </c>
      <c r="AA956" s="1">
        <f>MAX(BK955,1)</f>
        <v>1</v>
      </c>
      <c r="AB956" s="1">
        <f t="shared" si="1332"/>
        <v>0</v>
      </c>
      <c r="AC956" s="1">
        <f t="shared" si="1333"/>
        <v>0</v>
      </c>
      <c r="AD956" s="1">
        <f>ROUNDDOWN(I956*(1+IF(F956=3,0.05+方案参数!$Y$29+AA956*0.12,IF(F956=4,方案参数!$BZ$29*方案参数!$AS$29,0)))+IF(AND(X956=1,F956&lt;&gt;3),方案参数!$CC$29,0)+AC956*方案参数!$CB$29,0)</f>
        <v>3298</v>
      </c>
      <c r="AE956" s="1">
        <f>IF(OR(F956=1,F956=4),配置与结果!$B$24,配置与结果!$B$25)*MAX(0,1-INDEX(配置与结果!$I$15:$I$18,F956))</f>
        <v>1000</v>
      </c>
      <c r="AF956" s="1">
        <f>4</f>
        <v>4</v>
      </c>
      <c r="AG956" s="1">
        <f>MAX(配置与结果!$B$32,1+INDEX(配置与结果!$F$15:$F$18,F956)+0+Q956*方案参数!$W$29+Y956*(方案参数!$AN$29+MIN(方案参数!$AO$29,P956*0.03))+AB956*方案参数!$BZ$29*0.025-配置与结果!$B$28)</f>
        <v>1.0150000000000001</v>
      </c>
      <c r="AH956" s="1">
        <f>MAX(0,1+INDEX(配置与结果!$G$15:$G$18,F956)+W956*方案参数!$AG$29)</f>
        <v>1.3</v>
      </c>
      <c r="AI956" s="1">
        <f>IF(OR(INDEX(配置与结果!$K$15:$K$18,F956)=1,G956="RHI_BERRY"),1+配置与结果!$B$33+P956*方案参数!$AH$29,1)</f>
        <v>1</v>
      </c>
      <c r="AJ956" s="1">
        <f>MIN(1,MAX(0,J956+方案参数!$AB$29-配置与结果!$B$27))</f>
        <v>0.55499999999999994</v>
      </c>
      <c r="AK956" s="1">
        <f>MAX(1,K956+IF(F956=2,0.15+方案参数!$CH$29,0)+BN956*方案参数!$X$29+R956*方案参数!$AA$29+0-配置与结果!$B$26+Z956*(方案参数!$AP$29+MIN(方案参数!$AQ$29,P956*0.03)))</f>
        <v>1.6300000000000001</v>
      </c>
      <c r="AL956" s="7">
        <f>ROUNDDOWN(MAX(AD956*配置与结果!$B$31,AD956-AE956)*AF956*AG956*AH956*AI956,0)</f>
        <v>12128</v>
      </c>
      <c r="AM956" s="7">
        <f>ROUNDDOWN(MAX(AD956*配置与结果!$B$31,AD956-AE956)*AF956*AG956*AH956*AI956*AK956,0)</f>
        <v>19770</v>
      </c>
      <c r="AN956" s="7">
        <f t="shared" si="1266"/>
        <v>16369.31</v>
      </c>
      <c r="AO956" s="7">
        <f>0</f>
        <v>0</v>
      </c>
      <c r="AP956" s="7">
        <f>MAX(0,1+INDEX(配置与结果!$J$15:$J$18,F956)+IF(T956&gt;0,方案参数!$BY$29,0)-配置与结果!$B$30)</f>
        <v>1</v>
      </c>
      <c r="AQ956" s="7">
        <f t="shared" si="1267"/>
        <v>0</v>
      </c>
      <c r="AR956" s="7">
        <f t="shared" si="1268"/>
        <v>0</v>
      </c>
      <c r="AS956" s="7">
        <f t="shared" si="1269"/>
        <v>0</v>
      </c>
      <c r="AT956" s="7">
        <f>0</f>
        <v>0</v>
      </c>
      <c r="AU956" s="7">
        <f t="shared" si="1270"/>
        <v>16369.31</v>
      </c>
      <c r="AV956" s="1">
        <f t="shared" si="1271"/>
        <v>2</v>
      </c>
      <c r="AW956" s="1">
        <f t="shared" si="1347"/>
        <v>10</v>
      </c>
      <c r="AX956" s="1">
        <f t="shared" si="1272"/>
        <v>2</v>
      </c>
      <c r="AY956" s="1">
        <f t="shared" si="1341"/>
        <v>6</v>
      </c>
      <c r="AZ956" s="1">
        <f t="shared" si="1273"/>
        <v>5</v>
      </c>
      <c r="BA956" s="1">
        <f>MIN(6,Q956+1)</f>
        <v>5</v>
      </c>
      <c r="BB956" s="1">
        <f t="shared" si="1334"/>
        <v>5</v>
      </c>
      <c r="BC956" s="1">
        <f t="shared" si="1348"/>
        <v>2</v>
      </c>
      <c r="BD956" s="1">
        <f t="shared" si="1342"/>
        <v>0</v>
      </c>
      <c r="BE956" s="1">
        <f t="shared" si="1335"/>
        <v>0</v>
      </c>
      <c r="BF956" s="1">
        <f>MIN(4,V956+0)</f>
        <v>2</v>
      </c>
      <c r="BG956" s="1">
        <f t="shared" ref="BG956:BG978" si="1352">MAX(W956,0)</f>
        <v>1</v>
      </c>
      <c r="BH956" s="1">
        <f t="shared" si="1336"/>
        <v>1</v>
      </c>
      <c r="BI956" s="1">
        <f t="shared" ref="BI956:BI978" si="1353">MAX(Y956,0)</f>
        <v>1</v>
      </c>
      <c r="BJ956" s="1">
        <f>MAX(Z956,1)</f>
        <v>1</v>
      </c>
      <c r="BK956" s="1">
        <f>MAX(AA956,1)</f>
        <v>1</v>
      </c>
      <c r="BL956" s="1">
        <f t="shared" si="1316"/>
        <v>0</v>
      </c>
      <c r="BM956" s="1">
        <f t="shared" si="1314"/>
        <v>0</v>
      </c>
      <c r="BN956" s="1">
        <f t="shared" si="1337"/>
        <v>1</v>
      </c>
      <c r="BO956" s="1">
        <f t="shared" si="1338"/>
        <v>1</v>
      </c>
    </row>
    <row r="957" spans="1:67" ht="30.95" customHeight="1">
      <c r="A957" s="1">
        <f>26</f>
        <v>26</v>
      </c>
      <c r="B957" s="1">
        <f>固定流程!A21</f>
        <v>16</v>
      </c>
      <c r="C957" s="1">
        <f>29</f>
        <v>29</v>
      </c>
      <c r="D957" s="1">
        <f>1</f>
        <v>1</v>
      </c>
      <c r="E957" s="1">
        <f>固定流程!C21</f>
        <v>3</v>
      </c>
      <c r="F957" s="1">
        <f>固定流程!G21</f>
        <v>2</v>
      </c>
      <c r="G957" s="1" t="str">
        <f>固定流程!H21</f>
        <v>37_ULT</v>
      </c>
      <c r="H957" s="1">
        <f>固定流程!F21</f>
        <v>1</v>
      </c>
      <c r="I957" s="1">
        <f>INDEX(配置与结果!$B$15:$B$18,F957)</f>
        <v>2306</v>
      </c>
      <c r="J957" s="1">
        <f>INDEX(配置与结果!$D$15:$D$18,F957)</f>
        <v>0.46</v>
      </c>
      <c r="K957" s="1">
        <f>INDEX(配置与结果!$E$15:$E$18,F957)</f>
        <v>1.9279999999999999</v>
      </c>
      <c r="L957" s="1">
        <f t="shared" si="1349"/>
        <v>2</v>
      </c>
      <c r="M957" s="1">
        <f t="shared" si="1350"/>
        <v>10</v>
      </c>
      <c r="N957" s="1">
        <f t="shared" si="1351"/>
        <v>2</v>
      </c>
      <c r="O957" s="1">
        <f t="shared" si="1343"/>
        <v>6</v>
      </c>
      <c r="P957" s="1">
        <f>MIN(方案参数!$AI$29,AZ956+0+0)</f>
        <v>5</v>
      </c>
      <c r="Q957" s="1">
        <f t="shared" si="1321"/>
        <v>5</v>
      </c>
      <c r="R957" s="1">
        <f t="shared" si="1322"/>
        <v>5</v>
      </c>
      <c r="S957" s="1">
        <f t="shared" si="1323"/>
        <v>2</v>
      </c>
      <c r="T957" s="1">
        <f>BD956+方案参数!$BX$29</f>
        <v>2</v>
      </c>
      <c r="U957" s="1">
        <f t="shared" si="1325"/>
        <v>0</v>
      </c>
      <c r="V957" s="1">
        <f t="shared" si="1326"/>
        <v>2</v>
      </c>
      <c r="W957" s="1">
        <f t="shared" si="1327"/>
        <v>1</v>
      </c>
      <c r="X957" s="1">
        <f t="shared" si="1328"/>
        <v>1</v>
      </c>
      <c r="Y957" s="1">
        <f t="shared" si="1329"/>
        <v>1</v>
      </c>
      <c r="Z957" s="1">
        <f t="shared" si="1330"/>
        <v>1</v>
      </c>
      <c r="AA957" s="1">
        <f t="shared" ref="AA957:AA977" si="1354">MAX(BK956,0)</f>
        <v>1</v>
      </c>
      <c r="AB957" s="1">
        <f t="shared" si="1332"/>
        <v>0</v>
      </c>
      <c r="AC957" s="1">
        <f>MAX(BM956,1)</f>
        <v>1</v>
      </c>
      <c r="AD957" s="1">
        <f>ROUNDDOWN(I957*(1+IF(F957=3,0.05+方案参数!$Y$29+AA957*0.12,IF(F957=4,方案参数!$BZ$29*方案参数!$AS$29,0)))+IF(AND(X957=1,F957&lt;&gt;3),方案参数!$CC$29,0)+AC957*方案参数!$CB$29,0)</f>
        <v>3044</v>
      </c>
      <c r="AE957" s="1">
        <f>IF(OR(F957=1,F957=4),配置与结果!$B$24,配置与结果!$B$25)*MAX(0,1-INDEX(配置与结果!$I$15:$I$18,F957))</f>
        <v>1000</v>
      </c>
      <c r="AF957" s="1">
        <f>0</f>
        <v>0</v>
      </c>
      <c r="AG957" s="1">
        <f>MAX(配置与结果!$B$32,1+INDEX(配置与结果!$F$15:$F$18,F957)+0+Q957*方案参数!$W$29+Y957*(方案参数!$AN$29+MIN(方案参数!$AO$29,P957*0.03))+AB957*方案参数!$BZ$29*0.025-配置与结果!$B$28)</f>
        <v>1.0049999999999999</v>
      </c>
      <c r="AH957" s="1">
        <f>MAX(0,1+INDEX(配置与结果!$G$15:$G$18,F957)+W957*方案参数!$AG$29)</f>
        <v>1.3</v>
      </c>
      <c r="AI957" s="1">
        <f>IF(OR(INDEX(配置与结果!$K$15:$K$18,F957)=1,G957="RHI_BERRY"),1+配置与结果!$B$33+P957*方案参数!$AH$29,1)</f>
        <v>1</v>
      </c>
      <c r="AJ957" s="1">
        <f>MIN(1,MAX(0,J957+方案参数!$AB$29-配置与结果!$B$27))</f>
        <v>0.76</v>
      </c>
      <c r="AK957" s="1">
        <f>MAX(1,K957+IF(F957=2,0.15+方案参数!$CH$29,0)+BN957*方案参数!$X$29+R957*方案参数!$AA$29+0-配置与结果!$B$26+Z957*(方案参数!$AP$29+MIN(方案参数!$AQ$29,P957*0.03)))</f>
        <v>2.278</v>
      </c>
      <c r="AL957" s="7">
        <f>ROUNDDOWN(MAX(AD957*配置与结果!$B$31,AD957-AE957)*AF957*AG957*AH957*AI957,0)</f>
        <v>0</v>
      </c>
      <c r="AM957" s="7">
        <f>ROUNDDOWN(MAX(AD957*配置与结果!$B$31,AD957-AE957)*AF957*AG957*AH957*AI957*AK957,0)</f>
        <v>0</v>
      </c>
      <c r="AN957" s="7">
        <f t="shared" si="1266"/>
        <v>0</v>
      </c>
      <c r="AO957" s="7">
        <f>0</f>
        <v>0</v>
      </c>
      <c r="AP957" s="7">
        <f>MAX(0,1+INDEX(配置与结果!$J$15:$J$18,F957)+IF(T957&gt;0,方案参数!$BY$29,0)-配置与结果!$B$30)</f>
        <v>2</v>
      </c>
      <c r="AQ957" s="7">
        <f t="shared" si="1267"/>
        <v>0</v>
      </c>
      <c r="AR957" s="7">
        <f t="shared" si="1268"/>
        <v>0</v>
      </c>
      <c r="AS957" s="7">
        <f t="shared" si="1269"/>
        <v>0</v>
      </c>
      <c r="AT957" s="7">
        <f>0</f>
        <v>0</v>
      </c>
      <c r="AU957" s="7">
        <f t="shared" si="1270"/>
        <v>0</v>
      </c>
      <c r="AV957" s="1">
        <f t="shared" si="1271"/>
        <v>2</v>
      </c>
      <c r="AW957" s="1">
        <f t="shared" si="1347"/>
        <v>10</v>
      </c>
      <c r="AX957" s="1">
        <f t="shared" si="1272"/>
        <v>2</v>
      </c>
      <c r="AY957" s="1">
        <f t="shared" si="1341"/>
        <v>6</v>
      </c>
      <c r="AZ957" s="1">
        <f t="shared" si="1273"/>
        <v>5</v>
      </c>
      <c r="BA957" s="1">
        <f t="shared" ref="BA957:BA977" si="1355">MIN(6,Q957+0)</f>
        <v>5</v>
      </c>
      <c r="BB957" s="1">
        <f>MIN(30,R957+5)</f>
        <v>10</v>
      </c>
      <c r="BC957" s="1">
        <f t="shared" si="1348"/>
        <v>2</v>
      </c>
      <c r="BD957" s="1">
        <f t="shared" si="1342"/>
        <v>2</v>
      </c>
      <c r="BE957" s="1">
        <f t="shared" si="1335"/>
        <v>0</v>
      </c>
      <c r="BF957" s="1">
        <f>MIN(4,V957+0)</f>
        <v>2</v>
      </c>
      <c r="BG957" s="1">
        <f t="shared" si="1352"/>
        <v>1</v>
      </c>
      <c r="BH957" s="1">
        <f t="shared" si="1336"/>
        <v>1</v>
      </c>
      <c r="BI957" s="1">
        <f t="shared" si="1353"/>
        <v>1</v>
      </c>
      <c r="BJ957" s="1">
        <f t="shared" ref="BJ957:BJ984" si="1356">MAX(Z957,0)</f>
        <v>1</v>
      </c>
      <c r="BK957" s="1">
        <f t="shared" ref="BK957:BK984" si="1357">MAX(AA957,0)</f>
        <v>1</v>
      </c>
      <c r="BL957" s="1">
        <f t="shared" si="1316"/>
        <v>0</v>
      </c>
      <c r="BM957" s="1">
        <f>MAX(AC957,1)</f>
        <v>1</v>
      </c>
      <c r="BN957" s="1">
        <f t="shared" si="1337"/>
        <v>1</v>
      </c>
      <c r="BO957" s="1">
        <f t="shared" si="1338"/>
        <v>1</v>
      </c>
    </row>
    <row r="958" spans="1:67" ht="30.95" customHeight="1">
      <c r="A958" s="1">
        <f>26</f>
        <v>26</v>
      </c>
      <c r="B958" s="1">
        <f>固定流程!A22</f>
        <v>17</v>
      </c>
      <c r="C958" s="1">
        <f>29</f>
        <v>29</v>
      </c>
      <c r="D958" s="1">
        <f>1</f>
        <v>1</v>
      </c>
      <c r="E958" s="1">
        <f>固定流程!C22</f>
        <v>3</v>
      </c>
      <c r="F958" s="1">
        <f>固定流程!G22</f>
        <v>2</v>
      </c>
      <c r="G958" s="1" t="str">
        <f>固定流程!H22</f>
        <v>37_FOLLOW</v>
      </c>
      <c r="H958" s="1">
        <f>固定流程!F22</f>
        <v>1</v>
      </c>
      <c r="I958" s="1">
        <f>INDEX(配置与结果!$B$15:$B$18,F958)</f>
        <v>2306</v>
      </c>
      <c r="J958" s="1">
        <f>INDEX(配置与结果!$D$15:$D$18,F958)</f>
        <v>0.46</v>
      </c>
      <c r="K958" s="1">
        <f>INDEX(配置与结果!$E$15:$E$18,F958)</f>
        <v>1.9279999999999999</v>
      </c>
      <c r="L958" s="1">
        <f t="shared" si="1349"/>
        <v>2</v>
      </c>
      <c r="M958" s="1">
        <f t="shared" si="1350"/>
        <v>10</v>
      </c>
      <c r="N958" s="1">
        <f t="shared" si="1351"/>
        <v>2</v>
      </c>
      <c r="O958" s="1">
        <f t="shared" si="1343"/>
        <v>6</v>
      </c>
      <c r="P958" s="1">
        <f>MIN(方案参数!$AI$29,AZ957+0+0)</f>
        <v>5</v>
      </c>
      <c r="Q958" s="1">
        <f t="shared" si="1321"/>
        <v>5</v>
      </c>
      <c r="R958" s="1">
        <f t="shared" si="1322"/>
        <v>10</v>
      </c>
      <c r="S958" s="1">
        <f t="shared" si="1323"/>
        <v>2</v>
      </c>
      <c r="T958" s="1">
        <f t="shared" ref="T958:T977" si="1358">BD957+0</f>
        <v>2</v>
      </c>
      <c r="U958" s="1">
        <f t="shared" si="1325"/>
        <v>0</v>
      </c>
      <c r="V958" s="1">
        <f t="shared" si="1326"/>
        <v>2</v>
      </c>
      <c r="W958" s="1">
        <f t="shared" si="1327"/>
        <v>1</v>
      </c>
      <c r="X958" s="1">
        <f t="shared" si="1328"/>
        <v>1</v>
      </c>
      <c r="Y958" s="1">
        <f t="shared" si="1329"/>
        <v>1</v>
      </c>
      <c r="Z958" s="1">
        <f t="shared" si="1330"/>
        <v>1</v>
      </c>
      <c r="AA958" s="1">
        <f t="shared" si="1354"/>
        <v>1</v>
      </c>
      <c r="AB958" s="1">
        <f t="shared" si="1332"/>
        <v>0</v>
      </c>
      <c r="AC958" s="1">
        <f t="shared" ref="AC958:AC977" si="1359">MAX(BM957,0)</f>
        <v>1</v>
      </c>
      <c r="AD958" s="1">
        <f>ROUNDDOWN(I958*(1+IF(F958=3,0.05+方案参数!$Y$29+AA958*0.12,IF(F958=4,方案参数!$BZ$29*方案参数!$AS$29,0)))+IF(AND(X958=1,F958&lt;&gt;3),方案参数!$CC$29,0)+AC958*方案参数!$CB$29,0)</f>
        <v>3044</v>
      </c>
      <c r="AE958" s="1">
        <f>IF(OR(F958=1,F958=4),配置与结果!$B$24,配置与结果!$B$25)*MAX(0,1-INDEX(配置与结果!$I$15:$I$18,F958))</f>
        <v>1000</v>
      </c>
      <c r="AF958" s="1">
        <f>方案参数!$BV$29</f>
        <v>3</v>
      </c>
      <c r="AG958" s="1">
        <f>MAX(配置与结果!$B$32,1+INDEX(配置与结果!$F$15:$F$18,F958)+0+Q958*方案参数!$W$29+Y958*(方案参数!$AN$29+MIN(方案参数!$AO$29,P958*0.03))+AB958*方案参数!$BZ$29*0.025-配置与结果!$B$28)</f>
        <v>1.0049999999999999</v>
      </c>
      <c r="AH958" s="1">
        <f>MAX(0,1+INDEX(配置与结果!$G$15:$G$18,F958)+W958*方案参数!$AG$29)</f>
        <v>1.3</v>
      </c>
      <c r="AI958" s="1">
        <f>IF(OR(INDEX(配置与结果!$K$15:$K$18,F958)=1,G958="RHI_BERRY"),1+配置与结果!$B$33+P958*方案参数!$AH$29,1)</f>
        <v>1</v>
      </c>
      <c r="AJ958" s="1">
        <f>MIN(1,MAX(0,J958+方案参数!$AB$29-配置与结果!$B$27))</f>
        <v>0.76</v>
      </c>
      <c r="AK958" s="1">
        <f>MAX(1,K958+IF(F958=2,0.15+方案参数!$CH$29,0)+BN958*方案参数!$X$29+R958*方案参数!$AA$29+0-配置与结果!$B$26+Z958*(方案参数!$AP$29+MIN(方案参数!$AQ$29,P958*0.03)))</f>
        <v>2.298</v>
      </c>
      <c r="AL958" s="7">
        <f>ROUNDDOWN(MAX(AD958*配置与结果!$B$31,AD958-AE958)*AF958*AG958*AH958*AI958,0)</f>
        <v>8011</v>
      </c>
      <c r="AM958" s="7">
        <f>ROUNDDOWN(MAX(AD958*配置与结果!$B$31,AD958-AE958)*AF958*AG958*AH958*AI958*AK958,0)</f>
        <v>18410</v>
      </c>
      <c r="AN958" s="7">
        <f t="shared" si="1266"/>
        <v>15914.24</v>
      </c>
      <c r="AO958" s="7">
        <f>方案参数!$BW$29</f>
        <v>1</v>
      </c>
      <c r="AP958" s="7">
        <f>MAX(0,1+INDEX(配置与结果!$J$15:$J$18,F958)+IF(T958&gt;0,方案参数!$BY$29,0)-配置与结果!$B$30)</f>
        <v>2</v>
      </c>
      <c r="AQ958" s="7">
        <f t="shared" si="1267"/>
        <v>6088</v>
      </c>
      <c r="AR958" s="7">
        <f t="shared" si="1268"/>
        <v>13990</v>
      </c>
      <c r="AS958" s="7">
        <f t="shared" si="1269"/>
        <v>12093.52</v>
      </c>
      <c r="AT958" s="7">
        <f>0</f>
        <v>0</v>
      </c>
      <c r="AU958" s="7">
        <f t="shared" si="1270"/>
        <v>28007.760000000002</v>
      </c>
      <c r="AV958" s="1">
        <f t="shared" si="1271"/>
        <v>2</v>
      </c>
      <c r="AW958" s="1">
        <f t="shared" si="1347"/>
        <v>10</v>
      </c>
      <c r="AX958" s="1">
        <f t="shared" si="1272"/>
        <v>2</v>
      </c>
      <c r="AY958" s="1">
        <f t="shared" si="1341"/>
        <v>6</v>
      </c>
      <c r="AZ958" s="1">
        <f t="shared" si="1273"/>
        <v>5</v>
      </c>
      <c r="BA958" s="1">
        <f t="shared" si="1355"/>
        <v>5</v>
      </c>
      <c r="BB958" s="1">
        <f>MIN(30,R958+0)</f>
        <v>10</v>
      </c>
      <c r="BC958" s="1">
        <f t="shared" si="1348"/>
        <v>2</v>
      </c>
      <c r="BD958" s="1">
        <f t="shared" si="1342"/>
        <v>1</v>
      </c>
      <c r="BE958" s="1">
        <f t="shared" si="1335"/>
        <v>0</v>
      </c>
      <c r="BF958" s="1">
        <f>MIN(4,V958+1)</f>
        <v>3</v>
      </c>
      <c r="BG958" s="1">
        <f t="shared" si="1352"/>
        <v>1</v>
      </c>
      <c r="BH958" s="1">
        <f t="shared" si="1336"/>
        <v>1</v>
      </c>
      <c r="BI958" s="1">
        <f t="shared" si="1353"/>
        <v>1</v>
      </c>
      <c r="BJ958" s="1">
        <f t="shared" si="1356"/>
        <v>1</v>
      </c>
      <c r="BK958" s="1">
        <f t="shared" si="1357"/>
        <v>1</v>
      </c>
      <c r="BL958" s="1">
        <f t="shared" si="1316"/>
        <v>0</v>
      </c>
      <c r="BM958" s="1">
        <f t="shared" ref="BM958:BM992" si="1360">MAX(AC958,0)</f>
        <v>1</v>
      </c>
      <c r="BN958" s="1">
        <f t="shared" si="1337"/>
        <v>1</v>
      </c>
      <c r="BO958" s="1">
        <f t="shared" si="1338"/>
        <v>1</v>
      </c>
    </row>
    <row r="959" spans="1:67" ht="30.95" customHeight="1">
      <c r="A959" s="1">
        <f>26</f>
        <v>26</v>
      </c>
      <c r="B959" s="1">
        <f>固定流程!A23</f>
        <v>18</v>
      </c>
      <c r="C959" s="1">
        <f>29</f>
        <v>29</v>
      </c>
      <c r="D959" s="1">
        <f>1</f>
        <v>1</v>
      </c>
      <c r="E959" s="1">
        <f>固定流程!C23</f>
        <v>3</v>
      </c>
      <c r="F959" s="1">
        <f>固定流程!G23</f>
        <v>4</v>
      </c>
      <c r="G959" s="1" t="str">
        <f>固定流程!H23</f>
        <v>J_HARD</v>
      </c>
      <c r="H959" s="1">
        <f>固定流程!F23</f>
        <v>1</v>
      </c>
      <c r="I959" s="1">
        <f>INDEX(配置与结果!$B$15:$B$18,F959)</f>
        <v>1906</v>
      </c>
      <c r="J959" s="1">
        <f>INDEX(配置与结果!$D$15:$D$18,F959)</f>
        <v>0.36699999999999999</v>
      </c>
      <c r="K959" s="1">
        <f>INDEX(配置与结果!$E$15:$E$18,F959)</f>
        <v>1.7170000000000001</v>
      </c>
      <c r="L959" s="1">
        <f t="shared" si="1349"/>
        <v>2</v>
      </c>
      <c r="M959" s="1">
        <f t="shared" si="1350"/>
        <v>10</v>
      </c>
      <c r="N959" s="1">
        <f t="shared" si="1351"/>
        <v>2</v>
      </c>
      <c r="O959" s="1">
        <f t="shared" si="1343"/>
        <v>6</v>
      </c>
      <c r="P959" s="1">
        <f>MIN(方案参数!$AI$29,AZ958+0+0)</f>
        <v>5</v>
      </c>
      <c r="Q959" s="1">
        <f t="shared" si="1321"/>
        <v>5</v>
      </c>
      <c r="R959" s="1">
        <f t="shared" si="1322"/>
        <v>10</v>
      </c>
      <c r="S959" s="1">
        <f t="shared" si="1323"/>
        <v>2</v>
      </c>
      <c r="T959" s="1">
        <f t="shared" si="1358"/>
        <v>1</v>
      </c>
      <c r="U959" s="1">
        <f t="shared" si="1325"/>
        <v>0</v>
      </c>
      <c r="V959" s="1">
        <f t="shared" si="1326"/>
        <v>3</v>
      </c>
      <c r="W959" s="1">
        <f t="shared" si="1327"/>
        <v>1</v>
      </c>
      <c r="X959" s="1">
        <f t="shared" si="1328"/>
        <v>1</v>
      </c>
      <c r="Y959" s="1">
        <f t="shared" si="1329"/>
        <v>1</v>
      </c>
      <c r="Z959" s="1">
        <f t="shared" si="1330"/>
        <v>1</v>
      </c>
      <c r="AA959" s="1">
        <f t="shared" si="1354"/>
        <v>1</v>
      </c>
      <c r="AB959" s="1">
        <f t="shared" si="1332"/>
        <v>0</v>
      </c>
      <c r="AC959" s="1">
        <f t="shared" si="1359"/>
        <v>1</v>
      </c>
      <c r="AD959" s="1">
        <f>ROUNDDOWN(I959*(1+IF(F959=3,0.05+方案参数!$Y$29+AA959*0.12,IF(F959=4,方案参数!$BZ$29*方案参数!$AS$29,0)))+IF(AND(X959=1,F959&lt;&gt;3),方案参数!$CC$29,0)+AC959*方案参数!$CB$29,0)</f>
        <v>3311</v>
      </c>
      <c r="AE959" s="1">
        <f>IF(OR(F959=1,F959=4),配置与结果!$B$24,配置与结果!$B$25)*MAX(0,1-INDEX(配置与结果!$I$15:$I$18,F959))</f>
        <v>1200</v>
      </c>
      <c r="AF959" s="1">
        <f>3.6*IF(H959=1,1,IF(H959=2,1.5,2.5))</f>
        <v>3.6</v>
      </c>
      <c r="AG959" s="1">
        <f>MAX(配置与结果!$B$32,1+INDEX(配置与结果!$F$15:$F$18,F959)+0.08+Q959*方案参数!$W$29+Y959*(方案参数!$AN$29+MIN(方案参数!$AO$29,P959*0.03))+AB959*方案参数!$BZ$29*0.025+0.1+IF(方案参数!$BZ$29&gt;=30,方案参数!$BZ$29*0.01,0)-配置与结果!$B$28)</f>
        <v>1.5550000000000002</v>
      </c>
      <c r="AH959" s="1">
        <f>MAX(0,1+INDEX(配置与结果!$G$15:$G$18,F959)+W959*方案参数!$AG$29)</f>
        <v>1.3</v>
      </c>
      <c r="AI959" s="1">
        <f>IF(OR(INDEX(配置与结果!$K$15:$K$18,F959)=1,G959="RHI_BERRY"),1+配置与结果!$B$33+P959*方案参数!$AH$29,1)</f>
        <v>1</v>
      </c>
      <c r="AJ959" s="1">
        <f>MIN(1,MAX(0,J959+方案参数!$AB$29-配置与结果!$B$27))</f>
        <v>0.66700000000000004</v>
      </c>
      <c r="AK959" s="1">
        <f>MAX(1,K959+IF(F959=2,0.15+方案参数!$CH$29,0)+BN959*方案参数!$X$29+R959*方案参数!$AA$29+0-配置与结果!$B$26+Z959*(方案参数!$AP$29+MIN(方案参数!$AQ$29,P959*0.03)))</f>
        <v>1.8169999999999999</v>
      </c>
      <c r="AL959" s="7">
        <f>ROUNDDOWN(MAX(AD959*配置与结果!$B$31,AD959-AE959)*AF959*AG959*AH959*AI959,0)</f>
        <v>15362</v>
      </c>
      <c r="AM959" s="7">
        <f>ROUNDDOWN(MAX(AD959*配置与结果!$B$31,AD959-AE959)*AF959*AG959*AH959*AI959*AK959,0)</f>
        <v>27913</v>
      </c>
      <c r="AN959" s="7">
        <f t="shared" si="1266"/>
        <v>23733.517</v>
      </c>
      <c r="AO959" s="7">
        <f>0</f>
        <v>0</v>
      </c>
      <c r="AP959" s="7">
        <f>MAX(0,1+INDEX(配置与结果!$J$15:$J$18,F959)+IF(T959&gt;0,方案参数!$BY$29,0)-配置与结果!$B$30)</f>
        <v>2</v>
      </c>
      <c r="AQ959" s="7">
        <f t="shared" si="1267"/>
        <v>0</v>
      </c>
      <c r="AR959" s="7">
        <f t="shared" si="1268"/>
        <v>0</v>
      </c>
      <c r="AS959" s="7">
        <f t="shared" si="1269"/>
        <v>0</v>
      </c>
      <c r="AT959" s="7">
        <f>0</f>
        <v>0</v>
      </c>
      <c r="AU959" s="7">
        <f t="shared" si="1270"/>
        <v>23733.517</v>
      </c>
      <c r="AV959" s="1">
        <f t="shared" si="1271"/>
        <v>2</v>
      </c>
      <c r="AW959" s="1">
        <f t="shared" si="1347"/>
        <v>10</v>
      </c>
      <c r="AX959" s="1">
        <f t="shared" si="1272"/>
        <v>2</v>
      </c>
      <c r="AY959" s="1">
        <f t="shared" si="1341"/>
        <v>6</v>
      </c>
      <c r="AZ959" s="1">
        <f t="shared" si="1273"/>
        <v>5</v>
      </c>
      <c r="BA959" s="1">
        <f t="shared" si="1355"/>
        <v>5</v>
      </c>
      <c r="BB959" s="1">
        <f>MIN(30,R959+0)</f>
        <v>10</v>
      </c>
      <c r="BC959" s="1">
        <f>MIN(3,S959+1)</f>
        <v>3</v>
      </c>
      <c r="BD959" s="1">
        <f t="shared" si="1342"/>
        <v>1</v>
      </c>
      <c r="BE959" s="1">
        <f t="shared" si="1335"/>
        <v>0</v>
      </c>
      <c r="BF959" s="1">
        <f>MIN(4,V959+0)</f>
        <v>3</v>
      </c>
      <c r="BG959" s="1">
        <f t="shared" si="1352"/>
        <v>1</v>
      </c>
      <c r="BH959" s="1">
        <f t="shared" si="1336"/>
        <v>1</v>
      </c>
      <c r="BI959" s="1">
        <f t="shared" si="1353"/>
        <v>1</v>
      </c>
      <c r="BJ959" s="1">
        <f t="shared" si="1356"/>
        <v>1</v>
      </c>
      <c r="BK959" s="1">
        <f t="shared" si="1357"/>
        <v>1</v>
      </c>
      <c r="BL959" s="1">
        <f t="shared" si="1316"/>
        <v>0</v>
      </c>
      <c r="BM959" s="1">
        <f t="shared" si="1360"/>
        <v>1</v>
      </c>
      <c r="BN959" s="1">
        <f t="shared" si="1337"/>
        <v>1</v>
      </c>
      <c r="BO959" s="1">
        <f t="shared" si="1338"/>
        <v>1</v>
      </c>
    </row>
    <row r="960" spans="1:67" ht="30.95" customHeight="1">
      <c r="A960" s="1">
        <f>26</f>
        <v>26</v>
      </c>
      <c r="B960" s="1">
        <f>固定流程!A24</f>
        <v>19</v>
      </c>
      <c r="C960" s="1">
        <f>29</f>
        <v>29</v>
      </c>
      <c r="D960" s="1">
        <f>1</f>
        <v>1</v>
      </c>
      <c r="E960" s="1">
        <f>固定流程!C24</f>
        <v>3</v>
      </c>
      <c r="F960" s="1">
        <f>固定流程!G24</f>
        <v>4</v>
      </c>
      <c r="G960" s="1" t="str">
        <f>固定流程!H24</f>
        <v>J_ULT</v>
      </c>
      <c r="H960" s="1">
        <f>固定流程!F24</f>
        <v>1</v>
      </c>
      <c r="I960" s="1">
        <f>INDEX(配置与结果!$B$15:$B$18,F960)</f>
        <v>1906</v>
      </c>
      <c r="J960" s="1">
        <f>INDEX(配置与结果!$D$15:$D$18,F960)</f>
        <v>0.36699999999999999</v>
      </c>
      <c r="K960" s="1">
        <f>INDEX(配置与结果!$E$15:$E$18,F960)</f>
        <v>1.7170000000000001</v>
      </c>
      <c r="L960" s="1">
        <f t="shared" si="1349"/>
        <v>2</v>
      </c>
      <c r="M960" s="1">
        <f t="shared" si="1350"/>
        <v>10</v>
      </c>
      <c r="N960" s="1">
        <f t="shared" si="1351"/>
        <v>2</v>
      </c>
      <c r="O960" s="1">
        <f t="shared" si="1343"/>
        <v>6</v>
      </c>
      <c r="P960" s="1">
        <f>MIN(方案参数!$AI$29,AZ959+0+0)</f>
        <v>5</v>
      </c>
      <c r="Q960" s="1">
        <f t="shared" si="1321"/>
        <v>5</v>
      </c>
      <c r="R960" s="1">
        <f t="shared" si="1322"/>
        <v>10</v>
      </c>
      <c r="S960" s="1">
        <f t="shared" si="1323"/>
        <v>3</v>
      </c>
      <c r="T960" s="1">
        <f t="shared" si="1358"/>
        <v>1</v>
      </c>
      <c r="U960" s="1">
        <f t="shared" si="1325"/>
        <v>0</v>
      </c>
      <c r="V960" s="1">
        <f t="shared" si="1326"/>
        <v>3</v>
      </c>
      <c r="W960" s="1">
        <f t="shared" si="1327"/>
        <v>1</v>
      </c>
      <c r="X960" s="1">
        <f t="shared" si="1328"/>
        <v>1</v>
      </c>
      <c r="Y960" s="1">
        <f t="shared" si="1329"/>
        <v>1</v>
      </c>
      <c r="Z960" s="1">
        <f t="shared" si="1330"/>
        <v>1</v>
      </c>
      <c r="AA960" s="1">
        <f t="shared" si="1354"/>
        <v>1</v>
      </c>
      <c r="AB960" s="1">
        <f t="shared" si="1332"/>
        <v>0</v>
      </c>
      <c r="AC960" s="1">
        <f t="shared" si="1359"/>
        <v>1</v>
      </c>
      <c r="AD960" s="1">
        <f>ROUNDDOWN(I960*(1+IF(F960=3,0.05+方案参数!$Y$29+AA960*0.12,IF(F960=4,方案参数!$BZ$29*方案参数!$AS$29,0)))+IF(AND(X960=1,F960&lt;&gt;3),方案参数!$CC$29,0)+AC960*方案参数!$CB$29,0)</f>
        <v>3311</v>
      </c>
      <c r="AE960" s="1">
        <f>IF(OR(F960=1,F960=4),配置与结果!$B$24,配置与结果!$B$25)*MAX(0,1-INDEX(配置与结果!$I$15:$I$18,F960))</f>
        <v>1200</v>
      </c>
      <c r="AF960" s="1">
        <f>方案参数!$AT$29+MAX(0,配置与结果!$H$26+方案参数!$BZ$29-30)*方案参数!$AU$29*配置与结果!$H$27</f>
        <v>42</v>
      </c>
      <c r="AG960" s="1">
        <f>MAX(配置与结果!$B$32,1+INDEX(配置与结果!$F$15:$F$18,F960)+0.08+Q960*方案参数!$W$29+Y960*(方案参数!$AN$29+MIN(方案参数!$AO$29,P960*0.03))+AB960*方案参数!$BZ$29*0.025-配置与结果!$B$28)</f>
        <v>1.105</v>
      </c>
      <c r="AH960" s="1">
        <f>MAX(0,1+INDEX(配置与结果!$H$15:$H$18,F960)+W960*方案参数!$AG$29+S960*方案参数!$Z$29)</f>
        <v>1.42</v>
      </c>
      <c r="AI960" s="1">
        <f>IF(OR(INDEX(配置与结果!$K$15:$K$18,F960)=1,G960="RHI_BERRY"),1+配置与结果!$B$33+P960*方案参数!$AH$29,1)</f>
        <v>1</v>
      </c>
      <c r="AJ960" s="1">
        <f>MIN(1,MAX(0,J960+方案参数!$AB$29-配置与结果!$B$27))</f>
        <v>0.66700000000000004</v>
      </c>
      <c r="AK960" s="1">
        <f>MAX(1,K960+IF(F960=2,0.15+方案参数!$CH$29,0)+BN960*方案参数!$X$29+R960*方案参数!$AA$29+0-配置与结果!$B$26+Z960*(方案参数!$AP$29+MIN(方案参数!$AQ$29,P960*0.03)))</f>
        <v>1.8169999999999999</v>
      </c>
      <c r="AL960" s="7">
        <f>ROUNDDOWN(MAX(AD960*配置与结果!$B$31,AD960-AE960)*AF960*AG960*AH960*AI960,0)</f>
        <v>139119</v>
      </c>
      <c r="AM960" s="7">
        <f>ROUNDDOWN(MAX(AD960*配置与结果!$B$31,AD960-AE960)*AF960*AG960*AH960*AI960*AK960,0)</f>
        <v>252780</v>
      </c>
      <c r="AN960" s="7">
        <f t="shared" si="1266"/>
        <v>214930.88699999999</v>
      </c>
      <c r="AO960" s="7">
        <f>0</f>
        <v>0</v>
      </c>
      <c r="AP960" s="7">
        <f>MAX(0,1+INDEX(配置与结果!$J$15:$J$18,F960)+IF(T960&gt;0,方案参数!$BY$29,0)-配置与结果!$B$30)</f>
        <v>2</v>
      </c>
      <c r="AQ960" s="7">
        <f t="shared" si="1267"/>
        <v>0</v>
      </c>
      <c r="AR960" s="7">
        <f t="shared" si="1268"/>
        <v>0</v>
      </c>
      <c r="AS960" s="7">
        <f t="shared" si="1269"/>
        <v>0</v>
      </c>
      <c r="AT960" s="7">
        <f>0</f>
        <v>0</v>
      </c>
      <c r="AU960" s="7">
        <f t="shared" si="1270"/>
        <v>214930.88699999999</v>
      </c>
      <c r="AV960" s="1">
        <f t="shared" si="1271"/>
        <v>2</v>
      </c>
      <c r="AW960" s="1">
        <f t="shared" si="1347"/>
        <v>10</v>
      </c>
      <c r="AX960" s="1">
        <f t="shared" si="1272"/>
        <v>2</v>
      </c>
      <c r="AY960" s="1">
        <f t="shared" si="1341"/>
        <v>6</v>
      </c>
      <c r="AZ960" s="1">
        <f t="shared" si="1273"/>
        <v>5</v>
      </c>
      <c r="BA960" s="1">
        <f t="shared" si="1355"/>
        <v>5</v>
      </c>
      <c r="BB960" s="1">
        <f>MIN(30,R960+5)</f>
        <v>15</v>
      </c>
      <c r="BC960" s="1">
        <f t="shared" ref="BC960:BC983" si="1361">MIN(3,S960+0)</f>
        <v>3</v>
      </c>
      <c r="BD960" s="1">
        <f t="shared" si="1342"/>
        <v>1</v>
      </c>
      <c r="BE960" s="1">
        <f t="shared" si="1335"/>
        <v>0</v>
      </c>
      <c r="BF960" s="1">
        <f>MIN(4,V960+0)</f>
        <v>3</v>
      </c>
      <c r="BG960" s="1">
        <f t="shared" si="1352"/>
        <v>1</v>
      </c>
      <c r="BH960" s="1">
        <f t="shared" si="1336"/>
        <v>1</v>
      </c>
      <c r="BI960" s="1">
        <f t="shared" si="1353"/>
        <v>1</v>
      </c>
      <c r="BJ960" s="1">
        <f t="shared" si="1356"/>
        <v>1</v>
      </c>
      <c r="BK960" s="1">
        <f t="shared" si="1357"/>
        <v>1</v>
      </c>
      <c r="BL960" s="1">
        <f>MAX(AB960,1)</f>
        <v>1</v>
      </c>
      <c r="BM960" s="1">
        <f t="shared" si="1360"/>
        <v>1</v>
      </c>
      <c r="BN960" s="1">
        <f t="shared" si="1337"/>
        <v>1</v>
      </c>
      <c r="BO960" s="1">
        <f t="shared" si="1338"/>
        <v>1</v>
      </c>
    </row>
    <row r="961" spans="1:67" ht="30.95" customHeight="1">
      <c r="A961" s="1">
        <f>26</f>
        <v>26</v>
      </c>
      <c r="B961" s="1">
        <f>固定流程!A25</f>
        <v>20</v>
      </c>
      <c r="C961" s="1">
        <f>29</f>
        <v>29</v>
      </c>
      <c r="D961" s="1">
        <f>1</f>
        <v>1</v>
      </c>
      <c r="E961" s="1">
        <f>固定流程!C25</f>
        <v>3</v>
      </c>
      <c r="F961" s="1">
        <f>固定流程!G25</f>
        <v>1</v>
      </c>
      <c r="G961" s="1" t="str">
        <f>固定流程!H25</f>
        <v>LILYA_ULT</v>
      </c>
      <c r="H961" s="1">
        <f>固定流程!F25</f>
        <v>1</v>
      </c>
      <c r="I961" s="1">
        <f>INDEX(配置与结果!$B$15:$B$18,F961)</f>
        <v>2296</v>
      </c>
      <c r="J961" s="1">
        <f>INDEX(配置与结果!$D$15:$D$18,F961)</f>
        <v>0.7</v>
      </c>
      <c r="K961" s="1">
        <f>INDEX(配置与结果!$E$15:$E$18,F961)</f>
        <v>2.0249999999999999</v>
      </c>
      <c r="L961" s="1">
        <f t="shared" si="1349"/>
        <v>2</v>
      </c>
      <c r="M961" s="1">
        <f t="shared" si="1350"/>
        <v>10</v>
      </c>
      <c r="N961" s="1">
        <f t="shared" si="1351"/>
        <v>2</v>
      </c>
      <c r="O961" s="1">
        <f t="shared" si="1343"/>
        <v>6</v>
      </c>
      <c r="P961" s="1">
        <f>MIN(方案参数!$AI$29,AZ960+0+0)</f>
        <v>5</v>
      </c>
      <c r="Q961" s="1">
        <f t="shared" si="1321"/>
        <v>5</v>
      </c>
      <c r="R961" s="1">
        <f t="shared" si="1322"/>
        <v>15</v>
      </c>
      <c r="S961" s="1">
        <f t="shared" si="1323"/>
        <v>3</v>
      </c>
      <c r="T961" s="1">
        <f t="shared" si="1358"/>
        <v>1</v>
      </c>
      <c r="U961" s="1">
        <f t="shared" si="1325"/>
        <v>0</v>
      </c>
      <c r="V961" s="1">
        <f t="shared" si="1326"/>
        <v>3</v>
      </c>
      <c r="W961" s="1">
        <f t="shared" si="1327"/>
        <v>1</v>
      </c>
      <c r="X961" s="1">
        <f t="shared" si="1328"/>
        <v>1</v>
      </c>
      <c r="Y961" s="1">
        <f t="shared" si="1329"/>
        <v>1</v>
      </c>
      <c r="Z961" s="1">
        <f t="shared" si="1330"/>
        <v>1</v>
      </c>
      <c r="AA961" s="1">
        <f t="shared" si="1354"/>
        <v>1</v>
      </c>
      <c r="AB961" s="1">
        <f t="shared" si="1332"/>
        <v>1</v>
      </c>
      <c r="AC961" s="1">
        <f t="shared" si="1359"/>
        <v>1</v>
      </c>
      <c r="AD961" s="1">
        <f>ROUNDDOWN(I961*(1+IF(F961=3,0.05+方案参数!$Y$29+AA961*0.12,IF(F961=4,方案参数!$BZ$29*方案参数!$AS$29,0)))+IF(AND(X961=1,F961&lt;&gt;3),方案参数!$CC$29,0)+AC961*方案参数!$CB$29,0)</f>
        <v>3034</v>
      </c>
      <c r="AE961" s="1">
        <f>IF(OR(F961=1,F961=4),配置与结果!$B$24,配置与结果!$B$25)*MAX(0,1-INDEX(配置与结果!$I$15:$I$18,F961)+IF(O961&gt;=6,方案参数!$BK$29,0))</f>
        <v>1440</v>
      </c>
      <c r="AF961" s="1">
        <f>方案参数!$BG$29+IF(O961&gt;=6,方案参数!$BH$29,0)</f>
        <v>36</v>
      </c>
      <c r="AG961" s="1">
        <f>MAX(配置与结果!$B$32,1+INDEX(配置与结果!$F$15:$F$18,F961)+0.08+方案参数!$CD$29+Q961*方案参数!$W$29+Y961*(方案参数!$AN$29+MIN(方案参数!$AO$29,P961*0.03))+AB961*方案参数!$BZ$29*0.025-配置与结果!$B$28)</f>
        <v>2.1350000000000002</v>
      </c>
      <c r="AH961" s="1">
        <f>MAX(0,1+INDEX(配置与结果!$H$15:$H$18,F961)+W961*方案参数!$AG$29+O961*方案参数!$BF$29+IF(O961&gt;=6,方案参数!$BI$29,0))</f>
        <v>2.4500000000000002</v>
      </c>
      <c r="AI961" s="1">
        <f>IF(OR(INDEX(配置与结果!$K$15:$K$18,F961)=1,G961="RHI_BERRY"),1+配置与结果!$B$33+P961*方案参数!$AH$29,1)</f>
        <v>1</v>
      </c>
      <c r="AJ961" s="1">
        <f>MIN(1,MAX(0,J961+方案参数!$AB$29-配置与结果!$B$27))</f>
        <v>1</v>
      </c>
      <c r="AK961" s="1">
        <f>MAX(1,K961+IF(F961=2,0.15+方案参数!$CH$29,0)+BN961*方案参数!$X$29+R961*方案参数!$AA$29+IF(O961&gt;=6,方案参数!$BJ$29,0)-配置与结果!$B$26+Z961*(方案参数!$AP$29+MIN(方案参数!$AQ$29,P961*0.03)))</f>
        <v>3.145</v>
      </c>
      <c r="AL961" s="7">
        <f>ROUNDDOWN(MAX(AD961*配置与结果!$B$31,AD961-AE961)*AF961*AG961*AH961*AI961,0)</f>
        <v>300161</v>
      </c>
      <c r="AM961" s="7">
        <f>ROUNDDOWN(MAX(AD961*配置与结果!$B$31,AD961-AE961)*AF961*AG961*AH961*AI961*AK961,0)</f>
        <v>944007</v>
      </c>
      <c r="AN961" s="7">
        <f t="shared" si="1266"/>
        <v>944007</v>
      </c>
      <c r="AO961" s="7">
        <f>0</f>
        <v>0</v>
      </c>
      <c r="AP961" s="7">
        <f>MAX(0,1+INDEX(配置与结果!$J$15:$J$18,F961)+IF(T961&gt;0,方案参数!$BY$29,0)-配置与结果!$B$30)</f>
        <v>2</v>
      </c>
      <c r="AQ961" s="7">
        <f t="shared" si="1267"/>
        <v>0</v>
      </c>
      <c r="AR961" s="7">
        <f t="shared" si="1268"/>
        <v>0</v>
      </c>
      <c r="AS961" s="7">
        <f t="shared" si="1269"/>
        <v>0</v>
      </c>
      <c r="AT961" s="7">
        <f>0</f>
        <v>0</v>
      </c>
      <c r="AU961" s="7">
        <f t="shared" si="1270"/>
        <v>944007</v>
      </c>
      <c r="AV961" s="1">
        <f t="shared" si="1271"/>
        <v>2</v>
      </c>
      <c r="AW961" s="1">
        <f t="shared" si="1347"/>
        <v>10</v>
      </c>
      <c r="AX961" s="1">
        <f t="shared" si="1272"/>
        <v>2</v>
      </c>
      <c r="AY961" s="1">
        <f>MIN(20,MAX(0,O961+0+0-IF(O961&gt;=6,6,0)))</f>
        <v>0</v>
      </c>
      <c r="AZ961" s="1">
        <f t="shared" si="1273"/>
        <v>5</v>
      </c>
      <c r="BA961" s="1">
        <f t="shared" si="1355"/>
        <v>5</v>
      </c>
      <c r="BB961" s="1">
        <f>MIN(30,R961+5)</f>
        <v>20</v>
      </c>
      <c r="BC961" s="1">
        <f t="shared" si="1361"/>
        <v>3</v>
      </c>
      <c r="BD961" s="1">
        <f t="shared" si="1342"/>
        <v>1</v>
      </c>
      <c r="BE961" s="1">
        <f t="shared" si="1335"/>
        <v>0</v>
      </c>
      <c r="BF961" s="1">
        <f>MIN(4,V961+0)</f>
        <v>3</v>
      </c>
      <c r="BG961" s="1">
        <f t="shared" si="1352"/>
        <v>1</v>
      </c>
      <c r="BH961" s="1">
        <f t="shared" si="1336"/>
        <v>1</v>
      </c>
      <c r="BI961" s="1">
        <f t="shared" si="1353"/>
        <v>1</v>
      </c>
      <c r="BJ961" s="1">
        <f t="shared" si="1356"/>
        <v>1</v>
      </c>
      <c r="BK961" s="1">
        <f t="shared" si="1357"/>
        <v>1</v>
      </c>
      <c r="BL961" s="1">
        <f t="shared" ref="BL961:BL995" si="1362">MAX(AB961,0)</f>
        <v>1</v>
      </c>
      <c r="BM961" s="1">
        <f t="shared" si="1360"/>
        <v>1</v>
      </c>
      <c r="BN961" s="1">
        <f t="shared" si="1337"/>
        <v>1</v>
      </c>
      <c r="BO961" s="1">
        <f t="shared" si="1338"/>
        <v>1</v>
      </c>
    </row>
    <row r="962" spans="1:67" ht="30.95" customHeight="1">
      <c r="A962" s="1">
        <f>26</f>
        <v>26</v>
      </c>
      <c r="B962" s="1">
        <f>固定流程!A26</f>
        <v>21</v>
      </c>
      <c r="C962" s="1">
        <f>29</f>
        <v>29</v>
      </c>
      <c r="D962" s="1">
        <f>1</f>
        <v>1</v>
      </c>
      <c r="E962" s="1">
        <f>固定流程!C26</f>
        <v>3</v>
      </c>
      <c r="F962" s="1">
        <f>固定流程!G26</f>
        <v>1</v>
      </c>
      <c r="G962" s="1" t="str">
        <f>固定流程!H26</f>
        <v>LILYA_DIVE</v>
      </c>
      <c r="H962" s="1">
        <f>固定流程!F26</f>
        <v>3</v>
      </c>
      <c r="I962" s="1">
        <f>INDEX(配置与结果!$B$15:$B$18,F962)</f>
        <v>2296</v>
      </c>
      <c r="J962" s="1">
        <f>INDEX(配置与结果!$D$15:$D$18,F962)</f>
        <v>0.7</v>
      </c>
      <c r="K962" s="1">
        <f>INDEX(配置与结果!$E$15:$E$18,F962)</f>
        <v>2.0249999999999999</v>
      </c>
      <c r="L962" s="1">
        <f t="shared" si="1349"/>
        <v>2</v>
      </c>
      <c r="M962" s="1">
        <f t="shared" si="1350"/>
        <v>10</v>
      </c>
      <c r="N962" s="1">
        <f t="shared" si="1351"/>
        <v>2</v>
      </c>
      <c r="O962" s="1">
        <f t="shared" si="1343"/>
        <v>0</v>
      </c>
      <c r="P962" s="1">
        <f>MIN(方案参数!$AI$29,AZ961+0+0)</f>
        <v>5</v>
      </c>
      <c r="Q962" s="1">
        <f t="shared" si="1321"/>
        <v>5</v>
      </c>
      <c r="R962" s="1">
        <f t="shared" si="1322"/>
        <v>20</v>
      </c>
      <c r="S962" s="1">
        <f t="shared" si="1323"/>
        <v>3</v>
      </c>
      <c r="T962" s="1">
        <f t="shared" si="1358"/>
        <v>1</v>
      </c>
      <c r="U962" s="1">
        <f t="shared" si="1325"/>
        <v>0</v>
      </c>
      <c r="V962" s="1">
        <f t="shared" si="1326"/>
        <v>3</v>
      </c>
      <c r="W962" s="1">
        <f t="shared" si="1327"/>
        <v>1</v>
      </c>
      <c r="X962" s="1">
        <f t="shared" si="1328"/>
        <v>1</v>
      </c>
      <c r="Y962" s="1">
        <f t="shared" si="1329"/>
        <v>1</v>
      </c>
      <c r="Z962" s="1">
        <f t="shared" si="1330"/>
        <v>1</v>
      </c>
      <c r="AA962" s="1">
        <f t="shared" si="1354"/>
        <v>1</v>
      </c>
      <c r="AB962" s="1">
        <f t="shared" si="1332"/>
        <v>1</v>
      </c>
      <c r="AC962" s="1">
        <f t="shared" si="1359"/>
        <v>1</v>
      </c>
      <c r="AD962" s="1">
        <f>ROUNDDOWN(I962*(1+IF(F962=3,0.05+方案参数!$Y$29+AA962*0.12,IF(F962=4,方案参数!$BZ$29*方案参数!$AS$29,0)))+IF(AND(X962=1,F962&lt;&gt;3),方案参数!$CC$29,0)+AC962*方案参数!$CB$29,0)</f>
        <v>3034</v>
      </c>
      <c r="AE962" s="1">
        <f>IF(OR(F962=1,F962=4),配置与结果!$B$24,配置与结果!$B$25)*MAX(0,1-INDEX(配置与结果!$I$15:$I$18,F962))</f>
        <v>1200</v>
      </c>
      <c r="AF962" s="1">
        <f>(IF(L962=1,方案参数!$AW$29,IF(L962=2,方案参数!$AX$29,0))+方案参数!$AV$29)*H962</f>
        <v>30</v>
      </c>
      <c r="AG962" s="1">
        <f>MAX(配置与结果!$B$32,1+INDEX(配置与结果!$F$15:$F$18,F962)+0.08+方案参数!$CD$29+Q962*方案参数!$W$29+Y962*(方案参数!$AN$29+MIN(方案参数!$AO$29,P962*0.03))+AB962*方案参数!$BZ$29*0.025+IF(L962=1,方案参数!$AY$29+(H962-1)*0.1,IF(L962=2,方案参数!$AZ$29+(H962-1)*0.2,0))-配置与结果!$B$28)</f>
        <v>2.7350000000000003</v>
      </c>
      <c r="AH962" s="1">
        <f>MAX(0,1+INDEX(配置与结果!$G$15:$G$18,F962)+W962*方案参数!$AG$29+IF(L962=1,方案参数!$BA$29,IF(L962=2,方案参数!$BB$29,0))+M962*方案参数!$BC$29)</f>
        <v>3.1</v>
      </c>
      <c r="AI962" s="1">
        <f>IF(OR(INDEX(配置与结果!$K$15:$K$18,F962)=1,G962="RHI_BERRY"),1+配置与结果!$B$33+P962*方案参数!$AH$29,1)</f>
        <v>1</v>
      </c>
      <c r="AJ962" s="1">
        <f>MIN(1,MAX(0,J962+方案参数!$AB$29-配置与结果!$B$27))</f>
        <v>1</v>
      </c>
      <c r="AK962" s="1">
        <f>MAX(1,K962+IF(F962=2,0.15+方案参数!$CH$29,0)+BN962*方案参数!$X$29+R962*方案参数!$AA$29+0-配置与结果!$B$26+Z962*(方案参数!$AP$29+MIN(方案参数!$AQ$29,P962*0.03)))</f>
        <v>2.165</v>
      </c>
      <c r="AL962" s="7">
        <f>ROUNDDOWN(MAX(AD962*配置与结果!$B$31,AD962-AE962)*AF962*AG962*AH962*AI962,0)</f>
        <v>466487</v>
      </c>
      <c r="AM962" s="7">
        <f>ROUNDDOWN(MAX(AD962*配置与结果!$B$31,AD962-AE962)*AF962*AG962*AH962*AI962*AK962,0)</f>
        <v>1009944</v>
      </c>
      <c r="AN962" s="7">
        <f t="shared" si="1266"/>
        <v>1009944</v>
      </c>
      <c r="AO962" s="7">
        <f>0</f>
        <v>0</v>
      </c>
      <c r="AP962" s="7">
        <f>MAX(0,1+INDEX(配置与结果!$J$15:$J$18,F962)+IF(T962&gt;0,方案参数!$BY$29,0)-配置与结果!$B$30)</f>
        <v>2</v>
      </c>
      <c r="AQ962" s="7">
        <f t="shared" si="1267"/>
        <v>0</v>
      </c>
      <c r="AR962" s="7">
        <f t="shared" si="1268"/>
        <v>0</v>
      </c>
      <c r="AS962" s="7">
        <f t="shared" si="1269"/>
        <v>0</v>
      </c>
      <c r="AT962" s="7">
        <f>0</f>
        <v>0</v>
      </c>
      <c r="AU962" s="7">
        <f t="shared" si="1270"/>
        <v>1009944</v>
      </c>
      <c r="AV962" s="1">
        <f t="shared" si="1271"/>
        <v>2</v>
      </c>
      <c r="AW962" s="1">
        <f>MIN(10,M962+0+IF(L962=1,方案参数!$BE$29,0))</f>
        <v>10</v>
      </c>
      <c r="AX962" s="1">
        <f t="shared" si="1272"/>
        <v>2</v>
      </c>
      <c r="AY962" s="1">
        <f>MIN(20,MAX(0,O962+0+0-0))</f>
        <v>0</v>
      </c>
      <c r="AZ962" s="1">
        <f t="shared" si="1273"/>
        <v>5</v>
      </c>
      <c r="BA962" s="1">
        <f t="shared" si="1355"/>
        <v>5</v>
      </c>
      <c r="BB962" s="1">
        <f t="shared" ref="BB962:BB977" si="1363">MIN(30,R962+0)</f>
        <v>20</v>
      </c>
      <c r="BC962" s="1">
        <f t="shared" si="1361"/>
        <v>3</v>
      </c>
      <c r="BD962" s="1">
        <f t="shared" si="1342"/>
        <v>1</v>
      </c>
      <c r="BE962" s="1">
        <f t="shared" si="1335"/>
        <v>0</v>
      </c>
      <c r="BF962" s="1">
        <f>MIN(4,V962+0)</f>
        <v>3</v>
      </c>
      <c r="BG962" s="1">
        <f t="shared" si="1352"/>
        <v>1</v>
      </c>
      <c r="BH962" s="1">
        <f t="shared" si="1336"/>
        <v>1</v>
      </c>
      <c r="BI962" s="1">
        <f t="shared" si="1353"/>
        <v>1</v>
      </c>
      <c r="BJ962" s="1">
        <f t="shared" si="1356"/>
        <v>1</v>
      </c>
      <c r="BK962" s="1">
        <f t="shared" si="1357"/>
        <v>1</v>
      </c>
      <c r="BL962" s="1">
        <f t="shared" si="1362"/>
        <v>1</v>
      </c>
      <c r="BM962" s="1">
        <f t="shared" si="1360"/>
        <v>1</v>
      </c>
      <c r="BN962" s="1">
        <f t="shared" si="1337"/>
        <v>1</v>
      </c>
      <c r="BO962" s="1">
        <f t="shared" si="1338"/>
        <v>1</v>
      </c>
    </row>
    <row r="963" spans="1:67" ht="30.95" customHeight="1">
      <c r="A963" s="1">
        <f>26</f>
        <v>26</v>
      </c>
      <c r="B963" s="1">
        <f>固定流程!A27</f>
        <v>22</v>
      </c>
      <c r="C963" s="1">
        <f>29</f>
        <v>29</v>
      </c>
      <c r="D963" s="1">
        <f>1</f>
        <v>1</v>
      </c>
      <c r="E963" s="1">
        <f>固定流程!C27</f>
        <v>3</v>
      </c>
      <c r="F963" s="1">
        <f>固定流程!G27</f>
        <v>3</v>
      </c>
      <c r="G963" s="1" t="str">
        <f>固定流程!H27</f>
        <v>RHI_BERRY</v>
      </c>
      <c r="H963" s="1">
        <f>固定流程!F27</f>
        <v>1</v>
      </c>
      <c r="I963" s="1">
        <f>INDEX(配置与结果!$B$15:$B$18,F963)</f>
        <v>2597</v>
      </c>
      <c r="J963" s="1">
        <f>INDEX(配置与结果!$D$15:$D$18,F963)</f>
        <v>0.255</v>
      </c>
      <c r="K963" s="1">
        <f>INDEX(配置与结果!$E$15:$E$18,F963)</f>
        <v>1.55</v>
      </c>
      <c r="L963" s="1">
        <f t="shared" si="1349"/>
        <v>2</v>
      </c>
      <c r="M963" s="1">
        <f t="shared" si="1350"/>
        <v>10</v>
      </c>
      <c r="N963" s="1">
        <f t="shared" si="1351"/>
        <v>2</v>
      </c>
      <c r="O963" s="1">
        <f t="shared" si="1343"/>
        <v>0</v>
      </c>
      <c r="P963" s="1">
        <f>MIN(方案参数!$AI$29,AZ962+0+0)</f>
        <v>5</v>
      </c>
      <c r="Q963" s="1">
        <f t="shared" si="1321"/>
        <v>5</v>
      </c>
      <c r="R963" s="1">
        <f t="shared" si="1322"/>
        <v>20</v>
      </c>
      <c r="S963" s="1">
        <f t="shared" si="1323"/>
        <v>3</v>
      </c>
      <c r="T963" s="1">
        <f t="shared" si="1358"/>
        <v>1</v>
      </c>
      <c r="U963" s="1">
        <f t="shared" si="1325"/>
        <v>0</v>
      </c>
      <c r="V963" s="1">
        <f t="shared" si="1326"/>
        <v>3</v>
      </c>
      <c r="W963" s="1">
        <f t="shared" si="1327"/>
        <v>1</v>
      </c>
      <c r="X963" s="1">
        <f t="shared" si="1328"/>
        <v>1</v>
      </c>
      <c r="Y963" s="1">
        <f t="shared" si="1329"/>
        <v>1</v>
      </c>
      <c r="Z963" s="1">
        <f t="shared" si="1330"/>
        <v>1</v>
      </c>
      <c r="AA963" s="1">
        <f t="shared" si="1354"/>
        <v>1</v>
      </c>
      <c r="AB963" s="1">
        <f t="shared" si="1332"/>
        <v>1</v>
      </c>
      <c r="AC963" s="1">
        <f t="shared" si="1359"/>
        <v>1</v>
      </c>
      <c r="AD963" s="1">
        <f>ROUNDDOWN(I963*(1+IF(F963=3,0.05+方案参数!$Y$29+AA963*0.12,IF(F963=4,方案参数!$BZ$29*方案参数!$AS$29,0)))+IF(AND(X963=1,F963&lt;&gt;3),方案参数!$CC$29,0)+AC963*方案参数!$CB$29,0)</f>
        <v>3798</v>
      </c>
      <c r="AE963" s="1">
        <f>IF(OR(F963=1,F963=4),配置与结果!$B$24,配置与结果!$B$25)*MAX(0,1-INDEX(配置与结果!$I$15:$I$18,F963))</f>
        <v>1000</v>
      </c>
      <c r="AF963" s="1">
        <f>方案参数!$CF$29+P963*方案参数!$CG$29</f>
        <v>22.5</v>
      </c>
      <c r="AG963" s="1">
        <f>MAX(配置与结果!$B$32,1+INDEX(配置与结果!$F$15:$F$18,F963)+0+Q963*方案参数!$W$29+Y963*(方案参数!$AN$29+MIN(方案参数!$AO$29,P963*0.03))+AB963*方案参数!$BZ$29*0.025-配置与结果!$B$28)</f>
        <v>1.9100000000000001</v>
      </c>
      <c r="AH963" s="1">
        <f>MAX(0,1+INDEX(配置与结果!$G$15:$G$18,F963)+W963*方案参数!$AG$29)</f>
        <v>1.3</v>
      </c>
      <c r="AI963" s="1">
        <f>IF(OR(INDEX(配置与结果!$K$15:$K$18,F963)=1,G963="RHI_BERRY"),1+配置与结果!$B$33+P963*方案参数!$AH$29,1)</f>
        <v>1.5</v>
      </c>
      <c r="AJ963" s="1">
        <f>MIN(1,MAX(0,J963+方案参数!$AB$29-配置与结果!$B$27))</f>
        <v>0.55499999999999994</v>
      </c>
      <c r="AK963" s="1">
        <f>MAX(1,K963+IF(F963=2,0.15+方案参数!$CH$29,0)+BN963*方案参数!$X$29+R963*方案参数!$AA$29+0-配置与结果!$B$26+Z963*(方案参数!$AP$29+MIN(方案参数!$AQ$29,P963*0.03)))</f>
        <v>1.6900000000000002</v>
      </c>
      <c r="AL963" s="7">
        <f>ROUNDDOWN(MAX(AD963*配置与结果!$B$31,AD963-AE963)*AF963*AG963*AH963*AI963,0)</f>
        <v>234475</v>
      </c>
      <c r="AM963" s="7">
        <f>ROUNDDOWN(MAX(AD963*配置与结果!$B$31,AD963-AE963)*AF963*AG963*AH963*AI963*AK963,0)</f>
        <v>396264</v>
      </c>
      <c r="AN963" s="7">
        <f t="shared" si="1266"/>
        <v>324267.89500000002</v>
      </c>
      <c r="AO963" s="7">
        <f>0</f>
        <v>0</v>
      </c>
      <c r="AP963" s="7">
        <f>MAX(0,1+INDEX(配置与结果!$J$15:$J$18,F963)+IF(T963&gt;0,方案参数!$BY$29,0)-配置与结果!$B$30)</f>
        <v>2</v>
      </c>
      <c r="AQ963" s="7">
        <f t="shared" si="1267"/>
        <v>0</v>
      </c>
      <c r="AR963" s="7">
        <f t="shared" si="1268"/>
        <v>0</v>
      </c>
      <c r="AS963" s="7">
        <f t="shared" si="1269"/>
        <v>0</v>
      </c>
      <c r="AT963" s="7">
        <f>0</f>
        <v>0</v>
      </c>
      <c r="AU963" s="7">
        <f t="shared" si="1270"/>
        <v>324267.89500000002</v>
      </c>
      <c r="AV963" s="1">
        <f t="shared" si="1271"/>
        <v>2</v>
      </c>
      <c r="AW963" s="1">
        <f t="shared" ref="AW963:AW979" si="1364">MIN(10,M963+0+0)</f>
        <v>10</v>
      </c>
      <c r="AX963" s="1">
        <f t="shared" si="1272"/>
        <v>2</v>
      </c>
      <c r="AY963" s="1">
        <f>MIN(20,MAX(0,O963+0+0-0))</f>
        <v>0</v>
      </c>
      <c r="AZ963" s="1">
        <f t="shared" si="1273"/>
        <v>5</v>
      </c>
      <c r="BA963" s="1">
        <f t="shared" si="1355"/>
        <v>5</v>
      </c>
      <c r="BB963" s="1">
        <f t="shared" si="1363"/>
        <v>20</v>
      </c>
      <c r="BC963" s="1">
        <f t="shared" si="1361"/>
        <v>3</v>
      </c>
      <c r="BD963" s="1">
        <f t="shared" si="1342"/>
        <v>1</v>
      </c>
      <c r="BE963" s="1">
        <f t="shared" si="1335"/>
        <v>0</v>
      </c>
      <c r="BF963" s="1">
        <f>MIN(4,V963+0)</f>
        <v>3</v>
      </c>
      <c r="BG963" s="1">
        <f t="shared" si="1352"/>
        <v>1</v>
      </c>
      <c r="BH963" s="1">
        <f t="shared" si="1336"/>
        <v>1</v>
      </c>
      <c r="BI963" s="1">
        <f t="shared" si="1353"/>
        <v>1</v>
      </c>
      <c r="BJ963" s="1">
        <f t="shared" si="1356"/>
        <v>1</v>
      </c>
      <c r="BK963" s="1">
        <f t="shared" si="1357"/>
        <v>1</v>
      </c>
      <c r="BL963" s="1">
        <f t="shared" si="1362"/>
        <v>1</v>
      </c>
      <c r="BM963" s="1">
        <f t="shared" si="1360"/>
        <v>1</v>
      </c>
      <c r="BN963" s="1">
        <f t="shared" si="1337"/>
        <v>1</v>
      </c>
      <c r="BO963" s="1">
        <f t="shared" si="1338"/>
        <v>1</v>
      </c>
    </row>
    <row r="964" spans="1:67" ht="30.95" customHeight="1">
      <c r="A964" s="1">
        <f>26</f>
        <v>26</v>
      </c>
      <c r="B964" s="1">
        <f>固定流程!A28</f>
        <v>23</v>
      </c>
      <c r="C964" s="1">
        <f>29</f>
        <v>29</v>
      </c>
      <c r="D964" s="1">
        <f>1</f>
        <v>1</v>
      </c>
      <c r="E964" s="1">
        <f>固定流程!C28</f>
        <v>3</v>
      </c>
      <c r="F964" s="1">
        <f>固定流程!G28</f>
        <v>2</v>
      </c>
      <c r="G964" s="1" t="str">
        <f>固定流程!H28</f>
        <v>37_FOLLOW</v>
      </c>
      <c r="H964" s="1">
        <f>固定流程!F28</f>
        <v>1</v>
      </c>
      <c r="I964" s="1">
        <f>INDEX(配置与结果!$B$15:$B$18,F964)</f>
        <v>2306</v>
      </c>
      <c r="J964" s="1">
        <f>INDEX(配置与结果!$D$15:$D$18,F964)</f>
        <v>0.46</v>
      </c>
      <c r="K964" s="1">
        <f>INDEX(配置与结果!$E$15:$E$18,F964)</f>
        <v>1.9279999999999999</v>
      </c>
      <c r="L964" s="1">
        <f t="shared" si="1349"/>
        <v>2</v>
      </c>
      <c r="M964" s="1">
        <f t="shared" si="1350"/>
        <v>10</v>
      </c>
      <c r="N964" s="1">
        <f t="shared" si="1351"/>
        <v>2</v>
      </c>
      <c r="O964" s="1">
        <f t="shared" si="1343"/>
        <v>0</v>
      </c>
      <c r="P964" s="1">
        <f>MIN(方案参数!$AI$29,AZ963+0+0)</f>
        <v>5</v>
      </c>
      <c r="Q964" s="1">
        <f t="shared" si="1321"/>
        <v>5</v>
      </c>
      <c r="R964" s="1">
        <f t="shared" si="1322"/>
        <v>20</v>
      </c>
      <c r="S964" s="1">
        <f t="shared" si="1323"/>
        <v>3</v>
      </c>
      <c r="T964" s="1">
        <f t="shared" si="1358"/>
        <v>1</v>
      </c>
      <c r="U964" s="1">
        <f t="shared" si="1325"/>
        <v>0</v>
      </c>
      <c r="V964" s="1">
        <f t="shared" si="1326"/>
        <v>3</v>
      </c>
      <c r="W964" s="1">
        <f t="shared" si="1327"/>
        <v>1</v>
      </c>
      <c r="X964" s="1">
        <f t="shared" si="1328"/>
        <v>1</v>
      </c>
      <c r="Y964" s="1">
        <f t="shared" si="1329"/>
        <v>1</v>
      </c>
      <c r="Z964" s="1">
        <f t="shared" si="1330"/>
        <v>1</v>
      </c>
      <c r="AA964" s="1">
        <f t="shared" si="1354"/>
        <v>1</v>
      </c>
      <c r="AB964" s="1">
        <f t="shared" si="1332"/>
        <v>1</v>
      </c>
      <c r="AC964" s="1">
        <f t="shared" si="1359"/>
        <v>1</v>
      </c>
      <c r="AD964" s="1">
        <f>ROUNDDOWN(I964*(1+IF(F964=3,0.05+方案参数!$Y$29+AA964*0.12,IF(F964=4,方案参数!$BZ$29*方案参数!$AS$29,0)))+IF(AND(X964=1,F964&lt;&gt;3),方案参数!$CC$29,0)+AC964*方案参数!$CB$29,0)</f>
        <v>3044</v>
      </c>
      <c r="AE964" s="1">
        <f>IF(OR(F964=1,F964=4),配置与结果!$B$24,配置与结果!$B$25)*MAX(0,1-INDEX(配置与结果!$I$15:$I$18,F964))</f>
        <v>1000</v>
      </c>
      <c r="AF964" s="1">
        <f>方案参数!$BV$29</f>
        <v>3</v>
      </c>
      <c r="AG964" s="1">
        <f>MAX(配置与结果!$B$32,1+INDEX(配置与结果!$F$15:$F$18,F964)+0+Q964*方案参数!$W$29+Y964*(方案参数!$AN$29+MIN(方案参数!$AO$29,P964*0.03))+AB964*方案参数!$BZ$29*0.025-配置与结果!$B$28)</f>
        <v>1.8800000000000003</v>
      </c>
      <c r="AH964" s="1">
        <f>MAX(0,1+INDEX(配置与结果!$G$15:$G$18,F964)+W964*方案参数!$AG$29)</f>
        <v>1.3</v>
      </c>
      <c r="AI964" s="1">
        <f>IF(OR(INDEX(配置与结果!$K$15:$K$18,F964)=1,G964="RHI_BERRY"),1+配置与结果!$B$33+P964*方案参数!$AH$29,1)</f>
        <v>1</v>
      </c>
      <c r="AJ964" s="1">
        <f>MIN(1,MAX(0,J964+方案参数!$AB$29-配置与结果!$B$27))</f>
        <v>0.76</v>
      </c>
      <c r="AK964" s="1">
        <f>MAX(1,K964+IF(F964=2,0.15+方案参数!$CH$29,0)+BN964*方案参数!$X$29+R964*方案参数!$AA$29+0-配置与结果!$B$26+Z964*(方案参数!$AP$29+MIN(方案参数!$AQ$29,P964*0.03)))</f>
        <v>2.3380000000000001</v>
      </c>
      <c r="AL964" s="7">
        <f>ROUNDDOWN(MAX(AD964*配置与结果!$B$31,AD964-AE964)*AF964*AG964*AH964*AI964,0)</f>
        <v>14986</v>
      </c>
      <c r="AM964" s="7">
        <f>ROUNDDOWN(MAX(AD964*配置与结果!$B$31,AD964-AE964)*AF964*AG964*AH964*AI964*AK964,0)</f>
        <v>35038</v>
      </c>
      <c r="AN964" s="7">
        <f t="shared" si="1266"/>
        <v>30225.52</v>
      </c>
      <c r="AO964" s="7">
        <f>方案参数!$BW$29</f>
        <v>1</v>
      </c>
      <c r="AP964" s="7">
        <f>MAX(0,1+INDEX(配置与结果!$J$15:$J$18,F964)+IF(T964&gt;0,方案参数!$BY$29,0)-配置与结果!$B$30)</f>
        <v>2</v>
      </c>
      <c r="AQ964" s="7">
        <f t="shared" si="1267"/>
        <v>6088</v>
      </c>
      <c r="AR964" s="7">
        <f t="shared" si="1268"/>
        <v>14233</v>
      </c>
      <c r="AS964" s="7">
        <f t="shared" si="1269"/>
        <v>12278.2</v>
      </c>
      <c r="AT964" s="7">
        <f>0</f>
        <v>0</v>
      </c>
      <c r="AU964" s="7">
        <f t="shared" si="1270"/>
        <v>42503.72</v>
      </c>
      <c r="AV964" s="1">
        <f t="shared" si="1271"/>
        <v>2</v>
      </c>
      <c r="AW964" s="1">
        <f t="shared" si="1364"/>
        <v>10</v>
      </c>
      <c r="AX964" s="1">
        <f t="shared" si="1272"/>
        <v>2</v>
      </c>
      <c r="AY964" s="1">
        <f>MIN(20,MAX(0,O964+0+0-0))</f>
        <v>0</v>
      </c>
      <c r="AZ964" s="1">
        <f t="shared" si="1273"/>
        <v>5</v>
      </c>
      <c r="BA964" s="1">
        <f t="shared" si="1355"/>
        <v>5</v>
      </c>
      <c r="BB964" s="1">
        <f t="shared" si="1363"/>
        <v>20</v>
      </c>
      <c r="BC964" s="1">
        <f t="shared" si="1361"/>
        <v>3</v>
      </c>
      <c r="BD964" s="1">
        <f t="shared" si="1342"/>
        <v>0</v>
      </c>
      <c r="BE964" s="1">
        <f t="shared" si="1335"/>
        <v>0</v>
      </c>
      <c r="BF964" s="1">
        <f>MIN(4,V964+1)</f>
        <v>4</v>
      </c>
      <c r="BG964" s="1">
        <f t="shared" si="1352"/>
        <v>1</v>
      </c>
      <c r="BH964" s="1">
        <f t="shared" si="1336"/>
        <v>1</v>
      </c>
      <c r="BI964" s="1">
        <f t="shared" si="1353"/>
        <v>1</v>
      </c>
      <c r="BJ964" s="1">
        <f t="shared" si="1356"/>
        <v>1</v>
      </c>
      <c r="BK964" s="1">
        <f t="shared" si="1357"/>
        <v>1</v>
      </c>
      <c r="BL964" s="1">
        <f t="shared" si="1362"/>
        <v>1</v>
      </c>
      <c r="BM964" s="1">
        <f t="shared" si="1360"/>
        <v>1</v>
      </c>
      <c r="BN964" s="1">
        <f t="shared" si="1337"/>
        <v>1</v>
      </c>
      <c r="BO964" s="1">
        <f t="shared" si="1338"/>
        <v>1</v>
      </c>
    </row>
    <row r="965" spans="1:67" ht="30.95" customHeight="1">
      <c r="A965" s="1">
        <f>26</f>
        <v>26</v>
      </c>
      <c r="B965" s="1">
        <f>固定流程!A29</f>
        <v>24</v>
      </c>
      <c r="C965" s="1">
        <f>29</f>
        <v>29</v>
      </c>
      <c r="D965" s="1">
        <f>2</f>
        <v>2</v>
      </c>
      <c r="E965" s="1">
        <f>固定流程!C29</f>
        <v>3</v>
      </c>
      <c r="F965" s="1">
        <f>固定流程!G29</f>
        <v>1</v>
      </c>
      <c r="G965" s="1" t="str">
        <f>固定流程!H29</f>
        <v>LILYA_WEAK</v>
      </c>
      <c r="H965" s="1">
        <f>固定流程!F29</f>
        <v>1</v>
      </c>
      <c r="I965" s="1">
        <f>INDEX(配置与结果!$B$15:$B$18,F965)</f>
        <v>2296</v>
      </c>
      <c r="J965" s="1">
        <f>INDEX(配置与结果!$D$15:$D$18,F965)</f>
        <v>0.7</v>
      </c>
      <c r="K965" s="1">
        <f>INDEX(配置与结果!$E$15:$E$18,F965)</f>
        <v>2.0249999999999999</v>
      </c>
      <c r="L965" s="1">
        <f t="shared" si="1349"/>
        <v>2</v>
      </c>
      <c r="M965" s="1">
        <f t="shared" si="1350"/>
        <v>10</v>
      </c>
      <c r="N965" s="1">
        <f t="shared" si="1351"/>
        <v>2</v>
      </c>
      <c r="O965" s="1">
        <f t="shared" si="1343"/>
        <v>0</v>
      </c>
      <c r="P965" s="1">
        <f>MIN(方案参数!$AI$29,AZ964+0+0)</f>
        <v>5</v>
      </c>
      <c r="Q965" s="1">
        <f t="shared" si="1321"/>
        <v>5</v>
      </c>
      <c r="R965" s="1">
        <f t="shared" si="1322"/>
        <v>20</v>
      </c>
      <c r="S965" s="1">
        <f t="shared" si="1323"/>
        <v>3</v>
      </c>
      <c r="T965" s="1">
        <f t="shared" si="1358"/>
        <v>0</v>
      </c>
      <c r="U965" s="1">
        <f t="shared" si="1325"/>
        <v>0</v>
      </c>
      <c r="V965" s="1">
        <f t="shared" si="1326"/>
        <v>4</v>
      </c>
      <c r="W965" s="1">
        <f t="shared" si="1327"/>
        <v>1</v>
      </c>
      <c r="X965" s="1">
        <f t="shared" si="1328"/>
        <v>1</v>
      </c>
      <c r="Y965" s="1">
        <f t="shared" si="1329"/>
        <v>1</v>
      </c>
      <c r="Z965" s="1">
        <f t="shared" si="1330"/>
        <v>1</v>
      </c>
      <c r="AA965" s="1">
        <f t="shared" si="1354"/>
        <v>1</v>
      </c>
      <c r="AB965" s="1">
        <f t="shared" si="1332"/>
        <v>1</v>
      </c>
      <c r="AC965" s="1">
        <f t="shared" si="1359"/>
        <v>1</v>
      </c>
      <c r="AD965" s="1">
        <f>ROUNDDOWN(I965*(1+IF(F965=3,0.05+方案参数!$Y$29+AA965*0.12,IF(F965=4,方案参数!$BZ$29*方案参数!$AS$29,0)))+IF(AND(X965=1,F965&lt;&gt;3),方案参数!$CC$29,0)+AC965*方案参数!$CB$29,0)</f>
        <v>3034</v>
      </c>
      <c r="AE965" s="1">
        <f>IF(OR(F965=1,F965=4),配置与结果!$B$24,配置与结果!$B$25)*MAX(0,1-INDEX(配置与结果!$I$15:$I$18,F965))</f>
        <v>1200</v>
      </c>
      <c r="AF965" s="1">
        <f>方案参数!$BL$29</f>
        <v>9</v>
      </c>
      <c r="AG965" s="1">
        <f>MAX(配置与结果!$B$32,1+INDEX(配置与结果!$F$15:$F$18,F965)+0.08+方案参数!$CD$29+Q965*方案参数!$W$29+Y965*(方案参数!$AN$29+MIN(方案参数!$AO$29,P965*0.03))+AB965*方案参数!$BZ$29*0.025-配置与结果!$B$28+方案参数!$AE$29)</f>
        <v>2.5350000000000001</v>
      </c>
      <c r="AH965" s="1">
        <f>MAX(0,1+V965*方案参数!$U$29+0*方案参数!$V$29+方案参数!$AE$29-配置与结果!$B$29)</f>
        <v>1.56</v>
      </c>
      <c r="AI965" s="1">
        <f>IF(OR(INDEX(配置与结果!$K$15:$K$18,F965)=1,G965="RHI_BERRY"),1+配置与结果!$B$33+P965*方案参数!$AH$29,1)</f>
        <v>1</v>
      </c>
      <c r="AJ965" s="1">
        <f>MIN(1,MAX(0,J965+方案参数!$AB$29-配置与结果!$B$27))</f>
        <v>1</v>
      </c>
      <c r="AK965" s="1">
        <f>MAX(1,K965+IF(F965=2,0.15+方案参数!$CH$29,0)+BN965*方案参数!$X$29+R965*方案参数!$AA$29+方案参数!$BP$29-配置与结果!$B$26+Z965*(方案参数!$AP$29+MIN(方案参数!$AQ$29,P965*0.03)))</f>
        <v>2.7650000000000001</v>
      </c>
      <c r="AL965" s="7">
        <f>ROUNDDOWN(MAX(AD965*配置与结果!$B$31,AD965-AE965)*AF965*AG965*AH965*AI965,0)</f>
        <v>65274</v>
      </c>
      <c r="AM965" s="7">
        <f>ROUNDDOWN(MAX(AD965*配置与结果!$B$31,AD965-AE965)*AF965*AG965*AH965*AI965*AK965,0)</f>
        <v>180484</v>
      </c>
      <c r="AN965" s="7">
        <f t="shared" si="1266"/>
        <v>180484</v>
      </c>
      <c r="AO965" s="7">
        <f>0</f>
        <v>0</v>
      </c>
      <c r="AP965" s="7">
        <f>MAX(0,1+INDEX(配置与结果!$J$15:$J$18,F965)+IF(T965&gt;0,方案参数!$BY$29,0)-配置与结果!$B$30)</f>
        <v>1</v>
      </c>
      <c r="AQ965" s="7">
        <f t="shared" si="1267"/>
        <v>0</v>
      </c>
      <c r="AR965" s="7">
        <f t="shared" si="1268"/>
        <v>0</v>
      </c>
      <c r="AS965" s="7">
        <f t="shared" si="1269"/>
        <v>0</v>
      </c>
      <c r="AT965" s="7">
        <f>IF(U965&gt;0,ROUNDDOWN(AL965*方案参数!$AF$29,0)*(1-AJ965)+ROUNDDOWN(AM965*方案参数!$AF$29,0)*AJ965,0)</f>
        <v>0</v>
      </c>
      <c r="AU965" s="7">
        <f t="shared" si="1270"/>
        <v>180484</v>
      </c>
      <c r="AV965" s="1">
        <f t="shared" si="1271"/>
        <v>2</v>
      </c>
      <c r="AW965" s="1">
        <f t="shared" si="1364"/>
        <v>10</v>
      </c>
      <c r="AX965" s="1">
        <f t="shared" si="1272"/>
        <v>2</v>
      </c>
      <c r="AY965" s="1">
        <f>MIN(20,MAX(0,O965+0+1-0))</f>
        <v>1</v>
      </c>
      <c r="AZ965" s="1">
        <f t="shared" si="1273"/>
        <v>5</v>
      </c>
      <c r="BA965" s="1">
        <f t="shared" si="1355"/>
        <v>5</v>
      </c>
      <c r="BB965" s="1">
        <f t="shared" si="1363"/>
        <v>20</v>
      </c>
      <c r="BC965" s="1">
        <f t="shared" si="1361"/>
        <v>3</v>
      </c>
      <c r="BD965" s="1">
        <f t="shared" si="1342"/>
        <v>0</v>
      </c>
      <c r="BE965" s="1">
        <f>MAX(0,U965-IF(AF965&gt;0,1,0))+0</f>
        <v>0</v>
      </c>
      <c r="BF965" s="1">
        <f t="shared" ref="BF965:BF982" si="1365">MIN(4,V965+0)</f>
        <v>4</v>
      </c>
      <c r="BG965" s="1">
        <f t="shared" si="1352"/>
        <v>1</v>
      </c>
      <c r="BH965" s="1">
        <f t="shared" si="1336"/>
        <v>1</v>
      </c>
      <c r="BI965" s="1">
        <f t="shared" si="1353"/>
        <v>1</v>
      </c>
      <c r="BJ965" s="1">
        <f t="shared" si="1356"/>
        <v>1</v>
      </c>
      <c r="BK965" s="1">
        <f t="shared" si="1357"/>
        <v>1</v>
      </c>
      <c r="BL965" s="1">
        <f t="shared" si="1362"/>
        <v>1</v>
      </c>
      <c r="BM965" s="1">
        <f t="shared" si="1360"/>
        <v>1</v>
      </c>
      <c r="BN965" s="1">
        <f t="shared" si="1337"/>
        <v>1</v>
      </c>
      <c r="BO965" s="1">
        <f t="shared" si="1338"/>
        <v>1</v>
      </c>
    </row>
    <row r="966" spans="1:67" ht="30.95" customHeight="1">
      <c r="A966" s="1">
        <f>26</f>
        <v>26</v>
      </c>
      <c r="B966" s="1">
        <f>固定流程!A30</f>
        <v>25</v>
      </c>
      <c r="C966" s="1">
        <f>29</f>
        <v>29</v>
      </c>
      <c r="D966" s="1">
        <f>2</f>
        <v>2</v>
      </c>
      <c r="E966" s="1">
        <f>固定流程!C30</f>
        <v>3</v>
      </c>
      <c r="F966" s="1">
        <f>固定流程!G30</f>
        <v>1</v>
      </c>
      <c r="G966" s="1" t="str">
        <f>固定流程!H30</f>
        <v>LILYA_WEAK</v>
      </c>
      <c r="H966" s="1">
        <f>固定流程!F30</f>
        <v>1</v>
      </c>
      <c r="I966" s="1">
        <f>INDEX(配置与结果!$B$15:$B$18,F966)</f>
        <v>2296</v>
      </c>
      <c r="J966" s="1">
        <f>INDEX(配置与结果!$D$15:$D$18,F966)</f>
        <v>0.7</v>
      </c>
      <c r="K966" s="1">
        <f>INDEX(配置与结果!$E$15:$E$18,F966)</f>
        <v>2.0249999999999999</v>
      </c>
      <c r="L966" s="1">
        <f t="shared" si="1349"/>
        <v>2</v>
      </c>
      <c r="M966" s="1">
        <f t="shared" si="1350"/>
        <v>10</v>
      </c>
      <c r="N966" s="1">
        <f t="shared" si="1351"/>
        <v>2</v>
      </c>
      <c r="O966" s="1">
        <f t="shared" si="1343"/>
        <v>1</v>
      </c>
      <c r="P966" s="1">
        <f>MIN(方案参数!$AI$29,AZ965+0+0)</f>
        <v>5</v>
      </c>
      <c r="Q966" s="1">
        <f t="shared" si="1321"/>
        <v>5</v>
      </c>
      <c r="R966" s="1">
        <f t="shared" si="1322"/>
        <v>20</v>
      </c>
      <c r="S966" s="1">
        <f t="shared" si="1323"/>
        <v>3</v>
      </c>
      <c r="T966" s="1">
        <f t="shared" si="1358"/>
        <v>0</v>
      </c>
      <c r="U966" s="1">
        <f t="shared" si="1325"/>
        <v>0</v>
      </c>
      <c r="V966" s="1">
        <f t="shared" si="1326"/>
        <v>4</v>
      </c>
      <c r="W966" s="1">
        <f t="shared" si="1327"/>
        <v>1</v>
      </c>
      <c r="X966" s="1">
        <f t="shared" si="1328"/>
        <v>1</v>
      </c>
      <c r="Y966" s="1">
        <f t="shared" si="1329"/>
        <v>1</v>
      </c>
      <c r="Z966" s="1">
        <f t="shared" si="1330"/>
        <v>1</v>
      </c>
      <c r="AA966" s="1">
        <f t="shared" si="1354"/>
        <v>1</v>
      </c>
      <c r="AB966" s="1">
        <f t="shared" si="1332"/>
        <v>1</v>
      </c>
      <c r="AC966" s="1">
        <f t="shared" si="1359"/>
        <v>1</v>
      </c>
      <c r="AD966" s="1">
        <f>ROUNDDOWN(I966*(1+IF(F966=3,0.05+方案参数!$Y$29+AA966*0.12,IF(F966=4,方案参数!$BZ$29*方案参数!$AS$29,0)))+IF(AND(X966=1,F966&lt;&gt;3),方案参数!$CC$29,0)+AC966*方案参数!$CB$29,0)</f>
        <v>3034</v>
      </c>
      <c r="AE966" s="1">
        <f>IF(OR(F966=1,F966=4),配置与结果!$B$24,配置与结果!$B$25)*MAX(0,1-INDEX(配置与结果!$I$15:$I$18,F966))</f>
        <v>1200</v>
      </c>
      <c r="AF966" s="1">
        <f>方案参数!$BL$29</f>
        <v>9</v>
      </c>
      <c r="AG966" s="1">
        <f>MAX(配置与结果!$B$32,1+INDEX(配置与结果!$F$15:$F$18,F966)+0.08+方案参数!$CD$29+Q966*方案参数!$W$29+Y966*(方案参数!$AN$29+MIN(方案参数!$AO$29,P966*0.03))+AB966*方案参数!$BZ$29*0.025-配置与结果!$B$28+方案参数!$AE$29)</f>
        <v>2.5350000000000001</v>
      </c>
      <c r="AH966" s="1">
        <f>MAX(0,1+V966*方案参数!$U$29+1*方案参数!$V$29+方案参数!$AE$29-配置与结果!$B$29)</f>
        <v>1.5899999999999999</v>
      </c>
      <c r="AI966" s="1">
        <f>IF(OR(INDEX(配置与结果!$K$15:$K$18,F966)=1,G966="RHI_BERRY"),1+配置与结果!$B$33+P966*方案参数!$AH$29,1)</f>
        <v>1</v>
      </c>
      <c r="AJ966" s="1">
        <f>MIN(1,MAX(0,J966+方案参数!$AB$29-配置与结果!$B$27))</f>
        <v>1</v>
      </c>
      <c r="AK966" s="1">
        <f>MAX(1,K966+IF(F966=2,0.15+方案参数!$CH$29,0)+BN966*方案参数!$X$29+R966*方案参数!$AA$29+方案参数!$BP$29-配置与结果!$B$26+Z966*(方案参数!$AP$29+MIN(方案参数!$AQ$29,P966*0.03)))</f>
        <v>2.7650000000000001</v>
      </c>
      <c r="AL966" s="7">
        <f>ROUNDDOWN(MAX(AD966*配置与结果!$B$31,AD966-AE966)*AF966*AG966*AH966*AI966,0)</f>
        <v>66529</v>
      </c>
      <c r="AM966" s="7">
        <f>ROUNDDOWN(MAX(AD966*配置与结果!$B$31,AD966-AE966)*AF966*AG966*AH966*AI966*AK966,0)</f>
        <v>183955</v>
      </c>
      <c r="AN966" s="7">
        <f t="shared" ref="AN966:AN1029" si="1366">AL966*(1-AJ966)+AM966*AJ966</f>
        <v>183955</v>
      </c>
      <c r="AO966" s="7">
        <f>0</f>
        <v>0</v>
      </c>
      <c r="AP966" s="7">
        <f>MAX(0,1+INDEX(配置与结果!$J$15:$J$18,F966)+IF(T966&gt;0,方案参数!$BY$29,0)-配置与结果!$B$30)</f>
        <v>1</v>
      </c>
      <c r="AQ966" s="7">
        <f t="shared" ref="AQ966:AQ1029" si="1367">ROUNDDOWN(ROUNDDOWN(AD966*AO966,0)*AP966,0)</f>
        <v>0</v>
      </c>
      <c r="AR966" s="7">
        <f t="shared" ref="AR966:AR1029" si="1368">ROUNDDOWN(ROUNDDOWN(AD966*AO966,0)*AP966*AK966,0)</f>
        <v>0</v>
      </c>
      <c r="AS966" s="7">
        <f t="shared" ref="AS966:AS1029" si="1369">AQ966*(1-AJ966)+AR966*AJ966</f>
        <v>0</v>
      </c>
      <c r="AT966" s="7">
        <f>IF(U966&gt;0,ROUNDDOWN(AL966*方案参数!$AF$29,0)*(1-AJ966)+ROUNDDOWN(AM966*方案参数!$AF$29,0)*AJ966,0)</f>
        <v>0</v>
      </c>
      <c r="AU966" s="7">
        <f t="shared" ref="AU966:AU1029" si="1370">AN966+AS966+AT966</f>
        <v>183955</v>
      </c>
      <c r="AV966" s="1">
        <f t="shared" ref="AV966:AV1029" si="1371">IF(G966="LILYA_COBRA",IF(L966=0,1,L966),L966)</f>
        <v>2</v>
      </c>
      <c r="AW966" s="1">
        <f t="shared" si="1364"/>
        <v>10</v>
      </c>
      <c r="AX966" s="1">
        <f t="shared" ref="AX966:AX1029" si="1372">N966</f>
        <v>2</v>
      </c>
      <c r="AY966" s="1">
        <f>MIN(20,MAX(0,O966+0+1-0))</f>
        <v>2</v>
      </c>
      <c r="AZ966" s="1">
        <f t="shared" ref="AZ966:AZ1029" si="1373">P966</f>
        <v>5</v>
      </c>
      <c r="BA966" s="1">
        <f t="shared" si="1355"/>
        <v>5</v>
      </c>
      <c r="BB966" s="1">
        <f t="shared" si="1363"/>
        <v>20</v>
      </c>
      <c r="BC966" s="1">
        <f t="shared" si="1361"/>
        <v>3</v>
      </c>
      <c r="BD966" s="1">
        <f t="shared" si="1342"/>
        <v>0</v>
      </c>
      <c r="BE966" s="1">
        <f>MAX(0,U966-IF(AF966&gt;0,1,0))+0</f>
        <v>0</v>
      </c>
      <c r="BF966" s="1">
        <f t="shared" si="1365"/>
        <v>4</v>
      </c>
      <c r="BG966" s="1">
        <f t="shared" si="1352"/>
        <v>1</v>
      </c>
      <c r="BH966" s="1">
        <f t="shared" si="1336"/>
        <v>1</v>
      </c>
      <c r="BI966" s="1">
        <f t="shared" si="1353"/>
        <v>1</v>
      </c>
      <c r="BJ966" s="1">
        <f t="shared" si="1356"/>
        <v>1</v>
      </c>
      <c r="BK966" s="1">
        <f t="shared" si="1357"/>
        <v>1</v>
      </c>
      <c r="BL966" s="1">
        <f t="shared" si="1362"/>
        <v>1</v>
      </c>
      <c r="BM966" s="1">
        <f t="shared" si="1360"/>
        <v>1</v>
      </c>
      <c r="BN966" s="1">
        <f t="shared" si="1337"/>
        <v>1</v>
      </c>
      <c r="BO966" s="1">
        <f t="shared" si="1338"/>
        <v>1</v>
      </c>
    </row>
    <row r="967" spans="1:67" ht="30.95" customHeight="1">
      <c r="A967" s="1">
        <f>26</f>
        <v>26</v>
      </c>
      <c r="B967" s="1">
        <f>固定流程!A31</f>
        <v>26</v>
      </c>
      <c r="C967" s="1">
        <f>29</f>
        <v>29</v>
      </c>
      <c r="D967" s="1">
        <f>2</f>
        <v>2</v>
      </c>
      <c r="E967" s="1">
        <f>固定流程!C31</f>
        <v>3</v>
      </c>
      <c r="F967" s="1">
        <f>固定流程!G31</f>
        <v>2</v>
      </c>
      <c r="G967" s="1" t="str">
        <f>固定流程!H31</f>
        <v>37_WEAK</v>
      </c>
      <c r="H967" s="1">
        <f>固定流程!F31</f>
        <v>1</v>
      </c>
      <c r="I967" s="1">
        <f>INDEX(配置与结果!$B$15:$B$18,F967)</f>
        <v>2306</v>
      </c>
      <c r="J967" s="1">
        <f>INDEX(配置与结果!$D$15:$D$18,F967)</f>
        <v>0.46</v>
      </c>
      <c r="K967" s="1">
        <f>INDEX(配置与结果!$E$15:$E$18,F967)</f>
        <v>1.9279999999999999</v>
      </c>
      <c r="L967" s="1">
        <f t="shared" si="1349"/>
        <v>2</v>
      </c>
      <c r="M967" s="1">
        <f t="shared" si="1350"/>
        <v>10</v>
      </c>
      <c r="N967" s="1">
        <f t="shared" si="1351"/>
        <v>2</v>
      </c>
      <c r="O967" s="1">
        <f t="shared" si="1343"/>
        <v>2</v>
      </c>
      <c r="P967" s="1">
        <f>MIN(方案参数!$AI$29,AZ966+0+0)</f>
        <v>5</v>
      </c>
      <c r="Q967" s="1">
        <f t="shared" si="1321"/>
        <v>5</v>
      </c>
      <c r="R967" s="1">
        <f t="shared" si="1322"/>
        <v>20</v>
      </c>
      <c r="S967" s="1">
        <f t="shared" si="1323"/>
        <v>3</v>
      </c>
      <c r="T967" s="1">
        <f t="shared" si="1358"/>
        <v>0</v>
      </c>
      <c r="U967" s="1">
        <f t="shared" si="1325"/>
        <v>0</v>
      </c>
      <c r="V967" s="1">
        <f t="shared" si="1326"/>
        <v>4</v>
      </c>
      <c r="W967" s="1">
        <f t="shared" si="1327"/>
        <v>1</v>
      </c>
      <c r="X967" s="1">
        <f t="shared" si="1328"/>
        <v>1</v>
      </c>
      <c r="Y967" s="1">
        <f t="shared" si="1329"/>
        <v>1</v>
      </c>
      <c r="Z967" s="1">
        <f t="shared" si="1330"/>
        <v>1</v>
      </c>
      <c r="AA967" s="1">
        <f t="shared" si="1354"/>
        <v>1</v>
      </c>
      <c r="AB967" s="1">
        <f t="shared" si="1332"/>
        <v>1</v>
      </c>
      <c r="AC967" s="1">
        <f t="shared" si="1359"/>
        <v>1</v>
      </c>
      <c r="AD967" s="1">
        <f>ROUNDDOWN(I967*(1+IF(F967=3,0.05+方案参数!$Y$29+AA967*0.12,IF(F967=4,方案参数!$BZ$29*方案参数!$AS$29,0)))+IF(AND(X967=1,F967&lt;&gt;3),方案参数!$CC$29,0)+AC967*方案参数!$CB$29,0)</f>
        <v>3044</v>
      </c>
      <c r="AE967" s="1">
        <f>IF(OR(F967=1,F967=4),配置与结果!$B$24,配置与结果!$B$25)*MAX(0,1-INDEX(配置与结果!$I$15:$I$18,F967))</f>
        <v>1000</v>
      </c>
      <c r="AF967" s="1">
        <f>方案参数!$CE$29</f>
        <v>8</v>
      </c>
      <c r="AG967" s="1">
        <f>MAX(配置与结果!$B$32,1+INDEX(配置与结果!$F$15:$F$18,F967)+0+Q967*方案参数!$W$29+Y967*(方案参数!$AN$29+MIN(方案参数!$AO$29,P967*0.03))+AB967*方案参数!$BZ$29*0.025-配置与结果!$B$28+方案参数!$AE$29)</f>
        <v>2.2800000000000002</v>
      </c>
      <c r="AH967" s="1">
        <f>MAX(0,1+V967*方案参数!$U$29+方案参数!$AE$29-配置与结果!$B$29)</f>
        <v>1.56</v>
      </c>
      <c r="AI967" s="1">
        <f>IF(OR(INDEX(配置与结果!$K$15:$K$18,F967)=1,G967="RHI_BERRY"),1+配置与结果!$B$33+P967*方案参数!$AH$29,1)</f>
        <v>1</v>
      </c>
      <c r="AJ967" s="1">
        <f>MIN(1,MAX(0,J967+方案参数!$AB$29-配置与结果!$B$27))</f>
        <v>0.76</v>
      </c>
      <c r="AK967" s="1">
        <f>MAX(1,K967+IF(F967=2,0.15+方案参数!$CH$29,0)+BN967*方案参数!$X$29+R967*方案参数!$AA$29+0-配置与结果!$B$26+Z967*(方案参数!$AP$29+MIN(方案参数!$AQ$29,P967*0.03)))</f>
        <v>2.3380000000000001</v>
      </c>
      <c r="AL967" s="7">
        <f>ROUNDDOWN(MAX(AD967*配置与结果!$B$31,AD967-AE967)*AF967*AG967*AH967*AI967,0)</f>
        <v>58160</v>
      </c>
      <c r="AM967" s="7">
        <f>ROUNDDOWN(MAX(AD967*配置与结果!$B$31,AD967-AE967)*AF967*AG967*AH967*AI967*AK967,0)</f>
        <v>135979</v>
      </c>
      <c r="AN967" s="7">
        <f t="shared" si="1366"/>
        <v>117302.44</v>
      </c>
      <c r="AO967" s="7">
        <f>0</f>
        <v>0</v>
      </c>
      <c r="AP967" s="7">
        <f>MAX(0,1+INDEX(配置与结果!$J$15:$J$18,F967)+IF(T967&gt;0,方案参数!$BY$29,0)-配置与结果!$B$30)</f>
        <v>1</v>
      </c>
      <c r="AQ967" s="7">
        <f t="shared" si="1367"/>
        <v>0</v>
      </c>
      <c r="AR967" s="7">
        <f t="shared" si="1368"/>
        <v>0</v>
      </c>
      <c r="AS967" s="7">
        <f t="shared" si="1369"/>
        <v>0</v>
      </c>
      <c r="AT967" s="7">
        <f>IF(U967&gt;0,ROUNDDOWN(AL967*方案参数!$AF$29,0)*(1-AJ967)+ROUNDDOWN(AM967*方案参数!$AF$29,0)*AJ967,0)</f>
        <v>0</v>
      </c>
      <c r="AU967" s="7">
        <f t="shared" si="1370"/>
        <v>117302.44</v>
      </c>
      <c r="AV967" s="1">
        <f t="shared" si="1371"/>
        <v>2</v>
      </c>
      <c r="AW967" s="1">
        <f t="shared" si="1364"/>
        <v>10</v>
      </c>
      <c r="AX967" s="1">
        <f t="shared" si="1372"/>
        <v>2</v>
      </c>
      <c r="AY967" s="1">
        <f>MIN(20,MAX(0,O967+0+0-0))</f>
        <v>2</v>
      </c>
      <c r="AZ967" s="1">
        <f t="shared" si="1373"/>
        <v>5</v>
      </c>
      <c r="BA967" s="1">
        <f t="shared" si="1355"/>
        <v>5</v>
      </c>
      <c r="BB967" s="1">
        <f t="shared" si="1363"/>
        <v>20</v>
      </c>
      <c r="BC967" s="1">
        <f t="shared" si="1361"/>
        <v>3</v>
      </c>
      <c r="BD967" s="1">
        <f t="shared" si="1342"/>
        <v>0</v>
      </c>
      <c r="BE967" s="1">
        <f>MAX(0,U967-IF(AF967&gt;0,1,0))+1</f>
        <v>1</v>
      </c>
      <c r="BF967" s="1">
        <f t="shared" si="1365"/>
        <v>4</v>
      </c>
      <c r="BG967" s="1">
        <f t="shared" si="1352"/>
        <v>1</v>
      </c>
      <c r="BH967" s="1">
        <f t="shared" si="1336"/>
        <v>1</v>
      </c>
      <c r="BI967" s="1">
        <f t="shared" si="1353"/>
        <v>1</v>
      </c>
      <c r="BJ967" s="1">
        <f t="shared" si="1356"/>
        <v>1</v>
      </c>
      <c r="BK967" s="1">
        <f t="shared" si="1357"/>
        <v>1</v>
      </c>
      <c r="BL967" s="1">
        <f t="shared" si="1362"/>
        <v>1</v>
      </c>
      <c r="BM967" s="1">
        <f t="shared" si="1360"/>
        <v>1</v>
      </c>
      <c r="BN967" s="1">
        <f t="shared" si="1337"/>
        <v>1</v>
      </c>
      <c r="BO967" s="1">
        <f t="shared" si="1338"/>
        <v>1</v>
      </c>
    </row>
    <row r="968" spans="1:67" ht="30.95" customHeight="1">
      <c r="A968" s="1">
        <f>26</f>
        <v>26</v>
      </c>
      <c r="B968" s="1">
        <f>固定流程!A32</f>
        <v>27</v>
      </c>
      <c r="C968" s="1">
        <f>29</f>
        <v>29</v>
      </c>
      <c r="D968" s="1">
        <f>2</f>
        <v>2</v>
      </c>
      <c r="E968" s="1">
        <f>固定流程!C32</f>
        <v>3</v>
      </c>
      <c r="F968" s="1">
        <f>固定流程!G32</f>
        <v>1</v>
      </c>
      <c r="G968" s="1" t="str">
        <f>固定流程!H32</f>
        <v>LILYA_THIRD</v>
      </c>
      <c r="H968" s="1">
        <f>固定流程!F32</f>
        <v>1</v>
      </c>
      <c r="I968" s="1">
        <f>INDEX(配置与结果!$B$15:$B$18,F968)</f>
        <v>2296</v>
      </c>
      <c r="J968" s="1">
        <f>INDEX(配置与结果!$D$15:$D$18,F968)</f>
        <v>0.7</v>
      </c>
      <c r="K968" s="1">
        <f>INDEX(配置与结果!$E$15:$E$18,F968)</f>
        <v>2.0249999999999999</v>
      </c>
      <c r="L968" s="1">
        <f t="shared" si="1349"/>
        <v>2</v>
      </c>
      <c r="M968" s="1">
        <f t="shared" si="1350"/>
        <v>10</v>
      </c>
      <c r="N968" s="1">
        <f t="shared" si="1351"/>
        <v>2</v>
      </c>
      <c r="O968" s="1">
        <f t="shared" si="1343"/>
        <v>2</v>
      </c>
      <c r="P968" s="1">
        <f>MIN(方案参数!$AI$29,AZ967+0+0)</f>
        <v>5</v>
      </c>
      <c r="Q968" s="1">
        <f t="shared" si="1321"/>
        <v>5</v>
      </c>
      <c r="R968" s="1">
        <f t="shared" si="1322"/>
        <v>20</v>
      </c>
      <c r="S968" s="1">
        <f t="shared" si="1323"/>
        <v>3</v>
      </c>
      <c r="T968" s="1">
        <f t="shared" si="1358"/>
        <v>0</v>
      </c>
      <c r="U968" s="1">
        <f t="shared" si="1325"/>
        <v>1</v>
      </c>
      <c r="V968" s="1">
        <f t="shared" si="1326"/>
        <v>4</v>
      </c>
      <c r="W968" s="1">
        <f t="shared" si="1327"/>
        <v>1</v>
      </c>
      <c r="X968" s="1">
        <f t="shared" si="1328"/>
        <v>1</v>
      </c>
      <c r="Y968" s="1">
        <f t="shared" si="1329"/>
        <v>1</v>
      </c>
      <c r="Z968" s="1">
        <f t="shared" si="1330"/>
        <v>1</v>
      </c>
      <c r="AA968" s="1">
        <f t="shared" si="1354"/>
        <v>1</v>
      </c>
      <c r="AB968" s="1">
        <f t="shared" si="1332"/>
        <v>1</v>
      </c>
      <c r="AC968" s="1">
        <f t="shared" si="1359"/>
        <v>1</v>
      </c>
      <c r="AD968" s="1">
        <f>ROUNDDOWN(I968*(1+IF(F968=3,0.05+方案参数!$Y$29+AA968*0.12,IF(F968=4,方案参数!$BZ$29*方案参数!$AS$29,0)))+IF(AND(X968=1,F968&lt;&gt;3),方案参数!$CC$29,0)+AC968*方案参数!$CB$29,0)</f>
        <v>3034</v>
      </c>
      <c r="AE968" s="1">
        <f>IF(OR(F968=1,F968=4),配置与结果!$B$24,配置与结果!$B$25)*MAX(0,1-INDEX(配置与结果!$I$15:$I$18,F968))</f>
        <v>1200</v>
      </c>
      <c r="AF968" s="1">
        <f>方案参数!$BM$29</f>
        <v>20</v>
      </c>
      <c r="AG968" s="1">
        <f>MAX(配置与结果!$B$32,1+INDEX(配置与结果!$F$15:$F$18,F968)+0.08+方案参数!$CD$29+Q968*方案参数!$W$29+Y968*(方案参数!$AN$29+MIN(方案参数!$AO$29,P968*0.03))+AB968*方案参数!$BZ$29*0.025-配置与结果!$B$28+方案参数!$AE$29)</f>
        <v>2.5350000000000001</v>
      </c>
      <c r="AH968" s="1">
        <f>MAX(0,1+V968*方案参数!$U$29+3*方案参数!$V$29+方案参数!$AE$29-配置与结果!$B$29)</f>
        <v>1.65</v>
      </c>
      <c r="AI968" s="1">
        <f>IF(OR(INDEX(配置与结果!$K$15:$K$18,F968)=1,G968="RHI_BERRY"),1+配置与结果!$B$33+P968*方案参数!$AH$29,1)</f>
        <v>1</v>
      </c>
      <c r="AJ968" s="1">
        <f>MIN(1,MAX(0,J968+方案参数!$AB$29-配置与结果!$B$27))</f>
        <v>1</v>
      </c>
      <c r="AK968" s="1">
        <f>MAX(1,K968+IF(F968=2,0.15+方案参数!$CH$29,0)+BN968*方案参数!$X$29+R968*方案参数!$AA$29+方案参数!$BQ$29-配置与结果!$B$26+Z968*(方案参数!$AP$29+MIN(方案参数!$AQ$29,P968*0.03)))</f>
        <v>2.9650000000000003</v>
      </c>
      <c r="AL968" s="7">
        <f>ROUNDDOWN(MAX(AD968*配置与结果!$B$31,AD968-AE968)*AF968*AG968*AH968*AI968,0)</f>
        <v>153423</v>
      </c>
      <c r="AM968" s="7">
        <f>ROUNDDOWN(MAX(AD968*配置与结果!$B$31,AD968-AE968)*AF968*AG968*AH968*AI968*AK968,0)</f>
        <v>454899</v>
      </c>
      <c r="AN968" s="7">
        <f t="shared" si="1366"/>
        <v>454899</v>
      </c>
      <c r="AO968" s="7">
        <f>0</f>
        <v>0</v>
      </c>
      <c r="AP968" s="7">
        <f>MAX(0,1+INDEX(配置与结果!$J$15:$J$18,F968)+IF(T968&gt;0,方案参数!$BY$29,0)-配置与结果!$B$30)</f>
        <v>1</v>
      </c>
      <c r="AQ968" s="7">
        <f t="shared" si="1367"/>
        <v>0</v>
      </c>
      <c r="AR968" s="7">
        <f t="shared" si="1368"/>
        <v>0</v>
      </c>
      <c r="AS968" s="7">
        <f t="shared" si="1369"/>
        <v>0</v>
      </c>
      <c r="AT968" s="7">
        <f>IF(U968&gt;0,ROUNDDOWN(AL968*方案参数!$AF$29,0)*(1-AJ968)+ROUNDDOWN(AM968*方案参数!$AF$29,0)*AJ968,0)</f>
        <v>181959</v>
      </c>
      <c r="AU968" s="7">
        <f t="shared" si="1370"/>
        <v>636858</v>
      </c>
      <c r="AV968" s="1">
        <f t="shared" si="1371"/>
        <v>2</v>
      </c>
      <c r="AW968" s="1">
        <f t="shared" si="1364"/>
        <v>10</v>
      </c>
      <c r="AX968" s="1">
        <f t="shared" si="1372"/>
        <v>2</v>
      </c>
      <c r="AY968" s="1">
        <f>MIN(20,MAX(0,O968+0+1-0))</f>
        <v>3</v>
      </c>
      <c r="AZ968" s="1">
        <f t="shared" si="1373"/>
        <v>5</v>
      </c>
      <c r="BA968" s="1">
        <f t="shared" si="1355"/>
        <v>5</v>
      </c>
      <c r="BB968" s="1">
        <f t="shared" si="1363"/>
        <v>20</v>
      </c>
      <c r="BC968" s="1">
        <f t="shared" si="1361"/>
        <v>3</v>
      </c>
      <c r="BD968" s="1">
        <f t="shared" si="1342"/>
        <v>0</v>
      </c>
      <c r="BE968" s="1">
        <f>MAX(0,U968-IF(AF968&gt;0,1,0))+0</f>
        <v>0</v>
      </c>
      <c r="BF968" s="1">
        <f t="shared" si="1365"/>
        <v>4</v>
      </c>
      <c r="BG968" s="1">
        <f t="shared" si="1352"/>
        <v>1</v>
      </c>
      <c r="BH968" s="1">
        <f t="shared" si="1336"/>
        <v>1</v>
      </c>
      <c r="BI968" s="1">
        <f t="shared" si="1353"/>
        <v>1</v>
      </c>
      <c r="BJ968" s="1">
        <f t="shared" si="1356"/>
        <v>1</v>
      </c>
      <c r="BK968" s="1">
        <f t="shared" si="1357"/>
        <v>1</v>
      </c>
      <c r="BL968" s="1">
        <f t="shared" si="1362"/>
        <v>1</v>
      </c>
      <c r="BM968" s="1">
        <f t="shared" si="1360"/>
        <v>1</v>
      </c>
      <c r="BN968" s="1">
        <f t="shared" si="1337"/>
        <v>1</v>
      </c>
      <c r="BO968" s="1">
        <f t="shared" si="1338"/>
        <v>1</v>
      </c>
    </row>
    <row r="969" spans="1:67" ht="30.95" customHeight="1">
      <c r="A969" s="1">
        <f>26</f>
        <v>26</v>
      </c>
      <c r="B969" s="1">
        <f>固定流程!A33</f>
        <v>28</v>
      </c>
      <c r="C969" s="1">
        <f>29</f>
        <v>29</v>
      </c>
      <c r="D969" s="1">
        <f>2</f>
        <v>2</v>
      </c>
      <c r="E969" s="1">
        <f>固定流程!C33</f>
        <v>3</v>
      </c>
      <c r="F969" s="1">
        <f>固定流程!G33</f>
        <v>1</v>
      </c>
      <c r="G969" s="1" t="str">
        <f>固定流程!H33</f>
        <v>LILYA_WEAK</v>
      </c>
      <c r="H969" s="1">
        <f>固定流程!F33</f>
        <v>1</v>
      </c>
      <c r="I969" s="1">
        <f>INDEX(配置与结果!$B$15:$B$18,F969)</f>
        <v>2296</v>
      </c>
      <c r="J969" s="1">
        <f>INDEX(配置与结果!$D$15:$D$18,F969)</f>
        <v>0.7</v>
      </c>
      <c r="K969" s="1">
        <f>INDEX(配置与结果!$E$15:$E$18,F969)</f>
        <v>2.0249999999999999</v>
      </c>
      <c r="L969" s="1">
        <f t="shared" si="1349"/>
        <v>2</v>
      </c>
      <c r="M969" s="1">
        <f t="shared" si="1350"/>
        <v>10</v>
      </c>
      <c r="N969" s="1">
        <f t="shared" si="1351"/>
        <v>2</v>
      </c>
      <c r="O969" s="1">
        <f t="shared" si="1343"/>
        <v>3</v>
      </c>
      <c r="P969" s="1">
        <f>MIN(方案参数!$AI$29,AZ968+0+0)</f>
        <v>5</v>
      </c>
      <c r="Q969" s="1">
        <f t="shared" si="1321"/>
        <v>5</v>
      </c>
      <c r="R969" s="1">
        <f t="shared" si="1322"/>
        <v>20</v>
      </c>
      <c r="S969" s="1">
        <f t="shared" si="1323"/>
        <v>3</v>
      </c>
      <c r="T969" s="1">
        <f t="shared" si="1358"/>
        <v>0</v>
      </c>
      <c r="U969" s="1">
        <f t="shared" si="1325"/>
        <v>0</v>
      </c>
      <c r="V969" s="1">
        <f t="shared" si="1326"/>
        <v>4</v>
      </c>
      <c r="W969" s="1">
        <f t="shared" si="1327"/>
        <v>1</v>
      </c>
      <c r="X969" s="1">
        <f t="shared" si="1328"/>
        <v>1</v>
      </c>
      <c r="Y969" s="1">
        <f t="shared" si="1329"/>
        <v>1</v>
      </c>
      <c r="Z969" s="1">
        <f t="shared" si="1330"/>
        <v>1</v>
      </c>
      <c r="AA969" s="1">
        <f t="shared" si="1354"/>
        <v>1</v>
      </c>
      <c r="AB969" s="1">
        <f t="shared" si="1332"/>
        <v>1</v>
      </c>
      <c r="AC969" s="1">
        <f t="shared" si="1359"/>
        <v>1</v>
      </c>
      <c r="AD969" s="1">
        <f>ROUNDDOWN(I969*(1+IF(F969=3,0.05+方案参数!$Y$29+AA969*0.12,IF(F969=4,方案参数!$BZ$29*方案参数!$AS$29,0)))+IF(AND(X969=1,F969&lt;&gt;3),方案参数!$CC$29,0)+AC969*方案参数!$CB$29,0)</f>
        <v>3034</v>
      </c>
      <c r="AE969" s="1">
        <f>IF(OR(F969=1,F969=4),配置与结果!$B$24,配置与结果!$B$25)*MAX(0,1-INDEX(配置与结果!$I$15:$I$18,F969))</f>
        <v>1200</v>
      </c>
      <c r="AF969" s="1">
        <f>方案参数!$BL$29</f>
        <v>9</v>
      </c>
      <c r="AG969" s="1">
        <f>MAX(配置与结果!$B$32,1+INDEX(配置与结果!$F$15:$F$18,F969)+0.08+方案参数!$CD$29+Q969*方案参数!$W$29+Y969*(方案参数!$AN$29+MIN(方案参数!$AO$29,P969*0.03))+AB969*方案参数!$BZ$29*0.025-配置与结果!$B$28+方案参数!$AE$29)</f>
        <v>2.5350000000000001</v>
      </c>
      <c r="AH969" s="1">
        <f>MAX(0,1+V969*方案参数!$U$29+4*方案参数!$V$29+方案参数!$AE$29-配置与结果!$B$29)</f>
        <v>1.6799999999999997</v>
      </c>
      <c r="AI969" s="1">
        <f>IF(OR(INDEX(配置与结果!$K$15:$K$18,F969)=1,G969="RHI_BERRY"),1+配置与结果!$B$33+P969*方案参数!$AH$29,1)</f>
        <v>1</v>
      </c>
      <c r="AJ969" s="1">
        <f>MIN(1,MAX(0,J969+方案参数!$AB$29-配置与结果!$B$27))</f>
        <v>1</v>
      </c>
      <c r="AK969" s="1">
        <f>MAX(1,K969+IF(F969=2,0.15+方案参数!$CH$29,0)+BN969*方案参数!$X$29+R969*方案参数!$AA$29+方案参数!$BP$29-配置与结果!$B$26+Z969*(方案参数!$AP$29+MIN(方案参数!$AQ$29,P969*0.03)))</f>
        <v>2.7650000000000001</v>
      </c>
      <c r="AL969" s="7">
        <f>ROUNDDOWN(MAX(AD969*配置与结果!$B$31,AD969-AE969)*AF969*AG969*AH969*AI969,0)</f>
        <v>70295</v>
      </c>
      <c r="AM969" s="7">
        <f>ROUNDDOWN(MAX(AD969*配置与结果!$B$31,AD969-AE969)*AF969*AG969*AH969*AI969*AK969,0)</f>
        <v>194367</v>
      </c>
      <c r="AN969" s="7">
        <f t="shared" si="1366"/>
        <v>194367</v>
      </c>
      <c r="AO969" s="7">
        <f>0</f>
        <v>0</v>
      </c>
      <c r="AP969" s="7">
        <f>MAX(0,1+INDEX(配置与结果!$J$15:$J$18,F969)+IF(T969&gt;0,方案参数!$BY$29,0)-配置与结果!$B$30)</f>
        <v>1</v>
      </c>
      <c r="AQ969" s="7">
        <f t="shared" si="1367"/>
        <v>0</v>
      </c>
      <c r="AR969" s="7">
        <f t="shared" si="1368"/>
        <v>0</v>
      </c>
      <c r="AS969" s="7">
        <f t="shared" si="1369"/>
        <v>0</v>
      </c>
      <c r="AT969" s="7">
        <f>IF(U969&gt;0,ROUNDDOWN(AL969*方案参数!$AF$29,0)*(1-AJ969)+ROUNDDOWN(AM969*方案参数!$AF$29,0)*AJ969,0)</f>
        <v>0</v>
      </c>
      <c r="AU969" s="7">
        <f t="shared" si="1370"/>
        <v>194367</v>
      </c>
      <c r="AV969" s="1">
        <f t="shared" si="1371"/>
        <v>2</v>
      </c>
      <c r="AW969" s="1">
        <f t="shared" si="1364"/>
        <v>10</v>
      </c>
      <c r="AX969" s="1">
        <f t="shared" si="1372"/>
        <v>2</v>
      </c>
      <c r="AY969" s="1">
        <f>MIN(20,MAX(0,O969+0+1-0))</f>
        <v>4</v>
      </c>
      <c r="AZ969" s="1">
        <f t="shared" si="1373"/>
        <v>5</v>
      </c>
      <c r="BA969" s="1">
        <f t="shared" si="1355"/>
        <v>5</v>
      </c>
      <c r="BB969" s="1">
        <f t="shared" si="1363"/>
        <v>20</v>
      </c>
      <c r="BC969" s="1">
        <f t="shared" si="1361"/>
        <v>3</v>
      </c>
      <c r="BD969" s="1">
        <f t="shared" si="1342"/>
        <v>0</v>
      </c>
      <c r="BE969" s="1">
        <f>MAX(0,U969-IF(AF969&gt;0,1,0))+0</f>
        <v>0</v>
      </c>
      <c r="BF969" s="1">
        <f t="shared" si="1365"/>
        <v>4</v>
      </c>
      <c r="BG969" s="1">
        <f t="shared" si="1352"/>
        <v>1</v>
      </c>
      <c r="BH969" s="1">
        <f t="shared" si="1336"/>
        <v>1</v>
      </c>
      <c r="BI969" s="1">
        <f t="shared" si="1353"/>
        <v>1</v>
      </c>
      <c r="BJ969" s="1">
        <f t="shared" si="1356"/>
        <v>1</v>
      </c>
      <c r="BK969" s="1">
        <f t="shared" si="1357"/>
        <v>1</v>
      </c>
      <c r="BL969" s="1">
        <f t="shared" si="1362"/>
        <v>1</v>
      </c>
      <c r="BM969" s="1">
        <f t="shared" si="1360"/>
        <v>1</v>
      </c>
      <c r="BN969" s="1">
        <f t="shared" si="1337"/>
        <v>1</v>
      </c>
      <c r="BO969" s="1">
        <f t="shared" si="1338"/>
        <v>1</v>
      </c>
    </row>
    <row r="970" spans="1:67" ht="30.95" customHeight="1">
      <c r="A970" s="1">
        <f>26</f>
        <v>26</v>
      </c>
      <c r="B970" s="1">
        <f>固定流程!A34</f>
        <v>29</v>
      </c>
      <c r="C970" s="1">
        <f>29</f>
        <v>29</v>
      </c>
      <c r="D970" s="1">
        <f>2</f>
        <v>2</v>
      </c>
      <c r="E970" s="1">
        <f>固定流程!C34</f>
        <v>3</v>
      </c>
      <c r="F970" s="1">
        <f>固定流程!G34</f>
        <v>1</v>
      </c>
      <c r="G970" s="1" t="str">
        <f>固定流程!H34</f>
        <v>LILYA_WEAK</v>
      </c>
      <c r="H970" s="1">
        <f>固定流程!F34</f>
        <v>1</v>
      </c>
      <c r="I970" s="1">
        <f>INDEX(配置与结果!$B$15:$B$18,F970)</f>
        <v>2296</v>
      </c>
      <c r="J970" s="1">
        <f>INDEX(配置与结果!$D$15:$D$18,F970)</f>
        <v>0.7</v>
      </c>
      <c r="K970" s="1">
        <f>INDEX(配置与结果!$E$15:$E$18,F970)</f>
        <v>2.0249999999999999</v>
      </c>
      <c r="L970" s="1">
        <f t="shared" si="1349"/>
        <v>2</v>
      </c>
      <c r="M970" s="1">
        <f t="shared" si="1350"/>
        <v>10</v>
      </c>
      <c r="N970" s="1">
        <f t="shared" si="1351"/>
        <v>2</v>
      </c>
      <c r="O970" s="1">
        <f t="shared" si="1343"/>
        <v>4</v>
      </c>
      <c r="P970" s="1">
        <f>MIN(方案参数!$AI$29,AZ969+0+0)</f>
        <v>5</v>
      </c>
      <c r="Q970" s="1">
        <f t="shared" si="1321"/>
        <v>5</v>
      </c>
      <c r="R970" s="1">
        <f t="shared" si="1322"/>
        <v>20</v>
      </c>
      <c r="S970" s="1">
        <f t="shared" si="1323"/>
        <v>3</v>
      </c>
      <c r="T970" s="1">
        <f t="shared" si="1358"/>
        <v>0</v>
      </c>
      <c r="U970" s="1">
        <f t="shared" si="1325"/>
        <v>0</v>
      </c>
      <c r="V970" s="1">
        <f t="shared" si="1326"/>
        <v>4</v>
      </c>
      <c r="W970" s="1">
        <f t="shared" si="1327"/>
        <v>1</v>
      </c>
      <c r="X970" s="1">
        <f t="shared" si="1328"/>
        <v>1</v>
      </c>
      <c r="Y970" s="1">
        <f t="shared" si="1329"/>
        <v>1</v>
      </c>
      <c r="Z970" s="1">
        <f t="shared" si="1330"/>
        <v>1</v>
      </c>
      <c r="AA970" s="1">
        <f t="shared" si="1354"/>
        <v>1</v>
      </c>
      <c r="AB970" s="1">
        <f t="shared" si="1332"/>
        <v>1</v>
      </c>
      <c r="AC970" s="1">
        <f t="shared" si="1359"/>
        <v>1</v>
      </c>
      <c r="AD970" s="1">
        <f>ROUNDDOWN(I970*(1+IF(F970=3,0.05+方案参数!$Y$29+AA970*0.12,IF(F970=4,方案参数!$BZ$29*方案参数!$AS$29,0)))+IF(AND(X970=1,F970&lt;&gt;3),方案参数!$CC$29,0)+AC970*方案参数!$CB$29,0)</f>
        <v>3034</v>
      </c>
      <c r="AE970" s="1">
        <f>IF(OR(F970=1,F970=4),配置与结果!$B$24,配置与结果!$B$25)*MAX(0,1-INDEX(配置与结果!$I$15:$I$18,F970))</f>
        <v>1200</v>
      </c>
      <c r="AF970" s="1">
        <f>方案参数!$BL$29</f>
        <v>9</v>
      </c>
      <c r="AG970" s="1">
        <f>MAX(配置与结果!$B$32,1+INDEX(配置与结果!$F$15:$F$18,F970)+0.08+方案参数!$CD$29+Q970*方案参数!$W$29+Y970*(方案参数!$AN$29+MIN(方案参数!$AO$29,P970*0.03))+AB970*方案参数!$BZ$29*0.025-配置与结果!$B$28+方案参数!$AE$29)</f>
        <v>2.5350000000000001</v>
      </c>
      <c r="AH970" s="1">
        <f>MAX(0,1+V970*方案参数!$U$29+5*方案参数!$V$29+方案参数!$AE$29-配置与结果!$B$29)</f>
        <v>1.71</v>
      </c>
      <c r="AI970" s="1">
        <f>IF(OR(INDEX(配置与结果!$K$15:$K$18,F970)=1,G970="RHI_BERRY"),1+配置与结果!$B$33+P970*方案参数!$AH$29,1)</f>
        <v>1</v>
      </c>
      <c r="AJ970" s="1">
        <f>MIN(1,MAX(0,J970+方案参数!$AB$29-配置与结果!$B$27))</f>
        <v>1</v>
      </c>
      <c r="AK970" s="1">
        <f>MAX(1,K970+IF(F970=2,0.15+方案参数!$CH$29,0)+BN970*方案参数!$X$29+R970*方案参数!$AA$29+方案参数!$BP$29-配置与结果!$B$26+Z970*(方案参数!$AP$29+MIN(方案参数!$AQ$29,P970*0.03)))</f>
        <v>2.7650000000000001</v>
      </c>
      <c r="AL970" s="7">
        <f>ROUNDDOWN(MAX(AD970*配置与结果!$B$31,AD970-AE970)*AF970*AG970*AH970*AI970,0)</f>
        <v>71551</v>
      </c>
      <c r="AM970" s="7">
        <f>ROUNDDOWN(MAX(AD970*配置与结果!$B$31,AD970-AE970)*AF970*AG970*AH970*AI970*AK970,0)</f>
        <v>197838</v>
      </c>
      <c r="AN970" s="7">
        <f t="shared" si="1366"/>
        <v>197838</v>
      </c>
      <c r="AO970" s="7">
        <f>0</f>
        <v>0</v>
      </c>
      <c r="AP970" s="7">
        <f>MAX(0,1+INDEX(配置与结果!$J$15:$J$18,F970)+IF(T970&gt;0,方案参数!$BY$29,0)-配置与结果!$B$30)</f>
        <v>1</v>
      </c>
      <c r="AQ970" s="7">
        <f t="shared" si="1367"/>
        <v>0</v>
      </c>
      <c r="AR970" s="7">
        <f t="shared" si="1368"/>
        <v>0</v>
      </c>
      <c r="AS970" s="7">
        <f t="shared" si="1369"/>
        <v>0</v>
      </c>
      <c r="AT970" s="7">
        <f>IF(U970&gt;0,ROUNDDOWN(AL970*方案参数!$AF$29,0)*(1-AJ970)+ROUNDDOWN(AM970*方案参数!$AF$29,0)*AJ970,0)</f>
        <v>0</v>
      </c>
      <c r="AU970" s="7">
        <f t="shared" si="1370"/>
        <v>197838</v>
      </c>
      <c r="AV970" s="1">
        <f t="shared" si="1371"/>
        <v>2</v>
      </c>
      <c r="AW970" s="1">
        <f t="shared" si="1364"/>
        <v>10</v>
      </c>
      <c r="AX970" s="1">
        <f t="shared" si="1372"/>
        <v>2</v>
      </c>
      <c r="AY970" s="1">
        <f>MIN(20,MAX(0,O970+0+1-0))</f>
        <v>5</v>
      </c>
      <c r="AZ970" s="1">
        <f t="shared" si="1373"/>
        <v>5</v>
      </c>
      <c r="BA970" s="1">
        <f t="shared" si="1355"/>
        <v>5</v>
      </c>
      <c r="BB970" s="1">
        <f t="shared" si="1363"/>
        <v>20</v>
      </c>
      <c r="BC970" s="1">
        <f t="shared" si="1361"/>
        <v>3</v>
      </c>
      <c r="BD970" s="1">
        <f t="shared" si="1342"/>
        <v>0</v>
      </c>
      <c r="BE970" s="1">
        <f>MAX(0,U970-IF(AF970&gt;0,1,0))+0</f>
        <v>0</v>
      </c>
      <c r="BF970" s="1">
        <f t="shared" si="1365"/>
        <v>4</v>
      </c>
      <c r="BG970" s="1">
        <f t="shared" si="1352"/>
        <v>1</v>
      </c>
      <c r="BH970" s="1">
        <f t="shared" si="1336"/>
        <v>1</v>
      </c>
      <c r="BI970" s="1">
        <f t="shared" si="1353"/>
        <v>1</v>
      </c>
      <c r="BJ970" s="1">
        <f t="shared" si="1356"/>
        <v>1</v>
      </c>
      <c r="BK970" s="1">
        <f t="shared" si="1357"/>
        <v>1</v>
      </c>
      <c r="BL970" s="1">
        <f t="shared" si="1362"/>
        <v>1</v>
      </c>
      <c r="BM970" s="1">
        <f t="shared" si="1360"/>
        <v>1</v>
      </c>
      <c r="BN970" s="1">
        <f t="shared" si="1337"/>
        <v>1</v>
      </c>
      <c r="BO970" s="1">
        <f t="shared" si="1338"/>
        <v>1</v>
      </c>
    </row>
    <row r="971" spans="1:67" ht="30.95" customHeight="1">
      <c r="A971" s="1">
        <f>26</f>
        <v>26</v>
      </c>
      <c r="B971" s="1">
        <f>固定流程!A35</f>
        <v>30</v>
      </c>
      <c r="C971" s="1">
        <f>29</f>
        <v>29</v>
      </c>
      <c r="D971" s="1">
        <f>2</f>
        <v>2</v>
      </c>
      <c r="E971" s="1">
        <f>固定流程!C35</f>
        <v>3</v>
      </c>
      <c r="F971" s="1">
        <f>固定流程!G35</f>
        <v>2</v>
      </c>
      <c r="G971" s="1" t="str">
        <f>固定流程!H35</f>
        <v>37_WEAK</v>
      </c>
      <c r="H971" s="1">
        <f>固定流程!F35</f>
        <v>1</v>
      </c>
      <c r="I971" s="1">
        <f>INDEX(配置与结果!$B$15:$B$18,F971)</f>
        <v>2306</v>
      </c>
      <c r="J971" s="1">
        <f>INDEX(配置与结果!$D$15:$D$18,F971)</f>
        <v>0.46</v>
      </c>
      <c r="K971" s="1">
        <f>INDEX(配置与结果!$E$15:$E$18,F971)</f>
        <v>1.9279999999999999</v>
      </c>
      <c r="L971" s="1">
        <f t="shared" si="1349"/>
        <v>2</v>
      </c>
      <c r="M971" s="1">
        <f t="shared" si="1350"/>
        <v>10</v>
      </c>
      <c r="N971" s="1">
        <f t="shared" si="1351"/>
        <v>2</v>
      </c>
      <c r="O971" s="1">
        <f t="shared" si="1343"/>
        <v>5</v>
      </c>
      <c r="P971" s="1">
        <f>MIN(方案参数!$AI$29,AZ970+0+0)</f>
        <v>5</v>
      </c>
      <c r="Q971" s="1">
        <f t="shared" si="1321"/>
        <v>5</v>
      </c>
      <c r="R971" s="1">
        <f t="shared" si="1322"/>
        <v>20</v>
      </c>
      <c r="S971" s="1">
        <f t="shared" si="1323"/>
        <v>3</v>
      </c>
      <c r="T971" s="1">
        <f t="shared" si="1358"/>
        <v>0</v>
      </c>
      <c r="U971" s="1">
        <f t="shared" si="1325"/>
        <v>0</v>
      </c>
      <c r="V971" s="1">
        <f t="shared" si="1326"/>
        <v>4</v>
      </c>
      <c r="W971" s="1">
        <f t="shared" si="1327"/>
        <v>1</v>
      </c>
      <c r="X971" s="1">
        <f t="shared" si="1328"/>
        <v>1</v>
      </c>
      <c r="Y971" s="1">
        <f t="shared" si="1329"/>
        <v>1</v>
      </c>
      <c r="Z971" s="1">
        <f t="shared" si="1330"/>
        <v>1</v>
      </c>
      <c r="AA971" s="1">
        <f t="shared" si="1354"/>
        <v>1</v>
      </c>
      <c r="AB971" s="1">
        <f t="shared" si="1332"/>
        <v>1</v>
      </c>
      <c r="AC971" s="1">
        <f t="shared" si="1359"/>
        <v>1</v>
      </c>
      <c r="AD971" s="1">
        <f>ROUNDDOWN(I971*(1+IF(F971=3,0.05+方案参数!$Y$29+AA971*0.12,IF(F971=4,方案参数!$BZ$29*方案参数!$AS$29,0)))+IF(AND(X971=1,F971&lt;&gt;3),方案参数!$CC$29,0)+AC971*方案参数!$CB$29,0)</f>
        <v>3044</v>
      </c>
      <c r="AE971" s="1">
        <f>IF(OR(F971=1,F971=4),配置与结果!$B$24,配置与结果!$B$25)*MAX(0,1-INDEX(配置与结果!$I$15:$I$18,F971))</f>
        <v>1000</v>
      </c>
      <c r="AF971" s="1">
        <f>方案参数!$CE$29</f>
        <v>8</v>
      </c>
      <c r="AG971" s="1">
        <f>MAX(配置与结果!$B$32,1+INDEX(配置与结果!$F$15:$F$18,F971)+0+Q971*方案参数!$W$29+Y971*(方案参数!$AN$29+MIN(方案参数!$AO$29,P971*0.03))+AB971*方案参数!$BZ$29*0.025-配置与结果!$B$28+方案参数!$AE$29)</f>
        <v>2.2800000000000002</v>
      </c>
      <c r="AH971" s="1">
        <f>MAX(0,1+V971*方案参数!$U$29+方案参数!$AE$29-配置与结果!$B$29)</f>
        <v>1.56</v>
      </c>
      <c r="AI971" s="1">
        <f>IF(OR(INDEX(配置与结果!$K$15:$K$18,F971)=1,G971="RHI_BERRY"),1+配置与结果!$B$33+P971*方案参数!$AH$29,1)</f>
        <v>1</v>
      </c>
      <c r="AJ971" s="1">
        <f>MIN(1,MAX(0,J971+方案参数!$AB$29-配置与结果!$B$27))</f>
        <v>0.76</v>
      </c>
      <c r="AK971" s="1">
        <f>MAX(1,K971+IF(F971=2,0.15+方案参数!$CH$29,0)+BN971*方案参数!$X$29+R971*方案参数!$AA$29+0-配置与结果!$B$26+Z971*(方案参数!$AP$29+MIN(方案参数!$AQ$29,P971*0.03)))</f>
        <v>2.3380000000000001</v>
      </c>
      <c r="AL971" s="7">
        <f>ROUNDDOWN(MAX(AD971*配置与结果!$B$31,AD971-AE971)*AF971*AG971*AH971*AI971,0)</f>
        <v>58160</v>
      </c>
      <c r="AM971" s="7">
        <f>ROUNDDOWN(MAX(AD971*配置与结果!$B$31,AD971-AE971)*AF971*AG971*AH971*AI971*AK971,0)</f>
        <v>135979</v>
      </c>
      <c r="AN971" s="7">
        <f t="shared" si="1366"/>
        <v>117302.44</v>
      </c>
      <c r="AO971" s="7">
        <f>0</f>
        <v>0</v>
      </c>
      <c r="AP971" s="7">
        <f>MAX(0,1+INDEX(配置与结果!$J$15:$J$18,F971)+IF(T971&gt;0,方案参数!$BY$29,0)-配置与结果!$B$30)</f>
        <v>1</v>
      </c>
      <c r="AQ971" s="7">
        <f t="shared" si="1367"/>
        <v>0</v>
      </c>
      <c r="AR971" s="7">
        <f t="shared" si="1368"/>
        <v>0</v>
      </c>
      <c r="AS971" s="7">
        <f t="shared" si="1369"/>
        <v>0</v>
      </c>
      <c r="AT971" s="7">
        <f>IF(U971&gt;0,ROUNDDOWN(AL971*方案参数!$AF$29,0)*(1-AJ971)+ROUNDDOWN(AM971*方案参数!$AF$29,0)*AJ971,0)</f>
        <v>0</v>
      </c>
      <c r="AU971" s="7">
        <f t="shared" si="1370"/>
        <v>117302.44</v>
      </c>
      <c r="AV971" s="1">
        <f t="shared" si="1371"/>
        <v>2</v>
      </c>
      <c r="AW971" s="1">
        <f t="shared" si="1364"/>
        <v>10</v>
      </c>
      <c r="AX971" s="1">
        <f t="shared" si="1372"/>
        <v>2</v>
      </c>
      <c r="AY971" s="1">
        <f>MIN(20,MAX(0,O971+0+0-0))</f>
        <v>5</v>
      </c>
      <c r="AZ971" s="1">
        <f t="shared" si="1373"/>
        <v>5</v>
      </c>
      <c r="BA971" s="1">
        <f t="shared" si="1355"/>
        <v>5</v>
      </c>
      <c r="BB971" s="1">
        <f t="shared" si="1363"/>
        <v>20</v>
      </c>
      <c r="BC971" s="1">
        <f t="shared" si="1361"/>
        <v>3</v>
      </c>
      <c r="BD971" s="1">
        <f t="shared" si="1342"/>
        <v>0</v>
      </c>
      <c r="BE971" s="1">
        <f>MAX(0,U971-IF(AF971&gt;0,1,0))+1</f>
        <v>1</v>
      </c>
      <c r="BF971" s="1">
        <f t="shared" si="1365"/>
        <v>4</v>
      </c>
      <c r="BG971" s="1">
        <f t="shared" si="1352"/>
        <v>1</v>
      </c>
      <c r="BH971" s="1">
        <f t="shared" si="1336"/>
        <v>1</v>
      </c>
      <c r="BI971" s="1">
        <f t="shared" si="1353"/>
        <v>1</v>
      </c>
      <c r="BJ971" s="1">
        <f t="shared" si="1356"/>
        <v>1</v>
      </c>
      <c r="BK971" s="1">
        <f t="shared" si="1357"/>
        <v>1</v>
      </c>
      <c r="BL971" s="1">
        <f t="shared" si="1362"/>
        <v>1</v>
      </c>
      <c r="BM971" s="1">
        <f t="shared" si="1360"/>
        <v>1</v>
      </c>
      <c r="BN971" s="1">
        <f t="shared" si="1337"/>
        <v>1</v>
      </c>
      <c r="BO971" s="1">
        <f t="shared" si="1338"/>
        <v>1</v>
      </c>
    </row>
    <row r="972" spans="1:67" ht="30.95" customHeight="1">
      <c r="A972" s="1">
        <f>26</f>
        <v>26</v>
      </c>
      <c r="B972" s="1">
        <f>固定流程!A36</f>
        <v>31</v>
      </c>
      <c r="C972" s="1">
        <f>29</f>
        <v>29</v>
      </c>
      <c r="D972" s="1">
        <f>2</f>
        <v>2</v>
      </c>
      <c r="E972" s="1">
        <f>固定流程!C36</f>
        <v>3</v>
      </c>
      <c r="F972" s="1">
        <f>固定流程!G36</f>
        <v>1</v>
      </c>
      <c r="G972" s="1" t="str">
        <f>固定流程!H36</f>
        <v>LILYA_THIRD</v>
      </c>
      <c r="H972" s="1">
        <f>固定流程!F36</f>
        <v>1</v>
      </c>
      <c r="I972" s="1">
        <f>INDEX(配置与结果!$B$15:$B$18,F972)</f>
        <v>2296</v>
      </c>
      <c r="J972" s="1">
        <f>INDEX(配置与结果!$D$15:$D$18,F972)</f>
        <v>0.7</v>
      </c>
      <c r="K972" s="1">
        <f>INDEX(配置与结果!$E$15:$E$18,F972)</f>
        <v>2.0249999999999999</v>
      </c>
      <c r="L972" s="1">
        <f t="shared" si="1349"/>
        <v>2</v>
      </c>
      <c r="M972" s="1">
        <f t="shared" si="1350"/>
        <v>10</v>
      </c>
      <c r="N972" s="1">
        <f t="shared" si="1351"/>
        <v>2</v>
      </c>
      <c r="O972" s="1">
        <f t="shared" si="1343"/>
        <v>5</v>
      </c>
      <c r="P972" s="1">
        <f>MIN(方案参数!$AI$29,AZ971+0+0)</f>
        <v>5</v>
      </c>
      <c r="Q972" s="1">
        <f t="shared" si="1321"/>
        <v>5</v>
      </c>
      <c r="R972" s="1">
        <f t="shared" si="1322"/>
        <v>20</v>
      </c>
      <c r="S972" s="1">
        <f t="shared" si="1323"/>
        <v>3</v>
      </c>
      <c r="T972" s="1">
        <f t="shared" si="1358"/>
        <v>0</v>
      </c>
      <c r="U972" s="1">
        <f t="shared" si="1325"/>
        <v>1</v>
      </c>
      <c r="V972" s="1">
        <f t="shared" si="1326"/>
        <v>4</v>
      </c>
      <c r="W972" s="1">
        <f t="shared" si="1327"/>
        <v>1</v>
      </c>
      <c r="X972" s="1">
        <f t="shared" si="1328"/>
        <v>1</v>
      </c>
      <c r="Y972" s="1">
        <f t="shared" si="1329"/>
        <v>1</v>
      </c>
      <c r="Z972" s="1">
        <f t="shared" si="1330"/>
        <v>1</v>
      </c>
      <c r="AA972" s="1">
        <f t="shared" si="1354"/>
        <v>1</v>
      </c>
      <c r="AB972" s="1">
        <f t="shared" si="1332"/>
        <v>1</v>
      </c>
      <c r="AC972" s="1">
        <f t="shared" si="1359"/>
        <v>1</v>
      </c>
      <c r="AD972" s="1">
        <f>ROUNDDOWN(I972*(1+IF(F972=3,0.05+方案参数!$Y$29+AA972*0.12,IF(F972=4,方案参数!$BZ$29*方案参数!$AS$29,0)))+IF(AND(X972=1,F972&lt;&gt;3),方案参数!$CC$29,0)+AC972*方案参数!$CB$29,0)</f>
        <v>3034</v>
      </c>
      <c r="AE972" s="1">
        <f>IF(OR(F972=1,F972=4),配置与结果!$B$24,配置与结果!$B$25)*MAX(0,1-INDEX(配置与结果!$I$15:$I$18,F972))</f>
        <v>1200</v>
      </c>
      <c r="AF972" s="1">
        <f>方案参数!$BM$29</f>
        <v>20</v>
      </c>
      <c r="AG972" s="1">
        <f>MAX(配置与结果!$B$32,1+INDEX(配置与结果!$F$15:$F$18,F972)+0.08+方案参数!$CD$29+Q972*方案参数!$W$29+Y972*(方案参数!$AN$29+MIN(方案参数!$AO$29,P972*0.03))+AB972*方案参数!$BZ$29*0.025-配置与结果!$B$28+方案参数!$AE$29)</f>
        <v>2.5350000000000001</v>
      </c>
      <c r="AH972" s="1">
        <f>MAX(0,1+V972*方案参数!$U$29+7*方案参数!$V$29+方案参数!$AE$29-配置与结果!$B$29)</f>
        <v>1.77</v>
      </c>
      <c r="AI972" s="1">
        <f>IF(OR(INDEX(配置与结果!$K$15:$K$18,F972)=1,G972="RHI_BERRY"),1+配置与结果!$B$33+P972*方案参数!$AH$29,1)</f>
        <v>1</v>
      </c>
      <c r="AJ972" s="1">
        <f>MIN(1,MAX(0,J972+方案参数!$AB$29-配置与结果!$B$27))</f>
        <v>1</v>
      </c>
      <c r="AK972" s="1">
        <f>MAX(1,K972+IF(F972=2,0.15+方案参数!$CH$29,0)+BN972*方案参数!$X$29+R972*方案参数!$AA$29+方案参数!$BQ$29-配置与结果!$B$26+Z972*(方案参数!$AP$29+MIN(方案参数!$AQ$29,P972*0.03)))</f>
        <v>2.9650000000000003</v>
      </c>
      <c r="AL972" s="7">
        <f>ROUNDDOWN(MAX(AD972*配置与结果!$B$31,AD972-AE972)*AF972*AG972*AH972*AI972,0)</f>
        <v>164581</v>
      </c>
      <c r="AM972" s="7">
        <f>ROUNDDOWN(MAX(AD972*配置与结果!$B$31,AD972-AE972)*AF972*AG972*AH972*AI972*AK972,0)</f>
        <v>487983</v>
      </c>
      <c r="AN972" s="7">
        <f t="shared" si="1366"/>
        <v>487983</v>
      </c>
      <c r="AO972" s="7">
        <f>0</f>
        <v>0</v>
      </c>
      <c r="AP972" s="7">
        <f>MAX(0,1+INDEX(配置与结果!$J$15:$J$18,F972)+IF(T972&gt;0,方案参数!$BY$29,0)-配置与结果!$B$30)</f>
        <v>1</v>
      </c>
      <c r="AQ972" s="7">
        <f t="shared" si="1367"/>
        <v>0</v>
      </c>
      <c r="AR972" s="7">
        <f t="shared" si="1368"/>
        <v>0</v>
      </c>
      <c r="AS972" s="7">
        <f t="shared" si="1369"/>
        <v>0</v>
      </c>
      <c r="AT972" s="7">
        <f>IF(U972&gt;0,ROUNDDOWN(AL972*方案参数!$AF$29,0)*(1-AJ972)+ROUNDDOWN(AM972*方案参数!$AF$29,0)*AJ972,0)</f>
        <v>195193</v>
      </c>
      <c r="AU972" s="7">
        <f t="shared" si="1370"/>
        <v>683176</v>
      </c>
      <c r="AV972" s="1">
        <f t="shared" si="1371"/>
        <v>2</v>
      </c>
      <c r="AW972" s="1">
        <f t="shared" si="1364"/>
        <v>10</v>
      </c>
      <c r="AX972" s="1">
        <f t="shared" si="1372"/>
        <v>2</v>
      </c>
      <c r="AY972" s="1">
        <f>MIN(20,MAX(0,O972+0+1-0))</f>
        <v>6</v>
      </c>
      <c r="AZ972" s="1">
        <f t="shared" si="1373"/>
        <v>5</v>
      </c>
      <c r="BA972" s="1">
        <f t="shared" si="1355"/>
        <v>5</v>
      </c>
      <c r="BB972" s="1">
        <f t="shared" si="1363"/>
        <v>20</v>
      </c>
      <c r="BC972" s="1">
        <f t="shared" si="1361"/>
        <v>3</v>
      </c>
      <c r="BD972" s="1">
        <f t="shared" si="1342"/>
        <v>0</v>
      </c>
      <c r="BE972" s="1">
        <f>MAX(0,U972-IF(AF972&gt;0,1,0))+0</f>
        <v>0</v>
      </c>
      <c r="BF972" s="1">
        <f t="shared" si="1365"/>
        <v>4</v>
      </c>
      <c r="BG972" s="1">
        <f t="shared" si="1352"/>
        <v>1</v>
      </c>
      <c r="BH972" s="1">
        <f t="shared" si="1336"/>
        <v>1</v>
      </c>
      <c r="BI972" s="1">
        <f t="shared" si="1353"/>
        <v>1</v>
      </c>
      <c r="BJ972" s="1">
        <f t="shared" si="1356"/>
        <v>1</v>
      </c>
      <c r="BK972" s="1">
        <f t="shared" si="1357"/>
        <v>1</v>
      </c>
      <c r="BL972" s="1">
        <f t="shared" si="1362"/>
        <v>1</v>
      </c>
      <c r="BM972" s="1">
        <f t="shared" si="1360"/>
        <v>1</v>
      </c>
      <c r="BN972" s="1">
        <f t="shared" si="1337"/>
        <v>1</v>
      </c>
      <c r="BO972" s="1">
        <f t="shared" si="1338"/>
        <v>1</v>
      </c>
    </row>
    <row r="973" spans="1:67" ht="30.95" customHeight="1">
      <c r="A973" s="1">
        <f>26</f>
        <v>26</v>
      </c>
      <c r="B973" s="1">
        <f>固定流程!A37</f>
        <v>32</v>
      </c>
      <c r="C973" s="1">
        <f>29</f>
        <v>29</v>
      </c>
      <c r="D973" s="1">
        <f>2</f>
        <v>2</v>
      </c>
      <c r="E973" s="1">
        <f>固定流程!C37</f>
        <v>3</v>
      </c>
      <c r="F973" s="1">
        <f>固定流程!G37</f>
        <v>1</v>
      </c>
      <c r="G973" s="1" t="str">
        <f>固定流程!H37</f>
        <v>LILYA_WEAK</v>
      </c>
      <c r="H973" s="1">
        <f>固定流程!F37</f>
        <v>1</v>
      </c>
      <c r="I973" s="1">
        <f>INDEX(配置与结果!$B$15:$B$18,F973)</f>
        <v>2296</v>
      </c>
      <c r="J973" s="1">
        <f>INDEX(配置与结果!$D$15:$D$18,F973)</f>
        <v>0.7</v>
      </c>
      <c r="K973" s="1">
        <f>INDEX(配置与结果!$E$15:$E$18,F973)</f>
        <v>2.0249999999999999</v>
      </c>
      <c r="L973" s="1">
        <f t="shared" si="1349"/>
        <v>2</v>
      </c>
      <c r="M973" s="1">
        <f t="shared" si="1350"/>
        <v>10</v>
      </c>
      <c r="N973" s="1">
        <f t="shared" si="1351"/>
        <v>2</v>
      </c>
      <c r="O973" s="1">
        <f t="shared" si="1343"/>
        <v>6</v>
      </c>
      <c r="P973" s="1">
        <f>MIN(方案参数!$AI$29,AZ972+0+0)</f>
        <v>5</v>
      </c>
      <c r="Q973" s="1">
        <f t="shared" si="1321"/>
        <v>5</v>
      </c>
      <c r="R973" s="1">
        <f t="shared" si="1322"/>
        <v>20</v>
      </c>
      <c r="S973" s="1">
        <f t="shared" si="1323"/>
        <v>3</v>
      </c>
      <c r="T973" s="1">
        <f t="shared" si="1358"/>
        <v>0</v>
      </c>
      <c r="U973" s="1">
        <f t="shared" si="1325"/>
        <v>0</v>
      </c>
      <c r="V973" s="1">
        <f t="shared" si="1326"/>
        <v>4</v>
      </c>
      <c r="W973" s="1">
        <f t="shared" si="1327"/>
        <v>1</v>
      </c>
      <c r="X973" s="1">
        <f t="shared" si="1328"/>
        <v>1</v>
      </c>
      <c r="Y973" s="1">
        <f t="shared" si="1329"/>
        <v>1</v>
      </c>
      <c r="Z973" s="1">
        <f t="shared" si="1330"/>
        <v>1</v>
      </c>
      <c r="AA973" s="1">
        <f t="shared" si="1354"/>
        <v>1</v>
      </c>
      <c r="AB973" s="1">
        <f t="shared" si="1332"/>
        <v>1</v>
      </c>
      <c r="AC973" s="1">
        <f t="shared" si="1359"/>
        <v>1</v>
      </c>
      <c r="AD973" s="1">
        <f>ROUNDDOWN(I973*(1+IF(F973=3,0.05+方案参数!$Y$29+AA973*0.12,IF(F973=4,方案参数!$BZ$29*方案参数!$AS$29,0)))+IF(AND(X973=1,F973&lt;&gt;3),方案参数!$CC$29,0)+AC973*方案参数!$CB$29,0)</f>
        <v>3034</v>
      </c>
      <c r="AE973" s="1">
        <f>IF(OR(F973=1,F973=4),配置与结果!$B$24,配置与结果!$B$25)*MAX(0,1-INDEX(配置与结果!$I$15:$I$18,F973))</f>
        <v>1200</v>
      </c>
      <c r="AF973" s="1">
        <f>方案参数!$BL$29</f>
        <v>9</v>
      </c>
      <c r="AG973" s="1">
        <f>MAX(配置与结果!$B$32,1+INDEX(配置与结果!$F$15:$F$18,F973)+0.08+方案参数!$CD$29+Q973*方案参数!$W$29+Y973*(方案参数!$AN$29+MIN(方案参数!$AO$29,P973*0.03))+AB973*方案参数!$BZ$29*0.025-配置与结果!$B$28+方案参数!$AE$29)</f>
        <v>2.5350000000000001</v>
      </c>
      <c r="AH973" s="1">
        <f>MAX(0,1+V973*方案参数!$U$29+8*方案参数!$V$29+方案参数!$AE$29-配置与结果!$B$29)</f>
        <v>1.7999999999999998</v>
      </c>
      <c r="AI973" s="1">
        <f>IF(OR(INDEX(配置与结果!$K$15:$K$18,F973)=1,G973="RHI_BERRY"),1+配置与结果!$B$33+P973*方案参数!$AH$29,1)</f>
        <v>1</v>
      </c>
      <c r="AJ973" s="1">
        <f>MIN(1,MAX(0,J973+方案参数!$AB$29-配置与结果!$B$27))</f>
        <v>1</v>
      </c>
      <c r="AK973" s="1">
        <f>MAX(1,K973+IF(F973=2,0.15+方案参数!$CH$29,0)+BN973*方案参数!$X$29+R973*方案参数!$AA$29+方案参数!$BP$29-配置与结果!$B$26+Z973*(方案参数!$AP$29+MIN(方案参数!$AQ$29,P973*0.03)))</f>
        <v>2.7650000000000001</v>
      </c>
      <c r="AL973" s="7">
        <f>ROUNDDOWN(MAX(AD973*配置与结果!$B$31,AD973-AE973)*AF973*AG973*AH973*AI973,0)</f>
        <v>75316</v>
      </c>
      <c r="AM973" s="7">
        <f>ROUNDDOWN(MAX(AD973*配置与结果!$B$31,AD973-AE973)*AF973*AG973*AH973*AI973*AK973,0)</f>
        <v>208251</v>
      </c>
      <c r="AN973" s="7">
        <f t="shared" si="1366"/>
        <v>208251</v>
      </c>
      <c r="AO973" s="7">
        <f>0</f>
        <v>0</v>
      </c>
      <c r="AP973" s="7">
        <f>MAX(0,1+INDEX(配置与结果!$J$15:$J$18,F973)+IF(T973&gt;0,方案参数!$BY$29,0)-配置与结果!$B$30)</f>
        <v>1</v>
      </c>
      <c r="AQ973" s="7">
        <f t="shared" si="1367"/>
        <v>0</v>
      </c>
      <c r="AR973" s="7">
        <f t="shared" si="1368"/>
        <v>0</v>
      </c>
      <c r="AS973" s="7">
        <f t="shared" si="1369"/>
        <v>0</v>
      </c>
      <c r="AT973" s="7">
        <f>IF(U973&gt;0,ROUNDDOWN(AL973*方案参数!$AF$29,0)*(1-AJ973)+ROUNDDOWN(AM973*方案参数!$AF$29,0)*AJ973,0)</f>
        <v>0</v>
      </c>
      <c r="AU973" s="7">
        <f t="shared" si="1370"/>
        <v>208251</v>
      </c>
      <c r="AV973" s="1">
        <f t="shared" si="1371"/>
        <v>2</v>
      </c>
      <c r="AW973" s="1">
        <f t="shared" si="1364"/>
        <v>10</v>
      </c>
      <c r="AX973" s="1">
        <f t="shared" si="1372"/>
        <v>2</v>
      </c>
      <c r="AY973" s="1">
        <f>MIN(20,MAX(0,O973+0+1-0))</f>
        <v>7</v>
      </c>
      <c r="AZ973" s="1">
        <f t="shared" si="1373"/>
        <v>5</v>
      </c>
      <c r="BA973" s="1">
        <f t="shared" si="1355"/>
        <v>5</v>
      </c>
      <c r="BB973" s="1">
        <f t="shared" si="1363"/>
        <v>20</v>
      </c>
      <c r="BC973" s="1">
        <f t="shared" si="1361"/>
        <v>3</v>
      </c>
      <c r="BD973" s="1">
        <f t="shared" si="1342"/>
        <v>0</v>
      </c>
      <c r="BE973" s="1">
        <f>MAX(0,U973-IF(AF973&gt;0,1,0))+0</f>
        <v>0</v>
      </c>
      <c r="BF973" s="1">
        <f t="shared" si="1365"/>
        <v>4</v>
      </c>
      <c r="BG973" s="1">
        <f t="shared" si="1352"/>
        <v>1</v>
      </c>
      <c r="BH973" s="1">
        <f t="shared" si="1336"/>
        <v>1</v>
      </c>
      <c r="BI973" s="1">
        <f t="shared" si="1353"/>
        <v>1</v>
      </c>
      <c r="BJ973" s="1">
        <f t="shared" si="1356"/>
        <v>1</v>
      </c>
      <c r="BK973" s="1">
        <f t="shared" si="1357"/>
        <v>1</v>
      </c>
      <c r="BL973" s="1">
        <f t="shared" si="1362"/>
        <v>1</v>
      </c>
      <c r="BM973" s="1">
        <f t="shared" si="1360"/>
        <v>1</v>
      </c>
      <c r="BN973" s="1">
        <f t="shared" si="1337"/>
        <v>1</v>
      </c>
      <c r="BO973" s="1">
        <f t="shared" si="1338"/>
        <v>1</v>
      </c>
    </row>
    <row r="974" spans="1:67" ht="30.95" customHeight="1">
      <c r="A974" s="1">
        <f>26</f>
        <v>26</v>
      </c>
      <c r="B974" s="1">
        <f>固定流程!A38</f>
        <v>33</v>
      </c>
      <c r="C974" s="1">
        <f>29</f>
        <v>29</v>
      </c>
      <c r="D974" s="1">
        <f>2</f>
        <v>2</v>
      </c>
      <c r="E974" s="1">
        <f>固定流程!C38</f>
        <v>3</v>
      </c>
      <c r="F974" s="1">
        <f>固定流程!G38</f>
        <v>1</v>
      </c>
      <c r="G974" s="1" t="str">
        <f>固定流程!H38</f>
        <v>LILYA_WEAK</v>
      </c>
      <c r="H974" s="1">
        <f>固定流程!F38</f>
        <v>1</v>
      </c>
      <c r="I974" s="1">
        <f>INDEX(配置与结果!$B$15:$B$18,F974)</f>
        <v>2296</v>
      </c>
      <c r="J974" s="1">
        <f>INDEX(配置与结果!$D$15:$D$18,F974)</f>
        <v>0.7</v>
      </c>
      <c r="K974" s="1">
        <f>INDEX(配置与结果!$E$15:$E$18,F974)</f>
        <v>2.0249999999999999</v>
      </c>
      <c r="L974" s="1">
        <f t="shared" si="1349"/>
        <v>2</v>
      </c>
      <c r="M974" s="1">
        <f t="shared" si="1350"/>
        <v>10</v>
      </c>
      <c r="N974" s="1">
        <f t="shared" si="1351"/>
        <v>2</v>
      </c>
      <c r="O974" s="1">
        <f t="shared" si="1343"/>
        <v>7</v>
      </c>
      <c r="P974" s="1">
        <f>MIN(方案参数!$AI$29,AZ973+0+0)</f>
        <v>5</v>
      </c>
      <c r="Q974" s="1">
        <f t="shared" si="1321"/>
        <v>5</v>
      </c>
      <c r="R974" s="1">
        <f t="shared" si="1322"/>
        <v>20</v>
      </c>
      <c r="S974" s="1">
        <f t="shared" si="1323"/>
        <v>3</v>
      </c>
      <c r="T974" s="1">
        <f t="shared" si="1358"/>
        <v>0</v>
      </c>
      <c r="U974" s="1">
        <f t="shared" si="1325"/>
        <v>0</v>
      </c>
      <c r="V974" s="1">
        <f t="shared" si="1326"/>
        <v>4</v>
      </c>
      <c r="W974" s="1">
        <f t="shared" si="1327"/>
        <v>1</v>
      </c>
      <c r="X974" s="1">
        <f t="shared" si="1328"/>
        <v>1</v>
      </c>
      <c r="Y974" s="1">
        <f t="shared" si="1329"/>
        <v>1</v>
      </c>
      <c r="Z974" s="1">
        <f t="shared" si="1330"/>
        <v>1</v>
      </c>
      <c r="AA974" s="1">
        <f t="shared" si="1354"/>
        <v>1</v>
      </c>
      <c r="AB974" s="1">
        <f t="shared" si="1332"/>
        <v>1</v>
      </c>
      <c r="AC974" s="1">
        <f t="shared" si="1359"/>
        <v>1</v>
      </c>
      <c r="AD974" s="1">
        <f>ROUNDDOWN(I974*(1+IF(F974=3,0.05+方案参数!$Y$29+AA974*0.12,IF(F974=4,方案参数!$BZ$29*方案参数!$AS$29,0)))+IF(AND(X974=1,F974&lt;&gt;3),方案参数!$CC$29,0)+AC974*方案参数!$CB$29,0)</f>
        <v>3034</v>
      </c>
      <c r="AE974" s="1">
        <f>IF(OR(F974=1,F974=4),配置与结果!$B$24,配置与结果!$B$25)*MAX(0,1-INDEX(配置与结果!$I$15:$I$18,F974))</f>
        <v>1200</v>
      </c>
      <c r="AF974" s="1">
        <f>方案参数!$BL$29</f>
        <v>9</v>
      </c>
      <c r="AG974" s="1">
        <f>MAX(配置与结果!$B$32,1+INDEX(配置与结果!$F$15:$F$18,F974)+0.08+方案参数!$CD$29+Q974*方案参数!$W$29+Y974*(方案参数!$AN$29+MIN(方案参数!$AO$29,P974*0.03))+AB974*方案参数!$BZ$29*0.025-配置与结果!$B$28+方案参数!$AE$29)</f>
        <v>2.5350000000000001</v>
      </c>
      <c r="AH974" s="1">
        <f>MAX(0,1+V974*方案参数!$U$29+9*方案参数!$V$29+方案参数!$AE$29-配置与结果!$B$29)</f>
        <v>1.83</v>
      </c>
      <c r="AI974" s="1">
        <f>IF(OR(INDEX(配置与结果!$K$15:$K$18,F974)=1,G974="RHI_BERRY"),1+配置与结果!$B$33+P974*方案参数!$AH$29,1)</f>
        <v>1</v>
      </c>
      <c r="AJ974" s="1">
        <f>MIN(1,MAX(0,J974+方案参数!$AB$29-配置与结果!$B$27))</f>
        <v>1</v>
      </c>
      <c r="AK974" s="1">
        <f>MAX(1,K974+IF(F974=2,0.15+方案参数!$CH$29,0)+BN974*方案参数!$X$29+R974*方案参数!$AA$29+方案参数!$BP$29-配置与结果!$B$26+Z974*(方案参数!$AP$29+MIN(方案参数!$AQ$29,P974*0.03)))</f>
        <v>2.7650000000000001</v>
      </c>
      <c r="AL974" s="7">
        <f>ROUNDDOWN(MAX(AD974*配置与结果!$B$31,AD974-AE974)*AF974*AG974*AH974*AI974,0)</f>
        <v>76572</v>
      </c>
      <c r="AM974" s="7">
        <f>ROUNDDOWN(MAX(AD974*配置与结果!$B$31,AD974-AE974)*AF974*AG974*AH974*AI974*AK974,0)</f>
        <v>211722</v>
      </c>
      <c r="AN974" s="7">
        <f t="shared" si="1366"/>
        <v>211722</v>
      </c>
      <c r="AO974" s="7">
        <f>0</f>
        <v>0</v>
      </c>
      <c r="AP974" s="7">
        <f>MAX(0,1+INDEX(配置与结果!$J$15:$J$18,F974)+IF(T974&gt;0,方案参数!$BY$29,0)-配置与结果!$B$30)</f>
        <v>1</v>
      </c>
      <c r="AQ974" s="7">
        <f t="shared" si="1367"/>
        <v>0</v>
      </c>
      <c r="AR974" s="7">
        <f t="shared" si="1368"/>
        <v>0</v>
      </c>
      <c r="AS974" s="7">
        <f t="shared" si="1369"/>
        <v>0</v>
      </c>
      <c r="AT974" s="7">
        <f>IF(U974&gt;0,ROUNDDOWN(AL974*方案参数!$AF$29,0)*(1-AJ974)+ROUNDDOWN(AM974*方案参数!$AF$29,0)*AJ974,0)</f>
        <v>0</v>
      </c>
      <c r="AU974" s="7">
        <f t="shared" si="1370"/>
        <v>211722</v>
      </c>
      <c r="AV974" s="1">
        <f t="shared" si="1371"/>
        <v>2</v>
      </c>
      <c r="AW974" s="1">
        <f t="shared" si="1364"/>
        <v>10</v>
      </c>
      <c r="AX974" s="1">
        <f t="shared" si="1372"/>
        <v>2</v>
      </c>
      <c r="AY974" s="1">
        <f>MIN(20,MAX(0,O974+0+1-0))</f>
        <v>8</v>
      </c>
      <c r="AZ974" s="1">
        <f t="shared" si="1373"/>
        <v>5</v>
      </c>
      <c r="BA974" s="1">
        <f t="shared" si="1355"/>
        <v>5</v>
      </c>
      <c r="BB974" s="1">
        <f t="shared" si="1363"/>
        <v>20</v>
      </c>
      <c r="BC974" s="1">
        <f t="shared" si="1361"/>
        <v>3</v>
      </c>
      <c r="BD974" s="1">
        <f t="shared" si="1342"/>
        <v>0</v>
      </c>
      <c r="BE974" s="1">
        <f>MAX(0,U974-IF(AF974&gt;0,1,0))+0</f>
        <v>0</v>
      </c>
      <c r="BF974" s="1">
        <f t="shared" si="1365"/>
        <v>4</v>
      </c>
      <c r="BG974" s="1">
        <f t="shared" si="1352"/>
        <v>1</v>
      </c>
      <c r="BH974" s="1">
        <f t="shared" si="1336"/>
        <v>1</v>
      </c>
      <c r="BI974" s="1">
        <f t="shared" si="1353"/>
        <v>1</v>
      </c>
      <c r="BJ974" s="1">
        <f t="shared" si="1356"/>
        <v>1</v>
      </c>
      <c r="BK974" s="1">
        <f t="shared" si="1357"/>
        <v>1</v>
      </c>
      <c r="BL974" s="1">
        <f t="shared" si="1362"/>
        <v>1</v>
      </c>
      <c r="BM974" s="1">
        <f t="shared" si="1360"/>
        <v>1</v>
      </c>
      <c r="BN974" s="1">
        <f t="shared" si="1337"/>
        <v>1</v>
      </c>
      <c r="BO974" s="1">
        <f t="shared" si="1338"/>
        <v>1</v>
      </c>
    </row>
    <row r="975" spans="1:67" ht="30.95" customHeight="1">
      <c r="A975" s="1">
        <f>26</f>
        <v>26</v>
      </c>
      <c r="B975" s="1">
        <f>固定流程!A39</f>
        <v>34</v>
      </c>
      <c r="C975" s="1">
        <f>29</f>
        <v>29</v>
      </c>
      <c r="D975" s="1">
        <f>2</f>
        <v>2</v>
      </c>
      <c r="E975" s="1">
        <f>固定流程!C39</f>
        <v>3</v>
      </c>
      <c r="F975" s="1">
        <f>固定流程!G39</f>
        <v>2</v>
      </c>
      <c r="G975" s="1" t="str">
        <f>固定流程!H39</f>
        <v>37_WEAK</v>
      </c>
      <c r="H975" s="1">
        <f>固定流程!F39</f>
        <v>1</v>
      </c>
      <c r="I975" s="1">
        <f>INDEX(配置与结果!$B$15:$B$18,F975)</f>
        <v>2306</v>
      </c>
      <c r="J975" s="1">
        <f>INDEX(配置与结果!$D$15:$D$18,F975)</f>
        <v>0.46</v>
      </c>
      <c r="K975" s="1">
        <f>INDEX(配置与结果!$E$15:$E$18,F975)</f>
        <v>1.9279999999999999</v>
      </c>
      <c r="L975" s="1">
        <f t="shared" si="1349"/>
        <v>2</v>
      </c>
      <c r="M975" s="1">
        <f t="shared" si="1350"/>
        <v>10</v>
      </c>
      <c r="N975" s="1">
        <f t="shared" si="1351"/>
        <v>2</v>
      </c>
      <c r="O975" s="1">
        <f t="shared" si="1343"/>
        <v>8</v>
      </c>
      <c r="P975" s="1">
        <f>MIN(方案参数!$AI$29,AZ974+0+0)</f>
        <v>5</v>
      </c>
      <c r="Q975" s="1">
        <f t="shared" si="1321"/>
        <v>5</v>
      </c>
      <c r="R975" s="1">
        <f t="shared" si="1322"/>
        <v>20</v>
      </c>
      <c r="S975" s="1">
        <f t="shared" si="1323"/>
        <v>3</v>
      </c>
      <c r="T975" s="1">
        <f t="shared" si="1358"/>
        <v>0</v>
      </c>
      <c r="U975" s="1">
        <f t="shared" si="1325"/>
        <v>0</v>
      </c>
      <c r="V975" s="1">
        <f t="shared" si="1326"/>
        <v>4</v>
      </c>
      <c r="W975" s="1">
        <f t="shared" si="1327"/>
        <v>1</v>
      </c>
      <c r="X975" s="1">
        <f t="shared" si="1328"/>
        <v>1</v>
      </c>
      <c r="Y975" s="1">
        <f t="shared" si="1329"/>
        <v>1</v>
      </c>
      <c r="Z975" s="1">
        <f t="shared" si="1330"/>
        <v>1</v>
      </c>
      <c r="AA975" s="1">
        <f t="shared" si="1354"/>
        <v>1</v>
      </c>
      <c r="AB975" s="1">
        <f t="shared" si="1332"/>
        <v>1</v>
      </c>
      <c r="AC975" s="1">
        <f t="shared" si="1359"/>
        <v>1</v>
      </c>
      <c r="AD975" s="1">
        <f>ROUNDDOWN(I975*(1+IF(F975=3,0.05+方案参数!$Y$29+AA975*0.12,IF(F975=4,方案参数!$BZ$29*方案参数!$AS$29,0)))+IF(AND(X975=1,F975&lt;&gt;3),方案参数!$CC$29,0)+AC975*方案参数!$CB$29,0)</f>
        <v>3044</v>
      </c>
      <c r="AE975" s="1">
        <f>IF(OR(F975=1,F975=4),配置与结果!$B$24,配置与结果!$B$25)*MAX(0,1-INDEX(配置与结果!$I$15:$I$18,F975))</f>
        <v>1000</v>
      </c>
      <c r="AF975" s="1">
        <f>方案参数!$CE$29</f>
        <v>8</v>
      </c>
      <c r="AG975" s="1">
        <f>MAX(配置与结果!$B$32,1+INDEX(配置与结果!$F$15:$F$18,F975)+0+Q975*方案参数!$W$29+Y975*(方案参数!$AN$29+MIN(方案参数!$AO$29,P975*0.03))+AB975*方案参数!$BZ$29*0.025-配置与结果!$B$28+方案参数!$AE$29)</f>
        <v>2.2800000000000002</v>
      </c>
      <c r="AH975" s="1">
        <f>MAX(0,1+V975*方案参数!$U$29+方案参数!$AE$29-配置与结果!$B$29)</f>
        <v>1.56</v>
      </c>
      <c r="AI975" s="1">
        <f>IF(OR(INDEX(配置与结果!$K$15:$K$18,F975)=1,G975="RHI_BERRY"),1+配置与结果!$B$33+P975*方案参数!$AH$29,1)</f>
        <v>1</v>
      </c>
      <c r="AJ975" s="1">
        <f>MIN(1,MAX(0,J975+方案参数!$AB$29-配置与结果!$B$27))</f>
        <v>0.76</v>
      </c>
      <c r="AK975" s="1">
        <f>MAX(1,K975+IF(F975=2,0.15+方案参数!$CH$29,0)+BN975*方案参数!$X$29+R975*方案参数!$AA$29+0-配置与结果!$B$26+Z975*(方案参数!$AP$29+MIN(方案参数!$AQ$29,P975*0.03)))</f>
        <v>2.3380000000000001</v>
      </c>
      <c r="AL975" s="7">
        <f>ROUNDDOWN(MAX(AD975*配置与结果!$B$31,AD975-AE975)*AF975*AG975*AH975*AI975,0)</f>
        <v>58160</v>
      </c>
      <c r="AM975" s="7">
        <f>ROUNDDOWN(MAX(AD975*配置与结果!$B$31,AD975-AE975)*AF975*AG975*AH975*AI975*AK975,0)</f>
        <v>135979</v>
      </c>
      <c r="AN975" s="7">
        <f t="shared" si="1366"/>
        <v>117302.44</v>
      </c>
      <c r="AO975" s="7">
        <f>0</f>
        <v>0</v>
      </c>
      <c r="AP975" s="7">
        <f>MAX(0,1+INDEX(配置与结果!$J$15:$J$18,F975)+IF(T975&gt;0,方案参数!$BY$29,0)-配置与结果!$B$30)</f>
        <v>1</v>
      </c>
      <c r="AQ975" s="7">
        <f t="shared" si="1367"/>
        <v>0</v>
      </c>
      <c r="AR975" s="7">
        <f t="shared" si="1368"/>
        <v>0</v>
      </c>
      <c r="AS975" s="7">
        <f t="shared" si="1369"/>
        <v>0</v>
      </c>
      <c r="AT975" s="7">
        <f>IF(U975&gt;0,ROUNDDOWN(AL975*方案参数!$AF$29,0)*(1-AJ975)+ROUNDDOWN(AM975*方案参数!$AF$29,0)*AJ975,0)</f>
        <v>0</v>
      </c>
      <c r="AU975" s="7">
        <f t="shared" si="1370"/>
        <v>117302.44</v>
      </c>
      <c r="AV975" s="1">
        <f t="shared" si="1371"/>
        <v>2</v>
      </c>
      <c r="AW975" s="1">
        <f t="shared" si="1364"/>
        <v>10</v>
      </c>
      <c r="AX975" s="1">
        <f t="shared" si="1372"/>
        <v>2</v>
      </c>
      <c r="AY975" s="1">
        <f>MIN(20,MAX(0,O975+0+0-0))</f>
        <v>8</v>
      </c>
      <c r="AZ975" s="1">
        <f t="shared" si="1373"/>
        <v>5</v>
      </c>
      <c r="BA975" s="1">
        <f t="shared" si="1355"/>
        <v>5</v>
      </c>
      <c r="BB975" s="1">
        <f t="shared" si="1363"/>
        <v>20</v>
      </c>
      <c r="BC975" s="1">
        <f t="shared" si="1361"/>
        <v>3</v>
      </c>
      <c r="BD975" s="1">
        <f t="shared" si="1342"/>
        <v>0</v>
      </c>
      <c r="BE975" s="1">
        <f>MAX(0,U975-IF(AF975&gt;0,1,0))+1</f>
        <v>1</v>
      </c>
      <c r="BF975" s="1">
        <f t="shared" si="1365"/>
        <v>4</v>
      </c>
      <c r="BG975" s="1">
        <f t="shared" si="1352"/>
        <v>1</v>
      </c>
      <c r="BH975" s="1">
        <f t="shared" si="1336"/>
        <v>1</v>
      </c>
      <c r="BI975" s="1">
        <f t="shared" si="1353"/>
        <v>1</v>
      </c>
      <c r="BJ975" s="1">
        <f t="shared" si="1356"/>
        <v>1</v>
      </c>
      <c r="BK975" s="1">
        <f t="shared" si="1357"/>
        <v>1</v>
      </c>
      <c r="BL975" s="1">
        <f t="shared" si="1362"/>
        <v>1</v>
      </c>
      <c r="BM975" s="1">
        <f t="shared" si="1360"/>
        <v>1</v>
      </c>
      <c r="BN975" s="1">
        <f t="shared" si="1337"/>
        <v>1</v>
      </c>
      <c r="BO975" s="1">
        <f t="shared" si="1338"/>
        <v>1</v>
      </c>
    </row>
    <row r="976" spans="1:67" ht="30.95" customHeight="1">
      <c r="A976" s="1">
        <f>26</f>
        <v>26</v>
      </c>
      <c r="B976" s="1">
        <f>固定流程!A40</f>
        <v>35</v>
      </c>
      <c r="C976" s="1">
        <f>29</f>
        <v>29</v>
      </c>
      <c r="D976" s="1">
        <f>2</f>
        <v>2</v>
      </c>
      <c r="E976" s="1">
        <f>固定流程!C40</f>
        <v>3</v>
      </c>
      <c r="F976" s="1">
        <f>固定流程!G40</f>
        <v>2</v>
      </c>
      <c r="G976" s="1" t="str">
        <f>固定流程!H40</f>
        <v>37_WEAK</v>
      </c>
      <c r="H976" s="1">
        <f>固定流程!F40</f>
        <v>1</v>
      </c>
      <c r="I976" s="1">
        <f>INDEX(配置与结果!$B$15:$B$18,F976)</f>
        <v>2306</v>
      </c>
      <c r="J976" s="1">
        <f>INDEX(配置与结果!$D$15:$D$18,F976)</f>
        <v>0.46</v>
      </c>
      <c r="K976" s="1">
        <f>INDEX(配置与结果!$E$15:$E$18,F976)</f>
        <v>1.9279999999999999</v>
      </c>
      <c r="L976" s="1">
        <f t="shared" si="1349"/>
        <v>2</v>
      </c>
      <c r="M976" s="1">
        <f t="shared" si="1350"/>
        <v>10</v>
      </c>
      <c r="N976" s="1">
        <f t="shared" si="1351"/>
        <v>2</v>
      </c>
      <c r="O976" s="1">
        <f t="shared" si="1343"/>
        <v>8</v>
      </c>
      <c r="P976" s="1">
        <f>MIN(方案参数!$AI$29,AZ975+0+0)</f>
        <v>5</v>
      </c>
      <c r="Q976" s="1">
        <f t="shared" si="1321"/>
        <v>5</v>
      </c>
      <c r="R976" s="1">
        <f t="shared" si="1322"/>
        <v>20</v>
      </c>
      <c r="S976" s="1">
        <f t="shared" si="1323"/>
        <v>3</v>
      </c>
      <c r="T976" s="1">
        <f t="shared" si="1358"/>
        <v>0</v>
      </c>
      <c r="U976" s="1">
        <f t="shared" si="1325"/>
        <v>1</v>
      </c>
      <c r="V976" s="1">
        <f t="shared" si="1326"/>
        <v>4</v>
      </c>
      <c r="W976" s="1">
        <f t="shared" si="1327"/>
        <v>1</v>
      </c>
      <c r="X976" s="1">
        <f t="shared" si="1328"/>
        <v>1</v>
      </c>
      <c r="Y976" s="1">
        <f t="shared" si="1329"/>
        <v>1</v>
      </c>
      <c r="Z976" s="1">
        <f t="shared" si="1330"/>
        <v>1</v>
      </c>
      <c r="AA976" s="1">
        <f t="shared" si="1354"/>
        <v>1</v>
      </c>
      <c r="AB976" s="1">
        <f t="shared" si="1332"/>
        <v>1</v>
      </c>
      <c r="AC976" s="1">
        <f t="shared" si="1359"/>
        <v>1</v>
      </c>
      <c r="AD976" s="1">
        <f>ROUNDDOWN(I976*(1+IF(F976=3,0.05+方案参数!$Y$29+AA976*0.12,IF(F976=4,方案参数!$BZ$29*方案参数!$AS$29,0)))+IF(AND(X976=1,F976&lt;&gt;3),方案参数!$CC$29,0)+AC976*方案参数!$CB$29,0)</f>
        <v>3044</v>
      </c>
      <c r="AE976" s="1">
        <f>IF(OR(F976=1,F976=4),配置与结果!$B$24,配置与结果!$B$25)*MAX(0,1-INDEX(配置与结果!$I$15:$I$18,F976))</f>
        <v>1000</v>
      </c>
      <c r="AF976" s="1">
        <f>方案参数!$CE$29</f>
        <v>8</v>
      </c>
      <c r="AG976" s="1">
        <f>MAX(配置与结果!$B$32,1+INDEX(配置与结果!$F$15:$F$18,F976)+0+Q976*方案参数!$W$29+Y976*(方案参数!$AN$29+MIN(方案参数!$AO$29,P976*0.03))+AB976*方案参数!$BZ$29*0.025-配置与结果!$B$28+方案参数!$AE$29)</f>
        <v>2.2800000000000002</v>
      </c>
      <c r="AH976" s="1">
        <f>MAX(0,1+V976*方案参数!$U$29+方案参数!$AE$29-配置与结果!$B$29)</f>
        <v>1.56</v>
      </c>
      <c r="AI976" s="1">
        <f>IF(OR(INDEX(配置与结果!$K$15:$K$18,F976)=1,G976="RHI_BERRY"),1+配置与结果!$B$33+P976*方案参数!$AH$29,1)</f>
        <v>1</v>
      </c>
      <c r="AJ976" s="1">
        <f>MIN(1,MAX(0,J976+方案参数!$AB$29-配置与结果!$B$27))</f>
        <v>0.76</v>
      </c>
      <c r="AK976" s="1">
        <f>MAX(1,K976+IF(F976=2,0.15+方案参数!$CH$29,0)+BN976*方案参数!$X$29+R976*方案参数!$AA$29+0-配置与结果!$B$26+Z976*(方案参数!$AP$29+MIN(方案参数!$AQ$29,P976*0.03)))</f>
        <v>2.3380000000000001</v>
      </c>
      <c r="AL976" s="7">
        <f>ROUNDDOWN(MAX(AD976*配置与结果!$B$31,AD976-AE976)*AF976*AG976*AH976*AI976,0)</f>
        <v>58160</v>
      </c>
      <c r="AM976" s="7">
        <f>ROUNDDOWN(MAX(AD976*配置与结果!$B$31,AD976-AE976)*AF976*AG976*AH976*AI976*AK976,0)</f>
        <v>135979</v>
      </c>
      <c r="AN976" s="7">
        <f t="shared" si="1366"/>
        <v>117302.44</v>
      </c>
      <c r="AO976" s="7">
        <f>0</f>
        <v>0</v>
      </c>
      <c r="AP976" s="7">
        <f>MAX(0,1+INDEX(配置与结果!$J$15:$J$18,F976)+IF(T976&gt;0,方案参数!$BY$29,0)-配置与结果!$B$30)</f>
        <v>1</v>
      </c>
      <c r="AQ976" s="7">
        <f t="shared" si="1367"/>
        <v>0</v>
      </c>
      <c r="AR976" s="7">
        <f t="shared" si="1368"/>
        <v>0</v>
      </c>
      <c r="AS976" s="7">
        <f t="shared" si="1369"/>
        <v>0</v>
      </c>
      <c r="AT976" s="7">
        <f>IF(U976&gt;0,ROUNDDOWN(AL976*方案参数!$AF$29,0)*(1-AJ976)+ROUNDDOWN(AM976*方案参数!$AF$29,0)*AJ976,0)</f>
        <v>46920.520000000004</v>
      </c>
      <c r="AU976" s="7">
        <f t="shared" si="1370"/>
        <v>164222.96000000002</v>
      </c>
      <c r="AV976" s="1">
        <f t="shared" si="1371"/>
        <v>2</v>
      </c>
      <c r="AW976" s="1">
        <f t="shared" si="1364"/>
        <v>10</v>
      </c>
      <c r="AX976" s="1">
        <f t="shared" si="1372"/>
        <v>2</v>
      </c>
      <c r="AY976" s="1">
        <f>MIN(20,MAX(0,O976+0+0-0))</f>
        <v>8</v>
      </c>
      <c r="AZ976" s="1">
        <f t="shared" si="1373"/>
        <v>5</v>
      </c>
      <c r="BA976" s="1">
        <f t="shared" si="1355"/>
        <v>5</v>
      </c>
      <c r="BB976" s="1">
        <f t="shared" si="1363"/>
        <v>20</v>
      </c>
      <c r="BC976" s="1">
        <f t="shared" si="1361"/>
        <v>3</v>
      </c>
      <c r="BD976" s="1">
        <f t="shared" si="1342"/>
        <v>0</v>
      </c>
      <c r="BE976" s="1">
        <f>MAX(0,U976-IF(AF976&gt;0,1,0))+1</f>
        <v>1</v>
      </c>
      <c r="BF976" s="1">
        <f t="shared" si="1365"/>
        <v>4</v>
      </c>
      <c r="BG976" s="1">
        <f t="shared" si="1352"/>
        <v>1</v>
      </c>
      <c r="BH976" s="1">
        <f t="shared" si="1336"/>
        <v>1</v>
      </c>
      <c r="BI976" s="1">
        <f t="shared" si="1353"/>
        <v>1</v>
      </c>
      <c r="BJ976" s="1">
        <f t="shared" si="1356"/>
        <v>1</v>
      </c>
      <c r="BK976" s="1">
        <f t="shared" si="1357"/>
        <v>1</v>
      </c>
      <c r="BL976" s="1">
        <f t="shared" si="1362"/>
        <v>1</v>
      </c>
      <c r="BM976" s="1">
        <f t="shared" si="1360"/>
        <v>1</v>
      </c>
      <c r="BN976" s="1">
        <f t="shared" si="1337"/>
        <v>1</v>
      </c>
      <c r="BO976" s="1">
        <f t="shared" si="1338"/>
        <v>1</v>
      </c>
    </row>
    <row r="977" spans="1:67" ht="30.95" customHeight="1">
      <c r="A977" s="1">
        <f>26</f>
        <v>26</v>
      </c>
      <c r="B977" s="1">
        <f>固定流程!A41</f>
        <v>36</v>
      </c>
      <c r="C977" s="1">
        <f>29</f>
        <v>29</v>
      </c>
      <c r="D977" s="1">
        <f>2</f>
        <v>2</v>
      </c>
      <c r="E977" s="1">
        <f>固定流程!C41</f>
        <v>3</v>
      </c>
      <c r="F977" s="1">
        <f>固定流程!G41</f>
        <v>1</v>
      </c>
      <c r="G977" s="1" t="str">
        <f>固定流程!H41</f>
        <v>LILYA_FINISH</v>
      </c>
      <c r="H977" s="1">
        <f>固定流程!F41</f>
        <v>1</v>
      </c>
      <c r="I977" s="1">
        <f>INDEX(配置与结果!$B$15:$B$18,F977)</f>
        <v>2296</v>
      </c>
      <c r="J977" s="1">
        <f>INDEX(配置与结果!$D$15:$D$18,F977)</f>
        <v>0.7</v>
      </c>
      <c r="K977" s="1">
        <f>INDEX(配置与结果!$E$15:$E$18,F977)</f>
        <v>2.0249999999999999</v>
      </c>
      <c r="L977" s="1">
        <f t="shared" si="1349"/>
        <v>2</v>
      </c>
      <c r="M977" s="1">
        <f t="shared" si="1350"/>
        <v>10</v>
      </c>
      <c r="N977" s="1">
        <f t="shared" si="1351"/>
        <v>2</v>
      </c>
      <c r="O977" s="1">
        <f t="shared" si="1343"/>
        <v>8</v>
      </c>
      <c r="P977" s="1">
        <f>MIN(方案参数!$AI$29,AZ976+0+0)</f>
        <v>5</v>
      </c>
      <c r="Q977" s="1">
        <f t="shared" si="1321"/>
        <v>5</v>
      </c>
      <c r="R977" s="1">
        <f t="shared" si="1322"/>
        <v>20</v>
      </c>
      <c r="S977" s="1">
        <f t="shared" si="1323"/>
        <v>3</v>
      </c>
      <c r="T977" s="1">
        <f t="shared" si="1358"/>
        <v>0</v>
      </c>
      <c r="U977" s="1">
        <f t="shared" si="1325"/>
        <v>1</v>
      </c>
      <c r="V977" s="1">
        <f t="shared" si="1326"/>
        <v>4</v>
      </c>
      <c r="W977" s="1">
        <f t="shared" si="1327"/>
        <v>1</v>
      </c>
      <c r="X977" s="1">
        <f t="shared" si="1328"/>
        <v>1</v>
      </c>
      <c r="Y977" s="1">
        <f t="shared" si="1329"/>
        <v>1</v>
      </c>
      <c r="Z977" s="1">
        <f t="shared" si="1330"/>
        <v>1</v>
      </c>
      <c r="AA977" s="1">
        <f t="shared" si="1354"/>
        <v>1</v>
      </c>
      <c r="AB977" s="1">
        <f t="shared" si="1332"/>
        <v>1</v>
      </c>
      <c r="AC977" s="1">
        <f t="shared" si="1359"/>
        <v>1</v>
      </c>
      <c r="AD977" s="1">
        <f>ROUNDDOWN(I977*(1+IF(F977=3,0.05+方案参数!$Y$29+AA977*0.12,IF(F977=4,方案参数!$BZ$29*方案参数!$AS$29,0)))+IF(AND(X977=1,F977&lt;&gt;3),方案参数!$CC$29,0)+AC977*方案参数!$CB$29,0)</f>
        <v>3034</v>
      </c>
      <c r="AE977" s="1">
        <f>IF(OR(F977=1,F977=4),配置与结果!$B$24,配置与结果!$B$25)*MAX(0,1-INDEX(配置与结果!$I$15:$I$18,F977))</f>
        <v>1200</v>
      </c>
      <c r="AF977" s="1">
        <f>方案参数!$BN$29+12*方案参数!$BO$29</f>
        <v>48</v>
      </c>
      <c r="AG977" s="1">
        <f>MAX(配置与结果!$B$32,1+INDEX(配置与结果!$F$15:$F$18,F977)+0.08+方案参数!$CD$29+Q977*方案参数!$W$29+Y977*(方案参数!$AN$29+MIN(方案参数!$AO$29,P977*0.03))+AB977*方案参数!$BZ$29*0.025-配置与结果!$B$28+方案参数!$AE$29)</f>
        <v>2.5350000000000001</v>
      </c>
      <c r="AH977" s="1">
        <f>MAX(0,1+V977*方案参数!$U$29+12*方案参数!$V$29+方案参数!$AE$29-配置与结果!$B$29)</f>
        <v>1.92</v>
      </c>
      <c r="AI977" s="1">
        <f>IF(OR(INDEX(配置与结果!$K$15:$K$18,F977)=1,G977="RHI_BERRY"),1+配置与结果!$B$33+P977*方案参数!$AH$29,1)</f>
        <v>1</v>
      </c>
      <c r="AJ977" s="1">
        <f>MIN(1,MAX(0,J977+方案参数!$AB$29-配置与结果!$B$27))</f>
        <v>1</v>
      </c>
      <c r="AK977" s="1">
        <f>MAX(1,K977+IF(F977=2,0.15+方案参数!$CH$29,0)+BN977*方案参数!$X$29+R977*方案参数!$AA$29+方案参数!$BR$29-配置与结果!$B$26+Z977*(方案参数!$AP$29+MIN(方案参数!$AQ$29,P977*0.03)))</f>
        <v>3.165</v>
      </c>
      <c r="AL977" s="7">
        <f>ROUNDDOWN(MAX(AD977*配置与结果!$B$31,AD977-AE977)*AF977*AG977*AH977*AI977,0)</f>
        <v>428469</v>
      </c>
      <c r="AM977" s="7">
        <f>ROUNDDOWN(MAX(AD977*配置与结果!$B$31,AD977-AE977)*AF977*AG977*AH977*AI977*AK977,0)</f>
        <v>1356105</v>
      </c>
      <c r="AN977" s="7">
        <f t="shared" si="1366"/>
        <v>1356105</v>
      </c>
      <c r="AO977" s="7">
        <f>0</f>
        <v>0</v>
      </c>
      <c r="AP977" s="7">
        <f>MAX(0,1+INDEX(配置与结果!$J$15:$J$18,F977)+IF(T977&gt;0,方案参数!$BY$29,0)-配置与结果!$B$30)</f>
        <v>1</v>
      </c>
      <c r="AQ977" s="7">
        <f t="shared" si="1367"/>
        <v>0</v>
      </c>
      <c r="AR977" s="7">
        <f t="shared" si="1368"/>
        <v>0</v>
      </c>
      <c r="AS977" s="7">
        <f t="shared" si="1369"/>
        <v>0</v>
      </c>
      <c r="AT977" s="7">
        <f>IF(U977&gt;0,ROUNDDOWN(AL977*方案参数!$AF$29,0)*(1-AJ977)+ROUNDDOWN(AM977*方案参数!$AF$29,0)*AJ977,0)</f>
        <v>542442</v>
      </c>
      <c r="AU977" s="7">
        <f t="shared" si="1370"/>
        <v>1898547</v>
      </c>
      <c r="AV977" s="1">
        <f t="shared" si="1371"/>
        <v>2</v>
      </c>
      <c r="AW977" s="1">
        <f t="shared" si="1364"/>
        <v>10</v>
      </c>
      <c r="AX977" s="1">
        <f t="shared" si="1372"/>
        <v>2</v>
      </c>
      <c r="AY977" s="1">
        <f>MIN(20,MAX(0,O977+0+1-0))</f>
        <v>9</v>
      </c>
      <c r="AZ977" s="1">
        <f t="shared" si="1373"/>
        <v>5</v>
      </c>
      <c r="BA977" s="1">
        <f t="shared" si="1355"/>
        <v>5</v>
      </c>
      <c r="BB977" s="1">
        <f t="shared" si="1363"/>
        <v>20</v>
      </c>
      <c r="BC977" s="1">
        <f t="shared" si="1361"/>
        <v>3</v>
      </c>
      <c r="BD977" s="1">
        <f t="shared" si="1342"/>
        <v>0</v>
      </c>
      <c r="BE977" s="1">
        <f>MAX(0,U977-IF(AF977&gt;0,1,0))+0</f>
        <v>0</v>
      </c>
      <c r="BF977" s="1">
        <f t="shared" si="1365"/>
        <v>4</v>
      </c>
      <c r="BG977" s="1">
        <f t="shared" si="1352"/>
        <v>1</v>
      </c>
      <c r="BH977" s="1">
        <f t="shared" si="1336"/>
        <v>1</v>
      </c>
      <c r="BI977" s="1">
        <f t="shared" si="1353"/>
        <v>1</v>
      </c>
      <c r="BJ977" s="1">
        <f t="shared" si="1356"/>
        <v>1</v>
      </c>
      <c r="BK977" s="1">
        <f t="shared" si="1357"/>
        <v>1</v>
      </c>
      <c r="BL977" s="1">
        <f t="shared" si="1362"/>
        <v>1</v>
      </c>
      <c r="BM977" s="1">
        <f t="shared" si="1360"/>
        <v>1</v>
      </c>
      <c r="BN977" s="1">
        <f t="shared" si="1337"/>
        <v>1</v>
      </c>
      <c r="BO977" s="1">
        <f t="shared" si="1338"/>
        <v>1</v>
      </c>
    </row>
    <row r="978" spans="1:67" ht="30.95" customHeight="1">
      <c r="A978" s="1">
        <f>27</f>
        <v>27</v>
      </c>
      <c r="B978" s="1">
        <f>固定流程!A6</f>
        <v>1</v>
      </c>
      <c r="C978" s="1">
        <f>30</f>
        <v>30</v>
      </c>
      <c r="D978" s="1">
        <f>1</f>
        <v>1</v>
      </c>
      <c r="E978" s="1">
        <f>固定流程!C6</f>
        <v>1</v>
      </c>
      <c r="F978" s="1">
        <f>固定流程!G6</f>
        <v>3</v>
      </c>
      <c r="G978" s="1" t="str">
        <f>固定流程!H6</f>
        <v>RHI_ULT</v>
      </c>
      <c r="H978" s="1">
        <f>固定流程!F6</f>
        <v>1</v>
      </c>
      <c r="I978" s="1">
        <f>INDEX(配置与结果!$B$15:$B$18,F978)</f>
        <v>2597</v>
      </c>
      <c r="J978" s="1">
        <f>INDEX(配置与结果!$D$15:$D$18,F978)</f>
        <v>0.255</v>
      </c>
      <c r="K978" s="1">
        <f>INDEX(配置与结果!$E$15:$E$18,F978)</f>
        <v>1.55</v>
      </c>
      <c r="L978" s="1">
        <f>0</f>
        <v>0</v>
      </c>
      <c r="M978" s="1">
        <f>0</f>
        <v>0</v>
      </c>
      <c r="N978" s="1">
        <f>0</f>
        <v>0</v>
      </c>
      <c r="O978" s="1">
        <f>0</f>
        <v>0</v>
      </c>
      <c r="P978" s="1">
        <f>MIN(方案参数!$AI$30,0+方案参数!$AJ$30+0)</f>
        <v>1</v>
      </c>
      <c r="Q978" s="1">
        <f>0</f>
        <v>0</v>
      </c>
      <c r="R978" s="1">
        <f>0</f>
        <v>0</v>
      </c>
      <c r="S978" s="1">
        <f>0</f>
        <v>0</v>
      </c>
      <c r="T978" s="1">
        <f>0+0</f>
        <v>0</v>
      </c>
      <c r="U978" s="1">
        <f>0</f>
        <v>0</v>
      </c>
      <c r="V978" s="1">
        <f>0</f>
        <v>0</v>
      </c>
      <c r="W978" s="1">
        <f>0</f>
        <v>0</v>
      </c>
      <c r="X978" s="1">
        <f>0</f>
        <v>0</v>
      </c>
      <c r="Y978" s="1">
        <f>0</f>
        <v>0</v>
      </c>
      <c r="Z978" s="1">
        <f>0</f>
        <v>0</v>
      </c>
      <c r="AA978" s="1">
        <f>MAX(0,0)</f>
        <v>0</v>
      </c>
      <c r="AB978" s="1">
        <f>0</f>
        <v>0</v>
      </c>
      <c r="AC978" s="1">
        <f>MAX(0,0)</f>
        <v>0</v>
      </c>
      <c r="AD978" s="1">
        <f>ROUNDDOWN(I978*(1+IF(F978=3,0.05+方案参数!$Y$30+AA978*0.12,IF(F978=4,方案参数!$BZ$30*方案参数!$AS$30,0)))+IF(AND(X978=1,F978&lt;&gt;3),方案参数!$CC$30,0)+AC978*方案参数!$CB$30,0)</f>
        <v>2986</v>
      </c>
      <c r="AE978" s="1">
        <f>IF(OR(F978=1,F978=4),配置与结果!$B$24,配置与结果!$B$25)*MAX(0,1-INDEX(配置与结果!$I$15:$I$18,F978))</f>
        <v>1000</v>
      </c>
      <c r="AF978" s="1">
        <f>0</f>
        <v>0</v>
      </c>
      <c r="AG978" s="1">
        <f>MAX(配置与结果!$B$32,1+INDEX(配置与结果!$F$15:$F$18,F978)+0+Q978*方案参数!$W$30+Y978*(方案参数!$AN$30+MIN(方案参数!$AO$30,P978*0.03))+AB978*方案参数!$BZ$30*0.025-配置与结果!$B$28)</f>
        <v>0.6349999999999999</v>
      </c>
      <c r="AH978" s="1">
        <f>MAX(0,1+INDEX(配置与结果!$G$15:$G$18,F978)+W978*方案参数!$AG$30)</f>
        <v>1</v>
      </c>
      <c r="AI978" s="1">
        <f>IF(OR(INDEX(配置与结果!$K$15:$K$18,F978)=1,G978="RHI_BERRY"),1+配置与结果!$B$33+P978*方案参数!$AH$30,1)</f>
        <v>1</v>
      </c>
      <c r="AJ978" s="1">
        <f>MIN(1,MAX(0,J978+方案参数!$AB$30-配置与结果!$B$27))</f>
        <v>0.55499999999999994</v>
      </c>
      <c r="AK978" s="1">
        <f>MAX(1,K978+IF(F978=2,0.15+方案参数!$CH$30,0)+BN978*方案参数!$X$30+R978*方案参数!$AA$30+0-配置与结果!$B$26+Z978*(方案参数!$AP$30+MIN(方案参数!$AQ$30,P978*0.03)))</f>
        <v>1.1499999999999999</v>
      </c>
      <c r="AL978" s="7">
        <f>ROUNDDOWN(MAX(AD978*配置与结果!$B$31,AD978-AE978)*AF978*AG978*AH978*AI978,0)</f>
        <v>0</v>
      </c>
      <c r="AM978" s="7">
        <f>ROUNDDOWN(MAX(AD978*配置与结果!$B$31,AD978-AE978)*AF978*AG978*AH978*AI978*AK978,0)</f>
        <v>0</v>
      </c>
      <c r="AN978" s="7">
        <f t="shared" si="1366"/>
        <v>0</v>
      </c>
      <c r="AO978" s="7">
        <f>0</f>
        <v>0</v>
      </c>
      <c r="AP978" s="7">
        <f>MAX(0,1+INDEX(配置与结果!$J$15:$J$18,F978)+IF(T978&gt;0,方案参数!$BY$30,0)-配置与结果!$B$30)</f>
        <v>1</v>
      </c>
      <c r="AQ978" s="7">
        <f t="shared" si="1367"/>
        <v>0</v>
      </c>
      <c r="AR978" s="7">
        <f t="shared" si="1368"/>
        <v>0</v>
      </c>
      <c r="AS978" s="7">
        <f t="shared" si="1369"/>
        <v>0</v>
      </c>
      <c r="AT978" s="7">
        <f>0</f>
        <v>0</v>
      </c>
      <c r="AU978" s="7">
        <f t="shared" si="1370"/>
        <v>0</v>
      </c>
      <c r="AV978" s="1">
        <f t="shared" si="1371"/>
        <v>0</v>
      </c>
      <c r="AW978" s="1">
        <f t="shared" si="1364"/>
        <v>0</v>
      </c>
      <c r="AX978" s="1">
        <f t="shared" si="1372"/>
        <v>0</v>
      </c>
      <c r="AY978" s="1">
        <f>MIN(20,MAX(0,O978+0+0-0))</f>
        <v>0</v>
      </c>
      <c r="AZ978" s="1">
        <f t="shared" si="1373"/>
        <v>1</v>
      </c>
      <c r="BA978" s="1">
        <f>MIN(6,Q978+1)</f>
        <v>1</v>
      </c>
      <c r="BB978" s="1">
        <f>MIN(30,R978+5)</f>
        <v>5</v>
      </c>
      <c r="BC978" s="1">
        <f t="shared" si="1361"/>
        <v>0</v>
      </c>
      <c r="BD978" s="1">
        <f t="shared" si="1342"/>
        <v>0</v>
      </c>
      <c r="BE978" s="1">
        <f>0</f>
        <v>0</v>
      </c>
      <c r="BF978" s="1">
        <f t="shared" si="1365"/>
        <v>0</v>
      </c>
      <c r="BG978" s="1">
        <f t="shared" si="1352"/>
        <v>0</v>
      </c>
      <c r="BH978" s="1">
        <f>MAX(X978,1)</f>
        <v>1</v>
      </c>
      <c r="BI978" s="1">
        <f t="shared" si="1353"/>
        <v>0</v>
      </c>
      <c r="BJ978" s="1">
        <f t="shared" si="1356"/>
        <v>0</v>
      </c>
      <c r="BK978" s="1">
        <f t="shared" si="1357"/>
        <v>0</v>
      </c>
      <c r="BL978" s="1">
        <f t="shared" si="1362"/>
        <v>0</v>
      </c>
      <c r="BM978" s="1">
        <f t="shared" si="1360"/>
        <v>0</v>
      </c>
      <c r="BN978" s="1">
        <f>0</f>
        <v>0</v>
      </c>
      <c r="BO978" s="1">
        <f>MAX(BN978,1)</f>
        <v>1</v>
      </c>
    </row>
    <row r="979" spans="1:67" ht="30.95" customHeight="1">
      <c r="A979" s="1">
        <f>27</f>
        <v>27</v>
      </c>
      <c r="B979" s="1">
        <f>固定流程!A7</f>
        <v>2</v>
      </c>
      <c r="C979" s="1">
        <f>30</f>
        <v>30</v>
      </c>
      <c r="D979" s="1">
        <f>1</f>
        <v>1</v>
      </c>
      <c r="E979" s="1">
        <f>固定流程!C7</f>
        <v>1</v>
      </c>
      <c r="F979" s="1">
        <f>固定流程!G7</f>
        <v>3</v>
      </c>
      <c r="G979" s="1" t="str">
        <f>固定流程!H7</f>
        <v>RHI_BUFF</v>
      </c>
      <c r="H979" s="1">
        <f>固定流程!F7</f>
        <v>1</v>
      </c>
      <c r="I979" s="1">
        <f>INDEX(配置与结果!$B$15:$B$18,F979)</f>
        <v>2597</v>
      </c>
      <c r="J979" s="1">
        <f>INDEX(配置与结果!$D$15:$D$18,F979)</f>
        <v>0.255</v>
      </c>
      <c r="K979" s="1">
        <f>INDEX(配置与结果!$E$15:$E$18,F979)</f>
        <v>1.55</v>
      </c>
      <c r="L979" s="1">
        <f t="shared" ref="L979:O984" si="1374">AV978</f>
        <v>0</v>
      </c>
      <c r="M979" s="1">
        <f t="shared" si="1374"/>
        <v>0</v>
      </c>
      <c r="N979" s="1">
        <f t="shared" si="1374"/>
        <v>0</v>
      </c>
      <c r="O979" s="1">
        <f t="shared" si="1374"/>
        <v>0</v>
      </c>
      <c r="P979" s="1">
        <f>MIN(方案参数!$AI$30,AZ978+0+方案参数!$AK$30)</f>
        <v>3</v>
      </c>
      <c r="Q979" s="1">
        <f t="shared" ref="Q979:Q1013" si="1375">BA978</f>
        <v>1</v>
      </c>
      <c r="R979" s="1">
        <f t="shared" ref="R979:R1013" si="1376">BB978</f>
        <v>5</v>
      </c>
      <c r="S979" s="1">
        <f t="shared" ref="S979:S1013" si="1377">BC978</f>
        <v>0</v>
      </c>
      <c r="T979" s="1">
        <f t="shared" ref="T979:T992" si="1378">BD978+0</f>
        <v>0</v>
      </c>
      <c r="U979" s="1">
        <f t="shared" ref="U979:U1013" si="1379">BE978</f>
        <v>0</v>
      </c>
      <c r="V979" s="1">
        <f t="shared" ref="V979:V1013" si="1380">BF978</f>
        <v>0</v>
      </c>
      <c r="W979" s="1">
        <f t="shared" ref="W979:W1013" si="1381">BG978</f>
        <v>0</v>
      </c>
      <c r="X979" s="1">
        <f t="shared" ref="X979:X1013" si="1382">BH978</f>
        <v>1</v>
      </c>
      <c r="Y979" s="1">
        <f t="shared" ref="Y979:Y1013" si="1383">BI978</f>
        <v>0</v>
      </c>
      <c r="Z979" s="1">
        <f t="shared" ref="Z979:Z1013" si="1384">BJ978</f>
        <v>0</v>
      </c>
      <c r="AA979" s="1">
        <f t="shared" ref="AA979:AA984" si="1385">MAX(BK978,0)</f>
        <v>0</v>
      </c>
      <c r="AB979" s="1">
        <f t="shared" ref="AB979:AB1013" si="1386">BL978</f>
        <v>0</v>
      </c>
      <c r="AC979" s="1">
        <f t="shared" ref="AC979:AC992" si="1387">MAX(BM978,0)</f>
        <v>0</v>
      </c>
      <c r="AD979" s="1">
        <f>ROUNDDOWN(I979*(1+IF(F979=3,0.05+方案参数!$Y$30+AA979*0.12,IF(F979=4,方案参数!$BZ$30*方案参数!$AS$30,0)))+IF(AND(X979=1,F979&lt;&gt;3),方案参数!$CC$30,0)+AC979*方案参数!$CB$30,0)</f>
        <v>2986</v>
      </c>
      <c r="AE979" s="1">
        <f>IF(OR(F979=1,F979=4),配置与结果!$B$24,配置与结果!$B$25)*MAX(0,1-INDEX(配置与结果!$I$15:$I$18,F979))</f>
        <v>1000</v>
      </c>
      <c r="AF979" s="1">
        <f>0</f>
        <v>0</v>
      </c>
      <c r="AG979" s="1">
        <f>MAX(配置与结果!$B$32,1+INDEX(配置与结果!$F$15:$F$18,F979)+0+Q979*方案参数!$W$30+Y979*(方案参数!$AN$30+MIN(方案参数!$AO$30,P979*0.03))+AB979*方案参数!$BZ$30*0.025-配置与结果!$B$28)</f>
        <v>0.65499999999999992</v>
      </c>
      <c r="AH979" s="1">
        <f>MAX(0,1+INDEX(配置与结果!$G$15:$G$18,F979)+W979*方案参数!$AG$30)</f>
        <v>1</v>
      </c>
      <c r="AI979" s="1">
        <f>IF(OR(INDEX(配置与结果!$K$15:$K$18,F979)=1,G979="RHI_BERRY"),1+配置与结果!$B$33+P979*方案参数!$AH$30,1)</f>
        <v>1</v>
      </c>
      <c r="AJ979" s="1">
        <f>MIN(1,MAX(0,J979+方案参数!$AB$30-配置与结果!$B$27))</f>
        <v>0.55499999999999994</v>
      </c>
      <c r="AK979" s="1">
        <f>MAX(1,K979+IF(F979=2,0.15+方案参数!$CH$30,0)+BN979*方案参数!$X$30+R979*方案参数!$AA$30+0-配置与结果!$B$26+Z979*(方案参数!$AP$30+MIN(方案参数!$AQ$30,P979*0.03)))</f>
        <v>1.33</v>
      </c>
      <c r="AL979" s="7">
        <f>ROUNDDOWN(MAX(AD979*配置与结果!$B$31,AD979-AE979)*AF979*AG979*AH979*AI979,0)</f>
        <v>0</v>
      </c>
      <c r="AM979" s="7">
        <f>ROUNDDOWN(MAX(AD979*配置与结果!$B$31,AD979-AE979)*AF979*AG979*AH979*AI979*AK979,0)</f>
        <v>0</v>
      </c>
      <c r="AN979" s="7">
        <f t="shared" si="1366"/>
        <v>0</v>
      </c>
      <c r="AO979" s="7">
        <f>0</f>
        <v>0</v>
      </c>
      <c r="AP979" s="7">
        <f>MAX(0,1+INDEX(配置与结果!$J$15:$J$18,F979)+IF(T979&gt;0,方案参数!$BY$30,0)-配置与结果!$B$30)</f>
        <v>1</v>
      </c>
      <c r="AQ979" s="7">
        <f t="shared" si="1367"/>
        <v>0</v>
      </c>
      <c r="AR979" s="7">
        <f t="shared" si="1368"/>
        <v>0</v>
      </c>
      <c r="AS979" s="7">
        <f t="shared" si="1369"/>
        <v>0</v>
      </c>
      <c r="AT979" s="7">
        <f>0</f>
        <v>0</v>
      </c>
      <c r="AU979" s="7">
        <f t="shared" si="1370"/>
        <v>0</v>
      </c>
      <c r="AV979" s="1">
        <f t="shared" si="1371"/>
        <v>0</v>
      </c>
      <c r="AW979" s="1">
        <f t="shared" si="1364"/>
        <v>0</v>
      </c>
      <c r="AX979" s="1">
        <f t="shared" si="1372"/>
        <v>0</v>
      </c>
      <c r="AY979" s="1">
        <f>MIN(20,MAX(0,O979+0+0-0))</f>
        <v>0</v>
      </c>
      <c r="AZ979" s="1">
        <f t="shared" si="1373"/>
        <v>3</v>
      </c>
      <c r="BA979" s="1">
        <f>MIN(6,Q979+1)</f>
        <v>2</v>
      </c>
      <c r="BB979" s="1">
        <f t="shared" ref="BB979:BB992" si="1388">MIN(30,R979+0)</f>
        <v>5</v>
      </c>
      <c r="BC979" s="1">
        <f t="shared" si="1361"/>
        <v>0</v>
      </c>
      <c r="BD979" s="1">
        <f t="shared" si="1342"/>
        <v>0</v>
      </c>
      <c r="BE979" s="1">
        <f t="shared" ref="BE979:BE1000" si="1389">BE978</f>
        <v>0</v>
      </c>
      <c r="BF979" s="1">
        <f t="shared" si="1365"/>
        <v>0</v>
      </c>
      <c r="BG979" s="1">
        <f>MAX(W979,1)</f>
        <v>1</v>
      </c>
      <c r="BH979" s="1">
        <f t="shared" ref="BH979:BH1013" si="1390">MAX(X979,0)</f>
        <v>1</v>
      </c>
      <c r="BI979" s="1">
        <f>MAX(Y979,1)</f>
        <v>1</v>
      </c>
      <c r="BJ979" s="1">
        <f t="shared" si="1356"/>
        <v>0</v>
      </c>
      <c r="BK979" s="1">
        <f t="shared" si="1357"/>
        <v>0</v>
      </c>
      <c r="BL979" s="1">
        <f t="shared" si="1362"/>
        <v>0</v>
      </c>
      <c r="BM979" s="1">
        <f t="shared" si="1360"/>
        <v>0</v>
      </c>
      <c r="BN979" s="1">
        <f t="shared" ref="BN979:BN1013" si="1391">BO978</f>
        <v>1</v>
      </c>
      <c r="BO979" s="1">
        <f t="shared" ref="BO979:BO1013" si="1392">MAX(BN979,0)</f>
        <v>1</v>
      </c>
    </row>
    <row r="980" spans="1:67" ht="30.95" customHeight="1">
      <c r="A980" s="1">
        <f>27</f>
        <v>27</v>
      </c>
      <c r="B980" s="1">
        <f>固定流程!A8</f>
        <v>3</v>
      </c>
      <c r="C980" s="1">
        <f>30</f>
        <v>30</v>
      </c>
      <c r="D980" s="1">
        <f>1</f>
        <v>1</v>
      </c>
      <c r="E980" s="1">
        <f>固定流程!C8</f>
        <v>1</v>
      </c>
      <c r="F980" s="1">
        <f>固定流程!G8</f>
        <v>1</v>
      </c>
      <c r="G980" s="1" t="str">
        <f>固定流程!H8</f>
        <v>LILYA_COBRA</v>
      </c>
      <c r="H980" s="1">
        <f>固定流程!F8</f>
        <v>1</v>
      </c>
      <c r="I980" s="1">
        <f>INDEX(配置与结果!$B$15:$B$18,F980)</f>
        <v>2296</v>
      </c>
      <c r="J980" s="1">
        <f>INDEX(配置与结果!$D$15:$D$18,F980)</f>
        <v>0.7</v>
      </c>
      <c r="K980" s="1">
        <f>INDEX(配置与结果!$E$15:$E$18,F980)</f>
        <v>2.0249999999999999</v>
      </c>
      <c r="L980" s="1">
        <f t="shared" si="1374"/>
        <v>0</v>
      </c>
      <c r="M980" s="1">
        <f t="shared" si="1374"/>
        <v>0</v>
      </c>
      <c r="N980" s="1">
        <f t="shared" si="1374"/>
        <v>0</v>
      </c>
      <c r="O980" s="1">
        <f t="shared" si="1374"/>
        <v>0</v>
      </c>
      <c r="P980" s="1">
        <f>MIN(方案参数!$AI$30,AZ979+0+0)</f>
        <v>3</v>
      </c>
      <c r="Q980" s="1">
        <f t="shared" si="1375"/>
        <v>2</v>
      </c>
      <c r="R980" s="1">
        <f t="shared" si="1376"/>
        <v>5</v>
      </c>
      <c r="S980" s="1">
        <f t="shared" si="1377"/>
        <v>0</v>
      </c>
      <c r="T980" s="1">
        <f t="shared" si="1378"/>
        <v>0</v>
      </c>
      <c r="U980" s="1">
        <f t="shared" si="1379"/>
        <v>0</v>
      </c>
      <c r="V980" s="1">
        <f t="shared" si="1380"/>
        <v>0</v>
      </c>
      <c r="W980" s="1">
        <f t="shared" si="1381"/>
        <v>1</v>
      </c>
      <c r="X980" s="1">
        <f t="shared" si="1382"/>
        <v>1</v>
      </c>
      <c r="Y980" s="1">
        <f t="shared" si="1383"/>
        <v>1</v>
      </c>
      <c r="Z980" s="1">
        <f t="shared" si="1384"/>
        <v>0</v>
      </c>
      <c r="AA980" s="1">
        <f t="shared" si="1385"/>
        <v>0</v>
      </c>
      <c r="AB980" s="1">
        <f t="shared" si="1386"/>
        <v>0</v>
      </c>
      <c r="AC980" s="1">
        <f t="shared" si="1387"/>
        <v>0</v>
      </c>
      <c r="AD980" s="1">
        <f>ROUNDDOWN(I980*(1+IF(F980=3,0.05+方案参数!$Y$30+AA980*0.12,IF(F980=4,方案参数!$BZ$30*方案参数!$AS$30,0)))+IF(AND(X980=1,F980&lt;&gt;3),方案参数!$CC$30,0)+AC980*方案参数!$CB$30,0)</f>
        <v>2534</v>
      </c>
      <c r="AE980" s="1">
        <f>IF(OR(F980=1,F980=4),配置与结果!$B$24,配置与结果!$B$25)*MAX(0,1-INDEX(配置与结果!$I$15:$I$18,F980))</f>
        <v>1200</v>
      </c>
      <c r="AF980" s="1">
        <f>0</f>
        <v>0</v>
      </c>
      <c r="AG980" s="1">
        <f>MAX(配置与结果!$B$32,1+INDEX(配置与结果!$F$15:$F$18,F980)+0.08+方案参数!$CD$30+Q980*方案参数!$W$30+Y980*(方案参数!$AN$30+MIN(方案参数!$AO$30,P980*0.03))+AB980*方案参数!$BZ$30*0.025-配置与结果!$B$28)</f>
        <v>1.1800000000000002</v>
      </c>
      <c r="AH980" s="1">
        <f>MAX(0,1+INDEX(配置与结果!$G$15:$G$18,F980)+W980*方案参数!$AG$30)</f>
        <v>1.3</v>
      </c>
      <c r="AI980" s="1">
        <f>IF(OR(INDEX(配置与结果!$K$15:$K$18,F980)=1,G980="RHI_BERRY"),1+配置与结果!$B$33+P980*方案参数!$AH$30,1)</f>
        <v>1</v>
      </c>
      <c r="AJ980" s="1">
        <f>MIN(1,MAX(0,J980+方案参数!$AB$30-配置与结果!$B$27))</f>
        <v>1</v>
      </c>
      <c r="AK980" s="1">
        <f>MAX(1,K980+IF(F980=2,0.15+方案参数!$CH$30,0)+BN980*方案参数!$X$30+R980*方案参数!$AA$30+0-配置与结果!$B$26+Z980*(方案参数!$AP$30+MIN(方案参数!$AQ$30,P980*0.03)))</f>
        <v>1.8050000000000002</v>
      </c>
      <c r="AL980" s="7">
        <f>ROUNDDOWN(MAX(AD980*配置与结果!$B$31,AD980-AE980)*AF980*AG980*AH980*AI980,0)</f>
        <v>0</v>
      </c>
      <c r="AM980" s="7">
        <f>ROUNDDOWN(MAX(AD980*配置与结果!$B$31,AD980-AE980)*AF980*AG980*AH980*AI980*AK980,0)</f>
        <v>0</v>
      </c>
      <c r="AN980" s="7">
        <f t="shared" si="1366"/>
        <v>0</v>
      </c>
      <c r="AO980" s="7">
        <f>0</f>
        <v>0</v>
      </c>
      <c r="AP980" s="7">
        <f>MAX(0,1+INDEX(配置与结果!$J$15:$J$18,F980)+IF(T980&gt;0,方案参数!$BY$30,0)-配置与结果!$B$30)</f>
        <v>1</v>
      </c>
      <c r="AQ980" s="7">
        <f t="shared" si="1367"/>
        <v>0</v>
      </c>
      <c r="AR980" s="7">
        <f t="shared" si="1368"/>
        <v>0</v>
      </c>
      <c r="AS980" s="7">
        <f t="shared" si="1369"/>
        <v>0</v>
      </c>
      <c r="AT980" s="7">
        <f>0</f>
        <v>0</v>
      </c>
      <c r="AU980" s="7">
        <f t="shared" si="1370"/>
        <v>0</v>
      </c>
      <c r="AV980" s="1">
        <f t="shared" si="1371"/>
        <v>1</v>
      </c>
      <c r="AW980" s="1">
        <f>MIN(10,M980+方案参数!$BD$30+0)</f>
        <v>3</v>
      </c>
      <c r="AX980" s="1">
        <f t="shared" si="1372"/>
        <v>0</v>
      </c>
      <c r="AY980" s="1">
        <f>MIN(20,MAX(0,O980+6+0-0))</f>
        <v>6</v>
      </c>
      <c r="AZ980" s="1">
        <f t="shared" si="1373"/>
        <v>3</v>
      </c>
      <c r="BA980" s="1">
        <f>MIN(6,Q980+0)</f>
        <v>2</v>
      </c>
      <c r="BB980" s="1">
        <f t="shared" si="1388"/>
        <v>5</v>
      </c>
      <c r="BC980" s="1">
        <f t="shared" si="1361"/>
        <v>0</v>
      </c>
      <c r="BD980" s="1">
        <f t="shared" si="1342"/>
        <v>0</v>
      </c>
      <c r="BE980" s="1">
        <f t="shared" si="1389"/>
        <v>0</v>
      </c>
      <c r="BF980" s="1">
        <f t="shared" si="1365"/>
        <v>0</v>
      </c>
      <c r="BG980" s="1">
        <f t="shared" ref="BG980:BG990" si="1393">MAX(W980,0)</f>
        <v>1</v>
      </c>
      <c r="BH980" s="1">
        <f t="shared" si="1390"/>
        <v>1</v>
      </c>
      <c r="BI980" s="1">
        <f t="shared" ref="BI980:BI990" si="1394">MAX(Y980,0)</f>
        <v>1</v>
      </c>
      <c r="BJ980" s="1">
        <f t="shared" si="1356"/>
        <v>0</v>
      </c>
      <c r="BK980" s="1">
        <f t="shared" si="1357"/>
        <v>0</v>
      </c>
      <c r="BL980" s="1">
        <f t="shared" si="1362"/>
        <v>0</v>
      </c>
      <c r="BM980" s="1">
        <f t="shared" si="1360"/>
        <v>0</v>
      </c>
      <c r="BN980" s="1">
        <f t="shared" si="1391"/>
        <v>1</v>
      </c>
      <c r="BO980" s="1">
        <f t="shared" si="1392"/>
        <v>1</v>
      </c>
    </row>
    <row r="981" spans="1:67" ht="30.95" customHeight="1">
      <c r="A981" s="1">
        <f>27</f>
        <v>27</v>
      </c>
      <c r="B981" s="1">
        <f>固定流程!A9</f>
        <v>4</v>
      </c>
      <c r="C981" s="1">
        <f>30</f>
        <v>30</v>
      </c>
      <c r="D981" s="1">
        <f>1</f>
        <v>1</v>
      </c>
      <c r="E981" s="1">
        <f>固定流程!C9</f>
        <v>1</v>
      </c>
      <c r="F981" s="1">
        <f>固定流程!G9</f>
        <v>1</v>
      </c>
      <c r="G981" s="1" t="str">
        <f>固定流程!H9</f>
        <v>LILYA_DIVE</v>
      </c>
      <c r="H981" s="1">
        <f>固定流程!F9</f>
        <v>1</v>
      </c>
      <c r="I981" s="1">
        <f>INDEX(配置与结果!$B$15:$B$18,F981)</f>
        <v>2296</v>
      </c>
      <c r="J981" s="1">
        <f>INDEX(配置与结果!$D$15:$D$18,F981)</f>
        <v>0.7</v>
      </c>
      <c r="K981" s="1">
        <f>INDEX(配置与结果!$E$15:$E$18,F981)</f>
        <v>2.0249999999999999</v>
      </c>
      <c r="L981" s="1">
        <f t="shared" si="1374"/>
        <v>1</v>
      </c>
      <c r="M981" s="1">
        <f t="shared" si="1374"/>
        <v>3</v>
      </c>
      <c r="N981" s="1">
        <f t="shared" si="1374"/>
        <v>0</v>
      </c>
      <c r="O981" s="1">
        <f t="shared" si="1374"/>
        <v>6</v>
      </c>
      <c r="P981" s="1">
        <f>MIN(方案参数!$AI$30,AZ980+0+0)</f>
        <v>3</v>
      </c>
      <c r="Q981" s="1">
        <f t="shared" si="1375"/>
        <v>2</v>
      </c>
      <c r="R981" s="1">
        <f t="shared" si="1376"/>
        <v>5</v>
      </c>
      <c r="S981" s="1">
        <f t="shared" si="1377"/>
        <v>0</v>
      </c>
      <c r="T981" s="1">
        <f t="shared" si="1378"/>
        <v>0</v>
      </c>
      <c r="U981" s="1">
        <f t="shared" si="1379"/>
        <v>0</v>
      </c>
      <c r="V981" s="1">
        <f t="shared" si="1380"/>
        <v>0</v>
      </c>
      <c r="W981" s="1">
        <f t="shared" si="1381"/>
        <v>1</v>
      </c>
      <c r="X981" s="1">
        <f t="shared" si="1382"/>
        <v>1</v>
      </c>
      <c r="Y981" s="1">
        <f t="shared" si="1383"/>
        <v>1</v>
      </c>
      <c r="Z981" s="1">
        <f t="shared" si="1384"/>
        <v>0</v>
      </c>
      <c r="AA981" s="1">
        <f t="shared" si="1385"/>
        <v>0</v>
      </c>
      <c r="AB981" s="1">
        <f t="shared" si="1386"/>
        <v>0</v>
      </c>
      <c r="AC981" s="1">
        <f t="shared" si="1387"/>
        <v>0</v>
      </c>
      <c r="AD981" s="1">
        <f>ROUNDDOWN(I981*(1+IF(F981=3,0.05+方案参数!$Y$30+AA981*0.12,IF(F981=4,方案参数!$BZ$30*方案参数!$AS$30,0)))+IF(AND(X981=1,F981&lt;&gt;3),方案参数!$CC$30,0)+AC981*方案参数!$CB$30,0)</f>
        <v>2534</v>
      </c>
      <c r="AE981" s="1">
        <f>IF(OR(F981=1,F981=4),配置与结果!$B$24,配置与结果!$B$25)*MAX(0,1-INDEX(配置与结果!$I$15:$I$18,F981))</f>
        <v>1200</v>
      </c>
      <c r="AF981" s="1">
        <f>(IF(L981=1,方案参数!$AW$30,IF(L981=2,方案参数!$AX$30,0))+方案参数!$AV$30)*H981</f>
        <v>6</v>
      </c>
      <c r="AG981" s="1">
        <f>MAX(配置与结果!$B$32,1+INDEX(配置与结果!$F$15:$F$18,F981)+0.08+方案参数!$CD$30+Q981*方案参数!$W$30+Y981*(方案参数!$AN$30+MIN(方案参数!$AO$30,P981*0.03))+AB981*方案参数!$BZ$30*0.025+IF(L981=1,方案参数!$AY$30+(H981-1)*0.1,IF(L981=2,方案参数!$AZ$30+(H981-1)*0.2,0))-配置与结果!$B$28)</f>
        <v>1.2800000000000002</v>
      </c>
      <c r="AH981" s="1">
        <f>MAX(0,1+INDEX(配置与结果!$G$15:$G$18,F981)+W981*方案参数!$AG$30+IF(L981=1,方案参数!$BA$30,IF(L981=2,方案参数!$BB$30,0))+M981*方案参数!$BC$30)</f>
        <v>2.08</v>
      </c>
      <c r="AI981" s="1">
        <f>IF(OR(INDEX(配置与结果!$K$15:$K$18,F981)=1,G981="RHI_BERRY"),1+配置与结果!$B$33+P981*方案参数!$AH$30,1)</f>
        <v>1</v>
      </c>
      <c r="AJ981" s="1">
        <f>MIN(1,MAX(0,J981+方案参数!$AB$30-配置与结果!$B$27))</f>
        <v>1</v>
      </c>
      <c r="AK981" s="1">
        <f>MAX(1,K981+IF(F981=2,0.15+方案参数!$CH$30,0)+BN981*方案参数!$X$30+R981*方案参数!$AA$30+0-配置与结果!$B$26+Z981*(方案参数!$AP$30+MIN(方案参数!$AQ$30,P981*0.03)))</f>
        <v>1.8050000000000002</v>
      </c>
      <c r="AL981" s="7">
        <f>ROUNDDOWN(MAX(AD981*配置与结果!$B$31,AD981-AE981)*AF981*AG981*AH981*AI981,0)</f>
        <v>21309</v>
      </c>
      <c r="AM981" s="7">
        <f>ROUNDDOWN(MAX(AD981*配置与结果!$B$31,AD981-AE981)*AF981*AG981*AH981*AI981*AK981,0)</f>
        <v>38464</v>
      </c>
      <c r="AN981" s="7">
        <f t="shared" si="1366"/>
        <v>38464</v>
      </c>
      <c r="AO981" s="7">
        <f>0</f>
        <v>0</v>
      </c>
      <c r="AP981" s="7">
        <f>MAX(0,1+INDEX(配置与结果!$J$15:$J$18,F981)+IF(T981&gt;0,方案参数!$BY$30,0)-配置与结果!$B$30)</f>
        <v>1</v>
      </c>
      <c r="AQ981" s="7">
        <f t="shared" si="1367"/>
        <v>0</v>
      </c>
      <c r="AR981" s="7">
        <f t="shared" si="1368"/>
        <v>0</v>
      </c>
      <c r="AS981" s="7">
        <f t="shared" si="1369"/>
        <v>0</v>
      </c>
      <c r="AT981" s="7">
        <f>0</f>
        <v>0</v>
      </c>
      <c r="AU981" s="7">
        <f t="shared" si="1370"/>
        <v>38464</v>
      </c>
      <c r="AV981" s="1">
        <f t="shared" si="1371"/>
        <v>1</v>
      </c>
      <c r="AW981" s="1">
        <f>MIN(10,M981+0+IF(L981=1,方案参数!$BE$30,0))</f>
        <v>4</v>
      </c>
      <c r="AX981" s="1">
        <f t="shared" si="1372"/>
        <v>0</v>
      </c>
      <c r="AY981" s="1">
        <f t="shared" ref="AY981:AY996" si="1395">MIN(20,MAX(0,O981+0+0-0))</f>
        <v>6</v>
      </c>
      <c r="AZ981" s="1">
        <f t="shared" si="1373"/>
        <v>3</v>
      </c>
      <c r="BA981" s="1">
        <f>MIN(6,Q981+0)</f>
        <v>2</v>
      </c>
      <c r="BB981" s="1">
        <f t="shared" si="1388"/>
        <v>5</v>
      </c>
      <c r="BC981" s="1">
        <f t="shared" si="1361"/>
        <v>0</v>
      </c>
      <c r="BD981" s="1">
        <f t="shared" si="1342"/>
        <v>0</v>
      </c>
      <c r="BE981" s="1">
        <f t="shared" si="1389"/>
        <v>0</v>
      </c>
      <c r="BF981" s="1">
        <f t="shared" si="1365"/>
        <v>0</v>
      </c>
      <c r="BG981" s="1">
        <f t="shared" si="1393"/>
        <v>1</v>
      </c>
      <c r="BH981" s="1">
        <f t="shared" si="1390"/>
        <v>1</v>
      </c>
      <c r="BI981" s="1">
        <f t="shared" si="1394"/>
        <v>1</v>
      </c>
      <c r="BJ981" s="1">
        <f t="shared" si="1356"/>
        <v>0</v>
      </c>
      <c r="BK981" s="1">
        <f t="shared" si="1357"/>
        <v>0</v>
      </c>
      <c r="BL981" s="1">
        <f t="shared" si="1362"/>
        <v>0</v>
      </c>
      <c r="BM981" s="1">
        <f t="shared" si="1360"/>
        <v>0</v>
      </c>
      <c r="BN981" s="1">
        <f t="shared" si="1391"/>
        <v>1</v>
      </c>
      <c r="BO981" s="1">
        <f t="shared" si="1392"/>
        <v>1</v>
      </c>
    </row>
    <row r="982" spans="1:67" ht="30.95" customHeight="1">
      <c r="A982" s="1">
        <f>27</f>
        <v>27</v>
      </c>
      <c r="B982" s="1">
        <f>固定流程!A10</f>
        <v>5</v>
      </c>
      <c r="C982" s="1">
        <f>30</f>
        <v>30</v>
      </c>
      <c r="D982" s="1">
        <f>1</f>
        <v>1</v>
      </c>
      <c r="E982" s="1">
        <f>固定流程!C10</f>
        <v>1</v>
      </c>
      <c r="F982" s="1">
        <f>固定流程!G10</f>
        <v>2</v>
      </c>
      <c r="G982" s="1" t="str">
        <f>固定流程!H10</f>
        <v>37_TRIANGLE</v>
      </c>
      <c r="H982" s="1">
        <f>固定流程!F10</f>
        <v>1</v>
      </c>
      <c r="I982" s="1">
        <f>INDEX(配置与结果!$B$15:$B$18,F982)</f>
        <v>2306</v>
      </c>
      <c r="J982" s="1">
        <f>INDEX(配置与结果!$D$15:$D$18,F982)</f>
        <v>0.46</v>
      </c>
      <c r="K982" s="1">
        <f>INDEX(配置与结果!$E$15:$E$18,F982)</f>
        <v>1.9279999999999999</v>
      </c>
      <c r="L982" s="1">
        <f t="shared" si="1374"/>
        <v>1</v>
      </c>
      <c r="M982" s="1">
        <f t="shared" si="1374"/>
        <v>4</v>
      </c>
      <c r="N982" s="1">
        <f t="shared" si="1374"/>
        <v>0</v>
      </c>
      <c r="O982" s="1">
        <f t="shared" si="1374"/>
        <v>6</v>
      </c>
      <c r="P982" s="1">
        <f>MIN(方案参数!$AI$30,AZ981+0+0)</f>
        <v>3</v>
      </c>
      <c r="Q982" s="1">
        <f t="shared" si="1375"/>
        <v>2</v>
      </c>
      <c r="R982" s="1">
        <f t="shared" si="1376"/>
        <v>5</v>
      </c>
      <c r="S982" s="1">
        <f t="shared" si="1377"/>
        <v>0</v>
      </c>
      <c r="T982" s="1">
        <f t="shared" si="1378"/>
        <v>0</v>
      </c>
      <c r="U982" s="1">
        <f t="shared" si="1379"/>
        <v>0</v>
      </c>
      <c r="V982" s="1">
        <f t="shared" si="1380"/>
        <v>0</v>
      </c>
      <c r="W982" s="1">
        <f t="shared" si="1381"/>
        <v>1</v>
      </c>
      <c r="X982" s="1">
        <f t="shared" si="1382"/>
        <v>1</v>
      </c>
      <c r="Y982" s="1">
        <f t="shared" si="1383"/>
        <v>1</v>
      </c>
      <c r="Z982" s="1">
        <f t="shared" si="1384"/>
        <v>0</v>
      </c>
      <c r="AA982" s="1">
        <f t="shared" si="1385"/>
        <v>0</v>
      </c>
      <c r="AB982" s="1">
        <f t="shared" si="1386"/>
        <v>0</v>
      </c>
      <c r="AC982" s="1">
        <f t="shared" si="1387"/>
        <v>0</v>
      </c>
      <c r="AD982" s="1">
        <f>ROUNDDOWN(I982*(1+IF(F982=3,0.05+方案参数!$Y$30+AA982*0.12,IF(F982=4,方案参数!$BZ$30*方案参数!$AS$30,0)))+IF(AND(X982=1,F982&lt;&gt;3),方案参数!$CC$30,0)+AC982*方案参数!$CB$30,0)</f>
        <v>2544</v>
      </c>
      <c r="AE982" s="1">
        <f>IF(OR(F982=1,F982=4),配置与结果!$B$24,配置与结果!$B$25)*MAX(0,1-INDEX(配置与结果!$I$15:$I$18,F982))</f>
        <v>1000</v>
      </c>
      <c r="AF982" s="1">
        <f>方案参数!$BS$30*IF(H982=1,1,IF(H982=2,1.5,2.5))</f>
        <v>2.8</v>
      </c>
      <c r="AG982" s="1">
        <f>MAX(配置与结果!$B$32,1+INDEX(配置与结果!$F$15:$F$18,F982)+0+Q982*方案参数!$W$30+Y982*(方案参数!$AN$30+MIN(方案参数!$AO$30,P982*0.03))+AB982*方案参数!$BZ$30*0.025-配置与结果!$B$28)</f>
        <v>0.8849999999999999</v>
      </c>
      <c r="AH982" s="1">
        <f>MAX(0,1+INDEX(配置与结果!$G$15:$G$18,F982)+W982*方案参数!$AG$30)</f>
        <v>1.3</v>
      </c>
      <c r="AI982" s="1">
        <f>IF(OR(INDEX(配置与结果!$K$15:$K$18,F982)=1,G982="RHI_BERRY"),1+配置与结果!$B$33+P982*方案参数!$AH$30,1)</f>
        <v>1</v>
      </c>
      <c r="AJ982" s="1">
        <f>MIN(1,MAX(0,J982+方案参数!$AB$30-配置与结果!$B$27))</f>
        <v>0.76</v>
      </c>
      <c r="AK982" s="1">
        <f>MAX(1,K982+IF(F982=2,0.15+方案参数!$CH$30,0)+BN982*方案参数!$X$30+R982*方案参数!$AA$30+0-配置与结果!$B$26+Z982*(方案参数!$AP$30+MIN(方案参数!$AQ$30,P982*0.03)))</f>
        <v>1.9780000000000002</v>
      </c>
      <c r="AL982" s="7">
        <f>ROUNDDOWN(MAX(AD982*配置与结果!$B$31,AD982-AE982)*AF982*AG982*AH982*AI982,0)</f>
        <v>4973</v>
      </c>
      <c r="AM982" s="7">
        <f>ROUNDDOWN(MAX(AD982*配置与结果!$B$31,AD982-AE982)*AF982*AG982*AH982*AI982*AK982,0)</f>
        <v>9838</v>
      </c>
      <c r="AN982" s="7">
        <f t="shared" si="1366"/>
        <v>8670.4</v>
      </c>
      <c r="AO982" s="7">
        <f>方案参数!$BU$30*IF(H982=1,1,IF(H982=2,1.5,2.5))</f>
        <v>0.8</v>
      </c>
      <c r="AP982" s="7">
        <f>MAX(0,1+INDEX(配置与结果!$J$15:$J$18,F982)+IF(T982&gt;0,方案参数!$BY$30,0)-配置与结果!$B$30)</f>
        <v>1</v>
      </c>
      <c r="AQ982" s="7">
        <f t="shared" si="1367"/>
        <v>2035</v>
      </c>
      <c r="AR982" s="7">
        <f t="shared" si="1368"/>
        <v>4025</v>
      </c>
      <c r="AS982" s="7">
        <f t="shared" si="1369"/>
        <v>3547.4</v>
      </c>
      <c r="AT982" s="7">
        <f>0</f>
        <v>0</v>
      </c>
      <c r="AU982" s="7">
        <f t="shared" si="1370"/>
        <v>12217.8</v>
      </c>
      <c r="AV982" s="1">
        <f t="shared" si="1371"/>
        <v>1</v>
      </c>
      <c r="AW982" s="1">
        <f>MIN(10,M982+0+0)</f>
        <v>4</v>
      </c>
      <c r="AX982" s="1">
        <f t="shared" si="1372"/>
        <v>0</v>
      </c>
      <c r="AY982" s="1">
        <f t="shared" si="1395"/>
        <v>6</v>
      </c>
      <c r="AZ982" s="1">
        <f t="shared" si="1373"/>
        <v>3</v>
      </c>
      <c r="BA982" s="1">
        <f>MIN(6,Q982+0)</f>
        <v>2</v>
      </c>
      <c r="BB982" s="1">
        <f t="shared" si="1388"/>
        <v>5</v>
      </c>
      <c r="BC982" s="1">
        <f t="shared" si="1361"/>
        <v>0</v>
      </c>
      <c r="BD982" s="1">
        <f>MAX(0,T982-IF(AO982&gt;0,1,0))+1</f>
        <v>1</v>
      </c>
      <c r="BE982" s="1">
        <f t="shared" si="1389"/>
        <v>0</v>
      </c>
      <c r="BF982" s="1">
        <f t="shared" si="1365"/>
        <v>0</v>
      </c>
      <c r="BG982" s="1">
        <f t="shared" si="1393"/>
        <v>1</v>
      </c>
      <c r="BH982" s="1">
        <f t="shared" si="1390"/>
        <v>1</v>
      </c>
      <c r="BI982" s="1">
        <f t="shared" si="1394"/>
        <v>1</v>
      </c>
      <c r="BJ982" s="1">
        <f t="shared" si="1356"/>
        <v>0</v>
      </c>
      <c r="BK982" s="1">
        <f t="shared" si="1357"/>
        <v>0</v>
      </c>
      <c r="BL982" s="1">
        <f t="shared" si="1362"/>
        <v>0</v>
      </c>
      <c r="BM982" s="1">
        <f t="shared" si="1360"/>
        <v>0</v>
      </c>
      <c r="BN982" s="1">
        <f t="shared" si="1391"/>
        <v>1</v>
      </c>
      <c r="BO982" s="1">
        <f t="shared" si="1392"/>
        <v>1</v>
      </c>
    </row>
    <row r="983" spans="1:67" ht="30.95" customHeight="1">
      <c r="A983" s="1">
        <f>27</f>
        <v>27</v>
      </c>
      <c r="B983" s="1">
        <f>固定流程!A11</f>
        <v>6</v>
      </c>
      <c r="C983" s="1">
        <f>30</f>
        <v>30</v>
      </c>
      <c r="D983" s="1">
        <f>1</f>
        <v>1</v>
      </c>
      <c r="E983" s="1">
        <f>固定流程!C11</f>
        <v>1</v>
      </c>
      <c r="F983" s="1">
        <f>固定流程!G11</f>
        <v>2</v>
      </c>
      <c r="G983" s="1" t="str">
        <f>固定流程!H11</f>
        <v>37_FOLLOW</v>
      </c>
      <c r="H983" s="1">
        <f>固定流程!F11</f>
        <v>1</v>
      </c>
      <c r="I983" s="1">
        <f>INDEX(配置与结果!$B$15:$B$18,F983)</f>
        <v>2306</v>
      </c>
      <c r="J983" s="1">
        <f>INDEX(配置与结果!$D$15:$D$18,F983)</f>
        <v>0.46</v>
      </c>
      <c r="K983" s="1">
        <f>INDEX(配置与结果!$E$15:$E$18,F983)</f>
        <v>1.9279999999999999</v>
      </c>
      <c r="L983" s="1">
        <f t="shared" si="1374"/>
        <v>1</v>
      </c>
      <c r="M983" s="1">
        <f t="shared" si="1374"/>
        <v>4</v>
      </c>
      <c r="N983" s="1">
        <f t="shared" si="1374"/>
        <v>0</v>
      </c>
      <c r="O983" s="1">
        <f t="shared" si="1374"/>
        <v>6</v>
      </c>
      <c r="P983" s="1">
        <f>MIN(方案参数!$AI$30,AZ982+0+0)</f>
        <v>3</v>
      </c>
      <c r="Q983" s="1">
        <f t="shared" si="1375"/>
        <v>2</v>
      </c>
      <c r="R983" s="1">
        <f t="shared" si="1376"/>
        <v>5</v>
      </c>
      <c r="S983" s="1">
        <f t="shared" si="1377"/>
        <v>0</v>
      </c>
      <c r="T983" s="1">
        <f t="shared" si="1378"/>
        <v>1</v>
      </c>
      <c r="U983" s="1">
        <f t="shared" si="1379"/>
        <v>0</v>
      </c>
      <c r="V983" s="1">
        <f t="shared" si="1380"/>
        <v>0</v>
      </c>
      <c r="W983" s="1">
        <f t="shared" si="1381"/>
        <v>1</v>
      </c>
      <c r="X983" s="1">
        <f t="shared" si="1382"/>
        <v>1</v>
      </c>
      <c r="Y983" s="1">
        <f t="shared" si="1383"/>
        <v>1</v>
      </c>
      <c r="Z983" s="1">
        <f t="shared" si="1384"/>
        <v>0</v>
      </c>
      <c r="AA983" s="1">
        <f t="shared" si="1385"/>
        <v>0</v>
      </c>
      <c r="AB983" s="1">
        <f t="shared" si="1386"/>
        <v>0</v>
      </c>
      <c r="AC983" s="1">
        <f t="shared" si="1387"/>
        <v>0</v>
      </c>
      <c r="AD983" s="1">
        <f>ROUNDDOWN(I983*(1+IF(F983=3,0.05+方案参数!$Y$30+AA983*0.12,IF(F983=4,方案参数!$BZ$30*方案参数!$AS$30,0)))+IF(AND(X983=1,F983&lt;&gt;3),方案参数!$CC$30,0)+AC983*方案参数!$CB$30,0)</f>
        <v>2544</v>
      </c>
      <c r="AE983" s="1">
        <f>IF(OR(F983=1,F983=4),配置与结果!$B$24,配置与结果!$B$25)*MAX(0,1-INDEX(配置与结果!$I$15:$I$18,F983))</f>
        <v>1000</v>
      </c>
      <c r="AF983" s="1">
        <f>方案参数!$BV$30</f>
        <v>3</v>
      </c>
      <c r="AG983" s="1">
        <f>MAX(配置与结果!$B$32,1+INDEX(配置与结果!$F$15:$F$18,F983)+0+Q983*方案参数!$W$30+Y983*(方案参数!$AN$30+MIN(方案参数!$AO$30,P983*0.03))+AB983*方案参数!$BZ$30*0.025-配置与结果!$B$28)</f>
        <v>0.8849999999999999</v>
      </c>
      <c r="AH983" s="1">
        <f>MAX(0,1+INDEX(配置与结果!$G$15:$G$18,F983)+W983*方案参数!$AG$30)</f>
        <v>1.3</v>
      </c>
      <c r="AI983" s="1">
        <f>IF(OR(INDEX(配置与结果!$K$15:$K$18,F983)=1,G983="RHI_BERRY"),1+配置与结果!$B$33+P983*方案参数!$AH$30,1)</f>
        <v>1</v>
      </c>
      <c r="AJ983" s="1">
        <f>MIN(1,MAX(0,J983+方案参数!$AB$30-配置与结果!$B$27))</f>
        <v>0.76</v>
      </c>
      <c r="AK983" s="1">
        <f>MAX(1,K983+IF(F983=2,0.15+方案参数!$CH$30,0)+BN983*方案参数!$X$30+R983*方案参数!$AA$30+0-配置与结果!$B$26+Z983*(方案参数!$AP$30+MIN(方案参数!$AQ$30,P983*0.03)))</f>
        <v>1.9780000000000002</v>
      </c>
      <c r="AL983" s="7">
        <f>ROUNDDOWN(MAX(AD983*配置与结果!$B$31,AD983-AE983)*AF983*AG983*AH983*AI983,0)</f>
        <v>5329</v>
      </c>
      <c r="AM983" s="7">
        <f>ROUNDDOWN(MAX(AD983*配置与结果!$B$31,AD983-AE983)*AF983*AG983*AH983*AI983*AK983,0)</f>
        <v>10540</v>
      </c>
      <c r="AN983" s="7">
        <f t="shared" si="1366"/>
        <v>9289.36</v>
      </c>
      <c r="AO983" s="7">
        <f>方案参数!$BW$30</f>
        <v>1</v>
      </c>
      <c r="AP983" s="7">
        <f>MAX(0,1+INDEX(配置与结果!$J$15:$J$18,F983)+IF(T983&gt;0,方案参数!$BY$30,0)-配置与结果!$B$30)</f>
        <v>2</v>
      </c>
      <c r="AQ983" s="7">
        <f t="shared" si="1367"/>
        <v>5088</v>
      </c>
      <c r="AR983" s="7">
        <f t="shared" si="1368"/>
        <v>10064</v>
      </c>
      <c r="AS983" s="7">
        <f t="shared" si="1369"/>
        <v>8869.76</v>
      </c>
      <c r="AT983" s="7">
        <f>0</f>
        <v>0</v>
      </c>
      <c r="AU983" s="7">
        <f t="shared" si="1370"/>
        <v>18159.120000000003</v>
      </c>
      <c r="AV983" s="1">
        <f t="shared" si="1371"/>
        <v>1</v>
      </c>
      <c r="AW983" s="1">
        <f>MIN(10,M983+0+0)</f>
        <v>4</v>
      </c>
      <c r="AX983" s="1">
        <f t="shared" si="1372"/>
        <v>0</v>
      </c>
      <c r="AY983" s="1">
        <f t="shared" si="1395"/>
        <v>6</v>
      </c>
      <c r="AZ983" s="1">
        <f t="shared" si="1373"/>
        <v>3</v>
      </c>
      <c r="BA983" s="1">
        <f>MIN(6,Q983+0)</f>
        <v>2</v>
      </c>
      <c r="BB983" s="1">
        <f t="shared" si="1388"/>
        <v>5</v>
      </c>
      <c r="BC983" s="1">
        <f t="shared" si="1361"/>
        <v>0</v>
      </c>
      <c r="BD983" s="1">
        <f t="shared" ref="BD983:BD1017" si="1396">MAX(0,T983-IF(AO983&gt;0,1,0))+0</f>
        <v>0</v>
      </c>
      <c r="BE983" s="1">
        <f t="shared" si="1389"/>
        <v>0</v>
      </c>
      <c r="BF983" s="1">
        <f>MIN(4,V983+1)</f>
        <v>1</v>
      </c>
      <c r="BG983" s="1">
        <f t="shared" si="1393"/>
        <v>1</v>
      </c>
      <c r="BH983" s="1">
        <f t="shared" si="1390"/>
        <v>1</v>
      </c>
      <c r="BI983" s="1">
        <f t="shared" si="1394"/>
        <v>1</v>
      </c>
      <c r="BJ983" s="1">
        <f t="shared" si="1356"/>
        <v>0</v>
      </c>
      <c r="BK983" s="1">
        <f t="shared" si="1357"/>
        <v>0</v>
      </c>
      <c r="BL983" s="1">
        <f t="shared" si="1362"/>
        <v>0</v>
      </c>
      <c r="BM983" s="1">
        <f t="shared" si="1360"/>
        <v>0</v>
      </c>
      <c r="BN983" s="1">
        <f t="shared" si="1391"/>
        <v>1</v>
      </c>
      <c r="BO983" s="1">
        <f t="shared" si="1392"/>
        <v>1</v>
      </c>
    </row>
    <row r="984" spans="1:67" ht="30.95" customHeight="1">
      <c r="A984" s="1">
        <f>27</f>
        <v>27</v>
      </c>
      <c r="B984" s="1">
        <f>固定流程!A12</f>
        <v>7</v>
      </c>
      <c r="C984" s="1">
        <f>30</f>
        <v>30</v>
      </c>
      <c r="D984" s="1">
        <f>1</f>
        <v>1</v>
      </c>
      <c r="E984" s="1">
        <f>固定流程!C12</f>
        <v>1</v>
      </c>
      <c r="F984" s="1">
        <f>固定流程!G12</f>
        <v>4</v>
      </c>
      <c r="G984" s="1" t="str">
        <f>固定流程!H12</f>
        <v>J_HARD</v>
      </c>
      <c r="H984" s="1">
        <f>固定流程!F12</f>
        <v>1</v>
      </c>
      <c r="I984" s="1">
        <f>INDEX(配置与结果!$B$15:$B$18,F984)</f>
        <v>1906</v>
      </c>
      <c r="J984" s="1">
        <f>INDEX(配置与结果!$D$15:$D$18,F984)</f>
        <v>0.36699999999999999</v>
      </c>
      <c r="K984" s="1">
        <f>INDEX(配置与结果!$E$15:$E$18,F984)</f>
        <v>1.7170000000000001</v>
      </c>
      <c r="L984" s="1">
        <f t="shared" si="1374"/>
        <v>1</v>
      </c>
      <c r="M984" s="1">
        <f t="shared" si="1374"/>
        <v>4</v>
      </c>
      <c r="N984" s="1">
        <f t="shared" si="1374"/>
        <v>0</v>
      </c>
      <c r="O984" s="1">
        <f t="shared" si="1374"/>
        <v>6</v>
      </c>
      <c r="P984" s="1">
        <f>MIN(方案参数!$AI$30,AZ983+0+0)</f>
        <v>3</v>
      </c>
      <c r="Q984" s="1">
        <f t="shared" si="1375"/>
        <v>2</v>
      </c>
      <c r="R984" s="1">
        <f t="shared" si="1376"/>
        <v>5</v>
      </c>
      <c r="S984" s="1">
        <f t="shared" si="1377"/>
        <v>0</v>
      </c>
      <c r="T984" s="1">
        <f t="shared" si="1378"/>
        <v>0</v>
      </c>
      <c r="U984" s="1">
        <f t="shared" si="1379"/>
        <v>0</v>
      </c>
      <c r="V984" s="1">
        <f t="shared" si="1380"/>
        <v>1</v>
      </c>
      <c r="W984" s="1">
        <f t="shared" si="1381"/>
        <v>1</v>
      </c>
      <c r="X984" s="1">
        <f t="shared" si="1382"/>
        <v>1</v>
      </c>
      <c r="Y984" s="1">
        <f t="shared" si="1383"/>
        <v>1</v>
      </c>
      <c r="Z984" s="1">
        <f t="shared" si="1384"/>
        <v>0</v>
      </c>
      <c r="AA984" s="1">
        <f t="shared" si="1385"/>
        <v>0</v>
      </c>
      <c r="AB984" s="1">
        <f t="shared" si="1386"/>
        <v>0</v>
      </c>
      <c r="AC984" s="1">
        <f t="shared" si="1387"/>
        <v>0</v>
      </c>
      <c r="AD984" s="1">
        <f>ROUNDDOWN(I984*(1+IF(F984=3,0.05+方案参数!$Y$30+AA984*0.12,IF(F984=4,方案参数!$BZ$30*方案参数!$AS$30,0)))+IF(AND(X984=1,F984&lt;&gt;3),方案参数!$CC$30,0)+AC984*方案参数!$CB$30,0)</f>
        <v>2811</v>
      </c>
      <c r="AE984" s="1">
        <f>IF(OR(F984=1,F984=4),配置与结果!$B$24,配置与结果!$B$25)*MAX(0,1-INDEX(配置与结果!$I$15:$I$18,F984))</f>
        <v>1200</v>
      </c>
      <c r="AF984" s="1">
        <f>3.6*IF(H984=1,1,IF(H984=2,1.5,2.5))</f>
        <v>3.6</v>
      </c>
      <c r="AG984" s="1">
        <f>MAX(配置与结果!$B$32,1+INDEX(配置与结果!$F$15:$F$18,F984)+0.08+Q984*方案参数!$W$30+Y984*(方案参数!$AN$30+MIN(方案参数!$AO$30,P984*0.03))+AB984*方案参数!$BZ$30*0.025+0.1+IF(方案参数!$BZ$30&gt;=30,方案参数!$BZ$30*0.01,0)-配置与结果!$B$28)</f>
        <v>1.4350000000000001</v>
      </c>
      <c r="AH984" s="1">
        <f>MAX(0,1+INDEX(配置与结果!$G$15:$G$18,F984)+W984*方案参数!$AG$30)</f>
        <v>1.3</v>
      </c>
      <c r="AI984" s="1">
        <f>IF(OR(INDEX(配置与结果!$K$15:$K$18,F984)=1,G984="RHI_BERRY"),1+配置与结果!$B$33+P984*方案参数!$AH$30,1)</f>
        <v>1</v>
      </c>
      <c r="AJ984" s="1">
        <f>MIN(1,MAX(0,J984+方案参数!$AB$30-配置与结果!$B$27))</f>
        <v>0.66700000000000004</v>
      </c>
      <c r="AK984" s="1">
        <f>MAX(1,K984+IF(F984=2,0.15+方案参数!$CH$30,0)+BN984*方案参数!$X$30+R984*方案参数!$AA$30+0-配置与结果!$B$26+Z984*(方案参数!$AP$30+MIN(方案参数!$AQ$30,P984*0.03)))</f>
        <v>1.4969999999999999</v>
      </c>
      <c r="AL984" s="7">
        <f>ROUNDDOWN(MAX(AD984*配置与结果!$B$31,AD984-AE984)*AF984*AG984*AH984*AI984,0)</f>
        <v>10819</v>
      </c>
      <c r="AM984" s="7">
        <f>ROUNDDOWN(MAX(AD984*配置与结果!$B$31,AD984-AE984)*AF984*AG984*AH984*AI984*AK984,0)</f>
        <v>16196</v>
      </c>
      <c r="AN984" s="7">
        <f t="shared" si="1366"/>
        <v>14405.458999999999</v>
      </c>
      <c r="AO984" s="7">
        <f>0</f>
        <v>0</v>
      </c>
      <c r="AP984" s="7">
        <f>MAX(0,1+INDEX(配置与结果!$J$15:$J$18,F984)+IF(T984&gt;0,方案参数!$BY$30,0)-配置与结果!$B$30)</f>
        <v>1</v>
      </c>
      <c r="AQ984" s="7">
        <f t="shared" si="1367"/>
        <v>0</v>
      </c>
      <c r="AR984" s="7">
        <f t="shared" si="1368"/>
        <v>0</v>
      </c>
      <c r="AS984" s="7">
        <f t="shared" si="1369"/>
        <v>0</v>
      </c>
      <c r="AT984" s="7">
        <f>0</f>
        <v>0</v>
      </c>
      <c r="AU984" s="7">
        <f t="shared" si="1370"/>
        <v>14405.458999999999</v>
      </c>
      <c r="AV984" s="1">
        <f t="shared" si="1371"/>
        <v>1</v>
      </c>
      <c r="AW984" s="1">
        <f>MIN(10,M984+0+0)</f>
        <v>4</v>
      </c>
      <c r="AX984" s="1">
        <f t="shared" si="1372"/>
        <v>0</v>
      </c>
      <c r="AY984" s="1">
        <f t="shared" si="1395"/>
        <v>6</v>
      </c>
      <c r="AZ984" s="1">
        <f t="shared" si="1373"/>
        <v>3</v>
      </c>
      <c r="BA984" s="1">
        <f>MIN(6,Q984+0)</f>
        <v>2</v>
      </c>
      <c r="BB984" s="1">
        <f t="shared" si="1388"/>
        <v>5</v>
      </c>
      <c r="BC984" s="1">
        <f>MIN(3,S984+1)</f>
        <v>1</v>
      </c>
      <c r="BD984" s="1">
        <f t="shared" si="1396"/>
        <v>0</v>
      </c>
      <c r="BE984" s="1">
        <f t="shared" si="1389"/>
        <v>0</v>
      </c>
      <c r="BF984" s="1">
        <f>MIN(4,V984+0)</f>
        <v>1</v>
      </c>
      <c r="BG984" s="1">
        <f t="shared" si="1393"/>
        <v>1</v>
      </c>
      <c r="BH984" s="1">
        <f t="shared" si="1390"/>
        <v>1</v>
      </c>
      <c r="BI984" s="1">
        <f t="shared" si="1394"/>
        <v>1</v>
      </c>
      <c r="BJ984" s="1">
        <f t="shared" si="1356"/>
        <v>0</v>
      </c>
      <c r="BK984" s="1">
        <f t="shared" si="1357"/>
        <v>0</v>
      </c>
      <c r="BL984" s="1">
        <f t="shared" si="1362"/>
        <v>0</v>
      </c>
      <c r="BM984" s="1">
        <f t="shared" si="1360"/>
        <v>0</v>
      </c>
      <c r="BN984" s="1">
        <f t="shared" si="1391"/>
        <v>1</v>
      </c>
      <c r="BO984" s="1">
        <f t="shared" si="1392"/>
        <v>1</v>
      </c>
    </row>
    <row r="985" spans="1:67" ht="30.95" customHeight="1">
      <c r="A985" s="1">
        <f>27</f>
        <v>27</v>
      </c>
      <c r="B985" s="1">
        <f>固定流程!A13</f>
        <v>8</v>
      </c>
      <c r="C985" s="1">
        <f>30</f>
        <v>30</v>
      </c>
      <c r="D985" s="1">
        <f>1</f>
        <v>1</v>
      </c>
      <c r="E985" s="1">
        <f>固定流程!C13</f>
        <v>2</v>
      </c>
      <c r="F985" s="1">
        <f>固定流程!G13</f>
        <v>3</v>
      </c>
      <c r="G985" s="1" t="str">
        <f>固定流程!H13</f>
        <v>RHI_ATTACK</v>
      </c>
      <c r="H985" s="1">
        <f>固定流程!F13</f>
        <v>1</v>
      </c>
      <c r="I985" s="1">
        <f>INDEX(配置与结果!$B$15:$B$18,F985)</f>
        <v>2597</v>
      </c>
      <c r="J985" s="1">
        <f>INDEX(配置与结果!$D$15:$D$18,F985)</f>
        <v>0.255</v>
      </c>
      <c r="K985" s="1">
        <f>INDEX(配置与结果!$E$15:$E$18,F985)</f>
        <v>1.55</v>
      </c>
      <c r="L985" s="1">
        <f>IF(AV984=1,IF(M985&gt;=10,2,1),IF(AV984=2,IF(AX984&lt;=1,0,2),0))</f>
        <v>1</v>
      </c>
      <c r="M985" s="1">
        <f>IF(AND(AV984=2,AX984&lt;=1),0,MIN(10,AW984+IF(AV984=1,3,0)))</f>
        <v>7</v>
      </c>
      <c r="N985" s="1">
        <f>IF(AND(AV984=1,M985&gt;=10),2,IF(AV984=2,MAX(0,AX984-1),0))</f>
        <v>0</v>
      </c>
      <c r="O985" s="1">
        <f t="shared" ref="O985:O1013" si="1397">AY984</f>
        <v>6</v>
      </c>
      <c r="P985" s="1">
        <f>MIN(方案参数!$AI$30,AZ984+方案参数!$AJ$30+方案参数!$AK$30)</f>
        <v>5</v>
      </c>
      <c r="Q985" s="1">
        <f t="shared" si="1375"/>
        <v>2</v>
      </c>
      <c r="R985" s="1">
        <f t="shared" si="1376"/>
        <v>5</v>
      </c>
      <c r="S985" s="1">
        <f t="shared" si="1377"/>
        <v>1</v>
      </c>
      <c r="T985" s="1">
        <f t="shared" si="1378"/>
        <v>0</v>
      </c>
      <c r="U985" s="1">
        <f t="shared" si="1379"/>
        <v>0</v>
      </c>
      <c r="V985" s="1">
        <f t="shared" si="1380"/>
        <v>1</v>
      </c>
      <c r="W985" s="1">
        <f t="shared" si="1381"/>
        <v>1</v>
      </c>
      <c r="X985" s="1">
        <f t="shared" si="1382"/>
        <v>1</v>
      </c>
      <c r="Y985" s="1">
        <f t="shared" si="1383"/>
        <v>1</v>
      </c>
      <c r="Z985" s="1">
        <f t="shared" si="1384"/>
        <v>0</v>
      </c>
      <c r="AA985" s="1">
        <f>MAX(BK984,1)</f>
        <v>1</v>
      </c>
      <c r="AB985" s="1">
        <f t="shared" si="1386"/>
        <v>0</v>
      </c>
      <c r="AC985" s="1">
        <f t="shared" si="1387"/>
        <v>0</v>
      </c>
      <c r="AD985" s="1">
        <f>ROUNDDOWN(I985*(1+IF(F985=3,0.05+方案参数!$Y$30+AA985*0.12,IF(F985=4,方案参数!$BZ$30*方案参数!$AS$30,0)))+IF(AND(X985=1,F985&lt;&gt;3),方案参数!$CC$30,0)+AC985*方案参数!$CB$30,0)</f>
        <v>3298</v>
      </c>
      <c r="AE985" s="1">
        <f>IF(OR(F985=1,F985=4),配置与结果!$B$24,配置与结果!$B$25)*MAX(0,1-INDEX(配置与结果!$I$15:$I$18,F985))</f>
        <v>1000</v>
      </c>
      <c r="AF985" s="1">
        <f>4</f>
        <v>4</v>
      </c>
      <c r="AG985" s="1">
        <f>MAX(配置与结果!$B$32,1+INDEX(配置与结果!$F$15:$F$18,F985)+0+Q985*方案参数!$W$30+Y985*(方案参数!$AN$30+MIN(方案参数!$AO$30,P985*0.03))+AB985*方案参数!$BZ$30*0.025-配置与结果!$B$28)</f>
        <v>0.97499999999999998</v>
      </c>
      <c r="AH985" s="1">
        <f>MAX(0,1+INDEX(配置与结果!$G$15:$G$18,F985)+W985*方案参数!$AG$30)</f>
        <v>1.3</v>
      </c>
      <c r="AI985" s="1">
        <f>IF(OR(INDEX(配置与结果!$K$15:$K$18,F985)=1,G985="RHI_BERRY"),1+配置与结果!$B$33+P985*方案参数!$AH$30,1)</f>
        <v>1</v>
      </c>
      <c r="AJ985" s="1">
        <f>MIN(1,MAX(0,J985+方案参数!$AB$30-配置与结果!$B$27))</f>
        <v>0.55499999999999994</v>
      </c>
      <c r="AK985" s="1">
        <f>MAX(1,K985+IF(F985=2,0.15+方案参数!$CH$30,0)+BN985*方案参数!$X$30+R985*方案参数!$AA$30+0-配置与结果!$B$26+Z985*(方案参数!$AP$30+MIN(方案参数!$AQ$30,P985*0.03)))</f>
        <v>1.33</v>
      </c>
      <c r="AL985" s="7">
        <f>ROUNDDOWN(MAX(AD985*配置与结果!$B$31,AD985-AE985)*AF985*AG985*AH985*AI985,0)</f>
        <v>11650</v>
      </c>
      <c r="AM985" s="7">
        <f>ROUNDDOWN(MAX(AD985*配置与结果!$B$31,AD985-AE985)*AF985*AG985*AH985*AI985*AK985,0)</f>
        <v>15495</v>
      </c>
      <c r="AN985" s="7">
        <f t="shared" si="1366"/>
        <v>13783.974999999999</v>
      </c>
      <c r="AO985" s="7">
        <f>0</f>
        <v>0</v>
      </c>
      <c r="AP985" s="7">
        <f>MAX(0,1+INDEX(配置与结果!$J$15:$J$18,F985)+IF(T985&gt;0,方案参数!$BY$30,0)-配置与结果!$B$30)</f>
        <v>1</v>
      </c>
      <c r="AQ985" s="7">
        <f t="shared" si="1367"/>
        <v>0</v>
      </c>
      <c r="AR985" s="7">
        <f t="shared" si="1368"/>
        <v>0</v>
      </c>
      <c r="AS985" s="7">
        <f t="shared" si="1369"/>
        <v>0</v>
      </c>
      <c r="AT985" s="7">
        <f>0</f>
        <v>0</v>
      </c>
      <c r="AU985" s="7">
        <f t="shared" si="1370"/>
        <v>13783.974999999999</v>
      </c>
      <c r="AV985" s="1">
        <f t="shared" si="1371"/>
        <v>1</v>
      </c>
      <c r="AW985" s="1">
        <f>MIN(10,M985+0+0)</f>
        <v>7</v>
      </c>
      <c r="AX985" s="1">
        <f t="shared" si="1372"/>
        <v>0</v>
      </c>
      <c r="AY985" s="1">
        <f t="shared" si="1395"/>
        <v>6</v>
      </c>
      <c r="AZ985" s="1">
        <f t="shared" si="1373"/>
        <v>5</v>
      </c>
      <c r="BA985" s="1">
        <f>MIN(6,Q985+1)</f>
        <v>3</v>
      </c>
      <c r="BB985" s="1">
        <f t="shared" si="1388"/>
        <v>5</v>
      </c>
      <c r="BC985" s="1">
        <f>MIN(3,S985+0)</f>
        <v>1</v>
      </c>
      <c r="BD985" s="1">
        <f t="shared" si="1396"/>
        <v>0</v>
      </c>
      <c r="BE985" s="1">
        <f t="shared" si="1389"/>
        <v>0</v>
      </c>
      <c r="BF985" s="1">
        <f>MIN(4,V985+0)</f>
        <v>1</v>
      </c>
      <c r="BG985" s="1">
        <f t="shared" si="1393"/>
        <v>1</v>
      </c>
      <c r="BH985" s="1">
        <f t="shared" si="1390"/>
        <v>1</v>
      </c>
      <c r="BI985" s="1">
        <f t="shared" si="1394"/>
        <v>1</v>
      </c>
      <c r="BJ985" s="1">
        <f>MAX(Z985,1)</f>
        <v>1</v>
      </c>
      <c r="BK985" s="1">
        <f>MAX(AA985,1)</f>
        <v>1</v>
      </c>
      <c r="BL985" s="1">
        <f t="shared" si="1362"/>
        <v>0</v>
      </c>
      <c r="BM985" s="1">
        <f t="shared" si="1360"/>
        <v>0</v>
      </c>
      <c r="BN985" s="1">
        <f t="shared" si="1391"/>
        <v>1</v>
      </c>
      <c r="BO985" s="1">
        <f t="shared" si="1392"/>
        <v>1</v>
      </c>
    </row>
    <row r="986" spans="1:67" ht="30.95" customHeight="1">
      <c r="A986" s="1">
        <f>27</f>
        <v>27</v>
      </c>
      <c r="B986" s="1">
        <f>固定流程!A14</f>
        <v>9</v>
      </c>
      <c r="C986" s="1">
        <f>30</f>
        <v>30</v>
      </c>
      <c r="D986" s="1">
        <f>1</f>
        <v>1</v>
      </c>
      <c r="E986" s="1">
        <f>固定流程!C14</f>
        <v>2</v>
      </c>
      <c r="F986" s="1">
        <f>固定流程!G14</f>
        <v>1</v>
      </c>
      <c r="G986" s="1" t="str">
        <f>固定流程!H14</f>
        <v>LILYA_DIVE</v>
      </c>
      <c r="H986" s="1">
        <f>固定流程!F14</f>
        <v>3</v>
      </c>
      <c r="I986" s="1">
        <f>INDEX(配置与结果!$B$15:$B$18,F986)</f>
        <v>2296</v>
      </c>
      <c r="J986" s="1">
        <f>INDEX(配置与结果!$D$15:$D$18,F986)</f>
        <v>0.7</v>
      </c>
      <c r="K986" s="1">
        <f>INDEX(配置与结果!$E$15:$E$18,F986)</f>
        <v>2.0249999999999999</v>
      </c>
      <c r="L986" s="1">
        <f t="shared" ref="L986:N990" si="1398">AV985</f>
        <v>1</v>
      </c>
      <c r="M986" s="1">
        <f t="shared" si="1398"/>
        <v>7</v>
      </c>
      <c r="N986" s="1">
        <f t="shared" si="1398"/>
        <v>0</v>
      </c>
      <c r="O986" s="1">
        <f t="shared" si="1397"/>
        <v>6</v>
      </c>
      <c r="P986" s="1">
        <f>MIN(方案参数!$AI$30,AZ985+0+0)</f>
        <v>5</v>
      </c>
      <c r="Q986" s="1">
        <f t="shared" si="1375"/>
        <v>3</v>
      </c>
      <c r="R986" s="1">
        <f t="shared" si="1376"/>
        <v>5</v>
      </c>
      <c r="S986" s="1">
        <f t="shared" si="1377"/>
        <v>1</v>
      </c>
      <c r="T986" s="1">
        <f t="shared" si="1378"/>
        <v>0</v>
      </c>
      <c r="U986" s="1">
        <f t="shared" si="1379"/>
        <v>0</v>
      </c>
      <c r="V986" s="1">
        <f t="shared" si="1380"/>
        <v>1</v>
      </c>
      <c r="W986" s="1">
        <f t="shared" si="1381"/>
        <v>1</v>
      </c>
      <c r="X986" s="1">
        <f t="shared" si="1382"/>
        <v>1</v>
      </c>
      <c r="Y986" s="1">
        <f t="shared" si="1383"/>
        <v>1</v>
      </c>
      <c r="Z986" s="1">
        <f t="shared" si="1384"/>
        <v>1</v>
      </c>
      <c r="AA986" s="1">
        <f t="shared" ref="AA986:AA991" si="1399">MAX(BK985,0)</f>
        <v>1</v>
      </c>
      <c r="AB986" s="1">
        <f t="shared" si="1386"/>
        <v>0</v>
      </c>
      <c r="AC986" s="1">
        <f t="shared" si="1387"/>
        <v>0</v>
      </c>
      <c r="AD986" s="1">
        <f>ROUNDDOWN(I986*(1+IF(F986=3,0.05+方案参数!$Y$30+AA986*0.12,IF(F986=4,方案参数!$BZ$30*方案参数!$AS$30,0)))+IF(AND(X986=1,F986&lt;&gt;3),方案参数!$CC$30,0)+AC986*方案参数!$CB$30,0)</f>
        <v>2534</v>
      </c>
      <c r="AE986" s="1">
        <f>IF(OR(F986=1,F986=4),配置与结果!$B$24,配置与结果!$B$25)*MAX(0,1-INDEX(配置与结果!$I$15:$I$18,F986))</f>
        <v>1200</v>
      </c>
      <c r="AF986" s="1">
        <f>(IF(L986=1,方案参数!$AW$30,IF(L986=2,方案参数!$AX$30,0))+方案参数!$AV$30)*H986</f>
        <v>18</v>
      </c>
      <c r="AG986" s="1">
        <f>MAX(配置与结果!$B$32,1+INDEX(配置与结果!$F$15:$F$18,F986)+0.08+方案参数!$CD$30+Q986*方案参数!$W$30+Y986*(方案参数!$AN$30+MIN(方案参数!$AO$30,P986*0.03))+AB986*方案参数!$BZ$30*0.025+IF(L986=1,方案参数!$AY$30+(H986-1)*0.1,IF(L986=2,方案参数!$AZ$30+(H986-1)*0.2,0))-配置与结果!$B$28)</f>
        <v>1.5600000000000005</v>
      </c>
      <c r="AH986" s="1">
        <f>MAX(0,1+INDEX(配置与结果!$G$15:$G$18,F986)+W986*方案参数!$AG$30+IF(L986=1,方案参数!$BA$30,IF(L986=2,方案参数!$BB$30,0))+M986*方案参数!$BC$30)</f>
        <v>2.3199999999999998</v>
      </c>
      <c r="AI986" s="1">
        <f>IF(OR(INDEX(配置与结果!$K$15:$K$18,F986)=1,G986="RHI_BERRY"),1+配置与结果!$B$33+P986*方案参数!$AH$30,1)</f>
        <v>1</v>
      </c>
      <c r="AJ986" s="1">
        <f>MIN(1,MAX(0,J986+方案参数!$AB$30-配置与结果!$B$27))</f>
        <v>1</v>
      </c>
      <c r="AK986" s="1">
        <f>MAX(1,K986+IF(F986=2,0.15+方案参数!$CH$30,0)+BN986*方案参数!$X$30+R986*方案参数!$AA$30+0-配置与结果!$B$26+Z986*(方案参数!$AP$30+MIN(方案参数!$AQ$30,P986*0.03)))</f>
        <v>2.105</v>
      </c>
      <c r="AL986" s="7">
        <f>ROUNDDOWN(MAX(AD986*配置与结果!$B$31,AD986-AE986)*AF986*AG986*AH986*AI986,0)</f>
        <v>86904</v>
      </c>
      <c r="AM986" s="7">
        <f>ROUNDDOWN(MAX(AD986*配置与结果!$B$31,AD986-AE986)*AF986*AG986*AH986*AI986*AK986,0)</f>
        <v>182933</v>
      </c>
      <c r="AN986" s="7">
        <f t="shared" si="1366"/>
        <v>182933</v>
      </c>
      <c r="AO986" s="7">
        <f>0</f>
        <v>0</v>
      </c>
      <c r="AP986" s="7">
        <f>MAX(0,1+INDEX(配置与结果!$J$15:$J$18,F986)+IF(T986&gt;0,方案参数!$BY$30,0)-配置与结果!$B$30)</f>
        <v>1</v>
      </c>
      <c r="AQ986" s="7">
        <f t="shared" si="1367"/>
        <v>0</v>
      </c>
      <c r="AR986" s="7">
        <f t="shared" si="1368"/>
        <v>0</v>
      </c>
      <c r="AS986" s="7">
        <f t="shared" si="1369"/>
        <v>0</v>
      </c>
      <c r="AT986" s="7">
        <f>0</f>
        <v>0</v>
      </c>
      <c r="AU986" s="7">
        <f t="shared" si="1370"/>
        <v>182933</v>
      </c>
      <c r="AV986" s="1">
        <f t="shared" si="1371"/>
        <v>1</v>
      </c>
      <c r="AW986" s="1">
        <f>MIN(10,M986+0+IF(L986=1,方案参数!$BE$30,0))</f>
        <v>8</v>
      </c>
      <c r="AX986" s="1">
        <f t="shared" si="1372"/>
        <v>0</v>
      </c>
      <c r="AY986" s="1">
        <f t="shared" si="1395"/>
        <v>6</v>
      </c>
      <c r="AZ986" s="1">
        <f t="shared" si="1373"/>
        <v>5</v>
      </c>
      <c r="BA986" s="1">
        <f>MIN(6,Q986+0)</f>
        <v>3</v>
      </c>
      <c r="BB986" s="1">
        <f t="shared" si="1388"/>
        <v>5</v>
      </c>
      <c r="BC986" s="1">
        <f>MIN(3,S986+0)</f>
        <v>1</v>
      </c>
      <c r="BD986" s="1">
        <f t="shared" si="1396"/>
        <v>0</v>
      </c>
      <c r="BE986" s="1">
        <f t="shared" si="1389"/>
        <v>0</v>
      </c>
      <c r="BF986" s="1">
        <f>MIN(4,V986+0)</f>
        <v>1</v>
      </c>
      <c r="BG986" s="1">
        <f t="shared" si="1393"/>
        <v>1</v>
      </c>
      <c r="BH986" s="1">
        <f t="shared" si="1390"/>
        <v>1</v>
      </c>
      <c r="BI986" s="1">
        <f t="shared" si="1394"/>
        <v>1</v>
      </c>
      <c r="BJ986" s="1">
        <f t="shared" ref="BJ986:BK991" si="1400">MAX(Z986,0)</f>
        <v>1</v>
      </c>
      <c r="BK986" s="1">
        <f t="shared" si="1400"/>
        <v>1</v>
      </c>
      <c r="BL986" s="1">
        <f t="shared" si="1362"/>
        <v>0</v>
      </c>
      <c r="BM986" s="1">
        <f t="shared" si="1360"/>
        <v>0</v>
      </c>
      <c r="BN986" s="1">
        <f t="shared" si="1391"/>
        <v>1</v>
      </c>
      <c r="BO986" s="1">
        <f t="shared" si="1392"/>
        <v>1</v>
      </c>
    </row>
    <row r="987" spans="1:67" ht="30.95" customHeight="1">
      <c r="A987" s="1">
        <f>27</f>
        <v>27</v>
      </c>
      <c r="B987" s="1">
        <f>固定流程!A15</f>
        <v>10</v>
      </c>
      <c r="C987" s="1">
        <f>30</f>
        <v>30</v>
      </c>
      <c r="D987" s="1">
        <f>1</f>
        <v>1</v>
      </c>
      <c r="E987" s="1">
        <f>固定流程!C15</f>
        <v>2</v>
      </c>
      <c r="F987" s="1">
        <f>固定流程!G15</f>
        <v>4</v>
      </c>
      <c r="G987" s="1" t="str">
        <f>固定流程!H15</f>
        <v>J_HARD</v>
      </c>
      <c r="H987" s="1">
        <f>固定流程!F15</f>
        <v>1</v>
      </c>
      <c r="I987" s="1">
        <f>INDEX(配置与结果!$B$15:$B$18,F987)</f>
        <v>1906</v>
      </c>
      <c r="J987" s="1">
        <f>INDEX(配置与结果!$D$15:$D$18,F987)</f>
        <v>0.36699999999999999</v>
      </c>
      <c r="K987" s="1">
        <f>INDEX(配置与结果!$E$15:$E$18,F987)</f>
        <v>1.7170000000000001</v>
      </c>
      <c r="L987" s="1">
        <f t="shared" si="1398"/>
        <v>1</v>
      </c>
      <c r="M987" s="1">
        <f t="shared" si="1398"/>
        <v>8</v>
      </c>
      <c r="N987" s="1">
        <f t="shared" si="1398"/>
        <v>0</v>
      </c>
      <c r="O987" s="1">
        <f t="shared" si="1397"/>
        <v>6</v>
      </c>
      <c r="P987" s="1">
        <f>MIN(方案参数!$AI$30,AZ986+0+0)</f>
        <v>5</v>
      </c>
      <c r="Q987" s="1">
        <f t="shared" si="1375"/>
        <v>3</v>
      </c>
      <c r="R987" s="1">
        <f t="shared" si="1376"/>
        <v>5</v>
      </c>
      <c r="S987" s="1">
        <f t="shared" si="1377"/>
        <v>1</v>
      </c>
      <c r="T987" s="1">
        <f t="shared" si="1378"/>
        <v>0</v>
      </c>
      <c r="U987" s="1">
        <f t="shared" si="1379"/>
        <v>0</v>
      </c>
      <c r="V987" s="1">
        <f t="shared" si="1380"/>
        <v>1</v>
      </c>
      <c r="W987" s="1">
        <f t="shared" si="1381"/>
        <v>1</v>
      </c>
      <c r="X987" s="1">
        <f t="shared" si="1382"/>
        <v>1</v>
      </c>
      <c r="Y987" s="1">
        <f t="shared" si="1383"/>
        <v>1</v>
      </c>
      <c r="Z987" s="1">
        <f t="shared" si="1384"/>
        <v>1</v>
      </c>
      <c r="AA987" s="1">
        <f t="shared" si="1399"/>
        <v>1</v>
      </c>
      <c r="AB987" s="1">
        <f t="shared" si="1386"/>
        <v>0</v>
      </c>
      <c r="AC987" s="1">
        <f t="shared" si="1387"/>
        <v>0</v>
      </c>
      <c r="AD987" s="1">
        <f>ROUNDDOWN(I987*(1+IF(F987=3,0.05+方案参数!$Y$30+AA987*0.12,IF(F987=4,方案参数!$BZ$30*方案参数!$AS$30,0)))+IF(AND(X987=1,F987&lt;&gt;3),方案参数!$CC$30,0)+AC987*方案参数!$CB$30,0)</f>
        <v>2811</v>
      </c>
      <c r="AE987" s="1">
        <f>IF(OR(F987=1,F987=4),配置与结果!$B$24,配置与结果!$B$25)*MAX(0,1-INDEX(配置与结果!$I$15:$I$18,F987))</f>
        <v>1200</v>
      </c>
      <c r="AF987" s="1">
        <f>3.6*IF(H987=1,1,IF(H987=2,1.5,2.5))</f>
        <v>3.6</v>
      </c>
      <c r="AG987" s="1">
        <f>MAX(配置与结果!$B$32,1+INDEX(配置与结果!$F$15:$F$18,F987)+0.08+Q987*方案参数!$W$30+Y987*(方案参数!$AN$30+MIN(方案参数!$AO$30,P987*0.03))+AB987*方案参数!$BZ$30*0.025+0.1+IF(方案参数!$BZ$30&gt;=30,方案参数!$BZ$30*0.01,0)-配置与结果!$B$28)</f>
        <v>1.5150000000000001</v>
      </c>
      <c r="AH987" s="1">
        <f>MAX(0,1+INDEX(配置与结果!$G$15:$G$18,F987)+W987*方案参数!$AG$30)</f>
        <v>1.3</v>
      </c>
      <c r="AI987" s="1">
        <f>IF(OR(INDEX(配置与结果!$K$15:$K$18,F987)=1,G987="RHI_BERRY"),1+配置与结果!$B$33+P987*方案参数!$AH$30,1)</f>
        <v>1</v>
      </c>
      <c r="AJ987" s="1">
        <f>MIN(1,MAX(0,J987+方案参数!$AB$30-配置与结果!$B$27))</f>
        <v>0.66700000000000004</v>
      </c>
      <c r="AK987" s="1">
        <f>MAX(1,K987+IF(F987=2,0.15+方案参数!$CH$30,0)+BN987*方案参数!$X$30+R987*方案参数!$AA$30+0-配置与结果!$B$26+Z987*(方案参数!$AP$30+MIN(方案参数!$AQ$30,P987*0.03)))</f>
        <v>1.7969999999999999</v>
      </c>
      <c r="AL987" s="7">
        <f>ROUNDDOWN(MAX(AD987*配置与结果!$B$31,AD987-AE987)*AF987*AG987*AH987*AI987,0)</f>
        <v>11422</v>
      </c>
      <c r="AM987" s="7">
        <f>ROUNDDOWN(MAX(AD987*配置与结果!$B$31,AD987-AE987)*AF987*AG987*AH987*AI987*AK987,0)</f>
        <v>20525</v>
      </c>
      <c r="AN987" s="7">
        <f t="shared" si="1366"/>
        <v>17493.701000000001</v>
      </c>
      <c r="AO987" s="7">
        <f>0</f>
        <v>0</v>
      </c>
      <c r="AP987" s="7">
        <f>MAX(0,1+INDEX(配置与结果!$J$15:$J$18,F987)+IF(T987&gt;0,方案参数!$BY$30,0)-配置与结果!$B$30)</f>
        <v>1</v>
      </c>
      <c r="AQ987" s="7">
        <f t="shared" si="1367"/>
        <v>0</v>
      </c>
      <c r="AR987" s="7">
        <f t="shared" si="1368"/>
        <v>0</v>
      </c>
      <c r="AS987" s="7">
        <f t="shared" si="1369"/>
        <v>0</v>
      </c>
      <c r="AT987" s="7">
        <f>0</f>
        <v>0</v>
      </c>
      <c r="AU987" s="7">
        <f t="shared" si="1370"/>
        <v>17493.701000000001</v>
      </c>
      <c r="AV987" s="1">
        <f t="shared" si="1371"/>
        <v>1</v>
      </c>
      <c r="AW987" s="1">
        <f t="shared" ref="AW987:AW997" si="1401">MIN(10,M987+0+0)</f>
        <v>8</v>
      </c>
      <c r="AX987" s="1">
        <f t="shared" si="1372"/>
        <v>0</v>
      </c>
      <c r="AY987" s="1">
        <f t="shared" si="1395"/>
        <v>6</v>
      </c>
      <c r="AZ987" s="1">
        <f t="shared" si="1373"/>
        <v>5</v>
      </c>
      <c r="BA987" s="1">
        <f>MIN(6,Q987+0)</f>
        <v>3</v>
      </c>
      <c r="BB987" s="1">
        <f t="shared" si="1388"/>
        <v>5</v>
      </c>
      <c r="BC987" s="1">
        <f>MIN(3,S987+1)</f>
        <v>2</v>
      </c>
      <c r="BD987" s="1">
        <f t="shared" si="1396"/>
        <v>0</v>
      </c>
      <c r="BE987" s="1">
        <f t="shared" si="1389"/>
        <v>0</v>
      </c>
      <c r="BF987" s="1">
        <f>MIN(4,V987+0)</f>
        <v>1</v>
      </c>
      <c r="BG987" s="1">
        <f t="shared" si="1393"/>
        <v>1</v>
      </c>
      <c r="BH987" s="1">
        <f t="shared" si="1390"/>
        <v>1</v>
      </c>
      <c r="BI987" s="1">
        <f t="shared" si="1394"/>
        <v>1</v>
      </c>
      <c r="BJ987" s="1">
        <f t="shared" si="1400"/>
        <v>1</v>
      </c>
      <c r="BK987" s="1">
        <f t="shared" si="1400"/>
        <v>1</v>
      </c>
      <c r="BL987" s="1">
        <f t="shared" si="1362"/>
        <v>0</v>
      </c>
      <c r="BM987" s="1">
        <f t="shared" si="1360"/>
        <v>0</v>
      </c>
      <c r="BN987" s="1">
        <f t="shared" si="1391"/>
        <v>1</v>
      </c>
      <c r="BO987" s="1">
        <f t="shared" si="1392"/>
        <v>1</v>
      </c>
    </row>
    <row r="988" spans="1:67" ht="30.95" customHeight="1">
      <c r="A988" s="1">
        <f>27</f>
        <v>27</v>
      </c>
      <c r="B988" s="1">
        <f>固定流程!A16</f>
        <v>11</v>
      </c>
      <c r="C988" s="1">
        <f>30</f>
        <v>30</v>
      </c>
      <c r="D988" s="1">
        <f>1</f>
        <v>1</v>
      </c>
      <c r="E988" s="1">
        <f>固定流程!C16</f>
        <v>2</v>
      </c>
      <c r="F988" s="1">
        <f>固定流程!G16</f>
        <v>2</v>
      </c>
      <c r="G988" s="1" t="str">
        <f>固定流程!H16</f>
        <v>37_CURVE</v>
      </c>
      <c r="H988" s="1">
        <f>固定流程!F16</f>
        <v>1</v>
      </c>
      <c r="I988" s="1">
        <f>INDEX(配置与结果!$B$15:$B$18,F988)</f>
        <v>2306</v>
      </c>
      <c r="J988" s="1">
        <f>INDEX(配置与结果!$D$15:$D$18,F988)</f>
        <v>0.46</v>
      </c>
      <c r="K988" s="1">
        <f>INDEX(配置与结果!$E$15:$E$18,F988)</f>
        <v>1.9279999999999999</v>
      </c>
      <c r="L988" s="1">
        <f t="shared" si="1398"/>
        <v>1</v>
      </c>
      <c r="M988" s="1">
        <f t="shared" si="1398"/>
        <v>8</v>
      </c>
      <c r="N988" s="1">
        <f t="shared" si="1398"/>
        <v>0</v>
      </c>
      <c r="O988" s="1">
        <f t="shared" si="1397"/>
        <v>6</v>
      </c>
      <c r="P988" s="1">
        <f>MIN(方案参数!$AI$30,AZ987+0+0)</f>
        <v>5</v>
      </c>
      <c r="Q988" s="1">
        <f t="shared" si="1375"/>
        <v>3</v>
      </c>
      <c r="R988" s="1">
        <f t="shared" si="1376"/>
        <v>5</v>
      </c>
      <c r="S988" s="1">
        <f t="shared" si="1377"/>
        <v>2</v>
      </c>
      <c r="T988" s="1">
        <f t="shared" si="1378"/>
        <v>0</v>
      </c>
      <c r="U988" s="1">
        <f t="shared" si="1379"/>
        <v>0</v>
      </c>
      <c r="V988" s="1">
        <f t="shared" si="1380"/>
        <v>1</v>
      </c>
      <c r="W988" s="1">
        <f t="shared" si="1381"/>
        <v>1</v>
      </c>
      <c r="X988" s="1">
        <f t="shared" si="1382"/>
        <v>1</v>
      </c>
      <c r="Y988" s="1">
        <f t="shared" si="1383"/>
        <v>1</v>
      </c>
      <c r="Z988" s="1">
        <f t="shared" si="1384"/>
        <v>1</v>
      </c>
      <c r="AA988" s="1">
        <f t="shared" si="1399"/>
        <v>1</v>
      </c>
      <c r="AB988" s="1">
        <f t="shared" si="1386"/>
        <v>0</v>
      </c>
      <c r="AC988" s="1">
        <f t="shared" si="1387"/>
        <v>0</v>
      </c>
      <c r="AD988" s="1">
        <f>ROUNDDOWN(I988*(1+IF(F988=3,0.05+方案参数!$Y$30+AA988*0.12,IF(F988=4,方案参数!$BZ$30*方案参数!$AS$30,0)))+IF(AND(X988=1,F988&lt;&gt;3),方案参数!$CC$30,0)+AC988*方案参数!$CB$30,0)</f>
        <v>2544</v>
      </c>
      <c r="AE988" s="1">
        <f>IF(OR(F988=1,F988=4),配置与结果!$B$24,配置与结果!$B$25)*MAX(0,1-INDEX(配置与结果!$I$15:$I$18,F988))</f>
        <v>1000</v>
      </c>
      <c r="AF988" s="1">
        <f>方案参数!$BT$30*IF(H988=1,1,IF(H988=2,1.5,2.5))</f>
        <v>1.4</v>
      </c>
      <c r="AG988" s="1">
        <f>MAX(配置与结果!$B$32,1+INDEX(配置与结果!$F$15:$F$18,F988)+0+Q988*方案参数!$W$30+Y988*(方案参数!$AN$30+MIN(方案参数!$AO$30,P988*0.03))+AB988*方案参数!$BZ$30*0.025-配置与结果!$B$28)</f>
        <v>0.96499999999999997</v>
      </c>
      <c r="AH988" s="1">
        <f>MAX(0,1+INDEX(配置与结果!$G$15:$G$18,F988)+W988*方案参数!$AG$30)</f>
        <v>1.3</v>
      </c>
      <c r="AI988" s="1">
        <f>IF(OR(INDEX(配置与结果!$K$15:$K$18,F988)=1,G988="RHI_BERRY"),1+配置与结果!$B$33+P988*方案参数!$AH$30,1)</f>
        <v>1</v>
      </c>
      <c r="AJ988" s="1">
        <f>MIN(1,MAX(0,J988+方案参数!$AB$30-配置与结果!$B$27))</f>
        <v>0.76</v>
      </c>
      <c r="AK988" s="1">
        <f>MAX(1,K988+IF(F988=2,0.15+方案参数!$CH$30,0)+BN988*方案参数!$X$30+R988*方案参数!$AA$30+0-配置与结果!$B$26+Z988*(方案参数!$AP$30+MIN(方案参数!$AQ$30,P988*0.03)))</f>
        <v>2.278</v>
      </c>
      <c r="AL988" s="7">
        <f>ROUNDDOWN(MAX(AD988*配置与结果!$B$31,AD988-AE988)*AF988*AG988*AH988*AI988,0)</f>
        <v>2711</v>
      </c>
      <c r="AM988" s="7">
        <f>ROUNDDOWN(MAX(AD988*配置与结果!$B$31,AD988-AE988)*AF988*AG988*AH988*AI988*AK988,0)</f>
        <v>6177</v>
      </c>
      <c r="AN988" s="7">
        <f t="shared" si="1366"/>
        <v>5345.1600000000008</v>
      </c>
      <c r="AO988" s="7">
        <f>方案参数!$BU$30*IF(H988=1,1,IF(H988=2,1.5,2.5))</f>
        <v>0.8</v>
      </c>
      <c r="AP988" s="7">
        <f>MAX(0,1+INDEX(配置与结果!$J$15:$J$18,F988)+IF(T988&gt;0,方案参数!$BY$30,0)-配置与结果!$B$30)</f>
        <v>1</v>
      </c>
      <c r="AQ988" s="7">
        <f t="shared" si="1367"/>
        <v>2035</v>
      </c>
      <c r="AR988" s="7">
        <f t="shared" si="1368"/>
        <v>4635</v>
      </c>
      <c r="AS988" s="7">
        <f t="shared" si="1369"/>
        <v>4011</v>
      </c>
      <c r="AT988" s="7">
        <f>0</f>
        <v>0</v>
      </c>
      <c r="AU988" s="7">
        <f t="shared" si="1370"/>
        <v>9356.16</v>
      </c>
      <c r="AV988" s="1">
        <f t="shared" si="1371"/>
        <v>1</v>
      </c>
      <c r="AW988" s="1">
        <f t="shared" si="1401"/>
        <v>8</v>
      </c>
      <c r="AX988" s="1">
        <f t="shared" si="1372"/>
        <v>0</v>
      </c>
      <c r="AY988" s="1">
        <f t="shared" si="1395"/>
        <v>6</v>
      </c>
      <c r="AZ988" s="1">
        <f t="shared" si="1373"/>
        <v>5</v>
      </c>
      <c r="BA988" s="1">
        <f>MIN(6,Q988+0)</f>
        <v>3</v>
      </c>
      <c r="BB988" s="1">
        <f t="shared" si="1388"/>
        <v>5</v>
      </c>
      <c r="BC988" s="1">
        <f t="shared" ref="BC988:BC994" si="1402">MIN(3,S988+0)</f>
        <v>2</v>
      </c>
      <c r="BD988" s="1">
        <f t="shared" si="1396"/>
        <v>0</v>
      </c>
      <c r="BE988" s="1">
        <f t="shared" si="1389"/>
        <v>0</v>
      </c>
      <c r="BF988" s="1">
        <f>MIN(4,V988+0)</f>
        <v>1</v>
      </c>
      <c r="BG988" s="1">
        <f t="shared" si="1393"/>
        <v>1</v>
      </c>
      <c r="BH988" s="1">
        <f t="shared" si="1390"/>
        <v>1</v>
      </c>
      <c r="BI988" s="1">
        <f t="shared" si="1394"/>
        <v>1</v>
      </c>
      <c r="BJ988" s="1">
        <f t="shared" si="1400"/>
        <v>1</v>
      </c>
      <c r="BK988" s="1">
        <f t="shared" si="1400"/>
        <v>1</v>
      </c>
      <c r="BL988" s="1">
        <f t="shared" si="1362"/>
        <v>0</v>
      </c>
      <c r="BM988" s="1">
        <f t="shared" si="1360"/>
        <v>0</v>
      </c>
      <c r="BN988" s="1">
        <f t="shared" si="1391"/>
        <v>1</v>
      </c>
      <c r="BO988" s="1">
        <f t="shared" si="1392"/>
        <v>1</v>
      </c>
    </row>
    <row r="989" spans="1:67" ht="30.95" customHeight="1">
      <c r="A989" s="1">
        <f>27</f>
        <v>27</v>
      </c>
      <c r="B989" s="1">
        <f>固定流程!A17</f>
        <v>12</v>
      </c>
      <c r="C989" s="1">
        <f>30</f>
        <v>30</v>
      </c>
      <c r="D989" s="1">
        <f>1</f>
        <v>1</v>
      </c>
      <c r="E989" s="1">
        <f>固定流程!C17</f>
        <v>2</v>
      </c>
      <c r="F989" s="1">
        <f>固定流程!G17</f>
        <v>2</v>
      </c>
      <c r="G989" s="1" t="str">
        <f>固定流程!H17</f>
        <v>37_FOLLOW</v>
      </c>
      <c r="H989" s="1">
        <f>固定流程!F17</f>
        <v>1</v>
      </c>
      <c r="I989" s="1">
        <f>INDEX(配置与结果!$B$15:$B$18,F989)</f>
        <v>2306</v>
      </c>
      <c r="J989" s="1">
        <f>INDEX(配置与结果!$D$15:$D$18,F989)</f>
        <v>0.46</v>
      </c>
      <c r="K989" s="1">
        <f>INDEX(配置与结果!$E$15:$E$18,F989)</f>
        <v>1.9279999999999999</v>
      </c>
      <c r="L989" s="1">
        <f t="shared" si="1398"/>
        <v>1</v>
      </c>
      <c r="M989" s="1">
        <f t="shared" si="1398"/>
        <v>8</v>
      </c>
      <c r="N989" s="1">
        <f t="shared" si="1398"/>
        <v>0</v>
      </c>
      <c r="O989" s="1">
        <f t="shared" si="1397"/>
        <v>6</v>
      </c>
      <c r="P989" s="1">
        <f>MIN(方案参数!$AI$30,AZ988+0+0)</f>
        <v>5</v>
      </c>
      <c r="Q989" s="1">
        <f t="shared" si="1375"/>
        <v>3</v>
      </c>
      <c r="R989" s="1">
        <f t="shared" si="1376"/>
        <v>5</v>
      </c>
      <c r="S989" s="1">
        <f t="shared" si="1377"/>
        <v>2</v>
      </c>
      <c r="T989" s="1">
        <f t="shared" si="1378"/>
        <v>0</v>
      </c>
      <c r="U989" s="1">
        <f t="shared" si="1379"/>
        <v>0</v>
      </c>
      <c r="V989" s="1">
        <f t="shared" si="1380"/>
        <v>1</v>
      </c>
      <c r="W989" s="1">
        <f t="shared" si="1381"/>
        <v>1</v>
      </c>
      <c r="X989" s="1">
        <f t="shared" si="1382"/>
        <v>1</v>
      </c>
      <c r="Y989" s="1">
        <f t="shared" si="1383"/>
        <v>1</v>
      </c>
      <c r="Z989" s="1">
        <f t="shared" si="1384"/>
        <v>1</v>
      </c>
      <c r="AA989" s="1">
        <f t="shared" si="1399"/>
        <v>1</v>
      </c>
      <c r="AB989" s="1">
        <f t="shared" si="1386"/>
        <v>0</v>
      </c>
      <c r="AC989" s="1">
        <f t="shared" si="1387"/>
        <v>0</v>
      </c>
      <c r="AD989" s="1">
        <f>ROUNDDOWN(I989*(1+IF(F989=3,0.05+方案参数!$Y$30+AA989*0.12,IF(F989=4,方案参数!$BZ$30*方案参数!$AS$30,0)))+IF(AND(X989=1,F989&lt;&gt;3),方案参数!$CC$30,0)+AC989*方案参数!$CB$30,0)</f>
        <v>2544</v>
      </c>
      <c r="AE989" s="1">
        <f>IF(OR(F989=1,F989=4),配置与结果!$B$24,配置与结果!$B$25)*MAX(0,1-INDEX(配置与结果!$I$15:$I$18,F989))</f>
        <v>1000</v>
      </c>
      <c r="AF989" s="1">
        <f>方案参数!$BV$30</f>
        <v>3</v>
      </c>
      <c r="AG989" s="1">
        <f>MAX(配置与结果!$B$32,1+INDEX(配置与结果!$F$15:$F$18,F989)+0+Q989*方案参数!$W$30+Y989*(方案参数!$AN$30+MIN(方案参数!$AO$30,P989*0.03))+AB989*方案参数!$BZ$30*0.025-配置与结果!$B$28)</f>
        <v>0.96499999999999997</v>
      </c>
      <c r="AH989" s="1">
        <f>MAX(0,1+INDEX(配置与结果!$G$15:$G$18,F989)+W989*方案参数!$AG$30)</f>
        <v>1.3</v>
      </c>
      <c r="AI989" s="1">
        <f>IF(OR(INDEX(配置与结果!$K$15:$K$18,F989)=1,G989="RHI_BERRY"),1+配置与结果!$B$33+P989*方案参数!$AH$30,1)</f>
        <v>1</v>
      </c>
      <c r="AJ989" s="1">
        <f>MIN(1,MAX(0,J989+方案参数!$AB$30-配置与结果!$B$27))</f>
        <v>0.76</v>
      </c>
      <c r="AK989" s="1">
        <f>MAX(1,K989+IF(F989=2,0.15+方案参数!$CH$30,0)+BN989*方案参数!$X$30+R989*方案参数!$AA$30+0-配置与结果!$B$26+Z989*(方案参数!$AP$30+MIN(方案参数!$AQ$30,P989*0.03)))</f>
        <v>2.278</v>
      </c>
      <c r="AL989" s="7">
        <f>ROUNDDOWN(MAX(AD989*配置与结果!$B$31,AD989-AE989)*AF989*AG989*AH989*AI989,0)</f>
        <v>5810</v>
      </c>
      <c r="AM989" s="7">
        <f>ROUNDDOWN(MAX(AD989*配置与结果!$B$31,AD989-AE989)*AF989*AG989*AH989*AI989*AK989,0)</f>
        <v>13237</v>
      </c>
      <c r="AN989" s="7">
        <f t="shared" si="1366"/>
        <v>11454.52</v>
      </c>
      <c r="AO989" s="7">
        <f>方案参数!$BW$30</f>
        <v>1</v>
      </c>
      <c r="AP989" s="7">
        <f>MAX(0,1+INDEX(配置与结果!$J$15:$J$18,F989)+IF(T989&gt;0,方案参数!$BY$30,0)-配置与结果!$B$30)</f>
        <v>1</v>
      </c>
      <c r="AQ989" s="7">
        <f t="shared" si="1367"/>
        <v>2544</v>
      </c>
      <c r="AR989" s="7">
        <f t="shared" si="1368"/>
        <v>5795</v>
      </c>
      <c r="AS989" s="7">
        <f t="shared" si="1369"/>
        <v>5014.76</v>
      </c>
      <c r="AT989" s="7">
        <f>0</f>
        <v>0</v>
      </c>
      <c r="AU989" s="7">
        <f t="shared" si="1370"/>
        <v>16469.28</v>
      </c>
      <c r="AV989" s="1">
        <f t="shared" si="1371"/>
        <v>1</v>
      </c>
      <c r="AW989" s="1">
        <f t="shared" si="1401"/>
        <v>8</v>
      </c>
      <c r="AX989" s="1">
        <f t="shared" si="1372"/>
        <v>0</v>
      </c>
      <c r="AY989" s="1">
        <f t="shared" si="1395"/>
        <v>6</v>
      </c>
      <c r="AZ989" s="1">
        <f t="shared" si="1373"/>
        <v>5</v>
      </c>
      <c r="BA989" s="1">
        <f>MIN(6,Q989+0)</f>
        <v>3</v>
      </c>
      <c r="BB989" s="1">
        <f t="shared" si="1388"/>
        <v>5</v>
      </c>
      <c r="BC989" s="1">
        <f t="shared" si="1402"/>
        <v>2</v>
      </c>
      <c r="BD989" s="1">
        <f t="shared" si="1396"/>
        <v>0</v>
      </c>
      <c r="BE989" s="1">
        <f t="shared" si="1389"/>
        <v>0</v>
      </c>
      <c r="BF989" s="1">
        <f>MIN(4,V989+1)</f>
        <v>2</v>
      </c>
      <c r="BG989" s="1">
        <f t="shared" si="1393"/>
        <v>1</v>
      </c>
      <c r="BH989" s="1">
        <f t="shared" si="1390"/>
        <v>1</v>
      </c>
      <c r="BI989" s="1">
        <f t="shared" si="1394"/>
        <v>1</v>
      </c>
      <c r="BJ989" s="1">
        <f t="shared" si="1400"/>
        <v>1</v>
      </c>
      <c r="BK989" s="1">
        <f t="shared" si="1400"/>
        <v>1</v>
      </c>
      <c r="BL989" s="1">
        <f t="shared" si="1362"/>
        <v>0</v>
      </c>
      <c r="BM989" s="1">
        <f t="shared" si="1360"/>
        <v>0</v>
      </c>
      <c r="BN989" s="1">
        <f t="shared" si="1391"/>
        <v>1</v>
      </c>
      <c r="BO989" s="1">
        <f t="shared" si="1392"/>
        <v>1</v>
      </c>
    </row>
    <row r="990" spans="1:67" ht="30.95" customHeight="1">
      <c r="A990" s="1">
        <f>27</f>
        <v>27</v>
      </c>
      <c r="B990" s="1">
        <f>固定流程!A18</f>
        <v>13</v>
      </c>
      <c r="C990" s="1">
        <f>30</f>
        <v>30</v>
      </c>
      <c r="D990" s="1">
        <f>1</f>
        <v>1</v>
      </c>
      <c r="E990" s="1">
        <f>固定流程!C18</f>
        <v>2</v>
      </c>
      <c r="F990" s="1">
        <f>固定流程!G18</f>
        <v>3</v>
      </c>
      <c r="G990" s="1" t="str">
        <f>固定流程!H18</f>
        <v>RHI_BERRY</v>
      </c>
      <c r="H990" s="1">
        <f>固定流程!F18</f>
        <v>1</v>
      </c>
      <c r="I990" s="1">
        <f>INDEX(配置与结果!$B$15:$B$18,F990)</f>
        <v>2597</v>
      </c>
      <c r="J990" s="1">
        <f>INDEX(配置与结果!$D$15:$D$18,F990)</f>
        <v>0.255</v>
      </c>
      <c r="K990" s="1">
        <f>INDEX(配置与结果!$E$15:$E$18,F990)</f>
        <v>1.55</v>
      </c>
      <c r="L990" s="1">
        <f t="shared" si="1398"/>
        <v>1</v>
      </c>
      <c r="M990" s="1">
        <f t="shared" si="1398"/>
        <v>8</v>
      </c>
      <c r="N990" s="1">
        <f t="shared" si="1398"/>
        <v>0</v>
      </c>
      <c r="O990" s="1">
        <f t="shared" si="1397"/>
        <v>6</v>
      </c>
      <c r="P990" s="1">
        <f>MIN(方案参数!$AI$30,AZ989+0+0)</f>
        <v>5</v>
      </c>
      <c r="Q990" s="1">
        <f t="shared" si="1375"/>
        <v>3</v>
      </c>
      <c r="R990" s="1">
        <f t="shared" si="1376"/>
        <v>5</v>
      </c>
      <c r="S990" s="1">
        <f t="shared" si="1377"/>
        <v>2</v>
      </c>
      <c r="T990" s="1">
        <f t="shared" si="1378"/>
        <v>0</v>
      </c>
      <c r="U990" s="1">
        <f t="shared" si="1379"/>
        <v>0</v>
      </c>
      <c r="V990" s="1">
        <f t="shared" si="1380"/>
        <v>2</v>
      </c>
      <c r="W990" s="1">
        <f t="shared" si="1381"/>
        <v>1</v>
      </c>
      <c r="X990" s="1">
        <f t="shared" si="1382"/>
        <v>1</v>
      </c>
      <c r="Y990" s="1">
        <f t="shared" si="1383"/>
        <v>1</v>
      </c>
      <c r="Z990" s="1">
        <f t="shared" si="1384"/>
        <v>1</v>
      </c>
      <c r="AA990" s="1">
        <f t="shared" si="1399"/>
        <v>1</v>
      </c>
      <c r="AB990" s="1">
        <f t="shared" si="1386"/>
        <v>0</v>
      </c>
      <c r="AC990" s="1">
        <f t="shared" si="1387"/>
        <v>0</v>
      </c>
      <c r="AD990" s="1">
        <f>ROUNDDOWN(I990*(1+IF(F990=3,0.05+方案参数!$Y$30+AA990*0.12,IF(F990=4,方案参数!$BZ$30*方案参数!$AS$30,0)))+IF(AND(X990=1,F990&lt;&gt;3),方案参数!$CC$30,0)+AC990*方案参数!$CB$30,0)</f>
        <v>3298</v>
      </c>
      <c r="AE990" s="1">
        <f>IF(OR(F990=1,F990=4),配置与结果!$B$24,配置与结果!$B$25)*MAX(0,1-INDEX(配置与结果!$I$15:$I$18,F990))</f>
        <v>1000</v>
      </c>
      <c r="AF990" s="1">
        <f>方案参数!$CF$30+P990*方案参数!$CG$30</f>
        <v>22.5</v>
      </c>
      <c r="AG990" s="1">
        <f>MAX(配置与结果!$B$32,1+INDEX(配置与结果!$F$15:$F$18,F990)+0+Q990*方案参数!$W$30+Y990*(方案参数!$AN$30+MIN(方案参数!$AO$30,P990*0.03))+AB990*方案参数!$BZ$30*0.025-配置与结果!$B$28)</f>
        <v>0.995</v>
      </c>
      <c r="AH990" s="1">
        <f>MAX(0,1+INDEX(配置与结果!$G$15:$G$18,F990)+W990*方案参数!$AG$30)</f>
        <v>1.3</v>
      </c>
      <c r="AI990" s="1">
        <f>IF(OR(INDEX(配置与结果!$K$15:$K$18,F990)=1,G990="RHI_BERRY"),1+配置与结果!$B$33+P990*方案参数!$AH$30,1)</f>
        <v>1.5</v>
      </c>
      <c r="AJ990" s="1">
        <f>MIN(1,MAX(0,J990+方案参数!$AB$30-配置与结果!$B$27))</f>
        <v>0.55499999999999994</v>
      </c>
      <c r="AK990" s="1">
        <f>MAX(1,K990+IF(F990=2,0.15+方案参数!$CH$30,0)+BN990*方案参数!$X$30+R990*方案参数!$AA$30+0-配置与结果!$B$26+Z990*(方案参数!$AP$30+MIN(方案参数!$AQ$30,P990*0.03)))</f>
        <v>1.6300000000000001</v>
      </c>
      <c r="AL990" s="7">
        <f>ROUNDDOWN(MAX(AD990*配置与结果!$B$31,AD990-AE990)*AF990*AG990*AH990*AI990,0)</f>
        <v>100320</v>
      </c>
      <c r="AM990" s="7">
        <f>ROUNDDOWN(MAX(AD990*配置与结果!$B$31,AD990-AE990)*AF990*AG990*AH990*AI990*AK990,0)</f>
        <v>163522</v>
      </c>
      <c r="AN990" s="7">
        <f t="shared" si="1366"/>
        <v>135397.10999999999</v>
      </c>
      <c r="AO990" s="7">
        <f>0</f>
        <v>0</v>
      </c>
      <c r="AP990" s="7">
        <f>MAX(0,1+INDEX(配置与结果!$J$15:$J$18,F990)+IF(T990&gt;0,方案参数!$BY$30,0)-配置与结果!$B$30)</f>
        <v>1</v>
      </c>
      <c r="AQ990" s="7">
        <f t="shared" si="1367"/>
        <v>0</v>
      </c>
      <c r="AR990" s="7">
        <f t="shared" si="1368"/>
        <v>0</v>
      </c>
      <c r="AS990" s="7">
        <f t="shared" si="1369"/>
        <v>0</v>
      </c>
      <c r="AT990" s="7">
        <f>0</f>
        <v>0</v>
      </c>
      <c r="AU990" s="7">
        <f t="shared" si="1370"/>
        <v>135397.10999999999</v>
      </c>
      <c r="AV990" s="1">
        <f t="shared" si="1371"/>
        <v>1</v>
      </c>
      <c r="AW990" s="1">
        <f t="shared" si="1401"/>
        <v>8</v>
      </c>
      <c r="AX990" s="1">
        <f t="shared" si="1372"/>
        <v>0</v>
      </c>
      <c r="AY990" s="1">
        <f t="shared" si="1395"/>
        <v>6</v>
      </c>
      <c r="AZ990" s="1">
        <f t="shared" si="1373"/>
        <v>5</v>
      </c>
      <c r="BA990" s="1">
        <f>MIN(6,Q990+0)</f>
        <v>3</v>
      </c>
      <c r="BB990" s="1">
        <f t="shared" si="1388"/>
        <v>5</v>
      </c>
      <c r="BC990" s="1">
        <f t="shared" si="1402"/>
        <v>2</v>
      </c>
      <c r="BD990" s="1">
        <f t="shared" si="1396"/>
        <v>0</v>
      </c>
      <c r="BE990" s="1">
        <f t="shared" si="1389"/>
        <v>0</v>
      </c>
      <c r="BF990" s="1">
        <f>MIN(4,V990+0)</f>
        <v>2</v>
      </c>
      <c r="BG990" s="1">
        <f t="shared" si="1393"/>
        <v>1</v>
      </c>
      <c r="BH990" s="1">
        <f t="shared" si="1390"/>
        <v>1</v>
      </c>
      <c r="BI990" s="1">
        <f t="shared" si="1394"/>
        <v>1</v>
      </c>
      <c r="BJ990" s="1">
        <f t="shared" si="1400"/>
        <v>1</v>
      </c>
      <c r="BK990" s="1">
        <f t="shared" si="1400"/>
        <v>1</v>
      </c>
      <c r="BL990" s="1">
        <f t="shared" si="1362"/>
        <v>0</v>
      </c>
      <c r="BM990" s="1">
        <f t="shared" si="1360"/>
        <v>0</v>
      </c>
      <c r="BN990" s="1">
        <f t="shared" si="1391"/>
        <v>1</v>
      </c>
      <c r="BO990" s="1">
        <f t="shared" si="1392"/>
        <v>1</v>
      </c>
    </row>
    <row r="991" spans="1:67" ht="30.95" customHeight="1">
      <c r="A991" s="1">
        <f>27</f>
        <v>27</v>
      </c>
      <c r="B991" s="1">
        <f>固定流程!A19</f>
        <v>14</v>
      </c>
      <c r="C991" s="1">
        <f>30</f>
        <v>30</v>
      </c>
      <c r="D991" s="1">
        <f>1</f>
        <v>1</v>
      </c>
      <c r="E991" s="1">
        <f>固定流程!C19</f>
        <v>3</v>
      </c>
      <c r="F991" s="1">
        <f>固定流程!G19</f>
        <v>3</v>
      </c>
      <c r="G991" s="1" t="str">
        <f>固定流程!H19</f>
        <v>RHI_BUFF</v>
      </c>
      <c r="H991" s="1">
        <f>固定流程!F19</f>
        <v>1</v>
      </c>
      <c r="I991" s="1">
        <f>INDEX(配置与结果!$B$15:$B$18,F991)</f>
        <v>2597</v>
      </c>
      <c r="J991" s="1">
        <f>INDEX(配置与结果!$D$15:$D$18,F991)</f>
        <v>0.255</v>
      </c>
      <c r="K991" s="1">
        <f>INDEX(配置与结果!$E$15:$E$18,F991)</f>
        <v>1.55</v>
      </c>
      <c r="L991" s="1">
        <f>IF(AV990=1,IF(M991&gt;=10,2,1),IF(AV990=2,IF(AX990&lt;=1,0,2),0))</f>
        <v>2</v>
      </c>
      <c r="M991" s="1">
        <f>IF(AND(AV990=2,AX990&lt;=1),0,MIN(10,AW990+IF(AV990=1,3,0)))</f>
        <v>10</v>
      </c>
      <c r="N991" s="1">
        <f>IF(AND(AV990=1,M991&gt;=10),2,IF(AV990=2,MAX(0,AX990-1),0))</f>
        <v>2</v>
      </c>
      <c r="O991" s="1">
        <f t="shared" si="1397"/>
        <v>6</v>
      </c>
      <c r="P991" s="1">
        <f>MIN(方案参数!$AI$30,AZ990+方案参数!$AJ$30+方案参数!$AK$30)</f>
        <v>5</v>
      </c>
      <c r="Q991" s="1">
        <f t="shared" si="1375"/>
        <v>3</v>
      </c>
      <c r="R991" s="1">
        <f t="shared" si="1376"/>
        <v>5</v>
      </c>
      <c r="S991" s="1">
        <f t="shared" si="1377"/>
        <v>2</v>
      </c>
      <c r="T991" s="1">
        <f t="shared" si="1378"/>
        <v>0</v>
      </c>
      <c r="U991" s="1">
        <f t="shared" si="1379"/>
        <v>0</v>
      </c>
      <c r="V991" s="1">
        <f t="shared" si="1380"/>
        <v>2</v>
      </c>
      <c r="W991" s="1">
        <f t="shared" si="1381"/>
        <v>1</v>
      </c>
      <c r="X991" s="1">
        <f t="shared" si="1382"/>
        <v>1</v>
      </c>
      <c r="Y991" s="1">
        <f t="shared" si="1383"/>
        <v>1</v>
      </c>
      <c r="Z991" s="1">
        <f t="shared" si="1384"/>
        <v>1</v>
      </c>
      <c r="AA991" s="1">
        <f t="shared" si="1399"/>
        <v>1</v>
      </c>
      <c r="AB991" s="1">
        <f t="shared" si="1386"/>
        <v>0</v>
      </c>
      <c r="AC991" s="1">
        <f t="shared" si="1387"/>
        <v>0</v>
      </c>
      <c r="AD991" s="1">
        <f>ROUNDDOWN(I991*(1+IF(F991=3,0.05+方案参数!$Y$30+AA991*0.12,IF(F991=4,方案参数!$BZ$30*方案参数!$AS$30,0)))+IF(AND(X991=1,F991&lt;&gt;3),方案参数!$CC$30,0)+AC991*方案参数!$CB$30,0)</f>
        <v>3298</v>
      </c>
      <c r="AE991" s="1">
        <f>IF(OR(F991=1,F991=4),配置与结果!$B$24,配置与结果!$B$25)*MAX(0,1-INDEX(配置与结果!$I$15:$I$18,F991))</f>
        <v>1000</v>
      </c>
      <c r="AF991" s="1">
        <f>0</f>
        <v>0</v>
      </c>
      <c r="AG991" s="1">
        <f>MAX(配置与结果!$B$32,1+INDEX(配置与结果!$F$15:$F$18,F991)+0+Q991*方案参数!$W$30+Y991*(方案参数!$AN$30+MIN(方案参数!$AO$30,P991*0.03))+AB991*方案参数!$BZ$30*0.025-配置与结果!$B$28)</f>
        <v>0.995</v>
      </c>
      <c r="AH991" s="1">
        <f>MAX(0,1+INDEX(配置与结果!$G$15:$G$18,F991)+W991*方案参数!$AG$30)</f>
        <v>1.3</v>
      </c>
      <c r="AI991" s="1">
        <f>IF(OR(INDEX(配置与结果!$K$15:$K$18,F991)=1,G991="RHI_BERRY"),1+配置与结果!$B$33+P991*方案参数!$AH$30,1)</f>
        <v>1</v>
      </c>
      <c r="AJ991" s="1">
        <f>MIN(1,MAX(0,J991+方案参数!$AB$30-配置与结果!$B$27))</f>
        <v>0.55499999999999994</v>
      </c>
      <c r="AK991" s="1">
        <f>MAX(1,K991+IF(F991=2,0.15+方案参数!$CH$30,0)+BN991*方案参数!$X$30+R991*方案参数!$AA$30+0-配置与结果!$B$26+Z991*(方案参数!$AP$30+MIN(方案参数!$AQ$30,P991*0.03)))</f>
        <v>1.6300000000000001</v>
      </c>
      <c r="AL991" s="7">
        <f>ROUNDDOWN(MAX(AD991*配置与结果!$B$31,AD991-AE991)*AF991*AG991*AH991*AI991,0)</f>
        <v>0</v>
      </c>
      <c r="AM991" s="7">
        <f>ROUNDDOWN(MAX(AD991*配置与结果!$B$31,AD991-AE991)*AF991*AG991*AH991*AI991*AK991,0)</f>
        <v>0</v>
      </c>
      <c r="AN991" s="7">
        <f t="shared" si="1366"/>
        <v>0</v>
      </c>
      <c r="AO991" s="7">
        <f>0</f>
        <v>0</v>
      </c>
      <c r="AP991" s="7">
        <f>MAX(0,1+INDEX(配置与结果!$J$15:$J$18,F991)+IF(T991&gt;0,方案参数!$BY$30,0)-配置与结果!$B$30)</f>
        <v>1</v>
      </c>
      <c r="AQ991" s="7">
        <f t="shared" si="1367"/>
        <v>0</v>
      </c>
      <c r="AR991" s="7">
        <f t="shared" si="1368"/>
        <v>0</v>
      </c>
      <c r="AS991" s="7">
        <f t="shared" si="1369"/>
        <v>0</v>
      </c>
      <c r="AT991" s="7">
        <f>0</f>
        <v>0</v>
      </c>
      <c r="AU991" s="7">
        <f t="shared" si="1370"/>
        <v>0</v>
      </c>
      <c r="AV991" s="1">
        <f t="shared" si="1371"/>
        <v>2</v>
      </c>
      <c r="AW991" s="1">
        <f t="shared" si="1401"/>
        <v>10</v>
      </c>
      <c r="AX991" s="1">
        <f t="shared" si="1372"/>
        <v>2</v>
      </c>
      <c r="AY991" s="1">
        <f t="shared" si="1395"/>
        <v>6</v>
      </c>
      <c r="AZ991" s="1">
        <f t="shared" si="1373"/>
        <v>5</v>
      </c>
      <c r="BA991" s="1">
        <f>MIN(6,Q991+1)</f>
        <v>4</v>
      </c>
      <c r="BB991" s="1">
        <f t="shared" si="1388"/>
        <v>5</v>
      </c>
      <c r="BC991" s="1">
        <f t="shared" si="1402"/>
        <v>2</v>
      </c>
      <c r="BD991" s="1">
        <f t="shared" si="1396"/>
        <v>0</v>
      </c>
      <c r="BE991" s="1">
        <f t="shared" si="1389"/>
        <v>0</v>
      </c>
      <c r="BF991" s="1">
        <f>MIN(4,V991+0)</f>
        <v>2</v>
      </c>
      <c r="BG991" s="1">
        <f>MAX(W991,1)</f>
        <v>1</v>
      </c>
      <c r="BH991" s="1">
        <f t="shared" si="1390"/>
        <v>1</v>
      </c>
      <c r="BI991" s="1">
        <f>MAX(Y991,1)</f>
        <v>1</v>
      </c>
      <c r="BJ991" s="1">
        <f t="shared" si="1400"/>
        <v>1</v>
      </c>
      <c r="BK991" s="1">
        <f t="shared" si="1400"/>
        <v>1</v>
      </c>
      <c r="BL991" s="1">
        <f t="shared" si="1362"/>
        <v>0</v>
      </c>
      <c r="BM991" s="1">
        <f t="shared" si="1360"/>
        <v>0</v>
      </c>
      <c r="BN991" s="1">
        <f t="shared" si="1391"/>
        <v>1</v>
      </c>
      <c r="BO991" s="1">
        <f t="shared" si="1392"/>
        <v>1</v>
      </c>
    </row>
    <row r="992" spans="1:67" ht="30.95" customHeight="1">
      <c r="A992" s="1">
        <f>27</f>
        <v>27</v>
      </c>
      <c r="B992" s="1">
        <f>固定流程!A20</f>
        <v>15</v>
      </c>
      <c r="C992" s="1">
        <f>30</f>
        <v>30</v>
      </c>
      <c r="D992" s="1">
        <f>1</f>
        <v>1</v>
      </c>
      <c r="E992" s="1">
        <f>固定流程!C20</f>
        <v>3</v>
      </c>
      <c r="F992" s="1">
        <f>固定流程!G20</f>
        <v>3</v>
      </c>
      <c r="G992" s="1" t="str">
        <f>固定流程!H20</f>
        <v>RHI_ATTACK</v>
      </c>
      <c r="H992" s="1">
        <f>固定流程!F20</f>
        <v>1</v>
      </c>
      <c r="I992" s="1">
        <f>INDEX(配置与结果!$B$15:$B$18,F992)</f>
        <v>2597</v>
      </c>
      <c r="J992" s="1">
        <f>INDEX(配置与结果!$D$15:$D$18,F992)</f>
        <v>0.255</v>
      </c>
      <c r="K992" s="1">
        <f>INDEX(配置与结果!$E$15:$E$18,F992)</f>
        <v>1.55</v>
      </c>
      <c r="L992" s="1">
        <f t="shared" ref="L992:L1013" si="1403">AV991</f>
        <v>2</v>
      </c>
      <c r="M992" s="1">
        <f t="shared" ref="M992:M1013" si="1404">AW991</f>
        <v>10</v>
      </c>
      <c r="N992" s="1">
        <f t="shared" ref="N992:N1013" si="1405">AX991</f>
        <v>2</v>
      </c>
      <c r="O992" s="1">
        <f t="shared" si="1397"/>
        <v>6</v>
      </c>
      <c r="P992" s="1">
        <f>MIN(方案参数!$AI$30,AZ991+0+方案参数!$AK$30)</f>
        <v>5</v>
      </c>
      <c r="Q992" s="1">
        <f t="shared" si="1375"/>
        <v>4</v>
      </c>
      <c r="R992" s="1">
        <f t="shared" si="1376"/>
        <v>5</v>
      </c>
      <c r="S992" s="1">
        <f t="shared" si="1377"/>
        <v>2</v>
      </c>
      <c r="T992" s="1">
        <f t="shared" si="1378"/>
        <v>0</v>
      </c>
      <c r="U992" s="1">
        <f t="shared" si="1379"/>
        <v>0</v>
      </c>
      <c r="V992" s="1">
        <f t="shared" si="1380"/>
        <v>2</v>
      </c>
      <c r="W992" s="1">
        <f t="shared" si="1381"/>
        <v>1</v>
      </c>
      <c r="X992" s="1">
        <f t="shared" si="1382"/>
        <v>1</v>
      </c>
      <c r="Y992" s="1">
        <f t="shared" si="1383"/>
        <v>1</v>
      </c>
      <c r="Z992" s="1">
        <f t="shared" si="1384"/>
        <v>1</v>
      </c>
      <c r="AA992" s="1">
        <f>MAX(BK991,1)</f>
        <v>1</v>
      </c>
      <c r="AB992" s="1">
        <f t="shared" si="1386"/>
        <v>0</v>
      </c>
      <c r="AC992" s="1">
        <f t="shared" si="1387"/>
        <v>0</v>
      </c>
      <c r="AD992" s="1">
        <f>ROUNDDOWN(I992*(1+IF(F992=3,0.05+方案参数!$Y$30+AA992*0.12,IF(F992=4,方案参数!$BZ$30*方案参数!$AS$30,0)))+IF(AND(X992=1,F992&lt;&gt;3),方案参数!$CC$30,0)+AC992*方案参数!$CB$30,0)</f>
        <v>3298</v>
      </c>
      <c r="AE992" s="1">
        <f>IF(OR(F992=1,F992=4),配置与结果!$B$24,配置与结果!$B$25)*MAX(0,1-INDEX(配置与结果!$I$15:$I$18,F992))</f>
        <v>1000</v>
      </c>
      <c r="AF992" s="1">
        <f>4</f>
        <v>4</v>
      </c>
      <c r="AG992" s="1">
        <f>MAX(配置与结果!$B$32,1+INDEX(配置与结果!$F$15:$F$18,F992)+0+Q992*方案参数!$W$30+Y992*(方案参数!$AN$30+MIN(方案参数!$AO$30,P992*0.03))+AB992*方案参数!$BZ$30*0.025-配置与结果!$B$28)</f>
        <v>1.0150000000000001</v>
      </c>
      <c r="AH992" s="1">
        <f>MAX(0,1+INDEX(配置与结果!$G$15:$G$18,F992)+W992*方案参数!$AG$30)</f>
        <v>1.3</v>
      </c>
      <c r="AI992" s="1">
        <f>IF(OR(INDEX(配置与结果!$K$15:$K$18,F992)=1,G992="RHI_BERRY"),1+配置与结果!$B$33+P992*方案参数!$AH$30,1)</f>
        <v>1</v>
      </c>
      <c r="AJ992" s="1">
        <f>MIN(1,MAX(0,J992+方案参数!$AB$30-配置与结果!$B$27))</f>
        <v>0.55499999999999994</v>
      </c>
      <c r="AK992" s="1">
        <f>MAX(1,K992+IF(F992=2,0.15+方案参数!$CH$30,0)+BN992*方案参数!$X$30+R992*方案参数!$AA$30+0-配置与结果!$B$26+Z992*(方案参数!$AP$30+MIN(方案参数!$AQ$30,P992*0.03)))</f>
        <v>1.6300000000000001</v>
      </c>
      <c r="AL992" s="7">
        <f>ROUNDDOWN(MAX(AD992*配置与结果!$B$31,AD992-AE992)*AF992*AG992*AH992*AI992,0)</f>
        <v>12128</v>
      </c>
      <c r="AM992" s="7">
        <f>ROUNDDOWN(MAX(AD992*配置与结果!$B$31,AD992-AE992)*AF992*AG992*AH992*AI992*AK992,0)</f>
        <v>19770</v>
      </c>
      <c r="AN992" s="7">
        <f t="shared" si="1366"/>
        <v>16369.31</v>
      </c>
      <c r="AO992" s="7">
        <f>0</f>
        <v>0</v>
      </c>
      <c r="AP992" s="7">
        <f>MAX(0,1+INDEX(配置与结果!$J$15:$J$18,F992)+IF(T992&gt;0,方案参数!$BY$30,0)-配置与结果!$B$30)</f>
        <v>1</v>
      </c>
      <c r="AQ992" s="7">
        <f t="shared" si="1367"/>
        <v>0</v>
      </c>
      <c r="AR992" s="7">
        <f t="shared" si="1368"/>
        <v>0</v>
      </c>
      <c r="AS992" s="7">
        <f t="shared" si="1369"/>
        <v>0</v>
      </c>
      <c r="AT992" s="7">
        <f>0</f>
        <v>0</v>
      </c>
      <c r="AU992" s="7">
        <f t="shared" si="1370"/>
        <v>16369.31</v>
      </c>
      <c r="AV992" s="1">
        <f t="shared" si="1371"/>
        <v>2</v>
      </c>
      <c r="AW992" s="1">
        <f t="shared" si="1401"/>
        <v>10</v>
      </c>
      <c r="AX992" s="1">
        <f t="shared" si="1372"/>
        <v>2</v>
      </c>
      <c r="AY992" s="1">
        <f t="shared" si="1395"/>
        <v>6</v>
      </c>
      <c r="AZ992" s="1">
        <f t="shared" si="1373"/>
        <v>5</v>
      </c>
      <c r="BA992" s="1">
        <f>MIN(6,Q992+1)</f>
        <v>5</v>
      </c>
      <c r="BB992" s="1">
        <f t="shared" si="1388"/>
        <v>5</v>
      </c>
      <c r="BC992" s="1">
        <f t="shared" si="1402"/>
        <v>2</v>
      </c>
      <c r="BD992" s="1">
        <f t="shared" si="1396"/>
        <v>0</v>
      </c>
      <c r="BE992" s="1">
        <f t="shared" si="1389"/>
        <v>0</v>
      </c>
      <c r="BF992" s="1">
        <f>MIN(4,V992+0)</f>
        <v>2</v>
      </c>
      <c r="BG992" s="1">
        <f t="shared" ref="BG992:BG1014" si="1406">MAX(W992,0)</f>
        <v>1</v>
      </c>
      <c r="BH992" s="1">
        <f t="shared" si="1390"/>
        <v>1</v>
      </c>
      <c r="BI992" s="1">
        <f t="shared" ref="BI992:BI1014" si="1407">MAX(Y992,0)</f>
        <v>1</v>
      </c>
      <c r="BJ992" s="1">
        <f>MAX(Z992,1)</f>
        <v>1</v>
      </c>
      <c r="BK992" s="1">
        <f>MAX(AA992,1)</f>
        <v>1</v>
      </c>
      <c r="BL992" s="1">
        <f t="shared" si="1362"/>
        <v>0</v>
      </c>
      <c r="BM992" s="1">
        <f t="shared" si="1360"/>
        <v>0</v>
      </c>
      <c r="BN992" s="1">
        <f t="shared" si="1391"/>
        <v>1</v>
      </c>
      <c r="BO992" s="1">
        <f t="shared" si="1392"/>
        <v>1</v>
      </c>
    </row>
    <row r="993" spans="1:67" ht="30.95" customHeight="1">
      <c r="A993" s="1">
        <f>27</f>
        <v>27</v>
      </c>
      <c r="B993" s="1">
        <f>固定流程!A21</f>
        <v>16</v>
      </c>
      <c r="C993" s="1">
        <f>30</f>
        <v>30</v>
      </c>
      <c r="D993" s="1">
        <f>1</f>
        <v>1</v>
      </c>
      <c r="E993" s="1">
        <f>固定流程!C21</f>
        <v>3</v>
      </c>
      <c r="F993" s="1">
        <f>固定流程!G21</f>
        <v>2</v>
      </c>
      <c r="G993" s="1" t="str">
        <f>固定流程!H21</f>
        <v>37_ULT</v>
      </c>
      <c r="H993" s="1">
        <f>固定流程!F21</f>
        <v>1</v>
      </c>
      <c r="I993" s="1">
        <f>INDEX(配置与结果!$B$15:$B$18,F993)</f>
        <v>2306</v>
      </c>
      <c r="J993" s="1">
        <f>INDEX(配置与结果!$D$15:$D$18,F993)</f>
        <v>0.46</v>
      </c>
      <c r="K993" s="1">
        <f>INDEX(配置与结果!$E$15:$E$18,F993)</f>
        <v>1.9279999999999999</v>
      </c>
      <c r="L993" s="1">
        <f t="shared" si="1403"/>
        <v>2</v>
      </c>
      <c r="M993" s="1">
        <f t="shared" si="1404"/>
        <v>10</v>
      </c>
      <c r="N993" s="1">
        <f t="shared" si="1405"/>
        <v>2</v>
      </c>
      <c r="O993" s="1">
        <f t="shared" si="1397"/>
        <v>6</v>
      </c>
      <c r="P993" s="1">
        <f>MIN(方案参数!$AI$30,AZ992+0+0)</f>
        <v>5</v>
      </c>
      <c r="Q993" s="1">
        <f t="shared" si="1375"/>
        <v>5</v>
      </c>
      <c r="R993" s="1">
        <f t="shared" si="1376"/>
        <v>5</v>
      </c>
      <c r="S993" s="1">
        <f t="shared" si="1377"/>
        <v>2</v>
      </c>
      <c r="T993" s="1">
        <f>BD992+方案参数!$BX$30</f>
        <v>2</v>
      </c>
      <c r="U993" s="1">
        <f t="shared" si="1379"/>
        <v>0</v>
      </c>
      <c r="V993" s="1">
        <f t="shared" si="1380"/>
        <v>2</v>
      </c>
      <c r="W993" s="1">
        <f t="shared" si="1381"/>
        <v>1</v>
      </c>
      <c r="X993" s="1">
        <f t="shared" si="1382"/>
        <v>1</v>
      </c>
      <c r="Y993" s="1">
        <f t="shared" si="1383"/>
        <v>1</v>
      </c>
      <c r="Z993" s="1">
        <f t="shared" si="1384"/>
        <v>1</v>
      </c>
      <c r="AA993" s="1">
        <f t="shared" ref="AA993:AA1013" si="1408">MAX(BK992,0)</f>
        <v>1</v>
      </c>
      <c r="AB993" s="1">
        <f t="shared" si="1386"/>
        <v>0</v>
      </c>
      <c r="AC993" s="1">
        <f>MAX(BM992,1)</f>
        <v>1</v>
      </c>
      <c r="AD993" s="1">
        <f>ROUNDDOWN(I993*(1+IF(F993=3,0.05+方案参数!$Y$30+AA993*0.12,IF(F993=4,方案参数!$BZ$30*方案参数!$AS$30,0)))+IF(AND(X993=1,F993&lt;&gt;3),方案参数!$CC$30,0)+AC993*方案参数!$CB$30,0)</f>
        <v>3044</v>
      </c>
      <c r="AE993" s="1">
        <f>IF(OR(F993=1,F993=4),配置与结果!$B$24,配置与结果!$B$25)*MAX(0,1-INDEX(配置与结果!$I$15:$I$18,F993))</f>
        <v>1000</v>
      </c>
      <c r="AF993" s="1">
        <f>0</f>
        <v>0</v>
      </c>
      <c r="AG993" s="1">
        <f>MAX(配置与结果!$B$32,1+INDEX(配置与结果!$F$15:$F$18,F993)+0+Q993*方案参数!$W$30+Y993*(方案参数!$AN$30+MIN(方案参数!$AO$30,P993*0.03))+AB993*方案参数!$BZ$30*0.025-配置与结果!$B$28)</f>
        <v>1.0049999999999999</v>
      </c>
      <c r="AH993" s="1">
        <f>MAX(0,1+INDEX(配置与结果!$G$15:$G$18,F993)+W993*方案参数!$AG$30)</f>
        <v>1.3</v>
      </c>
      <c r="AI993" s="1">
        <f>IF(OR(INDEX(配置与结果!$K$15:$K$18,F993)=1,G993="RHI_BERRY"),1+配置与结果!$B$33+P993*方案参数!$AH$30,1)</f>
        <v>1</v>
      </c>
      <c r="AJ993" s="1">
        <f>MIN(1,MAX(0,J993+方案参数!$AB$30-配置与结果!$B$27))</f>
        <v>0.76</v>
      </c>
      <c r="AK993" s="1">
        <f>MAX(1,K993+IF(F993=2,0.15+方案参数!$CH$30,0)+BN993*方案参数!$X$30+R993*方案参数!$AA$30+0-配置与结果!$B$26+Z993*(方案参数!$AP$30+MIN(方案参数!$AQ$30,P993*0.03)))</f>
        <v>2.278</v>
      </c>
      <c r="AL993" s="7">
        <f>ROUNDDOWN(MAX(AD993*配置与结果!$B$31,AD993-AE993)*AF993*AG993*AH993*AI993,0)</f>
        <v>0</v>
      </c>
      <c r="AM993" s="7">
        <f>ROUNDDOWN(MAX(AD993*配置与结果!$B$31,AD993-AE993)*AF993*AG993*AH993*AI993*AK993,0)</f>
        <v>0</v>
      </c>
      <c r="AN993" s="7">
        <f t="shared" si="1366"/>
        <v>0</v>
      </c>
      <c r="AO993" s="7">
        <f>0</f>
        <v>0</v>
      </c>
      <c r="AP993" s="7">
        <f>MAX(0,1+INDEX(配置与结果!$J$15:$J$18,F993)+IF(T993&gt;0,方案参数!$BY$30,0)-配置与结果!$B$30)</f>
        <v>2</v>
      </c>
      <c r="AQ993" s="7">
        <f t="shared" si="1367"/>
        <v>0</v>
      </c>
      <c r="AR993" s="7">
        <f t="shared" si="1368"/>
        <v>0</v>
      </c>
      <c r="AS993" s="7">
        <f t="shared" si="1369"/>
        <v>0</v>
      </c>
      <c r="AT993" s="7">
        <f>0</f>
        <v>0</v>
      </c>
      <c r="AU993" s="7">
        <f t="shared" si="1370"/>
        <v>0</v>
      </c>
      <c r="AV993" s="1">
        <f t="shared" si="1371"/>
        <v>2</v>
      </c>
      <c r="AW993" s="1">
        <f t="shared" si="1401"/>
        <v>10</v>
      </c>
      <c r="AX993" s="1">
        <f t="shared" si="1372"/>
        <v>2</v>
      </c>
      <c r="AY993" s="1">
        <f t="shared" si="1395"/>
        <v>6</v>
      </c>
      <c r="AZ993" s="1">
        <f t="shared" si="1373"/>
        <v>5</v>
      </c>
      <c r="BA993" s="1">
        <f t="shared" ref="BA993:BA1013" si="1409">MIN(6,Q993+0)</f>
        <v>5</v>
      </c>
      <c r="BB993" s="1">
        <f>MIN(30,R993+5)</f>
        <v>10</v>
      </c>
      <c r="BC993" s="1">
        <f t="shared" si="1402"/>
        <v>2</v>
      </c>
      <c r="BD993" s="1">
        <f t="shared" si="1396"/>
        <v>2</v>
      </c>
      <c r="BE993" s="1">
        <f t="shared" si="1389"/>
        <v>0</v>
      </c>
      <c r="BF993" s="1">
        <f>MIN(4,V993+0)</f>
        <v>2</v>
      </c>
      <c r="BG993" s="1">
        <f t="shared" si="1406"/>
        <v>1</v>
      </c>
      <c r="BH993" s="1">
        <f t="shared" si="1390"/>
        <v>1</v>
      </c>
      <c r="BI993" s="1">
        <f t="shared" si="1407"/>
        <v>1</v>
      </c>
      <c r="BJ993" s="1">
        <f t="shared" ref="BJ993:BJ1020" si="1410">MAX(Z993,0)</f>
        <v>1</v>
      </c>
      <c r="BK993" s="1">
        <f t="shared" ref="BK993:BK1020" si="1411">MAX(AA993,0)</f>
        <v>1</v>
      </c>
      <c r="BL993" s="1">
        <f t="shared" si="1362"/>
        <v>0</v>
      </c>
      <c r="BM993" s="1">
        <f>MAX(AC993,1)</f>
        <v>1</v>
      </c>
      <c r="BN993" s="1">
        <f t="shared" si="1391"/>
        <v>1</v>
      </c>
      <c r="BO993" s="1">
        <f t="shared" si="1392"/>
        <v>1</v>
      </c>
    </row>
    <row r="994" spans="1:67" ht="30.95" customHeight="1">
      <c r="A994" s="1">
        <f>27</f>
        <v>27</v>
      </c>
      <c r="B994" s="1">
        <f>固定流程!A22</f>
        <v>17</v>
      </c>
      <c r="C994" s="1">
        <f>30</f>
        <v>30</v>
      </c>
      <c r="D994" s="1">
        <f>1</f>
        <v>1</v>
      </c>
      <c r="E994" s="1">
        <f>固定流程!C22</f>
        <v>3</v>
      </c>
      <c r="F994" s="1">
        <f>固定流程!G22</f>
        <v>2</v>
      </c>
      <c r="G994" s="1" t="str">
        <f>固定流程!H22</f>
        <v>37_FOLLOW</v>
      </c>
      <c r="H994" s="1">
        <f>固定流程!F22</f>
        <v>1</v>
      </c>
      <c r="I994" s="1">
        <f>INDEX(配置与结果!$B$15:$B$18,F994)</f>
        <v>2306</v>
      </c>
      <c r="J994" s="1">
        <f>INDEX(配置与结果!$D$15:$D$18,F994)</f>
        <v>0.46</v>
      </c>
      <c r="K994" s="1">
        <f>INDEX(配置与结果!$E$15:$E$18,F994)</f>
        <v>1.9279999999999999</v>
      </c>
      <c r="L994" s="1">
        <f t="shared" si="1403"/>
        <v>2</v>
      </c>
      <c r="M994" s="1">
        <f t="shared" si="1404"/>
        <v>10</v>
      </c>
      <c r="N994" s="1">
        <f t="shared" si="1405"/>
        <v>2</v>
      </c>
      <c r="O994" s="1">
        <f t="shared" si="1397"/>
        <v>6</v>
      </c>
      <c r="P994" s="1">
        <f>MIN(方案参数!$AI$30,AZ993+0+0)</f>
        <v>5</v>
      </c>
      <c r="Q994" s="1">
        <f t="shared" si="1375"/>
        <v>5</v>
      </c>
      <c r="R994" s="1">
        <f t="shared" si="1376"/>
        <v>10</v>
      </c>
      <c r="S994" s="1">
        <f t="shared" si="1377"/>
        <v>2</v>
      </c>
      <c r="T994" s="1">
        <f t="shared" ref="T994:T1013" si="1412">BD993+0</f>
        <v>2</v>
      </c>
      <c r="U994" s="1">
        <f t="shared" si="1379"/>
        <v>0</v>
      </c>
      <c r="V994" s="1">
        <f t="shared" si="1380"/>
        <v>2</v>
      </c>
      <c r="W994" s="1">
        <f t="shared" si="1381"/>
        <v>1</v>
      </c>
      <c r="X994" s="1">
        <f t="shared" si="1382"/>
        <v>1</v>
      </c>
      <c r="Y994" s="1">
        <f t="shared" si="1383"/>
        <v>1</v>
      </c>
      <c r="Z994" s="1">
        <f t="shared" si="1384"/>
        <v>1</v>
      </c>
      <c r="AA994" s="1">
        <f t="shared" si="1408"/>
        <v>1</v>
      </c>
      <c r="AB994" s="1">
        <f t="shared" si="1386"/>
        <v>0</v>
      </c>
      <c r="AC994" s="1">
        <f t="shared" ref="AC994:AC1013" si="1413">MAX(BM993,0)</f>
        <v>1</v>
      </c>
      <c r="AD994" s="1">
        <f>ROUNDDOWN(I994*(1+IF(F994=3,0.05+方案参数!$Y$30+AA994*0.12,IF(F994=4,方案参数!$BZ$30*方案参数!$AS$30,0)))+IF(AND(X994=1,F994&lt;&gt;3),方案参数!$CC$30,0)+AC994*方案参数!$CB$30,0)</f>
        <v>3044</v>
      </c>
      <c r="AE994" s="1">
        <f>IF(OR(F994=1,F994=4),配置与结果!$B$24,配置与结果!$B$25)*MAX(0,1-INDEX(配置与结果!$I$15:$I$18,F994))</f>
        <v>1000</v>
      </c>
      <c r="AF994" s="1">
        <f>方案参数!$BV$30</f>
        <v>3</v>
      </c>
      <c r="AG994" s="1">
        <f>MAX(配置与结果!$B$32,1+INDEX(配置与结果!$F$15:$F$18,F994)+0+Q994*方案参数!$W$30+Y994*(方案参数!$AN$30+MIN(方案参数!$AO$30,P994*0.03))+AB994*方案参数!$BZ$30*0.025-配置与结果!$B$28)</f>
        <v>1.0049999999999999</v>
      </c>
      <c r="AH994" s="1">
        <f>MAX(0,1+INDEX(配置与结果!$G$15:$G$18,F994)+W994*方案参数!$AG$30)</f>
        <v>1.3</v>
      </c>
      <c r="AI994" s="1">
        <f>IF(OR(INDEX(配置与结果!$K$15:$K$18,F994)=1,G994="RHI_BERRY"),1+配置与结果!$B$33+P994*方案参数!$AH$30,1)</f>
        <v>1</v>
      </c>
      <c r="AJ994" s="1">
        <f>MIN(1,MAX(0,J994+方案参数!$AB$30-配置与结果!$B$27))</f>
        <v>0.76</v>
      </c>
      <c r="AK994" s="1">
        <f>MAX(1,K994+IF(F994=2,0.15+方案参数!$CH$30,0)+BN994*方案参数!$X$30+R994*方案参数!$AA$30+0-配置与结果!$B$26+Z994*(方案参数!$AP$30+MIN(方案参数!$AQ$30,P994*0.03)))</f>
        <v>2.298</v>
      </c>
      <c r="AL994" s="7">
        <f>ROUNDDOWN(MAX(AD994*配置与结果!$B$31,AD994-AE994)*AF994*AG994*AH994*AI994,0)</f>
        <v>8011</v>
      </c>
      <c r="AM994" s="7">
        <f>ROUNDDOWN(MAX(AD994*配置与结果!$B$31,AD994-AE994)*AF994*AG994*AH994*AI994*AK994,0)</f>
        <v>18410</v>
      </c>
      <c r="AN994" s="7">
        <f t="shared" si="1366"/>
        <v>15914.24</v>
      </c>
      <c r="AO994" s="7">
        <f>方案参数!$BW$30</f>
        <v>1</v>
      </c>
      <c r="AP994" s="7">
        <f>MAX(0,1+INDEX(配置与结果!$J$15:$J$18,F994)+IF(T994&gt;0,方案参数!$BY$30,0)-配置与结果!$B$30)</f>
        <v>2</v>
      </c>
      <c r="AQ994" s="7">
        <f t="shared" si="1367"/>
        <v>6088</v>
      </c>
      <c r="AR994" s="7">
        <f t="shared" si="1368"/>
        <v>13990</v>
      </c>
      <c r="AS994" s="7">
        <f t="shared" si="1369"/>
        <v>12093.52</v>
      </c>
      <c r="AT994" s="7">
        <f>0</f>
        <v>0</v>
      </c>
      <c r="AU994" s="7">
        <f t="shared" si="1370"/>
        <v>28007.760000000002</v>
      </c>
      <c r="AV994" s="1">
        <f t="shared" si="1371"/>
        <v>2</v>
      </c>
      <c r="AW994" s="1">
        <f t="shared" si="1401"/>
        <v>10</v>
      </c>
      <c r="AX994" s="1">
        <f t="shared" si="1372"/>
        <v>2</v>
      </c>
      <c r="AY994" s="1">
        <f t="shared" si="1395"/>
        <v>6</v>
      </c>
      <c r="AZ994" s="1">
        <f t="shared" si="1373"/>
        <v>5</v>
      </c>
      <c r="BA994" s="1">
        <f t="shared" si="1409"/>
        <v>5</v>
      </c>
      <c r="BB994" s="1">
        <f>MIN(30,R994+0)</f>
        <v>10</v>
      </c>
      <c r="BC994" s="1">
        <f t="shared" si="1402"/>
        <v>2</v>
      </c>
      <c r="BD994" s="1">
        <f t="shared" si="1396"/>
        <v>1</v>
      </c>
      <c r="BE994" s="1">
        <f t="shared" si="1389"/>
        <v>0</v>
      </c>
      <c r="BF994" s="1">
        <f>MIN(4,V994+1)</f>
        <v>3</v>
      </c>
      <c r="BG994" s="1">
        <f t="shared" si="1406"/>
        <v>1</v>
      </c>
      <c r="BH994" s="1">
        <f t="shared" si="1390"/>
        <v>1</v>
      </c>
      <c r="BI994" s="1">
        <f t="shared" si="1407"/>
        <v>1</v>
      </c>
      <c r="BJ994" s="1">
        <f t="shared" si="1410"/>
        <v>1</v>
      </c>
      <c r="BK994" s="1">
        <f t="shared" si="1411"/>
        <v>1</v>
      </c>
      <c r="BL994" s="1">
        <f t="shared" si="1362"/>
        <v>0</v>
      </c>
      <c r="BM994" s="1">
        <f t="shared" ref="BM994:BM1028" si="1414">MAX(AC994,0)</f>
        <v>1</v>
      </c>
      <c r="BN994" s="1">
        <f t="shared" si="1391"/>
        <v>1</v>
      </c>
      <c r="BO994" s="1">
        <f t="shared" si="1392"/>
        <v>1</v>
      </c>
    </row>
    <row r="995" spans="1:67" ht="30.95" customHeight="1">
      <c r="A995" s="1">
        <f>27</f>
        <v>27</v>
      </c>
      <c r="B995" s="1">
        <f>固定流程!A23</f>
        <v>18</v>
      </c>
      <c r="C995" s="1">
        <f>30</f>
        <v>30</v>
      </c>
      <c r="D995" s="1">
        <f>1</f>
        <v>1</v>
      </c>
      <c r="E995" s="1">
        <f>固定流程!C23</f>
        <v>3</v>
      </c>
      <c r="F995" s="1">
        <f>固定流程!G23</f>
        <v>4</v>
      </c>
      <c r="G995" s="1" t="str">
        <f>固定流程!H23</f>
        <v>J_HARD</v>
      </c>
      <c r="H995" s="1">
        <f>固定流程!F23</f>
        <v>1</v>
      </c>
      <c r="I995" s="1">
        <f>INDEX(配置与结果!$B$15:$B$18,F995)</f>
        <v>1906</v>
      </c>
      <c r="J995" s="1">
        <f>INDEX(配置与结果!$D$15:$D$18,F995)</f>
        <v>0.36699999999999999</v>
      </c>
      <c r="K995" s="1">
        <f>INDEX(配置与结果!$E$15:$E$18,F995)</f>
        <v>1.7170000000000001</v>
      </c>
      <c r="L995" s="1">
        <f t="shared" si="1403"/>
        <v>2</v>
      </c>
      <c r="M995" s="1">
        <f t="shared" si="1404"/>
        <v>10</v>
      </c>
      <c r="N995" s="1">
        <f t="shared" si="1405"/>
        <v>2</v>
      </c>
      <c r="O995" s="1">
        <f t="shared" si="1397"/>
        <v>6</v>
      </c>
      <c r="P995" s="1">
        <f>MIN(方案参数!$AI$30,AZ994+0+0)</f>
        <v>5</v>
      </c>
      <c r="Q995" s="1">
        <f t="shared" si="1375"/>
        <v>5</v>
      </c>
      <c r="R995" s="1">
        <f t="shared" si="1376"/>
        <v>10</v>
      </c>
      <c r="S995" s="1">
        <f t="shared" si="1377"/>
        <v>2</v>
      </c>
      <c r="T995" s="1">
        <f t="shared" si="1412"/>
        <v>1</v>
      </c>
      <c r="U995" s="1">
        <f t="shared" si="1379"/>
        <v>0</v>
      </c>
      <c r="V995" s="1">
        <f t="shared" si="1380"/>
        <v>3</v>
      </c>
      <c r="W995" s="1">
        <f t="shared" si="1381"/>
        <v>1</v>
      </c>
      <c r="X995" s="1">
        <f t="shared" si="1382"/>
        <v>1</v>
      </c>
      <c r="Y995" s="1">
        <f t="shared" si="1383"/>
        <v>1</v>
      </c>
      <c r="Z995" s="1">
        <f t="shared" si="1384"/>
        <v>1</v>
      </c>
      <c r="AA995" s="1">
        <f t="shared" si="1408"/>
        <v>1</v>
      </c>
      <c r="AB995" s="1">
        <f t="shared" si="1386"/>
        <v>0</v>
      </c>
      <c r="AC995" s="1">
        <f t="shared" si="1413"/>
        <v>1</v>
      </c>
      <c r="AD995" s="1">
        <f>ROUNDDOWN(I995*(1+IF(F995=3,0.05+方案参数!$Y$30+AA995*0.12,IF(F995=4,方案参数!$BZ$30*方案参数!$AS$30,0)))+IF(AND(X995=1,F995&lt;&gt;3),方案参数!$CC$30,0)+AC995*方案参数!$CB$30,0)</f>
        <v>3311</v>
      </c>
      <c r="AE995" s="1">
        <f>IF(OR(F995=1,F995=4),配置与结果!$B$24,配置与结果!$B$25)*MAX(0,1-INDEX(配置与结果!$I$15:$I$18,F995))</f>
        <v>1200</v>
      </c>
      <c r="AF995" s="1">
        <f>3.6*IF(H995=1,1,IF(H995=2,1.5,2.5))</f>
        <v>3.6</v>
      </c>
      <c r="AG995" s="1">
        <f>MAX(配置与结果!$B$32,1+INDEX(配置与结果!$F$15:$F$18,F995)+0.08+Q995*方案参数!$W$30+Y995*(方案参数!$AN$30+MIN(方案参数!$AO$30,P995*0.03))+AB995*方案参数!$BZ$30*0.025+0.1+IF(方案参数!$BZ$30&gt;=30,方案参数!$BZ$30*0.01,0)-配置与结果!$B$28)</f>
        <v>1.5550000000000002</v>
      </c>
      <c r="AH995" s="1">
        <f>MAX(0,1+INDEX(配置与结果!$G$15:$G$18,F995)+W995*方案参数!$AG$30)</f>
        <v>1.3</v>
      </c>
      <c r="AI995" s="1">
        <f>IF(OR(INDEX(配置与结果!$K$15:$K$18,F995)=1,G995="RHI_BERRY"),1+配置与结果!$B$33+P995*方案参数!$AH$30,1)</f>
        <v>1</v>
      </c>
      <c r="AJ995" s="1">
        <f>MIN(1,MAX(0,J995+方案参数!$AB$30-配置与结果!$B$27))</f>
        <v>0.66700000000000004</v>
      </c>
      <c r="AK995" s="1">
        <f>MAX(1,K995+IF(F995=2,0.15+方案参数!$CH$30,0)+BN995*方案参数!$X$30+R995*方案参数!$AA$30+0-配置与结果!$B$26+Z995*(方案参数!$AP$30+MIN(方案参数!$AQ$30,P995*0.03)))</f>
        <v>1.8169999999999999</v>
      </c>
      <c r="AL995" s="7">
        <f>ROUNDDOWN(MAX(AD995*配置与结果!$B$31,AD995-AE995)*AF995*AG995*AH995*AI995,0)</f>
        <v>15362</v>
      </c>
      <c r="AM995" s="7">
        <f>ROUNDDOWN(MAX(AD995*配置与结果!$B$31,AD995-AE995)*AF995*AG995*AH995*AI995*AK995,0)</f>
        <v>27913</v>
      </c>
      <c r="AN995" s="7">
        <f t="shared" si="1366"/>
        <v>23733.517</v>
      </c>
      <c r="AO995" s="7">
        <f>0</f>
        <v>0</v>
      </c>
      <c r="AP995" s="7">
        <f>MAX(0,1+INDEX(配置与结果!$J$15:$J$18,F995)+IF(T995&gt;0,方案参数!$BY$30,0)-配置与结果!$B$30)</f>
        <v>2</v>
      </c>
      <c r="AQ995" s="7">
        <f t="shared" si="1367"/>
        <v>0</v>
      </c>
      <c r="AR995" s="7">
        <f t="shared" si="1368"/>
        <v>0</v>
      </c>
      <c r="AS995" s="7">
        <f t="shared" si="1369"/>
        <v>0</v>
      </c>
      <c r="AT995" s="7">
        <f>0</f>
        <v>0</v>
      </c>
      <c r="AU995" s="7">
        <f t="shared" si="1370"/>
        <v>23733.517</v>
      </c>
      <c r="AV995" s="1">
        <f t="shared" si="1371"/>
        <v>2</v>
      </c>
      <c r="AW995" s="1">
        <f t="shared" si="1401"/>
        <v>10</v>
      </c>
      <c r="AX995" s="1">
        <f t="shared" si="1372"/>
        <v>2</v>
      </c>
      <c r="AY995" s="1">
        <f t="shared" si="1395"/>
        <v>6</v>
      </c>
      <c r="AZ995" s="1">
        <f t="shared" si="1373"/>
        <v>5</v>
      </c>
      <c r="BA995" s="1">
        <f t="shared" si="1409"/>
        <v>5</v>
      </c>
      <c r="BB995" s="1">
        <f>MIN(30,R995+0)</f>
        <v>10</v>
      </c>
      <c r="BC995" s="1">
        <f>MIN(3,S995+1)</f>
        <v>3</v>
      </c>
      <c r="BD995" s="1">
        <f t="shared" si="1396"/>
        <v>1</v>
      </c>
      <c r="BE995" s="1">
        <f t="shared" si="1389"/>
        <v>0</v>
      </c>
      <c r="BF995" s="1">
        <f>MIN(4,V995+0)</f>
        <v>3</v>
      </c>
      <c r="BG995" s="1">
        <f t="shared" si="1406"/>
        <v>1</v>
      </c>
      <c r="BH995" s="1">
        <f t="shared" si="1390"/>
        <v>1</v>
      </c>
      <c r="BI995" s="1">
        <f t="shared" si="1407"/>
        <v>1</v>
      </c>
      <c r="BJ995" s="1">
        <f t="shared" si="1410"/>
        <v>1</v>
      </c>
      <c r="BK995" s="1">
        <f t="shared" si="1411"/>
        <v>1</v>
      </c>
      <c r="BL995" s="1">
        <f t="shared" si="1362"/>
        <v>0</v>
      </c>
      <c r="BM995" s="1">
        <f t="shared" si="1414"/>
        <v>1</v>
      </c>
      <c r="BN995" s="1">
        <f t="shared" si="1391"/>
        <v>1</v>
      </c>
      <c r="BO995" s="1">
        <f t="shared" si="1392"/>
        <v>1</v>
      </c>
    </row>
    <row r="996" spans="1:67" ht="30.95" customHeight="1">
      <c r="A996" s="1">
        <f>27</f>
        <v>27</v>
      </c>
      <c r="B996" s="1">
        <f>固定流程!A24</f>
        <v>19</v>
      </c>
      <c r="C996" s="1">
        <f>30</f>
        <v>30</v>
      </c>
      <c r="D996" s="1">
        <f>1</f>
        <v>1</v>
      </c>
      <c r="E996" s="1">
        <f>固定流程!C24</f>
        <v>3</v>
      </c>
      <c r="F996" s="1">
        <f>固定流程!G24</f>
        <v>4</v>
      </c>
      <c r="G996" s="1" t="str">
        <f>固定流程!H24</f>
        <v>J_ULT</v>
      </c>
      <c r="H996" s="1">
        <f>固定流程!F24</f>
        <v>1</v>
      </c>
      <c r="I996" s="1">
        <f>INDEX(配置与结果!$B$15:$B$18,F996)</f>
        <v>1906</v>
      </c>
      <c r="J996" s="1">
        <f>INDEX(配置与结果!$D$15:$D$18,F996)</f>
        <v>0.36699999999999999</v>
      </c>
      <c r="K996" s="1">
        <f>INDEX(配置与结果!$E$15:$E$18,F996)</f>
        <v>1.7170000000000001</v>
      </c>
      <c r="L996" s="1">
        <f t="shared" si="1403"/>
        <v>2</v>
      </c>
      <c r="M996" s="1">
        <f t="shared" si="1404"/>
        <v>10</v>
      </c>
      <c r="N996" s="1">
        <f t="shared" si="1405"/>
        <v>2</v>
      </c>
      <c r="O996" s="1">
        <f t="shared" si="1397"/>
        <v>6</v>
      </c>
      <c r="P996" s="1">
        <f>MIN(方案参数!$AI$30,AZ995+0+0)</f>
        <v>5</v>
      </c>
      <c r="Q996" s="1">
        <f t="shared" si="1375"/>
        <v>5</v>
      </c>
      <c r="R996" s="1">
        <f t="shared" si="1376"/>
        <v>10</v>
      </c>
      <c r="S996" s="1">
        <f t="shared" si="1377"/>
        <v>3</v>
      </c>
      <c r="T996" s="1">
        <f t="shared" si="1412"/>
        <v>1</v>
      </c>
      <c r="U996" s="1">
        <f t="shared" si="1379"/>
        <v>0</v>
      </c>
      <c r="V996" s="1">
        <f t="shared" si="1380"/>
        <v>3</v>
      </c>
      <c r="W996" s="1">
        <f t="shared" si="1381"/>
        <v>1</v>
      </c>
      <c r="X996" s="1">
        <f t="shared" si="1382"/>
        <v>1</v>
      </c>
      <c r="Y996" s="1">
        <f t="shared" si="1383"/>
        <v>1</v>
      </c>
      <c r="Z996" s="1">
        <f t="shared" si="1384"/>
        <v>1</v>
      </c>
      <c r="AA996" s="1">
        <f t="shared" si="1408"/>
        <v>1</v>
      </c>
      <c r="AB996" s="1">
        <f t="shared" si="1386"/>
        <v>0</v>
      </c>
      <c r="AC996" s="1">
        <f t="shared" si="1413"/>
        <v>1</v>
      </c>
      <c r="AD996" s="1">
        <f>ROUNDDOWN(I996*(1+IF(F996=3,0.05+方案参数!$Y$30+AA996*0.12,IF(F996=4,方案参数!$BZ$30*方案参数!$AS$30,0)))+IF(AND(X996=1,F996&lt;&gt;3),方案参数!$CC$30,0)+AC996*方案参数!$CB$30,0)</f>
        <v>3311</v>
      </c>
      <c r="AE996" s="1">
        <f>IF(OR(F996=1,F996=4),配置与结果!$B$24,配置与结果!$B$25)*MAX(0,1-INDEX(配置与结果!$I$15:$I$18,F996))</f>
        <v>1200</v>
      </c>
      <c r="AF996" s="1">
        <f>方案参数!$AT$30+MAX(0,配置与结果!$H$26+方案参数!$BZ$30-30)*方案参数!$AU$30*配置与结果!$H$27</f>
        <v>42</v>
      </c>
      <c r="AG996" s="1">
        <f>MAX(配置与结果!$B$32,1+INDEX(配置与结果!$F$15:$F$18,F996)+0.08+Q996*方案参数!$W$30+Y996*(方案参数!$AN$30+MIN(方案参数!$AO$30,P996*0.03))+AB996*方案参数!$BZ$30*0.025-配置与结果!$B$28)</f>
        <v>1.105</v>
      </c>
      <c r="AH996" s="1">
        <f>MAX(0,1+INDEX(配置与结果!$H$15:$H$18,F996)+W996*方案参数!$AG$30+S996*方案参数!$Z$30)</f>
        <v>1.42</v>
      </c>
      <c r="AI996" s="1">
        <f>IF(OR(INDEX(配置与结果!$K$15:$K$18,F996)=1,G996="RHI_BERRY"),1+配置与结果!$B$33+P996*方案参数!$AH$30,1)</f>
        <v>1</v>
      </c>
      <c r="AJ996" s="1">
        <f>MIN(1,MAX(0,J996+方案参数!$AB$30-配置与结果!$B$27))</f>
        <v>0.66700000000000004</v>
      </c>
      <c r="AK996" s="1">
        <f>MAX(1,K996+IF(F996=2,0.15+方案参数!$CH$30,0)+BN996*方案参数!$X$30+R996*方案参数!$AA$30+0-配置与结果!$B$26+Z996*(方案参数!$AP$30+MIN(方案参数!$AQ$30,P996*0.03)))</f>
        <v>1.8169999999999999</v>
      </c>
      <c r="AL996" s="7">
        <f>ROUNDDOWN(MAX(AD996*配置与结果!$B$31,AD996-AE996)*AF996*AG996*AH996*AI996,0)</f>
        <v>139119</v>
      </c>
      <c r="AM996" s="7">
        <f>ROUNDDOWN(MAX(AD996*配置与结果!$B$31,AD996-AE996)*AF996*AG996*AH996*AI996*AK996,0)</f>
        <v>252780</v>
      </c>
      <c r="AN996" s="7">
        <f t="shared" si="1366"/>
        <v>214930.88699999999</v>
      </c>
      <c r="AO996" s="7">
        <f>0</f>
        <v>0</v>
      </c>
      <c r="AP996" s="7">
        <f>MAX(0,1+INDEX(配置与结果!$J$15:$J$18,F996)+IF(T996&gt;0,方案参数!$BY$30,0)-配置与结果!$B$30)</f>
        <v>2</v>
      </c>
      <c r="AQ996" s="7">
        <f t="shared" si="1367"/>
        <v>0</v>
      </c>
      <c r="AR996" s="7">
        <f t="shared" si="1368"/>
        <v>0</v>
      </c>
      <c r="AS996" s="7">
        <f t="shared" si="1369"/>
        <v>0</v>
      </c>
      <c r="AT996" s="7">
        <f>0</f>
        <v>0</v>
      </c>
      <c r="AU996" s="7">
        <f t="shared" si="1370"/>
        <v>214930.88699999999</v>
      </c>
      <c r="AV996" s="1">
        <f t="shared" si="1371"/>
        <v>2</v>
      </c>
      <c r="AW996" s="1">
        <f t="shared" si="1401"/>
        <v>10</v>
      </c>
      <c r="AX996" s="1">
        <f t="shared" si="1372"/>
        <v>2</v>
      </c>
      <c r="AY996" s="1">
        <f t="shared" si="1395"/>
        <v>6</v>
      </c>
      <c r="AZ996" s="1">
        <f t="shared" si="1373"/>
        <v>5</v>
      </c>
      <c r="BA996" s="1">
        <f t="shared" si="1409"/>
        <v>5</v>
      </c>
      <c r="BB996" s="1">
        <f>MIN(30,R996+5)</f>
        <v>15</v>
      </c>
      <c r="BC996" s="1">
        <f t="shared" ref="BC996:BC1019" si="1415">MIN(3,S996+0)</f>
        <v>3</v>
      </c>
      <c r="BD996" s="1">
        <f t="shared" si="1396"/>
        <v>1</v>
      </c>
      <c r="BE996" s="1">
        <f t="shared" si="1389"/>
        <v>0</v>
      </c>
      <c r="BF996" s="1">
        <f>MIN(4,V996+0)</f>
        <v>3</v>
      </c>
      <c r="BG996" s="1">
        <f t="shared" si="1406"/>
        <v>1</v>
      </c>
      <c r="BH996" s="1">
        <f t="shared" si="1390"/>
        <v>1</v>
      </c>
      <c r="BI996" s="1">
        <f t="shared" si="1407"/>
        <v>1</v>
      </c>
      <c r="BJ996" s="1">
        <f t="shared" si="1410"/>
        <v>1</v>
      </c>
      <c r="BK996" s="1">
        <f t="shared" si="1411"/>
        <v>1</v>
      </c>
      <c r="BL996" s="1">
        <f>MAX(AB996,1)</f>
        <v>1</v>
      </c>
      <c r="BM996" s="1">
        <f t="shared" si="1414"/>
        <v>1</v>
      </c>
      <c r="BN996" s="1">
        <f t="shared" si="1391"/>
        <v>1</v>
      </c>
      <c r="BO996" s="1">
        <f t="shared" si="1392"/>
        <v>1</v>
      </c>
    </row>
    <row r="997" spans="1:67" ht="30.95" customHeight="1">
      <c r="A997" s="1">
        <f>27</f>
        <v>27</v>
      </c>
      <c r="B997" s="1">
        <f>固定流程!A25</f>
        <v>20</v>
      </c>
      <c r="C997" s="1">
        <f>30</f>
        <v>30</v>
      </c>
      <c r="D997" s="1">
        <f>1</f>
        <v>1</v>
      </c>
      <c r="E997" s="1">
        <f>固定流程!C25</f>
        <v>3</v>
      </c>
      <c r="F997" s="1">
        <f>固定流程!G25</f>
        <v>1</v>
      </c>
      <c r="G997" s="1" t="str">
        <f>固定流程!H25</f>
        <v>LILYA_ULT</v>
      </c>
      <c r="H997" s="1">
        <f>固定流程!F25</f>
        <v>1</v>
      </c>
      <c r="I997" s="1">
        <f>INDEX(配置与结果!$B$15:$B$18,F997)</f>
        <v>2296</v>
      </c>
      <c r="J997" s="1">
        <f>INDEX(配置与结果!$D$15:$D$18,F997)</f>
        <v>0.7</v>
      </c>
      <c r="K997" s="1">
        <f>INDEX(配置与结果!$E$15:$E$18,F997)</f>
        <v>2.0249999999999999</v>
      </c>
      <c r="L997" s="1">
        <f t="shared" si="1403"/>
        <v>2</v>
      </c>
      <c r="M997" s="1">
        <f t="shared" si="1404"/>
        <v>10</v>
      </c>
      <c r="N997" s="1">
        <f t="shared" si="1405"/>
        <v>2</v>
      </c>
      <c r="O997" s="1">
        <f t="shared" si="1397"/>
        <v>6</v>
      </c>
      <c r="P997" s="1">
        <f>MIN(方案参数!$AI$30,AZ996+0+0)</f>
        <v>5</v>
      </c>
      <c r="Q997" s="1">
        <f t="shared" si="1375"/>
        <v>5</v>
      </c>
      <c r="R997" s="1">
        <f t="shared" si="1376"/>
        <v>15</v>
      </c>
      <c r="S997" s="1">
        <f t="shared" si="1377"/>
        <v>3</v>
      </c>
      <c r="T997" s="1">
        <f t="shared" si="1412"/>
        <v>1</v>
      </c>
      <c r="U997" s="1">
        <f t="shared" si="1379"/>
        <v>0</v>
      </c>
      <c r="V997" s="1">
        <f t="shared" si="1380"/>
        <v>3</v>
      </c>
      <c r="W997" s="1">
        <f t="shared" si="1381"/>
        <v>1</v>
      </c>
      <c r="X997" s="1">
        <f t="shared" si="1382"/>
        <v>1</v>
      </c>
      <c r="Y997" s="1">
        <f t="shared" si="1383"/>
        <v>1</v>
      </c>
      <c r="Z997" s="1">
        <f t="shared" si="1384"/>
        <v>1</v>
      </c>
      <c r="AA997" s="1">
        <f t="shared" si="1408"/>
        <v>1</v>
      </c>
      <c r="AB997" s="1">
        <f t="shared" si="1386"/>
        <v>1</v>
      </c>
      <c r="AC997" s="1">
        <f t="shared" si="1413"/>
        <v>1</v>
      </c>
      <c r="AD997" s="1">
        <f>ROUNDDOWN(I997*(1+IF(F997=3,0.05+方案参数!$Y$30+AA997*0.12,IF(F997=4,方案参数!$BZ$30*方案参数!$AS$30,0)))+IF(AND(X997=1,F997&lt;&gt;3),方案参数!$CC$30,0)+AC997*方案参数!$CB$30,0)</f>
        <v>3034</v>
      </c>
      <c r="AE997" s="1">
        <f>IF(OR(F997=1,F997=4),配置与结果!$B$24,配置与结果!$B$25)*MAX(0,1-INDEX(配置与结果!$I$15:$I$18,F997)+IF(O997&gt;=6,方案参数!$BK$30,0))</f>
        <v>1440</v>
      </c>
      <c r="AF997" s="1">
        <f>方案参数!$BG$30+IF(O997&gt;=6,方案参数!$BH$30,0)</f>
        <v>36</v>
      </c>
      <c r="AG997" s="1">
        <f>MAX(配置与结果!$B$32,1+INDEX(配置与结果!$F$15:$F$18,F997)+0.08+方案参数!$CD$30+Q997*方案参数!$W$30+Y997*(方案参数!$AN$30+MIN(方案参数!$AO$30,P997*0.03))+AB997*方案参数!$BZ$30*0.025-配置与结果!$B$28)</f>
        <v>2.1750000000000003</v>
      </c>
      <c r="AH997" s="1">
        <f>MAX(0,1+INDEX(配置与结果!$H$15:$H$18,F997)+W997*方案参数!$AG$30+O997*方案参数!$BF$30+IF(O997&gt;=6,方案参数!$BI$30,0))</f>
        <v>2.4500000000000002</v>
      </c>
      <c r="AI997" s="1">
        <f>IF(OR(INDEX(配置与结果!$K$15:$K$18,F997)=1,G997="RHI_BERRY"),1+配置与结果!$B$33+P997*方案参数!$AH$30,1)</f>
        <v>1</v>
      </c>
      <c r="AJ997" s="1">
        <f>MIN(1,MAX(0,J997+方案参数!$AB$30-配置与结果!$B$27))</f>
        <v>1</v>
      </c>
      <c r="AK997" s="1">
        <f>MAX(1,K997+IF(F997=2,0.15+方案参数!$CH$30,0)+BN997*方案参数!$X$30+R997*方案参数!$AA$30+IF(O997&gt;=6,方案参数!$BJ$30,0)-配置与结果!$B$26+Z997*(方案参数!$AP$30+MIN(方案参数!$AQ$30,P997*0.03)))</f>
        <v>3.145</v>
      </c>
      <c r="AL997" s="7">
        <f>ROUNDDOWN(MAX(AD997*配置与结果!$B$31,AD997-AE997)*AF997*AG997*AH997*AI997,0)</f>
        <v>305784</v>
      </c>
      <c r="AM997" s="7">
        <f>ROUNDDOWN(MAX(AD997*配置与结果!$B$31,AD997-AE997)*AF997*AG997*AH997*AI997*AK997,0)</f>
        <v>961693</v>
      </c>
      <c r="AN997" s="7">
        <f t="shared" si="1366"/>
        <v>961693</v>
      </c>
      <c r="AO997" s="7">
        <f>0</f>
        <v>0</v>
      </c>
      <c r="AP997" s="7">
        <f>MAX(0,1+INDEX(配置与结果!$J$15:$J$18,F997)+IF(T997&gt;0,方案参数!$BY$30,0)-配置与结果!$B$30)</f>
        <v>2</v>
      </c>
      <c r="AQ997" s="7">
        <f t="shared" si="1367"/>
        <v>0</v>
      </c>
      <c r="AR997" s="7">
        <f t="shared" si="1368"/>
        <v>0</v>
      </c>
      <c r="AS997" s="7">
        <f t="shared" si="1369"/>
        <v>0</v>
      </c>
      <c r="AT997" s="7">
        <f>0</f>
        <v>0</v>
      </c>
      <c r="AU997" s="7">
        <f t="shared" si="1370"/>
        <v>961693</v>
      </c>
      <c r="AV997" s="1">
        <f t="shared" si="1371"/>
        <v>2</v>
      </c>
      <c r="AW997" s="1">
        <f t="shared" si="1401"/>
        <v>10</v>
      </c>
      <c r="AX997" s="1">
        <f t="shared" si="1372"/>
        <v>2</v>
      </c>
      <c r="AY997" s="1">
        <f>MIN(20,MAX(0,O997+0+0-IF(O997&gt;=6,6,0)))</f>
        <v>0</v>
      </c>
      <c r="AZ997" s="1">
        <f t="shared" si="1373"/>
        <v>5</v>
      </c>
      <c r="BA997" s="1">
        <f t="shared" si="1409"/>
        <v>5</v>
      </c>
      <c r="BB997" s="1">
        <f>MIN(30,R997+5)</f>
        <v>20</v>
      </c>
      <c r="BC997" s="1">
        <f t="shared" si="1415"/>
        <v>3</v>
      </c>
      <c r="BD997" s="1">
        <f t="shared" si="1396"/>
        <v>1</v>
      </c>
      <c r="BE997" s="1">
        <f t="shared" si="1389"/>
        <v>0</v>
      </c>
      <c r="BF997" s="1">
        <f>MIN(4,V997+0)</f>
        <v>3</v>
      </c>
      <c r="BG997" s="1">
        <f t="shared" si="1406"/>
        <v>1</v>
      </c>
      <c r="BH997" s="1">
        <f t="shared" si="1390"/>
        <v>1</v>
      </c>
      <c r="BI997" s="1">
        <f t="shared" si="1407"/>
        <v>1</v>
      </c>
      <c r="BJ997" s="1">
        <f t="shared" si="1410"/>
        <v>1</v>
      </c>
      <c r="BK997" s="1">
        <f t="shared" si="1411"/>
        <v>1</v>
      </c>
      <c r="BL997" s="1">
        <f t="shared" ref="BL997:BL1031" si="1416">MAX(AB997,0)</f>
        <v>1</v>
      </c>
      <c r="BM997" s="1">
        <f t="shared" si="1414"/>
        <v>1</v>
      </c>
      <c r="BN997" s="1">
        <f t="shared" si="1391"/>
        <v>1</v>
      </c>
      <c r="BO997" s="1">
        <f t="shared" si="1392"/>
        <v>1</v>
      </c>
    </row>
    <row r="998" spans="1:67" ht="30.95" customHeight="1">
      <c r="A998" s="1">
        <f>27</f>
        <v>27</v>
      </c>
      <c r="B998" s="1">
        <f>固定流程!A26</f>
        <v>21</v>
      </c>
      <c r="C998" s="1">
        <f>30</f>
        <v>30</v>
      </c>
      <c r="D998" s="1">
        <f>1</f>
        <v>1</v>
      </c>
      <c r="E998" s="1">
        <f>固定流程!C26</f>
        <v>3</v>
      </c>
      <c r="F998" s="1">
        <f>固定流程!G26</f>
        <v>1</v>
      </c>
      <c r="G998" s="1" t="str">
        <f>固定流程!H26</f>
        <v>LILYA_DIVE</v>
      </c>
      <c r="H998" s="1">
        <f>固定流程!F26</f>
        <v>3</v>
      </c>
      <c r="I998" s="1">
        <f>INDEX(配置与结果!$B$15:$B$18,F998)</f>
        <v>2296</v>
      </c>
      <c r="J998" s="1">
        <f>INDEX(配置与结果!$D$15:$D$18,F998)</f>
        <v>0.7</v>
      </c>
      <c r="K998" s="1">
        <f>INDEX(配置与结果!$E$15:$E$18,F998)</f>
        <v>2.0249999999999999</v>
      </c>
      <c r="L998" s="1">
        <f t="shared" si="1403"/>
        <v>2</v>
      </c>
      <c r="M998" s="1">
        <f t="shared" si="1404"/>
        <v>10</v>
      </c>
      <c r="N998" s="1">
        <f t="shared" si="1405"/>
        <v>2</v>
      </c>
      <c r="O998" s="1">
        <f t="shared" si="1397"/>
        <v>0</v>
      </c>
      <c r="P998" s="1">
        <f>MIN(方案参数!$AI$30,AZ997+0+0)</f>
        <v>5</v>
      </c>
      <c r="Q998" s="1">
        <f t="shared" si="1375"/>
        <v>5</v>
      </c>
      <c r="R998" s="1">
        <f t="shared" si="1376"/>
        <v>20</v>
      </c>
      <c r="S998" s="1">
        <f t="shared" si="1377"/>
        <v>3</v>
      </c>
      <c r="T998" s="1">
        <f t="shared" si="1412"/>
        <v>1</v>
      </c>
      <c r="U998" s="1">
        <f t="shared" si="1379"/>
        <v>0</v>
      </c>
      <c r="V998" s="1">
        <f t="shared" si="1380"/>
        <v>3</v>
      </c>
      <c r="W998" s="1">
        <f t="shared" si="1381"/>
        <v>1</v>
      </c>
      <c r="X998" s="1">
        <f t="shared" si="1382"/>
        <v>1</v>
      </c>
      <c r="Y998" s="1">
        <f t="shared" si="1383"/>
        <v>1</v>
      </c>
      <c r="Z998" s="1">
        <f t="shared" si="1384"/>
        <v>1</v>
      </c>
      <c r="AA998" s="1">
        <f t="shared" si="1408"/>
        <v>1</v>
      </c>
      <c r="AB998" s="1">
        <f t="shared" si="1386"/>
        <v>1</v>
      </c>
      <c r="AC998" s="1">
        <f t="shared" si="1413"/>
        <v>1</v>
      </c>
      <c r="AD998" s="1">
        <f>ROUNDDOWN(I998*(1+IF(F998=3,0.05+方案参数!$Y$30+AA998*0.12,IF(F998=4,方案参数!$BZ$30*方案参数!$AS$30,0)))+IF(AND(X998=1,F998&lt;&gt;3),方案参数!$CC$30,0)+AC998*方案参数!$CB$30,0)</f>
        <v>3034</v>
      </c>
      <c r="AE998" s="1">
        <f>IF(OR(F998=1,F998=4),配置与结果!$B$24,配置与结果!$B$25)*MAX(0,1-INDEX(配置与结果!$I$15:$I$18,F998))</f>
        <v>1200</v>
      </c>
      <c r="AF998" s="1">
        <f>(IF(L998=1,方案参数!$AW$30,IF(L998=2,方案参数!$AX$30,0))+方案参数!$AV$30)*H998</f>
        <v>30</v>
      </c>
      <c r="AG998" s="1">
        <f>MAX(配置与结果!$B$32,1+INDEX(配置与结果!$F$15:$F$18,F998)+0.08+方案参数!$CD$30+Q998*方案参数!$W$30+Y998*(方案参数!$AN$30+MIN(方案参数!$AO$30,P998*0.03))+AB998*方案参数!$BZ$30*0.025+IF(L998=1,方案参数!$AY$30+(H998-1)*0.1,IF(L998=2,方案参数!$AZ$30+(H998-1)*0.2,0))-配置与结果!$B$28)</f>
        <v>2.7750000000000004</v>
      </c>
      <c r="AH998" s="1">
        <f>MAX(0,1+INDEX(配置与结果!$G$15:$G$18,F998)+W998*方案参数!$AG$30+IF(L998=1,方案参数!$BA$30,IF(L998=2,方案参数!$BB$30,0))+M998*方案参数!$BC$30)</f>
        <v>3.1</v>
      </c>
      <c r="AI998" s="1">
        <f>IF(OR(INDEX(配置与结果!$K$15:$K$18,F998)=1,G998="RHI_BERRY"),1+配置与结果!$B$33+P998*方案参数!$AH$30,1)</f>
        <v>1</v>
      </c>
      <c r="AJ998" s="1">
        <f>MIN(1,MAX(0,J998+方案参数!$AB$30-配置与结果!$B$27))</f>
        <v>1</v>
      </c>
      <c r="AK998" s="1">
        <f>MAX(1,K998+IF(F998=2,0.15+方案参数!$CH$30,0)+BN998*方案参数!$X$30+R998*方案参数!$AA$30+0-配置与结果!$B$26+Z998*(方案参数!$AP$30+MIN(方案参数!$AQ$30,P998*0.03)))</f>
        <v>2.165</v>
      </c>
      <c r="AL998" s="7">
        <f>ROUNDDOWN(MAX(AD998*配置与结果!$B$31,AD998-AE998)*AF998*AG998*AH998*AI998,0)</f>
        <v>473309</v>
      </c>
      <c r="AM998" s="7">
        <f>ROUNDDOWN(MAX(AD998*配置与结果!$B$31,AD998-AE998)*AF998*AG998*AH998*AI998*AK998,0)</f>
        <v>1024715</v>
      </c>
      <c r="AN998" s="7">
        <f t="shared" si="1366"/>
        <v>1024715</v>
      </c>
      <c r="AO998" s="7">
        <f>0</f>
        <v>0</v>
      </c>
      <c r="AP998" s="7">
        <f>MAX(0,1+INDEX(配置与结果!$J$15:$J$18,F998)+IF(T998&gt;0,方案参数!$BY$30,0)-配置与结果!$B$30)</f>
        <v>2</v>
      </c>
      <c r="AQ998" s="7">
        <f t="shared" si="1367"/>
        <v>0</v>
      </c>
      <c r="AR998" s="7">
        <f t="shared" si="1368"/>
        <v>0</v>
      </c>
      <c r="AS998" s="7">
        <f t="shared" si="1369"/>
        <v>0</v>
      </c>
      <c r="AT998" s="7">
        <f>0</f>
        <v>0</v>
      </c>
      <c r="AU998" s="7">
        <f t="shared" si="1370"/>
        <v>1024715</v>
      </c>
      <c r="AV998" s="1">
        <f t="shared" si="1371"/>
        <v>2</v>
      </c>
      <c r="AW998" s="1">
        <f>MIN(10,M998+0+IF(L998=1,方案参数!$BE$30,0))</f>
        <v>10</v>
      </c>
      <c r="AX998" s="1">
        <f t="shared" si="1372"/>
        <v>2</v>
      </c>
      <c r="AY998" s="1">
        <f>MIN(20,MAX(0,O998+0+0-0))</f>
        <v>0</v>
      </c>
      <c r="AZ998" s="1">
        <f t="shared" si="1373"/>
        <v>5</v>
      </c>
      <c r="BA998" s="1">
        <f t="shared" si="1409"/>
        <v>5</v>
      </c>
      <c r="BB998" s="1">
        <f t="shared" ref="BB998:BB1013" si="1417">MIN(30,R998+0)</f>
        <v>20</v>
      </c>
      <c r="BC998" s="1">
        <f t="shared" si="1415"/>
        <v>3</v>
      </c>
      <c r="BD998" s="1">
        <f t="shared" si="1396"/>
        <v>1</v>
      </c>
      <c r="BE998" s="1">
        <f t="shared" si="1389"/>
        <v>0</v>
      </c>
      <c r="BF998" s="1">
        <f>MIN(4,V998+0)</f>
        <v>3</v>
      </c>
      <c r="BG998" s="1">
        <f t="shared" si="1406"/>
        <v>1</v>
      </c>
      <c r="BH998" s="1">
        <f t="shared" si="1390"/>
        <v>1</v>
      </c>
      <c r="BI998" s="1">
        <f t="shared" si="1407"/>
        <v>1</v>
      </c>
      <c r="BJ998" s="1">
        <f t="shared" si="1410"/>
        <v>1</v>
      </c>
      <c r="BK998" s="1">
        <f t="shared" si="1411"/>
        <v>1</v>
      </c>
      <c r="BL998" s="1">
        <f t="shared" si="1416"/>
        <v>1</v>
      </c>
      <c r="BM998" s="1">
        <f t="shared" si="1414"/>
        <v>1</v>
      </c>
      <c r="BN998" s="1">
        <f t="shared" si="1391"/>
        <v>1</v>
      </c>
      <c r="BO998" s="1">
        <f t="shared" si="1392"/>
        <v>1</v>
      </c>
    </row>
    <row r="999" spans="1:67" ht="30.95" customHeight="1">
      <c r="A999" s="1">
        <f>27</f>
        <v>27</v>
      </c>
      <c r="B999" s="1">
        <f>固定流程!A27</f>
        <v>22</v>
      </c>
      <c r="C999" s="1">
        <f>30</f>
        <v>30</v>
      </c>
      <c r="D999" s="1">
        <f>1</f>
        <v>1</v>
      </c>
      <c r="E999" s="1">
        <f>固定流程!C27</f>
        <v>3</v>
      </c>
      <c r="F999" s="1">
        <f>固定流程!G27</f>
        <v>3</v>
      </c>
      <c r="G999" s="1" t="str">
        <f>固定流程!H27</f>
        <v>RHI_BERRY</v>
      </c>
      <c r="H999" s="1">
        <f>固定流程!F27</f>
        <v>1</v>
      </c>
      <c r="I999" s="1">
        <f>INDEX(配置与结果!$B$15:$B$18,F999)</f>
        <v>2597</v>
      </c>
      <c r="J999" s="1">
        <f>INDEX(配置与结果!$D$15:$D$18,F999)</f>
        <v>0.255</v>
      </c>
      <c r="K999" s="1">
        <f>INDEX(配置与结果!$E$15:$E$18,F999)</f>
        <v>1.55</v>
      </c>
      <c r="L999" s="1">
        <f t="shared" si="1403"/>
        <v>2</v>
      </c>
      <c r="M999" s="1">
        <f t="shared" si="1404"/>
        <v>10</v>
      </c>
      <c r="N999" s="1">
        <f t="shared" si="1405"/>
        <v>2</v>
      </c>
      <c r="O999" s="1">
        <f t="shared" si="1397"/>
        <v>0</v>
      </c>
      <c r="P999" s="1">
        <f>MIN(方案参数!$AI$30,AZ998+0+0)</f>
        <v>5</v>
      </c>
      <c r="Q999" s="1">
        <f t="shared" si="1375"/>
        <v>5</v>
      </c>
      <c r="R999" s="1">
        <f t="shared" si="1376"/>
        <v>20</v>
      </c>
      <c r="S999" s="1">
        <f t="shared" si="1377"/>
        <v>3</v>
      </c>
      <c r="T999" s="1">
        <f t="shared" si="1412"/>
        <v>1</v>
      </c>
      <c r="U999" s="1">
        <f t="shared" si="1379"/>
        <v>0</v>
      </c>
      <c r="V999" s="1">
        <f t="shared" si="1380"/>
        <v>3</v>
      </c>
      <c r="W999" s="1">
        <f t="shared" si="1381"/>
        <v>1</v>
      </c>
      <c r="X999" s="1">
        <f t="shared" si="1382"/>
        <v>1</v>
      </c>
      <c r="Y999" s="1">
        <f t="shared" si="1383"/>
        <v>1</v>
      </c>
      <c r="Z999" s="1">
        <f t="shared" si="1384"/>
        <v>1</v>
      </c>
      <c r="AA999" s="1">
        <f t="shared" si="1408"/>
        <v>1</v>
      </c>
      <c r="AB999" s="1">
        <f t="shared" si="1386"/>
        <v>1</v>
      </c>
      <c r="AC999" s="1">
        <f t="shared" si="1413"/>
        <v>1</v>
      </c>
      <c r="AD999" s="1">
        <f>ROUNDDOWN(I999*(1+IF(F999=3,0.05+方案参数!$Y$30+AA999*0.12,IF(F999=4,方案参数!$BZ$30*方案参数!$AS$30,0)))+IF(AND(X999=1,F999&lt;&gt;3),方案参数!$CC$30,0)+AC999*方案参数!$CB$30,0)</f>
        <v>3798</v>
      </c>
      <c r="AE999" s="1">
        <f>IF(OR(F999=1,F999=4),配置与结果!$B$24,配置与结果!$B$25)*MAX(0,1-INDEX(配置与结果!$I$15:$I$18,F999))</f>
        <v>1000</v>
      </c>
      <c r="AF999" s="1">
        <f>方案参数!$CF$30+P999*方案参数!$CG$30</f>
        <v>22.5</v>
      </c>
      <c r="AG999" s="1">
        <f>MAX(配置与结果!$B$32,1+INDEX(配置与结果!$F$15:$F$18,F999)+0+Q999*方案参数!$W$30+Y999*(方案参数!$AN$30+MIN(方案参数!$AO$30,P999*0.03))+AB999*方案参数!$BZ$30*0.025-配置与结果!$B$28)</f>
        <v>1.9100000000000001</v>
      </c>
      <c r="AH999" s="1">
        <f>MAX(0,1+INDEX(配置与结果!$G$15:$G$18,F999)+W999*方案参数!$AG$30)</f>
        <v>1.3</v>
      </c>
      <c r="AI999" s="1">
        <f>IF(OR(INDEX(配置与结果!$K$15:$K$18,F999)=1,G999="RHI_BERRY"),1+配置与结果!$B$33+P999*方案参数!$AH$30,1)</f>
        <v>1.5</v>
      </c>
      <c r="AJ999" s="1">
        <f>MIN(1,MAX(0,J999+方案参数!$AB$30-配置与结果!$B$27))</f>
        <v>0.55499999999999994</v>
      </c>
      <c r="AK999" s="1">
        <f>MAX(1,K999+IF(F999=2,0.15+方案参数!$CH$30,0)+BN999*方案参数!$X$30+R999*方案参数!$AA$30+0-配置与结果!$B$26+Z999*(方案参数!$AP$30+MIN(方案参数!$AQ$30,P999*0.03)))</f>
        <v>1.6900000000000002</v>
      </c>
      <c r="AL999" s="7">
        <f>ROUNDDOWN(MAX(AD999*配置与结果!$B$31,AD999-AE999)*AF999*AG999*AH999*AI999,0)</f>
        <v>234475</v>
      </c>
      <c r="AM999" s="7">
        <f>ROUNDDOWN(MAX(AD999*配置与结果!$B$31,AD999-AE999)*AF999*AG999*AH999*AI999*AK999,0)</f>
        <v>396264</v>
      </c>
      <c r="AN999" s="7">
        <f t="shared" si="1366"/>
        <v>324267.89500000002</v>
      </c>
      <c r="AO999" s="7">
        <f>0</f>
        <v>0</v>
      </c>
      <c r="AP999" s="7">
        <f>MAX(0,1+INDEX(配置与结果!$J$15:$J$18,F999)+IF(T999&gt;0,方案参数!$BY$30,0)-配置与结果!$B$30)</f>
        <v>2</v>
      </c>
      <c r="AQ999" s="7">
        <f t="shared" si="1367"/>
        <v>0</v>
      </c>
      <c r="AR999" s="7">
        <f t="shared" si="1368"/>
        <v>0</v>
      </c>
      <c r="AS999" s="7">
        <f t="shared" si="1369"/>
        <v>0</v>
      </c>
      <c r="AT999" s="7">
        <f>0</f>
        <v>0</v>
      </c>
      <c r="AU999" s="7">
        <f t="shared" si="1370"/>
        <v>324267.89500000002</v>
      </c>
      <c r="AV999" s="1">
        <f t="shared" si="1371"/>
        <v>2</v>
      </c>
      <c r="AW999" s="1">
        <f t="shared" ref="AW999:AW1015" si="1418">MIN(10,M999+0+0)</f>
        <v>10</v>
      </c>
      <c r="AX999" s="1">
        <f t="shared" si="1372"/>
        <v>2</v>
      </c>
      <c r="AY999" s="1">
        <f>MIN(20,MAX(0,O999+0+0-0))</f>
        <v>0</v>
      </c>
      <c r="AZ999" s="1">
        <f t="shared" si="1373"/>
        <v>5</v>
      </c>
      <c r="BA999" s="1">
        <f t="shared" si="1409"/>
        <v>5</v>
      </c>
      <c r="BB999" s="1">
        <f t="shared" si="1417"/>
        <v>20</v>
      </c>
      <c r="BC999" s="1">
        <f t="shared" si="1415"/>
        <v>3</v>
      </c>
      <c r="BD999" s="1">
        <f t="shared" si="1396"/>
        <v>1</v>
      </c>
      <c r="BE999" s="1">
        <f t="shared" si="1389"/>
        <v>0</v>
      </c>
      <c r="BF999" s="1">
        <f>MIN(4,V999+0)</f>
        <v>3</v>
      </c>
      <c r="BG999" s="1">
        <f t="shared" si="1406"/>
        <v>1</v>
      </c>
      <c r="BH999" s="1">
        <f t="shared" si="1390"/>
        <v>1</v>
      </c>
      <c r="BI999" s="1">
        <f t="shared" si="1407"/>
        <v>1</v>
      </c>
      <c r="BJ999" s="1">
        <f t="shared" si="1410"/>
        <v>1</v>
      </c>
      <c r="BK999" s="1">
        <f t="shared" si="1411"/>
        <v>1</v>
      </c>
      <c r="BL999" s="1">
        <f t="shared" si="1416"/>
        <v>1</v>
      </c>
      <c r="BM999" s="1">
        <f t="shared" si="1414"/>
        <v>1</v>
      </c>
      <c r="BN999" s="1">
        <f t="shared" si="1391"/>
        <v>1</v>
      </c>
      <c r="BO999" s="1">
        <f t="shared" si="1392"/>
        <v>1</v>
      </c>
    </row>
    <row r="1000" spans="1:67" ht="30.95" customHeight="1">
      <c r="A1000" s="1">
        <f>27</f>
        <v>27</v>
      </c>
      <c r="B1000" s="1">
        <f>固定流程!A28</f>
        <v>23</v>
      </c>
      <c r="C1000" s="1">
        <f>30</f>
        <v>30</v>
      </c>
      <c r="D1000" s="1">
        <f>1</f>
        <v>1</v>
      </c>
      <c r="E1000" s="1">
        <f>固定流程!C28</f>
        <v>3</v>
      </c>
      <c r="F1000" s="1">
        <f>固定流程!G28</f>
        <v>2</v>
      </c>
      <c r="G1000" s="1" t="str">
        <f>固定流程!H28</f>
        <v>37_FOLLOW</v>
      </c>
      <c r="H1000" s="1">
        <f>固定流程!F28</f>
        <v>1</v>
      </c>
      <c r="I1000" s="1">
        <f>INDEX(配置与结果!$B$15:$B$18,F1000)</f>
        <v>2306</v>
      </c>
      <c r="J1000" s="1">
        <f>INDEX(配置与结果!$D$15:$D$18,F1000)</f>
        <v>0.46</v>
      </c>
      <c r="K1000" s="1">
        <f>INDEX(配置与结果!$E$15:$E$18,F1000)</f>
        <v>1.9279999999999999</v>
      </c>
      <c r="L1000" s="1">
        <f t="shared" si="1403"/>
        <v>2</v>
      </c>
      <c r="M1000" s="1">
        <f t="shared" si="1404"/>
        <v>10</v>
      </c>
      <c r="N1000" s="1">
        <f t="shared" si="1405"/>
        <v>2</v>
      </c>
      <c r="O1000" s="1">
        <f t="shared" si="1397"/>
        <v>0</v>
      </c>
      <c r="P1000" s="1">
        <f>MIN(方案参数!$AI$30,AZ999+0+0)</f>
        <v>5</v>
      </c>
      <c r="Q1000" s="1">
        <f t="shared" si="1375"/>
        <v>5</v>
      </c>
      <c r="R1000" s="1">
        <f t="shared" si="1376"/>
        <v>20</v>
      </c>
      <c r="S1000" s="1">
        <f t="shared" si="1377"/>
        <v>3</v>
      </c>
      <c r="T1000" s="1">
        <f t="shared" si="1412"/>
        <v>1</v>
      </c>
      <c r="U1000" s="1">
        <f t="shared" si="1379"/>
        <v>0</v>
      </c>
      <c r="V1000" s="1">
        <f t="shared" si="1380"/>
        <v>3</v>
      </c>
      <c r="W1000" s="1">
        <f t="shared" si="1381"/>
        <v>1</v>
      </c>
      <c r="X1000" s="1">
        <f t="shared" si="1382"/>
        <v>1</v>
      </c>
      <c r="Y1000" s="1">
        <f t="shared" si="1383"/>
        <v>1</v>
      </c>
      <c r="Z1000" s="1">
        <f t="shared" si="1384"/>
        <v>1</v>
      </c>
      <c r="AA1000" s="1">
        <f t="shared" si="1408"/>
        <v>1</v>
      </c>
      <c r="AB1000" s="1">
        <f t="shared" si="1386"/>
        <v>1</v>
      </c>
      <c r="AC1000" s="1">
        <f t="shared" si="1413"/>
        <v>1</v>
      </c>
      <c r="AD1000" s="1">
        <f>ROUNDDOWN(I1000*(1+IF(F1000=3,0.05+方案参数!$Y$30+AA1000*0.12,IF(F1000=4,方案参数!$BZ$30*方案参数!$AS$30,0)))+IF(AND(X1000=1,F1000&lt;&gt;3),方案参数!$CC$30,0)+AC1000*方案参数!$CB$30,0)</f>
        <v>3044</v>
      </c>
      <c r="AE1000" s="1">
        <f>IF(OR(F1000=1,F1000=4),配置与结果!$B$24,配置与结果!$B$25)*MAX(0,1-INDEX(配置与结果!$I$15:$I$18,F1000))</f>
        <v>1000</v>
      </c>
      <c r="AF1000" s="1">
        <f>方案参数!$BV$30</f>
        <v>3</v>
      </c>
      <c r="AG1000" s="1">
        <f>MAX(配置与结果!$B$32,1+INDEX(配置与结果!$F$15:$F$18,F1000)+0+Q1000*方案参数!$W$30+Y1000*(方案参数!$AN$30+MIN(方案参数!$AO$30,P1000*0.03))+AB1000*方案参数!$BZ$30*0.025-配置与结果!$B$28)</f>
        <v>1.8800000000000003</v>
      </c>
      <c r="AH1000" s="1">
        <f>MAX(0,1+INDEX(配置与结果!$G$15:$G$18,F1000)+W1000*方案参数!$AG$30)</f>
        <v>1.3</v>
      </c>
      <c r="AI1000" s="1">
        <f>IF(OR(INDEX(配置与结果!$K$15:$K$18,F1000)=1,G1000="RHI_BERRY"),1+配置与结果!$B$33+P1000*方案参数!$AH$30,1)</f>
        <v>1</v>
      </c>
      <c r="AJ1000" s="1">
        <f>MIN(1,MAX(0,J1000+方案参数!$AB$30-配置与结果!$B$27))</f>
        <v>0.76</v>
      </c>
      <c r="AK1000" s="1">
        <f>MAX(1,K1000+IF(F1000=2,0.15+方案参数!$CH$30,0)+BN1000*方案参数!$X$30+R1000*方案参数!$AA$30+0-配置与结果!$B$26+Z1000*(方案参数!$AP$30+MIN(方案参数!$AQ$30,P1000*0.03)))</f>
        <v>2.3380000000000001</v>
      </c>
      <c r="AL1000" s="7">
        <f>ROUNDDOWN(MAX(AD1000*配置与结果!$B$31,AD1000-AE1000)*AF1000*AG1000*AH1000*AI1000,0)</f>
        <v>14986</v>
      </c>
      <c r="AM1000" s="7">
        <f>ROUNDDOWN(MAX(AD1000*配置与结果!$B$31,AD1000-AE1000)*AF1000*AG1000*AH1000*AI1000*AK1000,0)</f>
        <v>35038</v>
      </c>
      <c r="AN1000" s="7">
        <f t="shared" si="1366"/>
        <v>30225.52</v>
      </c>
      <c r="AO1000" s="7">
        <f>方案参数!$BW$30</f>
        <v>1</v>
      </c>
      <c r="AP1000" s="7">
        <f>MAX(0,1+INDEX(配置与结果!$J$15:$J$18,F1000)+IF(T1000&gt;0,方案参数!$BY$30,0)-配置与结果!$B$30)</f>
        <v>2</v>
      </c>
      <c r="AQ1000" s="7">
        <f t="shared" si="1367"/>
        <v>6088</v>
      </c>
      <c r="AR1000" s="7">
        <f t="shared" si="1368"/>
        <v>14233</v>
      </c>
      <c r="AS1000" s="7">
        <f t="shared" si="1369"/>
        <v>12278.2</v>
      </c>
      <c r="AT1000" s="7">
        <f>0</f>
        <v>0</v>
      </c>
      <c r="AU1000" s="7">
        <f t="shared" si="1370"/>
        <v>42503.72</v>
      </c>
      <c r="AV1000" s="1">
        <f t="shared" si="1371"/>
        <v>2</v>
      </c>
      <c r="AW1000" s="1">
        <f t="shared" si="1418"/>
        <v>10</v>
      </c>
      <c r="AX1000" s="1">
        <f t="shared" si="1372"/>
        <v>2</v>
      </c>
      <c r="AY1000" s="1">
        <f>MIN(20,MAX(0,O1000+0+0-0))</f>
        <v>0</v>
      </c>
      <c r="AZ1000" s="1">
        <f t="shared" si="1373"/>
        <v>5</v>
      </c>
      <c r="BA1000" s="1">
        <f t="shared" si="1409"/>
        <v>5</v>
      </c>
      <c r="BB1000" s="1">
        <f t="shared" si="1417"/>
        <v>20</v>
      </c>
      <c r="BC1000" s="1">
        <f t="shared" si="1415"/>
        <v>3</v>
      </c>
      <c r="BD1000" s="1">
        <f t="shared" si="1396"/>
        <v>0</v>
      </c>
      <c r="BE1000" s="1">
        <f t="shared" si="1389"/>
        <v>0</v>
      </c>
      <c r="BF1000" s="1">
        <f>MIN(4,V1000+1)</f>
        <v>4</v>
      </c>
      <c r="BG1000" s="1">
        <f t="shared" si="1406"/>
        <v>1</v>
      </c>
      <c r="BH1000" s="1">
        <f t="shared" si="1390"/>
        <v>1</v>
      </c>
      <c r="BI1000" s="1">
        <f t="shared" si="1407"/>
        <v>1</v>
      </c>
      <c r="BJ1000" s="1">
        <f t="shared" si="1410"/>
        <v>1</v>
      </c>
      <c r="BK1000" s="1">
        <f t="shared" si="1411"/>
        <v>1</v>
      </c>
      <c r="BL1000" s="1">
        <f t="shared" si="1416"/>
        <v>1</v>
      </c>
      <c r="BM1000" s="1">
        <f t="shared" si="1414"/>
        <v>1</v>
      </c>
      <c r="BN1000" s="1">
        <f t="shared" si="1391"/>
        <v>1</v>
      </c>
      <c r="BO1000" s="1">
        <f t="shared" si="1392"/>
        <v>1</v>
      </c>
    </row>
    <row r="1001" spans="1:67" ht="30.95" customHeight="1">
      <c r="A1001" s="1">
        <f>27</f>
        <v>27</v>
      </c>
      <c r="B1001" s="1">
        <f>固定流程!A29</f>
        <v>24</v>
      </c>
      <c r="C1001" s="1">
        <f>30</f>
        <v>30</v>
      </c>
      <c r="D1001" s="1">
        <f>2</f>
        <v>2</v>
      </c>
      <c r="E1001" s="1">
        <f>固定流程!C29</f>
        <v>3</v>
      </c>
      <c r="F1001" s="1">
        <f>固定流程!G29</f>
        <v>1</v>
      </c>
      <c r="G1001" s="1" t="str">
        <f>固定流程!H29</f>
        <v>LILYA_WEAK</v>
      </c>
      <c r="H1001" s="1">
        <f>固定流程!F29</f>
        <v>1</v>
      </c>
      <c r="I1001" s="1">
        <f>INDEX(配置与结果!$B$15:$B$18,F1001)</f>
        <v>2296</v>
      </c>
      <c r="J1001" s="1">
        <f>INDEX(配置与结果!$D$15:$D$18,F1001)</f>
        <v>0.7</v>
      </c>
      <c r="K1001" s="1">
        <f>INDEX(配置与结果!$E$15:$E$18,F1001)</f>
        <v>2.0249999999999999</v>
      </c>
      <c r="L1001" s="1">
        <f t="shared" si="1403"/>
        <v>2</v>
      </c>
      <c r="M1001" s="1">
        <f t="shared" si="1404"/>
        <v>10</v>
      </c>
      <c r="N1001" s="1">
        <f t="shared" si="1405"/>
        <v>2</v>
      </c>
      <c r="O1001" s="1">
        <f t="shared" si="1397"/>
        <v>0</v>
      </c>
      <c r="P1001" s="1">
        <f>MIN(方案参数!$AI$30,AZ1000+0+0)</f>
        <v>5</v>
      </c>
      <c r="Q1001" s="1">
        <f t="shared" si="1375"/>
        <v>5</v>
      </c>
      <c r="R1001" s="1">
        <f t="shared" si="1376"/>
        <v>20</v>
      </c>
      <c r="S1001" s="1">
        <f t="shared" si="1377"/>
        <v>3</v>
      </c>
      <c r="T1001" s="1">
        <f t="shared" si="1412"/>
        <v>0</v>
      </c>
      <c r="U1001" s="1">
        <f t="shared" si="1379"/>
        <v>0</v>
      </c>
      <c r="V1001" s="1">
        <f t="shared" si="1380"/>
        <v>4</v>
      </c>
      <c r="W1001" s="1">
        <f t="shared" si="1381"/>
        <v>1</v>
      </c>
      <c r="X1001" s="1">
        <f t="shared" si="1382"/>
        <v>1</v>
      </c>
      <c r="Y1001" s="1">
        <f t="shared" si="1383"/>
        <v>1</v>
      </c>
      <c r="Z1001" s="1">
        <f t="shared" si="1384"/>
        <v>1</v>
      </c>
      <c r="AA1001" s="1">
        <f t="shared" si="1408"/>
        <v>1</v>
      </c>
      <c r="AB1001" s="1">
        <f t="shared" si="1386"/>
        <v>1</v>
      </c>
      <c r="AC1001" s="1">
        <f t="shared" si="1413"/>
        <v>1</v>
      </c>
      <c r="AD1001" s="1">
        <f>ROUNDDOWN(I1001*(1+IF(F1001=3,0.05+方案参数!$Y$30+AA1001*0.12,IF(F1001=4,方案参数!$BZ$30*方案参数!$AS$30,0)))+IF(AND(X1001=1,F1001&lt;&gt;3),方案参数!$CC$30,0)+AC1001*方案参数!$CB$30,0)</f>
        <v>3034</v>
      </c>
      <c r="AE1001" s="1">
        <f>IF(OR(F1001=1,F1001=4),配置与结果!$B$24,配置与结果!$B$25)*MAX(0,1-INDEX(配置与结果!$I$15:$I$18,F1001))</f>
        <v>1200</v>
      </c>
      <c r="AF1001" s="1">
        <f>方案参数!$BL$30</f>
        <v>9</v>
      </c>
      <c r="AG1001" s="1">
        <f>MAX(配置与结果!$B$32,1+INDEX(配置与结果!$F$15:$F$18,F1001)+0.08+方案参数!$CD$30+Q1001*方案参数!$W$30+Y1001*(方案参数!$AN$30+MIN(方案参数!$AO$30,P1001*0.03))+AB1001*方案参数!$BZ$30*0.025-配置与结果!$B$28+方案参数!$AE$30)</f>
        <v>2.5750000000000002</v>
      </c>
      <c r="AH1001" s="1">
        <f>MAX(0,1+V1001*方案参数!$U$30+0*方案参数!$V$30+方案参数!$AE$30-配置与结果!$B$29)</f>
        <v>1.56</v>
      </c>
      <c r="AI1001" s="1">
        <f>IF(OR(INDEX(配置与结果!$K$15:$K$18,F1001)=1,G1001="RHI_BERRY"),1+配置与结果!$B$33+P1001*方案参数!$AH$30,1)</f>
        <v>1</v>
      </c>
      <c r="AJ1001" s="1">
        <f>MIN(1,MAX(0,J1001+方案参数!$AB$30-配置与结果!$B$27))</f>
        <v>1</v>
      </c>
      <c r="AK1001" s="1">
        <f>MAX(1,K1001+IF(F1001=2,0.15+方案参数!$CH$30,0)+BN1001*方案参数!$X$30+R1001*方案参数!$AA$30+方案参数!$BP$30-配置与结果!$B$26+Z1001*(方案参数!$AP$30+MIN(方案参数!$AQ$30,P1001*0.03)))</f>
        <v>2.7650000000000001</v>
      </c>
      <c r="AL1001" s="7">
        <f>ROUNDDOWN(MAX(AD1001*配置与结果!$B$31,AD1001-AE1001)*AF1001*AG1001*AH1001*AI1001,0)</f>
        <v>66304</v>
      </c>
      <c r="AM1001" s="7">
        <f>ROUNDDOWN(MAX(AD1001*配置与结果!$B$31,AD1001-AE1001)*AF1001*AG1001*AH1001*AI1001*AK1001,0)</f>
        <v>183332</v>
      </c>
      <c r="AN1001" s="7">
        <f t="shared" si="1366"/>
        <v>183332</v>
      </c>
      <c r="AO1001" s="7">
        <f>0</f>
        <v>0</v>
      </c>
      <c r="AP1001" s="7">
        <f>MAX(0,1+INDEX(配置与结果!$J$15:$J$18,F1001)+IF(T1001&gt;0,方案参数!$BY$30,0)-配置与结果!$B$30)</f>
        <v>1</v>
      </c>
      <c r="AQ1001" s="7">
        <f t="shared" si="1367"/>
        <v>0</v>
      </c>
      <c r="AR1001" s="7">
        <f t="shared" si="1368"/>
        <v>0</v>
      </c>
      <c r="AS1001" s="7">
        <f t="shared" si="1369"/>
        <v>0</v>
      </c>
      <c r="AT1001" s="7">
        <f>IF(U1001&gt;0,ROUNDDOWN(AL1001*方案参数!$AF$30,0)*(1-AJ1001)+ROUNDDOWN(AM1001*方案参数!$AF$30,0)*AJ1001,0)</f>
        <v>0</v>
      </c>
      <c r="AU1001" s="7">
        <f t="shared" si="1370"/>
        <v>183332</v>
      </c>
      <c r="AV1001" s="1">
        <f t="shared" si="1371"/>
        <v>2</v>
      </c>
      <c r="AW1001" s="1">
        <f t="shared" si="1418"/>
        <v>10</v>
      </c>
      <c r="AX1001" s="1">
        <f t="shared" si="1372"/>
        <v>2</v>
      </c>
      <c r="AY1001" s="1">
        <f>MIN(20,MAX(0,O1001+0+1-0))</f>
        <v>1</v>
      </c>
      <c r="AZ1001" s="1">
        <f t="shared" si="1373"/>
        <v>5</v>
      </c>
      <c r="BA1001" s="1">
        <f t="shared" si="1409"/>
        <v>5</v>
      </c>
      <c r="BB1001" s="1">
        <f t="shared" si="1417"/>
        <v>20</v>
      </c>
      <c r="BC1001" s="1">
        <f t="shared" si="1415"/>
        <v>3</v>
      </c>
      <c r="BD1001" s="1">
        <f t="shared" si="1396"/>
        <v>0</v>
      </c>
      <c r="BE1001" s="1">
        <f>MAX(0,U1001-IF(AF1001&gt;0,1,0))+0</f>
        <v>0</v>
      </c>
      <c r="BF1001" s="1">
        <f t="shared" ref="BF1001:BF1018" si="1419">MIN(4,V1001+0)</f>
        <v>4</v>
      </c>
      <c r="BG1001" s="1">
        <f t="shared" si="1406"/>
        <v>1</v>
      </c>
      <c r="BH1001" s="1">
        <f t="shared" si="1390"/>
        <v>1</v>
      </c>
      <c r="BI1001" s="1">
        <f t="shared" si="1407"/>
        <v>1</v>
      </c>
      <c r="BJ1001" s="1">
        <f t="shared" si="1410"/>
        <v>1</v>
      </c>
      <c r="BK1001" s="1">
        <f t="shared" si="1411"/>
        <v>1</v>
      </c>
      <c r="BL1001" s="1">
        <f t="shared" si="1416"/>
        <v>1</v>
      </c>
      <c r="BM1001" s="1">
        <f t="shared" si="1414"/>
        <v>1</v>
      </c>
      <c r="BN1001" s="1">
        <f t="shared" si="1391"/>
        <v>1</v>
      </c>
      <c r="BO1001" s="1">
        <f t="shared" si="1392"/>
        <v>1</v>
      </c>
    </row>
    <row r="1002" spans="1:67" ht="30.95" customHeight="1">
      <c r="A1002" s="1">
        <f>27</f>
        <v>27</v>
      </c>
      <c r="B1002" s="1">
        <f>固定流程!A30</f>
        <v>25</v>
      </c>
      <c r="C1002" s="1">
        <f>30</f>
        <v>30</v>
      </c>
      <c r="D1002" s="1">
        <f>2</f>
        <v>2</v>
      </c>
      <c r="E1002" s="1">
        <f>固定流程!C30</f>
        <v>3</v>
      </c>
      <c r="F1002" s="1">
        <f>固定流程!G30</f>
        <v>1</v>
      </c>
      <c r="G1002" s="1" t="str">
        <f>固定流程!H30</f>
        <v>LILYA_WEAK</v>
      </c>
      <c r="H1002" s="1">
        <f>固定流程!F30</f>
        <v>1</v>
      </c>
      <c r="I1002" s="1">
        <f>INDEX(配置与结果!$B$15:$B$18,F1002)</f>
        <v>2296</v>
      </c>
      <c r="J1002" s="1">
        <f>INDEX(配置与结果!$D$15:$D$18,F1002)</f>
        <v>0.7</v>
      </c>
      <c r="K1002" s="1">
        <f>INDEX(配置与结果!$E$15:$E$18,F1002)</f>
        <v>2.0249999999999999</v>
      </c>
      <c r="L1002" s="1">
        <f t="shared" si="1403"/>
        <v>2</v>
      </c>
      <c r="M1002" s="1">
        <f t="shared" si="1404"/>
        <v>10</v>
      </c>
      <c r="N1002" s="1">
        <f t="shared" si="1405"/>
        <v>2</v>
      </c>
      <c r="O1002" s="1">
        <f t="shared" si="1397"/>
        <v>1</v>
      </c>
      <c r="P1002" s="1">
        <f>MIN(方案参数!$AI$30,AZ1001+0+0)</f>
        <v>5</v>
      </c>
      <c r="Q1002" s="1">
        <f t="shared" si="1375"/>
        <v>5</v>
      </c>
      <c r="R1002" s="1">
        <f t="shared" si="1376"/>
        <v>20</v>
      </c>
      <c r="S1002" s="1">
        <f t="shared" si="1377"/>
        <v>3</v>
      </c>
      <c r="T1002" s="1">
        <f t="shared" si="1412"/>
        <v>0</v>
      </c>
      <c r="U1002" s="1">
        <f t="shared" si="1379"/>
        <v>0</v>
      </c>
      <c r="V1002" s="1">
        <f t="shared" si="1380"/>
        <v>4</v>
      </c>
      <c r="W1002" s="1">
        <f t="shared" si="1381"/>
        <v>1</v>
      </c>
      <c r="X1002" s="1">
        <f t="shared" si="1382"/>
        <v>1</v>
      </c>
      <c r="Y1002" s="1">
        <f t="shared" si="1383"/>
        <v>1</v>
      </c>
      <c r="Z1002" s="1">
        <f t="shared" si="1384"/>
        <v>1</v>
      </c>
      <c r="AA1002" s="1">
        <f t="shared" si="1408"/>
        <v>1</v>
      </c>
      <c r="AB1002" s="1">
        <f t="shared" si="1386"/>
        <v>1</v>
      </c>
      <c r="AC1002" s="1">
        <f t="shared" si="1413"/>
        <v>1</v>
      </c>
      <c r="AD1002" s="1">
        <f>ROUNDDOWN(I1002*(1+IF(F1002=3,0.05+方案参数!$Y$30+AA1002*0.12,IF(F1002=4,方案参数!$BZ$30*方案参数!$AS$30,0)))+IF(AND(X1002=1,F1002&lt;&gt;3),方案参数!$CC$30,0)+AC1002*方案参数!$CB$30,0)</f>
        <v>3034</v>
      </c>
      <c r="AE1002" s="1">
        <f>IF(OR(F1002=1,F1002=4),配置与结果!$B$24,配置与结果!$B$25)*MAX(0,1-INDEX(配置与结果!$I$15:$I$18,F1002))</f>
        <v>1200</v>
      </c>
      <c r="AF1002" s="1">
        <f>方案参数!$BL$30</f>
        <v>9</v>
      </c>
      <c r="AG1002" s="1">
        <f>MAX(配置与结果!$B$32,1+INDEX(配置与结果!$F$15:$F$18,F1002)+0.08+方案参数!$CD$30+Q1002*方案参数!$W$30+Y1002*(方案参数!$AN$30+MIN(方案参数!$AO$30,P1002*0.03))+AB1002*方案参数!$BZ$30*0.025-配置与结果!$B$28+方案参数!$AE$30)</f>
        <v>2.5750000000000002</v>
      </c>
      <c r="AH1002" s="1">
        <f>MAX(0,1+V1002*方案参数!$U$30+1*方案参数!$V$30+方案参数!$AE$30-配置与结果!$B$29)</f>
        <v>1.5899999999999999</v>
      </c>
      <c r="AI1002" s="1">
        <f>IF(OR(INDEX(配置与结果!$K$15:$K$18,F1002)=1,G1002="RHI_BERRY"),1+配置与结果!$B$33+P1002*方案参数!$AH$30,1)</f>
        <v>1</v>
      </c>
      <c r="AJ1002" s="1">
        <f>MIN(1,MAX(0,J1002+方案参数!$AB$30-配置与结果!$B$27))</f>
        <v>1</v>
      </c>
      <c r="AK1002" s="1">
        <f>MAX(1,K1002+IF(F1002=2,0.15+方案参数!$CH$30,0)+BN1002*方案参数!$X$30+R1002*方案参数!$AA$30+方案参数!$BP$30-配置与结果!$B$26+Z1002*(方案参数!$AP$30+MIN(方案参数!$AQ$30,P1002*0.03)))</f>
        <v>2.7650000000000001</v>
      </c>
      <c r="AL1002" s="7">
        <f>ROUNDDOWN(MAX(AD1002*配置与结果!$B$31,AD1002-AE1002)*AF1002*AG1002*AH1002*AI1002,0)</f>
        <v>67579</v>
      </c>
      <c r="AM1002" s="7">
        <f>ROUNDDOWN(MAX(AD1002*配置与结果!$B$31,AD1002-AE1002)*AF1002*AG1002*AH1002*AI1002*AK1002,0)</f>
        <v>186857</v>
      </c>
      <c r="AN1002" s="7">
        <f t="shared" si="1366"/>
        <v>186857</v>
      </c>
      <c r="AO1002" s="7">
        <f>0</f>
        <v>0</v>
      </c>
      <c r="AP1002" s="7">
        <f>MAX(0,1+INDEX(配置与结果!$J$15:$J$18,F1002)+IF(T1002&gt;0,方案参数!$BY$30,0)-配置与结果!$B$30)</f>
        <v>1</v>
      </c>
      <c r="AQ1002" s="7">
        <f t="shared" si="1367"/>
        <v>0</v>
      </c>
      <c r="AR1002" s="7">
        <f t="shared" si="1368"/>
        <v>0</v>
      </c>
      <c r="AS1002" s="7">
        <f t="shared" si="1369"/>
        <v>0</v>
      </c>
      <c r="AT1002" s="7">
        <f>IF(U1002&gt;0,ROUNDDOWN(AL1002*方案参数!$AF$30,0)*(1-AJ1002)+ROUNDDOWN(AM1002*方案参数!$AF$30,0)*AJ1002,0)</f>
        <v>0</v>
      </c>
      <c r="AU1002" s="7">
        <f t="shared" si="1370"/>
        <v>186857</v>
      </c>
      <c r="AV1002" s="1">
        <f t="shared" si="1371"/>
        <v>2</v>
      </c>
      <c r="AW1002" s="1">
        <f t="shared" si="1418"/>
        <v>10</v>
      </c>
      <c r="AX1002" s="1">
        <f t="shared" si="1372"/>
        <v>2</v>
      </c>
      <c r="AY1002" s="1">
        <f>MIN(20,MAX(0,O1002+0+1-0))</f>
        <v>2</v>
      </c>
      <c r="AZ1002" s="1">
        <f t="shared" si="1373"/>
        <v>5</v>
      </c>
      <c r="BA1002" s="1">
        <f t="shared" si="1409"/>
        <v>5</v>
      </c>
      <c r="BB1002" s="1">
        <f t="shared" si="1417"/>
        <v>20</v>
      </c>
      <c r="BC1002" s="1">
        <f t="shared" si="1415"/>
        <v>3</v>
      </c>
      <c r="BD1002" s="1">
        <f t="shared" si="1396"/>
        <v>0</v>
      </c>
      <c r="BE1002" s="1">
        <f>MAX(0,U1002-IF(AF1002&gt;0,1,0))+0</f>
        <v>0</v>
      </c>
      <c r="BF1002" s="1">
        <f t="shared" si="1419"/>
        <v>4</v>
      </c>
      <c r="BG1002" s="1">
        <f t="shared" si="1406"/>
        <v>1</v>
      </c>
      <c r="BH1002" s="1">
        <f t="shared" si="1390"/>
        <v>1</v>
      </c>
      <c r="BI1002" s="1">
        <f t="shared" si="1407"/>
        <v>1</v>
      </c>
      <c r="BJ1002" s="1">
        <f t="shared" si="1410"/>
        <v>1</v>
      </c>
      <c r="BK1002" s="1">
        <f t="shared" si="1411"/>
        <v>1</v>
      </c>
      <c r="BL1002" s="1">
        <f t="shared" si="1416"/>
        <v>1</v>
      </c>
      <c r="BM1002" s="1">
        <f t="shared" si="1414"/>
        <v>1</v>
      </c>
      <c r="BN1002" s="1">
        <f t="shared" si="1391"/>
        <v>1</v>
      </c>
      <c r="BO1002" s="1">
        <f t="shared" si="1392"/>
        <v>1</v>
      </c>
    </row>
    <row r="1003" spans="1:67" ht="30.95" customHeight="1">
      <c r="A1003" s="1">
        <f>27</f>
        <v>27</v>
      </c>
      <c r="B1003" s="1">
        <f>固定流程!A31</f>
        <v>26</v>
      </c>
      <c r="C1003" s="1">
        <f>30</f>
        <v>30</v>
      </c>
      <c r="D1003" s="1">
        <f>2</f>
        <v>2</v>
      </c>
      <c r="E1003" s="1">
        <f>固定流程!C31</f>
        <v>3</v>
      </c>
      <c r="F1003" s="1">
        <f>固定流程!G31</f>
        <v>2</v>
      </c>
      <c r="G1003" s="1" t="str">
        <f>固定流程!H31</f>
        <v>37_WEAK</v>
      </c>
      <c r="H1003" s="1">
        <f>固定流程!F31</f>
        <v>1</v>
      </c>
      <c r="I1003" s="1">
        <f>INDEX(配置与结果!$B$15:$B$18,F1003)</f>
        <v>2306</v>
      </c>
      <c r="J1003" s="1">
        <f>INDEX(配置与结果!$D$15:$D$18,F1003)</f>
        <v>0.46</v>
      </c>
      <c r="K1003" s="1">
        <f>INDEX(配置与结果!$E$15:$E$18,F1003)</f>
        <v>1.9279999999999999</v>
      </c>
      <c r="L1003" s="1">
        <f t="shared" si="1403"/>
        <v>2</v>
      </c>
      <c r="M1003" s="1">
        <f t="shared" si="1404"/>
        <v>10</v>
      </c>
      <c r="N1003" s="1">
        <f t="shared" si="1405"/>
        <v>2</v>
      </c>
      <c r="O1003" s="1">
        <f t="shared" si="1397"/>
        <v>2</v>
      </c>
      <c r="P1003" s="1">
        <f>MIN(方案参数!$AI$30,AZ1002+0+0)</f>
        <v>5</v>
      </c>
      <c r="Q1003" s="1">
        <f t="shared" si="1375"/>
        <v>5</v>
      </c>
      <c r="R1003" s="1">
        <f t="shared" si="1376"/>
        <v>20</v>
      </c>
      <c r="S1003" s="1">
        <f t="shared" si="1377"/>
        <v>3</v>
      </c>
      <c r="T1003" s="1">
        <f t="shared" si="1412"/>
        <v>0</v>
      </c>
      <c r="U1003" s="1">
        <f t="shared" si="1379"/>
        <v>0</v>
      </c>
      <c r="V1003" s="1">
        <f t="shared" si="1380"/>
        <v>4</v>
      </c>
      <c r="W1003" s="1">
        <f t="shared" si="1381"/>
        <v>1</v>
      </c>
      <c r="X1003" s="1">
        <f t="shared" si="1382"/>
        <v>1</v>
      </c>
      <c r="Y1003" s="1">
        <f t="shared" si="1383"/>
        <v>1</v>
      </c>
      <c r="Z1003" s="1">
        <f t="shared" si="1384"/>
        <v>1</v>
      </c>
      <c r="AA1003" s="1">
        <f t="shared" si="1408"/>
        <v>1</v>
      </c>
      <c r="AB1003" s="1">
        <f t="shared" si="1386"/>
        <v>1</v>
      </c>
      <c r="AC1003" s="1">
        <f t="shared" si="1413"/>
        <v>1</v>
      </c>
      <c r="AD1003" s="1">
        <f>ROUNDDOWN(I1003*(1+IF(F1003=3,0.05+方案参数!$Y$30+AA1003*0.12,IF(F1003=4,方案参数!$BZ$30*方案参数!$AS$30,0)))+IF(AND(X1003=1,F1003&lt;&gt;3),方案参数!$CC$30,0)+AC1003*方案参数!$CB$30,0)</f>
        <v>3044</v>
      </c>
      <c r="AE1003" s="1">
        <f>IF(OR(F1003=1,F1003=4),配置与结果!$B$24,配置与结果!$B$25)*MAX(0,1-INDEX(配置与结果!$I$15:$I$18,F1003))</f>
        <v>1000</v>
      </c>
      <c r="AF1003" s="1">
        <f>方案参数!$CE$30</f>
        <v>8</v>
      </c>
      <c r="AG1003" s="1">
        <f>MAX(配置与结果!$B$32,1+INDEX(配置与结果!$F$15:$F$18,F1003)+0+Q1003*方案参数!$W$30+Y1003*(方案参数!$AN$30+MIN(方案参数!$AO$30,P1003*0.03))+AB1003*方案参数!$BZ$30*0.025-配置与结果!$B$28+方案参数!$AE$30)</f>
        <v>2.2800000000000002</v>
      </c>
      <c r="AH1003" s="1">
        <f>MAX(0,1+V1003*方案参数!$U$30+方案参数!$AE$30-配置与结果!$B$29)</f>
        <v>1.56</v>
      </c>
      <c r="AI1003" s="1">
        <f>IF(OR(INDEX(配置与结果!$K$15:$K$18,F1003)=1,G1003="RHI_BERRY"),1+配置与结果!$B$33+P1003*方案参数!$AH$30,1)</f>
        <v>1</v>
      </c>
      <c r="AJ1003" s="1">
        <f>MIN(1,MAX(0,J1003+方案参数!$AB$30-配置与结果!$B$27))</f>
        <v>0.76</v>
      </c>
      <c r="AK1003" s="1">
        <f>MAX(1,K1003+IF(F1003=2,0.15+方案参数!$CH$30,0)+BN1003*方案参数!$X$30+R1003*方案参数!$AA$30+0-配置与结果!$B$26+Z1003*(方案参数!$AP$30+MIN(方案参数!$AQ$30,P1003*0.03)))</f>
        <v>2.3380000000000001</v>
      </c>
      <c r="AL1003" s="7">
        <f>ROUNDDOWN(MAX(AD1003*配置与结果!$B$31,AD1003-AE1003)*AF1003*AG1003*AH1003*AI1003,0)</f>
        <v>58160</v>
      </c>
      <c r="AM1003" s="7">
        <f>ROUNDDOWN(MAX(AD1003*配置与结果!$B$31,AD1003-AE1003)*AF1003*AG1003*AH1003*AI1003*AK1003,0)</f>
        <v>135979</v>
      </c>
      <c r="AN1003" s="7">
        <f t="shared" si="1366"/>
        <v>117302.44</v>
      </c>
      <c r="AO1003" s="7">
        <f>0</f>
        <v>0</v>
      </c>
      <c r="AP1003" s="7">
        <f>MAX(0,1+INDEX(配置与结果!$J$15:$J$18,F1003)+IF(T1003&gt;0,方案参数!$BY$30,0)-配置与结果!$B$30)</f>
        <v>1</v>
      </c>
      <c r="AQ1003" s="7">
        <f t="shared" si="1367"/>
        <v>0</v>
      </c>
      <c r="AR1003" s="7">
        <f t="shared" si="1368"/>
        <v>0</v>
      </c>
      <c r="AS1003" s="7">
        <f t="shared" si="1369"/>
        <v>0</v>
      </c>
      <c r="AT1003" s="7">
        <f>IF(U1003&gt;0,ROUNDDOWN(AL1003*方案参数!$AF$30,0)*(1-AJ1003)+ROUNDDOWN(AM1003*方案参数!$AF$30,0)*AJ1003,0)</f>
        <v>0</v>
      </c>
      <c r="AU1003" s="7">
        <f t="shared" si="1370"/>
        <v>117302.44</v>
      </c>
      <c r="AV1003" s="1">
        <f t="shared" si="1371"/>
        <v>2</v>
      </c>
      <c r="AW1003" s="1">
        <f t="shared" si="1418"/>
        <v>10</v>
      </c>
      <c r="AX1003" s="1">
        <f t="shared" si="1372"/>
        <v>2</v>
      </c>
      <c r="AY1003" s="1">
        <f>MIN(20,MAX(0,O1003+0+0-0))</f>
        <v>2</v>
      </c>
      <c r="AZ1003" s="1">
        <f t="shared" si="1373"/>
        <v>5</v>
      </c>
      <c r="BA1003" s="1">
        <f t="shared" si="1409"/>
        <v>5</v>
      </c>
      <c r="BB1003" s="1">
        <f t="shared" si="1417"/>
        <v>20</v>
      </c>
      <c r="BC1003" s="1">
        <f t="shared" si="1415"/>
        <v>3</v>
      </c>
      <c r="BD1003" s="1">
        <f t="shared" si="1396"/>
        <v>0</v>
      </c>
      <c r="BE1003" s="1">
        <f>MAX(0,U1003-IF(AF1003&gt;0,1,0))+1</f>
        <v>1</v>
      </c>
      <c r="BF1003" s="1">
        <f t="shared" si="1419"/>
        <v>4</v>
      </c>
      <c r="BG1003" s="1">
        <f t="shared" si="1406"/>
        <v>1</v>
      </c>
      <c r="BH1003" s="1">
        <f t="shared" si="1390"/>
        <v>1</v>
      </c>
      <c r="BI1003" s="1">
        <f t="shared" si="1407"/>
        <v>1</v>
      </c>
      <c r="BJ1003" s="1">
        <f t="shared" si="1410"/>
        <v>1</v>
      </c>
      <c r="BK1003" s="1">
        <f t="shared" si="1411"/>
        <v>1</v>
      </c>
      <c r="BL1003" s="1">
        <f t="shared" si="1416"/>
        <v>1</v>
      </c>
      <c r="BM1003" s="1">
        <f t="shared" si="1414"/>
        <v>1</v>
      </c>
      <c r="BN1003" s="1">
        <f t="shared" si="1391"/>
        <v>1</v>
      </c>
      <c r="BO1003" s="1">
        <f t="shared" si="1392"/>
        <v>1</v>
      </c>
    </row>
    <row r="1004" spans="1:67" ht="30.95" customHeight="1">
      <c r="A1004" s="1">
        <f>27</f>
        <v>27</v>
      </c>
      <c r="B1004" s="1">
        <f>固定流程!A32</f>
        <v>27</v>
      </c>
      <c r="C1004" s="1">
        <f>30</f>
        <v>30</v>
      </c>
      <c r="D1004" s="1">
        <f>2</f>
        <v>2</v>
      </c>
      <c r="E1004" s="1">
        <f>固定流程!C32</f>
        <v>3</v>
      </c>
      <c r="F1004" s="1">
        <f>固定流程!G32</f>
        <v>1</v>
      </c>
      <c r="G1004" s="1" t="str">
        <f>固定流程!H32</f>
        <v>LILYA_THIRD</v>
      </c>
      <c r="H1004" s="1">
        <f>固定流程!F32</f>
        <v>1</v>
      </c>
      <c r="I1004" s="1">
        <f>INDEX(配置与结果!$B$15:$B$18,F1004)</f>
        <v>2296</v>
      </c>
      <c r="J1004" s="1">
        <f>INDEX(配置与结果!$D$15:$D$18,F1004)</f>
        <v>0.7</v>
      </c>
      <c r="K1004" s="1">
        <f>INDEX(配置与结果!$E$15:$E$18,F1004)</f>
        <v>2.0249999999999999</v>
      </c>
      <c r="L1004" s="1">
        <f t="shared" si="1403"/>
        <v>2</v>
      </c>
      <c r="M1004" s="1">
        <f t="shared" si="1404"/>
        <v>10</v>
      </c>
      <c r="N1004" s="1">
        <f t="shared" si="1405"/>
        <v>2</v>
      </c>
      <c r="O1004" s="1">
        <f t="shared" si="1397"/>
        <v>2</v>
      </c>
      <c r="P1004" s="1">
        <f>MIN(方案参数!$AI$30,AZ1003+0+0)</f>
        <v>5</v>
      </c>
      <c r="Q1004" s="1">
        <f t="shared" si="1375"/>
        <v>5</v>
      </c>
      <c r="R1004" s="1">
        <f t="shared" si="1376"/>
        <v>20</v>
      </c>
      <c r="S1004" s="1">
        <f t="shared" si="1377"/>
        <v>3</v>
      </c>
      <c r="T1004" s="1">
        <f t="shared" si="1412"/>
        <v>0</v>
      </c>
      <c r="U1004" s="1">
        <f t="shared" si="1379"/>
        <v>1</v>
      </c>
      <c r="V1004" s="1">
        <f t="shared" si="1380"/>
        <v>4</v>
      </c>
      <c r="W1004" s="1">
        <f t="shared" si="1381"/>
        <v>1</v>
      </c>
      <c r="X1004" s="1">
        <f t="shared" si="1382"/>
        <v>1</v>
      </c>
      <c r="Y1004" s="1">
        <f t="shared" si="1383"/>
        <v>1</v>
      </c>
      <c r="Z1004" s="1">
        <f t="shared" si="1384"/>
        <v>1</v>
      </c>
      <c r="AA1004" s="1">
        <f t="shared" si="1408"/>
        <v>1</v>
      </c>
      <c r="AB1004" s="1">
        <f t="shared" si="1386"/>
        <v>1</v>
      </c>
      <c r="AC1004" s="1">
        <f t="shared" si="1413"/>
        <v>1</v>
      </c>
      <c r="AD1004" s="1">
        <f>ROUNDDOWN(I1004*(1+IF(F1004=3,0.05+方案参数!$Y$30+AA1004*0.12,IF(F1004=4,方案参数!$BZ$30*方案参数!$AS$30,0)))+IF(AND(X1004=1,F1004&lt;&gt;3),方案参数!$CC$30,0)+AC1004*方案参数!$CB$30,0)</f>
        <v>3034</v>
      </c>
      <c r="AE1004" s="1">
        <f>IF(OR(F1004=1,F1004=4),配置与结果!$B$24,配置与结果!$B$25)*MAX(0,1-INDEX(配置与结果!$I$15:$I$18,F1004))</f>
        <v>1200</v>
      </c>
      <c r="AF1004" s="1">
        <f>方案参数!$BM$30</f>
        <v>20</v>
      </c>
      <c r="AG1004" s="1">
        <f>MAX(配置与结果!$B$32,1+INDEX(配置与结果!$F$15:$F$18,F1004)+0.08+方案参数!$CD$30+Q1004*方案参数!$W$30+Y1004*(方案参数!$AN$30+MIN(方案参数!$AO$30,P1004*0.03))+AB1004*方案参数!$BZ$30*0.025-配置与结果!$B$28+方案参数!$AE$30)</f>
        <v>2.5750000000000002</v>
      </c>
      <c r="AH1004" s="1">
        <f>MAX(0,1+V1004*方案参数!$U$30+3*方案参数!$V$30+方案参数!$AE$30-配置与结果!$B$29)</f>
        <v>1.65</v>
      </c>
      <c r="AI1004" s="1">
        <f>IF(OR(INDEX(配置与结果!$K$15:$K$18,F1004)=1,G1004="RHI_BERRY"),1+配置与结果!$B$33+P1004*方案参数!$AH$30,1)</f>
        <v>1</v>
      </c>
      <c r="AJ1004" s="1">
        <f>MIN(1,MAX(0,J1004+方案参数!$AB$30-配置与结果!$B$27))</f>
        <v>1</v>
      </c>
      <c r="AK1004" s="1">
        <f>MAX(1,K1004+IF(F1004=2,0.15+方案参数!$CH$30,0)+BN1004*方案参数!$X$30+R1004*方案参数!$AA$30+方案参数!$BQ$30-配置与结果!$B$26+Z1004*(方案参数!$AP$30+MIN(方案参数!$AQ$30,P1004*0.03)))</f>
        <v>2.9650000000000003</v>
      </c>
      <c r="AL1004" s="7">
        <f>ROUNDDOWN(MAX(AD1004*配置与结果!$B$31,AD1004-AE1004)*AF1004*AG1004*AH1004*AI1004,0)</f>
        <v>155844</v>
      </c>
      <c r="AM1004" s="7">
        <f>ROUNDDOWN(MAX(AD1004*配置与结果!$B$31,AD1004-AE1004)*AF1004*AG1004*AH1004*AI1004*AK1004,0)</f>
        <v>462077</v>
      </c>
      <c r="AN1004" s="7">
        <f t="shared" si="1366"/>
        <v>462077</v>
      </c>
      <c r="AO1004" s="7">
        <f>0</f>
        <v>0</v>
      </c>
      <c r="AP1004" s="7">
        <f>MAX(0,1+INDEX(配置与结果!$J$15:$J$18,F1004)+IF(T1004&gt;0,方案参数!$BY$30,0)-配置与结果!$B$30)</f>
        <v>1</v>
      </c>
      <c r="AQ1004" s="7">
        <f t="shared" si="1367"/>
        <v>0</v>
      </c>
      <c r="AR1004" s="7">
        <f t="shared" si="1368"/>
        <v>0</v>
      </c>
      <c r="AS1004" s="7">
        <f t="shared" si="1369"/>
        <v>0</v>
      </c>
      <c r="AT1004" s="7">
        <f>IF(U1004&gt;0,ROUNDDOWN(AL1004*方案参数!$AF$30,0)*(1-AJ1004)+ROUNDDOWN(AM1004*方案参数!$AF$30,0)*AJ1004,0)</f>
        <v>184830</v>
      </c>
      <c r="AU1004" s="7">
        <f t="shared" si="1370"/>
        <v>646907</v>
      </c>
      <c r="AV1004" s="1">
        <f t="shared" si="1371"/>
        <v>2</v>
      </c>
      <c r="AW1004" s="1">
        <f t="shared" si="1418"/>
        <v>10</v>
      </c>
      <c r="AX1004" s="1">
        <f t="shared" si="1372"/>
        <v>2</v>
      </c>
      <c r="AY1004" s="1">
        <f>MIN(20,MAX(0,O1004+0+1-0))</f>
        <v>3</v>
      </c>
      <c r="AZ1004" s="1">
        <f t="shared" si="1373"/>
        <v>5</v>
      </c>
      <c r="BA1004" s="1">
        <f t="shared" si="1409"/>
        <v>5</v>
      </c>
      <c r="BB1004" s="1">
        <f t="shared" si="1417"/>
        <v>20</v>
      </c>
      <c r="BC1004" s="1">
        <f t="shared" si="1415"/>
        <v>3</v>
      </c>
      <c r="BD1004" s="1">
        <f t="shared" si="1396"/>
        <v>0</v>
      </c>
      <c r="BE1004" s="1">
        <f>MAX(0,U1004-IF(AF1004&gt;0,1,0))+0</f>
        <v>0</v>
      </c>
      <c r="BF1004" s="1">
        <f t="shared" si="1419"/>
        <v>4</v>
      </c>
      <c r="BG1004" s="1">
        <f t="shared" si="1406"/>
        <v>1</v>
      </c>
      <c r="BH1004" s="1">
        <f t="shared" si="1390"/>
        <v>1</v>
      </c>
      <c r="BI1004" s="1">
        <f t="shared" si="1407"/>
        <v>1</v>
      </c>
      <c r="BJ1004" s="1">
        <f t="shared" si="1410"/>
        <v>1</v>
      </c>
      <c r="BK1004" s="1">
        <f t="shared" si="1411"/>
        <v>1</v>
      </c>
      <c r="BL1004" s="1">
        <f t="shared" si="1416"/>
        <v>1</v>
      </c>
      <c r="BM1004" s="1">
        <f t="shared" si="1414"/>
        <v>1</v>
      </c>
      <c r="BN1004" s="1">
        <f t="shared" si="1391"/>
        <v>1</v>
      </c>
      <c r="BO1004" s="1">
        <f t="shared" si="1392"/>
        <v>1</v>
      </c>
    </row>
    <row r="1005" spans="1:67" ht="30.95" customHeight="1">
      <c r="A1005" s="1">
        <f>27</f>
        <v>27</v>
      </c>
      <c r="B1005" s="1">
        <f>固定流程!A33</f>
        <v>28</v>
      </c>
      <c r="C1005" s="1">
        <f>30</f>
        <v>30</v>
      </c>
      <c r="D1005" s="1">
        <f>2</f>
        <v>2</v>
      </c>
      <c r="E1005" s="1">
        <f>固定流程!C33</f>
        <v>3</v>
      </c>
      <c r="F1005" s="1">
        <f>固定流程!G33</f>
        <v>1</v>
      </c>
      <c r="G1005" s="1" t="str">
        <f>固定流程!H33</f>
        <v>LILYA_WEAK</v>
      </c>
      <c r="H1005" s="1">
        <f>固定流程!F33</f>
        <v>1</v>
      </c>
      <c r="I1005" s="1">
        <f>INDEX(配置与结果!$B$15:$B$18,F1005)</f>
        <v>2296</v>
      </c>
      <c r="J1005" s="1">
        <f>INDEX(配置与结果!$D$15:$D$18,F1005)</f>
        <v>0.7</v>
      </c>
      <c r="K1005" s="1">
        <f>INDEX(配置与结果!$E$15:$E$18,F1005)</f>
        <v>2.0249999999999999</v>
      </c>
      <c r="L1005" s="1">
        <f t="shared" si="1403"/>
        <v>2</v>
      </c>
      <c r="M1005" s="1">
        <f t="shared" si="1404"/>
        <v>10</v>
      </c>
      <c r="N1005" s="1">
        <f t="shared" si="1405"/>
        <v>2</v>
      </c>
      <c r="O1005" s="1">
        <f t="shared" si="1397"/>
        <v>3</v>
      </c>
      <c r="P1005" s="1">
        <f>MIN(方案参数!$AI$30,AZ1004+0+0)</f>
        <v>5</v>
      </c>
      <c r="Q1005" s="1">
        <f t="shared" si="1375"/>
        <v>5</v>
      </c>
      <c r="R1005" s="1">
        <f t="shared" si="1376"/>
        <v>20</v>
      </c>
      <c r="S1005" s="1">
        <f t="shared" si="1377"/>
        <v>3</v>
      </c>
      <c r="T1005" s="1">
        <f t="shared" si="1412"/>
        <v>0</v>
      </c>
      <c r="U1005" s="1">
        <f t="shared" si="1379"/>
        <v>0</v>
      </c>
      <c r="V1005" s="1">
        <f t="shared" si="1380"/>
        <v>4</v>
      </c>
      <c r="W1005" s="1">
        <f t="shared" si="1381"/>
        <v>1</v>
      </c>
      <c r="X1005" s="1">
        <f t="shared" si="1382"/>
        <v>1</v>
      </c>
      <c r="Y1005" s="1">
        <f t="shared" si="1383"/>
        <v>1</v>
      </c>
      <c r="Z1005" s="1">
        <f t="shared" si="1384"/>
        <v>1</v>
      </c>
      <c r="AA1005" s="1">
        <f t="shared" si="1408"/>
        <v>1</v>
      </c>
      <c r="AB1005" s="1">
        <f t="shared" si="1386"/>
        <v>1</v>
      </c>
      <c r="AC1005" s="1">
        <f t="shared" si="1413"/>
        <v>1</v>
      </c>
      <c r="AD1005" s="1">
        <f>ROUNDDOWN(I1005*(1+IF(F1005=3,0.05+方案参数!$Y$30+AA1005*0.12,IF(F1005=4,方案参数!$BZ$30*方案参数!$AS$30,0)))+IF(AND(X1005=1,F1005&lt;&gt;3),方案参数!$CC$30,0)+AC1005*方案参数!$CB$30,0)</f>
        <v>3034</v>
      </c>
      <c r="AE1005" s="1">
        <f>IF(OR(F1005=1,F1005=4),配置与结果!$B$24,配置与结果!$B$25)*MAX(0,1-INDEX(配置与结果!$I$15:$I$18,F1005))</f>
        <v>1200</v>
      </c>
      <c r="AF1005" s="1">
        <f>方案参数!$BL$30</f>
        <v>9</v>
      </c>
      <c r="AG1005" s="1">
        <f>MAX(配置与结果!$B$32,1+INDEX(配置与结果!$F$15:$F$18,F1005)+0.08+方案参数!$CD$30+Q1005*方案参数!$W$30+Y1005*(方案参数!$AN$30+MIN(方案参数!$AO$30,P1005*0.03))+AB1005*方案参数!$BZ$30*0.025-配置与结果!$B$28+方案参数!$AE$30)</f>
        <v>2.5750000000000002</v>
      </c>
      <c r="AH1005" s="1">
        <f>MAX(0,1+V1005*方案参数!$U$30+4*方案参数!$V$30+方案参数!$AE$30-配置与结果!$B$29)</f>
        <v>1.6799999999999997</v>
      </c>
      <c r="AI1005" s="1">
        <f>IF(OR(INDEX(配置与结果!$K$15:$K$18,F1005)=1,G1005="RHI_BERRY"),1+配置与结果!$B$33+P1005*方案参数!$AH$30,1)</f>
        <v>1</v>
      </c>
      <c r="AJ1005" s="1">
        <f>MIN(1,MAX(0,J1005+方案参数!$AB$30-配置与结果!$B$27))</f>
        <v>1</v>
      </c>
      <c r="AK1005" s="1">
        <f>MAX(1,K1005+IF(F1005=2,0.15+方案参数!$CH$30,0)+BN1005*方案参数!$X$30+R1005*方案参数!$AA$30+方案参数!$BP$30-配置与结果!$B$26+Z1005*(方案参数!$AP$30+MIN(方案参数!$AQ$30,P1005*0.03)))</f>
        <v>2.7650000000000001</v>
      </c>
      <c r="AL1005" s="7">
        <f>ROUNDDOWN(MAX(AD1005*配置与结果!$B$31,AD1005-AE1005)*AF1005*AG1005*AH1005*AI1005,0)</f>
        <v>71404</v>
      </c>
      <c r="AM1005" s="7">
        <f>ROUNDDOWN(MAX(AD1005*配置与结果!$B$31,AD1005-AE1005)*AF1005*AG1005*AH1005*AI1005*AK1005,0)</f>
        <v>197434</v>
      </c>
      <c r="AN1005" s="7">
        <f t="shared" si="1366"/>
        <v>197434</v>
      </c>
      <c r="AO1005" s="7">
        <f>0</f>
        <v>0</v>
      </c>
      <c r="AP1005" s="7">
        <f>MAX(0,1+INDEX(配置与结果!$J$15:$J$18,F1005)+IF(T1005&gt;0,方案参数!$BY$30,0)-配置与结果!$B$30)</f>
        <v>1</v>
      </c>
      <c r="AQ1005" s="7">
        <f t="shared" si="1367"/>
        <v>0</v>
      </c>
      <c r="AR1005" s="7">
        <f t="shared" si="1368"/>
        <v>0</v>
      </c>
      <c r="AS1005" s="7">
        <f t="shared" si="1369"/>
        <v>0</v>
      </c>
      <c r="AT1005" s="7">
        <f>IF(U1005&gt;0,ROUNDDOWN(AL1005*方案参数!$AF$30,0)*(1-AJ1005)+ROUNDDOWN(AM1005*方案参数!$AF$30,0)*AJ1005,0)</f>
        <v>0</v>
      </c>
      <c r="AU1005" s="7">
        <f t="shared" si="1370"/>
        <v>197434</v>
      </c>
      <c r="AV1005" s="1">
        <f t="shared" si="1371"/>
        <v>2</v>
      </c>
      <c r="AW1005" s="1">
        <f t="shared" si="1418"/>
        <v>10</v>
      </c>
      <c r="AX1005" s="1">
        <f t="shared" si="1372"/>
        <v>2</v>
      </c>
      <c r="AY1005" s="1">
        <f>MIN(20,MAX(0,O1005+0+1-0))</f>
        <v>4</v>
      </c>
      <c r="AZ1005" s="1">
        <f t="shared" si="1373"/>
        <v>5</v>
      </c>
      <c r="BA1005" s="1">
        <f t="shared" si="1409"/>
        <v>5</v>
      </c>
      <c r="BB1005" s="1">
        <f t="shared" si="1417"/>
        <v>20</v>
      </c>
      <c r="BC1005" s="1">
        <f t="shared" si="1415"/>
        <v>3</v>
      </c>
      <c r="BD1005" s="1">
        <f t="shared" si="1396"/>
        <v>0</v>
      </c>
      <c r="BE1005" s="1">
        <f>MAX(0,U1005-IF(AF1005&gt;0,1,0))+0</f>
        <v>0</v>
      </c>
      <c r="BF1005" s="1">
        <f t="shared" si="1419"/>
        <v>4</v>
      </c>
      <c r="BG1005" s="1">
        <f t="shared" si="1406"/>
        <v>1</v>
      </c>
      <c r="BH1005" s="1">
        <f t="shared" si="1390"/>
        <v>1</v>
      </c>
      <c r="BI1005" s="1">
        <f t="shared" si="1407"/>
        <v>1</v>
      </c>
      <c r="BJ1005" s="1">
        <f t="shared" si="1410"/>
        <v>1</v>
      </c>
      <c r="BK1005" s="1">
        <f t="shared" si="1411"/>
        <v>1</v>
      </c>
      <c r="BL1005" s="1">
        <f t="shared" si="1416"/>
        <v>1</v>
      </c>
      <c r="BM1005" s="1">
        <f t="shared" si="1414"/>
        <v>1</v>
      </c>
      <c r="BN1005" s="1">
        <f t="shared" si="1391"/>
        <v>1</v>
      </c>
      <c r="BO1005" s="1">
        <f t="shared" si="1392"/>
        <v>1</v>
      </c>
    </row>
    <row r="1006" spans="1:67" ht="30.95" customHeight="1">
      <c r="A1006" s="1">
        <f>27</f>
        <v>27</v>
      </c>
      <c r="B1006" s="1">
        <f>固定流程!A34</f>
        <v>29</v>
      </c>
      <c r="C1006" s="1">
        <f>30</f>
        <v>30</v>
      </c>
      <c r="D1006" s="1">
        <f>2</f>
        <v>2</v>
      </c>
      <c r="E1006" s="1">
        <f>固定流程!C34</f>
        <v>3</v>
      </c>
      <c r="F1006" s="1">
        <f>固定流程!G34</f>
        <v>1</v>
      </c>
      <c r="G1006" s="1" t="str">
        <f>固定流程!H34</f>
        <v>LILYA_WEAK</v>
      </c>
      <c r="H1006" s="1">
        <f>固定流程!F34</f>
        <v>1</v>
      </c>
      <c r="I1006" s="1">
        <f>INDEX(配置与结果!$B$15:$B$18,F1006)</f>
        <v>2296</v>
      </c>
      <c r="J1006" s="1">
        <f>INDEX(配置与结果!$D$15:$D$18,F1006)</f>
        <v>0.7</v>
      </c>
      <c r="K1006" s="1">
        <f>INDEX(配置与结果!$E$15:$E$18,F1006)</f>
        <v>2.0249999999999999</v>
      </c>
      <c r="L1006" s="1">
        <f t="shared" si="1403"/>
        <v>2</v>
      </c>
      <c r="M1006" s="1">
        <f t="shared" si="1404"/>
        <v>10</v>
      </c>
      <c r="N1006" s="1">
        <f t="shared" si="1405"/>
        <v>2</v>
      </c>
      <c r="O1006" s="1">
        <f t="shared" si="1397"/>
        <v>4</v>
      </c>
      <c r="P1006" s="1">
        <f>MIN(方案参数!$AI$30,AZ1005+0+0)</f>
        <v>5</v>
      </c>
      <c r="Q1006" s="1">
        <f t="shared" si="1375"/>
        <v>5</v>
      </c>
      <c r="R1006" s="1">
        <f t="shared" si="1376"/>
        <v>20</v>
      </c>
      <c r="S1006" s="1">
        <f t="shared" si="1377"/>
        <v>3</v>
      </c>
      <c r="T1006" s="1">
        <f t="shared" si="1412"/>
        <v>0</v>
      </c>
      <c r="U1006" s="1">
        <f t="shared" si="1379"/>
        <v>0</v>
      </c>
      <c r="V1006" s="1">
        <f t="shared" si="1380"/>
        <v>4</v>
      </c>
      <c r="W1006" s="1">
        <f t="shared" si="1381"/>
        <v>1</v>
      </c>
      <c r="X1006" s="1">
        <f t="shared" si="1382"/>
        <v>1</v>
      </c>
      <c r="Y1006" s="1">
        <f t="shared" si="1383"/>
        <v>1</v>
      </c>
      <c r="Z1006" s="1">
        <f t="shared" si="1384"/>
        <v>1</v>
      </c>
      <c r="AA1006" s="1">
        <f t="shared" si="1408"/>
        <v>1</v>
      </c>
      <c r="AB1006" s="1">
        <f t="shared" si="1386"/>
        <v>1</v>
      </c>
      <c r="AC1006" s="1">
        <f t="shared" si="1413"/>
        <v>1</v>
      </c>
      <c r="AD1006" s="1">
        <f>ROUNDDOWN(I1006*(1+IF(F1006=3,0.05+方案参数!$Y$30+AA1006*0.12,IF(F1006=4,方案参数!$BZ$30*方案参数!$AS$30,0)))+IF(AND(X1006=1,F1006&lt;&gt;3),方案参数!$CC$30,0)+AC1006*方案参数!$CB$30,0)</f>
        <v>3034</v>
      </c>
      <c r="AE1006" s="1">
        <f>IF(OR(F1006=1,F1006=4),配置与结果!$B$24,配置与结果!$B$25)*MAX(0,1-INDEX(配置与结果!$I$15:$I$18,F1006))</f>
        <v>1200</v>
      </c>
      <c r="AF1006" s="1">
        <f>方案参数!$BL$30</f>
        <v>9</v>
      </c>
      <c r="AG1006" s="1">
        <f>MAX(配置与结果!$B$32,1+INDEX(配置与结果!$F$15:$F$18,F1006)+0.08+方案参数!$CD$30+Q1006*方案参数!$W$30+Y1006*(方案参数!$AN$30+MIN(方案参数!$AO$30,P1006*0.03))+AB1006*方案参数!$BZ$30*0.025-配置与结果!$B$28+方案参数!$AE$30)</f>
        <v>2.5750000000000002</v>
      </c>
      <c r="AH1006" s="1">
        <f>MAX(0,1+V1006*方案参数!$U$30+5*方案参数!$V$30+方案参数!$AE$30-配置与结果!$B$29)</f>
        <v>1.71</v>
      </c>
      <c r="AI1006" s="1">
        <f>IF(OR(INDEX(配置与结果!$K$15:$K$18,F1006)=1,G1006="RHI_BERRY"),1+配置与结果!$B$33+P1006*方案参数!$AH$30,1)</f>
        <v>1</v>
      </c>
      <c r="AJ1006" s="1">
        <f>MIN(1,MAX(0,J1006+方案参数!$AB$30-配置与结果!$B$27))</f>
        <v>1</v>
      </c>
      <c r="AK1006" s="1">
        <f>MAX(1,K1006+IF(F1006=2,0.15+方案参数!$CH$30,0)+BN1006*方案参数!$X$30+R1006*方案参数!$AA$30+方案参数!$BP$30-配置与结果!$B$26+Z1006*(方案参数!$AP$30+MIN(方案参数!$AQ$30,P1006*0.03)))</f>
        <v>2.7650000000000001</v>
      </c>
      <c r="AL1006" s="7">
        <f>ROUNDDOWN(MAX(AD1006*配置与结果!$B$31,AD1006-AE1006)*AF1006*AG1006*AH1006*AI1006,0)</f>
        <v>72680</v>
      </c>
      <c r="AM1006" s="7">
        <f>ROUNDDOWN(MAX(AD1006*配置与结果!$B$31,AD1006-AE1006)*AF1006*AG1006*AH1006*AI1006*AK1006,0)</f>
        <v>200960</v>
      </c>
      <c r="AN1006" s="7">
        <f t="shared" si="1366"/>
        <v>200960</v>
      </c>
      <c r="AO1006" s="7">
        <f>0</f>
        <v>0</v>
      </c>
      <c r="AP1006" s="7">
        <f>MAX(0,1+INDEX(配置与结果!$J$15:$J$18,F1006)+IF(T1006&gt;0,方案参数!$BY$30,0)-配置与结果!$B$30)</f>
        <v>1</v>
      </c>
      <c r="AQ1006" s="7">
        <f t="shared" si="1367"/>
        <v>0</v>
      </c>
      <c r="AR1006" s="7">
        <f t="shared" si="1368"/>
        <v>0</v>
      </c>
      <c r="AS1006" s="7">
        <f t="shared" si="1369"/>
        <v>0</v>
      </c>
      <c r="AT1006" s="7">
        <f>IF(U1006&gt;0,ROUNDDOWN(AL1006*方案参数!$AF$30,0)*(1-AJ1006)+ROUNDDOWN(AM1006*方案参数!$AF$30,0)*AJ1006,0)</f>
        <v>0</v>
      </c>
      <c r="AU1006" s="7">
        <f t="shared" si="1370"/>
        <v>200960</v>
      </c>
      <c r="AV1006" s="1">
        <f t="shared" si="1371"/>
        <v>2</v>
      </c>
      <c r="AW1006" s="1">
        <f t="shared" si="1418"/>
        <v>10</v>
      </c>
      <c r="AX1006" s="1">
        <f t="shared" si="1372"/>
        <v>2</v>
      </c>
      <c r="AY1006" s="1">
        <f>MIN(20,MAX(0,O1006+0+1-0))</f>
        <v>5</v>
      </c>
      <c r="AZ1006" s="1">
        <f t="shared" si="1373"/>
        <v>5</v>
      </c>
      <c r="BA1006" s="1">
        <f t="shared" si="1409"/>
        <v>5</v>
      </c>
      <c r="BB1006" s="1">
        <f t="shared" si="1417"/>
        <v>20</v>
      </c>
      <c r="BC1006" s="1">
        <f t="shared" si="1415"/>
        <v>3</v>
      </c>
      <c r="BD1006" s="1">
        <f t="shared" si="1396"/>
        <v>0</v>
      </c>
      <c r="BE1006" s="1">
        <f>MAX(0,U1006-IF(AF1006&gt;0,1,0))+0</f>
        <v>0</v>
      </c>
      <c r="BF1006" s="1">
        <f t="shared" si="1419"/>
        <v>4</v>
      </c>
      <c r="BG1006" s="1">
        <f t="shared" si="1406"/>
        <v>1</v>
      </c>
      <c r="BH1006" s="1">
        <f t="shared" si="1390"/>
        <v>1</v>
      </c>
      <c r="BI1006" s="1">
        <f t="shared" si="1407"/>
        <v>1</v>
      </c>
      <c r="BJ1006" s="1">
        <f t="shared" si="1410"/>
        <v>1</v>
      </c>
      <c r="BK1006" s="1">
        <f t="shared" si="1411"/>
        <v>1</v>
      </c>
      <c r="BL1006" s="1">
        <f t="shared" si="1416"/>
        <v>1</v>
      </c>
      <c r="BM1006" s="1">
        <f t="shared" si="1414"/>
        <v>1</v>
      </c>
      <c r="BN1006" s="1">
        <f t="shared" si="1391"/>
        <v>1</v>
      </c>
      <c r="BO1006" s="1">
        <f t="shared" si="1392"/>
        <v>1</v>
      </c>
    </row>
    <row r="1007" spans="1:67" ht="30.95" customHeight="1">
      <c r="A1007" s="1">
        <f>27</f>
        <v>27</v>
      </c>
      <c r="B1007" s="1">
        <f>固定流程!A35</f>
        <v>30</v>
      </c>
      <c r="C1007" s="1">
        <f>30</f>
        <v>30</v>
      </c>
      <c r="D1007" s="1">
        <f>2</f>
        <v>2</v>
      </c>
      <c r="E1007" s="1">
        <f>固定流程!C35</f>
        <v>3</v>
      </c>
      <c r="F1007" s="1">
        <f>固定流程!G35</f>
        <v>2</v>
      </c>
      <c r="G1007" s="1" t="str">
        <f>固定流程!H35</f>
        <v>37_WEAK</v>
      </c>
      <c r="H1007" s="1">
        <f>固定流程!F35</f>
        <v>1</v>
      </c>
      <c r="I1007" s="1">
        <f>INDEX(配置与结果!$B$15:$B$18,F1007)</f>
        <v>2306</v>
      </c>
      <c r="J1007" s="1">
        <f>INDEX(配置与结果!$D$15:$D$18,F1007)</f>
        <v>0.46</v>
      </c>
      <c r="K1007" s="1">
        <f>INDEX(配置与结果!$E$15:$E$18,F1007)</f>
        <v>1.9279999999999999</v>
      </c>
      <c r="L1007" s="1">
        <f t="shared" si="1403"/>
        <v>2</v>
      </c>
      <c r="M1007" s="1">
        <f t="shared" si="1404"/>
        <v>10</v>
      </c>
      <c r="N1007" s="1">
        <f t="shared" si="1405"/>
        <v>2</v>
      </c>
      <c r="O1007" s="1">
        <f t="shared" si="1397"/>
        <v>5</v>
      </c>
      <c r="P1007" s="1">
        <f>MIN(方案参数!$AI$30,AZ1006+0+0)</f>
        <v>5</v>
      </c>
      <c r="Q1007" s="1">
        <f t="shared" si="1375"/>
        <v>5</v>
      </c>
      <c r="R1007" s="1">
        <f t="shared" si="1376"/>
        <v>20</v>
      </c>
      <c r="S1007" s="1">
        <f t="shared" si="1377"/>
        <v>3</v>
      </c>
      <c r="T1007" s="1">
        <f t="shared" si="1412"/>
        <v>0</v>
      </c>
      <c r="U1007" s="1">
        <f t="shared" si="1379"/>
        <v>0</v>
      </c>
      <c r="V1007" s="1">
        <f t="shared" si="1380"/>
        <v>4</v>
      </c>
      <c r="W1007" s="1">
        <f t="shared" si="1381"/>
        <v>1</v>
      </c>
      <c r="X1007" s="1">
        <f t="shared" si="1382"/>
        <v>1</v>
      </c>
      <c r="Y1007" s="1">
        <f t="shared" si="1383"/>
        <v>1</v>
      </c>
      <c r="Z1007" s="1">
        <f t="shared" si="1384"/>
        <v>1</v>
      </c>
      <c r="AA1007" s="1">
        <f t="shared" si="1408"/>
        <v>1</v>
      </c>
      <c r="AB1007" s="1">
        <f t="shared" si="1386"/>
        <v>1</v>
      </c>
      <c r="AC1007" s="1">
        <f t="shared" si="1413"/>
        <v>1</v>
      </c>
      <c r="AD1007" s="1">
        <f>ROUNDDOWN(I1007*(1+IF(F1007=3,0.05+方案参数!$Y$30+AA1007*0.12,IF(F1007=4,方案参数!$BZ$30*方案参数!$AS$30,0)))+IF(AND(X1007=1,F1007&lt;&gt;3),方案参数!$CC$30,0)+AC1007*方案参数!$CB$30,0)</f>
        <v>3044</v>
      </c>
      <c r="AE1007" s="1">
        <f>IF(OR(F1007=1,F1007=4),配置与结果!$B$24,配置与结果!$B$25)*MAX(0,1-INDEX(配置与结果!$I$15:$I$18,F1007))</f>
        <v>1000</v>
      </c>
      <c r="AF1007" s="1">
        <f>方案参数!$CE$30</f>
        <v>8</v>
      </c>
      <c r="AG1007" s="1">
        <f>MAX(配置与结果!$B$32,1+INDEX(配置与结果!$F$15:$F$18,F1007)+0+Q1007*方案参数!$W$30+Y1007*(方案参数!$AN$30+MIN(方案参数!$AO$30,P1007*0.03))+AB1007*方案参数!$BZ$30*0.025-配置与结果!$B$28+方案参数!$AE$30)</f>
        <v>2.2800000000000002</v>
      </c>
      <c r="AH1007" s="1">
        <f>MAX(0,1+V1007*方案参数!$U$30+方案参数!$AE$30-配置与结果!$B$29)</f>
        <v>1.56</v>
      </c>
      <c r="AI1007" s="1">
        <f>IF(OR(INDEX(配置与结果!$K$15:$K$18,F1007)=1,G1007="RHI_BERRY"),1+配置与结果!$B$33+P1007*方案参数!$AH$30,1)</f>
        <v>1</v>
      </c>
      <c r="AJ1007" s="1">
        <f>MIN(1,MAX(0,J1007+方案参数!$AB$30-配置与结果!$B$27))</f>
        <v>0.76</v>
      </c>
      <c r="AK1007" s="1">
        <f>MAX(1,K1007+IF(F1007=2,0.15+方案参数!$CH$30,0)+BN1007*方案参数!$X$30+R1007*方案参数!$AA$30+0-配置与结果!$B$26+Z1007*(方案参数!$AP$30+MIN(方案参数!$AQ$30,P1007*0.03)))</f>
        <v>2.3380000000000001</v>
      </c>
      <c r="AL1007" s="7">
        <f>ROUNDDOWN(MAX(AD1007*配置与结果!$B$31,AD1007-AE1007)*AF1007*AG1007*AH1007*AI1007,0)</f>
        <v>58160</v>
      </c>
      <c r="AM1007" s="7">
        <f>ROUNDDOWN(MAX(AD1007*配置与结果!$B$31,AD1007-AE1007)*AF1007*AG1007*AH1007*AI1007*AK1007,0)</f>
        <v>135979</v>
      </c>
      <c r="AN1007" s="7">
        <f t="shared" si="1366"/>
        <v>117302.44</v>
      </c>
      <c r="AO1007" s="7">
        <f>0</f>
        <v>0</v>
      </c>
      <c r="AP1007" s="7">
        <f>MAX(0,1+INDEX(配置与结果!$J$15:$J$18,F1007)+IF(T1007&gt;0,方案参数!$BY$30,0)-配置与结果!$B$30)</f>
        <v>1</v>
      </c>
      <c r="AQ1007" s="7">
        <f t="shared" si="1367"/>
        <v>0</v>
      </c>
      <c r="AR1007" s="7">
        <f t="shared" si="1368"/>
        <v>0</v>
      </c>
      <c r="AS1007" s="7">
        <f t="shared" si="1369"/>
        <v>0</v>
      </c>
      <c r="AT1007" s="7">
        <f>IF(U1007&gt;0,ROUNDDOWN(AL1007*方案参数!$AF$30,0)*(1-AJ1007)+ROUNDDOWN(AM1007*方案参数!$AF$30,0)*AJ1007,0)</f>
        <v>0</v>
      </c>
      <c r="AU1007" s="7">
        <f t="shared" si="1370"/>
        <v>117302.44</v>
      </c>
      <c r="AV1007" s="1">
        <f t="shared" si="1371"/>
        <v>2</v>
      </c>
      <c r="AW1007" s="1">
        <f t="shared" si="1418"/>
        <v>10</v>
      </c>
      <c r="AX1007" s="1">
        <f t="shared" si="1372"/>
        <v>2</v>
      </c>
      <c r="AY1007" s="1">
        <f>MIN(20,MAX(0,O1007+0+0-0))</f>
        <v>5</v>
      </c>
      <c r="AZ1007" s="1">
        <f t="shared" si="1373"/>
        <v>5</v>
      </c>
      <c r="BA1007" s="1">
        <f t="shared" si="1409"/>
        <v>5</v>
      </c>
      <c r="BB1007" s="1">
        <f t="shared" si="1417"/>
        <v>20</v>
      </c>
      <c r="BC1007" s="1">
        <f t="shared" si="1415"/>
        <v>3</v>
      </c>
      <c r="BD1007" s="1">
        <f t="shared" si="1396"/>
        <v>0</v>
      </c>
      <c r="BE1007" s="1">
        <f>MAX(0,U1007-IF(AF1007&gt;0,1,0))+1</f>
        <v>1</v>
      </c>
      <c r="BF1007" s="1">
        <f t="shared" si="1419"/>
        <v>4</v>
      </c>
      <c r="BG1007" s="1">
        <f t="shared" si="1406"/>
        <v>1</v>
      </c>
      <c r="BH1007" s="1">
        <f t="shared" si="1390"/>
        <v>1</v>
      </c>
      <c r="BI1007" s="1">
        <f t="shared" si="1407"/>
        <v>1</v>
      </c>
      <c r="BJ1007" s="1">
        <f t="shared" si="1410"/>
        <v>1</v>
      </c>
      <c r="BK1007" s="1">
        <f t="shared" si="1411"/>
        <v>1</v>
      </c>
      <c r="BL1007" s="1">
        <f t="shared" si="1416"/>
        <v>1</v>
      </c>
      <c r="BM1007" s="1">
        <f t="shared" si="1414"/>
        <v>1</v>
      </c>
      <c r="BN1007" s="1">
        <f t="shared" si="1391"/>
        <v>1</v>
      </c>
      <c r="BO1007" s="1">
        <f t="shared" si="1392"/>
        <v>1</v>
      </c>
    </row>
    <row r="1008" spans="1:67" ht="30.95" customHeight="1">
      <c r="A1008" s="1">
        <f>27</f>
        <v>27</v>
      </c>
      <c r="B1008" s="1">
        <f>固定流程!A36</f>
        <v>31</v>
      </c>
      <c r="C1008" s="1">
        <f>30</f>
        <v>30</v>
      </c>
      <c r="D1008" s="1">
        <f>2</f>
        <v>2</v>
      </c>
      <c r="E1008" s="1">
        <f>固定流程!C36</f>
        <v>3</v>
      </c>
      <c r="F1008" s="1">
        <f>固定流程!G36</f>
        <v>1</v>
      </c>
      <c r="G1008" s="1" t="str">
        <f>固定流程!H36</f>
        <v>LILYA_THIRD</v>
      </c>
      <c r="H1008" s="1">
        <f>固定流程!F36</f>
        <v>1</v>
      </c>
      <c r="I1008" s="1">
        <f>INDEX(配置与结果!$B$15:$B$18,F1008)</f>
        <v>2296</v>
      </c>
      <c r="J1008" s="1">
        <f>INDEX(配置与结果!$D$15:$D$18,F1008)</f>
        <v>0.7</v>
      </c>
      <c r="K1008" s="1">
        <f>INDEX(配置与结果!$E$15:$E$18,F1008)</f>
        <v>2.0249999999999999</v>
      </c>
      <c r="L1008" s="1">
        <f t="shared" si="1403"/>
        <v>2</v>
      </c>
      <c r="M1008" s="1">
        <f t="shared" si="1404"/>
        <v>10</v>
      </c>
      <c r="N1008" s="1">
        <f t="shared" si="1405"/>
        <v>2</v>
      </c>
      <c r="O1008" s="1">
        <f t="shared" si="1397"/>
        <v>5</v>
      </c>
      <c r="P1008" s="1">
        <f>MIN(方案参数!$AI$30,AZ1007+0+0)</f>
        <v>5</v>
      </c>
      <c r="Q1008" s="1">
        <f t="shared" si="1375"/>
        <v>5</v>
      </c>
      <c r="R1008" s="1">
        <f t="shared" si="1376"/>
        <v>20</v>
      </c>
      <c r="S1008" s="1">
        <f t="shared" si="1377"/>
        <v>3</v>
      </c>
      <c r="T1008" s="1">
        <f t="shared" si="1412"/>
        <v>0</v>
      </c>
      <c r="U1008" s="1">
        <f t="shared" si="1379"/>
        <v>1</v>
      </c>
      <c r="V1008" s="1">
        <f t="shared" si="1380"/>
        <v>4</v>
      </c>
      <c r="W1008" s="1">
        <f t="shared" si="1381"/>
        <v>1</v>
      </c>
      <c r="X1008" s="1">
        <f t="shared" si="1382"/>
        <v>1</v>
      </c>
      <c r="Y1008" s="1">
        <f t="shared" si="1383"/>
        <v>1</v>
      </c>
      <c r="Z1008" s="1">
        <f t="shared" si="1384"/>
        <v>1</v>
      </c>
      <c r="AA1008" s="1">
        <f t="shared" si="1408"/>
        <v>1</v>
      </c>
      <c r="AB1008" s="1">
        <f t="shared" si="1386"/>
        <v>1</v>
      </c>
      <c r="AC1008" s="1">
        <f t="shared" si="1413"/>
        <v>1</v>
      </c>
      <c r="AD1008" s="1">
        <f>ROUNDDOWN(I1008*(1+IF(F1008=3,0.05+方案参数!$Y$30+AA1008*0.12,IF(F1008=4,方案参数!$BZ$30*方案参数!$AS$30,0)))+IF(AND(X1008=1,F1008&lt;&gt;3),方案参数!$CC$30,0)+AC1008*方案参数!$CB$30,0)</f>
        <v>3034</v>
      </c>
      <c r="AE1008" s="1">
        <f>IF(OR(F1008=1,F1008=4),配置与结果!$B$24,配置与结果!$B$25)*MAX(0,1-INDEX(配置与结果!$I$15:$I$18,F1008))</f>
        <v>1200</v>
      </c>
      <c r="AF1008" s="1">
        <f>方案参数!$BM$30</f>
        <v>20</v>
      </c>
      <c r="AG1008" s="1">
        <f>MAX(配置与结果!$B$32,1+INDEX(配置与结果!$F$15:$F$18,F1008)+0.08+方案参数!$CD$30+Q1008*方案参数!$W$30+Y1008*(方案参数!$AN$30+MIN(方案参数!$AO$30,P1008*0.03))+AB1008*方案参数!$BZ$30*0.025-配置与结果!$B$28+方案参数!$AE$30)</f>
        <v>2.5750000000000002</v>
      </c>
      <c r="AH1008" s="1">
        <f>MAX(0,1+V1008*方案参数!$U$30+7*方案参数!$V$30+方案参数!$AE$30-配置与结果!$B$29)</f>
        <v>1.77</v>
      </c>
      <c r="AI1008" s="1">
        <f>IF(OR(INDEX(配置与结果!$K$15:$K$18,F1008)=1,G1008="RHI_BERRY"),1+配置与结果!$B$33+P1008*方案参数!$AH$30,1)</f>
        <v>1</v>
      </c>
      <c r="AJ1008" s="1">
        <f>MIN(1,MAX(0,J1008+方案参数!$AB$30-配置与结果!$B$27))</f>
        <v>1</v>
      </c>
      <c r="AK1008" s="1">
        <f>MAX(1,K1008+IF(F1008=2,0.15+方案参数!$CH$30,0)+BN1008*方案参数!$X$30+R1008*方案参数!$AA$30+方案参数!$BQ$30-配置与结果!$B$26+Z1008*(方案参数!$AP$30+MIN(方案参数!$AQ$30,P1008*0.03)))</f>
        <v>2.9650000000000003</v>
      </c>
      <c r="AL1008" s="7">
        <f>ROUNDDOWN(MAX(AD1008*配置与结果!$B$31,AD1008-AE1008)*AF1008*AG1008*AH1008*AI1008,0)</f>
        <v>167178</v>
      </c>
      <c r="AM1008" s="7">
        <f>ROUNDDOWN(MAX(AD1008*配置与结果!$B$31,AD1008-AE1008)*AF1008*AG1008*AH1008*AI1008*AK1008,0)</f>
        <v>495683</v>
      </c>
      <c r="AN1008" s="7">
        <f t="shared" si="1366"/>
        <v>495683</v>
      </c>
      <c r="AO1008" s="7">
        <f>0</f>
        <v>0</v>
      </c>
      <c r="AP1008" s="7">
        <f>MAX(0,1+INDEX(配置与结果!$J$15:$J$18,F1008)+IF(T1008&gt;0,方案参数!$BY$30,0)-配置与结果!$B$30)</f>
        <v>1</v>
      </c>
      <c r="AQ1008" s="7">
        <f t="shared" si="1367"/>
        <v>0</v>
      </c>
      <c r="AR1008" s="7">
        <f t="shared" si="1368"/>
        <v>0</v>
      </c>
      <c r="AS1008" s="7">
        <f t="shared" si="1369"/>
        <v>0</v>
      </c>
      <c r="AT1008" s="7">
        <f>IF(U1008&gt;0,ROUNDDOWN(AL1008*方案参数!$AF$30,0)*(1-AJ1008)+ROUNDDOWN(AM1008*方案参数!$AF$30,0)*AJ1008,0)</f>
        <v>198273</v>
      </c>
      <c r="AU1008" s="7">
        <f t="shared" si="1370"/>
        <v>693956</v>
      </c>
      <c r="AV1008" s="1">
        <f t="shared" si="1371"/>
        <v>2</v>
      </c>
      <c r="AW1008" s="1">
        <f t="shared" si="1418"/>
        <v>10</v>
      </c>
      <c r="AX1008" s="1">
        <f t="shared" si="1372"/>
        <v>2</v>
      </c>
      <c r="AY1008" s="1">
        <f>MIN(20,MAX(0,O1008+0+1-0))</f>
        <v>6</v>
      </c>
      <c r="AZ1008" s="1">
        <f t="shared" si="1373"/>
        <v>5</v>
      </c>
      <c r="BA1008" s="1">
        <f t="shared" si="1409"/>
        <v>5</v>
      </c>
      <c r="BB1008" s="1">
        <f t="shared" si="1417"/>
        <v>20</v>
      </c>
      <c r="BC1008" s="1">
        <f t="shared" si="1415"/>
        <v>3</v>
      </c>
      <c r="BD1008" s="1">
        <f t="shared" si="1396"/>
        <v>0</v>
      </c>
      <c r="BE1008" s="1">
        <f>MAX(0,U1008-IF(AF1008&gt;0,1,0))+0</f>
        <v>0</v>
      </c>
      <c r="BF1008" s="1">
        <f t="shared" si="1419"/>
        <v>4</v>
      </c>
      <c r="BG1008" s="1">
        <f t="shared" si="1406"/>
        <v>1</v>
      </c>
      <c r="BH1008" s="1">
        <f t="shared" si="1390"/>
        <v>1</v>
      </c>
      <c r="BI1008" s="1">
        <f t="shared" si="1407"/>
        <v>1</v>
      </c>
      <c r="BJ1008" s="1">
        <f t="shared" si="1410"/>
        <v>1</v>
      </c>
      <c r="BK1008" s="1">
        <f t="shared" si="1411"/>
        <v>1</v>
      </c>
      <c r="BL1008" s="1">
        <f t="shared" si="1416"/>
        <v>1</v>
      </c>
      <c r="BM1008" s="1">
        <f t="shared" si="1414"/>
        <v>1</v>
      </c>
      <c r="BN1008" s="1">
        <f t="shared" si="1391"/>
        <v>1</v>
      </c>
      <c r="BO1008" s="1">
        <f t="shared" si="1392"/>
        <v>1</v>
      </c>
    </row>
    <row r="1009" spans="1:67" ht="30.95" customHeight="1">
      <c r="A1009" s="1">
        <f>27</f>
        <v>27</v>
      </c>
      <c r="B1009" s="1">
        <f>固定流程!A37</f>
        <v>32</v>
      </c>
      <c r="C1009" s="1">
        <f>30</f>
        <v>30</v>
      </c>
      <c r="D1009" s="1">
        <f>2</f>
        <v>2</v>
      </c>
      <c r="E1009" s="1">
        <f>固定流程!C37</f>
        <v>3</v>
      </c>
      <c r="F1009" s="1">
        <f>固定流程!G37</f>
        <v>1</v>
      </c>
      <c r="G1009" s="1" t="str">
        <f>固定流程!H37</f>
        <v>LILYA_WEAK</v>
      </c>
      <c r="H1009" s="1">
        <f>固定流程!F37</f>
        <v>1</v>
      </c>
      <c r="I1009" s="1">
        <f>INDEX(配置与结果!$B$15:$B$18,F1009)</f>
        <v>2296</v>
      </c>
      <c r="J1009" s="1">
        <f>INDEX(配置与结果!$D$15:$D$18,F1009)</f>
        <v>0.7</v>
      </c>
      <c r="K1009" s="1">
        <f>INDEX(配置与结果!$E$15:$E$18,F1009)</f>
        <v>2.0249999999999999</v>
      </c>
      <c r="L1009" s="1">
        <f t="shared" si="1403"/>
        <v>2</v>
      </c>
      <c r="M1009" s="1">
        <f t="shared" si="1404"/>
        <v>10</v>
      </c>
      <c r="N1009" s="1">
        <f t="shared" si="1405"/>
        <v>2</v>
      </c>
      <c r="O1009" s="1">
        <f t="shared" si="1397"/>
        <v>6</v>
      </c>
      <c r="P1009" s="1">
        <f>MIN(方案参数!$AI$30,AZ1008+0+0)</f>
        <v>5</v>
      </c>
      <c r="Q1009" s="1">
        <f t="shared" si="1375"/>
        <v>5</v>
      </c>
      <c r="R1009" s="1">
        <f t="shared" si="1376"/>
        <v>20</v>
      </c>
      <c r="S1009" s="1">
        <f t="shared" si="1377"/>
        <v>3</v>
      </c>
      <c r="T1009" s="1">
        <f t="shared" si="1412"/>
        <v>0</v>
      </c>
      <c r="U1009" s="1">
        <f t="shared" si="1379"/>
        <v>0</v>
      </c>
      <c r="V1009" s="1">
        <f t="shared" si="1380"/>
        <v>4</v>
      </c>
      <c r="W1009" s="1">
        <f t="shared" si="1381"/>
        <v>1</v>
      </c>
      <c r="X1009" s="1">
        <f t="shared" si="1382"/>
        <v>1</v>
      </c>
      <c r="Y1009" s="1">
        <f t="shared" si="1383"/>
        <v>1</v>
      </c>
      <c r="Z1009" s="1">
        <f t="shared" si="1384"/>
        <v>1</v>
      </c>
      <c r="AA1009" s="1">
        <f t="shared" si="1408"/>
        <v>1</v>
      </c>
      <c r="AB1009" s="1">
        <f t="shared" si="1386"/>
        <v>1</v>
      </c>
      <c r="AC1009" s="1">
        <f t="shared" si="1413"/>
        <v>1</v>
      </c>
      <c r="AD1009" s="1">
        <f>ROUNDDOWN(I1009*(1+IF(F1009=3,0.05+方案参数!$Y$30+AA1009*0.12,IF(F1009=4,方案参数!$BZ$30*方案参数!$AS$30,0)))+IF(AND(X1009=1,F1009&lt;&gt;3),方案参数!$CC$30,0)+AC1009*方案参数!$CB$30,0)</f>
        <v>3034</v>
      </c>
      <c r="AE1009" s="1">
        <f>IF(OR(F1009=1,F1009=4),配置与结果!$B$24,配置与结果!$B$25)*MAX(0,1-INDEX(配置与结果!$I$15:$I$18,F1009))</f>
        <v>1200</v>
      </c>
      <c r="AF1009" s="1">
        <f>方案参数!$BL$30</f>
        <v>9</v>
      </c>
      <c r="AG1009" s="1">
        <f>MAX(配置与结果!$B$32,1+INDEX(配置与结果!$F$15:$F$18,F1009)+0.08+方案参数!$CD$30+Q1009*方案参数!$W$30+Y1009*(方案参数!$AN$30+MIN(方案参数!$AO$30,P1009*0.03))+AB1009*方案参数!$BZ$30*0.025-配置与结果!$B$28+方案参数!$AE$30)</f>
        <v>2.5750000000000002</v>
      </c>
      <c r="AH1009" s="1">
        <f>MAX(0,1+V1009*方案参数!$U$30+8*方案参数!$V$30+方案参数!$AE$30-配置与结果!$B$29)</f>
        <v>1.7999999999999998</v>
      </c>
      <c r="AI1009" s="1">
        <f>IF(OR(INDEX(配置与结果!$K$15:$K$18,F1009)=1,G1009="RHI_BERRY"),1+配置与结果!$B$33+P1009*方案参数!$AH$30,1)</f>
        <v>1</v>
      </c>
      <c r="AJ1009" s="1">
        <f>MIN(1,MAX(0,J1009+方案参数!$AB$30-配置与结果!$B$27))</f>
        <v>1</v>
      </c>
      <c r="AK1009" s="1">
        <f>MAX(1,K1009+IF(F1009=2,0.15+方案参数!$CH$30,0)+BN1009*方案参数!$X$30+R1009*方案参数!$AA$30+方案参数!$BP$30-配置与结果!$B$26+Z1009*(方案参数!$AP$30+MIN(方案参数!$AQ$30,P1009*0.03)))</f>
        <v>2.7650000000000001</v>
      </c>
      <c r="AL1009" s="7">
        <f>ROUNDDOWN(MAX(AD1009*配置与结果!$B$31,AD1009-AE1009)*AF1009*AG1009*AH1009*AI1009,0)</f>
        <v>76505</v>
      </c>
      <c r="AM1009" s="7">
        <f>ROUNDDOWN(MAX(AD1009*配置与结果!$B$31,AD1009-AE1009)*AF1009*AG1009*AH1009*AI1009*AK1009,0)</f>
        <v>211537</v>
      </c>
      <c r="AN1009" s="7">
        <f t="shared" si="1366"/>
        <v>211537</v>
      </c>
      <c r="AO1009" s="7">
        <f>0</f>
        <v>0</v>
      </c>
      <c r="AP1009" s="7">
        <f>MAX(0,1+INDEX(配置与结果!$J$15:$J$18,F1009)+IF(T1009&gt;0,方案参数!$BY$30,0)-配置与结果!$B$30)</f>
        <v>1</v>
      </c>
      <c r="AQ1009" s="7">
        <f t="shared" si="1367"/>
        <v>0</v>
      </c>
      <c r="AR1009" s="7">
        <f t="shared" si="1368"/>
        <v>0</v>
      </c>
      <c r="AS1009" s="7">
        <f t="shared" si="1369"/>
        <v>0</v>
      </c>
      <c r="AT1009" s="7">
        <f>IF(U1009&gt;0,ROUNDDOWN(AL1009*方案参数!$AF$30,0)*(1-AJ1009)+ROUNDDOWN(AM1009*方案参数!$AF$30,0)*AJ1009,0)</f>
        <v>0</v>
      </c>
      <c r="AU1009" s="7">
        <f t="shared" si="1370"/>
        <v>211537</v>
      </c>
      <c r="AV1009" s="1">
        <f t="shared" si="1371"/>
        <v>2</v>
      </c>
      <c r="AW1009" s="1">
        <f t="shared" si="1418"/>
        <v>10</v>
      </c>
      <c r="AX1009" s="1">
        <f t="shared" si="1372"/>
        <v>2</v>
      </c>
      <c r="AY1009" s="1">
        <f>MIN(20,MAX(0,O1009+0+1-0))</f>
        <v>7</v>
      </c>
      <c r="AZ1009" s="1">
        <f t="shared" si="1373"/>
        <v>5</v>
      </c>
      <c r="BA1009" s="1">
        <f t="shared" si="1409"/>
        <v>5</v>
      </c>
      <c r="BB1009" s="1">
        <f t="shared" si="1417"/>
        <v>20</v>
      </c>
      <c r="BC1009" s="1">
        <f t="shared" si="1415"/>
        <v>3</v>
      </c>
      <c r="BD1009" s="1">
        <f t="shared" si="1396"/>
        <v>0</v>
      </c>
      <c r="BE1009" s="1">
        <f>MAX(0,U1009-IF(AF1009&gt;0,1,0))+0</f>
        <v>0</v>
      </c>
      <c r="BF1009" s="1">
        <f t="shared" si="1419"/>
        <v>4</v>
      </c>
      <c r="BG1009" s="1">
        <f t="shared" si="1406"/>
        <v>1</v>
      </c>
      <c r="BH1009" s="1">
        <f t="shared" si="1390"/>
        <v>1</v>
      </c>
      <c r="BI1009" s="1">
        <f t="shared" si="1407"/>
        <v>1</v>
      </c>
      <c r="BJ1009" s="1">
        <f t="shared" si="1410"/>
        <v>1</v>
      </c>
      <c r="BK1009" s="1">
        <f t="shared" si="1411"/>
        <v>1</v>
      </c>
      <c r="BL1009" s="1">
        <f t="shared" si="1416"/>
        <v>1</v>
      </c>
      <c r="BM1009" s="1">
        <f t="shared" si="1414"/>
        <v>1</v>
      </c>
      <c r="BN1009" s="1">
        <f t="shared" si="1391"/>
        <v>1</v>
      </c>
      <c r="BO1009" s="1">
        <f t="shared" si="1392"/>
        <v>1</v>
      </c>
    </row>
    <row r="1010" spans="1:67" ht="30.95" customHeight="1">
      <c r="A1010" s="1">
        <f>27</f>
        <v>27</v>
      </c>
      <c r="B1010" s="1">
        <f>固定流程!A38</f>
        <v>33</v>
      </c>
      <c r="C1010" s="1">
        <f>30</f>
        <v>30</v>
      </c>
      <c r="D1010" s="1">
        <f>2</f>
        <v>2</v>
      </c>
      <c r="E1010" s="1">
        <f>固定流程!C38</f>
        <v>3</v>
      </c>
      <c r="F1010" s="1">
        <f>固定流程!G38</f>
        <v>1</v>
      </c>
      <c r="G1010" s="1" t="str">
        <f>固定流程!H38</f>
        <v>LILYA_WEAK</v>
      </c>
      <c r="H1010" s="1">
        <f>固定流程!F38</f>
        <v>1</v>
      </c>
      <c r="I1010" s="1">
        <f>INDEX(配置与结果!$B$15:$B$18,F1010)</f>
        <v>2296</v>
      </c>
      <c r="J1010" s="1">
        <f>INDEX(配置与结果!$D$15:$D$18,F1010)</f>
        <v>0.7</v>
      </c>
      <c r="K1010" s="1">
        <f>INDEX(配置与结果!$E$15:$E$18,F1010)</f>
        <v>2.0249999999999999</v>
      </c>
      <c r="L1010" s="1">
        <f t="shared" si="1403"/>
        <v>2</v>
      </c>
      <c r="M1010" s="1">
        <f t="shared" si="1404"/>
        <v>10</v>
      </c>
      <c r="N1010" s="1">
        <f t="shared" si="1405"/>
        <v>2</v>
      </c>
      <c r="O1010" s="1">
        <f t="shared" si="1397"/>
        <v>7</v>
      </c>
      <c r="P1010" s="1">
        <f>MIN(方案参数!$AI$30,AZ1009+0+0)</f>
        <v>5</v>
      </c>
      <c r="Q1010" s="1">
        <f t="shared" si="1375"/>
        <v>5</v>
      </c>
      <c r="R1010" s="1">
        <f t="shared" si="1376"/>
        <v>20</v>
      </c>
      <c r="S1010" s="1">
        <f t="shared" si="1377"/>
        <v>3</v>
      </c>
      <c r="T1010" s="1">
        <f t="shared" si="1412"/>
        <v>0</v>
      </c>
      <c r="U1010" s="1">
        <f t="shared" si="1379"/>
        <v>0</v>
      </c>
      <c r="V1010" s="1">
        <f t="shared" si="1380"/>
        <v>4</v>
      </c>
      <c r="W1010" s="1">
        <f t="shared" si="1381"/>
        <v>1</v>
      </c>
      <c r="X1010" s="1">
        <f t="shared" si="1382"/>
        <v>1</v>
      </c>
      <c r="Y1010" s="1">
        <f t="shared" si="1383"/>
        <v>1</v>
      </c>
      <c r="Z1010" s="1">
        <f t="shared" si="1384"/>
        <v>1</v>
      </c>
      <c r="AA1010" s="1">
        <f t="shared" si="1408"/>
        <v>1</v>
      </c>
      <c r="AB1010" s="1">
        <f t="shared" si="1386"/>
        <v>1</v>
      </c>
      <c r="AC1010" s="1">
        <f t="shared" si="1413"/>
        <v>1</v>
      </c>
      <c r="AD1010" s="1">
        <f>ROUNDDOWN(I1010*(1+IF(F1010=3,0.05+方案参数!$Y$30+AA1010*0.12,IF(F1010=4,方案参数!$BZ$30*方案参数!$AS$30,0)))+IF(AND(X1010=1,F1010&lt;&gt;3),方案参数!$CC$30,0)+AC1010*方案参数!$CB$30,0)</f>
        <v>3034</v>
      </c>
      <c r="AE1010" s="1">
        <f>IF(OR(F1010=1,F1010=4),配置与结果!$B$24,配置与结果!$B$25)*MAX(0,1-INDEX(配置与结果!$I$15:$I$18,F1010))</f>
        <v>1200</v>
      </c>
      <c r="AF1010" s="1">
        <f>方案参数!$BL$30</f>
        <v>9</v>
      </c>
      <c r="AG1010" s="1">
        <f>MAX(配置与结果!$B$32,1+INDEX(配置与结果!$F$15:$F$18,F1010)+0.08+方案参数!$CD$30+Q1010*方案参数!$W$30+Y1010*(方案参数!$AN$30+MIN(方案参数!$AO$30,P1010*0.03))+AB1010*方案参数!$BZ$30*0.025-配置与结果!$B$28+方案参数!$AE$30)</f>
        <v>2.5750000000000002</v>
      </c>
      <c r="AH1010" s="1">
        <f>MAX(0,1+V1010*方案参数!$U$30+9*方案参数!$V$30+方案参数!$AE$30-配置与结果!$B$29)</f>
        <v>1.83</v>
      </c>
      <c r="AI1010" s="1">
        <f>IF(OR(INDEX(配置与结果!$K$15:$K$18,F1010)=1,G1010="RHI_BERRY"),1+配置与结果!$B$33+P1010*方案参数!$AH$30,1)</f>
        <v>1</v>
      </c>
      <c r="AJ1010" s="1">
        <f>MIN(1,MAX(0,J1010+方案参数!$AB$30-配置与结果!$B$27))</f>
        <v>1</v>
      </c>
      <c r="AK1010" s="1">
        <f>MAX(1,K1010+IF(F1010=2,0.15+方案参数!$CH$30,0)+BN1010*方案参数!$X$30+R1010*方案参数!$AA$30+方案参数!$BP$30-配置与结果!$B$26+Z1010*(方案参数!$AP$30+MIN(方案参数!$AQ$30,P1010*0.03)))</f>
        <v>2.7650000000000001</v>
      </c>
      <c r="AL1010" s="7">
        <f>ROUNDDOWN(MAX(AD1010*配置与结果!$B$31,AD1010-AE1010)*AF1010*AG1010*AH1010*AI1010,0)</f>
        <v>77780</v>
      </c>
      <c r="AM1010" s="7">
        <f>ROUNDDOWN(MAX(AD1010*配置与结果!$B$31,AD1010-AE1010)*AF1010*AG1010*AH1010*AI1010*AK1010,0)</f>
        <v>215062</v>
      </c>
      <c r="AN1010" s="7">
        <f t="shared" si="1366"/>
        <v>215062</v>
      </c>
      <c r="AO1010" s="7">
        <f>0</f>
        <v>0</v>
      </c>
      <c r="AP1010" s="7">
        <f>MAX(0,1+INDEX(配置与结果!$J$15:$J$18,F1010)+IF(T1010&gt;0,方案参数!$BY$30,0)-配置与结果!$B$30)</f>
        <v>1</v>
      </c>
      <c r="AQ1010" s="7">
        <f t="shared" si="1367"/>
        <v>0</v>
      </c>
      <c r="AR1010" s="7">
        <f t="shared" si="1368"/>
        <v>0</v>
      </c>
      <c r="AS1010" s="7">
        <f t="shared" si="1369"/>
        <v>0</v>
      </c>
      <c r="AT1010" s="7">
        <f>IF(U1010&gt;0,ROUNDDOWN(AL1010*方案参数!$AF$30,0)*(1-AJ1010)+ROUNDDOWN(AM1010*方案参数!$AF$30,0)*AJ1010,0)</f>
        <v>0</v>
      </c>
      <c r="AU1010" s="7">
        <f t="shared" si="1370"/>
        <v>215062</v>
      </c>
      <c r="AV1010" s="1">
        <f t="shared" si="1371"/>
        <v>2</v>
      </c>
      <c r="AW1010" s="1">
        <f t="shared" si="1418"/>
        <v>10</v>
      </c>
      <c r="AX1010" s="1">
        <f t="shared" si="1372"/>
        <v>2</v>
      </c>
      <c r="AY1010" s="1">
        <f>MIN(20,MAX(0,O1010+0+1-0))</f>
        <v>8</v>
      </c>
      <c r="AZ1010" s="1">
        <f t="shared" si="1373"/>
        <v>5</v>
      </c>
      <c r="BA1010" s="1">
        <f t="shared" si="1409"/>
        <v>5</v>
      </c>
      <c r="BB1010" s="1">
        <f t="shared" si="1417"/>
        <v>20</v>
      </c>
      <c r="BC1010" s="1">
        <f t="shared" si="1415"/>
        <v>3</v>
      </c>
      <c r="BD1010" s="1">
        <f t="shared" si="1396"/>
        <v>0</v>
      </c>
      <c r="BE1010" s="1">
        <f>MAX(0,U1010-IF(AF1010&gt;0,1,0))+0</f>
        <v>0</v>
      </c>
      <c r="BF1010" s="1">
        <f t="shared" si="1419"/>
        <v>4</v>
      </c>
      <c r="BG1010" s="1">
        <f t="shared" si="1406"/>
        <v>1</v>
      </c>
      <c r="BH1010" s="1">
        <f t="shared" si="1390"/>
        <v>1</v>
      </c>
      <c r="BI1010" s="1">
        <f t="shared" si="1407"/>
        <v>1</v>
      </c>
      <c r="BJ1010" s="1">
        <f t="shared" si="1410"/>
        <v>1</v>
      </c>
      <c r="BK1010" s="1">
        <f t="shared" si="1411"/>
        <v>1</v>
      </c>
      <c r="BL1010" s="1">
        <f t="shared" si="1416"/>
        <v>1</v>
      </c>
      <c r="BM1010" s="1">
        <f t="shared" si="1414"/>
        <v>1</v>
      </c>
      <c r="BN1010" s="1">
        <f t="shared" si="1391"/>
        <v>1</v>
      </c>
      <c r="BO1010" s="1">
        <f t="shared" si="1392"/>
        <v>1</v>
      </c>
    </row>
    <row r="1011" spans="1:67" ht="30.95" customHeight="1">
      <c r="A1011" s="1">
        <f>27</f>
        <v>27</v>
      </c>
      <c r="B1011" s="1">
        <f>固定流程!A39</f>
        <v>34</v>
      </c>
      <c r="C1011" s="1">
        <f>30</f>
        <v>30</v>
      </c>
      <c r="D1011" s="1">
        <f>2</f>
        <v>2</v>
      </c>
      <c r="E1011" s="1">
        <f>固定流程!C39</f>
        <v>3</v>
      </c>
      <c r="F1011" s="1">
        <f>固定流程!G39</f>
        <v>2</v>
      </c>
      <c r="G1011" s="1" t="str">
        <f>固定流程!H39</f>
        <v>37_WEAK</v>
      </c>
      <c r="H1011" s="1">
        <f>固定流程!F39</f>
        <v>1</v>
      </c>
      <c r="I1011" s="1">
        <f>INDEX(配置与结果!$B$15:$B$18,F1011)</f>
        <v>2306</v>
      </c>
      <c r="J1011" s="1">
        <f>INDEX(配置与结果!$D$15:$D$18,F1011)</f>
        <v>0.46</v>
      </c>
      <c r="K1011" s="1">
        <f>INDEX(配置与结果!$E$15:$E$18,F1011)</f>
        <v>1.9279999999999999</v>
      </c>
      <c r="L1011" s="1">
        <f t="shared" si="1403"/>
        <v>2</v>
      </c>
      <c r="M1011" s="1">
        <f t="shared" si="1404"/>
        <v>10</v>
      </c>
      <c r="N1011" s="1">
        <f t="shared" si="1405"/>
        <v>2</v>
      </c>
      <c r="O1011" s="1">
        <f t="shared" si="1397"/>
        <v>8</v>
      </c>
      <c r="P1011" s="1">
        <f>MIN(方案参数!$AI$30,AZ1010+0+0)</f>
        <v>5</v>
      </c>
      <c r="Q1011" s="1">
        <f t="shared" si="1375"/>
        <v>5</v>
      </c>
      <c r="R1011" s="1">
        <f t="shared" si="1376"/>
        <v>20</v>
      </c>
      <c r="S1011" s="1">
        <f t="shared" si="1377"/>
        <v>3</v>
      </c>
      <c r="T1011" s="1">
        <f t="shared" si="1412"/>
        <v>0</v>
      </c>
      <c r="U1011" s="1">
        <f t="shared" si="1379"/>
        <v>0</v>
      </c>
      <c r="V1011" s="1">
        <f t="shared" si="1380"/>
        <v>4</v>
      </c>
      <c r="W1011" s="1">
        <f t="shared" si="1381"/>
        <v>1</v>
      </c>
      <c r="X1011" s="1">
        <f t="shared" si="1382"/>
        <v>1</v>
      </c>
      <c r="Y1011" s="1">
        <f t="shared" si="1383"/>
        <v>1</v>
      </c>
      <c r="Z1011" s="1">
        <f t="shared" si="1384"/>
        <v>1</v>
      </c>
      <c r="AA1011" s="1">
        <f t="shared" si="1408"/>
        <v>1</v>
      </c>
      <c r="AB1011" s="1">
        <f t="shared" si="1386"/>
        <v>1</v>
      </c>
      <c r="AC1011" s="1">
        <f t="shared" si="1413"/>
        <v>1</v>
      </c>
      <c r="AD1011" s="1">
        <f>ROUNDDOWN(I1011*(1+IF(F1011=3,0.05+方案参数!$Y$30+AA1011*0.12,IF(F1011=4,方案参数!$BZ$30*方案参数!$AS$30,0)))+IF(AND(X1011=1,F1011&lt;&gt;3),方案参数!$CC$30,0)+AC1011*方案参数!$CB$30,0)</f>
        <v>3044</v>
      </c>
      <c r="AE1011" s="1">
        <f>IF(OR(F1011=1,F1011=4),配置与结果!$B$24,配置与结果!$B$25)*MAX(0,1-INDEX(配置与结果!$I$15:$I$18,F1011))</f>
        <v>1000</v>
      </c>
      <c r="AF1011" s="1">
        <f>方案参数!$CE$30</f>
        <v>8</v>
      </c>
      <c r="AG1011" s="1">
        <f>MAX(配置与结果!$B$32,1+INDEX(配置与结果!$F$15:$F$18,F1011)+0+Q1011*方案参数!$W$30+Y1011*(方案参数!$AN$30+MIN(方案参数!$AO$30,P1011*0.03))+AB1011*方案参数!$BZ$30*0.025-配置与结果!$B$28+方案参数!$AE$30)</f>
        <v>2.2800000000000002</v>
      </c>
      <c r="AH1011" s="1">
        <f>MAX(0,1+V1011*方案参数!$U$30+方案参数!$AE$30-配置与结果!$B$29)</f>
        <v>1.56</v>
      </c>
      <c r="AI1011" s="1">
        <f>IF(OR(INDEX(配置与结果!$K$15:$K$18,F1011)=1,G1011="RHI_BERRY"),1+配置与结果!$B$33+P1011*方案参数!$AH$30,1)</f>
        <v>1</v>
      </c>
      <c r="AJ1011" s="1">
        <f>MIN(1,MAX(0,J1011+方案参数!$AB$30-配置与结果!$B$27))</f>
        <v>0.76</v>
      </c>
      <c r="AK1011" s="1">
        <f>MAX(1,K1011+IF(F1011=2,0.15+方案参数!$CH$30,0)+BN1011*方案参数!$X$30+R1011*方案参数!$AA$30+0-配置与结果!$B$26+Z1011*(方案参数!$AP$30+MIN(方案参数!$AQ$30,P1011*0.03)))</f>
        <v>2.3380000000000001</v>
      </c>
      <c r="AL1011" s="7">
        <f>ROUNDDOWN(MAX(AD1011*配置与结果!$B$31,AD1011-AE1011)*AF1011*AG1011*AH1011*AI1011,0)</f>
        <v>58160</v>
      </c>
      <c r="AM1011" s="7">
        <f>ROUNDDOWN(MAX(AD1011*配置与结果!$B$31,AD1011-AE1011)*AF1011*AG1011*AH1011*AI1011*AK1011,0)</f>
        <v>135979</v>
      </c>
      <c r="AN1011" s="7">
        <f t="shared" si="1366"/>
        <v>117302.44</v>
      </c>
      <c r="AO1011" s="7">
        <f>0</f>
        <v>0</v>
      </c>
      <c r="AP1011" s="7">
        <f>MAX(0,1+INDEX(配置与结果!$J$15:$J$18,F1011)+IF(T1011&gt;0,方案参数!$BY$30,0)-配置与结果!$B$30)</f>
        <v>1</v>
      </c>
      <c r="AQ1011" s="7">
        <f t="shared" si="1367"/>
        <v>0</v>
      </c>
      <c r="AR1011" s="7">
        <f t="shared" si="1368"/>
        <v>0</v>
      </c>
      <c r="AS1011" s="7">
        <f t="shared" si="1369"/>
        <v>0</v>
      </c>
      <c r="AT1011" s="7">
        <f>IF(U1011&gt;0,ROUNDDOWN(AL1011*方案参数!$AF$30,0)*(1-AJ1011)+ROUNDDOWN(AM1011*方案参数!$AF$30,0)*AJ1011,0)</f>
        <v>0</v>
      </c>
      <c r="AU1011" s="7">
        <f t="shared" si="1370"/>
        <v>117302.44</v>
      </c>
      <c r="AV1011" s="1">
        <f t="shared" si="1371"/>
        <v>2</v>
      </c>
      <c r="AW1011" s="1">
        <f t="shared" si="1418"/>
        <v>10</v>
      </c>
      <c r="AX1011" s="1">
        <f t="shared" si="1372"/>
        <v>2</v>
      </c>
      <c r="AY1011" s="1">
        <f>MIN(20,MAX(0,O1011+0+0-0))</f>
        <v>8</v>
      </c>
      <c r="AZ1011" s="1">
        <f t="shared" si="1373"/>
        <v>5</v>
      </c>
      <c r="BA1011" s="1">
        <f t="shared" si="1409"/>
        <v>5</v>
      </c>
      <c r="BB1011" s="1">
        <f t="shared" si="1417"/>
        <v>20</v>
      </c>
      <c r="BC1011" s="1">
        <f t="shared" si="1415"/>
        <v>3</v>
      </c>
      <c r="BD1011" s="1">
        <f t="shared" si="1396"/>
        <v>0</v>
      </c>
      <c r="BE1011" s="1">
        <f>MAX(0,U1011-IF(AF1011&gt;0,1,0))+1</f>
        <v>1</v>
      </c>
      <c r="BF1011" s="1">
        <f t="shared" si="1419"/>
        <v>4</v>
      </c>
      <c r="BG1011" s="1">
        <f t="shared" si="1406"/>
        <v>1</v>
      </c>
      <c r="BH1011" s="1">
        <f t="shared" si="1390"/>
        <v>1</v>
      </c>
      <c r="BI1011" s="1">
        <f t="shared" si="1407"/>
        <v>1</v>
      </c>
      <c r="BJ1011" s="1">
        <f t="shared" si="1410"/>
        <v>1</v>
      </c>
      <c r="BK1011" s="1">
        <f t="shared" si="1411"/>
        <v>1</v>
      </c>
      <c r="BL1011" s="1">
        <f t="shared" si="1416"/>
        <v>1</v>
      </c>
      <c r="BM1011" s="1">
        <f t="shared" si="1414"/>
        <v>1</v>
      </c>
      <c r="BN1011" s="1">
        <f t="shared" si="1391"/>
        <v>1</v>
      </c>
      <c r="BO1011" s="1">
        <f t="shared" si="1392"/>
        <v>1</v>
      </c>
    </row>
    <row r="1012" spans="1:67" ht="30.95" customHeight="1">
      <c r="A1012" s="1">
        <f>27</f>
        <v>27</v>
      </c>
      <c r="B1012" s="1">
        <f>固定流程!A40</f>
        <v>35</v>
      </c>
      <c r="C1012" s="1">
        <f>30</f>
        <v>30</v>
      </c>
      <c r="D1012" s="1">
        <f>2</f>
        <v>2</v>
      </c>
      <c r="E1012" s="1">
        <f>固定流程!C40</f>
        <v>3</v>
      </c>
      <c r="F1012" s="1">
        <f>固定流程!G40</f>
        <v>2</v>
      </c>
      <c r="G1012" s="1" t="str">
        <f>固定流程!H40</f>
        <v>37_WEAK</v>
      </c>
      <c r="H1012" s="1">
        <f>固定流程!F40</f>
        <v>1</v>
      </c>
      <c r="I1012" s="1">
        <f>INDEX(配置与结果!$B$15:$B$18,F1012)</f>
        <v>2306</v>
      </c>
      <c r="J1012" s="1">
        <f>INDEX(配置与结果!$D$15:$D$18,F1012)</f>
        <v>0.46</v>
      </c>
      <c r="K1012" s="1">
        <f>INDEX(配置与结果!$E$15:$E$18,F1012)</f>
        <v>1.9279999999999999</v>
      </c>
      <c r="L1012" s="1">
        <f t="shared" si="1403"/>
        <v>2</v>
      </c>
      <c r="M1012" s="1">
        <f t="shared" si="1404"/>
        <v>10</v>
      </c>
      <c r="N1012" s="1">
        <f t="shared" si="1405"/>
        <v>2</v>
      </c>
      <c r="O1012" s="1">
        <f t="shared" si="1397"/>
        <v>8</v>
      </c>
      <c r="P1012" s="1">
        <f>MIN(方案参数!$AI$30,AZ1011+0+0)</f>
        <v>5</v>
      </c>
      <c r="Q1012" s="1">
        <f t="shared" si="1375"/>
        <v>5</v>
      </c>
      <c r="R1012" s="1">
        <f t="shared" si="1376"/>
        <v>20</v>
      </c>
      <c r="S1012" s="1">
        <f t="shared" si="1377"/>
        <v>3</v>
      </c>
      <c r="T1012" s="1">
        <f t="shared" si="1412"/>
        <v>0</v>
      </c>
      <c r="U1012" s="1">
        <f t="shared" si="1379"/>
        <v>1</v>
      </c>
      <c r="V1012" s="1">
        <f t="shared" si="1380"/>
        <v>4</v>
      </c>
      <c r="W1012" s="1">
        <f t="shared" si="1381"/>
        <v>1</v>
      </c>
      <c r="X1012" s="1">
        <f t="shared" si="1382"/>
        <v>1</v>
      </c>
      <c r="Y1012" s="1">
        <f t="shared" si="1383"/>
        <v>1</v>
      </c>
      <c r="Z1012" s="1">
        <f t="shared" si="1384"/>
        <v>1</v>
      </c>
      <c r="AA1012" s="1">
        <f t="shared" si="1408"/>
        <v>1</v>
      </c>
      <c r="AB1012" s="1">
        <f t="shared" si="1386"/>
        <v>1</v>
      </c>
      <c r="AC1012" s="1">
        <f t="shared" si="1413"/>
        <v>1</v>
      </c>
      <c r="AD1012" s="1">
        <f>ROUNDDOWN(I1012*(1+IF(F1012=3,0.05+方案参数!$Y$30+AA1012*0.12,IF(F1012=4,方案参数!$BZ$30*方案参数!$AS$30,0)))+IF(AND(X1012=1,F1012&lt;&gt;3),方案参数!$CC$30,0)+AC1012*方案参数!$CB$30,0)</f>
        <v>3044</v>
      </c>
      <c r="AE1012" s="1">
        <f>IF(OR(F1012=1,F1012=4),配置与结果!$B$24,配置与结果!$B$25)*MAX(0,1-INDEX(配置与结果!$I$15:$I$18,F1012))</f>
        <v>1000</v>
      </c>
      <c r="AF1012" s="1">
        <f>方案参数!$CE$30</f>
        <v>8</v>
      </c>
      <c r="AG1012" s="1">
        <f>MAX(配置与结果!$B$32,1+INDEX(配置与结果!$F$15:$F$18,F1012)+0+Q1012*方案参数!$W$30+Y1012*(方案参数!$AN$30+MIN(方案参数!$AO$30,P1012*0.03))+AB1012*方案参数!$BZ$30*0.025-配置与结果!$B$28+方案参数!$AE$30)</f>
        <v>2.2800000000000002</v>
      </c>
      <c r="AH1012" s="1">
        <f>MAX(0,1+V1012*方案参数!$U$30+方案参数!$AE$30-配置与结果!$B$29)</f>
        <v>1.56</v>
      </c>
      <c r="AI1012" s="1">
        <f>IF(OR(INDEX(配置与结果!$K$15:$K$18,F1012)=1,G1012="RHI_BERRY"),1+配置与结果!$B$33+P1012*方案参数!$AH$30,1)</f>
        <v>1</v>
      </c>
      <c r="AJ1012" s="1">
        <f>MIN(1,MAX(0,J1012+方案参数!$AB$30-配置与结果!$B$27))</f>
        <v>0.76</v>
      </c>
      <c r="AK1012" s="1">
        <f>MAX(1,K1012+IF(F1012=2,0.15+方案参数!$CH$30,0)+BN1012*方案参数!$X$30+R1012*方案参数!$AA$30+0-配置与结果!$B$26+Z1012*(方案参数!$AP$30+MIN(方案参数!$AQ$30,P1012*0.03)))</f>
        <v>2.3380000000000001</v>
      </c>
      <c r="AL1012" s="7">
        <f>ROUNDDOWN(MAX(AD1012*配置与结果!$B$31,AD1012-AE1012)*AF1012*AG1012*AH1012*AI1012,0)</f>
        <v>58160</v>
      </c>
      <c r="AM1012" s="7">
        <f>ROUNDDOWN(MAX(AD1012*配置与结果!$B$31,AD1012-AE1012)*AF1012*AG1012*AH1012*AI1012*AK1012,0)</f>
        <v>135979</v>
      </c>
      <c r="AN1012" s="7">
        <f t="shared" si="1366"/>
        <v>117302.44</v>
      </c>
      <c r="AO1012" s="7">
        <f>0</f>
        <v>0</v>
      </c>
      <c r="AP1012" s="7">
        <f>MAX(0,1+INDEX(配置与结果!$J$15:$J$18,F1012)+IF(T1012&gt;0,方案参数!$BY$30,0)-配置与结果!$B$30)</f>
        <v>1</v>
      </c>
      <c r="AQ1012" s="7">
        <f t="shared" si="1367"/>
        <v>0</v>
      </c>
      <c r="AR1012" s="7">
        <f t="shared" si="1368"/>
        <v>0</v>
      </c>
      <c r="AS1012" s="7">
        <f t="shared" si="1369"/>
        <v>0</v>
      </c>
      <c r="AT1012" s="7">
        <f>IF(U1012&gt;0,ROUNDDOWN(AL1012*方案参数!$AF$30,0)*(1-AJ1012)+ROUNDDOWN(AM1012*方案参数!$AF$30,0)*AJ1012,0)</f>
        <v>46920.520000000004</v>
      </c>
      <c r="AU1012" s="7">
        <f t="shared" si="1370"/>
        <v>164222.96000000002</v>
      </c>
      <c r="AV1012" s="1">
        <f t="shared" si="1371"/>
        <v>2</v>
      </c>
      <c r="AW1012" s="1">
        <f t="shared" si="1418"/>
        <v>10</v>
      </c>
      <c r="AX1012" s="1">
        <f t="shared" si="1372"/>
        <v>2</v>
      </c>
      <c r="AY1012" s="1">
        <f>MIN(20,MAX(0,O1012+0+0-0))</f>
        <v>8</v>
      </c>
      <c r="AZ1012" s="1">
        <f t="shared" si="1373"/>
        <v>5</v>
      </c>
      <c r="BA1012" s="1">
        <f t="shared" si="1409"/>
        <v>5</v>
      </c>
      <c r="BB1012" s="1">
        <f t="shared" si="1417"/>
        <v>20</v>
      </c>
      <c r="BC1012" s="1">
        <f t="shared" si="1415"/>
        <v>3</v>
      </c>
      <c r="BD1012" s="1">
        <f t="shared" si="1396"/>
        <v>0</v>
      </c>
      <c r="BE1012" s="1">
        <f>MAX(0,U1012-IF(AF1012&gt;0,1,0))+1</f>
        <v>1</v>
      </c>
      <c r="BF1012" s="1">
        <f t="shared" si="1419"/>
        <v>4</v>
      </c>
      <c r="BG1012" s="1">
        <f t="shared" si="1406"/>
        <v>1</v>
      </c>
      <c r="BH1012" s="1">
        <f t="shared" si="1390"/>
        <v>1</v>
      </c>
      <c r="BI1012" s="1">
        <f t="shared" si="1407"/>
        <v>1</v>
      </c>
      <c r="BJ1012" s="1">
        <f t="shared" si="1410"/>
        <v>1</v>
      </c>
      <c r="BK1012" s="1">
        <f t="shared" si="1411"/>
        <v>1</v>
      </c>
      <c r="BL1012" s="1">
        <f t="shared" si="1416"/>
        <v>1</v>
      </c>
      <c r="BM1012" s="1">
        <f t="shared" si="1414"/>
        <v>1</v>
      </c>
      <c r="BN1012" s="1">
        <f t="shared" si="1391"/>
        <v>1</v>
      </c>
      <c r="BO1012" s="1">
        <f t="shared" si="1392"/>
        <v>1</v>
      </c>
    </row>
    <row r="1013" spans="1:67" ht="30.95" customHeight="1">
      <c r="A1013" s="1">
        <f>27</f>
        <v>27</v>
      </c>
      <c r="B1013" s="1">
        <f>固定流程!A41</f>
        <v>36</v>
      </c>
      <c r="C1013" s="1">
        <f>30</f>
        <v>30</v>
      </c>
      <c r="D1013" s="1">
        <f>2</f>
        <v>2</v>
      </c>
      <c r="E1013" s="1">
        <f>固定流程!C41</f>
        <v>3</v>
      </c>
      <c r="F1013" s="1">
        <f>固定流程!G41</f>
        <v>1</v>
      </c>
      <c r="G1013" s="1" t="str">
        <f>固定流程!H41</f>
        <v>LILYA_FINISH</v>
      </c>
      <c r="H1013" s="1">
        <f>固定流程!F41</f>
        <v>1</v>
      </c>
      <c r="I1013" s="1">
        <f>INDEX(配置与结果!$B$15:$B$18,F1013)</f>
        <v>2296</v>
      </c>
      <c r="J1013" s="1">
        <f>INDEX(配置与结果!$D$15:$D$18,F1013)</f>
        <v>0.7</v>
      </c>
      <c r="K1013" s="1">
        <f>INDEX(配置与结果!$E$15:$E$18,F1013)</f>
        <v>2.0249999999999999</v>
      </c>
      <c r="L1013" s="1">
        <f t="shared" si="1403"/>
        <v>2</v>
      </c>
      <c r="M1013" s="1">
        <f t="shared" si="1404"/>
        <v>10</v>
      </c>
      <c r="N1013" s="1">
        <f t="shared" si="1405"/>
        <v>2</v>
      </c>
      <c r="O1013" s="1">
        <f t="shared" si="1397"/>
        <v>8</v>
      </c>
      <c r="P1013" s="1">
        <f>MIN(方案参数!$AI$30,AZ1012+0+0)</f>
        <v>5</v>
      </c>
      <c r="Q1013" s="1">
        <f t="shared" si="1375"/>
        <v>5</v>
      </c>
      <c r="R1013" s="1">
        <f t="shared" si="1376"/>
        <v>20</v>
      </c>
      <c r="S1013" s="1">
        <f t="shared" si="1377"/>
        <v>3</v>
      </c>
      <c r="T1013" s="1">
        <f t="shared" si="1412"/>
        <v>0</v>
      </c>
      <c r="U1013" s="1">
        <f t="shared" si="1379"/>
        <v>1</v>
      </c>
      <c r="V1013" s="1">
        <f t="shared" si="1380"/>
        <v>4</v>
      </c>
      <c r="W1013" s="1">
        <f t="shared" si="1381"/>
        <v>1</v>
      </c>
      <c r="X1013" s="1">
        <f t="shared" si="1382"/>
        <v>1</v>
      </c>
      <c r="Y1013" s="1">
        <f t="shared" si="1383"/>
        <v>1</v>
      </c>
      <c r="Z1013" s="1">
        <f t="shared" si="1384"/>
        <v>1</v>
      </c>
      <c r="AA1013" s="1">
        <f t="shared" si="1408"/>
        <v>1</v>
      </c>
      <c r="AB1013" s="1">
        <f t="shared" si="1386"/>
        <v>1</v>
      </c>
      <c r="AC1013" s="1">
        <f t="shared" si="1413"/>
        <v>1</v>
      </c>
      <c r="AD1013" s="1">
        <f>ROUNDDOWN(I1013*(1+IF(F1013=3,0.05+方案参数!$Y$30+AA1013*0.12,IF(F1013=4,方案参数!$BZ$30*方案参数!$AS$30,0)))+IF(AND(X1013=1,F1013&lt;&gt;3),方案参数!$CC$30,0)+AC1013*方案参数!$CB$30,0)</f>
        <v>3034</v>
      </c>
      <c r="AE1013" s="1">
        <f>IF(OR(F1013=1,F1013=4),配置与结果!$B$24,配置与结果!$B$25)*MAX(0,1-INDEX(配置与结果!$I$15:$I$18,F1013))</f>
        <v>1200</v>
      </c>
      <c r="AF1013" s="1">
        <f>方案参数!$BN$30+12*方案参数!$BO$30</f>
        <v>48</v>
      </c>
      <c r="AG1013" s="1">
        <f>MAX(配置与结果!$B$32,1+INDEX(配置与结果!$F$15:$F$18,F1013)+0.08+方案参数!$CD$30+Q1013*方案参数!$W$30+Y1013*(方案参数!$AN$30+MIN(方案参数!$AO$30,P1013*0.03))+AB1013*方案参数!$BZ$30*0.025-配置与结果!$B$28+方案参数!$AE$30)</f>
        <v>2.5750000000000002</v>
      </c>
      <c r="AH1013" s="1">
        <f>MAX(0,1+V1013*方案参数!$U$30+12*方案参数!$V$30+方案参数!$AE$30-配置与结果!$B$29)</f>
        <v>1.92</v>
      </c>
      <c r="AI1013" s="1">
        <f>IF(OR(INDEX(配置与结果!$K$15:$K$18,F1013)=1,G1013="RHI_BERRY"),1+配置与结果!$B$33+P1013*方案参数!$AH$30,1)</f>
        <v>1</v>
      </c>
      <c r="AJ1013" s="1">
        <f>MIN(1,MAX(0,J1013+方案参数!$AB$30-配置与结果!$B$27))</f>
        <v>1</v>
      </c>
      <c r="AK1013" s="1">
        <f>MAX(1,K1013+IF(F1013=2,0.15+方案参数!$CH$30,0)+BN1013*方案参数!$X$30+R1013*方案参数!$AA$30+方案参数!$BR$30-配置与结果!$B$26+Z1013*(方案参数!$AP$30+MIN(方案参数!$AQ$30,P1013*0.03)))</f>
        <v>3.165</v>
      </c>
      <c r="AL1013" s="7">
        <f>ROUNDDOWN(MAX(AD1013*配置与结果!$B$31,AD1013-AE1013)*AF1013*AG1013*AH1013*AI1013,0)</f>
        <v>435230</v>
      </c>
      <c r="AM1013" s="7">
        <f>ROUNDDOWN(MAX(AD1013*配置与结果!$B$31,AD1013-AE1013)*AF1013*AG1013*AH1013*AI1013*AK1013,0)</f>
        <v>1377503</v>
      </c>
      <c r="AN1013" s="7">
        <f t="shared" si="1366"/>
        <v>1377503</v>
      </c>
      <c r="AO1013" s="7">
        <f>0</f>
        <v>0</v>
      </c>
      <c r="AP1013" s="7">
        <f>MAX(0,1+INDEX(配置与结果!$J$15:$J$18,F1013)+IF(T1013&gt;0,方案参数!$BY$30,0)-配置与结果!$B$30)</f>
        <v>1</v>
      </c>
      <c r="AQ1013" s="7">
        <f t="shared" si="1367"/>
        <v>0</v>
      </c>
      <c r="AR1013" s="7">
        <f t="shared" si="1368"/>
        <v>0</v>
      </c>
      <c r="AS1013" s="7">
        <f t="shared" si="1369"/>
        <v>0</v>
      </c>
      <c r="AT1013" s="7">
        <f>IF(U1013&gt;0,ROUNDDOWN(AL1013*方案参数!$AF$30,0)*(1-AJ1013)+ROUNDDOWN(AM1013*方案参数!$AF$30,0)*AJ1013,0)</f>
        <v>551001</v>
      </c>
      <c r="AU1013" s="7">
        <f t="shared" si="1370"/>
        <v>1928504</v>
      </c>
      <c r="AV1013" s="1">
        <f t="shared" si="1371"/>
        <v>2</v>
      </c>
      <c r="AW1013" s="1">
        <f t="shared" si="1418"/>
        <v>10</v>
      </c>
      <c r="AX1013" s="1">
        <f t="shared" si="1372"/>
        <v>2</v>
      </c>
      <c r="AY1013" s="1">
        <f>MIN(20,MAX(0,O1013+0+1-0))</f>
        <v>9</v>
      </c>
      <c r="AZ1013" s="1">
        <f t="shared" si="1373"/>
        <v>5</v>
      </c>
      <c r="BA1013" s="1">
        <f t="shared" si="1409"/>
        <v>5</v>
      </c>
      <c r="BB1013" s="1">
        <f t="shared" si="1417"/>
        <v>20</v>
      </c>
      <c r="BC1013" s="1">
        <f t="shared" si="1415"/>
        <v>3</v>
      </c>
      <c r="BD1013" s="1">
        <f t="shared" si="1396"/>
        <v>0</v>
      </c>
      <c r="BE1013" s="1">
        <f>MAX(0,U1013-IF(AF1013&gt;0,1,0))+0</f>
        <v>0</v>
      </c>
      <c r="BF1013" s="1">
        <f t="shared" si="1419"/>
        <v>4</v>
      </c>
      <c r="BG1013" s="1">
        <f t="shared" si="1406"/>
        <v>1</v>
      </c>
      <c r="BH1013" s="1">
        <f t="shared" si="1390"/>
        <v>1</v>
      </c>
      <c r="BI1013" s="1">
        <f t="shared" si="1407"/>
        <v>1</v>
      </c>
      <c r="BJ1013" s="1">
        <f t="shared" si="1410"/>
        <v>1</v>
      </c>
      <c r="BK1013" s="1">
        <f t="shared" si="1411"/>
        <v>1</v>
      </c>
      <c r="BL1013" s="1">
        <f t="shared" si="1416"/>
        <v>1</v>
      </c>
      <c r="BM1013" s="1">
        <f t="shared" si="1414"/>
        <v>1</v>
      </c>
      <c r="BN1013" s="1">
        <f t="shared" si="1391"/>
        <v>1</v>
      </c>
      <c r="BO1013" s="1">
        <f t="shared" si="1392"/>
        <v>1</v>
      </c>
    </row>
    <row r="1014" spans="1:67" ht="30.95" customHeight="1">
      <c r="A1014" s="1">
        <f>28</f>
        <v>28</v>
      </c>
      <c r="B1014" s="1">
        <f>固定流程!A6</f>
        <v>1</v>
      </c>
      <c r="C1014" s="1">
        <f>31</f>
        <v>31</v>
      </c>
      <c r="D1014" s="1">
        <f>1</f>
        <v>1</v>
      </c>
      <c r="E1014" s="1">
        <f>固定流程!C6</f>
        <v>1</v>
      </c>
      <c r="F1014" s="1">
        <f>固定流程!G6</f>
        <v>3</v>
      </c>
      <c r="G1014" s="1" t="str">
        <f>固定流程!H6</f>
        <v>RHI_ULT</v>
      </c>
      <c r="H1014" s="1">
        <f>固定流程!F6</f>
        <v>1</v>
      </c>
      <c r="I1014" s="1">
        <f>INDEX(配置与结果!$B$15:$B$18,F1014)</f>
        <v>2597</v>
      </c>
      <c r="J1014" s="1">
        <f>INDEX(配置与结果!$D$15:$D$18,F1014)</f>
        <v>0.255</v>
      </c>
      <c r="K1014" s="1">
        <f>INDEX(配置与结果!$E$15:$E$18,F1014)</f>
        <v>1.55</v>
      </c>
      <c r="L1014" s="1">
        <f>0</f>
        <v>0</v>
      </c>
      <c r="M1014" s="1">
        <f>0</f>
        <v>0</v>
      </c>
      <c r="N1014" s="1">
        <f>0</f>
        <v>0</v>
      </c>
      <c r="O1014" s="1">
        <f>0</f>
        <v>0</v>
      </c>
      <c r="P1014" s="1">
        <f>MIN(方案参数!$AI$31,0+方案参数!$AJ$31+0)</f>
        <v>1</v>
      </c>
      <c r="Q1014" s="1">
        <f>0</f>
        <v>0</v>
      </c>
      <c r="R1014" s="1">
        <f>0</f>
        <v>0</v>
      </c>
      <c r="S1014" s="1">
        <f>0</f>
        <v>0</v>
      </c>
      <c r="T1014" s="1">
        <f>0+0</f>
        <v>0</v>
      </c>
      <c r="U1014" s="1">
        <f>0</f>
        <v>0</v>
      </c>
      <c r="V1014" s="1">
        <f>0</f>
        <v>0</v>
      </c>
      <c r="W1014" s="1">
        <f>0</f>
        <v>0</v>
      </c>
      <c r="X1014" s="1">
        <f>0</f>
        <v>0</v>
      </c>
      <c r="Y1014" s="1">
        <f>0</f>
        <v>0</v>
      </c>
      <c r="Z1014" s="1">
        <f>0</f>
        <v>0</v>
      </c>
      <c r="AA1014" s="1">
        <f>MAX(0,0)</f>
        <v>0</v>
      </c>
      <c r="AB1014" s="1">
        <f>0</f>
        <v>0</v>
      </c>
      <c r="AC1014" s="1">
        <f>MAX(0,0)</f>
        <v>0</v>
      </c>
      <c r="AD1014" s="1">
        <f>ROUNDDOWN(I1014*(1+IF(F1014=3,0.05+方案参数!$Y$31+AA1014*0.12,IF(F1014=4,方案参数!$BZ$31*方案参数!$AS$31,0)))+IF(AND(X1014=1,F1014&lt;&gt;3),方案参数!$CC$31,0)+AC1014*方案参数!$CB$31,0)</f>
        <v>2986</v>
      </c>
      <c r="AE1014" s="1">
        <f>IF(OR(F1014=1,F1014=4),配置与结果!$B$24,配置与结果!$B$25)*MAX(0,1-INDEX(配置与结果!$I$15:$I$18,F1014))</f>
        <v>1000</v>
      </c>
      <c r="AF1014" s="1">
        <f>0</f>
        <v>0</v>
      </c>
      <c r="AG1014" s="1">
        <f>MAX(配置与结果!$B$32,1+INDEX(配置与结果!$F$15:$F$18,F1014)+0+Q1014*方案参数!$W$31+Y1014*(方案参数!$AN$31+MIN(方案参数!$AO$31,P1014*0.03))+AB1014*方案参数!$BZ$31*0.025-配置与结果!$B$28)</f>
        <v>0.6349999999999999</v>
      </c>
      <c r="AH1014" s="1">
        <f>MAX(0,1+INDEX(配置与结果!$G$15:$G$18,F1014)+W1014*方案参数!$AG$31)</f>
        <v>1</v>
      </c>
      <c r="AI1014" s="1">
        <f>IF(OR(INDEX(配置与结果!$K$15:$K$18,F1014)=1,G1014="RHI_BERRY"),1+配置与结果!$B$33+P1014*方案参数!$AH$31,1)</f>
        <v>1</v>
      </c>
      <c r="AJ1014" s="1">
        <f>MIN(1,MAX(0,J1014+方案参数!$AB$31-配置与结果!$B$27))</f>
        <v>0.55499999999999994</v>
      </c>
      <c r="AK1014" s="1">
        <f>MAX(1,K1014+IF(F1014=2,0.15+方案参数!$CH$31,0)+BN1014*方案参数!$X$31+R1014*方案参数!$AA$31+0-配置与结果!$B$26+Z1014*(方案参数!$AP$31+MIN(方案参数!$AQ$31,P1014*0.03)))</f>
        <v>1.1499999999999999</v>
      </c>
      <c r="AL1014" s="7">
        <f>ROUNDDOWN(MAX(AD1014*配置与结果!$B$31,AD1014-AE1014)*AF1014*AG1014*AH1014*AI1014,0)</f>
        <v>0</v>
      </c>
      <c r="AM1014" s="7">
        <f>ROUNDDOWN(MAX(AD1014*配置与结果!$B$31,AD1014-AE1014)*AF1014*AG1014*AH1014*AI1014*AK1014,0)</f>
        <v>0</v>
      </c>
      <c r="AN1014" s="7">
        <f t="shared" si="1366"/>
        <v>0</v>
      </c>
      <c r="AO1014" s="7">
        <f>0</f>
        <v>0</v>
      </c>
      <c r="AP1014" s="7">
        <f>MAX(0,1+INDEX(配置与结果!$J$15:$J$18,F1014)+IF(T1014&gt;0,方案参数!$BY$31,0)-配置与结果!$B$30)</f>
        <v>1</v>
      </c>
      <c r="AQ1014" s="7">
        <f t="shared" si="1367"/>
        <v>0</v>
      </c>
      <c r="AR1014" s="7">
        <f t="shared" si="1368"/>
        <v>0</v>
      </c>
      <c r="AS1014" s="7">
        <f t="shared" si="1369"/>
        <v>0</v>
      </c>
      <c r="AT1014" s="7">
        <f>0</f>
        <v>0</v>
      </c>
      <c r="AU1014" s="7">
        <f t="shared" si="1370"/>
        <v>0</v>
      </c>
      <c r="AV1014" s="1">
        <f t="shared" si="1371"/>
        <v>0</v>
      </c>
      <c r="AW1014" s="1">
        <f t="shared" si="1418"/>
        <v>0</v>
      </c>
      <c r="AX1014" s="1">
        <f t="shared" si="1372"/>
        <v>0</v>
      </c>
      <c r="AY1014" s="1">
        <f>MIN(20,MAX(0,O1014+0+0-0))</f>
        <v>0</v>
      </c>
      <c r="AZ1014" s="1">
        <f t="shared" si="1373"/>
        <v>1</v>
      </c>
      <c r="BA1014" s="1">
        <f>MIN(6,Q1014+1)</f>
        <v>1</v>
      </c>
      <c r="BB1014" s="1">
        <f>MIN(30,R1014+5)</f>
        <v>5</v>
      </c>
      <c r="BC1014" s="1">
        <f t="shared" si="1415"/>
        <v>0</v>
      </c>
      <c r="BD1014" s="1">
        <f t="shared" si="1396"/>
        <v>0</v>
      </c>
      <c r="BE1014" s="1">
        <f>0</f>
        <v>0</v>
      </c>
      <c r="BF1014" s="1">
        <f t="shared" si="1419"/>
        <v>0</v>
      </c>
      <c r="BG1014" s="1">
        <f t="shared" si="1406"/>
        <v>0</v>
      </c>
      <c r="BH1014" s="1">
        <f>MAX(X1014,1)</f>
        <v>1</v>
      </c>
      <c r="BI1014" s="1">
        <f t="shared" si="1407"/>
        <v>0</v>
      </c>
      <c r="BJ1014" s="1">
        <f t="shared" si="1410"/>
        <v>0</v>
      </c>
      <c r="BK1014" s="1">
        <f t="shared" si="1411"/>
        <v>0</v>
      </c>
      <c r="BL1014" s="1">
        <f t="shared" si="1416"/>
        <v>0</v>
      </c>
      <c r="BM1014" s="1">
        <f t="shared" si="1414"/>
        <v>0</v>
      </c>
      <c r="BN1014" s="1">
        <f>0</f>
        <v>0</v>
      </c>
      <c r="BO1014" s="1">
        <f>MAX(BN1014,1)</f>
        <v>1</v>
      </c>
    </row>
    <row r="1015" spans="1:67" ht="30.95" customHeight="1">
      <c r="A1015" s="1">
        <f>28</f>
        <v>28</v>
      </c>
      <c r="B1015" s="1">
        <f>固定流程!A7</f>
        <v>2</v>
      </c>
      <c r="C1015" s="1">
        <f>31</f>
        <v>31</v>
      </c>
      <c r="D1015" s="1">
        <f>1</f>
        <v>1</v>
      </c>
      <c r="E1015" s="1">
        <f>固定流程!C7</f>
        <v>1</v>
      </c>
      <c r="F1015" s="1">
        <f>固定流程!G7</f>
        <v>3</v>
      </c>
      <c r="G1015" s="1" t="str">
        <f>固定流程!H7</f>
        <v>RHI_BUFF</v>
      </c>
      <c r="H1015" s="1">
        <f>固定流程!F7</f>
        <v>1</v>
      </c>
      <c r="I1015" s="1">
        <f>INDEX(配置与结果!$B$15:$B$18,F1015)</f>
        <v>2597</v>
      </c>
      <c r="J1015" s="1">
        <f>INDEX(配置与结果!$D$15:$D$18,F1015)</f>
        <v>0.255</v>
      </c>
      <c r="K1015" s="1">
        <f>INDEX(配置与结果!$E$15:$E$18,F1015)</f>
        <v>1.55</v>
      </c>
      <c r="L1015" s="1">
        <f t="shared" ref="L1015:O1020" si="1420">AV1014</f>
        <v>0</v>
      </c>
      <c r="M1015" s="1">
        <f t="shared" si="1420"/>
        <v>0</v>
      </c>
      <c r="N1015" s="1">
        <f t="shared" si="1420"/>
        <v>0</v>
      </c>
      <c r="O1015" s="1">
        <f t="shared" si="1420"/>
        <v>0</v>
      </c>
      <c r="P1015" s="1">
        <f>MIN(方案参数!$AI$31,AZ1014+0+方案参数!$AK$31)</f>
        <v>3</v>
      </c>
      <c r="Q1015" s="1">
        <f t="shared" ref="Q1015:Q1049" si="1421">BA1014</f>
        <v>1</v>
      </c>
      <c r="R1015" s="1">
        <f t="shared" ref="R1015:R1049" si="1422">BB1014</f>
        <v>5</v>
      </c>
      <c r="S1015" s="1">
        <f t="shared" ref="S1015:S1049" si="1423">BC1014</f>
        <v>0</v>
      </c>
      <c r="T1015" s="1">
        <f t="shared" ref="T1015:T1028" si="1424">BD1014+0</f>
        <v>0</v>
      </c>
      <c r="U1015" s="1">
        <f t="shared" ref="U1015:U1049" si="1425">BE1014</f>
        <v>0</v>
      </c>
      <c r="V1015" s="1">
        <f t="shared" ref="V1015:V1049" si="1426">BF1014</f>
        <v>0</v>
      </c>
      <c r="W1015" s="1">
        <f t="shared" ref="W1015:W1049" si="1427">BG1014</f>
        <v>0</v>
      </c>
      <c r="X1015" s="1">
        <f t="shared" ref="X1015:X1049" si="1428">BH1014</f>
        <v>1</v>
      </c>
      <c r="Y1015" s="1">
        <f t="shared" ref="Y1015:Y1049" si="1429">BI1014</f>
        <v>0</v>
      </c>
      <c r="Z1015" s="1">
        <f t="shared" ref="Z1015:Z1049" si="1430">BJ1014</f>
        <v>0</v>
      </c>
      <c r="AA1015" s="1">
        <f t="shared" ref="AA1015:AA1020" si="1431">MAX(BK1014,0)</f>
        <v>0</v>
      </c>
      <c r="AB1015" s="1">
        <f t="shared" ref="AB1015:AB1049" si="1432">BL1014</f>
        <v>0</v>
      </c>
      <c r="AC1015" s="1">
        <f t="shared" ref="AC1015:AC1028" si="1433">MAX(BM1014,0)</f>
        <v>0</v>
      </c>
      <c r="AD1015" s="1">
        <f>ROUNDDOWN(I1015*(1+IF(F1015=3,0.05+方案参数!$Y$31+AA1015*0.12,IF(F1015=4,方案参数!$BZ$31*方案参数!$AS$31,0)))+IF(AND(X1015=1,F1015&lt;&gt;3),方案参数!$CC$31,0)+AC1015*方案参数!$CB$31,0)</f>
        <v>2986</v>
      </c>
      <c r="AE1015" s="1">
        <f>IF(OR(F1015=1,F1015=4),配置与结果!$B$24,配置与结果!$B$25)*MAX(0,1-INDEX(配置与结果!$I$15:$I$18,F1015))</f>
        <v>1000</v>
      </c>
      <c r="AF1015" s="1">
        <f>0</f>
        <v>0</v>
      </c>
      <c r="AG1015" s="1">
        <f>MAX(配置与结果!$B$32,1+INDEX(配置与结果!$F$15:$F$18,F1015)+0+Q1015*方案参数!$W$31+Y1015*(方案参数!$AN$31+MIN(方案参数!$AO$31,P1015*0.03))+AB1015*方案参数!$BZ$31*0.025-配置与结果!$B$28)</f>
        <v>0.65499999999999992</v>
      </c>
      <c r="AH1015" s="1">
        <f>MAX(0,1+INDEX(配置与结果!$G$15:$G$18,F1015)+W1015*方案参数!$AG$31)</f>
        <v>1</v>
      </c>
      <c r="AI1015" s="1">
        <f>IF(OR(INDEX(配置与结果!$K$15:$K$18,F1015)=1,G1015="RHI_BERRY"),1+配置与结果!$B$33+P1015*方案参数!$AH$31,1)</f>
        <v>1</v>
      </c>
      <c r="AJ1015" s="1">
        <f>MIN(1,MAX(0,J1015+方案参数!$AB$31-配置与结果!$B$27))</f>
        <v>0.55499999999999994</v>
      </c>
      <c r="AK1015" s="1">
        <f>MAX(1,K1015+IF(F1015=2,0.15+方案参数!$CH$31,0)+BN1015*方案参数!$X$31+R1015*方案参数!$AA$31+0-配置与结果!$B$26+Z1015*(方案参数!$AP$31+MIN(方案参数!$AQ$31,P1015*0.03)))</f>
        <v>1.33</v>
      </c>
      <c r="AL1015" s="7">
        <f>ROUNDDOWN(MAX(AD1015*配置与结果!$B$31,AD1015-AE1015)*AF1015*AG1015*AH1015*AI1015,0)</f>
        <v>0</v>
      </c>
      <c r="AM1015" s="7">
        <f>ROUNDDOWN(MAX(AD1015*配置与结果!$B$31,AD1015-AE1015)*AF1015*AG1015*AH1015*AI1015*AK1015,0)</f>
        <v>0</v>
      </c>
      <c r="AN1015" s="7">
        <f t="shared" si="1366"/>
        <v>0</v>
      </c>
      <c r="AO1015" s="7">
        <f>0</f>
        <v>0</v>
      </c>
      <c r="AP1015" s="7">
        <f>MAX(0,1+INDEX(配置与结果!$J$15:$J$18,F1015)+IF(T1015&gt;0,方案参数!$BY$31,0)-配置与结果!$B$30)</f>
        <v>1</v>
      </c>
      <c r="AQ1015" s="7">
        <f t="shared" si="1367"/>
        <v>0</v>
      </c>
      <c r="AR1015" s="7">
        <f t="shared" si="1368"/>
        <v>0</v>
      </c>
      <c r="AS1015" s="7">
        <f t="shared" si="1369"/>
        <v>0</v>
      </c>
      <c r="AT1015" s="7">
        <f>0</f>
        <v>0</v>
      </c>
      <c r="AU1015" s="7">
        <f t="shared" si="1370"/>
        <v>0</v>
      </c>
      <c r="AV1015" s="1">
        <f t="shared" si="1371"/>
        <v>0</v>
      </c>
      <c r="AW1015" s="1">
        <f t="shared" si="1418"/>
        <v>0</v>
      </c>
      <c r="AX1015" s="1">
        <f t="shared" si="1372"/>
        <v>0</v>
      </c>
      <c r="AY1015" s="1">
        <f>MIN(20,MAX(0,O1015+0+0-0))</f>
        <v>0</v>
      </c>
      <c r="AZ1015" s="1">
        <f t="shared" si="1373"/>
        <v>3</v>
      </c>
      <c r="BA1015" s="1">
        <f>MIN(6,Q1015+1)</f>
        <v>2</v>
      </c>
      <c r="BB1015" s="1">
        <f t="shared" ref="BB1015:BB1028" si="1434">MIN(30,R1015+0)</f>
        <v>5</v>
      </c>
      <c r="BC1015" s="1">
        <f t="shared" si="1415"/>
        <v>0</v>
      </c>
      <c r="BD1015" s="1">
        <f t="shared" si="1396"/>
        <v>0</v>
      </c>
      <c r="BE1015" s="1">
        <f t="shared" ref="BE1015:BE1036" si="1435">BE1014</f>
        <v>0</v>
      </c>
      <c r="BF1015" s="1">
        <f t="shared" si="1419"/>
        <v>0</v>
      </c>
      <c r="BG1015" s="1">
        <f>MAX(W1015,1)</f>
        <v>1</v>
      </c>
      <c r="BH1015" s="1">
        <f t="shared" ref="BH1015:BH1049" si="1436">MAX(X1015,0)</f>
        <v>1</v>
      </c>
      <c r="BI1015" s="1">
        <f>MAX(Y1015,1)</f>
        <v>1</v>
      </c>
      <c r="BJ1015" s="1">
        <f t="shared" si="1410"/>
        <v>0</v>
      </c>
      <c r="BK1015" s="1">
        <f t="shared" si="1411"/>
        <v>0</v>
      </c>
      <c r="BL1015" s="1">
        <f t="shared" si="1416"/>
        <v>0</v>
      </c>
      <c r="BM1015" s="1">
        <f t="shared" si="1414"/>
        <v>0</v>
      </c>
      <c r="BN1015" s="1">
        <f t="shared" ref="BN1015:BN1049" si="1437">BO1014</f>
        <v>1</v>
      </c>
      <c r="BO1015" s="1">
        <f t="shared" ref="BO1015:BO1049" si="1438">MAX(BN1015,0)</f>
        <v>1</v>
      </c>
    </row>
    <row r="1016" spans="1:67" ht="30.95" customHeight="1">
      <c r="A1016" s="1">
        <f>28</f>
        <v>28</v>
      </c>
      <c r="B1016" s="1">
        <f>固定流程!A8</f>
        <v>3</v>
      </c>
      <c r="C1016" s="1">
        <f>31</f>
        <v>31</v>
      </c>
      <c r="D1016" s="1">
        <f>1</f>
        <v>1</v>
      </c>
      <c r="E1016" s="1">
        <f>固定流程!C8</f>
        <v>1</v>
      </c>
      <c r="F1016" s="1">
        <f>固定流程!G8</f>
        <v>1</v>
      </c>
      <c r="G1016" s="1" t="str">
        <f>固定流程!H8</f>
        <v>LILYA_COBRA</v>
      </c>
      <c r="H1016" s="1">
        <f>固定流程!F8</f>
        <v>1</v>
      </c>
      <c r="I1016" s="1">
        <f>INDEX(配置与结果!$B$15:$B$18,F1016)</f>
        <v>2296</v>
      </c>
      <c r="J1016" s="1">
        <f>INDEX(配置与结果!$D$15:$D$18,F1016)</f>
        <v>0.7</v>
      </c>
      <c r="K1016" s="1">
        <f>INDEX(配置与结果!$E$15:$E$18,F1016)</f>
        <v>2.0249999999999999</v>
      </c>
      <c r="L1016" s="1">
        <f t="shared" si="1420"/>
        <v>0</v>
      </c>
      <c r="M1016" s="1">
        <f t="shared" si="1420"/>
        <v>0</v>
      </c>
      <c r="N1016" s="1">
        <f t="shared" si="1420"/>
        <v>0</v>
      </c>
      <c r="O1016" s="1">
        <f t="shared" si="1420"/>
        <v>0</v>
      </c>
      <c r="P1016" s="1">
        <f>MIN(方案参数!$AI$31,AZ1015+0+0)</f>
        <v>3</v>
      </c>
      <c r="Q1016" s="1">
        <f t="shared" si="1421"/>
        <v>2</v>
      </c>
      <c r="R1016" s="1">
        <f t="shared" si="1422"/>
        <v>5</v>
      </c>
      <c r="S1016" s="1">
        <f t="shared" si="1423"/>
        <v>0</v>
      </c>
      <c r="T1016" s="1">
        <f t="shared" si="1424"/>
        <v>0</v>
      </c>
      <c r="U1016" s="1">
        <f t="shared" si="1425"/>
        <v>0</v>
      </c>
      <c r="V1016" s="1">
        <f t="shared" si="1426"/>
        <v>0</v>
      </c>
      <c r="W1016" s="1">
        <f t="shared" si="1427"/>
        <v>1</v>
      </c>
      <c r="X1016" s="1">
        <f t="shared" si="1428"/>
        <v>1</v>
      </c>
      <c r="Y1016" s="1">
        <f t="shared" si="1429"/>
        <v>1</v>
      </c>
      <c r="Z1016" s="1">
        <f t="shared" si="1430"/>
        <v>0</v>
      </c>
      <c r="AA1016" s="1">
        <f t="shared" si="1431"/>
        <v>0</v>
      </c>
      <c r="AB1016" s="1">
        <f t="shared" si="1432"/>
        <v>0</v>
      </c>
      <c r="AC1016" s="1">
        <f t="shared" si="1433"/>
        <v>0</v>
      </c>
      <c r="AD1016" s="1">
        <f>ROUNDDOWN(I1016*(1+IF(F1016=3,0.05+方案参数!$Y$31+AA1016*0.12,IF(F1016=4,方案参数!$BZ$31*方案参数!$AS$31,0)))+IF(AND(X1016=1,F1016&lt;&gt;3),方案参数!$CC$31,0)+AC1016*方案参数!$CB$31,0)</f>
        <v>2534</v>
      </c>
      <c r="AE1016" s="1">
        <f>IF(OR(F1016=1,F1016=4),配置与结果!$B$24,配置与结果!$B$25)*MAX(0,1-INDEX(配置与结果!$I$15:$I$18,F1016))</f>
        <v>1200</v>
      </c>
      <c r="AF1016" s="1">
        <f>0</f>
        <v>0</v>
      </c>
      <c r="AG1016" s="1">
        <f>MAX(配置与结果!$B$32,1+INDEX(配置与结果!$F$15:$F$18,F1016)+0.08+方案参数!$CD$31+Q1016*方案参数!$W$31+Y1016*(方案参数!$AN$31+MIN(方案参数!$AO$31,P1016*0.03))+AB1016*方案参数!$BZ$31*0.025-配置与结果!$B$28)</f>
        <v>1.1800000000000002</v>
      </c>
      <c r="AH1016" s="1">
        <f>MAX(0,1+INDEX(配置与结果!$G$15:$G$18,F1016)+W1016*方案参数!$AG$31)</f>
        <v>1.3</v>
      </c>
      <c r="AI1016" s="1">
        <f>IF(OR(INDEX(配置与结果!$K$15:$K$18,F1016)=1,G1016="RHI_BERRY"),1+配置与结果!$B$33+P1016*方案参数!$AH$31,1)</f>
        <v>1</v>
      </c>
      <c r="AJ1016" s="1">
        <f>MIN(1,MAX(0,J1016+方案参数!$AB$31-配置与结果!$B$27))</f>
        <v>1</v>
      </c>
      <c r="AK1016" s="1">
        <f>MAX(1,K1016+IF(F1016=2,0.15+方案参数!$CH$31,0)+BN1016*方案参数!$X$31+R1016*方案参数!$AA$31+0-配置与结果!$B$26+Z1016*(方案参数!$AP$31+MIN(方案参数!$AQ$31,P1016*0.03)))</f>
        <v>1.8050000000000002</v>
      </c>
      <c r="AL1016" s="7">
        <f>ROUNDDOWN(MAX(AD1016*配置与结果!$B$31,AD1016-AE1016)*AF1016*AG1016*AH1016*AI1016,0)</f>
        <v>0</v>
      </c>
      <c r="AM1016" s="7">
        <f>ROUNDDOWN(MAX(AD1016*配置与结果!$B$31,AD1016-AE1016)*AF1016*AG1016*AH1016*AI1016*AK1016,0)</f>
        <v>0</v>
      </c>
      <c r="AN1016" s="7">
        <f t="shared" si="1366"/>
        <v>0</v>
      </c>
      <c r="AO1016" s="7">
        <f>0</f>
        <v>0</v>
      </c>
      <c r="AP1016" s="7">
        <f>MAX(0,1+INDEX(配置与结果!$J$15:$J$18,F1016)+IF(T1016&gt;0,方案参数!$BY$31,0)-配置与结果!$B$30)</f>
        <v>1</v>
      </c>
      <c r="AQ1016" s="7">
        <f t="shared" si="1367"/>
        <v>0</v>
      </c>
      <c r="AR1016" s="7">
        <f t="shared" si="1368"/>
        <v>0</v>
      </c>
      <c r="AS1016" s="7">
        <f t="shared" si="1369"/>
        <v>0</v>
      </c>
      <c r="AT1016" s="7">
        <f>0</f>
        <v>0</v>
      </c>
      <c r="AU1016" s="7">
        <f t="shared" si="1370"/>
        <v>0</v>
      </c>
      <c r="AV1016" s="1">
        <f t="shared" si="1371"/>
        <v>1</v>
      </c>
      <c r="AW1016" s="1">
        <f>MIN(10,M1016+方案参数!$BD$31+0)</f>
        <v>3</v>
      </c>
      <c r="AX1016" s="1">
        <f t="shared" si="1372"/>
        <v>0</v>
      </c>
      <c r="AY1016" s="1">
        <f>MIN(20,MAX(0,O1016+6+0-0))</f>
        <v>6</v>
      </c>
      <c r="AZ1016" s="1">
        <f t="shared" si="1373"/>
        <v>3</v>
      </c>
      <c r="BA1016" s="1">
        <f>MIN(6,Q1016+0)</f>
        <v>2</v>
      </c>
      <c r="BB1016" s="1">
        <f t="shared" si="1434"/>
        <v>5</v>
      </c>
      <c r="BC1016" s="1">
        <f t="shared" si="1415"/>
        <v>0</v>
      </c>
      <c r="BD1016" s="1">
        <f t="shared" si="1396"/>
        <v>0</v>
      </c>
      <c r="BE1016" s="1">
        <f t="shared" si="1435"/>
        <v>0</v>
      </c>
      <c r="BF1016" s="1">
        <f t="shared" si="1419"/>
        <v>0</v>
      </c>
      <c r="BG1016" s="1">
        <f t="shared" ref="BG1016:BG1026" si="1439">MAX(W1016,0)</f>
        <v>1</v>
      </c>
      <c r="BH1016" s="1">
        <f t="shared" si="1436"/>
        <v>1</v>
      </c>
      <c r="BI1016" s="1">
        <f t="shared" ref="BI1016:BI1026" si="1440">MAX(Y1016,0)</f>
        <v>1</v>
      </c>
      <c r="BJ1016" s="1">
        <f t="shared" si="1410"/>
        <v>0</v>
      </c>
      <c r="BK1016" s="1">
        <f t="shared" si="1411"/>
        <v>0</v>
      </c>
      <c r="BL1016" s="1">
        <f t="shared" si="1416"/>
        <v>0</v>
      </c>
      <c r="BM1016" s="1">
        <f t="shared" si="1414"/>
        <v>0</v>
      </c>
      <c r="BN1016" s="1">
        <f t="shared" si="1437"/>
        <v>1</v>
      </c>
      <c r="BO1016" s="1">
        <f t="shared" si="1438"/>
        <v>1</v>
      </c>
    </row>
    <row r="1017" spans="1:67" ht="30.95" customHeight="1">
      <c r="A1017" s="1">
        <f>28</f>
        <v>28</v>
      </c>
      <c r="B1017" s="1">
        <f>固定流程!A9</f>
        <v>4</v>
      </c>
      <c r="C1017" s="1">
        <f>31</f>
        <v>31</v>
      </c>
      <c r="D1017" s="1">
        <f>1</f>
        <v>1</v>
      </c>
      <c r="E1017" s="1">
        <f>固定流程!C9</f>
        <v>1</v>
      </c>
      <c r="F1017" s="1">
        <f>固定流程!G9</f>
        <v>1</v>
      </c>
      <c r="G1017" s="1" t="str">
        <f>固定流程!H9</f>
        <v>LILYA_DIVE</v>
      </c>
      <c r="H1017" s="1">
        <f>固定流程!F9</f>
        <v>1</v>
      </c>
      <c r="I1017" s="1">
        <f>INDEX(配置与结果!$B$15:$B$18,F1017)</f>
        <v>2296</v>
      </c>
      <c r="J1017" s="1">
        <f>INDEX(配置与结果!$D$15:$D$18,F1017)</f>
        <v>0.7</v>
      </c>
      <c r="K1017" s="1">
        <f>INDEX(配置与结果!$E$15:$E$18,F1017)</f>
        <v>2.0249999999999999</v>
      </c>
      <c r="L1017" s="1">
        <f t="shared" si="1420"/>
        <v>1</v>
      </c>
      <c r="M1017" s="1">
        <f t="shared" si="1420"/>
        <v>3</v>
      </c>
      <c r="N1017" s="1">
        <f t="shared" si="1420"/>
        <v>0</v>
      </c>
      <c r="O1017" s="1">
        <f t="shared" si="1420"/>
        <v>6</v>
      </c>
      <c r="P1017" s="1">
        <f>MIN(方案参数!$AI$31,AZ1016+0+0)</f>
        <v>3</v>
      </c>
      <c r="Q1017" s="1">
        <f t="shared" si="1421"/>
        <v>2</v>
      </c>
      <c r="R1017" s="1">
        <f t="shared" si="1422"/>
        <v>5</v>
      </c>
      <c r="S1017" s="1">
        <f t="shared" si="1423"/>
        <v>0</v>
      </c>
      <c r="T1017" s="1">
        <f t="shared" si="1424"/>
        <v>0</v>
      </c>
      <c r="U1017" s="1">
        <f t="shared" si="1425"/>
        <v>0</v>
      </c>
      <c r="V1017" s="1">
        <f t="shared" si="1426"/>
        <v>0</v>
      </c>
      <c r="W1017" s="1">
        <f t="shared" si="1427"/>
        <v>1</v>
      </c>
      <c r="X1017" s="1">
        <f t="shared" si="1428"/>
        <v>1</v>
      </c>
      <c r="Y1017" s="1">
        <f t="shared" si="1429"/>
        <v>1</v>
      </c>
      <c r="Z1017" s="1">
        <f t="shared" si="1430"/>
        <v>0</v>
      </c>
      <c r="AA1017" s="1">
        <f t="shared" si="1431"/>
        <v>0</v>
      </c>
      <c r="AB1017" s="1">
        <f t="shared" si="1432"/>
        <v>0</v>
      </c>
      <c r="AC1017" s="1">
        <f t="shared" si="1433"/>
        <v>0</v>
      </c>
      <c r="AD1017" s="1">
        <f>ROUNDDOWN(I1017*(1+IF(F1017=3,0.05+方案参数!$Y$31+AA1017*0.12,IF(F1017=4,方案参数!$BZ$31*方案参数!$AS$31,0)))+IF(AND(X1017=1,F1017&lt;&gt;3),方案参数!$CC$31,0)+AC1017*方案参数!$CB$31,0)</f>
        <v>2534</v>
      </c>
      <c r="AE1017" s="1">
        <f>IF(OR(F1017=1,F1017=4),配置与结果!$B$24,配置与结果!$B$25)*MAX(0,1-INDEX(配置与结果!$I$15:$I$18,F1017))</f>
        <v>1200</v>
      </c>
      <c r="AF1017" s="1">
        <f>(IF(L1017=1,方案参数!$AW$31,IF(L1017=2,方案参数!$AX$31,0))+方案参数!$AV$31)*H1017</f>
        <v>6</v>
      </c>
      <c r="AG1017" s="1">
        <f>MAX(配置与结果!$B$32,1+INDEX(配置与结果!$F$15:$F$18,F1017)+0.08+方案参数!$CD$31+Q1017*方案参数!$W$31+Y1017*(方案参数!$AN$31+MIN(方案参数!$AO$31,P1017*0.03))+AB1017*方案参数!$BZ$31*0.025+IF(L1017=1,方案参数!$AY$31+(H1017-1)*0.1,IF(L1017=2,方案参数!$AZ$31+(H1017-1)*0.2,0))-配置与结果!$B$28)</f>
        <v>1.2800000000000002</v>
      </c>
      <c r="AH1017" s="1">
        <f>MAX(0,1+INDEX(配置与结果!$G$15:$G$18,F1017)+W1017*方案参数!$AG$31+IF(L1017=1,方案参数!$BA$31,IF(L1017=2,方案参数!$BB$31,0))+M1017*方案参数!$BC$31)</f>
        <v>2.08</v>
      </c>
      <c r="AI1017" s="1">
        <f>IF(OR(INDEX(配置与结果!$K$15:$K$18,F1017)=1,G1017="RHI_BERRY"),1+配置与结果!$B$33+P1017*方案参数!$AH$31,1)</f>
        <v>1</v>
      </c>
      <c r="AJ1017" s="1">
        <f>MIN(1,MAX(0,J1017+方案参数!$AB$31-配置与结果!$B$27))</f>
        <v>1</v>
      </c>
      <c r="AK1017" s="1">
        <f>MAX(1,K1017+IF(F1017=2,0.15+方案参数!$CH$31,0)+BN1017*方案参数!$X$31+R1017*方案参数!$AA$31+0-配置与结果!$B$26+Z1017*(方案参数!$AP$31+MIN(方案参数!$AQ$31,P1017*0.03)))</f>
        <v>1.8050000000000002</v>
      </c>
      <c r="AL1017" s="7">
        <f>ROUNDDOWN(MAX(AD1017*配置与结果!$B$31,AD1017-AE1017)*AF1017*AG1017*AH1017*AI1017,0)</f>
        <v>21309</v>
      </c>
      <c r="AM1017" s="7">
        <f>ROUNDDOWN(MAX(AD1017*配置与结果!$B$31,AD1017-AE1017)*AF1017*AG1017*AH1017*AI1017*AK1017,0)</f>
        <v>38464</v>
      </c>
      <c r="AN1017" s="7">
        <f t="shared" si="1366"/>
        <v>38464</v>
      </c>
      <c r="AO1017" s="7">
        <f>0</f>
        <v>0</v>
      </c>
      <c r="AP1017" s="7">
        <f>MAX(0,1+INDEX(配置与结果!$J$15:$J$18,F1017)+IF(T1017&gt;0,方案参数!$BY$31,0)-配置与结果!$B$30)</f>
        <v>1</v>
      </c>
      <c r="AQ1017" s="7">
        <f t="shared" si="1367"/>
        <v>0</v>
      </c>
      <c r="AR1017" s="7">
        <f t="shared" si="1368"/>
        <v>0</v>
      </c>
      <c r="AS1017" s="7">
        <f t="shared" si="1369"/>
        <v>0</v>
      </c>
      <c r="AT1017" s="7">
        <f>0</f>
        <v>0</v>
      </c>
      <c r="AU1017" s="7">
        <f t="shared" si="1370"/>
        <v>38464</v>
      </c>
      <c r="AV1017" s="1">
        <f t="shared" si="1371"/>
        <v>1</v>
      </c>
      <c r="AW1017" s="1">
        <f>MIN(10,M1017+0+IF(L1017=1,方案参数!$BE$31,0))</f>
        <v>4</v>
      </c>
      <c r="AX1017" s="1">
        <f t="shared" si="1372"/>
        <v>0</v>
      </c>
      <c r="AY1017" s="1">
        <f t="shared" ref="AY1017:AY1032" si="1441">MIN(20,MAX(0,O1017+0+0-0))</f>
        <v>6</v>
      </c>
      <c r="AZ1017" s="1">
        <f t="shared" si="1373"/>
        <v>3</v>
      </c>
      <c r="BA1017" s="1">
        <f>MIN(6,Q1017+0)</f>
        <v>2</v>
      </c>
      <c r="BB1017" s="1">
        <f t="shared" si="1434"/>
        <v>5</v>
      </c>
      <c r="BC1017" s="1">
        <f t="shared" si="1415"/>
        <v>0</v>
      </c>
      <c r="BD1017" s="1">
        <f t="shared" si="1396"/>
        <v>0</v>
      </c>
      <c r="BE1017" s="1">
        <f t="shared" si="1435"/>
        <v>0</v>
      </c>
      <c r="BF1017" s="1">
        <f t="shared" si="1419"/>
        <v>0</v>
      </c>
      <c r="BG1017" s="1">
        <f t="shared" si="1439"/>
        <v>1</v>
      </c>
      <c r="BH1017" s="1">
        <f t="shared" si="1436"/>
        <v>1</v>
      </c>
      <c r="BI1017" s="1">
        <f t="shared" si="1440"/>
        <v>1</v>
      </c>
      <c r="BJ1017" s="1">
        <f t="shared" si="1410"/>
        <v>0</v>
      </c>
      <c r="BK1017" s="1">
        <f t="shared" si="1411"/>
        <v>0</v>
      </c>
      <c r="BL1017" s="1">
        <f t="shared" si="1416"/>
        <v>0</v>
      </c>
      <c r="BM1017" s="1">
        <f t="shared" si="1414"/>
        <v>0</v>
      </c>
      <c r="BN1017" s="1">
        <f t="shared" si="1437"/>
        <v>1</v>
      </c>
      <c r="BO1017" s="1">
        <f t="shared" si="1438"/>
        <v>1</v>
      </c>
    </row>
    <row r="1018" spans="1:67" ht="30.95" customHeight="1">
      <c r="A1018" s="1">
        <f>28</f>
        <v>28</v>
      </c>
      <c r="B1018" s="1">
        <f>固定流程!A10</f>
        <v>5</v>
      </c>
      <c r="C1018" s="1">
        <f>31</f>
        <v>31</v>
      </c>
      <c r="D1018" s="1">
        <f>1</f>
        <v>1</v>
      </c>
      <c r="E1018" s="1">
        <f>固定流程!C10</f>
        <v>1</v>
      </c>
      <c r="F1018" s="1">
        <f>固定流程!G10</f>
        <v>2</v>
      </c>
      <c r="G1018" s="1" t="str">
        <f>固定流程!H10</f>
        <v>37_TRIANGLE</v>
      </c>
      <c r="H1018" s="1">
        <f>固定流程!F10</f>
        <v>1</v>
      </c>
      <c r="I1018" s="1">
        <f>INDEX(配置与结果!$B$15:$B$18,F1018)</f>
        <v>2306</v>
      </c>
      <c r="J1018" s="1">
        <f>INDEX(配置与结果!$D$15:$D$18,F1018)</f>
        <v>0.46</v>
      </c>
      <c r="K1018" s="1">
        <f>INDEX(配置与结果!$E$15:$E$18,F1018)</f>
        <v>1.9279999999999999</v>
      </c>
      <c r="L1018" s="1">
        <f t="shared" si="1420"/>
        <v>1</v>
      </c>
      <c r="M1018" s="1">
        <f t="shared" si="1420"/>
        <v>4</v>
      </c>
      <c r="N1018" s="1">
        <f t="shared" si="1420"/>
        <v>0</v>
      </c>
      <c r="O1018" s="1">
        <f t="shared" si="1420"/>
        <v>6</v>
      </c>
      <c r="P1018" s="1">
        <f>MIN(方案参数!$AI$31,AZ1017+0+0)</f>
        <v>3</v>
      </c>
      <c r="Q1018" s="1">
        <f t="shared" si="1421"/>
        <v>2</v>
      </c>
      <c r="R1018" s="1">
        <f t="shared" si="1422"/>
        <v>5</v>
      </c>
      <c r="S1018" s="1">
        <f t="shared" si="1423"/>
        <v>0</v>
      </c>
      <c r="T1018" s="1">
        <f t="shared" si="1424"/>
        <v>0</v>
      </c>
      <c r="U1018" s="1">
        <f t="shared" si="1425"/>
        <v>0</v>
      </c>
      <c r="V1018" s="1">
        <f t="shared" si="1426"/>
        <v>0</v>
      </c>
      <c r="W1018" s="1">
        <f t="shared" si="1427"/>
        <v>1</v>
      </c>
      <c r="X1018" s="1">
        <f t="shared" si="1428"/>
        <v>1</v>
      </c>
      <c r="Y1018" s="1">
        <f t="shared" si="1429"/>
        <v>1</v>
      </c>
      <c r="Z1018" s="1">
        <f t="shared" si="1430"/>
        <v>0</v>
      </c>
      <c r="AA1018" s="1">
        <f t="shared" si="1431"/>
        <v>0</v>
      </c>
      <c r="AB1018" s="1">
        <f t="shared" si="1432"/>
        <v>0</v>
      </c>
      <c r="AC1018" s="1">
        <f t="shared" si="1433"/>
        <v>0</v>
      </c>
      <c r="AD1018" s="1">
        <f>ROUNDDOWN(I1018*(1+IF(F1018=3,0.05+方案参数!$Y$31+AA1018*0.12,IF(F1018=4,方案参数!$BZ$31*方案参数!$AS$31,0)))+IF(AND(X1018=1,F1018&lt;&gt;3),方案参数!$CC$31,0)+AC1018*方案参数!$CB$31,0)</f>
        <v>2544</v>
      </c>
      <c r="AE1018" s="1">
        <f>IF(OR(F1018=1,F1018=4),配置与结果!$B$24,配置与结果!$B$25)*MAX(0,1-INDEX(配置与结果!$I$15:$I$18,F1018))</f>
        <v>1000</v>
      </c>
      <c r="AF1018" s="1">
        <f>方案参数!$BS$31*IF(H1018=1,1,IF(H1018=2,1.5,2.5))</f>
        <v>2.8</v>
      </c>
      <c r="AG1018" s="1">
        <f>MAX(配置与结果!$B$32,1+INDEX(配置与结果!$F$15:$F$18,F1018)+0+Q1018*方案参数!$W$31+Y1018*(方案参数!$AN$31+MIN(方案参数!$AO$31,P1018*0.03))+AB1018*方案参数!$BZ$31*0.025-配置与结果!$B$28)</f>
        <v>0.8849999999999999</v>
      </c>
      <c r="AH1018" s="1">
        <f>MAX(0,1+INDEX(配置与结果!$G$15:$G$18,F1018)+W1018*方案参数!$AG$31)</f>
        <v>1.3</v>
      </c>
      <c r="AI1018" s="1">
        <f>IF(OR(INDEX(配置与结果!$K$15:$K$18,F1018)=1,G1018="RHI_BERRY"),1+配置与结果!$B$33+P1018*方案参数!$AH$31,1)</f>
        <v>1</v>
      </c>
      <c r="AJ1018" s="1">
        <f>MIN(1,MAX(0,J1018+方案参数!$AB$31-配置与结果!$B$27))</f>
        <v>0.76</v>
      </c>
      <c r="AK1018" s="1">
        <f>MAX(1,K1018+IF(F1018=2,0.15+方案参数!$CH$31,0)+BN1018*方案参数!$X$31+R1018*方案参数!$AA$31+0-配置与结果!$B$26+Z1018*(方案参数!$AP$31+MIN(方案参数!$AQ$31,P1018*0.03)))</f>
        <v>1.9780000000000002</v>
      </c>
      <c r="AL1018" s="7">
        <f>ROUNDDOWN(MAX(AD1018*配置与结果!$B$31,AD1018-AE1018)*AF1018*AG1018*AH1018*AI1018,0)</f>
        <v>4973</v>
      </c>
      <c r="AM1018" s="7">
        <f>ROUNDDOWN(MAX(AD1018*配置与结果!$B$31,AD1018-AE1018)*AF1018*AG1018*AH1018*AI1018*AK1018,0)</f>
        <v>9838</v>
      </c>
      <c r="AN1018" s="7">
        <f t="shared" si="1366"/>
        <v>8670.4</v>
      </c>
      <c r="AO1018" s="7">
        <f>方案参数!$BU$31*IF(H1018=1,1,IF(H1018=2,1.5,2.5))</f>
        <v>0.8</v>
      </c>
      <c r="AP1018" s="7">
        <f>MAX(0,1+INDEX(配置与结果!$J$15:$J$18,F1018)+IF(T1018&gt;0,方案参数!$BY$31,0)-配置与结果!$B$30)</f>
        <v>1</v>
      </c>
      <c r="AQ1018" s="7">
        <f t="shared" si="1367"/>
        <v>2035</v>
      </c>
      <c r="AR1018" s="7">
        <f t="shared" si="1368"/>
        <v>4025</v>
      </c>
      <c r="AS1018" s="7">
        <f t="shared" si="1369"/>
        <v>3547.4</v>
      </c>
      <c r="AT1018" s="7">
        <f>0</f>
        <v>0</v>
      </c>
      <c r="AU1018" s="7">
        <f t="shared" si="1370"/>
        <v>12217.8</v>
      </c>
      <c r="AV1018" s="1">
        <f t="shared" si="1371"/>
        <v>1</v>
      </c>
      <c r="AW1018" s="1">
        <f>MIN(10,M1018+0+0)</f>
        <v>4</v>
      </c>
      <c r="AX1018" s="1">
        <f t="shared" si="1372"/>
        <v>0</v>
      </c>
      <c r="AY1018" s="1">
        <f t="shared" si="1441"/>
        <v>6</v>
      </c>
      <c r="AZ1018" s="1">
        <f t="shared" si="1373"/>
        <v>3</v>
      </c>
      <c r="BA1018" s="1">
        <f>MIN(6,Q1018+0)</f>
        <v>2</v>
      </c>
      <c r="BB1018" s="1">
        <f t="shared" si="1434"/>
        <v>5</v>
      </c>
      <c r="BC1018" s="1">
        <f t="shared" si="1415"/>
        <v>0</v>
      </c>
      <c r="BD1018" s="1">
        <f>MAX(0,T1018-IF(AO1018&gt;0,1,0))+1</f>
        <v>1</v>
      </c>
      <c r="BE1018" s="1">
        <f t="shared" si="1435"/>
        <v>0</v>
      </c>
      <c r="BF1018" s="1">
        <f t="shared" si="1419"/>
        <v>0</v>
      </c>
      <c r="BG1018" s="1">
        <f t="shared" si="1439"/>
        <v>1</v>
      </c>
      <c r="BH1018" s="1">
        <f t="shared" si="1436"/>
        <v>1</v>
      </c>
      <c r="BI1018" s="1">
        <f t="shared" si="1440"/>
        <v>1</v>
      </c>
      <c r="BJ1018" s="1">
        <f t="shared" si="1410"/>
        <v>0</v>
      </c>
      <c r="BK1018" s="1">
        <f t="shared" si="1411"/>
        <v>0</v>
      </c>
      <c r="BL1018" s="1">
        <f t="shared" si="1416"/>
        <v>0</v>
      </c>
      <c r="BM1018" s="1">
        <f t="shared" si="1414"/>
        <v>0</v>
      </c>
      <c r="BN1018" s="1">
        <f t="shared" si="1437"/>
        <v>1</v>
      </c>
      <c r="BO1018" s="1">
        <f t="shared" si="1438"/>
        <v>1</v>
      </c>
    </row>
    <row r="1019" spans="1:67" ht="30.95" customHeight="1">
      <c r="A1019" s="1">
        <f>28</f>
        <v>28</v>
      </c>
      <c r="B1019" s="1">
        <f>固定流程!A11</f>
        <v>6</v>
      </c>
      <c r="C1019" s="1">
        <f>31</f>
        <v>31</v>
      </c>
      <c r="D1019" s="1">
        <f>1</f>
        <v>1</v>
      </c>
      <c r="E1019" s="1">
        <f>固定流程!C11</f>
        <v>1</v>
      </c>
      <c r="F1019" s="1">
        <f>固定流程!G11</f>
        <v>2</v>
      </c>
      <c r="G1019" s="1" t="str">
        <f>固定流程!H11</f>
        <v>37_FOLLOW</v>
      </c>
      <c r="H1019" s="1">
        <f>固定流程!F11</f>
        <v>1</v>
      </c>
      <c r="I1019" s="1">
        <f>INDEX(配置与结果!$B$15:$B$18,F1019)</f>
        <v>2306</v>
      </c>
      <c r="J1019" s="1">
        <f>INDEX(配置与结果!$D$15:$D$18,F1019)</f>
        <v>0.46</v>
      </c>
      <c r="K1019" s="1">
        <f>INDEX(配置与结果!$E$15:$E$18,F1019)</f>
        <v>1.9279999999999999</v>
      </c>
      <c r="L1019" s="1">
        <f t="shared" si="1420"/>
        <v>1</v>
      </c>
      <c r="M1019" s="1">
        <f t="shared" si="1420"/>
        <v>4</v>
      </c>
      <c r="N1019" s="1">
        <f t="shared" si="1420"/>
        <v>0</v>
      </c>
      <c r="O1019" s="1">
        <f t="shared" si="1420"/>
        <v>6</v>
      </c>
      <c r="P1019" s="1">
        <f>MIN(方案参数!$AI$31,AZ1018+0+0)</f>
        <v>3</v>
      </c>
      <c r="Q1019" s="1">
        <f t="shared" si="1421"/>
        <v>2</v>
      </c>
      <c r="R1019" s="1">
        <f t="shared" si="1422"/>
        <v>5</v>
      </c>
      <c r="S1019" s="1">
        <f t="shared" si="1423"/>
        <v>0</v>
      </c>
      <c r="T1019" s="1">
        <f t="shared" si="1424"/>
        <v>1</v>
      </c>
      <c r="U1019" s="1">
        <f t="shared" si="1425"/>
        <v>0</v>
      </c>
      <c r="V1019" s="1">
        <f t="shared" si="1426"/>
        <v>0</v>
      </c>
      <c r="W1019" s="1">
        <f t="shared" si="1427"/>
        <v>1</v>
      </c>
      <c r="X1019" s="1">
        <f t="shared" si="1428"/>
        <v>1</v>
      </c>
      <c r="Y1019" s="1">
        <f t="shared" si="1429"/>
        <v>1</v>
      </c>
      <c r="Z1019" s="1">
        <f t="shared" si="1430"/>
        <v>0</v>
      </c>
      <c r="AA1019" s="1">
        <f t="shared" si="1431"/>
        <v>0</v>
      </c>
      <c r="AB1019" s="1">
        <f t="shared" si="1432"/>
        <v>0</v>
      </c>
      <c r="AC1019" s="1">
        <f t="shared" si="1433"/>
        <v>0</v>
      </c>
      <c r="AD1019" s="1">
        <f>ROUNDDOWN(I1019*(1+IF(F1019=3,0.05+方案参数!$Y$31+AA1019*0.12,IF(F1019=4,方案参数!$BZ$31*方案参数!$AS$31,0)))+IF(AND(X1019=1,F1019&lt;&gt;3),方案参数!$CC$31,0)+AC1019*方案参数!$CB$31,0)</f>
        <v>2544</v>
      </c>
      <c r="AE1019" s="1">
        <f>IF(OR(F1019=1,F1019=4),配置与结果!$B$24,配置与结果!$B$25)*MAX(0,1-INDEX(配置与结果!$I$15:$I$18,F1019))</f>
        <v>1000</v>
      </c>
      <c r="AF1019" s="1">
        <f>方案参数!$BV$31</f>
        <v>3</v>
      </c>
      <c r="AG1019" s="1">
        <f>MAX(配置与结果!$B$32,1+INDEX(配置与结果!$F$15:$F$18,F1019)+0+Q1019*方案参数!$W$31+Y1019*(方案参数!$AN$31+MIN(方案参数!$AO$31,P1019*0.03))+AB1019*方案参数!$BZ$31*0.025-配置与结果!$B$28)</f>
        <v>0.8849999999999999</v>
      </c>
      <c r="AH1019" s="1">
        <f>MAX(0,1+INDEX(配置与结果!$G$15:$G$18,F1019)+W1019*方案参数!$AG$31)</f>
        <v>1.3</v>
      </c>
      <c r="AI1019" s="1">
        <f>IF(OR(INDEX(配置与结果!$K$15:$K$18,F1019)=1,G1019="RHI_BERRY"),1+配置与结果!$B$33+P1019*方案参数!$AH$31,1)</f>
        <v>1</v>
      </c>
      <c r="AJ1019" s="1">
        <f>MIN(1,MAX(0,J1019+方案参数!$AB$31-配置与结果!$B$27))</f>
        <v>0.76</v>
      </c>
      <c r="AK1019" s="1">
        <f>MAX(1,K1019+IF(F1019=2,0.15+方案参数!$CH$31,0)+BN1019*方案参数!$X$31+R1019*方案参数!$AA$31+0-配置与结果!$B$26+Z1019*(方案参数!$AP$31+MIN(方案参数!$AQ$31,P1019*0.03)))</f>
        <v>1.9780000000000002</v>
      </c>
      <c r="AL1019" s="7">
        <f>ROUNDDOWN(MAX(AD1019*配置与结果!$B$31,AD1019-AE1019)*AF1019*AG1019*AH1019*AI1019,0)</f>
        <v>5329</v>
      </c>
      <c r="AM1019" s="7">
        <f>ROUNDDOWN(MAX(AD1019*配置与结果!$B$31,AD1019-AE1019)*AF1019*AG1019*AH1019*AI1019*AK1019,0)</f>
        <v>10540</v>
      </c>
      <c r="AN1019" s="7">
        <f t="shared" si="1366"/>
        <v>9289.36</v>
      </c>
      <c r="AO1019" s="7">
        <f>方案参数!$BW$31</f>
        <v>1</v>
      </c>
      <c r="AP1019" s="7">
        <f>MAX(0,1+INDEX(配置与结果!$J$15:$J$18,F1019)+IF(T1019&gt;0,方案参数!$BY$31,0)-配置与结果!$B$30)</f>
        <v>2</v>
      </c>
      <c r="AQ1019" s="7">
        <f t="shared" si="1367"/>
        <v>5088</v>
      </c>
      <c r="AR1019" s="7">
        <f t="shared" si="1368"/>
        <v>10064</v>
      </c>
      <c r="AS1019" s="7">
        <f t="shared" si="1369"/>
        <v>8869.76</v>
      </c>
      <c r="AT1019" s="7">
        <f>0</f>
        <v>0</v>
      </c>
      <c r="AU1019" s="7">
        <f t="shared" si="1370"/>
        <v>18159.120000000003</v>
      </c>
      <c r="AV1019" s="1">
        <f t="shared" si="1371"/>
        <v>1</v>
      </c>
      <c r="AW1019" s="1">
        <f>MIN(10,M1019+0+0)</f>
        <v>4</v>
      </c>
      <c r="AX1019" s="1">
        <f t="shared" si="1372"/>
        <v>0</v>
      </c>
      <c r="AY1019" s="1">
        <f t="shared" si="1441"/>
        <v>6</v>
      </c>
      <c r="AZ1019" s="1">
        <f t="shared" si="1373"/>
        <v>3</v>
      </c>
      <c r="BA1019" s="1">
        <f>MIN(6,Q1019+0)</f>
        <v>2</v>
      </c>
      <c r="BB1019" s="1">
        <f t="shared" si="1434"/>
        <v>5</v>
      </c>
      <c r="BC1019" s="1">
        <f t="shared" si="1415"/>
        <v>0</v>
      </c>
      <c r="BD1019" s="1">
        <f t="shared" ref="BD1019:BD1053" si="1442">MAX(0,T1019-IF(AO1019&gt;0,1,0))+0</f>
        <v>0</v>
      </c>
      <c r="BE1019" s="1">
        <f t="shared" si="1435"/>
        <v>0</v>
      </c>
      <c r="BF1019" s="1">
        <f>MIN(4,V1019+1)</f>
        <v>1</v>
      </c>
      <c r="BG1019" s="1">
        <f t="shared" si="1439"/>
        <v>1</v>
      </c>
      <c r="BH1019" s="1">
        <f t="shared" si="1436"/>
        <v>1</v>
      </c>
      <c r="BI1019" s="1">
        <f t="shared" si="1440"/>
        <v>1</v>
      </c>
      <c r="BJ1019" s="1">
        <f t="shared" si="1410"/>
        <v>0</v>
      </c>
      <c r="BK1019" s="1">
        <f t="shared" si="1411"/>
        <v>0</v>
      </c>
      <c r="BL1019" s="1">
        <f t="shared" si="1416"/>
        <v>0</v>
      </c>
      <c r="BM1019" s="1">
        <f t="shared" si="1414"/>
        <v>0</v>
      </c>
      <c r="BN1019" s="1">
        <f t="shared" si="1437"/>
        <v>1</v>
      </c>
      <c r="BO1019" s="1">
        <f t="shared" si="1438"/>
        <v>1</v>
      </c>
    </row>
    <row r="1020" spans="1:67" ht="30.95" customHeight="1">
      <c r="A1020" s="1">
        <f>28</f>
        <v>28</v>
      </c>
      <c r="B1020" s="1">
        <f>固定流程!A12</f>
        <v>7</v>
      </c>
      <c r="C1020" s="1">
        <f>31</f>
        <v>31</v>
      </c>
      <c r="D1020" s="1">
        <f>1</f>
        <v>1</v>
      </c>
      <c r="E1020" s="1">
        <f>固定流程!C12</f>
        <v>1</v>
      </c>
      <c r="F1020" s="1">
        <f>固定流程!G12</f>
        <v>4</v>
      </c>
      <c r="G1020" s="1" t="str">
        <f>固定流程!H12</f>
        <v>J_HARD</v>
      </c>
      <c r="H1020" s="1">
        <f>固定流程!F12</f>
        <v>1</v>
      </c>
      <c r="I1020" s="1">
        <f>INDEX(配置与结果!$B$15:$B$18,F1020)</f>
        <v>1906</v>
      </c>
      <c r="J1020" s="1">
        <f>INDEX(配置与结果!$D$15:$D$18,F1020)</f>
        <v>0.36699999999999999</v>
      </c>
      <c r="K1020" s="1">
        <f>INDEX(配置与结果!$E$15:$E$18,F1020)</f>
        <v>1.7170000000000001</v>
      </c>
      <c r="L1020" s="1">
        <f t="shared" si="1420"/>
        <v>1</v>
      </c>
      <c r="M1020" s="1">
        <f t="shared" si="1420"/>
        <v>4</v>
      </c>
      <c r="N1020" s="1">
        <f t="shared" si="1420"/>
        <v>0</v>
      </c>
      <c r="O1020" s="1">
        <f t="shared" si="1420"/>
        <v>6</v>
      </c>
      <c r="P1020" s="1">
        <f>MIN(方案参数!$AI$31,AZ1019+0+0)</f>
        <v>3</v>
      </c>
      <c r="Q1020" s="1">
        <f t="shared" si="1421"/>
        <v>2</v>
      </c>
      <c r="R1020" s="1">
        <f t="shared" si="1422"/>
        <v>5</v>
      </c>
      <c r="S1020" s="1">
        <f t="shared" si="1423"/>
        <v>0</v>
      </c>
      <c r="T1020" s="1">
        <f t="shared" si="1424"/>
        <v>0</v>
      </c>
      <c r="U1020" s="1">
        <f t="shared" si="1425"/>
        <v>0</v>
      </c>
      <c r="V1020" s="1">
        <f t="shared" si="1426"/>
        <v>1</v>
      </c>
      <c r="W1020" s="1">
        <f t="shared" si="1427"/>
        <v>1</v>
      </c>
      <c r="X1020" s="1">
        <f t="shared" si="1428"/>
        <v>1</v>
      </c>
      <c r="Y1020" s="1">
        <f t="shared" si="1429"/>
        <v>1</v>
      </c>
      <c r="Z1020" s="1">
        <f t="shared" si="1430"/>
        <v>0</v>
      </c>
      <c r="AA1020" s="1">
        <f t="shared" si="1431"/>
        <v>0</v>
      </c>
      <c r="AB1020" s="1">
        <f t="shared" si="1432"/>
        <v>0</v>
      </c>
      <c r="AC1020" s="1">
        <f t="shared" si="1433"/>
        <v>0</v>
      </c>
      <c r="AD1020" s="1">
        <f>ROUNDDOWN(I1020*(1+IF(F1020=3,0.05+方案参数!$Y$31+AA1020*0.12,IF(F1020=4,方案参数!$BZ$31*方案参数!$AS$31,0)))+IF(AND(X1020=1,F1020&lt;&gt;3),方案参数!$CC$31,0)+AC1020*方案参数!$CB$31,0)</f>
        <v>2811</v>
      </c>
      <c r="AE1020" s="1">
        <f>IF(OR(F1020=1,F1020=4),配置与结果!$B$24,配置与结果!$B$25)*MAX(0,1-INDEX(配置与结果!$I$15:$I$18,F1020))</f>
        <v>1200</v>
      </c>
      <c r="AF1020" s="1">
        <f>3.6*IF(H1020=1,1,IF(H1020=2,1.5,2.5))</f>
        <v>3.6</v>
      </c>
      <c r="AG1020" s="1">
        <f>MAX(配置与结果!$B$32,1+INDEX(配置与结果!$F$15:$F$18,F1020)+0.08+Q1020*方案参数!$W$31+Y1020*(方案参数!$AN$31+MIN(方案参数!$AO$31,P1020*0.03))+AB1020*方案参数!$BZ$31*0.025+0.1+IF(方案参数!$BZ$31&gt;=30,方案参数!$BZ$31*0.01,0)-配置与结果!$B$28)</f>
        <v>1.4350000000000001</v>
      </c>
      <c r="AH1020" s="1">
        <f>MAX(0,1+INDEX(配置与结果!$G$15:$G$18,F1020)+W1020*方案参数!$AG$31)</f>
        <v>1.3</v>
      </c>
      <c r="AI1020" s="1">
        <f>IF(OR(INDEX(配置与结果!$K$15:$K$18,F1020)=1,G1020="RHI_BERRY"),1+配置与结果!$B$33+P1020*方案参数!$AH$31,1)</f>
        <v>1</v>
      </c>
      <c r="AJ1020" s="1">
        <f>MIN(1,MAX(0,J1020+方案参数!$AB$31-配置与结果!$B$27))</f>
        <v>0.66700000000000004</v>
      </c>
      <c r="AK1020" s="1">
        <f>MAX(1,K1020+IF(F1020=2,0.15+方案参数!$CH$31,0)+BN1020*方案参数!$X$31+R1020*方案参数!$AA$31+0-配置与结果!$B$26+Z1020*(方案参数!$AP$31+MIN(方案参数!$AQ$31,P1020*0.03)))</f>
        <v>1.4969999999999999</v>
      </c>
      <c r="AL1020" s="7">
        <f>ROUNDDOWN(MAX(AD1020*配置与结果!$B$31,AD1020-AE1020)*AF1020*AG1020*AH1020*AI1020,0)</f>
        <v>10819</v>
      </c>
      <c r="AM1020" s="7">
        <f>ROUNDDOWN(MAX(AD1020*配置与结果!$B$31,AD1020-AE1020)*AF1020*AG1020*AH1020*AI1020*AK1020,0)</f>
        <v>16196</v>
      </c>
      <c r="AN1020" s="7">
        <f t="shared" si="1366"/>
        <v>14405.458999999999</v>
      </c>
      <c r="AO1020" s="7">
        <f>0</f>
        <v>0</v>
      </c>
      <c r="AP1020" s="7">
        <f>MAX(0,1+INDEX(配置与结果!$J$15:$J$18,F1020)+IF(T1020&gt;0,方案参数!$BY$31,0)-配置与结果!$B$30)</f>
        <v>1</v>
      </c>
      <c r="AQ1020" s="7">
        <f t="shared" si="1367"/>
        <v>0</v>
      </c>
      <c r="AR1020" s="7">
        <f t="shared" si="1368"/>
        <v>0</v>
      </c>
      <c r="AS1020" s="7">
        <f t="shared" si="1369"/>
        <v>0</v>
      </c>
      <c r="AT1020" s="7">
        <f>0</f>
        <v>0</v>
      </c>
      <c r="AU1020" s="7">
        <f t="shared" si="1370"/>
        <v>14405.458999999999</v>
      </c>
      <c r="AV1020" s="1">
        <f t="shared" si="1371"/>
        <v>1</v>
      </c>
      <c r="AW1020" s="1">
        <f>MIN(10,M1020+0+0)</f>
        <v>4</v>
      </c>
      <c r="AX1020" s="1">
        <f t="shared" si="1372"/>
        <v>0</v>
      </c>
      <c r="AY1020" s="1">
        <f t="shared" si="1441"/>
        <v>6</v>
      </c>
      <c r="AZ1020" s="1">
        <f t="shared" si="1373"/>
        <v>3</v>
      </c>
      <c r="BA1020" s="1">
        <f>MIN(6,Q1020+0)</f>
        <v>2</v>
      </c>
      <c r="BB1020" s="1">
        <f t="shared" si="1434"/>
        <v>5</v>
      </c>
      <c r="BC1020" s="1">
        <f>MIN(3,S1020+1)</f>
        <v>1</v>
      </c>
      <c r="BD1020" s="1">
        <f t="shared" si="1442"/>
        <v>0</v>
      </c>
      <c r="BE1020" s="1">
        <f t="shared" si="1435"/>
        <v>0</v>
      </c>
      <c r="BF1020" s="1">
        <f>MIN(4,V1020+0)</f>
        <v>1</v>
      </c>
      <c r="BG1020" s="1">
        <f t="shared" si="1439"/>
        <v>1</v>
      </c>
      <c r="BH1020" s="1">
        <f t="shared" si="1436"/>
        <v>1</v>
      </c>
      <c r="BI1020" s="1">
        <f t="shared" si="1440"/>
        <v>1</v>
      </c>
      <c r="BJ1020" s="1">
        <f t="shared" si="1410"/>
        <v>0</v>
      </c>
      <c r="BK1020" s="1">
        <f t="shared" si="1411"/>
        <v>0</v>
      </c>
      <c r="BL1020" s="1">
        <f t="shared" si="1416"/>
        <v>0</v>
      </c>
      <c r="BM1020" s="1">
        <f t="shared" si="1414"/>
        <v>0</v>
      </c>
      <c r="BN1020" s="1">
        <f t="shared" si="1437"/>
        <v>1</v>
      </c>
      <c r="BO1020" s="1">
        <f t="shared" si="1438"/>
        <v>1</v>
      </c>
    </row>
    <row r="1021" spans="1:67" ht="30.95" customHeight="1">
      <c r="A1021" s="1">
        <f>28</f>
        <v>28</v>
      </c>
      <c r="B1021" s="1">
        <f>固定流程!A13</f>
        <v>8</v>
      </c>
      <c r="C1021" s="1">
        <f>31</f>
        <v>31</v>
      </c>
      <c r="D1021" s="1">
        <f>1</f>
        <v>1</v>
      </c>
      <c r="E1021" s="1">
        <f>固定流程!C13</f>
        <v>2</v>
      </c>
      <c r="F1021" s="1">
        <f>固定流程!G13</f>
        <v>3</v>
      </c>
      <c r="G1021" s="1" t="str">
        <f>固定流程!H13</f>
        <v>RHI_ATTACK</v>
      </c>
      <c r="H1021" s="1">
        <f>固定流程!F13</f>
        <v>1</v>
      </c>
      <c r="I1021" s="1">
        <f>INDEX(配置与结果!$B$15:$B$18,F1021)</f>
        <v>2597</v>
      </c>
      <c r="J1021" s="1">
        <f>INDEX(配置与结果!$D$15:$D$18,F1021)</f>
        <v>0.255</v>
      </c>
      <c r="K1021" s="1">
        <f>INDEX(配置与结果!$E$15:$E$18,F1021)</f>
        <v>1.55</v>
      </c>
      <c r="L1021" s="1">
        <f>IF(AV1020=1,IF(M1021&gt;=10,2,1),IF(AV1020=2,IF(AX1020&lt;=1,0,2),0))</f>
        <v>1</v>
      </c>
      <c r="M1021" s="1">
        <f>IF(AND(AV1020=2,AX1020&lt;=1),0,MIN(10,AW1020+IF(AV1020=1,3,0)))</f>
        <v>7</v>
      </c>
      <c r="N1021" s="1">
        <f>IF(AND(AV1020=1,M1021&gt;=10),2,IF(AV1020=2,MAX(0,AX1020-1),0))</f>
        <v>0</v>
      </c>
      <c r="O1021" s="1">
        <f t="shared" ref="O1021:O1049" si="1443">AY1020</f>
        <v>6</v>
      </c>
      <c r="P1021" s="1">
        <f>MIN(方案参数!$AI$31,AZ1020+方案参数!$AJ$31+方案参数!$AK$31)</f>
        <v>5</v>
      </c>
      <c r="Q1021" s="1">
        <f t="shared" si="1421"/>
        <v>2</v>
      </c>
      <c r="R1021" s="1">
        <f t="shared" si="1422"/>
        <v>5</v>
      </c>
      <c r="S1021" s="1">
        <f t="shared" si="1423"/>
        <v>1</v>
      </c>
      <c r="T1021" s="1">
        <f t="shared" si="1424"/>
        <v>0</v>
      </c>
      <c r="U1021" s="1">
        <f t="shared" si="1425"/>
        <v>0</v>
      </c>
      <c r="V1021" s="1">
        <f t="shared" si="1426"/>
        <v>1</v>
      </c>
      <c r="W1021" s="1">
        <f t="shared" si="1427"/>
        <v>1</v>
      </c>
      <c r="X1021" s="1">
        <f t="shared" si="1428"/>
        <v>1</v>
      </c>
      <c r="Y1021" s="1">
        <f t="shared" si="1429"/>
        <v>1</v>
      </c>
      <c r="Z1021" s="1">
        <f t="shared" si="1430"/>
        <v>0</v>
      </c>
      <c r="AA1021" s="1">
        <f>MAX(BK1020,1)</f>
        <v>1</v>
      </c>
      <c r="AB1021" s="1">
        <f t="shared" si="1432"/>
        <v>0</v>
      </c>
      <c r="AC1021" s="1">
        <f t="shared" si="1433"/>
        <v>0</v>
      </c>
      <c r="AD1021" s="1">
        <f>ROUNDDOWN(I1021*(1+IF(F1021=3,0.05+方案参数!$Y$31+AA1021*0.12,IF(F1021=4,方案参数!$BZ$31*方案参数!$AS$31,0)))+IF(AND(X1021=1,F1021&lt;&gt;3),方案参数!$CC$31,0)+AC1021*方案参数!$CB$31,0)</f>
        <v>3298</v>
      </c>
      <c r="AE1021" s="1">
        <f>IF(OR(F1021=1,F1021=4),配置与结果!$B$24,配置与结果!$B$25)*MAX(0,1-INDEX(配置与结果!$I$15:$I$18,F1021))</f>
        <v>1000</v>
      </c>
      <c r="AF1021" s="1">
        <f>4</f>
        <v>4</v>
      </c>
      <c r="AG1021" s="1">
        <f>MAX(配置与结果!$B$32,1+INDEX(配置与结果!$F$15:$F$18,F1021)+0+Q1021*方案参数!$W$31+Y1021*(方案参数!$AN$31+MIN(方案参数!$AO$31,P1021*0.03))+AB1021*方案参数!$BZ$31*0.025-配置与结果!$B$28)</f>
        <v>0.97499999999999998</v>
      </c>
      <c r="AH1021" s="1">
        <f>MAX(0,1+INDEX(配置与结果!$G$15:$G$18,F1021)+W1021*方案参数!$AG$31)</f>
        <v>1.3</v>
      </c>
      <c r="AI1021" s="1">
        <f>IF(OR(INDEX(配置与结果!$K$15:$K$18,F1021)=1,G1021="RHI_BERRY"),1+配置与结果!$B$33+P1021*方案参数!$AH$31,1)</f>
        <v>1</v>
      </c>
      <c r="AJ1021" s="1">
        <f>MIN(1,MAX(0,J1021+方案参数!$AB$31-配置与结果!$B$27))</f>
        <v>0.55499999999999994</v>
      </c>
      <c r="AK1021" s="1">
        <f>MAX(1,K1021+IF(F1021=2,0.15+方案参数!$CH$31,0)+BN1021*方案参数!$X$31+R1021*方案参数!$AA$31+0-配置与结果!$B$26+Z1021*(方案参数!$AP$31+MIN(方案参数!$AQ$31,P1021*0.03)))</f>
        <v>1.33</v>
      </c>
      <c r="AL1021" s="7">
        <f>ROUNDDOWN(MAX(AD1021*配置与结果!$B$31,AD1021-AE1021)*AF1021*AG1021*AH1021*AI1021,0)</f>
        <v>11650</v>
      </c>
      <c r="AM1021" s="7">
        <f>ROUNDDOWN(MAX(AD1021*配置与结果!$B$31,AD1021-AE1021)*AF1021*AG1021*AH1021*AI1021*AK1021,0)</f>
        <v>15495</v>
      </c>
      <c r="AN1021" s="7">
        <f t="shared" si="1366"/>
        <v>13783.974999999999</v>
      </c>
      <c r="AO1021" s="7">
        <f>0</f>
        <v>0</v>
      </c>
      <c r="AP1021" s="7">
        <f>MAX(0,1+INDEX(配置与结果!$J$15:$J$18,F1021)+IF(T1021&gt;0,方案参数!$BY$31,0)-配置与结果!$B$30)</f>
        <v>1</v>
      </c>
      <c r="AQ1021" s="7">
        <f t="shared" si="1367"/>
        <v>0</v>
      </c>
      <c r="AR1021" s="7">
        <f t="shared" si="1368"/>
        <v>0</v>
      </c>
      <c r="AS1021" s="7">
        <f t="shared" si="1369"/>
        <v>0</v>
      </c>
      <c r="AT1021" s="7">
        <f>0</f>
        <v>0</v>
      </c>
      <c r="AU1021" s="7">
        <f t="shared" si="1370"/>
        <v>13783.974999999999</v>
      </c>
      <c r="AV1021" s="1">
        <f t="shared" si="1371"/>
        <v>1</v>
      </c>
      <c r="AW1021" s="1">
        <f>MIN(10,M1021+0+0)</f>
        <v>7</v>
      </c>
      <c r="AX1021" s="1">
        <f t="shared" si="1372"/>
        <v>0</v>
      </c>
      <c r="AY1021" s="1">
        <f t="shared" si="1441"/>
        <v>6</v>
      </c>
      <c r="AZ1021" s="1">
        <f t="shared" si="1373"/>
        <v>5</v>
      </c>
      <c r="BA1021" s="1">
        <f>MIN(6,Q1021+1)</f>
        <v>3</v>
      </c>
      <c r="BB1021" s="1">
        <f t="shared" si="1434"/>
        <v>5</v>
      </c>
      <c r="BC1021" s="1">
        <f>MIN(3,S1021+0)</f>
        <v>1</v>
      </c>
      <c r="BD1021" s="1">
        <f t="shared" si="1442"/>
        <v>0</v>
      </c>
      <c r="BE1021" s="1">
        <f t="shared" si="1435"/>
        <v>0</v>
      </c>
      <c r="BF1021" s="1">
        <f>MIN(4,V1021+0)</f>
        <v>1</v>
      </c>
      <c r="BG1021" s="1">
        <f t="shared" si="1439"/>
        <v>1</v>
      </c>
      <c r="BH1021" s="1">
        <f t="shared" si="1436"/>
        <v>1</v>
      </c>
      <c r="BI1021" s="1">
        <f t="shared" si="1440"/>
        <v>1</v>
      </c>
      <c r="BJ1021" s="1">
        <f>MAX(Z1021,1)</f>
        <v>1</v>
      </c>
      <c r="BK1021" s="1">
        <f>MAX(AA1021,1)</f>
        <v>1</v>
      </c>
      <c r="BL1021" s="1">
        <f t="shared" si="1416"/>
        <v>0</v>
      </c>
      <c r="BM1021" s="1">
        <f t="shared" si="1414"/>
        <v>0</v>
      </c>
      <c r="BN1021" s="1">
        <f t="shared" si="1437"/>
        <v>1</v>
      </c>
      <c r="BO1021" s="1">
        <f t="shared" si="1438"/>
        <v>1</v>
      </c>
    </row>
    <row r="1022" spans="1:67" ht="30.95" customHeight="1">
      <c r="A1022" s="1">
        <f>28</f>
        <v>28</v>
      </c>
      <c r="B1022" s="1">
        <f>固定流程!A14</f>
        <v>9</v>
      </c>
      <c r="C1022" s="1">
        <f>31</f>
        <v>31</v>
      </c>
      <c r="D1022" s="1">
        <f>1</f>
        <v>1</v>
      </c>
      <c r="E1022" s="1">
        <f>固定流程!C14</f>
        <v>2</v>
      </c>
      <c r="F1022" s="1">
        <f>固定流程!G14</f>
        <v>1</v>
      </c>
      <c r="G1022" s="1" t="str">
        <f>固定流程!H14</f>
        <v>LILYA_DIVE</v>
      </c>
      <c r="H1022" s="1">
        <f>固定流程!F14</f>
        <v>3</v>
      </c>
      <c r="I1022" s="1">
        <f>INDEX(配置与结果!$B$15:$B$18,F1022)</f>
        <v>2296</v>
      </c>
      <c r="J1022" s="1">
        <f>INDEX(配置与结果!$D$15:$D$18,F1022)</f>
        <v>0.7</v>
      </c>
      <c r="K1022" s="1">
        <f>INDEX(配置与结果!$E$15:$E$18,F1022)</f>
        <v>2.0249999999999999</v>
      </c>
      <c r="L1022" s="1">
        <f t="shared" ref="L1022:N1026" si="1444">AV1021</f>
        <v>1</v>
      </c>
      <c r="M1022" s="1">
        <f t="shared" si="1444"/>
        <v>7</v>
      </c>
      <c r="N1022" s="1">
        <f t="shared" si="1444"/>
        <v>0</v>
      </c>
      <c r="O1022" s="1">
        <f t="shared" si="1443"/>
        <v>6</v>
      </c>
      <c r="P1022" s="1">
        <f>MIN(方案参数!$AI$31,AZ1021+0+0)</f>
        <v>5</v>
      </c>
      <c r="Q1022" s="1">
        <f t="shared" si="1421"/>
        <v>3</v>
      </c>
      <c r="R1022" s="1">
        <f t="shared" si="1422"/>
        <v>5</v>
      </c>
      <c r="S1022" s="1">
        <f t="shared" si="1423"/>
        <v>1</v>
      </c>
      <c r="T1022" s="1">
        <f t="shared" si="1424"/>
        <v>0</v>
      </c>
      <c r="U1022" s="1">
        <f t="shared" si="1425"/>
        <v>0</v>
      </c>
      <c r="V1022" s="1">
        <f t="shared" si="1426"/>
        <v>1</v>
      </c>
      <c r="W1022" s="1">
        <f t="shared" si="1427"/>
        <v>1</v>
      </c>
      <c r="X1022" s="1">
        <f t="shared" si="1428"/>
        <v>1</v>
      </c>
      <c r="Y1022" s="1">
        <f t="shared" si="1429"/>
        <v>1</v>
      </c>
      <c r="Z1022" s="1">
        <f t="shared" si="1430"/>
        <v>1</v>
      </c>
      <c r="AA1022" s="1">
        <f t="shared" ref="AA1022:AA1027" si="1445">MAX(BK1021,0)</f>
        <v>1</v>
      </c>
      <c r="AB1022" s="1">
        <f t="shared" si="1432"/>
        <v>0</v>
      </c>
      <c r="AC1022" s="1">
        <f t="shared" si="1433"/>
        <v>0</v>
      </c>
      <c r="AD1022" s="1">
        <f>ROUNDDOWN(I1022*(1+IF(F1022=3,0.05+方案参数!$Y$31+AA1022*0.12,IF(F1022=4,方案参数!$BZ$31*方案参数!$AS$31,0)))+IF(AND(X1022=1,F1022&lt;&gt;3),方案参数!$CC$31,0)+AC1022*方案参数!$CB$31,0)</f>
        <v>2534</v>
      </c>
      <c r="AE1022" s="1">
        <f>IF(OR(F1022=1,F1022=4),配置与结果!$B$24,配置与结果!$B$25)*MAX(0,1-INDEX(配置与结果!$I$15:$I$18,F1022))</f>
        <v>1200</v>
      </c>
      <c r="AF1022" s="1">
        <f>(IF(L1022=1,方案参数!$AW$31,IF(L1022=2,方案参数!$AX$31,0))+方案参数!$AV$31)*H1022</f>
        <v>18</v>
      </c>
      <c r="AG1022" s="1">
        <f>MAX(配置与结果!$B$32,1+INDEX(配置与结果!$F$15:$F$18,F1022)+0.08+方案参数!$CD$31+Q1022*方案参数!$W$31+Y1022*(方案参数!$AN$31+MIN(方案参数!$AO$31,P1022*0.03))+AB1022*方案参数!$BZ$31*0.025+IF(L1022=1,方案参数!$AY$31+(H1022-1)*0.1,IF(L1022=2,方案参数!$AZ$31+(H1022-1)*0.2,0))-配置与结果!$B$28)</f>
        <v>1.5600000000000005</v>
      </c>
      <c r="AH1022" s="1">
        <f>MAX(0,1+INDEX(配置与结果!$G$15:$G$18,F1022)+W1022*方案参数!$AG$31+IF(L1022=1,方案参数!$BA$31,IF(L1022=2,方案参数!$BB$31,0))+M1022*方案参数!$BC$31)</f>
        <v>2.3199999999999998</v>
      </c>
      <c r="AI1022" s="1">
        <f>IF(OR(INDEX(配置与结果!$K$15:$K$18,F1022)=1,G1022="RHI_BERRY"),1+配置与结果!$B$33+P1022*方案参数!$AH$31,1)</f>
        <v>1</v>
      </c>
      <c r="AJ1022" s="1">
        <f>MIN(1,MAX(0,J1022+方案参数!$AB$31-配置与结果!$B$27))</f>
        <v>1</v>
      </c>
      <c r="AK1022" s="1">
        <f>MAX(1,K1022+IF(F1022=2,0.15+方案参数!$CH$31,0)+BN1022*方案参数!$X$31+R1022*方案参数!$AA$31+0-配置与结果!$B$26+Z1022*(方案参数!$AP$31+MIN(方案参数!$AQ$31,P1022*0.03)))</f>
        <v>2.105</v>
      </c>
      <c r="AL1022" s="7">
        <f>ROUNDDOWN(MAX(AD1022*配置与结果!$B$31,AD1022-AE1022)*AF1022*AG1022*AH1022*AI1022,0)</f>
        <v>86904</v>
      </c>
      <c r="AM1022" s="7">
        <f>ROUNDDOWN(MAX(AD1022*配置与结果!$B$31,AD1022-AE1022)*AF1022*AG1022*AH1022*AI1022*AK1022,0)</f>
        <v>182933</v>
      </c>
      <c r="AN1022" s="7">
        <f t="shared" si="1366"/>
        <v>182933</v>
      </c>
      <c r="AO1022" s="7">
        <f>0</f>
        <v>0</v>
      </c>
      <c r="AP1022" s="7">
        <f>MAX(0,1+INDEX(配置与结果!$J$15:$J$18,F1022)+IF(T1022&gt;0,方案参数!$BY$31,0)-配置与结果!$B$30)</f>
        <v>1</v>
      </c>
      <c r="AQ1022" s="7">
        <f t="shared" si="1367"/>
        <v>0</v>
      </c>
      <c r="AR1022" s="7">
        <f t="shared" si="1368"/>
        <v>0</v>
      </c>
      <c r="AS1022" s="7">
        <f t="shared" si="1369"/>
        <v>0</v>
      </c>
      <c r="AT1022" s="7">
        <f>0</f>
        <v>0</v>
      </c>
      <c r="AU1022" s="7">
        <f t="shared" si="1370"/>
        <v>182933</v>
      </c>
      <c r="AV1022" s="1">
        <f t="shared" si="1371"/>
        <v>1</v>
      </c>
      <c r="AW1022" s="1">
        <f>MIN(10,M1022+0+IF(L1022=1,方案参数!$BE$31,0))</f>
        <v>8</v>
      </c>
      <c r="AX1022" s="1">
        <f t="shared" si="1372"/>
        <v>0</v>
      </c>
      <c r="AY1022" s="1">
        <f t="shared" si="1441"/>
        <v>6</v>
      </c>
      <c r="AZ1022" s="1">
        <f t="shared" si="1373"/>
        <v>5</v>
      </c>
      <c r="BA1022" s="1">
        <f>MIN(6,Q1022+0)</f>
        <v>3</v>
      </c>
      <c r="BB1022" s="1">
        <f t="shared" si="1434"/>
        <v>5</v>
      </c>
      <c r="BC1022" s="1">
        <f>MIN(3,S1022+0)</f>
        <v>1</v>
      </c>
      <c r="BD1022" s="1">
        <f t="shared" si="1442"/>
        <v>0</v>
      </c>
      <c r="BE1022" s="1">
        <f t="shared" si="1435"/>
        <v>0</v>
      </c>
      <c r="BF1022" s="1">
        <f>MIN(4,V1022+0)</f>
        <v>1</v>
      </c>
      <c r="BG1022" s="1">
        <f t="shared" si="1439"/>
        <v>1</v>
      </c>
      <c r="BH1022" s="1">
        <f t="shared" si="1436"/>
        <v>1</v>
      </c>
      <c r="BI1022" s="1">
        <f t="shared" si="1440"/>
        <v>1</v>
      </c>
      <c r="BJ1022" s="1">
        <f t="shared" ref="BJ1022:BK1027" si="1446">MAX(Z1022,0)</f>
        <v>1</v>
      </c>
      <c r="BK1022" s="1">
        <f t="shared" si="1446"/>
        <v>1</v>
      </c>
      <c r="BL1022" s="1">
        <f t="shared" si="1416"/>
        <v>0</v>
      </c>
      <c r="BM1022" s="1">
        <f t="shared" si="1414"/>
        <v>0</v>
      </c>
      <c r="BN1022" s="1">
        <f t="shared" si="1437"/>
        <v>1</v>
      </c>
      <c r="BO1022" s="1">
        <f t="shared" si="1438"/>
        <v>1</v>
      </c>
    </row>
    <row r="1023" spans="1:67" ht="30.95" customHeight="1">
      <c r="A1023" s="1">
        <f>28</f>
        <v>28</v>
      </c>
      <c r="B1023" s="1">
        <f>固定流程!A15</f>
        <v>10</v>
      </c>
      <c r="C1023" s="1">
        <f>31</f>
        <v>31</v>
      </c>
      <c r="D1023" s="1">
        <f>1</f>
        <v>1</v>
      </c>
      <c r="E1023" s="1">
        <f>固定流程!C15</f>
        <v>2</v>
      </c>
      <c r="F1023" s="1">
        <f>固定流程!G15</f>
        <v>4</v>
      </c>
      <c r="G1023" s="1" t="str">
        <f>固定流程!H15</f>
        <v>J_HARD</v>
      </c>
      <c r="H1023" s="1">
        <f>固定流程!F15</f>
        <v>1</v>
      </c>
      <c r="I1023" s="1">
        <f>INDEX(配置与结果!$B$15:$B$18,F1023)</f>
        <v>1906</v>
      </c>
      <c r="J1023" s="1">
        <f>INDEX(配置与结果!$D$15:$D$18,F1023)</f>
        <v>0.36699999999999999</v>
      </c>
      <c r="K1023" s="1">
        <f>INDEX(配置与结果!$E$15:$E$18,F1023)</f>
        <v>1.7170000000000001</v>
      </c>
      <c r="L1023" s="1">
        <f t="shared" si="1444"/>
        <v>1</v>
      </c>
      <c r="M1023" s="1">
        <f t="shared" si="1444"/>
        <v>8</v>
      </c>
      <c r="N1023" s="1">
        <f t="shared" si="1444"/>
        <v>0</v>
      </c>
      <c r="O1023" s="1">
        <f t="shared" si="1443"/>
        <v>6</v>
      </c>
      <c r="P1023" s="1">
        <f>MIN(方案参数!$AI$31,AZ1022+0+0)</f>
        <v>5</v>
      </c>
      <c r="Q1023" s="1">
        <f t="shared" si="1421"/>
        <v>3</v>
      </c>
      <c r="R1023" s="1">
        <f t="shared" si="1422"/>
        <v>5</v>
      </c>
      <c r="S1023" s="1">
        <f t="shared" si="1423"/>
        <v>1</v>
      </c>
      <c r="T1023" s="1">
        <f t="shared" si="1424"/>
        <v>0</v>
      </c>
      <c r="U1023" s="1">
        <f t="shared" si="1425"/>
        <v>0</v>
      </c>
      <c r="V1023" s="1">
        <f t="shared" si="1426"/>
        <v>1</v>
      </c>
      <c r="W1023" s="1">
        <f t="shared" si="1427"/>
        <v>1</v>
      </c>
      <c r="X1023" s="1">
        <f t="shared" si="1428"/>
        <v>1</v>
      </c>
      <c r="Y1023" s="1">
        <f t="shared" si="1429"/>
        <v>1</v>
      </c>
      <c r="Z1023" s="1">
        <f t="shared" si="1430"/>
        <v>1</v>
      </c>
      <c r="AA1023" s="1">
        <f t="shared" si="1445"/>
        <v>1</v>
      </c>
      <c r="AB1023" s="1">
        <f t="shared" si="1432"/>
        <v>0</v>
      </c>
      <c r="AC1023" s="1">
        <f t="shared" si="1433"/>
        <v>0</v>
      </c>
      <c r="AD1023" s="1">
        <f>ROUNDDOWN(I1023*(1+IF(F1023=3,0.05+方案参数!$Y$31+AA1023*0.12,IF(F1023=4,方案参数!$BZ$31*方案参数!$AS$31,0)))+IF(AND(X1023=1,F1023&lt;&gt;3),方案参数!$CC$31,0)+AC1023*方案参数!$CB$31,0)</f>
        <v>2811</v>
      </c>
      <c r="AE1023" s="1">
        <f>IF(OR(F1023=1,F1023=4),配置与结果!$B$24,配置与结果!$B$25)*MAX(0,1-INDEX(配置与结果!$I$15:$I$18,F1023))</f>
        <v>1200</v>
      </c>
      <c r="AF1023" s="1">
        <f>3.6*IF(H1023=1,1,IF(H1023=2,1.5,2.5))</f>
        <v>3.6</v>
      </c>
      <c r="AG1023" s="1">
        <f>MAX(配置与结果!$B$32,1+INDEX(配置与结果!$F$15:$F$18,F1023)+0.08+Q1023*方案参数!$W$31+Y1023*(方案参数!$AN$31+MIN(方案参数!$AO$31,P1023*0.03))+AB1023*方案参数!$BZ$31*0.025+0.1+IF(方案参数!$BZ$31&gt;=30,方案参数!$BZ$31*0.01,0)-配置与结果!$B$28)</f>
        <v>1.5150000000000001</v>
      </c>
      <c r="AH1023" s="1">
        <f>MAX(0,1+INDEX(配置与结果!$G$15:$G$18,F1023)+W1023*方案参数!$AG$31)</f>
        <v>1.3</v>
      </c>
      <c r="AI1023" s="1">
        <f>IF(OR(INDEX(配置与结果!$K$15:$K$18,F1023)=1,G1023="RHI_BERRY"),1+配置与结果!$B$33+P1023*方案参数!$AH$31,1)</f>
        <v>1</v>
      </c>
      <c r="AJ1023" s="1">
        <f>MIN(1,MAX(0,J1023+方案参数!$AB$31-配置与结果!$B$27))</f>
        <v>0.66700000000000004</v>
      </c>
      <c r="AK1023" s="1">
        <f>MAX(1,K1023+IF(F1023=2,0.15+方案参数!$CH$31,0)+BN1023*方案参数!$X$31+R1023*方案参数!$AA$31+0-配置与结果!$B$26+Z1023*(方案参数!$AP$31+MIN(方案参数!$AQ$31,P1023*0.03)))</f>
        <v>1.7969999999999999</v>
      </c>
      <c r="AL1023" s="7">
        <f>ROUNDDOWN(MAX(AD1023*配置与结果!$B$31,AD1023-AE1023)*AF1023*AG1023*AH1023*AI1023,0)</f>
        <v>11422</v>
      </c>
      <c r="AM1023" s="7">
        <f>ROUNDDOWN(MAX(AD1023*配置与结果!$B$31,AD1023-AE1023)*AF1023*AG1023*AH1023*AI1023*AK1023,0)</f>
        <v>20525</v>
      </c>
      <c r="AN1023" s="7">
        <f t="shared" si="1366"/>
        <v>17493.701000000001</v>
      </c>
      <c r="AO1023" s="7">
        <f>0</f>
        <v>0</v>
      </c>
      <c r="AP1023" s="7">
        <f>MAX(0,1+INDEX(配置与结果!$J$15:$J$18,F1023)+IF(T1023&gt;0,方案参数!$BY$31,0)-配置与结果!$B$30)</f>
        <v>1</v>
      </c>
      <c r="AQ1023" s="7">
        <f t="shared" si="1367"/>
        <v>0</v>
      </c>
      <c r="AR1023" s="7">
        <f t="shared" si="1368"/>
        <v>0</v>
      </c>
      <c r="AS1023" s="7">
        <f t="shared" si="1369"/>
        <v>0</v>
      </c>
      <c r="AT1023" s="7">
        <f>0</f>
        <v>0</v>
      </c>
      <c r="AU1023" s="7">
        <f t="shared" si="1370"/>
        <v>17493.701000000001</v>
      </c>
      <c r="AV1023" s="1">
        <f t="shared" si="1371"/>
        <v>1</v>
      </c>
      <c r="AW1023" s="1">
        <f t="shared" ref="AW1023:AW1033" si="1447">MIN(10,M1023+0+0)</f>
        <v>8</v>
      </c>
      <c r="AX1023" s="1">
        <f t="shared" si="1372"/>
        <v>0</v>
      </c>
      <c r="AY1023" s="1">
        <f t="shared" si="1441"/>
        <v>6</v>
      </c>
      <c r="AZ1023" s="1">
        <f t="shared" si="1373"/>
        <v>5</v>
      </c>
      <c r="BA1023" s="1">
        <f>MIN(6,Q1023+0)</f>
        <v>3</v>
      </c>
      <c r="BB1023" s="1">
        <f t="shared" si="1434"/>
        <v>5</v>
      </c>
      <c r="BC1023" s="1">
        <f>MIN(3,S1023+1)</f>
        <v>2</v>
      </c>
      <c r="BD1023" s="1">
        <f t="shared" si="1442"/>
        <v>0</v>
      </c>
      <c r="BE1023" s="1">
        <f t="shared" si="1435"/>
        <v>0</v>
      </c>
      <c r="BF1023" s="1">
        <f>MIN(4,V1023+0)</f>
        <v>1</v>
      </c>
      <c r="BG1023" s="1">
        <f t="shared" si="1439"/>
        <v>1</v>
      </c>
      <c r="BH1023" s="1">
        <f t="shared" si="1436"/>
        <v>1</v>
      </c>
      <c r="BI1023" s="1">
        <f t="shared" si="1440"/>
        <v>1</v>
      </c>
      <c r="BJ1023" s="1">
        <f t="shared" si="1446"/>
        <v>1</v>
      </c>
      <c r="BK1023" s="1">
        <f t="shared" si="1446"/>
        <v>1</v>
      </c>
      <c r="BL1023" s="1">
        <f t="shared" si="1416"/>
        <v>0</v>
      </c>
      <c r="BM1023" s="1">
        <f t="shared" si="1414"/>
        <v>0</v>
      </c>
      <c r="BN1023" s="1">
        <f t="shared" si="1437"/>
        <v>1</v>
      </c>
      <c r="BO1023" s="1">
        <f t="shared" si="1438"/>
        <v>1</v>
      </c>
    </row>
    <row r="1024" spans="1:67" ht="30.95" customHeight="1">
      <c r="A1024" s="1">
        <f>28</f>
        <v>28</v>
      </c>
      <c r="B1024" s="1">
        <f>固定流程!A16</f>
        <v>11</v>
      </c>
      <c r="C1024" s="1">
        <f>31</f>
        <v>31</v>
      </c>
      <c r="D1024" s="1">
        <f>1</f>
        <v>1</v>
      </c>
      <c r="E1024" s="1">
        <f>固定流程!C16</f>
        <v>2</v>
      </c>
      <c r="F1024" s="1">
        <f>固定流程!G16</f>
        <v>2</v>
      </c>
      <c r="G1024" s="1" t="str">
        <f>固定流程!H16</f>
        <v>37_CURVE</v>
      </c>
      <c r="H1024" s="1">
        <f>固定流程!F16</f>
        <v>1</v>
      </c>
      <c r="I1024" s="1">
        <f>INDEX(配置与结果!$B$15:$B$18,F1024)</f>
        <v>2306</v>
      </c>
      <c r="J1024" s="1">
        <f>INDEX(配置与结果!$D$15:$D$18,F1024)</f>
        <v>0.46</v>
      </c>
      <c r="K1024" s="1">
        <f>INDEX(配置与结果!$E$15:$E$18,F1024)</f>
        <v>1.9279999999999999</v>
      </c>
      <c r="L1024" s="1">
        <f t="shared" si="1444"/>
        <v>1</v>
      </c>
      <c r="M1024" s="1">
        <f t="shared" si="1444"/>
        <v>8</v>
      </c>
      <c r="N1024" s="1">
        <f t="shared" si="1444"/>
        <v>0</v>
      </c>
      <c r="O1024" s="1">
        <f t="shared" si="1443"/>
        <v>6</v>
      </c>
      <c r="P1024" s="1">
        <f>MIN(方案参数!$AI$31,AZ1023+0+0)</f>
        <v>5</v>
      </c>
      <c r="Q1024" s="1">
        <f t="shared" si="1421"/>
        <v>3</v>
      </c>
      <c r="R1024" s="1">
        <f t="shared" si="1422"/>
        <v>5</v>
      </c>
      <c r="S1024" s="1">
        <f t="shared" si="1423"/>
        <v>2</v>
      </c>
      <c r="T1024" s="1">
        <f t="shared" si="1424"/>
        <v>0</v>
      </c>
      <c r="U1024" s="1">
        <f t="shared" si="1425"/>
        <v>0</v>
      </c>
      <c r="V1024" s="1">
        <f t="shared" si="1426"/>
        <v>1</v>
      </c>
      <c r="W1024" s="1">
        <f t="shared" si="1427"/>
        <v>1</v>
      </c>
      <c r="X1024" s="1">
        <f t="shared" si="1428"/>
        <v>1</v>
      </c>
      <c r="Y1024" s="1">
        <f t="shared" si="1429"/>
        <v>1</v>
      </c>
      <c r="Z1024" s="1">
        <f t="shared" si="1430"/>
        <v>1</v>
      </c>
      <c r="AA1024" s="1">
        <f t="shared" si="1445"/>
        <v>1</v>
      </c>
      <c r="AB1024" s="1">
        <f t="shared" si="1432"/>
        <v>0</v>
      </c>
      <c r="AC1024" s="1">
        <f t="shared" si="1433"/>
        <v>0</v>
      </c>
      <c r="AD1024" s="1">
        <f>ROUNDDOWN(I1024*(1+IF(F1024=3,0.05+方案参数!$Y$31+AA1024*0.12,IF(F1024=4,方案参数!$BZ$31*方案参数!$AS$31,0)))+IF(AND(X1024=1,F1024&lt;&gt;3),方案参数!$CC$31,0)+AC1024*方案参数!$CB$31,0)</f>
        <v>2544</v>
      </c>
      <c r="AE1024" s="1">
        <f>IF(OR(F1024=1,F1024=4),配置与结果!$B$24,配置与结果!$B$25)*MAX(0,1-INDEX(配置与结果!$I$15:$I$18,F1024))</f>
        <v>1000</v>
      </c>
      <c r="AF1024" s="1">
        <f>方案参数!$BT$31*IF(H1024=1,1,IF(H1024=2,1.5,2.5))</f>
        <v>1.4</v>
      </c>
      <c r="AG1024" s="1">
        <f>MAX(配置与结果!$B$32,1+INDEX(配置与结果!$F$15:$F$18,F1024)+0+Q1024*方案参数!$W$31+Y1024*(方案参数!$AN$31+MIN(方案参数!$AO$31,P1024*0.03))+AB1024*方案参数!$BZ$31*0.025-配置与结果!$B$28)</f>
        <v>0.96499999999999997</v>
      </c>
      <c r="AH1024" s="1">
        <f>MAX(0,1+INDEX(配置与结果!$G$15:$G$18,F1024)+W1024*方案参数!$AG$31)</f>
        <v>1.3</v>
      </c>
      <c r="AI1024" s="1">
        <f>IF(OR(INDEX(配置与结果!$K$15:$K$18,F1024)=1,G1024="RHI_BERRY"),1+配置与结果!$B$33+P1024*方案参数!$AH$31,1)</f>
        <v>1</v>
      </c>
      <c r="AJ1024" s="1">
        <f>MIN(1,MAX(0,J1024+方案参数!$AB$31-配置与结果!$B$27))</f>
        <v>0.76</v>
      </c>
      <c r="AK1024" s="1">
        <f>MAX(1,K1024+IF(F1024=2,0.15+方案参数!$CH$31,0)+BN1024*方案参数!$X$31+R1024*方案参数!$AA$31+0-配置与结果!$B$26+Z1024*(方案参数!$AP$31+MIN(方案参数!$AQ$31,P1024*0.03)))</f>
        <v>2.278</v>
      </c>
      <c r="AL1024" s="7">
        <f>ROUNDDOWN(MAX(AD1024*配置与结果!$B$31,AD1024-AE1024)*AF1024*AG1024*AH1024*AI1024,0)</f>
        <v>2711</v>
      </c>
      <c r="AM1024" s="7">
        <f>ROUNDDOWN(MAX(AD1024*配置与结果!$B$31,AD1024-AE1024)*AF1024*AG1024*AH1024*AI1024*AK1024,0)</f>
        <v>6177</v>
      </c>
      <c r="AN1024" s="7">
        <f t="shared" si="1366"/>
        <v>5345.1600000000008</v>
      </c>
      <c r="AO1024" s="7">
        <f>方案参数!$BU$31*IF(H1024=1,1,IF(H1024=2,1.5,2.5))</f>
        <v>0.8</v>
      </c>
      <c r="AP1024" s="7">
        <f>MAX(0,1+INDEX(配置与结果!$J$15:$J$18,F1024)+IF(T1024&gt;0,方案参数!$BY$31,0)-配置与结果!$B$30)</f>
        <v>1</v>
      </c>
      <c r="AQ1024" s="7">
        <f t="shared" si="1367"/>
        <v>2035</v>
      </c>
      <c r="AR1024" s="7">
        <f t="shared" si="1368"/>
        <v>4635</v>
      </c>
      <c r="AS1024" s="7">
        <f t="shared" si="1369"/>
        <v>4011</v>
      </c>
      <c r="AT1024" s="7">
        <f>0</f>
        <v>0</v>
      </c>
      <c r="AU1024" s="7">
        <f t="shared" si="1370"/>
        <v>9356.16</v>
      </c>
      <c r="AV1024" s="1">
        <f t="shared" si="1371"/>
        <v>1</v>
      </c>
      <c r="AW1024" s="1">
        <f t="shared" si="1447"/>
        <v>8</v>
      </c>
      <c r="AX1024" s="1">
        <f t="shared" si="1372"/>
        <v>0</v>
      </c>
      <c r="AY1024" s="1">
        <f t="shared" si="1441"/>
        <v>6</v>
      </c>
      <c r="AZ1024" s="1">
        <f t="shared" si="1373"/>
        <v>5</v>
      </c>
      <c r="BA1024" s="1">
        <f>MIN(6,Q1024+0)</f>
        <v>3</v>
      </c>
      <c r="BB1024" s="1">
        <f t="shared" si="1434"/>
        <v>5</v>
      </c>
      <c r="BC1024" s="1">
        <f t="shared" ref="BC1024:BC1030" si="1448">MIN(3,S1024+0)</f>
        <v>2</v>
      </c>
      <c r="BD1024" s="1">
        <f t="shared" si="1442"/>
        <v>0</v>
      </c>
      <c r="BE1024" s="1">
        <f t="shared" si="1435"/>
        <v>0</v>
      </c>
      <c r="BF1024" s="1">
        <f>MIN(4,V1024+0)</f>
        <v>1</v>
      </c>
      <c r="BG1024" s="1">
        <f t="shared" si="1439"/>
        <v>1</v>
      </c>
      <c r="BH1024" s="1">
        <f t="shared" si="1436"/>
        <v>1</v>
      </c>
      <c r="BI1024" s="1">
        <f t="shared" si="1440"/>
        <v>1</v>
      </c>
      <c r="BJ1024" s="1">
        <f t="shared" si="1446"/>
        <v>1</v>
      </c>
      <c r="BK1024" s="1">
        <f t="shared" si="1446"/>
        <v>1</v>
      </c>
      <c r="BL1024" s="1">
        <f t="shared" si="1416"/>
        <v>0</v>
      </c>
      <c r="BM1024" s="1">
        <f t="shared" si="1414"/>
        <v>0</v>
      </c>
      <c r="BN1024" s="1">
        <f t="shared" si="1437"/>
        <v>1</v>
      </c>
      <c r="BO1024" s="1">
        <f t="shared" si="1438"/>
        <v>1</v>
      </c>
    </row>
    <row r="1025" spans="1:67" ht="30.95" customHeight="1">
      <c r="A1025" s="1">
        <f>28</f>
        <v>28</v>
      </c>
      <c r="B1025" s="1">
        <f>固定流程!A17</f>
        <v>12</v>
      </c>
      <c r="C1025" s="1">
        <f>31</f>
        <v>31</v>
      </c>
      <c r="D1025" s="1">
        <f>1</f>
        <v>1</v>
      </c>
      <c r="E1025" s="1">
        <f>固定流程!C17</f>
        <v>2</v>
      </c>
      <c r="F1025" s="1">
        <f>固定流程!G17</f>
        <v>2</v>
      </c>
      <c r="G1025" s="1" t="str">
        <f>固定流程!H17</f>
        <v>37_FOLLOW</v>
      </c>
      <c r="H1025" s="1">
        <f>固定流程!F17</f>
        <v>1</v>
      </c>
      <c r="I1025" s="1">
        <f>INDEX(配置与结果!$B$15:$B$18,F1025)</f>
        <v>2306</v>
      </c>
      <c r="J1025" s="1">
        <f>INDEX(配置与结果!$D$15:$D$18,F1025)</f>
        <v>0.46</v>
      </c>
      <c r="K1025" s="1">
        <f>INDEX(配置与结果!$E$15:$E$18,F1025)</f>
        <v>1.9279999999999999</v>
      </c>
      <c r="L1025" s="1">
        <f t="shared" si="1444"/>
        <v>1</v>
      </c>
      <c r="M1025" s="1">
        <f t="shared" si="1444"/>
        <v>8</v>
      </c>
      <c r="N1025" s="1">
        <f t="shared" si="1444"/>
        <v>0</v>
      </c>
      <c r="O1025" s="1">
        <f t="shared" si="1443"/>
        <v>6</v>
      </c>
      <c r="P1025" s="1">
        <f>MIN(方案参数!$AI$31,AZ1024+0+0)</f>
        <v>5</v>
      </c>
      <c r="Q1025" s="1">
        <f t="shared" si="1421"/>
        <v>3</v>
      </c>
      <c r="R1025" s="1">
        <f t="shared" si="1422"/>
        <v>5</v>
      </c>
      <c r="S1025" s="1">
        <f t="shared" si="1423"/>
        <v>2</v>
      </c>
      <c r="T1025" s="1">
        <f t="shared" si="1424"/>
        <v>0</v>
      </c>
      <c r="U1025" s="1">
        <f t="shared" si="1425"/>
        <v>0</v>
      </c>
      <c r="V1025" s="1">
        <f t="shared" si="1426"/>
        <v>1</v>
      </c>
      <c r="W1025" s="1">
        <f t="shared" si="1427"/>
        <v>1</v>
      </c>
      <c r="X1025" s="1">
        <f t="shared" si="1428"/>
        <v>1</v>
      </c>
      <c r="Y1025" s="1">
        <f t="shared" si="1429"/>
        <v>1</v>
      </c>
      <c r="Z1025" s="1">
        <f t="shared" si="1430"/>
        <v>1</v>
      </c>
      <c r="AA1025" s="1">
        <f t="shared" si="1445"/>
        <v>1</v>
      </c>
      <c r="AB1025" s="1">
        <f t="shared" si="1432"/>
        <v>0</v>
      </c>
      <c r="AC1025" s="1">
        <f t="shared" si="1433"/>
        <v>0</v>
      </c>
      <c r="AD1025" s="1">
        <f>ROUNDDOWN(I1025*(1+IF(F1025=3,0.05+方案参数!$Y$31+AA1025*0.12,IF(F1025=4,方案参数!$BZ$31*方案参数!$AS$31,0)))+IF(AND(X1025=1,F1025&lt;&gt;3),方案参数!$CC$31,0)+AC1025*方案参数!$CB$31,0)</f>
        <v>2544</v>
      </c>
      <c r="AE1025" s="1">
        <f>IF(OR(F1025=1,F1025=4),配置与结果!$B$24,配置与结果!$B$25)*MAX(0,1-INDEX(配置与结果!$I$15:$I$18,F1025))</f>
        <v>1000</v>
      </c>
      <c r="AF1025" s="1">
        <f>方案参数!$BV$31</f>
        <v>3</v>
      </c>
      <c r="AG1025" s="1">
        <f>MAX(配置与结果!$B$32,1+INDEX(配置与结果!$F$15:$F$18,F1025)+0+Q1025*方案参数!$W$31+Y1025*(方案参数!$AN$31+MIN(方案参数!$AO$31,P1025*0.03))+AB1025*方案参数!$BZ$31*0.025-配置与结果!$B$28)</f>
        <v>0.96499999999999997</v>
      </c>
      <c r="AH1025" s="1">
        <f>MAX(0,1+INDEX(配置与结果!$G$15:$G$18,F1025)+W1025*方案参数!$AG$31)</f>
        <v>1.3</v>
      </c>
      <c r="AI1025" s="1">
        <f>IF(OR(INDEX(配置与结果!$K$15:$K$18,F1025)=1,G1025="RHI_BERRY"),1+配置与结果!$B$33+P1025*方案参数!$AH$31,1)</f>
        <v>1</v>
      </c>
      <c r="AJ1025" s="1">
        <f>MIN(1,MAX(0,J1025+方案参数!$AB$31-配置与结果!$B$27))</f>
        <v>0.76</v>
      </c>
      <c r="AK1025" s="1">
        <f>MAX(1,K1025+IF(F1025=2,0.15+方案参数!$CH$31,0)+BN1025*方案参数!$X$31+R1025*方案参数!$AA$31+0-配置与结果!$B$26+Z1025*(方案参数!$AP$31+MIN(方案参数!$AQ$31,P1025*0.03)))</f>
        <v>2.278</v>
      </c>
      <c r="AL1025" s="7">
        <f>ROUNDDOWN(MAX(AD1025*配置与结果!$B$31,AD1025-AE1025)*AF1025*AG1025*AH1025*AI1025,0)</f>
        <v>5810</v>
      </c>
      <c r="AM1025" s="7">
        <f>ROUNDDOWN(MAX(AD1025*配置与结果!$B$31,AD1025-AE1025)*AF1025*AG1025*AH1025*AI1025*AK1025,0)</f>
        <v>13237</v>
      </c>
      <c r="AN1025" s="7">
        <f t="shared" si="1366"/>
        <v>11454.52</v>
      </c>
      <c r="AO1025" s="7">
        <f>方案参数!$BW$31</f>
        <v>1</v>
      </c>
      <c r="AP1025" s="7">
        <f>MAX(0,1+INDEX(配置与结果!$J$15:$J$18,F1025)+IF(T1025&gt;0,方案参数!$BY$31,0)-配置与结果!$B$30)</f>
        <v>1</v>
      </c>
      <c r="AQ1025" s="7">
        <f t="shared" si="1367"/>
        <v>2544</v>
      </c>
      <c r="AR1025" s="7">
        <f t="shared" si="1368"/>
        <v>5795</v>
      </c>
      <c r="AS1025" s="7">
        <f t="shared" si="1369"/>
        <v>5014.76</v>
      </c>
      <c r="AT1025" s="7">
        <f>0</f>
        <v>0</v>
      </c>
      <c r="AU1025" s="7">
        <f t="shared" si="1370"/>
        <v>16469.28</v>
      </c>
      <c r="AV1025" s="1">
        <f t="shared" si="1371"/>
        <v>1</v>
      </c>
      <c r="AW1025" s="1">
        <f t="shared" si="1447"/>
        <v>8</v>
      </c>
      <c r="AX1025" s="1">
        <f t="shared" si="1372"/>
        <v>0</v>
      </c>
      <c r="AY1025" s="1">
        <f t="shared" si="1441"/>
        <v>6</v>
      </c>
      <c r="AZ1025" s="1">
        <f t="shared" si="1373"/>
        <v>5</v>
      </c>
      <c r="BA1025" s="1">
        <f>MIN(6,Q1025+0)</f>
        <v>3</v>
      </c>
      <c r="BB1025" s="1">
        <f t="shared" si="1434"/>
        <v>5</v>
      </c>
      <c r="BC1025" s="1">
        <f t="shared" si="1448"/>
        <v>2</v>
      </c>
      <c r="BD1025" s="1">
        <f t="shared" si="1442"/>
        <v>0</v>
      </c>
      <c r="BE1025" s="1">
        <f t="shared" si="1435"/>
        <v>0</v>
      </c>
      <c r="BF1025" s="1">
        <f>MIN(4,V1025+1)</f>
        <v>2</v>
      </c>
      <c r="BG1025" s="1">
        <f t="shared" si="1439"/>
        <v>1</v>
      </c>
      <c r="BH1025" s="1">
        <f t="shared" si="1436"/>
        <v>1</v>
      </c>
      <c r="BI1025" s="1">
        <f t="shared" si="1440"/>
        <v>1</v>
      </c>
      <c r="BJ1025" s="1">
        <f t="shared" si="1446"/>
        <v>1</v>
      </c>
      <c r="BK1025" s="1">
        <f t="shared" si="1446"/>
        <v>1</v>
      </c>
      <c r="BL1025" s="1">
        <f t="shared" si="1416"/>
        <v>0</v>
      </c>
      <c r="BM1025" s="1">
        <f t="shared" si="1414"/>
        <v>0</v>
      </c>
      <c r="BN1025" s="1">
        <f t="shared" si="1437"/>
        <v>1</v>
      </c>
      <c r="BO1025" s="1">
        <f t="shared" si="1438"/>
        <v>1</v>
      </c>
    </row>
    <row r="1026" spans="1:67" ht="30.95" customHeight="1">
      <c r="A1026" s="1">
        <f>28</f>
        <v>28</v>
      </c>
      <c r="B1026" s="1">
        <f>固定流程!A18</f>
        <v>13</v>
      </c>
      <c r="C1026" s="1">
        <f>31</f>
        <v>31</v>
      </c>
      <c r="D1026" s="1">
        <f>1</f>
        <v>1</v>
      </c>
      <c r="E1026" s="1">
        <f>固定流程!C18</f>
        <v>2</v>
      </c>
      <c r="F1026" s="1">
        <f>固定流程!G18</f>
        <v>3</v>
      </c>
      <c r="G1026" s="1" t="str">
        <f>固定流程!H18</f>
        <v>RHI_BERRY</v>
      </c>
      <c r="H1026" s="1">
        <f>固定流程!F18</f>
        <v>1</v>
      </c>
      <c r="I1026" s="1">
        <f>INDEX(配置与结果!$B$15:$B$18,F1026)</f>
        <v>2597</v>
      </c>
      <c r="J1026" s="1">
        <f>INDEX(配置与结果!$D$15:$D$18,F1026)</f>
        <v>0.255</v>
      </c>
      <c r="K1026" s="1">
        <f>INDEX(配置与结果!$E$15:$E$18,F1026)</f>
        <v>1.55</v>
      </c>
      <c r="L1026" s="1">
        <f t="shared" si="1444"/>
        <v>1</v>
      </c>
      <c r="M1026" s="1">
        <f t="shared" si="1444"/>
        <v>8</v>
      </c>
      <c r="N1026" s="1">
        <f t="shared" si="1444"/>
        <v>0</v>
      </c>
      <c r="O1026" s="1">
        <f t="shared" si="1443"/>
        <v>6</v>
      </c>
      <c r="P1026" s="1">
        <f>MIN(方案参数!$AI$31,AZ1025+0+0)</f>
        <v>5</v>
      </c>
      <c r="Q1026" s="1">
        <f t="shared" si="1421"/>
        <v>3</v>
      </c>
      <c r="R1026" s="1">
        <f t="shared" si="1422"/>
        <v>5</v>
      </c>
      <c r="S1026" s="1">
        <f t="shared" si="1423"/>
        <v>2</v>
      </c>
      <c r="T1026" s="1">
        <f t="shared" si="1424"/>
        <v>0</v>
      </c>
      <c r="U1026" s="1">
        <f t="shared" si="1425"/>
        <v>0</v>
      </c>
      <c r="V1026" s="1">
        <f t="shared" si="1426"/>
        <v>2</v>
      </c>
      <c r="W1026" s="1">
        <f t="shared" si="1427"/>
        <v>1</v>
      </c>
      <c r="X1026" s="1">
        <f t="shared" si="1428"/>
        <v>1</v>
      </c>
      <c r="Y1026" s="1">
        <f t="shared" si="1429"/>
        <v>1</v>
      </c>
      <c r="Z1026" s="1">
        <f t="shared" si="1430"/>
        <v>1</v>
      </c>
      <c r="AA1026" s="1">
        <f t="shared" si="1445"/>
        <v>1</v>
      </c>
      <c r="AB1026" s="1">
        <f t="shared" si="1432"/>
        <v>0</v>
      </c>
      <c r="AC1026" s="1">
        <f t="shared" si="1433"/>
        <v>0</v>
      </c>
      <c r="AD1026" s="1">
        <f>ROUNDDOWN(I1026*(1+IF(F1026=3,0.05+方案参数!$Y$31+AA1026*0.12,IF(F1026=4,方案参数!$BZ$31*方案参数!$AS$31,0)))+IF(AND(X1026=1,F1026&lt;&gt;3),方案参数!$CC$31,0)+AC1026*方案参数!$CB$31,0)</f>
        <v>3298</v>
      </c>
      <c r="AE1026" s="1">
        <f>IF(OR(F1026=1,F1026=4),配置与结果!$B$24,配置与结果!$B$25)*MAX(0,1-INDEX(配置与结果!$I$15:$I$18,F1026))</f>
        <v>1000</v>
      </c>
      <c r="AF1026" s="1">
        <f>方案参数!$CF$31+P1026*方案参数!$CG$31</f>
        <v>22.5</v>
      </c>
      <c r="AG1026" s="1">
        <f>MAX(配置与结果!$B$32,1+INDEX(配置与结果!$F$15:$F$18,F1026)+0+Q1026*方案参数!$W$31+Y1026*(方案参数!$AN$31+MIN(方案参数!$AO$31,P1026*0.03))+AB1026*方案参数!$BZ$31*0.025-配置与结果!$B$28)</f>
        <v>0.995</v>
      </c>
      <c r="AH1026" s="1">
        <f>MAX(0,1+INDEX(配置与结果!$G$15:$G$18,F1026)+W1026*方案参数!$AG$31)</f>
        <v>1.3</v>
      </c>
      <c r="AI1026" s="1">
        <f>IF(OR(INDEX(配置与结果!$K$15:$K$18,F1026)=1,G1026="RHI_BERRY"),1+配置与结果!$B$33+P1026*方案参数!$AH$31,1)</f>
        <v>1.5</v>
      </c>
      <c r="AJ1026" s="1">
        <f>MIN(1,MAX(0,J1026+方案参数!$AB$31-配置与结果!$B$27))</f>
        <v>0.55499999999999994</v>
      </c>
      <c r="AK1026" s="1">
        <f>MAX(1,K1026+IF(F1026=2,0.15+方案参数!$CH$31,0)+BN1026*方案参数!$X$31+R1026*方案参数!$AA$31+0-配置与结果!$B$26+Z1026*(方案参数!$AP$31+MIN(方案参数!$AQ$31,P1026*0.03)))</f>
        <v>1.6300000000000001</v>
      </c>
      <c r="AL1026" s="7">
        <f>ROUNDDOWN(MAX(AD1026*配置与结果!$B$31,AD1026-AE1026)*AF1026*AG1026*AH1026*AI1026,0)</f>
        <v>100320</v>
      </c>
      <c r="AM1026" s="7">
        <f>ROUNDDOWN(MAX(AD1026*配置与结果!$B$31,AD1026-AE1026)*AF1026*AG1026*AH1026*AI1026*AK1026,0)</f>
        <v>163522</v>
      </c>
      <c r="AN1026" s="7">
        <f t="shared" si="1366"/>
        <v>135397.10999999999</v>
      </c>
      <c r="AO1026" s="7">
        <f>0</f>
        <v>0</v>
      </c>
      <c r="AP1026" s="7">
        <f>MAX(0,1+INDEX(配置与结果!$J$15:$J$18,F1026)+IF(T1026&gt;0,方案参数!$BY$31,0)-配置与结果!$B$30)</f>
        <v>1</v>
      </c>
      <c r="AQ1026" s="7">
        <f t="shared" si="1367"/>
        <v>0</v>
      </c>
      <c r="AR1026" s="7">
        <f t="shared" si="1368"/>
        <v>0</v>
      </c>
      <c r="AS1026" s="7">
        <f t="shared" si="1369"/>
        <v>0</v>
      </c>
      <c r="AT1026" s="7">
        <f>0</f>
        <v>0</v>
      </c>
      <c r="AU1026" s="7">
        <f t="shared" si="1370"/>
        <v>135397.10999999999</v>
      </c>
      <c r="AV1026" s="1">
        <f t="shared" si="1371"/>
        <v>1</v>
      </c>
      <c r="AW1026" s="1">
        <f t="shared" si="1447"/>
        <v>8</v>
      </c>
      <c r="AX1026" s="1">
        <f t="shared" si="1372"/>
        <v>0</v>
      </c>
      <c r="AY1026" s="1">
        <f t="shared" si="1441"/>
        <v>6</v>
      </c>
      <c r="AZ1026" s="1">
        <f t="shared" si="1373"/>
        <v>5</v>
      </c>
      <c r="BA1026" s="1">
        <f>MIN(6,Q1026+0)</f>
        <v>3</v>
      </c>
      <c r="BB1026" s="1">
        <f t="shared" si="1434"/>
        <v>5</v>
      </c>
      <c r="BC1026" s="1">
        <f t="shared" si="1448"/>
        <v>2</v>
      </c>
      <c r="BD1026" s="1">
        <f t="shared" si="1442"/>
        <v>0</v>
      </c>
      <c r="BE1026" s="1">
        <f t="shared" si="1435"/>
        <v>0</v>
      </c>
      <c r="BF1026" s="1">
        <f>MIN(4,V1026+0)</f>
        <v>2</v>
      </c>
      <c r="BG1026" s="1">
        <f t="shared" si="1439"/>
        <v>1</v>
      </c>
      <c r="BH1026" s="1">
        <f t="shared" si="1436"/>
        <v>1</v>
      </c>
      <c r="BI1026" s="1">
        <f t="shared" si="1440"/>
        <v>1</v>
      </c>
      <c r="BJ1026" s="1">
        <f t="shared" si="1446"/>
        <v>1</v>
      </c>
      <c r="BK1026" s="1">
        <f t="shared" si="1446"/>
        <v>1</v>
      </c>
      <c r="BL1026" s="1">
        <f t="shared" si="1416"/>
        <v>0</v>
      </c>
      <c r="BM1026" s="1">
        <f t="shared" si="1414"/>
        <v>0</v>
      </c>
      <c r="BN1026" s="1">
        <f t="shared" si="1437"/>
        <v>1</v>
      </c>
      <c r="BO1026" s="1">
        <f t="shared" si="1438"/>
        <v>1</v>
      </c>
    </row>
    <row r="1027" spans="1:67" ht="30.95" customHeight="1">
      <c r="A1027" s="1">
        <f>28</f>
        <v>28</v>
      </c>
      <c r="B1027" s="1">
        <f>固定流程!A19</f>
        <v>14</v>
      </c>
      <c r="C1027" s="1">
        <f>31</f>
        <v>31</v>
      </c>
      <c r="D1027" s="1">
        <f>1</f>
        <v>1</v>
      </c>
      <c r="E1027" s="1">
        <f>固定流程!C19</f>
        <v>3</v>
      </c>
      <c r="F1027" s="1">
        <f>固定流程!G19</f>
        <v>3</v>
      </c>
      <c r="G1027" s="1" t="str">
        <f>固定流程!H19</f>
        <v>RHI_BUFF</v>
      </c>
      <c r="H1027" s="1">
        <f>固定流程!F19</f>
        <v>1</v>
      </c>
      <c r="I1027" s="1">
        <f>INDEX(配置与结果!$B$15:$B$18,F1027)</f>
        <v>2597</v>
      </c>
      <c r="J1027" s="1">
        <f>INDEX(配置与结果!$D$15:$D$18,F1027)</f>
        <v>0.255</v>
      </c>
      <c r="K1027" s="1">
        <f>INDEX(配置与结果!$E$15:$E$18,F1027)</f>
        <v>1.55</v>
      </c>
      <c r="L1027" s="1">
        <f>IF(AV1026=1,IF(M1027&gt;=10,2,1),IF(AV1026=2,IF(AX1026&lt;=1,0,2),0))</f>
        <v>2</v>
      </c>
      <c r="M1027" s="1">
        <f>IF(AND(AV1026=2,AX1026&lt;=1),0,MIN(10,AW1026+IF(AV1026=1,3,0)))</f>
        <v>10</v>
      </c>
      <c r="N1027" s="1">
        <f>IF(AND(AV1026=1,M1027&gt;=10),2,IF(AV1026=2,MAX(0,AX1026-1),0))</f>
        <v>2</v>
      </c>
      <c r="O1027" s="1">
        <f t="shared" si="1443"/>
        <v>6</v>
      </c>
      <c r="P1027" s="1">
        <f>MIN(方案参数!$AI$31,AZ1026+方案参数!$AJ$31+方案参数!$AK$31)</f>
        <v>5</v>
      </c>
      <c r="Q1027" s="1">
        <f t="shared" si="1421"/>
        <v>3</v>
      </c>
      <c r="R1027" s="1">
        <f t="shared" si="1422"/>
        <v>5</v>
      </c>
      <c r="S1027" s="1">
        <f t="shared" si="1423"/>
        <v>2</v>
      </c>
      <c r="T1027" s="1">
        <f t="shared" si="1424"/>
        <v>0</v>
      </c>
      <c r="U1027" s="1">
        <f t="shared" si="1425"/>
        <v>0</v>
      </c>
      <c r="V1027" s="1">
        <f t="shared" si="1426"/>
        <v>2</v>
      </c>
      <c r="W1027" s="1">
        <f t="shared" si="1427"/>
        <v>1</v>
      </c>
      <c r="X1027" s="1">
        <f t="shared" si="1428"/>
        <v>1</v>
      </c>
      <c r="Y1027" s="1">
        <f t="shared" si="1429"/>
        <v>1</v>
      </c>
      <c r="Z1027" s="1">
        <f t="shared" si="1430"/>
        <v>1</v>
      </c>
      <c r="AA1027" s="1">
        <f t="shared" si="1445"/>
        <v>1</v>
      </c>
      <c r="AB1027" s="1">
        <f t="shared" si="1432"/>
        <v>0</v>
      </c>
      <c r="AC1027" s="1">
        <f t="shared" si="1433"/>
        <v>0</v>
      </c>
      <c r="AD1027" s="1">
        <f>ROUNDDOWN(I1027*(1+IF(F1027=3,0.05+方案参数!$Y$31+AA1027*0.12,IF(F1027=4,方案参数!$BZ$31*方案参数!$AS$31,0)))+IF(AND(X1027=1,F1027&lt;&gt;3),方案参数!$CC$31,0)+AC1027*方案参数!$CB$31,0)</f>
        <v>3298</v>
      </c>
      <c r="AE1027" s="1">
        <f>IF(OR(F1027=1,F1027=4),配置与结果!$B$24,配置与结果!$B$25)*MAX(0,1-INDEX(配置与结果!$I$15:$I$18,F1027))</f>
        <v>1000</v>
      </c>
      <c r="AF1027" s="1">
        <f>0</f>
        <v>0</v>
      </c>
      <c r="AG1027" s="1">
        <f>MAX(配置与结果!$B$32,1+INDEX(配置与结果!$F$15:$F$18,F1027)+0+Q1027*方案参数!$W$31+Y1027*(方案参数!$AN$31+MIN(方案参数!$AO$31,P1027*0.03))+AB1027*方案参数!$BZ$31*0.025-配置与结果!$B$28)</f>
        <v>0.995</v>
      </c>
      <c r="AH1027" s="1">
        <f>MAX(0,1+INDEX(配置与结果!$G$15:$G$18,F1027)+W1027*方案参数!$AG$31)</f>
        <v>1.3</v>
      </c>
      <c r="AI1027" s="1">
        <f>IF(OR(INDEX(配置与结果!$K$15:$K$18,F1027)=1,G1027="RHI_BERRY"),1+配置与结果!$B$33+P1027*方案参数!$AH$31,1)</f>
        <v>1</v>
      </c>
      <c r="AJ1027" s="1">
        <f>MIN(1,MAX(0,J1027+方案参数!$AB$31-配置与结果!$B$27))</f>
        <v>0.55499999999999994</v>
      </c>
      <c r="AK1027" s="1">
        <f>MAX(1,K1027+IF(F1027=2,0.15+方案参数!$CH$31,0)+BN1027*方案参数!$X$31+R1027*方案参数!$AA$31+0-配置与结果!$B$26+Z1027*(方案参数!$AP$31+MIN(方案参数!$AQ$31,P1027*0.03)))</f>
        <v>1.6300000000000001</v>
      </c>
      <c r="AL1027" s="7">
        <f>ROUNDDOWN(MAX(AD1027*配置与结果!$B$31,AD1027-AE1027)*AF1027*AG1027*AH1027*AI1027,0)</f>
        <v>0</v>
      </c>
      <c r="AM1027" s="7">
        <f>ROUNDDOWN(MAX(AD1027*配置与结果!$B$31,AD1027-AE1027)*AF1027*AG1027*AH1027*AI1027*AK1027,0)</f>
        <v>0</v>
      </c>
      <c r="AN1027" s="7">
        <f t="shared" si="1366"/>
        <v>0</v>
      </c>
      <c r="AO1027" s="7">
        <f>0</f>
        <v>0</v>
      </c>
      <c r="AP1027" s="7">
        <f>MAX(0,1+INDEX(配置与结果!$J$15:$J$18,F1027)+IF(T1027&gt;0,方案参数!$BY$31,0)-配置与结果!$B$30)</f>
        <v>1</v>
      </c>
      <c r="AQ1027" s="7">
        <f t="shared" si="1367"/>
        <v>0</v>
      </c>
      <c r="AR1027" s="7">
        <f t="shared" si="1368"/>
        <v>0</v>
      </c>
      <c r="AS1027" s="7">
        <f t="shared" si="1369"/>
        <v>0</v>
      </c>
      <c r="AT1027" s="7">
        <f>0</f>
        <v>0</v>
      </c>
      <c r="AU1027" s="7">
        <f t="shared" si="1370"/>
        <v>0</v>
      </c>
      <c r="AV1027" s="1">
        <f t="shared" si="1371"/>
        <v>2</v>
      </c>
      <c r="AW1027" s="1">
        <f t="shared" si="1447"/>
        <v>10</v>
      </c>
      <c r="AX1027" s="1">
        <f t="shared" si="1372"/>
        <v>2</v>
      </c>
      <c r="AY1027" s="1">
        <f t="shared" si="1441"/>
        <v>6</v>
      </c>
      <c r="AZ1027" s="1">
        <f t="shared" si="1373"/>
        <v>5</v>
      </c>
      <c r="BA1027" s="1">
        <f>MIN(6,Q1027+1)</f>
        <v>4</v>
      </c>
      <c r="BB1027" s="1">
        <f t="shared" si="1434"/>
        <v>5</v>
      </c>
      <c r="BC1027" s="1">
        <f t="shared" si="1448"/>
        <v>2</v>
      </c>
      <c r="BD1027" s="1">
        <f t="shared" si="1442"/>
        <v>0</v>
      </c>
      <c r="BE1027" s="1">
        <f t="shared" si="1435"/>
        <v>0</v>
      </c>
      <c r="BF1027" s="1">
        <f>MIN(4,V1027+0)</f>
        <v>2</v>
      </c>
      <c r="BG1027" s="1">
        <f>MAX(W1027,1)</f>
        <v>1</v>
      </c>
      <c r="BH1027" s="1">
        <f t="shared" si="1436"/>
        <v>1</v>
      </c>
      <c r="BI1027" s="1">
        <f>MAX(Y1027,1)</f>
        <v>1</v>
      </c>
      <c r="BJ1027" s="1">
        <f t="shared" si="1446"/>
        <v>1</v>
      </c>
      <c r="BK1027" s="1">
        <f t="shared" si="1446"/>
        <v>1</v>
      </c>
      <c r="BL1027" s="1">
        <f t="shared" si="1416"/>
        <v>0</v>
      </c>
      <c r="BM1027" s="1">
        <f t="shared" si="1414"/>
        <v>0</v>
      </c>
      <c r="BN1027" s="1">
        <f t="shared" si="1437"/>
        <v>1</v>
      </c>
      <c r="BO1027" s="1">
        <f t="shared" si="1438"/>
        <v>1</v>
      </c>
    </row>
    <row r="1028" spans="1:67" ht="30.95" customHeight="1">
      <c r="A1028" s="1">
        <f>28</f>
        <v>28</v>
      </c>
      <c r="B1028" s="1">
        <f>固定流程!A20</f>
        <v>15</v>
      </c>
      <c r="C1028" s="1">
        <f>31</f>
        <v>31</v>
      </c>
      <c r="D1028" s="1">
        <f>1</f>
        <v>1</v>
      </c>
      <c r="E1028" s="1">
        <f>固定流程!C20</f>
        <v>3</v>
      </c>
      <c r="F1028" s="1">
        <f>固定流程!G20</f>
        <v>3</v>
      </c>
      <c r="G1028" s="1" t="str">
        <f>固定流程!H20</f>
        <v>RHI_ATTACK</v>
      </c>
      <c r="H1028" s="1">
        <f>固定流程!F20</f>
        <v>1</v>
      </c>
      <c r="I1028" s="1">
        <f>INDEX(配置与结果!$B$15:$B$18,F1028)</f>
        <v>2597</v>
      </c>
      <c r="J1028" s="1">
        <f>INDEX(配置与结果!$D$15:$D$18,F1028)</f>
        <v>0.255</v>
      </c>
      <c r="K1028" s="1">
        <f>INDEX(配置与结果!$E$15:$E$18,F1028)</f>
        <v>1.55</v>
      </c>
      <c r="L1028" s="1">
        <f t="shared" ref="L1028:L1049" si="1449">AV1027</f>
        <v>2</v>
      </c>
      <c r="M1028" s="1">
        <f t="shared" ref="M1028:M1049" si="1450">AW1027</f>
        <v>10</v>
      </c>
      <c r="N1028" s="1">
        <f t="shared" ref="N1028:N1049" si="1451">AX1027</f>
        <v>2</v>
      </c>
      <c r="O1028" s="1">
        <f t="shared" si="1443"/>
        <v>6</v>
      </c>
      <c r="P1028" s="1">
        <f>MIN(方案参数!$AI$31,AZ1027+0+方案参数!$AK$31)</f>
        <v>5</v>
      </c>
      <c r="Q1028" s="1">
        <f t="shared" si="1421"/>
        <v>4</v>
      </c>
      <c r="R1028" s="1">
        <f t="shared" si="1422"/>
        <v>5</v>
      </c>
      <c r="S1028" s="1">
        <f t="shared" si="1423"/>
        <v>2</v>
      </c>
      <c r="T1028" s="1">
        <f t="shared" si="1424"/>
        <v>0</v>
      </c>
      <c r="U1028" s="1">
        <f t="shared" si="1425"/>
        <v>0</v>
      </c>
      <c r="V1028" s="1">
        <f t="shared" si="1426"/>
        <v>2</v>
      </c>
      <c r="W1028" s="1">
        <f t="shared" si="1427"/>
        <v>1</v>
      </c>
      <c r="X1028" s="1">
        <f t="shared" si="1428"/>
        <v>1</v>
      </c>
      <c r="Y1028" s="1">
        <f t="shared" si="1429"/>
        <v>1</v>
      </c>
      <c r="Z1028" s="1">
        <f t="shared" si="1430"/>
        <v>1</v>
      </c>
      <c r="AA1028" s="1">
        <f>MAX(BK1027,1)</f>
        <v>1</v>
      </c>
      <c r="AB1028" s="1">
        <f t="shared" si="1432"/>
        <v>0</v>
      </c>
      <c r="AC1028" s="1">
        <f t="shared" si="1433"/>
        <v>0</v>
      </c>
      <c r="AD1028" s="1">
        <f>ROUNDDOWN(I1028*(1+IF(F1028=3,0.05+方案参数!$Y$31+AA1028*0.12,IF(F1028=4,方案参数!$BZ$31*方案参数!$AS$31,0)))+IF(AND(X1028=1,F1028&lt;&gt;3),方案参数!$CC$31,0)+AC1028*方案参数!$CB$31,0)</f>
        <v>3298</v>
      </c>
      <c r="AE1028" s="1">
        <f>IF(OR(F1028=1,F1028=4),配置与结果!$B$24,配置与结果!$B$25)*MAX(0,1-INDEX(配置与结果!$I$15:$I$18,F1028))</f>
        <v>1000</v>
      </c>
      <c r="AF1028" s="1">
        <f>4</f>
        <v>4</v>
      </c>
      <c r="AG1028" s="1">
        <f>MAX(配置与结果!$B$32,1+INDEX(配置与结果!$F$15:$F$18,F1028)+0+Q1028*方案参数!$W$31+Y1028*(方案参数!$AN$31+MIN(方案参数!$AO$31,P1028*0.03))+AB1028*方案参数!$BZ$31*0.025-配置与结果!$B$28)</f>
        <v>1.0150000000000001</v>
      </c>
      <c r="AH1028" s="1">
        <f>MAX(0,1+INDEX(配置与结果!$G$15:$G$18,F1028)+W1028*方案参数!$AG$31)</f>
        <v>1.3</v>
      </c>
      <c r="AI1028" s="1">
        <f>IF(OR(INDEX(配置与结果!$K$15:$K$18,F1028)=1,G1028="RHI_BERRY"),1+配置与结果!$B$33+P1028*方案参数!$AH$31,1)</f>
        <v>1</v>
      </c>
      <c r="AJ1028" s="1">
        <f>MIN(1,MAX(0,J1028+方案参数!$AB$31-配置与结果!$B$27))</f>
        <v>0.55499999999999994</v>
      </c>
      <c r="AK1028" s="1">
        <f>MAX(1,K1028+IF(F1028=2,0.15+方案参数!$CH$31,0)+BN1028*方案参数!$X$31+R1028*方案参数!$AA$31+0-配置与结果!$B$26+Z1028*(方案参数!$AP$31+MIN(方案参数!$AQ$31,P1028*0.03)))</f>
        <v>1.6300000000000001</v>
      </c>
      <c r="AL1028" s="7">
        <f>ROUNDDOWN(MAX(AD1028*配置与结果!$B$31,AD1028-AE1028)*AF1028*AG1028*AH1028*AI1028,0)</f>
        <v>12128</v>
      </c>
      <c r="AM1028" s="7">
        <f>ROUNDDOWN(MAX(AD1028*配置与结果!$B$31,AD1028-AE1028)*AF1028*AG1028*AH1028*AI1028*AK1028,0)</f>
        <v>19770</v>
      </c>
      <c r="AN1028" s="7">
        <f t="shared" si="1366"/>
        <v>16369.31</v>
      </c>
      <c r="AO1028" s="7">
        <f>0</f>
        <v>0</v>
      </c>
      <c r="AP1028" s="7">
        <f>MAX(0,1+INDEX(配置与结果!$J$15:$J$18,F1028)+IF(T1028&gt;0,方案参数!$BY$31,0)-配置与结果!$B$30)</f>
        <v>1</v>
      </c>
      <c r="AQ1028" s="7">
        <f t="shared" si="1367"/>
        <v>0</v>
      </c>
      <c r="AR1028" s="7">
        <f t="shared" si="1368"/>
        <v>0</v>
      </c>
      <c r="AS1028" s="7">
        <f t="shared" si="1369"/>
        <v>0</v>
      </c>
      <c r="AT1028" s="7">
        <f>0</f>
        <v>0</v>
      </c>
      <c r="AU1028" s="7">
        <f t="shared" si="1370"/>
        <v>16369.31</v>
      </c>
      <c r="AV1028" s="1">
        <f t="shared" si="1371"/>
        <v>2</v>
      </c>
      <c r="AW1028" s="1">
        <f t="shared" si="1447"/>
        <v>10</v>
      </c>
      <c r="AX1028" s="1">
        <f t="shared" si="1372"/>
        <v>2</v>
      </c>
      <c r="AY1028" s="1">
        <f t="shared" si="1441"/>
        <v>6</v>
      </c>
      <c r="AZ1028" s="1">
        <f t="shared" si="1373"/>
        <v>5</v>
      </c>
      <c r="BA1028" s="1">
        <f>MIN(6,Q1028+1)</f>
        <v>5</v>
      </c>
      <c r="BB1028" s="1">
        <f t="shared" si="1434"/>
        <v>5</v>
      </c>
      <c r="BC1028" s="1">
        <f t="shared" si="1448"/>
        <v>2</v>
      </c>
      <c r="BD1028" s="1">
        <f t="shared" si="1442"/>
        <v>0</v>
      </c>
      <c r="BE1028" s="1">
        <f t="shared" si="1435"/>
        <v>0</v>
      </c>
      <c r="BF1028" s="1">
        <f>MIN(4,V1028+0)</f>
        <v>2</v>
      </c>
      <c r="BG1028" s="1">
        <f t="shared" ref="BG1028:BG1050" si="1452">MAX(W1028,0)</f>
        <v>1</v>
      </c>
      <c r="BH1028" s="1">
        <f t="shared" si="1436"/>
        <v>1</v>
      </c>
      <c r="BI1028" s="1">
        <f t="shared" ref="BI1028:BI1050" si="1453">MAX(Y1028,0)</f>
        <v>1</v>
      </c>
      <c r="BJ1028" s="1">
        <f>MAX(Z1028,1)</f>
        <v>1</v>
      </c>
      <c r="BK1028" s="1">
        <f>MAX(AA1028,1)</f>
        <v>1</v>
      </c>
      <c r="BL1028" s="1">
        <f t="shared" si="1416"/>
        <v>0</v>
      </c>
      <c r="BM1028" s="1">
        <f t="shared" si="1414"/>
        <v>0</v>
      </c>
      <c r="BN1028" s="1">
        <f t="shared" si="1437"/>
        <v>1</v>
      </c>
      <c r="BO1028" s="1">
        <f t="shared" si="1438"/>
        <v>1</v>
      </c>
    </row>
    <row r="1029" spans="1:67" ht="30.95" customHeight="1">
      <c r="A1029" s="1">
        <f>28</f>
        <v>28</v>
      </c>
      <c r="B1029" s="1">
        <f>固定流程!A21</f>
        <v>16</v>
      </c>
      <c r="C1029" s="1">
        <f>31</f>
        <v>31</v>
      </c>
      <c r="D1029" s="1">
        <f>1</f>
        <v>1</v>
      </c>
      <c r="E1029" s="1">
        <f>固定流程!C21</f>
        <v>3</v>
      </c>
      <c r="F1029" s="1">
        <f>固定流程!G21</f>
        <v>2</v>
      </c>
      <c r="G1029" s="1" t="str">
        <f>固定流程!H21</f>
        <v>37_ULT</v>
      </c>
      <c r="H1029" s="1">
        <f>固定流程!F21</f>
        <v>1</v>
      </c>
      <c r="I1029" s="1">
        <f>INDEX(配置与结果!$B$15:$B$18,F1029)</f>
        <v>2306</v>
      </c>
      <c r="J1029" s="1">
        <f>INDEX(配置与结果!$D$15:$D$18,F1029)</f>
        <v>0.46</v>
      </c>
      <c r="K1029" s="1">
        <f>INDEX(配置与结果!$E$15:$E$18,F1029)</f>
        <v>1.9279999999999999</v>
      </c>
      <c r="L1029" s="1">
        <f t="shared" si="1449"/>
        <v>2</v>
      </c>
      <c r="M1029" s="1">
        <f t="shared" si="1450"/>
        <v>10</v>
      </c>
      <c r="N1029" s="1">
        <f t="shared" si="1451"/>
        <v>2</v>
      </c>
      <c r="O1029" s="1">
        <f t="shared" si="1443"/>
        <v>6</v>
      </c>
      <c r="P1029" s="1">
        <f>MIN(方案参数!$AI$31,AZ1028+0+0)</f>
        <v>5</v>
      </c>
      <c r="Q1029" s="1">
        <f t="shared" si="1421"/>
        <v>5</v>
      </c>
      <c r="R1029" s="1">
        <f t="shared" si="1422"/>
        <v>5</v>
      </c>
      <c r="S1029" s="1">
        <f t="shared" si="1423"/>
        <v>2</v>
      </c>
      <c r="T1029" s="1">
        <f>BD1028+方案参数!$BX$31</f>
        <v>2</v>
      </c>
      <c r="U1029" s="1">
        <f t="shared" si="1425"/>
        <v>0</v>
      </c>
      <c r="V1029" s="1">
        <f t="shared" si="1426"/>
        <v>2</v>
      </c>
      <c r="W1029" s="1">
        <f t="shared" si="1427"/>
        <v>1</v>
      </c>
      <c r="X1029" s="1">
        <f t="shared" si="1428"/>
        <v>1</v>
      </c>
      <c r="Y1029" s="1">
        <f t="shared" si="1429"/>
        <v>1</v>
      </c>
      <c r="Z1029" s="1">
        <f t="shared" si="1430"/>
        <v>1</v>
      </c>
      <c r="AA1029" s="1">
        <f t="shared" ref="AA1029:AA1049" si="1454">MAX(BK1028,0)</f>
        <v>1</v>
      </c>
      <c r="AB1029" s="1">
        <f t="shared" si="1432"/>
        <v>0</v>
      </c>
      <c r="AC1029" s="1">
        <f>MAX(BM1028,1)</f>
        <v>1</v>
      </c>
      <c r="AD1029" s="1">
        <f>ROUNDDOWN(I1029*(1+IF(F1029=3,0.05+方案参数!$Y$31+AA1029*0.12,IF(F1029=4,方案参数!$BZ$31*方案参数!$AS$31,0)))+IF(AND(X1029=1,F1029&lt;&gt;3),方案参数!$CC$31,0)+AC1029*方案参数!$CB$31,0)</f>
        <v>3044</v>
      </c>
      <c r="AE1029" s="1">
        <f>IF(OR(F1029=1,F1029=4),配置与结果!$B$24,配置与结果!$B$25)*MAX(0,1-INDEX(配置与结果!$I$15:$I$18,F1029))</f>
        <v>1000</v>
      </c>
      <c r="AF1029" s="1">
        <f>0</f>
        <v>0</v>
      </c>
      <c r="AG1029" s="1">
        <f>MAX(配置与结果!$B$32,1+INDEX(配置与结果!$F$15:$F$18,F1029)+0+Q1029*方案参数!$W$31+Y1029*(方案参数!$AN$31+MIN(方案参数!$AO$31,P1029*0.03))+AB1029*方案参数!$BZ$31*0.025-配置与结果!$B$28)</f>
        <v>1.0049999999999999</v>
      </c>
      <c r="AH1029" s="1">
        <f>MAX(0,1+INDEX(配置与结果!$G$15:$G$18,F1029)+W1029*方案参数!$AG$31)</f>
        <v>1.3</v>
      </c>
      <c r="AI1029" s="1">
        <f>IF(OR(INDEX(配置与结果!$K$15:$K$18,F1029)=1,G1029="RHI_BERRY"),1+配置与结果!$B$33+P1029*方案参数!$AH$31,1)</f>
        <v>1</v>
      </c>
      <c r="AJ1029" s="1">
        <f>MIN(1,MAX(0,J1029+方案参数!$AB$31-配置与结果!$B$27))</f>
        <v>0.76</v>
      </c>
      <c r="AK1029" s="1">
        <f>MAX(1,K1029+IF(F1029=2,0.15+方案参数!$CH$31,0)+BN1029*方案参数!$X$31+R1029*方案参数!$AA$31+0-配置与结果!$B$26+Z1029*(方案参数!$AP$31+MIN(方案参数!$AQ$31,P1029*0.03)))</f>
        <v>2.278</v>
      </c>
      <c r="AL1029" s="7">
        <f>ROUNDDOWN(MAX(AD1029*配置与结果!$B$31,AD1029-AE1029)*AF1029*AG1029*AH1029*AI1029,0)</f>
        <v>0</v>
      </c>
      <c r="AM1029" s="7">
        <f>ROUNDDOWN(MAX(AD1029*配置与结果!$B$31,AD1029-AE1029)*AF1029*AG1029*AH1029*AI1029*AK1029,0)</f>
        <v>0</v>
      </c>
      <c r="AN1029" s="7">
        <f t="shared" si="1366"/>
        <v>0</v>
      </c>
      <c r="AO1029" s="7">
        <f>0</f>
        <v>0</v>
      </c>
      <c r="AP1029" s="7">
        <f>MAX(0,1+INDEX(配置与结果!$J$15:$J$18,F1029)+IF(T1029&gt;0,方案参数!$BY$31,0)-配置与结果!$B$30)</f>
        <v>2</v>
      </c>
      <c r="AQ1029" s="7">
        <f t="shared" si="1367"/>
        <v>0</v>
      </c>
      <c r="AR1029" s="7">
        <f t="shared" si="1368"/>
        <v>0</v>
      </c>
      <c r="AS1029" s="7">
        <f t="shared" si="1369"/>
        <v>0</v>
      </c>
      <c r="AT1029" s="7">
        <f>0</f>
        <v>0</v>
      </c>
      <c r="AU1029" s="7">
        <f t="shared" si="1370"/>
        <v>0</v>
      </c>
      <c r="AV1029" s="1">
        <f t="shared" si="1371"/>
        <v>2</v>
      </c>
      <c r="AW1029" s="1">
        <f t="shared" si="1447"/>
        <v>10</v>
      </c>
      <c r="AX1029" s="1">
        <f t="shared" si="1372"/>
        <v>2</v>
      </c>
      <c r="AY1029" s="1">
        <f t="shared" si="1441"/>
        <v>6</v>
      </c>
      <c r="AZ1029" s="1">
        <f t="shared" si="1373"/>
        <v>5</v>
      </c>
      <c r="BA1029" s="1">
        <f t="shared" ref="BA1029:BA1049" si="1455">MIN(6,Q1029+0)</f>
        <v>5</v>
      </c>
      <c r="BB1029" s="1">
        <f>MIN(30,R1029+5)</f>
        <v>10</v>
      </c>
      <c r="BC1029" s="1">
        <f t="shared" si="1448"/>
        <v>2</v>
      </c>
      <c r="BD1029" s="1">
        <f t="shared" si="1442"/>
        <v>2</v>
      </c>
      <c r="BE1029" s="1">
        <f t="shared" si="1435"/>
        <v>0</v>
      </c>
      <c r="BF1029" s="1">
        <f>MIN(4,V1029+0)</f>
        <v>2</v>
      </c>
      <c r="BG1029" s="1">
        <f t="shared" si="1452"/>
        <v>1</v>
      </c>
      <c r="BH1029" s="1">
        <f t="shared" si="1436"/>
        <v>1</v>
      </c>
      <c r="BI1029" s="1">
        <f t="shared" si="1453"/>
        <v>1</v>
      </c>
      <c r="BJ1029" s="1">
        <f t="shared" ref="BJ1029:BJ1056" si="1456">MAX(Z1029,0)</f>
        <v>1</v>
      </c>
      <c r="BK1029" s="1">
        <f t="shared" ref="BK1029:BK1056" si="1457">MAX(AA1029,0)</f>
        <v>1</v>
      </c>
      <c r="BL1029" s="1">
        <f t="shared" si="1416"/>
        <v>0</v>
      </c>
      <c r="BM1029" s="1">
        <f>MAX(AC1029,1)</f>
        <v>1</v>
      </c>
      <c r="BN1029" s="1">
        <f t="shared" si="1437"/>
        <v>1</v>
      </c>
      <c r="BO1029" s="1">
        <f t="shared" si="1438"/>
        <v>1</v>
      </c>
    </row>
    <row r="1030" spans="1:67" ht="30.95" customHeight="1">
      <c r="A1030" s="1">
        <f>28</f>
        <v>28</v>
      </c>
      <c r="B1030" s="1">
        <f>固定流程!A22</f>
        <v>17</v>
      </c>
      <c r="C1030" s="1">
        <f>31</f>
        <v>31</v>
      </c>
      <c r="D1030" s="1">
        <f>1</f>
        <v>1</v>
      </c>
      <c r="E1030" s="1">
        <f>固定流程!C22</f>
        <v>3</v>
      </c>
      <c r="F1030" s="1">
        <f>固定流程!G22</f>
        <v>2</v>
      </c>
      <c r="G1030" s="1" t="str">
        <f>固定流程!H22</f>
        <v>37_FOLLOW</v>
      </c>
      <c r="H1030" s="1">
        <f>固定流程!F22</f>
        <v>1</v>
      </c>
      <c r="I1030" s="1">
        <f>INDEX(配置与结果!$B$15:$B$18,F1030)</f>
        <v>2306</v>
      </c>
      <c r="J1030" s="1">
        <f>INDEX(配置与结果!$D$15:$D$18,F1030)</f>
        <v>0.46</v>
      </c>
      <c r="K1030" s="1">
        <f>INDEX(配置与结果!$E$15:$E$18,F1030)</f>
        <v>1.9279999999999999</v>
      </c>
      <c r="L1030" s="1">
        <f t="shared" si="1449"/>
        <v>2</v>
      </c>
      <c r="M1030" s="1">
        <f t="shared" si="1450"/>
        <v>10</v>
      </c>
      <c r="N1030" s="1">
        <f t="shared" si="1451"/>
        <v>2</v>
      </c>
      <c r="O1030" s="1">
        <f t="shared" si="1443"/>
        <v>6</v>
      </c>
      <c r="P1030" s="1">
        <f>MIN(方案参数!$AI$31,AZ1029+0+0)</f>
        <v>5</v>
      </c>
      <c r="Q1030" s="1">
        <f t="shared" si="1421"/>
        <v>5</v>
      </c>
      <c r="R1030" s="1">
        <f t="shared" si="1422"/>
        <v>10</v>
      </c>
      <c r="S1030" s="1">
        <f t="shared" si="1423"/>
        <v>2</v>
      </c>
      <c r="T1030" s="1">
        <f t="shared" ref="T1030:T1049" si="1458">BD1029+0</f>
        <v>2</v>
      </c>
      <c r="U1030" s="1">
        <f t="shared" si="1425"/>
        <v>0</v>
      </c>
      <c r="V1030" s="1">
        <f t="shared" si="1426"/>
        <v>2</v>
      </c>
      <c r="W1030" s="1">
        <f t="shared" si="1427"/>
        <v>1</v>
      </c>
      <c r="X1030" s="1">
        <f t="shared" si="1428"/>
        <v>1</v>
      </c>
      <c r="Y1030" s="1">
        <f t="shared" si="1429"/>
        <v>1</v>
      </c>
      <c r="Z1030" s="1">
        <f t="shared" si="1430"/>
        <v>1</v>
      </c>
      <c r="AA1030" s="1">
        <f t="shared" si="1454"/>
        <v>1</v>
      </c>
      <c r="AB1030" s="1">
        <f t="shared" si="1432"/>
        <v>0</v>
      </c>
      <c r="AC1030" s="1">
        <f t="shared" ref="AC1030:AC1049" si="1459">MAX(BM1029,0)</f>
        <v>1</v>
      </c>
      <c r="AD1030" s="1">
        <f>ROUNDDOWN(I1030*(1+IF(F1030=3,0.05+方案参数!$Y$31+AA1030*0.12,IF(F1030=4,方案参数!$BZ$31*方案参数!$AS$31,0)))+IF(AND(X1030=1,F1030&lt;&gt;3),方案参数!$CC$31,0)+AC1030*方案参数!$CB$31,0)</f>
        <v>3044</v>
      </c>
      <c r="AE1030" s="1">
        <f>IF(OR(F1030=1,F1030=4),配置与结果!$B$24,配置与结果!$B$25)*MAX(0,1-INDEX(配置与结果!$I$15:$I$18,F1030))</f>
        <v>1000</v>
      </c>
      <c r="AF1030" s="1">
        <f>方案参数!$BV$31</f>
        <v>3</v>
      </c>
      <c r="AG1030" s="1">
        <f>MAX(配置与结果!$B$32,1+INDEX(配置与结果!$F$15:$F$18,F1030)+0+Q1030*方案参数!$W$31+Y1030*(方案参数!$AN$31+MIN(方案参数!$AO$31,P1030*0.03))+AB1030*方案参数!$BZ$31*0.025-配置与结果!$B$28)</f>
        <v>1.0049999999999999</v>
      </c>
      <c r="AH1030" s="1">
        <f>MAX(0,1+INDEX(配置与结果!$G$15:$G$18,F1030)+W1030*方案参数!$AG$31)</f>
        <v>1.3</v>
      </c>
      <c r="AI1030" s="1">
        <f>IF(OR(INDEX(配置与结果!$K$15:$K$18,F1030)=1,G1030="RHI_BERRY"),1+配置与结果!$B$33+P1030*方案参数!$AH$31,1)</f>
        <v>1</v>
      </c>
      <c r="AJ1030" s="1">
        <f>MIN(1,MAX(0,J1030+方案参数!$AB$31-配置与结果!$B$27))</f>
        <v>0.76</v>
      </c>
      <c r="AK1030" s="1">
        <f>MAX(1,K1030+IF(F1030=2,0.15+方案参数!$CH$31,0)+BN1030*方案参数!$X$31+R1030*方案参数!$AA$31+0-配置与结果!$B$26+Z1030*(方案参数!$AP$31+MIN(方案参数!$AQ$31,P1030*0.03)))</f>
        <v>2.298</v>
      </c>
      <c r="AL1030" s="7">
        <f>ROUNDDOWN(MAX(AD1030*配置与结果!$B$31,AD1030-AE1030)*AF1030*AG1030*AH1030*AI1030,0)</f>
        <v>8011</v>
      </c>
      <c r="AM1030" s="7">
        <f>ROUNDDOWN(MAX(AD1030*配置与结果!$B$31,AD1030-AE1030)*AF1030*AG1030*AH1030*AI1030*AK1030,0)</f>
        <v>18410</v>
      </c>
      <c r="AN1030" s="7">
        <f t="shared" ref="AN1030:AN1093" si="1460">AL1030*(1-AJ1030)+AM1030*AJ1030</f>
        <v>15914.24</v>
      </c>
      <c r="AO1030" s="7">
        <f>方案参数!$BW$31</f>
        <v>1</v>
      </c>
      <c r="AP1030" s="7">
        <f>MAX(0,1+INDEX(配置与结果!$J$15:$J$18,F1030)+IF(T1030&gt;0,方案参数!$BY$31,0)-配置与结果!$B$30)</f>
        <v>2</v>
      </c>
      <c r="AQ1030" s="7">
        <f t="shared" ref="AQ1030:AQ1093" si="1461">ROUNDDOWN(ROUNDDOWN(AD1030*AO1030,0)*AP1030,0)</f>
        <v>6088</v>
      </c>
      <c r="AR1030" s="7">
        <f t="shared" ref="AR1030:AR1093" si="1462">ROUNDDOWN(ROUNDDOWN(AD1030*AO1030,0)*AP1030*AK1030,0)</f>
        <v>13990</v>
      </c>
      <c r="AS1030" s="7">
        <f t="shared" ref="AS1030:AS1093" si="1463">AQ1030*(1-AJ1030)+AR1030*AJ1030</f>
        <v>12093.52</v>
      </c>
      <c r="AT1030" s="7">
        <f>0</f>
        <v>0</v>
      </c>
      <c r="AU1030" s="7">
        <f t="shared" ref="AU1030:AU1093" si="1464">AN1030+AS1030+AT1030</f>
        <v>28007.760000000002</v>
      </c>
      <c r="AV1030" s="1">
        <f t="shared" ref="AV1030:AV1093" si="1465">IF(G1030="LILYA_COBRA",IF(L1030=0,1,L1030),L1030)</f>
        <v>2</v>
      </c>
      <c r="AW1030" s="1">
        <f t="shared" si="1447"/>
        <v>10</v>
      </c>
      <c r="AX1030" s="1">
        <f t="shared" ref="AX1030:AX1093" si="1466">N1030</f>
        <v>2</v>
      </c>
      <c r="AY1030" s="1">
        <f t="shared" si="1441"/>
        <v>6</v>
      </c>
      <c r="AZ1030" s="1">
        <f t="shared" ref="AZ1030:AZ1093" si="1467">P1030</f>
        <v>5</v>
      </c>
      <c r="BA1030" s="1">
        <f t="shared" si="1455"/>
        <v>5</v>
      </c>
      <c r="BB1030" s="1">
        <f>MIN(30,R1030+0)</f>
        <v>10</v>
      </c>
      <c r="BC1030" s="1">
        <f t="shared" si="1448"/>
        <v>2</v>
      </c>
      <c r="BD1030" s="1">
        <f t="shared" si="1442"/>
        <v>1</v>
      </c>
      <c r="BE1030" s="1">
        <f t="shared" si="1435"/>
        <v>0</v>
      </c>
      <c r="BF1030" s="1">
        <f>MIN(4,V1030+1)</f>
        <v>3</v>
      </c>
      <c r="BG1030" s="1">
        <f t="shared" si="1452"/>
        <v>1</v>
      </c>
      <c r="BH1030" s="1">
        <f t="shared" si="1436"/>
        <v>1</v>
      </c>
      <c r="BI1030" s="1">
        <f t="shared" si="1453"/>
        <v>1</v>
      </c>
      <c r="BJ1030" s="1">
        <f t="shared" si="1456"/>
        <v>1</v>
      </c>
      <c r="BK1030" s="1">
        <f t="shared" si="1457"/>
        <v>1</v>
      </c>
      <c r="BL1030" s="1">
        <f t="shared" si="1416"/>
        <v>0</v>
      </c>
      <c r="BM1030" s="1">
        <f t="shared" ref="BM1030:BM1064" si="1468">MAX(AC1030,0)</f>
        <v>1</v>
      </c>
      <c r="BN1030" s="1">
        <f t="shared" si="1437"/>
        <v>1</v>
      </c>
      <c r="BO1030" s="1">
        <f t="shared" si="1438"/>
        <v>1</v>
      </c>
    </row>
    <row r="1031" spans="1:67" ht="30.95" customHeight="1">
      <c r="A1031" s="1">
        <f>28</f>
        <v>28</v>
      </c>
      <c r="B1031" s="1">
        <f>固定流程!A23</f>
        <v>18</v>
      </c>
      <c r="C1031" s="1">
        <f>31</f>
        <v>31</v>
      </c>
      <c r="D1031" s="1">
        <f>1</f>
        <v>1</v>
      </c>
      <c r="E1031" s="1">
        <f>固定流程!C23</f>
        <v>3</v>
      </c>
      <c r="F1031" s="1">
        <f>固定流程!G23</f>
        <v>4</v>
      </c>
      <c r="G1031" s="1" t="str">
        <f>固定流程!H23</f>
        <v>J_HARD</v>
      </c>
      <c r="H1031" s="1">
        <f>固定流程!F23</f>
        <v>1</v>
      </c>
      <c r="I1031" s="1">
        <f>INDEX(配置与结果!$B$15:$B$18,F1031)</f>
        <v>1906</v>
      </c>
      <c r="J1031" s="1">
        <f>INDEX(配置与结果!$D$15:$D$18,F1031)</f>
        <v>0.36699999999999999</v>
      </c>
      <c r="K1031" s="1">
        <f>INDEX(配置与结果!$E$15:$E$18,F1031)</f>
        <v>1.7170000000000001</v>
      </c>
      <c r="L1031" s="1">
        <f t="shared" si="1449"/>
        <v>2</v>
      </c>
      <c r="M1031" s="1">
        <f t="shared" si="1450"/>
        <v>10</v>
      </c>
      <c r="N1031" s="1">
        <f t="shared" si="1451"/>
        <v>2</v>
      </c>
      <c r="O1031" s="1">
        <f t="shared" si="1443"/>
        <v>6</v>
      </c>
      <c r="P1031" s="1">
        <f>MIN(方案参数!$AI$31,AZ1030+0+0)</f>
        <v>5</v>
      </c>
      <c r="Q1031" s="1">
        <f t="shared" si="1421"/>
        <v>5</v>
      </c>
      <c r="R1031" s="1">
        <f t="shared" si="1422"/>
        <v>10</v>
      </c>
      <c r="S1031" s="1">
        <f t="shared" si="1423"/>
        <v>2</v>
      </c>
      <c r="T1031" s="1">
        <f t="shared" si="1458"/>
        <v>1</v>
      </c>
      <c r="U1031" s="1">
        <f t="shared" si="1425"/>
        <v>0</v>
      </c>
      <c r="V1031" s="1">
        <f t="shared" si="1426"/>
        <v>3</v>
      </c>
      <c r="W1031" s="1">
        <f t="shared" si="1427"/>
        <v>1</v>
      </c>
      <c r="X1031" s="1">
        <f t="shared" si="1428"/>
        <v>1</v>
      </c>
      <c r="Y1031" s="1">
        <f t="shared" si="1429"/>
        <v>1</v>
      </c>
      <c r="Z1031" s="1">
        <f t="shared" si="1430"/>
        <v>1</v>
      </c>
      <c r="AA1031" s="1">
        <f t="shared" si="1454"/>
        <v>1</v>
      </c>
      <c r="AB1031" s="1">
        <f t="shared" si="1432"/>
        <v>0</v>
      </c>
      <c r="AC1031" s="1">
        <f t="shared" si="1459"/>
        <v>1</v>
      </c>
      <c r="AD1031" s="1">
        <f>ROUNDDOWN(I1031*(1+IF(F1031=3,0.05+方案参数!$Y$31+AA1031*0.12,IF(F1031=4,方案参数!$BZ$31*方案参数!$AS$31,0)))+IF(AND(X1031=1,F1031&lt;&gt;3),方案参数!$CC$31,0)+AC1031*方案参数!$CB$31,0)</f>
        <v>3311</v>
      </c>
      <c r="AE1031" s="1">
        <f>IF(OR(F1031=1,F1031=4),配置与结果!$B$24,配置与结果!$B$25)*MAX(0,1-INDEX(配置与结果!$I$15:$I$18,F1031))</f>
        <v>1200</v>
      </c>
      <c r="AF1031" s="1">
        <f>3.6*IF(H1031=1,1,IF(H1031=2,1.5,2.5))</f>
        <v>3.6</v>
      </c>
      <c r="AG1031" s="1">
        <f>MAX(配置与结果!$B$32,1+INDEX(配置与结果!$F$15:$F$18,F1031)+0.08+Q1031*方案参数!$W$31+Y1031*(方案参数!$AN$31+MIN(方案参数!$AO$31,P1031*0.03))+AB1031*方案参数!$BZ$31*0.025+0.1+IF(方案参数!$BZ$31&gt;=30,方案参数!$BZ$31*0.01,0)-配置与结果!$B$28)</f>
        <v>1.5550000000000002</v>
      </c>
      <c r="AH1031" s="1">
        <f>MAX(0,1+INDEX(配置与结果!$G$15:$G$18,F1031)+W1031*方案参数!$AG$31)</f>
        <v>1.3</v>
      </c>
      <c r="AI1031" s="1">
        <f>IF(OR(INDEX(配置与结果!$K$15:$K$18,F1031)=1,G1031="RHI_BERRY"),1+配置与结果!$B$33+P1031*方案参数!$AH$31,1)</f>
        <v>1</v>
      </c>
      <c r="AJ1031" s="1">
        <f>MIN(1,MAX(0,J1031+方案参数!$AB$31-配置与结果!$B$27))</f>
        <v>0.66700000000000004</v>
      </c>
      <c r="AK1031" s="1">
        <f>MAX(1,K1031+IF(F1031=2,0.15+方案参数!$CH$31,0)+BN1031*方案参数!$X$31+R1031*方案参数!$AA$31+0-配置与结果!$B$26+Z1031*(方案参数!$AP$31+MIN(方案参数!$AQ$31,P1031*0.03)))</f>
        <v>1.8169999999999999</v>
      </c>
      <c r="AL1031" s="7">
        <f>ROUNDDOWN(MAX(AD1031*配置与结果!$B$31,AD1031-AE1031)*AF1031*AG1031*AH1031*AI1031,0)</f>
        <v>15362</v>
      </c>
      <c r="AM1031" s="7">
        <f>ROUNDDOWN(MAX(AD1031*配置与结果!$B$31,AD1031-AE1031)*AF1031*AG1031*AH1031*AI1031*AK1031,0)</f>
        <v>27913</v>
      </c>
      <c r="AN1031" s="7">
        <f t="shared" si="1460"/>
        <v>23733.517</v>
      </c>
      <c r="AO1031" s="7">
        <f>0</f>
        <v>0</v>
      </c>
      <c r="AP1031" s="7">
        <f>MAX(0,1+INDEX(配置与结果!$J$15:$J$18,F1031)+IF(T1031&gt;0,方案参数!$BY$31,0)-配置与结果!$B$30)</f>
        <v>2</v>
      </c>
      <c r="AQ1031" s="7">
        <f t="shared" si="1461"/>
        <v>0</v>
      </c>
      <c r="AR1031" s="7">
        <f t="shared" si="1462"/>
        <v>0</v>
      </c>
      <c r="AS1031" s="7">
        <f t="shared" si="1463"/>
        <v>0</v>
      </c>
      <c r="AT1031" s="7">
        <f>0</f>
        <v>0</v>
      </c>
      <c r="AU1031" s="7">
        <f t="shared" si="1464"/>
        <v>23733.517</v>
      </c>
      <c r="AV1031" s="1">
        <f t="shared" si="1465"/>
        <v>2</v>
      </c>
      <c r="AW1031" s="1">
        <f t="shared" si="1447"/>
        <v>10</v>
      </c>
      <c r="AX1031" s="1">
        <f t="shared" si="1466"/>
        <v>2</v>
      </c>
      <c r="AY1031" s="1">
        <f t="shared" si="1441"/>
        <v>6</v>
      </c>
      <c r="AZ1031" s="1">
        <f t="shared" si="1467"/>
        <v>5</v>
      </c>
      <c r="BA1031" s="1">
        <f t="shared" si="1455"/>
        <v>5</v>
      </c>
      <c r="BB1031" s="1">
        <f>MIN(30,R1031+0)</f>
        <v>10</v>
      </c>
      <c r="BC1031" s="1">
        <f>MIN(3,S1031+1)</f>
        <v>3</v>
      </c>
      <c r="BD1031" s="1">
        <f t="shared" si="1442"/>
        <v>1</v>
      </c>
      <c r="BE1031" s="1">
        <f t="shared" si="1435"/>
        <v>0</v>
      </c>
      <c r="BF1031" s="1">
        <f>MIN(4,V1031+0)</f>
        <v>3</v>
      </c>
      <c r="BG1031" s="1">
        <f t="shared" si="1452"/>
        <v>1</v>
      </c>
      <c r="BH1031" s="1">
        <f t="shared" si="1436"/>
        <v>1</v>
      </c>
      <c r="BI1031" s="1">
        <f t="shared" si="1453"/>
        <v>1</v>
      </c>
      <c r="BJ1031" s="1">
        <f t="shared" si="1456"/>
        <v>1</v>
      </c>
      <c r="BK1031" s="1">
        <f t="shared" si="1457"/>
        <v>1</v>
      </c>
      <c r="BL1031" s="1">
        <f t="shared" si="1416"/>
        <v>0</v>
      </c>
      <c r="BM1031" s="1">
        <f t="shared" si="1468"/>
        <v>1</v>
      </c>
      <c r="BN1031" s="1">
        <f t="shared" si="1437"/>
        <v>1</v>
      </c>
      <c r="BO1031" s="1">
        <f t="shared" si="1438"/>
        <v>1</v>
      </c>
    </row>
    <row r="1032" spans="1:67" ht="30.95" customHeight="1">
      <c r="A1032" s="1">
        <f>28</f>
        <v>28</v>
      </c>
      <c r="B1032" s="1">
        <f>固定流程!A24</f>
        <v>19</v>
      </c>
      <c r="C1032" s="1">
        <f>31</f>
        <v>31</v>
      </c>
      <c r="D1032" s="1">
        <f>1</f>
        <v>1</v>
      </c>
      <c r="E1032" s="1">
        <f>固定流程!C24</f>
        <v>3</v>
      </c>
      <c r="F1032" s="1">
        <f>固定流程!G24</f>
        <v>4</v>
      </c>
      <c r="G1032" s="1" t="str">
        <f>固定流程!H24</f>
        <v>J_ULT</v>
      </c>
      <c r="H1032" s="1">
        <f>固定流程!F24</f>
        <v>1</v>
      </c>
      <c r="I1032" s="1">
        <f>INDEX(配置与结果!$B$15:$B$18,F1032)</f>
        <v>1906</v>
      </c>
      <c r="J1032" s="1">
        <f>INDEX(配置与结果!$D$15:$D$18,F1032)</f>
        <v>0.36699999999999999</v>
      </c>
      <c r="K1032" s="1">
        <f>INDEX(配置与结果!$E$15:$E$18,F1032)</f>
        <v>1.7170000000000001</v>
      </c>
      <c r="L1032" s="1">
        <f t="shared" si="1449"/>
        <v>2</v>
      </c>
      <c r="M1032" s="1">
        <f t="shared" si="1450"/>
        <v>10</v>
      </c>
      <c r="N1032" s="1">
        <f t="shared" si="1451"/>
        <v>2</v>
      </c>
      <c r="O1032" s="1">
        <f t="shared" si="1443"/>
        <v>6</v>
      </c>
      <c r="P1032" s="1">
        <f>MIN(方案参数!$AI$31,AZ1031+0+0)</f>
        <v>5</v>
      </c>
      <c r="Q1032" s="1">
        <f t="shared" si="1421"/>
        <v>5</v>
      </c>
      <c r="R1032" s="1">
        <f t="shared" si="1422"/>
        <v>10</v>
      </c>
      <c r="S1032" s="1">
        <f t="shared" si="1423"/>
        <v>3</v>
      </c>
      <c r="T1032" s="1">
        <f t="shared" si="1458"/>
        <v>1</v>
      </c>
      <c r="U1032" s="1">
        <f t="shared" si="1425"/>
        <v>0</v>
      </c>
      <c r="V1032" s="1">
        <f t="shared" si="1426"/>
        <v>3</v>
      </c>
      <c r="W1032" s="1">
        <f t="shared" si="1427"/>
        <v>1</v>
      </c>
      <c r="X1032" s="1">
        <f t="shared" si="1428"/>
        <v>1</v>
      </c>
      <c r="Y1032" s="1">
        <f t="shared" si="1429"/>
        <v>1</v>
      </c>
      <c r="Z1032" s="1">
        <f t="shared" si="1430"/>
        <v>1</v>
      </c>
      <c r="AA1032" s="1">
        <f t="shared" si="1454"/>
        <v>1</v>
      </c>
      <c r="AB1032" s="1">
        <f t="shared" si="1432"/>
        <v>0</v>
      </c>
      <c r="AC1032" s="1">
        <f t="shared" si="1459"/>
        <v>1</v>
      </c>
      <c r="AD1032" s="1">
        <f>ROUNDDOWN(I1032*(1+IF(F1032=3,0.05+方案参数!$Y$31+AA1032*0.12,IF(F1032=4,方案参数!$BZ$31*方案参数!$AS$31,0)))+IF(AND(X1032=1,F1032&lt;&gt;3),方案参数!$CC$31,0)+AC1032*方案参数!$CB$31,0)</f>
        <v>3311</v>
      </c>
      <c r="AE1032" s="1">
        <f>IF(OR(F1032=1,F1032=4),配置与结果!$B$24,配置与结果!$B$25)*MAX(0,1-INDEX(配置与结果!$I$15:$I$18,F1032))</f>
        <v>1200</v>
      </c>
      <c r="AF1032" s="1">
        <f>方案参数!$AT$31+MAX(0,配置与结果!$H$26+方案参数!$BZ$31-30)*方案参数!$AU$31*配置与结果!$H$27</f>
        <v>42</v>
      </c>
      <c r="AG1032" s="1">
        <f>MAX(配置与结果!$B$32,1+INDEX(配置与结果!$F$15:$F$18,F1032)+0.08+Q1032*方案参数!$W$31+Y1032*(方案参数!$AN$31+MIN(方案参数!$AO$31,P1032*0.03))+AB1032*方案参数!$BZ$31*0.025-配置与结果!$B$28)</f>
        <v>1.105</v>
      </c>
      <c r="AH1032" s="1">
        <f>MAX(0,1+INDEX(配置与结果!$H$15:$H$18,F1032)+W1032*方案参数!$AG$31+S1032*方案参数!$Z$31)</f>
        <v>1.42</v>
      </c>
      <c r="AI1032" s="1">
        <f>IF(OR(INDEX(配置与结果!$K$15:$K$18,F1032)=1,G1032="RHI_BERRY"),1+配置与结果!$B$33+P1032*方案参数!$AH$31,1)</f>
        <v>1</v>
      </c>
      <c r="AJ1032" s="1">
        <f>MIN(1,MAX(0,J1032+方案参数!$AB$31-配置与结果!$B$27))</f>
        <v>0.66700000000000004</v>
      </c>
      <c r="AK1032" s="1">
        <f>MAX(1,K1032+IF(F1032=2,0.15+方案参数!$CH$31,0)+BN1032*方案参数!$X$31+R1032*方案参数!$AA$31+0-配置与结果!$B$26+Z1032*(方案参数!$AP$31+MIN(方案参数!$AQ$31,P1032*0.03)))</f>
        <v>1.8169999999999999</v>
      </c>
      <c r="AL1032" s="7">
        <f>ROUNDDOWN(MAX(AD1032*配置与结果!$B$31,AD1032-AE1032)*AF1032*AG1032*AH1032*AI1032,0)</f>
        <v>139119</v>
      </c>
      <c r="AM1032" s="7">
        <f>ROUNDDOWN(MAX(AD1032*配置与结果!$B$31,AD1032-AE1032)*AF1032*AG1032*AH1032*AI1032*AK1032,0)</f>
        <v>252780</v>
      </c>
      <c r="AN1032" s="7">
        <f t="shared" si="1460"/>
        <v>214930.88699999999</v>
      </c>
      <c r="AO1032" s="7">
        <f>0</f>
        <v>0</v>
      </c>
      <c r="AP1032" s="7">
        <f>MAX(0,1+INDEX(配置与结果!$J$15:$J$18,F1032)+IF(T1032&gt;0,方案参数!$BY$31,0)-配置与结果!$B$30)</f>
        <v>2</v>
      </c>
      <c r="AQ1032" s="7">
        <f t="shared" si="1461"/>
        <v>0</v>
      </c>
      <c r="AR1032" s="7">
        <f t="shared" si="1462"/>
        <v>0</v>
      </c>
      <c r="AS1032" s="7">
        <f t="shared" si="1463"/>
        <v>0</v>
      </c>
      <c r="AT1032" s="7">
        <f>0</f>
        <v>0</v>
      </c>
      <c r="AU1032" s="7">
        <f t="shared" si="1464"/>
        <v>214930.88699999999</v>
      </c>
      <c r="AV1032" s="1">
        <f t="shared" si="1465"/>
        <v>2</v>
      </c>
      <c r="AW1032" s="1">
        <f t="shared" si="1447"/>
        <v>10</v>
      </c>
      <c r="AX1032" s="1">
        <f t="shared" si="1466"/>
        <v>2</v>
      </c>
      <c r="AY1032" s="1">
        <f t="shared" si="1441"/>
        <v>6</v>
      </c>
      <c r="AZ1032" s="1">
        <f t="shared" si="1467"/>
        <v>5</v>
      </c>
      <c r="BA1032" s="1">
        <f t="shared" si="1455"/>
        <v>5</v>
      </c>
      <c r="BB1032" s="1">
        <f>MIN(30,R1032+5)</f>
        <v>15</v>
      </c>
      <c r="BC1032" s="1">
        <f t="shared" ref="BC1032:BC1055" si="1469">MIN(3,S1032+0)</f>
        <v>3</v>
      </c>
      <c r="BD1032" s="1">
        <f t="shared" si="1442"/>
        <v>1</v>
      </c>
      <c r="BE1032" s="1">
        <f t="shared" si="1435"/>
        <v>0</v>
      </c>
      <c r="BF1032" s="1">
        <f>MIN(4,V1032+0)</f>
        <v>3</v>
      </c>
      <c r="BG1032" s="1">
        <f t="shared" si="1452"/>
        <v>1</v>
      </c>
      <c r="BH1032" s="1">
        <f t="shared" si="1436"/>
        <v>1</v>
      </c>
      <c r="BI1032" s="1">
        <f t="shared" si="1453"/>
        <v>1</v>
      </c>
      <c r="BJ1032" s="1">
        <f t="shared" si="1456"/>
        <v>1</v>
      </c>
      <c r="BK1032" s="1">
        <f t="shared" si="1457"/>
        <v>1</v>
      </c>
      <c r="BL1032" s="1">
        <f>MAX(AB1032,1)</f>
        <v>1</v>
      </c>
      <c r="BM1032" s="1">
        <f t="shared" si="1468"/>
        <v>1</v>
      </c>
      <c r="BN1032" s="1">
        <f t="shared" si="1437"/>
        <v>1</v>
      </c>
      <c r="BO1032" s="1">
        <f t="shared" si="1438"/>
        <v>1</v>
      </c>
    </row>
    <row r="1033" spans="1:67" ht="30.95" customHeight="1">
      <c r="A1033" s="1">
        <f>28</f>
        <v>28</v>
      </c>
      <c r="B1033" s="1">
        <f>固定流程!A25</f>
        <v>20</v>
      </c>
      <c r="C1033" s="1">
        <f>31</f>
        <v>31</v>
      </c>
      <c r="D1033" s="1">
        <f>1</f>
        <v>1</v>
      </c>
      <c r="E1033" s="1">
        <f>固定流程!C25</f>
        <v>3</v>
      </c>
      <c r="F1033" s="1">
        <f>固定流程!G25</f>
        <v>1</v>
      </c>
      <c r="G1033" s="1" t="str">
        <f>固定流程!H25</f>
        <v>LILYA_ULT</v>
      </c>
      <c r="H1033" s="1">
        <f>固定流程!F25</f>
        <v>1</v>
      </c>
      <c r="I1033" s="1">
        <f>INDEX(配置与结果!$B$15:$B$18,F1033)</f>
        <v>2296</v>
      </c>
      <c r="J1033" s="1">
        <f>INDEX(配置与结果!$D$15:$D$18,F1033)</f>
        <v>0.7</v>
      </c>
      <c r="K1033" s="1">
        <f>INDEX(配置与结果!$E$15:$E$18,F1033)</f>
        <v>2.0249999999999999</v>
      </c>
      <c r="L1033" s="1">
        <f t="shared" si="1449"/>
        <v>2</v>
      </c>
      <c r="M1033" s="1">
        <f t="shared" si="1450"/>
        <v>10</v>
      </c>
      <c r="N1033" s="1">
        <f t="shared" si="1451"/>
        <v>2</v>
      </c>
      <c r="O1033" s="1">
        <f t="shared" si="1443"/>
        <v>6</v>
      </c>
      <c r="P1033" s="1">
        <f>MIN(方案参数!$AI$31,AZ1032+0+0)</f>
        <v>5</v>
      </c>
      <c r="Q1033" s="1">
        <f t="shared" si="1421"/>
        <v>5</v>
      </c>
      <c r="R1033" s="1">
        <f t="shared" si="1422"/>
        <v>15</v>
      </c>
      <c r="S1033" s="1">
        <f t="shared" si="1423"/>
        <v>3</v>
      </c>
      <c r="T1033" s="1">
        <f t="shared" si="1458"/>
        <v>1</v>
      </c>
      <c r="U1033" s="1">
        <f t="shared" si="1425"/>
        <v>0</v>
      </c>
      <c r="V1033" s="1">
        <f t="shared" si="1426"/>
        <v>3</v>
      </c>
      <c r="W1033" s="1">
        <f t="shared" si="1427"/>
        <v>1</v>
      </c>
      <c r="X1033" s="1">
        <f t="shared" si="1428"/>
        <v>1</v>
      </c>
      <c r="Y1033" s="1">
        <f t="shared" si="1429"/>
        <v>1</v>
      </c>
      <c r="Z1033" s="1">
        <f t="shared" si="1430"/>
        <v>1</v>
      </c>
      <c r="AA1033" s="1">
        <f t="shared" si="1454"/>
        <v>1</v>
      </c>
      <c r="AB1033" s="1">
        <f t="shared" si="1432"/>
        <v>1</v>
      </c>
      <c r="AC1033" s="1">
        <f t="shared" si="1459"/>
        <v>1</v>
      </c>
      <c r="AD1033" s="1">
        <f>ROUNDDOWN(I1033*(1+IF(F1033=3,0.05+方案参数!$Y$31+AA1033*0.12,IF(F1033=4,方案参数!$BZ$31*方案参数!$AS$31,0)))+IF(AND(X1033=1,F1033&lt;&gt;3),方案参数!$CC$31,0)+AC1033*方案参数!$CB$31,0)</f>
        <v>3034</v>
      </c>
      <c r="AE1033" s="1">
        <f>IF(OR(F1033=1,F1033=4),配置与结果!$B$24,配置与结果!$B$25)*MAX(0,1-INDEX(配置与结果!$I$15:$I$18,F1033)+IF(O1033&gt;=6,方案参数!$BK$31,0))</f>
        <v>1440</v>
      </c>
      <c r="AF1033" s="1">
        <f>方案参数!$BG$31+IF(O1033&gt;=6,方案参数!$BH$31,0)</f>
        <v>36</v>
      </c>
      <c r="AG1033" s="1">
        <f>MAX(配置与结果!$B$32,1+INDEX(配置与结果!$F$15:$F$18,F1033)+0.08+方案参数!$CD$31+Q1033*方案参数!$W$31+Y1033*(方案参数!$AN$31+MIN(方案参数!$AO$31,P1033*0.03))+AB1033*方案参数!$BZ$31*0.025-配置与结果!$B$28)</f>
        <v>2.1750000000000003</v>
      </c>
      <c r="AH1033" s="1">
        <f>MAX(0,1+INDEX(配置与结果!$H$15:$H$18,F1033)+W1033*方案参数!$AG$31+O1033*方案参数!$BF$31+IF(O1033&gt;=6,方案参数!$BI$31,0))</f>
        <v>2.4500000000000002</v>
      </c>
      <c r="AI1033" s="1">
        <f>IF(OR(INDEX(配置与结果!$K$15:$K$18,F1033)=1,G1033="RHI_BERRY"),1+配置与结果!$B$33+P1033*方案参数!$AH$31,1)</f>
        <v>1</v>
      </c>
      <c r="AJ1033" s="1">
        <f>MIN(1,MAX(0,J1033+方案参数!$AB$31-配置与结果!$B$27))</f>
        <v>1</v>
      </c>
      <c r="AK1033" s="1">
        <f>MAX(1,K1033+IF(F1033=2,0.15+方案参数!$CH$31,0)+BN1033*方案参数!$X$31+R1033*方案参数!$AA$31+IF(O1033&gt;=6,方案参数!$BJ$31,0)-配置与结果!$B$26+Z1033*(方案参数!$AP$31+MIN(方案参数!$AQ$31,P1033*0.03)))</f>
        <v>3.145</v>
      </c>
      <c r="AL1033" s="7">
        <f>ROUNDDOWN(MAX(AD1033*配置与结果!$B$31,AD1033-AE1033)*AF1033*AG1033*AH1033*AI1033,0)</f>
        <v>305784</v>
      </c>
      <c r="AM1033" s="7">
        <f>ROUNDDOWN(MAX(AD1033*配置与结果!$B$31,AD1033-AE1033)*AF1033*AG1033*AH1033*AI1033*AK1033,0)</f>
        <v>961693</v>
      </c>
      <c r="AN1033" s="7">
        <f t="shared" si="1460"/>
        <v>961693</v>
      </c>
      <c r="AO1033" s="7">
        <f>0</f>
        <v>0</v>
      </c>
      <c r="AP1033" s="7">
        <f>MAX(0,1+INDEX(配置与结果!$J$15:$J$18,F1033)+IF(T1033&gt;0,方案参数!$BY$31,0)-配置与结果!$B$30)</f>
        <v>2</v>
      </c>
      <c r="AQ1033" s="7">
        <f t="shared" si="1461"/>
        <v>0</v>
      </c>
      <c r="AR1033" s="7">
        <f t="shared" si="1462"/>
        <v>0</v>
      </c>
      <c r="AS1033" s="7">
        <f t="shared" si="1463"/>
        <v>0</v>
      </c>
      <c r="AT1033" s="7">
        <f>0</f>
        <v>0</v>
      </c>
      <c r="AU1033" s="7">
        <f t="shared" si="1464"/>
        <v>961693</v>
      </c>
      <c r="AV1033" s="1">
        <f t="shared" si="1465"/>
        <v>2</v>
      </c>
      <c r="AW1033" s="1">
        <f t="shared" si="1447"/>
        <v>10</v>
      </c>
      <c r="AX1033" s="1">
        <f t="shared" si="1466"/>
        <v>2</v>
      </c>
      <c r="AY1033" s="1">
        <f>MIN(20,MAX(0,O1033+0+0-IF(O1033&gt;=6,6,0)))</f>
        <v>0</v>
      </c>
      <c r="AZ1033" s="1">
        <f t="shared" si="1467"/>
        <v>5</v>
      </c>
      <c r="BA1033" s="1">
        <f t="shared" si="1455"/>
        <v>5</v>
      </c>
      <c r="BB1033" s="1">
        <f>MIN(30,R1033+5)</f>
        <v>20</v>
      </c>
      <c r="BC1033" s="1">
        <f t="shared" si="1469"/>
        <v>3</v>
      </c>
      <c r="BD1033" s="1">
        <f t="shared" si="1442"/>
        <v>1</v>
      </c>
      <c r="BE1033" s="1">
        <f t="shared" si="1435"/>
        <v>0</v>
      </c>
      <c r="BF1033" s="1">
        <f>MIN(4,V1033+0)</f>
        <v>3</v>
      </c>
      <c r="BG1033" s="1">
        <f t="shared" si="1452"/>
        <v>1</v>
      </c>
      <c r="BH1033" s="1">
        <f t="shared" si="1436"/>
        <v>1</v>
      </c>
      <c r="BI1033" s="1">
        <f t="shared" si="1453"/>
        <v>1</v>
      </c>
      <c r="BJ1033" s="1">
        <f t="shared" si="1456"/>
        <v>1</v>
      </c>
      <c r="BK1033" s="1">
        <f t="shared" si="1457"/>
        <v>1</v>
      </c>
      <c r="BL1033" s="1">
        <f t="shared" ref="BL1033:BL1067" si="1470">MAX(AB1033,0)</f>
        <v>1</v>
      </c>
      <c r="BM1033" s="1">
        <f t="shared" si="1468"/>
        <v>1</v>
      </c>
      <c r="BN1033" s="1">
        <f t="shared" si="1437"/>
        <v>1</v>
      </c>
      <c r="BO1033" s="1">
        <f t="shared" si="1438"/>
        <v>1</v>
      </c>
    </row>
    <row r="1034" spans="1:67" ht="30.95" customHeight="1">
      <c r="A1034" s="1">
        <f>28</f>
        <v>28</v>
      </c>
      <c r="B1034" s="1">
        <f>固定流程!A26</f>
        <v>21</v>
      </c>
      <c r="C1034" s="1">
        <f>31</f>
        <v>31</v>
      </c>
      <c r="D1034" s="1">
        <f>1</f>
        <v>1</v>
      </c>
      <c r="E1034" s="1">
        <f>固定流程!C26</f>
        <v>3</v>
      </c>
      <c r="F1034" s="1">
        <f>固定流程!G26</f>
        <v>1</v>
      </c>
      <c r="G1034" s="1" t="str">
        <f>固定流程!H26</f>
        <v>LILYA_DIVE</v>
      </c>
      <c r="H1034" s="1">
        <f>固定流程!F26</f>
        <v>3</v>
      </c>
      <c r="I1034" s="1">
        <f>INDEX(配置与结果!$B$15:$B$18,F1034)</f>
        <v>2296</v>
      </c>
      <c r="J1034" s="1">
        <f>INDEX(配置与结果!$D$15:$D$18,F1034)</f>
        <v>0.7</v>
      </c>
      <c r="K1034" s="1">
        <f>INDEX(配置与结果!$E$15:$E$18,F1034)</f>
        <v>2.0249999999999999</v>
      </c>
      <c r="L1034" s="1">
        <f t="shared" si="1449"/>
        <v>2</v>
      </c>
      <c r="M1034" s="1">
        <f t="shared" si="1450"/>
        <v>10</v>
      </c>
      <c r="N1034" s="1">
        <f t="shared" si="1451"/>
        <v>2</v>
      </c>
      <c r="O1034" s="1">
        <f t="shared" si="1443"/>
        <v>0</v>
      </c>
      <c r="P1034" s="1">
        <f>MIN(方案参数!$AI$31,AZ1033+0+0)</f>
        <v>5</v>
      </c>
      <c r="Q1034" s="1">
        <f t="shared" si="1421"/>
        <v>5</v>
      </c>
      <c r="R1034" s="1">
        <f t="shared" si="1422"/>
        <v>20</v>
      </c>
      <c r="S1034" s="1">
        <f t="shared" si="1423"/>
        <v>3</v>
      </c>
      <c r="T1034" s="1">
        <f t="shared" si="1458"/>
        <v>1</v>
      </c>
      <c r="U1034" s="1">
        <f t="shared" si="1425"/>
        <v>0</v>
      </c>
      <c r="V1034" s="1">
        <f t="shared" si="1426"/>
        <v>3</v>
      </c>
      <c r="W1034" s="1">
        <f t="shared" si="1427"/>
        <v>1</v>
      </c>
      <c r="X1034" s="1">
        <f t="shared" si="1428"/>
        <v>1</v>
      </c>
      <c r="Y1034" s="1">
        <f t="shared" si="1429"/>
        <v>1</v>
      </c>
      <c r="Z1034" s="1">
        <f t="shared" si="1430"/>
        <v>1</v>
      </c>
      <c r="AA1034" s="1">
        <f t="shared" si="1454"/>
        <v>1</v>
      </c>
      <c r="AB1034" s="1">
        <f t="shared" si="1432"/>
        <v>1</v>
      </c>
      <c r="AC1034" s="1">
        <f t="shared" si="1459"/>
        <v>1</v>
      </c>
      <c r="AD1034" s="1">
        <f>ROUNDDOWN(I1034*(1+IF(F1034=3,0.05+方案参数!$Y$31+AA1034*0.12,IF(F1034=4,方案参数!$BZ$31*方案参数!$AS$31,0)))+IF(AND(X1034=1,F1034&lt;&gt;3),方案参数!$CC$31,0)+AC1034*方案参数!$CB$31,0)</f>
        <v>3034</v>
      </c>
      <c r="AE1034" s="1">
        <f>IF(OR(F1034=1,F1034=4),配置与结果!$B$24,配置与结果!$B$25)*MAX(0,1-INDEX(配置与结果!$I$15:$I$18,F1034))</f>
        <v>1200</v>
      </c>
      <c r="AF1034" s="1">
        <f>(IF(L1034=1,方案参数!$AW$31,IF(L1034=2,方案参数!$AX$31,0))+方案参数!$AV$31)*H1034</f>
        <v>30</v>
      </c>
      <c r="AG1034" s="1">
        <f>MAX(配置与结果!$B$32,1+INDEX(配置与结果!$F$15:$F$18,F1034)+0.08+方案参数!$CD$31+Q1034*方案参数!$W$31+Y1034*(方案参数!$AN$31+MIN(方案参数!$AO$31,P1034*0.03))+AB1034*方案参数!$BZ$31*0.025+IF(L1034=1,方案参数!$AY$31+(H1034-1)*0.1,IF(L1034=2,方案参数!$AZ$31+(H1034-1)*0.2,0))-配置与结果!$B$28)</f>
        <v>2.7750000000000004</v>
      </c>
      <c r="AH1034" s="1">
        <f>MAX(0,1+INDEX(配置与结果!$G$15:$G$18,F1034)+W1034*方案参数!$AG$31+IF(L1034=1,方案参数!$BA$31,IF(L1034=2,方案参数!$BB$31,0))+M1034*方案参数!$BC$31)</f>
        <v>3.1</v>
      </c>
      <c r="AI1034" s="1">
        <f>IF(OR(INDEX(配置与结果!$K$15:$K$18,F1034)=1,G1034="RHI_BERRY"),1+配置与结果!$B$33+P1034*方案参数!$AH$31,1)</f>
        <v>1</v>
      </c>
      <c r="AJ1034" s="1">
        <f>MIN(1,MAX(0,J1034+方案参数!$AB$31-配置与结果!$B$27))</f>
        <v>1</v>
      </c>
      <c r="AK1034" s="1">
        <f>MAX(1,K1034+IF(F1034=2,0.15+方案参数!$CH$31,0)+BN1034*方案参数!$X$31+R1034*方案参数!$AA$31+0-配置与结果!$B$26+Z1034*(方案参数!$AP$31+MIN(方案参数!$AQ$31,P1034*0.03)))</f>
        <v>2.165</v>
      </c>
      <c r="AL1034" s="7">
        <f>ROUNDDOWN(MAX(AD1034*配置与结果!$B$31,AD1034-AE1034)*AF1034*AG1034*AH1034*AI1034,0)</f>
        <v>473309</v>
      </c>
      <c r="AM1034" s="7">
        <f>ROUNDDOWN(MAX(AD1034*配置与结果!$B$31,AD1034-AE1034)*AF1034*AG1034*AH1034*AI1034*AK1034,0)</f>
        <v>1024715</v>
      </c>
      <c r="AN1034" s="7">
        <f t="shared" si="1460"/>
        <v>1024715</v>
      </c>
      <c r="AO1034" s="7">
        <f>0</f>
        <v>0</v>
      </c>
      <c r="AP1034" s="7">
        <f>MAX(0,1+INDEX(配置与结果!$J$15:$J$18,F1034)+IF(T1034&gt;0,方案参数!$BY$31,0)-配置与结果!$B$30)</f>
        <v>2</v>
      </c>
      <c r="AQ1034" s="7">
        <f t="shared" si="1461"/>
        <v>0</v>
      </c>
      <c r="AR1034" s="7">
        <f t="shared" si="1462"/>
        <v>0</v>
      </c>
      <c r="AS1034" s="7">
        <f t="shared" si="1463"/>
        <v>0</v>
      </c>
      <c r="AT1034" s="7">
        <f>0</f>
        <v>0</v>
      </c>
      <c r="AU1034" s="7">
        <f t="shared" si="1464"/>
        <v>1024715</v>
      </c>
      <c r="AV1034" s="1">
        <f t="shared" si="1465"/>
        <v>2</v>
      </c>
      <c r="AW1034" s="1">
        <f>MIN(10,M1034+0+IF(L1034=1,方案参数!$BE$31,0))</f>
        <v>10</v>
      </c>
      <c r="AX1034" s="1">
        <f t="shared" si="1466"/>
        <v>2</v>
      </c>
      <c r="AY1034" s="1">
        <f>MIN(20,MAX(0,O1034+0+0-0))</f>
        <v>0</v>
      </c>
      <c r="AZ1034" s="1">
        <f t="shared" si="1467"/>
        <v>5</v>
      </c>
      <c r="BA1034" s="1">
        <f t="shared" si="1455"/>
        <v>5</v>
      </c>
      <c r="BB1034" s="1">
        <f t="shared" ref="BB1034:BB1049" si="1471">MIN(30,R1034+0)</f>
        <v>20</v>
      </c>
      <c r="BC1034" s="1">
        <f t="shared" si="1469"/>
        <v>3</v>
      </c>
      <c r="BD1034" s="1">
        <f t="shared" si="1442"/>
        <v>1</v>
      </c>
      <c r="BE1034" s="1">
        <f t="shared" si="1435"/>
        <v>0</v>
      </c>
      <c r="BF1034" s="1">
        <f>MIN(4,V1034+0)</f>
        <v>3</v>
      </c>
      <c r="BG1034" s="1">
        <f t="shared" si="1452"/>
        <v>1</v>
      </c>
      <c r="BH1034" s="1">
        <f t="shared" si="1436"/>
        <v>1</v>
      </c>
      <c r="BI1034" s="1">
        <f t="shared" si="1453"/>
        <v>1</v>
      </c>
      <c r="BJ1034" s="1">
        <f t="shared" si="1456"/>
        <v>1</v>
      </c>
      <c r="BK1034" s="1">
        <f t="shared" si="1457"/>
        <v>1</v>
      </c>
      <c r="BL1034" s="1">
        <f t="shared" si="1470"/>
        <v>1</v>
      </c>
      <c r="BM1034" s="1">
        <f t="shared" si="1468"/>
        <v>1</v>
      </c>
      <c r="BN1034" s="1">
        <f t="shared" si="1437"/>
        <v>1</v>
      </c>
      <c r="BO1034" s="1">
        <f t="shared" si="1438"/>
        <v>1</v>
      </c>
    </row>
    <row r="1035" spans="1:67" ht="30.95" customHeight="1">
      <c r="A1035" s="1">
        <f>28</f>
        <v>28</v>
      </c>
      <c r="B1035" s="1">
        <f>固定流程!A27</f>
        <v>22</v>
      </c>
      <c r="C1035" s="1">
        <f>31</f>
        <v>31</v>
      </c>
      <c r="D1035" s="1">
        <f>1</f>
        <v>1</v>
      </c>
      <c r="E1035" s="1">
        <f>固定流程!C27</f>
        <v>3</v>
      </c>
      <c r="F1035" s="1">
        <f>固定流程!G27</f>
        <v>3</v>
      </c>
      <c r="G1035" s="1" t="str">
        <f>固定流程!H27</f>
        <v>RHI_BERRY</v>
      </c>
      <c r="H1035" s="1">
        <f>固定流程!F27</f>
        <v>1</v>
      </c>
      <c r="I1035" s="1">
        <f>INDEX(配置与结果!$B$15:$B$18,F1035)</f>
        <v>2597</v>
      </c>
      <c r="J1035" s="1">
        <f>INDEX(配置与结果!$D$15:$D$18,F1035)</f>
        <v>0.255</v>
      </c>
      <c r="K1035" s="1">
        <f>INDEX(配置与结果!$E$15:$E$18,F1035)</f>
        <v>1.55</v>
      </c>
      <c r="L1035" s="1">
        <f t="shared" si="1449"/>
        <v>2</v>
      </c>
      <c r="M1035" s="1">
        <f t="shared" si="1450"/>
        <v>10</v>
      </c>
      <c r="N1035" s="1">
        <f t="shared" si="1451"/>
        <v>2</v>
      </c>
      <c r="O1035" s="1">
        <f t="shared" si="1443"/>
        <v>0</v>
      </c>
      <c r="P1035" s="1">
        <f>MIN(方案参数!$AI$31,AZ1034+0+0)</f>
        <v>5</v>
      </c>
      <c r="Q1035" s="1">
        <f t="shared" si="1421"/>
        <v>5</v>
      </c>
      <c r="R1035" s="1">
        <f t="shared" si="1422"/>
        <v>20</v>
      </c>
      <c r="S1035" s="1">
        <f t="shared" si="1423"/>
        <v>3</v>
      </c>
      <c r="T1035" s="1">
        <f t="shared" si="1458"/>
        <v>1</v>
      </c>
      <c r="U1035" s="1">
        <f t="shared" si="1425"/>
        <v>0</v>
      </c>
      <c r="V1035" s="1">
        <f t="shared" si="1426"/>
        <v>3</v>
      </c>
      <c r="W1035" s="1">
        <f t="shared" si="1427"/>
        <v>1</v>
      </c>
      <c r="X1035" s="1">
        <f t="shared" si="1428"/>
        <v>1</v>
      </c>
      <c r="Y1035" s="1">
        <f t="shared" si="1429"/>
        <v>1</v>
      </c>
      <c r="Z1035" s="1">
        <f t="shared" si="1430"/>
        <v>1</v>
      </c>
      <c r="AA1035" s="1">
        <f t="shared" si="1454"/>
        <v>1</v>
      </c>
      <c r="AB1035" s="1">
        <f t="shared" si="1432"/>
        <v>1</v>
      </c>
      <c r="AC1035" s="1">
        <f t="shared" si="1459"/>
        <v>1</v>
      </c>
      <c r="AD1035" s="1">
        <f>ROUNDDOWN(I1035*(1+IF(F1035=3,0.05+方案参数!$Y$31+AA1035*0.12,IF(F1035=4,方案参数!$BZ$31*方案参数!$AS$31,0)))+IF(AND(X1035=1,F1035&lt;&gt;3),方案参数!$CC$31,0)+AC1035*方案参数!$CB$31,0)</f>
        <v>3798</v>
      </c>
      <c r="AE1035" s="1">
        <f>IF(OR(F1035=1,F1035=4),配置与结果!$B$24,配置与结果!$B$25)*MAX(0,1-INDEX(配置与结果!$I$15:$I$18,F1035))</f>
        <v>1000</v>
      </c>
      <c r="AF1035" s="1">
        <f>方案参数!$CF$31+P1035*方案参数!$CG$31</f>
        <v>22.5</v>
      </c>
      <c r="AG1035" s="1">
        <f>MAX(配置与结果!$B$32,1+INDEX(配置与结果!$F$15:$F$18,F1035)+0+Q1035*方案参数!$W$31+Y1035*(方案参数!$AN$31+MIN(方案参数!$AO$31,P1035*0.03))+AB1035*方案参数!$BZ$31*0.025-配置与结果!$B$28)</f>
        <v>1.9100000000000001</v>
      </c>
      <c r="AH1035" s="1">
        <f>MAX(0,1+INDEX(配置与结果!$G$15:$G$18,F1035)+W1035*方案参数!$AG$31)</f>
        <v>1.3</v>
      </c>
      <c r="AI1035" s="1">
        <f>IF(OR(INDEX(配置与结果!$K$15:$K$18,F1035)=1,G1035="RHI_BERRY"),1+配置与结果!$B$33+P1035*方案参数!$AH$31,1)</f>
        <v>1.5</v>
      </c>
      <c r="AJ1035" s="1">
        <f>MIN(1,MAX(0,J1035+方案参数!$AB$31-配置与结果!$B$27))</f>
        <v>0.55499999999999994</v>
      </c>
      <c r="AK1035" s="1">
        <f>MAX(1,K1035+IF(F1035=2,0.15+方案参数!$CH$31,0)+BN1035*方案参数!$X$31+R1035*方案参数!$AA$31+0-配置与结果!$B$26+Z1035*(方案参数!$AP$31+MIN(方案参数!$AQ$31,P1035*0.03)))</f>
        <v>1.6900000000000002</v>
      </c>
      <c r="AL1035" s="7">
        <f>ROUNDDOWN(MAX(AD1035*配置与结果!$B$31,AD1035-AE1035)*AF1035*AG1035*AH1035*AI1035,0)</f>
        <v>234475</v>
      </c>
      <c r="AM1035" s="7">
        <f>ROUNDDOWN(MAX(AD1035*配置与结果!$B$31,AD1035-AE1035)*AF1035*AG1035*AH1035*AI1035*AK1035,0)</f>
        <v>396264</v>
      </c>
      <c r="AN1035" s="7">
        <f t="shared" si="1460"/>
        <v>324267.89500000002</v>
      </c>
      <c r="AO1035" s="7">
        <f>0</f>
        <v>0</v>
      </c>
      <c r="AP1035" s="7">
        <f>MAX(0,1+INDEX(配置与结果!$J$15:$J$18,F1035)+IF(T1035&gt;0,方案参数!$BY$31,0)-配置与结果!$B$30)</f>
        <v>2</v>
      </c>
      <c r="AQ1035" s="7">
        <f t="shared" si="1461"/>
        <v>0</v>
      </c>
      <c r="AR1035" s="7">
        <f t="shared" si="1462"/>
        <v>0</v>
      </c>
      <c r="AS1035" s="7">
        <f t="shared" si="1463"/>
        <v>0</v>
      </c>
      <c r="AT1035" s="7">
        <f>0</f>
        <v>0</v>
      </c>
      <c r="AU1035" s="7">
        <f t="shared" si="1464"/>
        <v>324267.89500000002</v>
      </c>
      <c r="AV1035" s="1">
        <f t="shared" si="1465"/>
        <v>2</v>
      </c>
      <c r="AW1035" s="1">
        <f t="shared" ref="AW1035:AW1051" si="1472">MIN(10,M1035+0+0)</f>
        <v>10</v>
      </c>
      <c r="AX1035" s="1">
        <f t="shared" si="1466"/>
        <v>2</v>
      </c>
      <c r="AY1035" s="1">
        <f>MIN(20,MAX(0,O1035+0+0-0))</f>
        <v>0</v>
      </c>
      <c r="AZ1035" s="1">
        <f t="shared" si="1467"/>
        <v>5</v>
      </c>
      <c r="BA1035" s="1">
        <f t="shared" si="1455"/>
        <v>5</v>
      </c>
      <c r="BB1035" s="1">
        <f t="shared" si="1471"/>
        <v>20</v>
      </c>
      <c r="BC1035" s="1">
        <f t="shared" si="1469"/>
        <v>3</v>
      </c>
      <c r="BD1035" s="1">
        <f t="shared" si="1442"/>
        <v>1</v>
      </c>
      <c r="BE1035" s="1">
        <f t="shared" si="1435"/>
        <v>0</v>
      </c>
      <c r="BF1035" s="1">
        <f>MIN(4,V1035+0)</f>
        <v>3</v>
      </c>
      <c r="BG1035" s="1">
        <f t="shared" si="1452"/>
        <v>1</v>
      </c>
      <c r="BH1035" s="1">
        <f t="shared" si="1436"/>
        <v>1</v>
      </c>
      <c r="BI1035" s="1">
        <f t="shared" si="1453"/>
        <v>1</v>
      </c>
      <c r="BJ1035" s="1">
        <f t="shared" si="1456"/>
        <v>1</v>
      </c>
      <c r="BK1035" s="1">
        <f t="shared" si="1457"/>
        <v>1</v>
      </c>
      <c r="BL1035" s="1">
        <f t="shared" si="1470"/>
        <v>1</v>
      </c>
      <c r="BM1035" s="1">
        <f t="shared" si="1468"/>
        <v>1</v>
      </c>
      <c r="BN1035" s="1">
        <f t="shared" si="1437"/>
        <v>1</v>
      </c>
      <c r="BO1035" s="1">
        <f t="shared" si="1438"/>
        <v>1</v>
      </c>
    </row>
    <row r="1036" spans="1:67" ht="30.95" customHeight="1">
      <c r="A1036" s="1">
        <f>28</f>
        <v>28</v>
      </c>
      <c r="B1036" s="1">
        <f>固定流程!A28</f>
        <v>23</v>
      </c>
      <c r="C1036" s="1">
        <f>31</f>
        <v>31</v>
      </c>
      <c r="D1036" s="1">
        <f>1</f>
        <v>1</v>
      </c>
      <c r="E1036" s="1">
        <f>固定流程!C28</f>
        <v>3</v>
      </c>
      <c r="F1036" s="1">
        <f>固定流程!G28</f>
        <v>2</v>
      </c>
      <c r="G1036" s="1" t="str">
        <f>固定流程!H28</f>
        <v>37_FOLLOW</v>
      </c>
      <c r="H1036" s="1">
        <f>固定流程!F28</f>
        <v>1</v>
      </c>
      <c r="I1036" s="1">
        <f>INDEX(配置与结果!$B$15:$B$18,F1036)</f>
        <v>2306</v>
      </c>
      <c r="J1036" s="1">
        <f>INDEX(配置与结果!$D$15:$D$18,F1036)</f>
        <v>0.46</v>
      </c>
      <c r="K1036" s="1">
        <f>INDEX(配置与结果!$E$15:$E$18,F1036)</f>
        <v>1.9279999999999999</v>
      </c>
      <c r="L1036" s="1">
        <f t="shared" si="1449"/>
        <v>2</v>
      </c>
      <c r="M1036" s="1">
        <f t="shared" si="1450"/>
        <v>10</v>
      </c>
      <c r="N1036" s="1">
        <f t="shared" si="1451"/>
        <v>2</v>
      </c>
      <c r="O1036" s="1">
        <f t="shared" si="1443"/>
        <v>0</v>
      </c>
      <c r="P1036" s="1">
        <f>MIN(方案参数!$AI$31,AZ1035+0+0)</f>
        <v>5</v>
      </c>
      <c r="Q1036" s="1">
        <f t="shared" si="1421"/>
        <v>5</v>
      </c>
      <c r="R1036" s="1">
        <f t="shared" si="1422"/>
        <v>20</v>
      </c>
      <c r="S1036" s="1">
        <f t="shared" si="1423"/>
        <v>3</v>
      </c>
      <c r="T1036" s="1">
        <f t="shared" si="1458"/>
        <v>1</v>
      </c>
      <c r="U1036" s="1">
        <f t="shared" si="1425"/>
        <v>0</v>
      </c>
      <c r="V1036" s="1">
        <f t="shared" si="1426"/>
        <v>3</v>
      </c>
      <c r="W1036" s="1">
        <f t="shared" si="1427"/>
        <v>1</v>
      </c>
      <c r="X1036" s="1">
        <f t="shared" si="1428"/>
        <v>1</v>
      </c>
      <c r="Y1036" s="1">
        <f t="shared" si="1429"/>
        <v>1</v>
      </c>
      <c r="Z1036" s="1">
        <f t="shared" si="1430"/>
        <v>1</v>
      </c>
      <c r="AA1036" s="1">
        <f t="shared" si="1454"/>
        <v>1</v>
      </c>
      <c r="AB1036" s="1">
        <f t="shared" si="1432"/>
        <v>1</v>
      </c>
      <c r="AC1036" s="1">
        <f t="shared" si="1459"/>
        <v>1</v>
      </c>
      <c r="AD1036" s="1">
        <f>ROUNDDOWN(I1036*(1+IF(F1036=3,0.05+方案参数!$Y$31+AA1036*0.12,IF(F1036=4,方案参数!$BZ$31*方案参数!$AS$31,0)))+IF(AND(X1036=1,F1036&lt;&gt;3),方案参数!$CC$31,0)+AC1036*方案参数!$CB$31,0)</f>
        <v>3044</v>
      </c>
      <c r="AE1036" s="1">
        <f>IF(OR(F1036=1,F1036=4),配置与结果!$B$24,配置与结果!$B$25)*MAX(0,1-INDEX(配置与结果!$I$15:$I$18,F1036))</f>
        <v>1000</v>
      </c>
      <c r="AF1036" s="1">
        <f>方案参数!$BV$31</f>
        <v>3</v>
      </c>
      <c r="AG1036" s="1">
        <f>MAX(配置与结果!$B$32,1+INDEX(配置与结果!$F$15:$F$18,F1036)+0+Q1036*方案参数!$W$31+Y1036*(方案参数!$AN$31+MIN(方案参数!$AO$31,P1036*0.03))+AB1036*方案参数!$BZ$31*0.025-配置与结果!$B$28)</f>
        <v>1.8800000000000003</v>
      </c>
      <c r="AH1036" s="1">
        <f>MAX(0,1+INDEX(配置与结果!$G$15:$G$18,F1036)+W1036*方案参数!$AG$31)</f>
        <v>1.3</v>
      </c>
      <c r="AI1036" s="1">
        <f>IF(OR(INDEX(配置与结果!$K$15:$K$18,F1036)=1,G1036="RHI_BERRY"),1+配置与结果!$B$33+P1036*方案参数!$AH$31,1)</f>
        <v>1</v>
      </c>
      <c r="AJ1036" s="1">
        <f>MIN(1,MAX(0,J1036+方案参数!$AB$31-配置与结果!$B$27))</f>
        <v>0.76</v>
      </c>
      <c r="AK1036" s="1">
        <f>MAX(1,K1036+IF(F1036=2,0.15+方案参数!$CH$31,0)+BN1036*方案参数!$X$31+R1036*方案参数!$AA$31+0-配置与结果!$B$26+Z1036*(方案参数!$AP$31+MIN(方案参数!$AQ$31,P1036*0.03)))</f>
        <v>2.3380000000000001</v>
      </c>
      <c r="AL1036" s="7">
        <f>ROUNDDOWN(MAX(AD1036*配置与结果!$B$31,AD1036-AE1036)*AF1036*AG1036*AH1036*AI1036,0)</f>
        <v>14986</v>
      </c>
      <c r="AM1036" s="7">
        <f>ROUNDDOWN(MAX(AD1036*配置与结果!$B$31,AD1036-AE1036)*AF1036*AG1036*AH1036*AI1036*AK1036,0)</f>
        <v>35038</v>
      </c>
      <c r="AN1036" s="7">
        <f t="shared" si="1460"/>
        <v>30225.52</v>
      </c>
      <c r="AO1036" s="7">
        <f>方案参数!$BW$31</f>
        <v>1</v>
      </c>
      <c r="AP1036" s="7">
        <f>MAX(0,1+INDEX(配置与结果!$J$15:$J$18,F1036)+IF(T1036&gt;0,方案参数!$BY$31,0)-配置与结果!$B$30)</f>
        <v>2</v>
      </c>
      <c r="AQ1036" s="7">
        <f t="shared" si="1461"/>
        <v>6088</v>
      </c>
      <c r="AR1036" s="7">
        <f t="shared" si="1462"/>
        <v>14233</v>
      </c>
      <c r="AS1036" s="7">
        <f t="shared" si="1463"/>
        <v>12278.2</v>
      </c>
      <c r="AT1036" s="7">
        <f>0</f>
        <v>0</v>
      </c>
      <c r="AU1036" s="7">
        <f t="shared" si="1464"/>
        <v>42503.72</v>
      </c>
      <c r="AV1036" s="1">
        <f t="shared" si="1465"/>
        <v>2</v>
      </c>
      <c r="AW1036" s="1">
        <f t="shared" si="1472"/>
        <v>10</v>
      </c>
      <c r="AX1036" s="1">
        <f t="shared" si="1466"/>
        <v>2</v>
      </c>
      <c r="AY1036" s="1">
        <f>MIN(20,MAX(0,O1036+0+0-0))</f>
        <v>0</v>
      </c>
      <c r="AZ1036" s="1">
        <f t="shared" si="1467"/>
        <v>5</v>
      </c>
      <c r="BA1036" s="1">
        <f t="shared" si="1455"/>
        <v>5</v>
      </c>
      <c r="BB1036" s="1">
        <f t="shared" si="1471"/>
        <v>20</v>
      </c>
      <c r="BC1036" s="1">
        <f t="shared" si="1469"/>
        <v>3</v>
      </c>
      <c r="BD1036" s="1">
        <f t="shared" si="1442"/>
        <v>0</v>
      </c>
      <c r="BE1036" s="1">
        <f t="shared" si="1435"/>
        <v>0</v>
      </c>
      <c r="BF1036" s="1">
        <f>MIN(4,V1036+1)</f>
        <v>4</v>
      </c>
      <c r="BG1036" s="1">
        <f t="shared" si="1452"/>
        <v>1</v>
      </c>
      <c r="BH1036" s="1">
        <f t="shared" si="1436"/>
        <v>1</v>
      </c>
      <c r="BI1036" s="1">
        <f t="shared" si="1453"/>
        <v>1</v>
      </c>
      <c r="BJ1036" s="1">
        <f t="shared" si="1456"/>
        <v>1</v>
      </c>
      <c r="BK1036" s="1">
        <f t="shared" si="1457"/>
        <v>1</v>
      </c>
      <c r="BL1036" s="1">
        <f t="shared" si="1470"/>
        <v>1</v>
      </c>
      <c r="BM1036" s="1">
        <f t="shared" si="1468"/>
        <v>1</v>
      </c>
      <c r="BN1036" s="1">
        <f t="shared" si="1437"/>
        <v>1</v>
      </c>
      <c r="BO1036" s="1">
        <f t="shared" si="1438"/>
        <v>1</v>
      </c>
    </row>
    <row r="1037" spans="1:67" ht="30.95" customHeight="1">
      <c r="A1037" s="1">
        <f>28</f>
        <v>28</v>
      </c>
      <c r="B1037" s="1">
        <f>固定流程!A29</f>
        <v>24</v>
      </c>
      <c r="C1037" s="1">
        <f>31</f>
        <v>31</v>
      </c>
      <c r="D1037" s="1">
        <f>2</f>
        <v>2</v>
      </c>
      <c r="E1037" s="1">
        <f>固定流程!C29</f>
        <v>3</v>
      </c>
      <c r="F1037" s="1">
        <f>固定流程!G29</f>
        <v>1</v>
      </c>
      <c r="G1037" s="1" t="str">
        <f>固定流程!H29</f>
        <v>LILYA_WEAK</v>
      </c>
      <c r="H1037" s="1">
        <f>固定流程!F29</f>
        <v>1</v>
      </c>
      <c r="I1037" s="1">
        <f>INDEX(配置与结果!$B$15:$B$18,F1037)</f>
        <v>2296</v>
      </c>
      <c r="J1037" s="1">
        <f>INDEX(配置与结果!$D$15:$D$18,F1037)</f>
        <v>0.7</v>
      </c>
      <c r="K1037" s="1">
        <f>INDEX(配置与结果!$E$15:$E$18,F1037)</f>
        <v>2.0249999999999999</v>
      </c>
      <c r="L1037" s="1">
        <f t="shared" si="1449"/>
        <v>2</v>
      </c>
      <c r="M1037" s="1">
        <f t="shared" si="1450"/>
        <v>10</v>
      </c>
      <c r="N1037" s="1">
        <f t="shared" si="1451"/>
        <v>2</v>
      </c>
      <c r="O1037" s="1">
        <f t="shared" si="1443"/>
        <v>0</v>
      </c>
      <c r="P1037" s="1">
        <f>MIN(方案参数!$AI$31,AZ1036+0+0)</f>
        <v>5</v>
      </c>
      <c r="Q1037" s="1">
        <f t="shared" si="1421"/>
        <v>5</v>
      </c>
      <c r="R1037" s="1">
        <f t="shared" si="1422"/>
        <v>20</v>
      </c>
      <c r="S1037" s="1">
        <f t="shared" si="1423"/>
        <v>3</v>
      </c>
      <c r="T1037" s="1">
        <f t="shared" si="1458"/>
        <v>0</v>
      </c>
      <c r="U1037" s="1">
        <f t="shared" si="1425"/>
        <v>0</v>
      </c>
      <c r="V1037" s="1">
        <f t="shared" si="1426"/>
        <v>4</v>
      </c>
      <c r="W1037" s="1">
        <f t="shared" si="1427"/>
        <v>1</v>
      </c>
      <c r="X1037" s="1">
        <f t="shared" si="1428"/>
        <v>1</v>
      </c>
      <c r="Y1037" s="1">
        <f t="shared" si="1429"/>
        <v>1</v>
      </c>
      <c r="Z1037" s="1">
        <f t="shared" si="1430"/>
        <v>1</v>
      </c>
      <c r="AA1037" s="1">
        <f t="shared" si="1454"/>
        <v>1</v>
      </c>
      <c r="AB1037" s="1">
        <f t="shared" si="1432"/>
        <v>1</v>
      </c>
      <c r="AC1037" s="1">
        <f t="shared" si="1459"/>
        <v>1</v>
      </c>
      <c r="AD1037" s="1">
        <f>ROUNDDOWN(I1037*(1+IF(F1037=3,0.05+方案参数!$Y$31+AA1037*0.12,IF(F1037=4,方案参数!$BZ$31*方案参数!$AS$31,0)))+IF(AND(X1037=1,F1037&lt;&gt;3),方案参数!$CC$31,0)+AC1037*方案参数!$CB$31,0)</f>
        <v>3034</v>
      </c>
      <c r="AE1037" s="1">
        <f>IF(OR(F1037=1,F1037=4),配置与结果!$B$24,配置与结果!$B$25)*MAX(0,1-INDEX(配置与结果!$I$15:$I$18,F1037))</f>
        <v>1200</v>
      </c>
      <c r="AF1037" s="1">
        <f>方案参数!$BL$31</f>
        <v>9</v>
      </c>
      <c r="AG1037" s="1">
        <f>MAX(配置与结果!$B$32,1+INDEX(配置与结果!$F$15:$F$18,F1037)+0.08+方案参数!$CD$31+Q1037*方案参数!$W$31+Y1037*(方案参数!$AN$31+MIN(方案参数!$AO$31,P1037*0.03))+AB1037*方案参数!$BZ$31*0.025-配置与结果!$B$28+方案参数!$AE$31)</f>
        <v>2.5750000000000002</v>
      </c>
      <c r="AH1037" s="1">
        <f>MAX(0,1+V1037*方案参数!$U$31+0*方案参数!$V$31+方案参数!$AE$31-配置与结果!$B$29)</f>
        <v>1.56</v>
      </c>
      <c r="AI1037" s="1">
        <f>IF(OR(INDEX(配置与结果!$K$15:$K$18,F1037)=1,G1037="RHI_BERRY"),1+配置与结果!$B$33+P1037*方案参数!$AH$31,1)</f>
        <v>1</v>
      </c>
      <c r="AJ1037" s="1">
        <f>MIN(1,MAX(0,J1037+方案参数!$AB$31-配置与结果!$B$27))</f>
        <v>1</v>
      </c>
      <c r="AK1037" s="1">
        <f>MAX(1,K1037+IF(F1037=2,0.15+方案参数!$CH$31,0)+BN1037*方案参数!$X$31+R1037*方案参数!$AA$31+方案参数!$BP$31-配置与结果!$B$26+Z1037*(方案参数!$AP$31+MIN(方案参数!$AQ$31,P1037*0.03)))</f>
        <v>2.7650000000000001</v>
      </c>
      <c r="AL1037" s="7">
        <f>ROUNDDOWN(MAX(AD1037*配置与结果!$B$31,AD1037-AE1037)*AF1037*AG1037*AH1037*AI1037,0)</f>
        <v>66304</v>
      </c>
      <c r="AM1037" s="7">
        <f>ROUNDDOWN(MAX(AD1037*配置与结果!$B$31,AD1037-AE1037)*AF1037*AG1037*AH1037*AI1037*AK1037,0)</f>
        <v>183332</v>
      </c>
      <c r="AN1037" s="7">
        <f t="shared" si="1460"/>
        <v>183332</v>
      </c>
      <c r="AO1037" s="7">
        <f>0</f>
        <v>0</v>
      </c>
      <c r="AP1037" s="7">
        <f>MAX(0,1+INDEX(配置与结果!$J$15:$J$18,F1037)+IF(T1037&gt;0,方案参数!$BY$31,0)-配置与结果!$B$30)</f>
        <v>1</v>
      </c>
      <c r="AQ1037" s="7">
        <f t="shared" si="1461"/>
        <v>0</v>
      </c>
      <c r="AR1037" s="7">
        <f t="shared" si="1462"/>
        <v>0</v>
      </c>
      <c r="AS1037" s="7">
        <f t="shared" si="1463"/>
        <v>0</v>
      </c>
      <c r="AT1037" s="7">
        <f>IF(U1037&gt;0,ROUNDDOWN(AL1037*方案参数!$AF$31,0)*(1-AJ1037)+ROUNDDOWN(AM1037*方案参数!$AF$31,0)*AJ1037,0)</f>
        <v>0</v>
      </c>
      <c r="AU1037" s="7">
        <f t="shared" si="1464"/>
        <v>183332</v>
      </c>
      <c r="AV1037" s="1">
        <f t="shared" si="1465"/>
        <v>2</v>
      </c>
      <c r="AW1037" s="1">
        <f t="shared" si="1472"/>
        <v>10</v>
      </c>
      <c r="AX1037" s="1">
        <f t="shared" si="1466"/>
        <v>2</v>
      </c>
      <c r="AY1037" s="1">
        <f>MIN(20,MAX(0,O1037+0+1-0))</f>
        <v>1</v>
      </c>
      <c r="AZ1037" s="1">
        <f t="shared" si="1467"/>
        <v>5</v>
      </c>
      <c r="BA1037" s="1">
        <f t="shared" si="1455"/>
        <v>5</v>
      </c>
      <c r="BB1037" s="1">
        <f t="shared" si="1471"/>
        <v>20</v>
      </c>
      <c r="BC1037" s="1">
        <f t="shared" si="1469"/>
        <v>3</v>
      </c>
      <c r="BD1037" s="1">
        <f t="shared" si="1442"/>
        <v>0</v>
      </c>
      <c r="BE1037" s="1">
        <f>MAX(0,U1037-IF(AF1037&gt;0,1,0))+0</f>
        <v>0</v>
      </c>
      <c r="BF1037" s="1">
        <f t="shared" ref="BF1037:BF1054" si="1473">MIN(4,V1037+0)</f>
        <v>4</v>
      </c>
      <c r="BG1037" s="1">
        <f t="shared" si="1452"/>
        <v>1</v>
      </c>
      <c r="BH1037" s="1">
        <f t="shared" si="1436"/>
        <v>1</v>
      </c>
      <c r="BI1037" s="1">
        <f t="shared" si="1453"/>
        <v>1</v>
      </c>
      <c r="BJ1037" s="1">
        <f t="shared" si="1456"/>
        <v>1</v>
      </c>
      <c r="BK1037" s="1">
        <f t="shared" si="1457"/>
        <v>1</v>
      </c>
      <c r="BL1037" s="1">
        <f t="shared" si="1470"/>
        <v>1</v>
      </c>
      <c r="BM1037" s="1">
        <f t="shared" si="1468"/>
        <v>1</v>
      </c>
      <c r="BN1037" s="1">
        <f t="shared" si="1437"/>
        <v>1</v>
      </c>
      <c r="BO1037" s="1">
        <f t="shared" si="1438"/>
        <v>1</v>
      </c>
    </row>
    <row r="1038" spans="1:67" ht="30.95" customHeight="1">
      <c r="A1038" s="1">
        <f>28</f>
        <v>28</v>
      </c>
      <c r="B1038" s="1">
        <f>固定流程!A30</f>
        <v>25</v>
      </c>
      <c r="C1038" s="1">
        <f>31</f>
        <v>31</v>
      </c>
      <c r="D1038" s="1">
        <f>2</f>
        <v>2</v>
      </c>
      <c r="E1038" s="1">
        <f>固定流程!C30</f>
        <v>3</v>
      </c>
      <c r="F1038" s="1">
        <f>固定流程!G30</f>
        <v>1</v>
      </c>
      <c r="G1038" s="1" t="str">
        <f>固定流程!H30</f>
        <v>LILYA_WEAK</v>
      </c>
      <c r="H1038" s="1">
        <f>固定流程!F30</f>
        <v>1</v>
      </c>
      <c r="I1038" s="1">
        <f>INDEX(配置与结果!$B$15:$B$18,F1038)</f>
        <v>2296</v>
      </c>
      <c r="J1038" s="1">
        <f>INDEX(配置与结果!$D$15:$D$18,F1038)</f>
        <v>0.7</v>
      </c>
      <c r="K1038" s="1">
        <f>INDEX(配置与结果!$E$15:$E$18,F1038)</f>
        <v>2.0249999999999999</v>
      </c>
      <c r="L1038" s="1">
        <f t="shared" si="1449"/>
        <v>2</v>
      </c>
      <c r="M1038" s="1">
        <f t="shared" si="1450"/>
        <v>10</v>
      </c>
      <c r="N1038" s="1">
        <f t="shared" si="1451"/>
        <v>2</v>
      </c>
      <c r="O1038" s="1">
        <f t="shared" si="1443"/>
        <v>1</v>
      </c>
      <c r="P1038" s="1">
        <f>MIN(方案参数!$AI$31,AZ1037+0+0)</f>
        <v>5</v>
      </c>
      <c r="Q1038" s="1">
        <f t="shared" si="1421"/>
        <v>5</v>
      </c>
      <c r="R1038" s="1">
        <f t="shared" si="1422"/>
        <v>20</v>
      </c>
      <c r="S1038" s="1">
        <f t="shared" si="1423"/>
        <v>3</v>
      </c>
      <c r="T1038" s="1">
        <f t="shared" si="1458"/>
        <v>0</v>
      </c>
      <c r="U1038" s="1">
        <f t="shared" si="1425"/>
        <v>0</v>
      </c>
      <c r="V1038" s="1">
        <f t="shared" si="1426"/>
        <v>4</v>
      </c>
      <c r="W1038" s="1">
        <f t="shared" si="1427"/>
        <v>1</v>
      </c>
      <c r="X1038" s="1">
        <f t="shared" si="1428"/>
        <v>1</v>
      </c>
      <c r="Y1038" s="1">
        <f t="shared" si="1429"/>
        <v>1</v>
      </c>
      <c r="Z1038" s="1">
        <f t="shared" si="1430"/>
        <v>1</v>
      </c>
      <c r="AA1038" s="1">
        <f t="shared" si="1454"/>
        <v>1</v>
      </c>
      <c r="AB1038" s="1">
        <f t="shared" si="1432"/>
        <v>1</v>
      </c>
      <c r="AC1038" s="1">
        <f t="shared" si="1459"/>
        <v>1</v>
      </c>
      <c r="AD1038" s="1">
        <f>ROUNDDOWN(I1038*(1+IF(F1038=3,0.05+方案参数!$Y$31+AA1038*0.12,IF(F1038=4,方案参数!$BZ$31*方案参数!$AS$31,0)))+IF(AND(X1038=1,F1038&lt;&gt;3),方案参数!$CC$31,0)+AC1038*方案参数!$CB$31,0)</f>
        <v>3034</v>
      </c>
      <c r="AE1038" s="1">
        <f>IF(OR(F1038=1,F1038=4),配置与结果!$B$24,配置与结果!$B$25)*MAX(0,1-INDEX(配置与结果!$I$15:$I$18,F1038))</f>
        <v>1200</v>
      </c>
      <c r="AF1038" s="1">
        <f>方案参数!$BL$31</f>
        <v>9</v>
      </c>
      <c r="AG1038" s="1">
        <f>MAX(配置与结果!$B$32,1+INDEX(配置与结果!$F$15:$F$18,F1038)+0.08+方案参数!$CD$31+Q1038*方案参数!$W$31+Y1038*(方案参数!$AN$31+MIN(方案参数!$AO$31,P1038*0.03))+AB1038*方案参数!$BZ$31*0.025-配置与结果!$B$28+方案参数!$AE$31)</f>
        <v>2.5750000000000002</v>
      </c>
      <c r="AH1038" s="1">
        <f>MAX(0,1+V1038*方案参数!$U$31+1*方案参数!$V$31+方案参数!$AE$31-配置与结果!$B$29)</f>
        <v>1.605</v>
      </c>
      <c r="AI1038" s="1">
        <f>IF(OR(INDEX(配置与结果!$K$15:$K$18,F1038)=1,G1038="RHI_BERRY"),1+配置与结果!$B$33+P1038*方案参数!$AH$31,1)</f>
        <v>1</v>
      </c>
      <c r="AJ1038" s="1">
        <f>MIN(1,MAX(0,J1038+方案参数!$AB$31-配置与结果!$B$27))</f>
        <v>1</v>
      </c>
      <c r="AK1038" s="1">
        <f>MAX(1,K1038+IF(F1038=2,0.15+方案参数!$CH$31,0)+BN1038*方案参数!$X$31+R1038*方案参数!$AA$31+方案参数!$BP$31-配置与结果!$B$26+Z1038*(方案参数!$AP$31+MIN(方案参数!$AQ$31,P1038*0.03)))</f>
        <v>2.7650000000000001</v>
      </c>
      <c r="AL1038" s="7">
        <f>ROUNDDOWN(MAX(AD1038*配置与结果!$B$31,AD1038-AE1038)*AF1038*AG1038*AH1038*AI1038,0)</f>
        <v>68217</v>
      </c>
      <c r="AM1038" s="7">
        <f>ROUNDDOWN(MAX(AD1038*配置与结果!$B$31,AD1038-AE1038)*AF1038*AG1038*AH1038*AI1038*AK1038,0)</f>
        <v>188620</v>
      </c>
      <c r="AN1038" s="7">
        <f t="shared" si="1460"/>
        <v>188620</v>
      </c>
      <c r="AO1038" s="7">
        <f>0</f>
        <v>0</v>
      </c>
      <c r="AP1038" s="7">
        <f>MAX(0,1+INDEX(配置与结果!$J$15:$J$18,F1038)+IF(T1038&gt;0,方案参数!$BY$31,0)-配置与结果!$B$30)</f>
        <v>1</v>
      </c>
      <c r="AQ1038" s="7">
        <f t="shared" si="1461"/>
        <v>0</v>
      </c>
      <c r="AR1038" s="7">
        <f t="shared" si="1462"/>
        <v>0</v>
      </c>
      <c r="AS1038" s="7">
        <f t="shared" si="1463"/>
        <v>0</v>
      </c>
      <c r="AT1038" s="7">
        <f>IF(U1038&gt;0,ROUNDDOWN(AL1038*方案参数!$AF$31,0)*(1-AJ1038)+ROUNDDOWN(AM1038*方案参数!$AF$31,0)*AJ1038,0)</f>
        <v>0</v>
      </c>
      <c r="AU1038" s="7">
        <f t="shared" si="1464"/>
        <v>188620</v>
      </c>
      <c r="AV1038" s="1">
        <f t="shared" si="1465"/>
        <v>2</v>
      </c>
      <c r="AW1038" s="1">
        <f t="shared" si="1472"/>
        <v>10</v>
      </c>
      <c r="AX1038" s="1">
        <f t="shared" si="1466"/>
        <v>2</v>
      </c>
      <c r="AY1038" s="1">
        <f>MIN(20,MAX(0,O1038+0+1-0))</f>
        <v>2</v>
      </c>
      <c r="AZ1038" s="1">
        <f t="shared" si="1467"/>
        <v>5</v>
      </c>
      <c r="BA1038" s="1">
        <f t="shared" si="1455"/>
        <v>5</v>
      </c>
      <c r="BB1038" s="1">
        <f t="shared" si="1471"/>
        <v>20</v>
      </c>
      <c r="BC1038" s="1">
        <f t="shared" si="1469"/>
        <v>3</v>
      </c>
      <c r="BD1038" s="1">
        <f t="shared" si="1442"/>
        <v>0</v>
      </c>
      <c r="BE1038" s="1">
        <f>MAX(0,U1038-IF(AF1038&gt;0,1,0))+0</f>
        <v>0</v>
      </c>
      <c r="BF1038" s="1">
        <f t="shared" si="1473"/>
        <v>4</v>
      </c>
      <c r="BG1038" s="1">
        <f t="shared" si="1452"/>
        <v>1</v>
      </c>
      <c r="BH1038" s="1">
        <f t="shared" si="1436"/>
        <v>1</v>
      </c>
      <c r="BI1038" s="1">
        <f t="shared" si="1453"/>
        <v>1</v>
      </c>
      <c r="BJ1038" s="1">
        <f t="shared" si="1456"/>
        <v>1</v>
      </c>
      <c r="BK1038" s="1">
        <f t="shared" si="1457"/>
        <v>1</v>
      </c>
      <c r="BL1038" s="1">
        <f t="shared" si="1470"/>
        <v>1</v>
      </c>
      <c r="BM1038" s="1">
        <f t="shared" si="1468"/>
        <v>1</v>
      </c>
      <c r="BN1038" s="1">
        <f t="shared" si="1437"/>
        <v>1</v>
      </c>
      <c r="BO1038" s="1">
        <f t="shared" si="1438"/>
        <v>1</v>
      </c>
    </row>
    <row r="1039" spans="1:67" ht="30.95" customHeight="1">
      <c r="A1039" s="1">
        <f>28</f>
        <v>28</v>
      </c>
      <c r="B1039" s="1">
        <f>固定流程!A31</f>
        <v>26</v>
      </c>
      <c r="C1039" s="1">
        <f>31</f>
        <v>31</v>
      </c>
      <c r="D1039" s="1">
        <f>2</f>
        <v>2</v>
      </c>
      <c r="E1039" s="1">
        <f>固定流程!C31</f>
        <v>3</v>
      </c>
      <c r="F1039" s="1">
        <f>固定流程!G31</f>
        <v>2</v>
      </c>
      <c r="G1039" s="1" t="str">
        <f>固定流程!H31</f>
        <v>37_WEAK</v>
      </c>
      <c r="H1039" s="1">
        <f>固定流程!F31</f>
        <v>1</v>
      </c>
      <c r="I1039" s="1">
        <f>INDEX(配置与结果!$B$15:$B$18,F1039)</f>
        <v>2306</v>
      </c>
      <c r="J1039" s="1">
        <f>INDEX(配置与结果!$D$15:$D$18,F1039)</f>
        <v>0.46</v>
      </c>
      <c r="K1039" s="1">
        <f>INDEX(配置与结果!$E$15:$E$18,F1039)</f>
        <v>1.9279999999999999</v>
      </c>
      <c r="L1039" s="1">
        <f t="shared" si="1449"/>
        <v>2</v>
      </c>
      <c r="M1039" s="1">
        <f t="shared" si="1450"/>
        <v>10</v>
      </c>
      <c r="N1039" s="1">
        <f t="shared" si="1451"/>
        <v>2</v>
      </c>
      <c r="O1039" s="1">
        <f t="shared" si="1443"/>
        <v>2</v>
      </c>
      <c r="P1039" s="1">
        <f>MIN(方案参数!$AI$31,AZ1038+0+0)</f>
        <v>5</v>
      </c>
      <c r="Q1039" s="1">
        <f t="shared" si="1421"/>
        <v>5</v>
      </c>
      <c r="R1039" s="1">
        <f t="shared" si="1422"/>
        <v>20</v>
      </c>
      <c r="S1039" s="1">
        <f t="shared" si="1423"/>
        <v>3</v>
      </c>
      <c r="T1039" s="1">
        <f t="shared" si="1458"/>
        <v>0</v>
      </c>
      <c r="U1039" s="1">
        <f t="shared" si="1425"/>
        <v>0</v>
      </c>
      <c r="V1039" s="1">
        <f t="shared" si="1426"/>
        <v>4</v>
      </c>
      <c r="W1039" s="1">
        <f t="shared" si="1427"/>
        <v>1</v>
      </c>
      <c r="X1039" s="1">
        <f t="shared" si="1428"/>
        <v>1</v>
      </c>
      <c r="Y1039" s="1">
        <f t="shared" si="1429"/>
        <v>1</v>
      </c>
      <c r="Z1039" s="1">
        <f t="shared" si="1430"/>
        <v>1</v>
      </c>
      <c r="AA1039" s="1">
        <f t="shared" si="1454"/>
        <v>1</v>
      </c>
      <c r="AB1039" s="1">
        <f t="shared" si="1432"/>
        <v>1</v>
      </c>
      <c r="AC1039" s="1">
        <f t="shared" si="1459"/>
        <v>1</v>
      </c>
      <c r="AD1039" s="1">
        <f>ROUNDDOWN(I1039*(1+IF(F1039=3,0.05+方案参数!$Y$31+AA1039*0.12,IF(F1039=4,方案参数!$BZ$31*方案参数!$AS$31,0)))+IF(AND(X1039=1,F1039&lt;&gt;3),方案参数!$CC$31,0)+AC1039*方案参数!$CB$31,0)</f>
        <v>3044</v>
      </c>
      <c r="AE1039" s="1">
        <f>IF(OR(F1039=1,F1039=4),配置与结果!$B$24,配置与结果!$B$25)*MAX(0,1-INDEX(配置与结果!$I$15:$I$18,F1039))</f>
        <v>1000</v>
      </c>
      <c r="AF1039" s="1">
        <f>方案参数!$CE$31</f>
        <v>8</v>
      </c>
      <c r="AG1039" s="1">
        <f>MAX(配置与结果!$B$32,1+INDEX(配置与结果!$F$15:$F$18,F1039)+0+Q1039*方案参数!$W$31+Y1039*(方案参数!$AN$31+MIN(方案参数!$AO$31,P1039*0.03))+AB1039*方案参数!$BZ$31*0.025-配置与结果!$B$28+方案参数!$AE$31)</f>
        <v>2.2800000000000002</v>
      </c>
      <c r="AH1039" s="1">
        <f>MAX(0,1+V1039*方案参数!$U$31+方案参数!$AE$31-配置与结果!$B$29)</f>
        <v>1.56</v>
      </c>
      <c r="AI1039" s="1">
        <f>IF(OR(INDEX(配置与结果!$K$15:$K$18,F1039)=1,G1039="RHI_BERRY"),1+配置与结果!$B$33+P1039*方案参数!$AH$31,1)</f>
        <v>1</v>
      </c>
      <c r="AJ1039" s="1">
        <f>MIN(1,MAX(0,J1039+方案参数!$AB$31-配置与结果!$B$27))</f>
        <v>0.76</v>
      </c>
      <c r="AK1039" s="1">
        <f>MAX(1,K1039+IF(F1039=2,0.15+方案参数!$CH$31,0)+BN1039*方案参数!$X$31+R1039*方案参数!$AA$31+0-配置与结果!$B$26+Z1039*(方案参数!$AP$31+MIN(方案参数!$AQ$31,P1039*0.03)))</f>
        <v>2.3380000000000001</v>
      </c>
      <c r="AL1039" s="7">
        <f>ROUNDDOWN(MAX(AD1039*配置与结果!$B$31,AD1039-AE1039)*AF1039*AG1039*AH1039*AI1039,0)</f>
        <v>58160</v>
      </c>
      <c r="AM1039" s="7">
        <f>ROUNDDOWN(MAX(AD1039*配置与结果!$B$31,AD1039-AE1039)*AF1039*AG1039*AH1039*AI1039*AK1039,0)</f>
        <v>135979</v>
      </c>
      <c r="AN1039" s="7">
        <f t="shared" si="1460"/>
        <v>117302.44</v>
      </c>
      <c r="AO1039" s="7">
        <f>0</f>
        <v>0</v>
      </c>
      <c r="AP1039" s="7">
        <f>MAX(0,1+INDEX(配置与结果!$J$15:$J$18,F1039)+IF(T1039&gt;0,方案参数!$BY$31,0)-配置与结果!$B$30)</f>
        <v>1</v>
      </c>
      <c r="AQ1039" s="7">
        <f t="shared" si="1461"/>
        <v>0</v>
      </c>
      <c r="AR1039" s="7">
        <f t="shared" si="1462"/>
        <v>0</v>
      </c>
      <c r="AS1039" s="7">
        <f t="shared" si="1463"/>
        <v>0</v>
      </c>
      <c r="AT1039" s="7">
        <f>IF(U1039&gt;0,ROUNDDOWN(AL1039*方案参数!$AF$31,0)*(1-AJ1039)+ROUNDDOWN(AM1039*方案参数!$AF$31,0)*AJ1039,0)</f>
        <v>0</v>
      </c>
      <c r="AU1039" s="7">
        <f t="shared" si="1464"/>
        <v>117302.44</v>
      </c>
      <c r="AV1039" s="1">
        <f t="shared" si="1465"/>
        <v>2</v>
      </c>
      <c r="AW1039" s="1">
        <f t="shared" si="1472"/>
        <v>10</v>
      </c>
      <c r="AX1039" s="1">
        <f t="shared" si="1466"/>
        <v>2</v>
      </c>
      <c r="AY1039" s="1">
        <f>MIN(20,MAX(0,O1039+0+0-0))</f>
        <v>2</v>
      </c>
      <c r="AZ1039" s="1">
        <f t="shared" si="1467"/>
        <v>5</v>
      </c>
      <c r="BA1039" s="1">
        <f t="shared" si="1455"/>
        <v>5</v>
      </c>
      <c r="BB1039" s="1">
        <f t="shared" si="1471"/>
        <v>20</v>
      </c>
      <c r="BC1039" s="1">
        <f t="shared" si="1469"/>
        <v>3</v>
      </c>
      <c r="BD1039" s="1">
        <f t="shared" si="1442"/>
        <v>0</v>
      </c>
      <c r="BE1039" s="1">
        <f>MAX(0,U1039-IF(AF1039&gt;0,1,0))+1</f>
        <v>1</v>
      </c>
      <c r="BF1039" s="1">
        <f t="shared" si="1473"/>
        <v>4</v>
      </c>
      <c r="BG1039" s="1">
        <f t="shared" si="1452"/>
        <v>1</v>
      </c>
      <c r="BH1039" s="1">
        <f t="shared" si="1436"/>
        <v>1</v>
      </c>
      <c r="BI1039" s="1">
        <f t="shared" si="1453"/>
        <v>1</v>
      </c>
      <c r="BJ1039" s="1">
        <f t="shared" si="1456"/>
        <v>1</v>
      </c>
      <c r="BK1039" s="1">
        <f t="shared" si="1457"/>
        <v>1</v>
      </c>
      <c r="BL1039" s="1">
        <f t="shared" si="1470"/>
        <v>1</v>
      </c>
      <c r="BM1039" s="1">
        <f t="shared" si="1468"/>
        <v>1</v>
      </c>
      <c r="BN1039" s="1">
        <f t="shared" si="1437"/>
        <v>1</v>
      </c>
      <c r="BO1039" s="1">
        <f t="shared" si="1438"/>
        <v>1</v>
      </c>
    </row>
    <row r="1040" spans="1:67" ht="30.95" customHeight="1">
      <c r="A1040" s="1">
        <f>28</f>
        <v>28</v>
      </c>
      <c r="B1040" s="1">
        <f>固定流程!A32</f>
        <v>27</v>
      </c>
      <c r="C1040" s="1">
        <f>31</f>
        <v>31</v>
      </c>
      <c r="D1040" s="1">
        <f>2</f>
        <v>2</v>
      </c>
      <c r="E1040" s="1">
        <f>固定流程!C32</f>
        <v>3</v>
      </c>
      <c r="F1040" s="1">
        <f>固定流程!G32</f>
        <v>1</v>
      </c>
      <c r="G1040" s="1" t="str">
        <f>固定流程!H32</f>
        <v>LILYA_THIRD</v>
      </c>
      <c r="H1040" s="1">
        <f>固定流程!F32</f>
        <v>1</v>
      </c>
      <c r="I1040" s="1">
        <f>INDEX(配置与结果!$B$15:$B$18,F1040)</f>
        <v>2296</v>
      </c>
      <c r="J1040" s="1">
        <f>INDEX(配置与结果!$D$15:$D$18,F1040)</f>
        <v>0.7</v>
      </c>
      <c r="K1040" s="1">
        <f>INDEX(配置与结果!$E$15:$E$18,F1040)</f>
        <v>2.0249999999999999</v>
      </c>
      <c r="L1040" s="1">
        <f t="shared" si="1449"/>
        <v>2</v>
      </c>
      <c r="M1040" s="1">
        <f t="shared" si="1450"/>
        <v>10</v>
      </c>
      <c r="N1040" s="1">
        <f t="shared" si="1451"/>
        <v>2</v>
      </c>
      <c r="O1040" s="1">
        <f t="shared" si="1443"/>
        <v>2</v>
      </c>
      <c r="P1040" s="1">
        <f>MIN(方案参数!$AI$31,AZ1039+0+0)</f>
        <v>5</v>
      </c>
      <c r="Q1040" s="1">
        <f t="shared" si="1421"/>
        <v>5</v>
      </c>
      <c r="R1040" s="1">
        <f t="shared" si="1422"/>
        <v>20</v>
      </c>
      <c r="S1040" s="1">
        <f t="shared" si="1423"/>
        <v>3</v>
      </c>
      <c r="T1040" s="1">
        <f t="shared" si="1458"/>
        <v>0</v>
      </c>
      <c r="U1040" s="1">
        <f t="shared" si="1425"/>
        <v>1</v>
      </c>
      <c r="V1040" s="1">
        <f t="shared" si="1426"/>
        <v>4</v>
      </c>
      <c r="W1040" s="1">
        <f t="shared" si="1427"/>
        <v>1</v>
      </c>
      <c r="X1040" s="1">
        <f t="shared" si="1428"/>
        <v>1</v>
      </c>
      <c r="Y1040" s="1">
        <f t="shared" si="1429"/>
        <v>1</v>
      </c>
      <c r="Z1040" s="1">
        <f t="shared" si="1430"/>
        <v>1</v>
      </c>
      <c r="AA1040" s="1">
        <f t="shared" si="1454"/>
        <v>1</v>
      </c>
      <c r="AB1040" s="1">
        <f t="shared" si="1432"/>
        <v>1</v>
      </c>
      <c r="AC1040" s="1">
        <f t="shared" si="1459"/>
        <v>1</v>
      </c>
      <c r="AD1040" s="1">
        <f>ROUNDDOWN(I1040*(1+IF(F1040=3,0.05+方案参数!$Y$31+AA1040*0.12,IF(F1040=4,方案参数!$BZ$31*方案参数!$AS$31,0)))+IF(AND(X1040=1,F1040&lt;&gt;3),方案参数!$CC$31,0)+AC1040*方案参数!$CB$31,0)</f>
        <v>3034</v>
      </c>
      <c r="AE1040" s="1">
        <f>IF(OR(F1040=1,F1040=4),配置与结果!$B$24,配置与结果!$B$25)*MAX(0,1-INDEX(配置与结果!$I$15:$I$18,F1040))</f>
        <v>1200</v>
      </c>
      <c r="AF1040" s="1">
        <f>方案参数!$BM$31</f>
        <v>20</v>
      </c>
      <c r="AG1040" s="1">
        <f>MAX(配置与结果!$B$32,1+INDEX(配置与结果!$F$15:$F$18,F1040)+0.08+方案参数!$CD$31+Q1040*方案参数!$W$31+Y1040*(方案参数!$AN$31+MIN(方案参数!$AO$31,P1040*0.03))+AB1040*方案参数!$BZ$31*0.025-配置与结果!$B$28+方案参数!$AE$31)</f>
        <v>2.5750000000000002</v>
      </c>
      <c r="AH1040" s="1">
        <f>MAX(0,1+V1040*方案参数!$U$31+3*方案参数!$V$31+方案参数!$AE$31-配置与结果!$B$29)</f>
        <v>1.6949999999999998</v>
      </c>
      <c r="AI1040" s="1">
        <f>IF(OR(INDEX(配置与结果!$K$15:$K$18,F1040)=1,G1040="RHI_BERRY"),1+配置与结果!$B$33+P1040*方案参数!$AH$31,1)</f>
        <v>1</v>
      </c>
      <c r="AJ1040" s="1">
        <f>MIN(1,MAX(0,J1040+方案参数!$AB$31-配置与结果!$B$27))</f>
        <v>1</v>
      </c>
      <c r="AK1040" s="1">
        <f>MAX(1,K1040+IF(F1040=2,0.15+方案参数!$CH$31,0)+BN1040*方案参数!$X$31+R1040*方案参数!$AA$31+方案参数!$BQ$31-配置与结果!$B$26+Z1040*(方案参数!$AP$31+MIN(方案参数!$AQ$31,P1040*0.03)))</f>
        <v>2.9650000000000003</v>
      </c>
      <c r="AL1040" s="7">
        <f>ROUNDDOWN(MAX(AD1040*配置与结果!$B$31,AD1040-AE1040)*AF1040*AG1040*AH1040*AI1040,0)</f>
        <v>160094</v>
      </c>
      <c r="AM1040" s="7">
        <f>ROUNDDOWN(MAX(AD1040*配置与结果!$B$31,AD1040-AE1040)*AF1040*AG1040*AH1040*AI1040*AK1040,0)</f>
        <v>474680</v>
      </c>
      <c r="AN1040" s="7">
        <f t="shared" si="1460"/>
        <v>474680</v>
      </c>
      <c r="AO1040" s="7">
        <f>0</f>
        <v>0</v>
      </c>
      <c r="AP1040" s="7">
        <f>MAX(0,1+INDEX(配置与结果!$J$15:$J$18,F1040)+IF(T1040&gt;0,方案参数!$BY$31,0)-配置与结果!$B$30)</f>
        <v>1</v>
      </c>
      <c r="AQ1040" s="7">
        <f t="shared" si="1461"/>
        <v>0</v>
      </c>
      <c r="AR1040" s="7">
        <f t="shared" si="1462"/>
        <v>0</v>
      </c>
      <c r="AS1040" s="7">
        <f t="shared" si="1463"/>
        <v>0</v>
      </c>
      <c r="AT1040" s="7">
        <f>IF(U1040&gt;0,ROUNDDOWN(AL1040*方案参数!$AF$31,0)*(1-AJ1040)+ROUNDDOWN(AM1040*方案参数!$AF$31,0)*AJ1040,0)</f>
        <v>189872</v>
      </c>
      <c r="AU1040" s="7">
        <f t="shared" si="1464"/>
        <v>664552</v>
      </c>
      <c r="AV1040" s="1">
        <f t="shared" si="1465"/>
        <v>2</v>
      </c>
      <c r="AW1040" s="1">
        <f t="shared" si="1472"/>
        <v>10</v>
      </c>
      <c r="AX1040" s="1">
        <f t="shared" si="1466"/>
        <v>2</v>
      </c>
      <c r="AY1040" s="1">
        <f>MIN(20,MAX(0,O1040+0+1-0))</f>
        <v>3</v>
      </c>
      <c r="AZ1040" s="1">
        <f t="shared" si="1467"/>
        <v>5</v>
      </c>
      <c r="BA1040" s="1">
        <f t="shared" si="1455"/>
        <v>5</v>
      </c>
      <c r="BB1040" s="1">
        <f t="shared" si="1471"/>
        <v>20</v>
      </c>
      <c r="BC1040" s="1">
        <f t="shared" si="1469"/>
        <v>3</v>
      </c>
      <c r="BD1040" s="1">
        <f t="shared" si="1442"/>
        <v>0</v>
      </c>
      <c r="BE1040" s="1">
        <f>MAX(0,U1040-IF(AF1040&gt;0,1,0))+0</f>
        <v>0</v>
      </c>
      <c r="BF1040" s="1">
        <f t="shared" si="1473"/>
        <v>4</v>
      </c>
      <c r="BG1040" s="1">
        <f t="shared" si="1452"/>
        <v>1</v>
      </c>
      <c r="BH1040" s="1">
        <f t="shared" si="1436"/>
        <v>1</v>
      </c>
      <c r="BI1040" s="1">
        <f t="shared" si="1453"/>
        <v>1</v>
      </c>
      <c r="BJ1040" s="1">
        <f t="shared" si="1456"/>
        <v>1</v>
      </c>
      <c r="BK1040" s="1">
        <f t="shared" si="1457"/>
        <v>1</v>
      </c>
      <c r="BL1040" s="1">
        <f t="shared" si="1470"/>
        <v>1</v>
      </c>
      <c r="BM1040" s="1">
        <f t="shared" si="1468"/>
        <v>1</v>
      </c>
      <c r="BN1040" s="1">
        <f t="shared" si="1437"/>
        <v>1</v>
      </c>
      <c r="BO1040" s="1">
        <f t="shared" si="1438"/>
        <v>1</v>
      </c>
    </row>
    <row r="1041" spans="1:67" ht="30.95" customHeight="1">
      <c r="A1041" s="1">
        <f>28</f>
        <v>28</v>
      </c>
      <c r="B1041" s="1">
        <f>固定流程!A33</f>
        <v>28</v>
      </c>
      <c r="C1041" s="1">
        <f>31</f>
        <v>31</v>
      </c>
      <c r="D1041" s="1">
        <f>2</f>
        <v>2</v>
      </c>
      <c r="E1041" s="1">
        <f>固定流程!C33</f>
        <v>3</v>
      </c>
      <c r="F1041" s="1">
        <f>固定流程!G33</f>
        <v>1</v>
      </c>
      <c r="G1041" s="1" t="str">
        <f>固定流程!H33</f>
        <v>LILYA_WEAK</v>
      </c>
      <c r="H1041" s="1">
        <f>固定流程!F33</f>
        <v>1</v>
      </c>
      <c r="I1041" s="1">
        <f>INDEX(配置与结果!$B$15:$B$18,F1041)</f>
        <v>2296</v>
      </c>
      <c r="J1041" s="1">
        <f>INDEX(配置与结果!$D$15:$D$18,F1041)</f>
        <v>0.7</v>
      </c>
      <c r="K1041" s="1">
        <f>INDEX(配置与结果!$E$15:$E$18,F1041)</f>
        <v>2.0249999999999999</v>
      </c>
      <c r="L1041" s="1">
        <f t="shared" si="1449"/>
        <v>2</v>
      </c>
      <c r="M1041" s="1">
        <f t="shared" si="1450"/>
        <v>10</v>
      </c>
      <c r="N1041" s="1">
        <f t="shared" si="1451"/>
        <v>2</v>
      </c>
      <c r="O1041" s="1">
        <f t="shared" si="1443"/>
        <v>3</v>
      </c>
      <c r="P1041" s="1">
        <f>MIN(方案参数!$AI$31,AZ1040+0+0)</f>
        <v>5</v>
      </c>
      <c r="Q1041" s="1">
        <f t="shared" si="1421"/>
        <v>5</v>
      </c>
      <c r="R1041" s="1">
        <f t="shared" si="1422"/>
        <v>20</v>
      </c>
      <c r="S1041" s="1">
        <f t="shared" si="1423"/>
        <v>3</v>
      </c>
      <c r="T1041" s="1">
        <f t="shared" si="1458"/>
        <v>0</v>
      </c>
      <c r="U1041" s="1">
        <f t="shared" si="1425"/>
        <v>0</v>
      </c>
      <c r="V1041" s="1">
        <f t="shared" si="1426"/>
        <v>4</v>
      </c>
      <c r="W1041" s="1">
        <f t="shared" si="1427"/>
        <v>1</v>
      </c>
      <c r="X1041" s="1">
        <f t="shared" si="1428"/>
        <v>1</v>
      </c>
      <c r="Y1041" s="1">
        <f t="shared" si="1429"/>
        <v>1</v>
      </c>
      <c r="Z1041" s="1">
        <f t="shared" si="1430"/>
        <v>1</v>
      </c>
      <c r="AA1041" s="1">
        <f t="shared" si="1454"/>
        <v>1</v>
      </c>
      <c r="AB1041" s="1">
        <f t="shared" si="1432"/>
        <v>1</v>
      </c>
      <c r="AC1041" s="1">
        <f t="shared" si="1459"/>
        <v>1</v>
      </c>
      <c r="AD1041" s="1">
        <f>ROUNDDOWN(I1041*(1+IF(F1041=3,0.05+方案参数!$Y$31+AA1041*0.12,IF(F1041=4,方案参数!$BZ$31*方案参数!$AS$31,0)))+IF(AND(X1041=1,F1041&lt;&gt;3),方案参数!$CC$31,0)+AC1041*方案参数!$CB$31,0)</f>
        <v>3034</v>
      </c>
      <c r="AE1041" s="1">
        <f>IF(OR(F1041=1,F1041=4),配置与结果!$B$24,配置与结果!$B$25)*MAX(0,1-INDEX(配置与结果!$I$15:$I$18,F1041))</f>
        <v>1200</v>
      </c>
      <c r="AF1041" s="1">
        <f>方案参数!$BL$31</f>
        <v>9</v>
      </c>
      <c r="AG1041" s="1">
        <f>MAX(配置与结果!$B$32,1+INDEX(配置与结果!$F$15:$F$18,F1041)+0.08+方案参数!$CD$31+Q1041*方案参数!$W$31+Y1041*(方案参数!$AN$31+MIN(方案参数!$AO$31,P1041*0.03))+AB1041*方案参数!$BZ$31*0.025-配置与结果!$B$28+方案参数!$AE$31)</f>
        <v>2.5750000000000002</v>
      </c>
      <c r="AH1041" s="1">
        <f>MAX(0,1+V1041*方案参数!$U$31+4*方案参数!$V$31+方案参数!$AE$31-配置与结果!$B$29)</f>
        <v>1.7399999999999998</v>
      </c>
      <c r="AI1041" s="1">
        <f>IF(OR(INDEX(配置与结果!$K$15:$K$18,F1041)=1,G1041="RHI_BERRY"),1+配置与结果!$B$33+P1041*方案参数!$AH$31,1)</f>
        <v>1</v>
      </c>
      <c r="AJ1041" s="1">
        <f>MIN(1,MAX(0,J1041+方案参数!$AB$31-配置与结果!$B$27))</f>
        <v>1</v>
      </c>
      <c r="AK1041" s="1">
        <f>MAX(1,K1041+IF(F1041=2,0.15+方案参数!$CH$31,0)+BN1041*方案参数!$X$31+R1041*方案参数!$AA$31+方案参数!$BP$31-配置与结果!$B$26+Z1041*(方案参数!$AP$31+MIN(方案参数!$AQ$31,P1041*0.03)))</f>
        <v>2.7650000000000001</v>
      </c>
      <c r="AL1041" s="7">
        <f>ROUNDDOWN(MAX(AD1041*配置与结果!$B$31,AD1041-AE1041)*AF1041*AG1041*AH1041*AI1041,0)</f>
        <v>73955</v>
      </c>
      <c r="AM1041" s="7">
        <f>ROUNDDOWN(MAX(AD1041*配置与结果!$B$31,AD1041-AE1041)*AF1041*AG1041*AH1041*AI1041*AK1041,0)</f>
        <v>204485</v>
      </c>
      <c r="AN1041" s="7">
        <f t="shared" si="1460"/>
        <v>204485</v>
      </c>
      <c r="AO1041" s="7">
        <f>0</f>
        <v>0</v>
      </c>
      <c r="AP1041" s="7">
        <f>MAX(0,1+INDEX(配置与结果!$J$15:$J$18,F1041)+IF(T1041&gt;0,方案参数!$BY$31,0)-配置与结果!$B$30)</f>
        <v>1</v>
      </c>
      <c r="AQ1041" s="7">
        <f t="shared" si="1461"/>
        <v>0</v>
      </c>
      <c r="AR1041" s="7">
        <f t="shared" si="1462"/>
        <v>0</v>
      </c>
      <c r="AS1041" s="7">
        <f t="shared" si="1463"/>
        <v>0</v>
      </c>
      <c r="AT1041" s="7">
        <f>IF(U1041&gt;0,ROUNDDOWN(AL1041*方案参数!$AF$31,0)*(1-AJ1041)+ROUNDDOWN(AM1041*方案参数!$AF$31,0)*AJ1041,0)</f>
        <v>0</v>
      </c>
      <c r="AU1041" s="7">
        <f t="shared" si="1464"/>
        <v>204485</v>
      </c>
      <c r="AV1041" s="1">
        <f t="shared" si="1465"/>
        <v>2</v>
      </c>
      <c r="AW1041" s="1">
        <f t="shared" si="1472"/>
        <v>10</v>
      </c>
      <c r="AX1041" s="1">
        <f t="shared" si="1466"/>
        <v>2</v>
      </c>
      <c r="AY1041" s="1">
        <f>MIN(20,MAX(0,O1041+0+1-0))</f>
        <v>4</v>
      </c>
      <c r="AZ1041" s="1">
        <f t="shared" si="1467"/>
        <v>5</v>
      </c>
      <c r="BA1041" s="1">
        <f t="shared" si="1455"/>
        <v>5</v>
      </c>
      <c r="BB1041" s="1">
        <f t="shared" si="1471"/>
        <v>20</v>
      </c>
      <c r="BC1041" s="1">
        <f t="shared" si="1469"/>
        <v>3</v>
      </c>
      <c r="BD1041" s="1">
        <f t="shared" si="1442"/>
        <v>0</v>
      </c>
      <c r="BE1041" s="1">
        <f>MAX(0,U1041-IF(AF1041&gt;0,1,0))+0</f>
        <v>0</v>
      </c>
      <c r="BF1041" s="1">
        <f t="shared" si="1473"/>
        <v>4</v>
      </c>
      <c r="BG1041" s="1">
        <f t="shared" si="1452"/>
        <v>1</v>
      </c>
      <c r="BH1041" s="1">
        <f t="shared" si="1436"/>
        <v>1</v>
      </c>
      <c r="BI1041" s="1">
        <f t="shared" si="1453"/>
        <v>1</v>
      </c>
      <c r="BJ1041" s="1">
        <f t="shared" si="1456"/>
        <v>1</v>
      </c>
      <c r="BK1041" s="1">
        <f t="shared" si="1457"/>
        <v>1</v>
      </c>
      <c r="BL1041" s="1">
        <f t="shared" si="1470"/>
        <v>1</v>
      </c>
      <c r="BM1041" s="1">
        <f t="shared" si="1468"/>
        <v>1</v>
      </c>
      <c r="BN1041" s="1">
        <f t="shared" si="1437"/>
        <v>1</v>
      </c>
      <c r="BO1041" s="1">
        <f t="shared" si="1438"/>
        <v>1</v>
      </c>
    </row>
    <row r="1042" spans="1:67" ht="30.95" customHeight="1">
      <c r="A1042" s="1">
        <f>28</f>
        <v>28</v>
      </c>
      <c r="B1042" s="1">
        <f>固定流程!A34</f>
        <v>29</v>
      </c>
      <c r="C1042" s="1">
        <f>31</f>
        <v>31</v>
      </c>
      <c r="D1042" s="1">
        <f>2</f>
        <v>2</v>
      </c>
      <c r="E1042" s="1">
        <f>固定流程!C34</f>
        <v>3</v>
      </c>
      <c r="F1042" s="1">
        <f>固定流程!G34</f>
        <v>1</v>
      </c>
      <c r="G1042" s="1" t="str">
        <f>固定流程!H34</f>
        <v>LILYA_WEAK</v>
      </c>
      <c r="H1042" s="1">
        <f>固定流程!F34</f>
        <v>1</v>
      </c>
      <c r="I1042" s="1">
        <f>INDEX(配置与结果!$B$15:$B$18,F1042)</f>
        <v>2296</v>
      </c>
      <c r="J1042" s="1">
        <f>INDEX(配置与结果!$D$15:$D$18,F1042)</f>
        <v>0.7</v>
      </c>
      <c r="K1042" s="1">
        <f>INDEX(配置与结果!$E$15:$E$18,F1042)</f>
        <v>2.0249999999999999</v>
      </c>
      <c r="L1042" s="1">
        <f t="shared" si="1449"/>
        <v>2</v>
      </c>
      <c r="M1042" s="1">
        <f t="shared" si="1450"/>
        <v>10</v>
      </c>
      <c r="N1042" s="1">
        <f t="shared" si="1451"/>
        <v>2</v>
      </c>
      <c r="O1042" s="1">
        <f t="shared" si="1443"/>
        <v>4</v>
      </c>
      <c r="P1042" s="1">
        <f>MIN(方案参数!$AI$31,AZ1041+0+0)</f>
        <v>5</v>
      </c>
      <c r="Q1042" s="1">
        <f t="shared" si="1421"/>
        <v>5</v>
      </c>
      <c r="R1042" s="1">
        <f t="shared" si="1422"/>
        <v>20</v>
      </c>
      <c r="S1042" s="1">
        <f t="shared" si="1423"/>
        <v>3</v>
      </c>
      <c r="T1042" s="1">
        <f t="shared" si="1458"/>
        <v>0</v>
      </c>
      <c r="U1042" s="1">
        <f t="shared" si="1425"/>
        <v>0</v>
      </c>
      <c r="V1042" s="1">
        <f t="shared" si="1426"/>
        <v>4</v>
      </c>
      <c r="W1042" s="1">
        <f t="shared" si="1427"/>
        <v>1</v>
      </c>
      <c r="X1042" s="1">
        <f t="shared" si="1428"/>
        <v>1</v>
      </c>
      <c r="Y1042" s="1">
        <f t="shared" si="1429"/>
        <v>1</v>
      </c>
      <c r="Z1042" s="1">
        <f t="shared" si="1430"/>
        <v>1</v>
      </c>
      <c r="AA1042" s="1">
        <f t="shared" si="1454"/>
        <v>1</v>
      </c>
      <c r="AB1042" s="1">
        <f t="shared" si="1432"/>
        <v>1</v>
      </c>
      <c r="AC1042" s="1">
        <f t="shared" si="1459"/>
        <v>1</v>
      </c>
      <c r="AD1042" s="1">
        <f>ROUNDDOWN(I1042*(1+IF(F1042=3,0.05+方案参数!$Y$31+AA1042*0.12,IF(F1042=4,方案参数!$BZ$31*方案参数!$AS$31,0)))+IF(AND(X1042=1,F1042&lt;&gt;3),方案参数!$CC$31,0)+AC1042*方案参数!$CB$31,0)</f>
        <v>3034</v>
      </c>
      <c r="AE1042" s="1">
        <f>IF(OR(F1042=1,F1042=4),配置与结果!$B$24,配置与结果!$B$25)*MAX(0,1-INDEX(配置与结果!$I$15:$I$18,F1042))</f>
        <v>1200</v>
      </c>
      <c r="AF1042" s="1">
        <f>方案参数!$BL$31</f>
        <v>9</v>
      </c>
      <c r="AG1042" s="1">
        <f>MAX(配置与结果!$B$32,1+INDEX(配置与结果!$F$15:$F$18,F1042)+0.08+方案参数!$CD$31+Q1042*方案参数!$W$31+Y1042*(方案参数!$AN$31+MIN(方案参数!$AO$31,P1042*0.03))+AB1042*方案参数!$BZ$31*0.025-配置与结果!$B$28+方案参数!$AE$31)</f>
        <v>2.5750000000000002</v>
      </c>
      <c r="AH1042" s="1">
        <f>MAX(0,1+V1042*方案参数!$U$31+5*方案参数!$V$31+方案参数!$AE$31-配置与结果!$B$29)</f>
        <v>1.7849999999999997</v>
      </c>
      <c r="AI1042" s="1">
        <f>IF(OR(INDEX(配置与结果!$K$15:$K$18,F1042)=1,G1042="RHI_BERRY"),1+配置与结果!$B$33+P1042*方案参数!$AH$31,1)</f>
        <v>1</v>
      </c>
      <c r="AJ1042" s="1">
        <f>MIN(1,MAX(0,J1042+方案参数!$AB$31-配置与结果!$B$27))</f>
        <v>1</v>
      </c>
      <c r="AK1042" s="1">
        <f>MAX(1,K1042+IF(F1042=2,0.15+方案参数!$CH$31,0)+BN1042*方案参数!$X$31+R1042*方案参数!$AA$31+方案参数!$BP$31-配置与结果!$B$26+Z1042*(方案参数!$AP$31+MIN(方案参数!$AQ$31,P1042*0.03)))</f>
        <v>2.7650000000000001</v>
      </c>
      <c r="AL1042" s="7">
        <f>ROUNDDOWN(MAX(AD1042*配置与结果!$B$31,AD1042-AE1042)*AF1042*AG1042*AH1042*AI1042,0)</f>
        <v>75867</v>
      </c>
      <c r="AM1042" s="7">
        <f>ROUNDDOWN(MAX(AD1042*配置与结果!$B$31,AD1042-AE1042)*AF1042*AG1042*AH1042*AI1042*AK1042,0)</f>
        <v>209774</v>
      </c>
      <c r="AN1042" s="7">
        <f t="shared" si="1460"/>
        <v>209774</v>
      </c>
      <c r="AO1042" s="7">
        <f>0</f>
        <v>0</v>
      </c>
      <c r="AP1042" s="7">
        <f>MAX(0,1+INDEX(配置与结果!$J$15:$J$18,F1042)+IF(T1042&gt;0,方案参数!$BY$31,0)-配置与结果!$B$30)</f>
        <v>1</v>
      </c>
      <c r="AQ1042" s="7">
        <f t="shared" si="1461"/>
        <v>0</v>
      </c>
      <c r="AR1042" s="7">
        <f t="shared" si="1462"/>
        <v>0</v>
      </c>
      <c r="AS1042" s="7">
        <f t="shared" si="1463"/>
        <v>0</v>
      </c>
      <c r="AT1042" s="7">
        <f>IF(U1042&gt;0,ROUNDDOWN(AL1042*方案参数!$AF$31,0)*(1-AJ1042)+ROUNDDOWN(AM1042*方案参数!$AF$31,0)*AJ1042,0)</f>
        <v>0</v>
      </c>
      <c r="AU1042" s="7">
        <f t="shared" si="1464"/>
        <v>209774</v>
      </c>
      <c r="AV1042" s="1">
        <f t="shared" si="1465"/>
        <v>2</v>
      </c>
      <c r="AW1042" s="1">
        <f t="shared" si="1472"/>
        <v>10</v>
      </c>
      <c r="AX1042" s="1">
        <f t="shared" si="1466"/>
        <v>2</v>
      </c>
      <c r="AY1042" s="1">
        <f>MIN(20,MAX(0,O1042+0+1-0))</f>
        <v>5</v>
      </c>
      <c r="AZ1042" s="1">
        <f t="shared" si="1467"/>
        <v>5</v>
      </c>
      <c r="BA1042" s="1">
        <f t="shared" si="1455"/>
        <v>5</v>
      </c>
      <c r="BB1042" s="1">
        <f t="shared" si="1471"/>
        <v>20</v>
      </c>
      <c r="BC1042" s="1">
        <f t="shared" si="1469"/>
        <v>3</v>
      </c>
      <c r="BD1042" s="1">
        <f t="shared" si="1442"/>
        <v>0</v>
      </c>
      <c r="BE1042" s="1">
        <f>MAX(0,U1042-IF(AF1042&gt;0,1,0))+0</f>
        <v>0</v>
      </c>
      <c r="BF1042" s="1">
        <f t="shared" si="1473"/>
        <v>4</v>
      </c>
      <c r="BG1042" s="1">
        <f t="shared" si="1452"/>
        <v>1</v>
      </c>
      <c r="BH1042" s="1">
        <f t="shared" si="1436"/>
        <v>1</v>
      </c>
      <c r="BI1042" s="1">
        <f t="shared" si="1453"/>
        <v>1</v>
      </c>
      <c r="BJ1042" s="1">
        <f t="shared" si="1456"/>
        <v>1</v>
      </c>
      <c r="BK1042" s="1">
        <f t="shared" si="1457"/>
        <v>1</v>
      </c>
      <c r="BL1042" s="1">
        <f t="shared" si="1470"/>
        <v>1</v>
      </c>
      <c r="BM1042" s="1">
        <f t="shared" si="1468"/>
        <v>1</v>
      </c>
      <c r="BN1042" s="1">
        <f t="shared" si="1437"/>
        <v>1</v>
      </c>
      <c r="BO1042" s="1">
        <f t="shared" si="1438"/>
        <v>1</v>
      </c>
    </row>
    <row r="1043" spans="1:67" ht="30.95" customHeight="1">
      <c r="A1043" s="1">
        <f>28</f>
        <v>28</v>
      </c>
      <c r="B1043" s="1">
        <f>固定流程!A35</f>
        <v>30</v>
      </c>
      <c r="C1043" s="1">
        <f>31</f>
        <v>31</v>
      </c>
      <c r="D1043" s="1">
        <f>2</f>
        <v>2</v>
      </c>
      <c r="E1043" s="1">
        <f>固定流程!C35</f>
        <v>3</v>
      </c>
      <c r="F1043" s="1">
        <f>固定流程!G35</f>
        <v>2</v>
      </c>
      <c r="G1043" s="1" t="str">
        <f>固定流程!H35</f>
        <v>37_WEAK</v>
      </c>
      <c r="H1043" s="1">
        <f>固定流程!F35</f>
        <v>1</v>
      </c>
      <c r="I1043" s="1">
        <f>INDEX(配置与结果!$B$15:$B$18,F1043)</f>
        <v>2306</v>
      </c>
      <c r="J1043" s="1">
        <f>INDEX(配置与结果!$D$15:$D$18,F1043)</f>
        <v>0.46</v>
      </c>
      <c r="K1043" s="1">
        <f>INDEX(配置与结果!$E$15:$E$18,F1043)</f>
        <v>1.9279999999999999</v>
      </c>
      <c r="L1043" s="1">
        <f t="shared" si="1449"/>
        <v>2</v>
      </c>
      <c r="M1043" s="1">
        <f t="shared" si="1450"/>
        <v>10</v>
      </c>
      <c r="N1043" s="1">
        <f t="shared" si="1451"/>
        <v>2</v>
      </c>
      <c r="O1043" s="1">
        <f t="shared" si="1443"/>
        <v>5</v>
      </c>
      <c r="P1043" s="1">
        <f>MIN(方案参数!$AI$31,AZ1042+0+0)</f>
        <v>5</v>
      </c>
      <c r="Q1043" s="1">
        <f t="shared" si="1421"/>
        <v>5</v>
      </c>
      <c r="R1043" s="1">
        <f t="shared" si="1422"/>
        <v>20</v>
      </c>
      <c r="S1043" s="1">
        <f t="shared" si="1423"/>
        <v>3</v>
      </c>
      <c r="T1043" s="1">
        <f t="shared" si="1458"/>
        <v>0</v>
      </c>
      <c r="U1043" s="1">
        <f t="shared" si="1425"/>
        <v>0</v>
      </c>
      <c r="V1043" s="1">
        <f t="shared" si="1426"/>
        <v>4</v>
      </c>
      <c r="W1043" s="1">
        <f t="shared" si="1427"/>
        <v>1</v>
      </c>
      <c r="X1043" s="1">
        <f t="shared" si="1428"/>
        <v>1</v>
      </c>
      <c r="Y1043" s="1">
        <f t="shared" si="1429"/>
        <v>1</v>
      </c>
      <c r="Z1043" s="1">
        <f t="shared" si="1430"/>
        <v>1</v>
      </c>
      <c r="AA1043" s="1">
        <f t="shared" si="1454"/>
        <v>1</v>
      </c>
      <c r="AB1043" s="1">
        <f t="shared" si="1432"/>
        <v>1</v>
      </c>
      <c r="AC1043" s="1">
        <f t="shared" si="1459"/>
        <v>1</v>
      </c>
      <c r="AD1043" s="1">
        <f>ROUNDDOWN(I1043*(1+IF(F1043=3,0.05+方案参数!$Y$31+AA1043*0.12,IF(F1043=4,方案参数!$BZ$31*方案参数!$AS$31,0)))+IF(AND(X1043=1,F1043&lt;&gt;3),方案参数!$CC$31,0)+AC1043*方案参数!$CB$31,0)</f>
        <v>3044</v>
      </c>
      <c r="AE1043" s="1">
        <f>IF(OR(F1043=1,F1043=4),配置与结果!$B$24,配置与结果!$B$25)*MAX(0,1-INDEX(配置与结果!$I$15:$I$18,F1043))</f>
        <v>1000</v>
      </c>
      <c r="AF1043" s="1">
        <f>方案参数!$CE$31</f>
        <v>8</v>
      </c>
      <c r="AG1043" s="1">
        <f>MAX(配置与结果!$B$32,1+INDEX(配置与结果!$F$15:$F$18,F1043)+0+Q1043*方案参数!$W$31+Y1043*(方案参数!$AN$31+MIN(方案参数!$AO$31,P1043*0.03))+AB1043*方案参数!$BZ$31*0.025-配置与结果!$B$28+方案参数!$AE$31)</f>
        <v>2.2800000000000002</v>
      </c>
      <c r="AH1043" s="1">
        <f>MAX(0,1+V1043*方案参数!$U$31+方案参数!$AE$31-配置与结果!$B$29)</f>
        <v>1.56</v>
      </c>
      <c r="AI1043" s="1">
        <f>IF(OR(INDEX(配置与结果!$K$15:$K$18,F1043)=1,G1043="RHI_BERRY"),1+配置与结果!$B$33+P1043*方案参数!$AH$31,1)</f>
        <v>1</v>
      </c>
      <c r="AJ1043" s="1">
        <f>MIN(1,MAX(0,J1043+方案参数!$AB$31-配置与结果!$B$27))</f>
        <v>0.76</v>
      </c>
      <c r="AK1043" s="1">
        <f>MAX(1,K1043+IF(F1043=2,0.15+方案参数!$CH$31,0)+BN1043*方案参数!$X$31+R1043*方案参数!$AA$31+0-配置与结果!$B$26+Z1043*(方案参数!$AP$31+MIN(方案参数!$AQ$31,P1043*0.03)))</f>
        <v>2.3380000000000001</v>
      </c>
      <c r="AL1043" s="7">
        <f>ROUNDDOWN(MAX(AD1043*配置与结果!$B$31,AD1043-AE1043)*AF1043*AG1043*AH1043*AI1043,0)</f>
        <v>58160</v>
      </c>
      <c r="AM1043" s="7">
        <f>ROUNDDOWN(MAX(AD1043*配置与结果!$B$31,AD1043-AE1043)*AF1043*AG1043*AH1043*AI1043*AK1043,0)</f>
        <v>135979</v>
      </c>
      <c r="AN1043" s="7">
        <f t="shared" si="1460"/>
        <v>117302.44</v>
      </c>
      <c r="AO1043" s="7">
        <f>0</f>
        <v>0</v>
      </c>
      <c r="AP1043" s="7">
        <f>MAX(0,1+INDEX(配置与结果!$J$15:$J$18,F1043)+IF(T1043&gt;0,方案参数!$BY$31,0)-配置与结果!$B$30)</f>
        <v>1</v>
      </c>
      <c r="AQ1043" s="7">
        <f t="shared" si="1461"/>
        <v>0</v>
      </c>
      <c r="AR1043" s="7">
        <f t="shared" si="1462"/>
        <v>0</v>
      </c>
      <c r="AS1043" s="7">
        <f t="shared" si="1463"/>
        <v>0</v>
      </c>
      <c r="AT1043" s="7">
        <f>IF(U1043&gt;0,ROUNDDOWN(AL1043*方案参数!$AF$31,0)*(1-AJ1043)+ROUNDDOWN(AM1043*方案参数!$AF$31,0)*AJ1043,0)</f>
        <v>0</v>
      </c>
      <c r="AU1043" s="7">
        <f t="shared" si="1464"/>
        <v>117302.44</v>
      </c>
      <c r="AV1043" s="1">
        <f t="shared" si="1465"/>
        <v>2</v>
      </c>
      <c r="AW1043" s="1">
        <f t="shared" si="1472"/>
        <v>10</v>
      </c>
      <c r="AX1043" s="1">
        <f t="shared" si="1466"/>
        <v>2</v>
      </c>
      <c r="AY1043" s="1">
        <f>MIN(20,MAX(0,O1043+0+0-0))</f>
        <v>5</v>
      </c>
      <c r="AZ1043" s="1">
        <f t="shared" si="1467"/>
        <v>5</v>
      </c>
      <c r="BA1043" s="1">
        <f t="shared" si="1455"/>
        <v>5</v>
      </c>
      <c r="BB1043" s="1">
        <f t="shared" si="1471"/>
        <v>20</v>
      </c>
      <c r="BC1043" s="1">
        <f t="shared" si="1469"/>
        <v>3</v>
      </c>
      <c r="BD1043" s="1">
        <f t="shared" si="1442"/>
        <v>0</v>
      </c>
      <c r="BE1043" s="1">
        <f>MAX(0,U1043-IF(AF1043&gt;0,1,0))+1</f>
        <v>1</v>
      </c>
      <c r="BF1043" s="1">
        <f t="shared" si="1473"/>
        <v>4</v>
      </c>
      <c r="BG1043" s="1">
        <f t="shared" si="1452"/>
        <v>1</v>
      </c>
      <c r="BH1043" s="1">
        <f t="shared" si="1436"/>
        <v>1</v>
      </c>
      <c r="BI1043" s="1">
        <f t="shared" si="1453"/>
        <v>1</v>
      </c>
      <c r="BJ1043" s="1">
        <f t="shared" si="1456"/>
        <v>1</v>
      </c>
      <c r="BK1043" s="1">
        <f t="shared" si="1457"/>
        <v>1</v>
      </c>
      <c r="BL1043" s="1">
        <f t="shared" si="1470"/>
        <v>1</v>
      </c>
      <c r="BM1043" s="1">
        <f t="shared" si="1468"/>
        <v>1</v>
      </c>
      <c r="BN1043" s="1">
        <f t="shared" si="1437"/>
        <v>1</v>
      </c>
      <c r="BO1043" s="1">
        <f t="shared" si="1438"/>
        <v>1</v>
      </c>
    </row>
    <row r="1044" spans="1:67" ht="30.95" customHeight="1">
      <c r="A1044" s="1">
        <f>28</f>
        <v>28</v>
      </c>
      <c r="B1044" s="1">
        <f>固定流程!A36</f>
        <v>31</v>
      </c>
      <c r="C1044" s="1">
        <f>31</f>
        <v>31</v>
      </c>
      <c r="D1044" s="1">
        <f>2</f>
        <v>2</v>
      </c>
      <c r="E1044" s="1">
        <f>固定流程!C36</f>
        <v>3</v>
      </c>
      <c r="F1044" s="1">
        <f>固定流程!G36</f>
        <v>1</v>
      </c>
      <c r="G1044" s="1" t="str">
        <f>固定流程!H36</f>
        <v>LILYA_THIRD</v>
      </c>
      <c r="H1044" s="1">
        <f>固定流程!F36</f>
        <v>1</v>
      </c>
      <c r="I1044" s="1">
        <f>INDEX(配置与结果!$B$15:$B$18,F1044)</f>
        <v>2296</v>
      </c>
      <c r="J1044" s="1">
        <f>INDEX(配置与结果!$D$15:$D$18,F1044)</f>
        <v>0.7</v>
      </c>
      <c r="K1044" s="1">
        <f>INDEX(配置与结果!$E$15:$E$18,F1044)</f>
        <v>2.0249999999999999</v>
      </c>
      <c r="L1044" s="1">
        <f t="shared" si="1449"/>
        <v>2</v>
      </c>
      <c r="M1044" s="1">
        <f t="shared" si="1450"/>
        <v>10</v>
      </c>
      <c r="N1044" s="1">
        <f t="shared" si="1451"/>
        <v>2</v>
      </c>
      <c r="O1044" s="1">
        <f t="shared" si="1443"/>
        <v>5</v>
      </c>
      <c r="P1044" s="1">
        <f>MIN(方案参数!$AI$31,AZ1043+0+0)</f>
        <v>5</v>
      </c>
      <c r="Q1044" s="1">
        <f t="shared" si="1421"/>
        <v>5</v>
      </c>
      <c r="R1044" s="1">
        <f t="shared" si="1422"/>
        <v>20</v>
      </c>
      <c r="S1044" s="1">
        <f t="shared" si="1423"/>
        <v>3</v>
      </c>
      <c r="T1044" s="1">
        <f t="shared" si="1458"/>
        <v>0</v>
      </c>
      <c r="U1044" s="1">
        <f t="shared" si="1425"/>
        <v>1</v>
      </c>
      <c r="V1044" s="1">
        <f t="shared" si="1426"/>
        <v>4</v>
      </c>
      <c r="W1044" s="1">
        <f t="shared" si="1427"/>
        <v>1</v>
      </c>
      <c r="X1044" s="1">
        <f t="shared" si="1428"/>
        <v>1</v>
      </c>
      <c r="Y1044" s="1">
        <f t="shared" si="1429"/>
        <v>1</v>
      </c>
      <c r="Z1044" s="1">
        <f t="shared" si="1430"/>
        <v>1</v>
      </c>
      <c r="AA1044" s="1">
        <f t="shared" si="1454"/>
        <v>1</v>
      </c>
      <c r="AB1044" s="1">
        <f t="shared" si="1432"/>
        <v>1</v>
      </c>
      <c r="AC1044" s="1">
        <f t="shared" si="1459"/>
        <v>1</v>
      </c>
      <c r="AD1044" s="1">
        <f>ROUNDDOWN(I1044*(1+IF(F1044=3,0.05+方案参数!$Y$31+AA1044*0.12,IF(F1044=4,方案参数!$BZ$31*方案参数!$AS$31,0)))+IF(AND(X1044=1,F1044&lt;&gt;3),方案参数!$CC$31,0)+AC1044*方案参数!$CB$31,0)</f>
        <v>3034</v>
      </c>
      <c r="AE1044" s="1">
        <f>IF(OR(F1044=1,F1044=4),配置与结果!$B$24,配置与结果!$B$25)*MAX(0,1-INDEX(配置与结果!$I$15:$I$18,F1044))</f>
        <v>1200</v>
      </c>
      <c r="AF1044" s="1">
        <f>方案参数!$BM$31</f>
        <v>20</v>
      </c>
      <c r="AG1044" s="1">
        <f>MAX(配置与结果!$B$32,1+INDEX(配置与结果!$F$15:$F$18,F1044)+0.08+方案参数!$CD$31+Q1044*方案参数!$W$31+Y1044*(方案参数!$AN$31+MIN(方案参数!$AO$31,P1044*0.03))+AB1044*方案参数!$BZ$31*0.025-配置与结果!$B$28+方案参数!$AE$31)</f>
        <v>2.5750000000000002</v>
      </c>
      <c r="AH1044" s="1">
        <f>MAX(0,1+V1044*方案参数!$U$31+7*方案参数!$V$31+方案参数!$AE$31-配置与结果!$B$29)</f>
        <v>1.875</v>
      </c>
      <c r="AI1044" s="1">
        <f>IF(OR(INDEX(配置与结果!$K$15:$K$18,F1044)=1,G1044="RHI_BERRY"),1+配置与结果!$B$33+P1044*方案参数!$AH$31,1)</f>
        <v>1</v>
      </c>
      <c r="AJ1044" s="1">
        <f>MIN(1,MAX(0,J1044+方案参数!$AB$31-配置与结果!$B$27))</f>
        <v>1</v>
      </c>
      <c r="AK1044" s="1">
        <f>MAX(1,K1044+IF(F1044=2,0.15+方案参数!$CH$31,0)+BN1044*方案参数!$X$31+R1044*方案参数!$AA$31+方案参数!$BQ$31-配置与结果!$B$26+Z1044*(方案参数!$AP$31+MIN(方案参数!$AQ$31,P1044*0.03)))</f>
        <v>2.9650000000000003</v>
      </c>
      <c r="AL1044" s="7">
        <f>ROUNDDOWN(MAX(AD1044*配置与结果!$B$31,AD1044-AE1044)*AF1044*AG1044*AH1044*AI1044,0)</f>
        <v>177095</v>
      </c>
      <c r="AM1044" s="7">
        <f>ROUNDDOWN(MAX(AD1044*配置与结果!$B$31,AD1044-AE1044)*AF1044*AG1044*AH1044*AI1044*AK1044,0)</f>
        <v>525088</v>
      </c>
      <c r="AN1044" s="7">
        <f t="shared" si="1460"/>
        <v>525088</v>
      </c>
      <c r="AO1044" s="7">
        <f>0</f>
        <v>0</v>
      </c>
      <c r="AP1044" s="7">
        <f>MAX(0,1+INDEX(配置与结果!$J$15:$J$18,F1044)+IF(T1044&gt;0,方案参数!$BY$31,0)-配置与结果!$B$30)</f>
        <v>1</v>
      </c>
      <c r="AQ1044" s="7">
        <f t="shared" si="1461"/>
        <v>0</v>
      </c>
      <c r="AR1044" s="7">
        <f t="shared" si="1462"/>
        <v>0</v>
      </c>
      <c r="AS1044" s="7">
        <f t="shared" si="1463"/>
        <v>0</v>
      </c>
      <c r="AT1044" s="7">
        <f>IF(U1044&gt;0,ROUNDDOWN(AL1044*方案参数!$AF$31,0)*(1-AJ1044)+ROUNDDOWN(AM1044*方案参数!$AF$31,0)*AJ1044,0)</f>
        <v>210035</v>
      </c>
      <c r="AU1044" s="7">
        <f t="shared" si="1464"/>
        <v>735123</v>
      </c>
      <c r="AV1044" s="1">
        <f t="shared" si="1465"/>
        <v>2</v>
      </c>
      <c r="AW1044" s="1">
        <f t="shared" si="1472"/>
        <v>10</v>
      </c>
      <c r="AX1044" s="1">
        <f t="shared" si="1466"/>
        <v>2</v>
      </c>
      <c r="AY1044" s="1">
        <f>MIN(20,MAX(0,O1044+0+1-0))</f>
        <v>6</v>
      </c>
      <c r="AZ1044" s="1">
        <f t="shared" si="1467"/>
        <v>5</v>
      </c>
      <c r="BA1044" s="1">
        <f t="shared" si="1455"/>
        <v>5</v>
      </c>
      <c r="BB1044" s="1">
        <f t="shared" si="1471"/>
        <v>20</v>
      </c>
      <c r="BC1044" s="1">
        <f t="shared" si="1469"/>
        <v>3</v>
      </c>
      <c r="BD1044" s="1">
        <f t="shared" si="1442"/>
        <v>0</v>
      </c>
      <c r="BE1044" s="1">
        <f>MAX(0,U1044-IF(AF1044&gt;0,1,0))+0</f>
        <v>0</v>
      </c>
      <c r="BF1044" s="1">
        <f t="shared" si="1473"/>
        <v>4</v>
      </c>
      <c r="BG1044" s="1">
        <f t="shared" si="1452"/>
        <v>1</v>
      </c>
      <c r="BH1044" s="1">
        <f t="shared" si="1436"/>
        <v>1</v>
      </c>
      <c r="BI1044" s="1">
        <f t="shared" si="1453"/>
        <v>1</v>
      </c>
      <c r="BJ1044" s="1">
        <f t="shared" si="1456"/>
        <v>1</v>
      </c>
      <c r="BK1044" s="1">
        <f t="shared" si="1457"/>
        <v>1</v>
      </c>
      <c r="BL1044" s="1">
        <f t="shared" si="1470"/>
        <v>1</v>
      </c>
      <c r="BM1044" s="1">
        <f t="shared" si="1468"/>
        <v>1</v>
      </c>
      <c r="BN1044" s="1">
        <f t="shared" si="1437"/>
        <v>1</v>
      </c>
      <c r="BO1044" s="1">
        <f t="shared" si="1438"/>
        <v>1</v>
      </c>
    </row>
    <row r="1045" spans="1:67" ht="30.95" customHeight="1">
      <c r="A1045" s="1">
        <f>28</f>
        <v>28</v>
      </c>
      <c r="B1045" s="1">
        <f>固定流程!A37</f>
        <v>32</v>
      </c>
      <c r="C1045" s="1">
        <f>31</f>
        <v>31</v>
      </c>
      <c r="D1045" s="1">
        <f>2</f>
        <v>2</v>
      </c>
      <c r="E1045" s="1">
        <f>固定流程!C37</f>
        <v>3</v>
      </c>
      <c r="F1045" s="1">
        <f>固定流程!G37</f>
        <v>1</v>
      </c>
      <c r="G1045" s="1" t="str">
        <f>固定流程!H37</f>
        <v>LILYA_WEAK</v>
      </c>
      <c r="H1045" s="1">
        <f>固定流程!F37</f>
        <v>1</v>
      </c>
      <c r="I1045" s="1">
        <f>INDEX(配置与结果!$B$15:$B$18,F1045)</f>
        <v>2296</v>
      </c>
      <c r="J1045" s="1">
        <f>INDEX(配置与结果!$D$15:$D$18,F1045)</f>
        <v>0.7</v>
      </c>
      <c r="K1045" s="1">
        <f>INDEX(配置与结果!$E$15:$E$18,F1045)</f>
        <v>2.0249999999999999</v>
      </c>
      <c r="L1045" s="1">
        <f t="shared" si="1449"/>
        <v>2</v>
      </c>
      <c r="M1045" s="1">
        <f t="shared" si="1450"/>
        <v>10</v>
      </c>
      <c r="N1045" s="1">
        <f t="shared" si="1451"/>
        <v>2</v>
      </c>
      <c r="O1045" s="1">
        <f t="shared" si="1443"/>
        <v>6</v>
      </c>
      <c r="P1045" s="1">
        <f>MIN(方案参数!$AI$31,AZ1044+0+0)</f>
        <v>5</v>
      </c>
      <c r="Q1045" s="1">
        <f t="shared" si="1421"/>
        <v>5</v>
      </c>
      <c r="R1045" s="1">
        <f t="shared" si="1422"/>
        <v>20</v>
      </c>
      <c r="S1045" s="1">
        <f t="shared" si="1423"/>
        <v>3</v>
      </c>
      <c r="T1045" s="1">
        <f t="shared" si="1458"/>
        <v>0</v>
      </c>
      <c r="U1045" s="1">
        <f t="shared" si="1425"/>
        <v>0</v>
      </c>
      <c r="V1045" s="1">
        <f t="shared" si="1426"/>
        <v>4</v>
      </c>
      <c r="W1045" s="1">
        <f t="shared" si="1427"/>
        <v>1</v>
      </c>
      <c r="X1045" s="1">
        <f t="shared" si="1428"/>
        <v>1</v>
      </c>
      <c r="Y1045" s="1">
        <f t="shared" si="1429"/>
        <v>1</v>
      </c>
      <c r="Z1045" s="1">
        <f t="shared" si="1430"/>
        <v>1</v>
      </c>
      <c r="AA1045" s="1">
        <f t="shared" si="1454"/>
        <v>1</v>
      </c>
      <c r="AB1045" s="1">
        <f t="shared" si="1432"/>
        <v>1</v>
      </c>
      <c r="AC1045" s="1">
        <f t="shared" si="1459"/>
        <v>1</v>
      </c>
      <c r="AD1045" s="1">
        <f>ROUNDDOWN(I1045*(1+IF(F1045=3,0.05+方案参数!$Y$31+AA1045*0.12,IF(F1045=4,方案参数!$BZ$31*方案参数!$AS$31,0)))+IF(AND(X1045=1,F1045&lt;&gt;3),方案参数!$CC$31,0)+AC1045*方案参数!$CB$31,0)</f>
        <v>3034</v>
      </c>
      <c r="AE1045" s="1">
        <f>IF(OR(F1045=1,F1045=4),配置与结果!$B$24,配置与结果!$B$25)*MAX(0,1-INDEX(配置与结果!$I$15:$I$18,F1045))</f>
        <v>1200</v>
      </c>
      <c r="AF1045" s="1">
        <f>方案参数!$BL$31</f>
        <v>9</v>
      </c>
      <c r="AG1045" s="1">
        <f>MAX(配置与结果!$B$32,1+INDEX(配置与结果!$F$15:$F$18,F1045)+0.08+方案参数!$CD$31+Q1045*方案参数!$W$31+Y1045*(方案参数!$AN$31+MIN(方案参数!$AO$31,P1045*0.03))+AB1045*方案参数!$BZ$31*0.025-配置与结果!$B$28+方案参数!$AE$31)</f>
        <v>2.5750000000000002</v>
      </c>
      <c r="AH1045" s="1">
        <f>MAX(0,1+V1045*方案参数!$U$31+8*方案参数!$V$31+方案参数!$AE$31-配置与结果!$B$29)</f>
        <v>1.92</v>
      </c>
      <c r="AI1045" s="1">
        <f>IF(OR(INDEX(配置与结果!$K$15:$K$18,F1045)=1,G1045="RHI_BERRY"),1+配置与结果!$B$33+P1045*方案参数!$AH$31,1)</f>
        <v>1</v>
      </c>
      <c r="AJ1045" s="1">
        <f>MIN(1,MAX(0,J1045+方案参数!$AB$31-配置与结果!$B$27))</f>
        <v>1</v>
      </c>
      <c r="AK1045" s="1">
        <f>MAX(1,K1045+IF(F1045=2,0.15+方案参数!$CH$31,0)+BN1045*方案参数!$X$31+R1045*方案参数!$AA$31+方案参数!$BP$31-配置与结果!$B$26+Z1045*(方案参数!$AP$31+MIN(方案参数!$AQ$31,P1045*0.03)))</f>
        <v>2.7650000000000001</v>
      </c>
      <c r="AL1045" s="7">
        <f>ROUNDDOWN(MAX(AD1045*配置与结果!$B$31,AD1045-AE1045)*AF1045*AG1045*AH1045*AI1045,0)</f>
        <v>81605</v>
      </c>
      <c r="AM1045" s="7">
        <f>ROUNDDOWN(MAX(AD1045*配置与结果!$B$31,AD1045-AE1045)*AF1045*AG1045*AH1045*AI1045*AK1045,0)</f>
        <v>225639</v>
      </c>
      <c r="AN1045" s="7">
        <f t="shared" si="1460"/>
        <v>225639</v>
      </c>
      <c r="AO1045" s="7">
        <f>0</f>
        <v>0</v>
      </c>
      <c r="AP1045" s="7">
        <f>MAX(0,1+INDEX(配置与结果!$J$15:$J$18,F1045)+IF(T1045&gt;0,方案参数!$BY$31,0)-配置与结果!$B$30)</f>
        <v>1</v>
      </c>
      <c r="AQ1045" s="7">
        <f t="shared" si="1461"/>
        <v>0</v>
      </c>
      <c r="AR1045" s="7">
        <f t="shared" si="1462"/>
        <v>0</v>
      </c>
      <c r="AS1045" s="7">
        <f t="shared" si="1463"/>
        <v>0</v>
      </c>
      <c r="AT1045" s="7">
        <f>IF(U1045&gt;0,ROUNDDOWN(AL1045*方案参数!$AF$31,0)*(1-AJ1045)+ROUNDDOWN(AM1045*方案参数!$AF$31,0)*AJ1045,0)</f>
        <v>0</v>
      </c>
      <c r="AU1045" s="7">
        <f t="shared" si="1464"/>
        <v>225639</v>
      </c>
      <c r="AV1045" s="1">
        <f t="shared" si="1465"/>
        <v>2</v>
      </c>
      <c r="AW1045" s="1">
        <f t="shared" si="1472"/>
        <v>10</v>
      </c>
      <c r="AX1045" s="1">
        <f t="shared" si="1466"/>
        <v>2</v>
      </c>
      <c r="AY1045" s="1">
        <f>MIN(20,MAX(0,O1045+0+1-0))</f>
        <v>7</v>
      </c>
      <c r="AZ1045" s="1">
        <f t="shared" si="1467"/>
        <v>5</v>
      </c>
      <c r="BA1045" s="1">
        <f t="shared" si="1455"/>
        <v>5</v>
      </c>
      <c r="BB1045" s="1">
        <f t="shared" si="1471"/>
        <v>20</v>
      </c>
      <c r="BC1045" s="1">
        <f t="shared" si="1469"/>
        <v>3</v>
      </c>
      <c r="BD1045" s="1">
        <f t="shared" si="1442"/>
        <v>0</v>
      </c>
      <c r="BE1045" s="1">
        <f>MAX(0,U1045-IF(AF1045&gt;0,1,0))+0</f>
        <v>0</v>
      </c>
      <c r="BF1045" s="1">
        <f t="shared" si="1473"/>
        <v>4</v>
      </c>
      <c r="BG1045" s="1">
        <f t="shared" si="1452"/>
        <v>1</v>
      </c>
      <c r="BH1045" s="1">
        <f t="shared" si="1436"/>
        <v>1</v>
      </c>
      <c r="BI1045" s="1">
        <f t="shared" si="1453"/>
        <v>1</v>
      </c>
      <c r="BJ1045" s="1">
        <f t="shared" si="1456"/>
        <v>1</v>
      </c>
      <c r="BK1045" s="1">
        <f t="shared" si="1457"/>
        <v>1</v>
      </c>
      <c r="BL1045" s="1">
        <f t="shared" si="1470"/>
        <v>1</v>
      </c>
      <c r="BM1045" s="1">
        <f t="shared" si="1468"/>
        <v>1</v>
      </c>
      <c r="BN1045" s="1">
        <f t="shared" si="1437"/>
        <v>1</v>
      </c>
      <c r="BO1045" s="1">
        <f t="shared" si="1438"/>
        <v>1</v>
      </c>
    </row>
    <row r="1046" spans="1:67" ht="30.95" customHeight="1">
      <c r="A1046" s="1">
        <f>28</f>
        <v>28</v>
      </c>
      <c r="B1046" s="1">
        <f>固定流程!A38</f>
        <v>33</v>
      </c>
      <c r="C1046" s="1">
        <f>31</f>
        <v>31</v>
      </c>
      <c r="D1046" s="1">
        <f>2</f>
        <v>2</v>
      </c>
      <c r="E1046" s="1">
        <f>固定流程!C38</f>
        <v>3</v>
      </c>
      <c r="F1046" s="1">
        <f>固定流程!G38</f>
        <v>1</v>
      </c>
      <c r="G1046" s="1" t="str">
        <f>固定流程!H38</f>
        <v>LILYA_WEAK</v>
      </c>
      <c r="H1046" s="1">
        <f>固定流程!F38</f>
        <v>1</v>
      </c>
      <c r="I1046" s="1">
        <f>INDEX(配置与结果!$B$15:$B$18,F1046)</f>
        <v>2296</v>
      </c>
      <c r="J1046" s="1">
        <f>INDEX(配置与结果!$D$15:$D$18,F1046)</f>
        <v>0.7</v>
      </c>
      <c r="K1046" s="1">
        <f>INDEX(配置与结果!$E$15:$E$18,F1046)</f>
        <v>2.0249999999999999</v>
      </c>
      <c r="L1046" s="1">
        <f t="shared" si="1449"/>
        <v>2</v>
      </c>
      <c r="M1046" s="1">
        <f t="shared" si="1450"/>
        <v>10</v>
      </c>
      <c r="N1046" s="1">
        <f t="shared" si="1451"/>
        <v>2</v>
      </c>
      <c r="O1046" s="1">
        <f t="shared" si="1443"/>
        <v>7</v>
      </c>
      <c r="P1046" s="1">
        <f>MIN(方案参数!$AI$31,AZ1045+0+0)</f>
        <v>5</v>
      </c>
      <c r="Q1046" s="1">
        <f t="shared" si="1421"/>
        <v>5</v>
      </c>
      <c r="R1046" s="1">
        <f t="shared" si="1422"/>
        <v>20</v>
      </c>
      <c r="S1046" s="1">
        <f t="shared" si="1423"/>
        <v>3</v>
      </c>
      <c r="T1046" s="1">
        <f t="shared" si="1458"/>
        <v>0</v>
      </c>
      <c r="U1046" s="1">
        <f t="shared" si="1425"/>
        <v>0</v>
      </c>
      <c r="V1046" s="1">
        <f t="shared" si="1426"/>
        <v>4</v>
      </c>
      <c r="W1046" s="1">
        <f t="shared" si="1427"/>
        <v>1</v>
      </c>
      <c r="X1046" s="1">
        <f t="shared" si="1428"/>
        <v>1</v>
      </c>
      <c r="Y1046" s="1">
        <f t="shared" si="1429"/>
        <v>1</v>
      </c>
      <c r="Z1046" s="1">
        <f t="shared" si="1430"/>
        <v>1</v>
      </c>
      <c r="AA1046" s="1">
        <f t="shared" si="1454"/>
        <v>1</v>
      </c>
      <c r="AB1046" s="1">
        <f t="shared" si="1432"/>
        <v>1</v>
      </c>
      <c r="AC1046" s="1">
        <f t="shared" si="1459"/>
        <v>1</v>
      </c>
      <c r="AD1046" s="1">
        <f>ROUNDDOWN(I1046*(1+IF(F1046=3,0.05+方案参数!$Y$31+AA1046*0.12,IF(F1046=4,方案参数!$BZ$31*方案参数!$AS$31,0)))+IF(AND(X1046=1,F1046&lt;&gt;3),方案参数!$CC$31,0)+AC1046*方案参数!$CB$31,0)</f>
        <v>3034</v>
      </c>
      <c r="AE1046" s="1">
        <f>IF(OR(F1046=1,F1046=4),配置与结果!$B$24,配置与结果!$B$25)*MAX(0,1-INDEX(配置与结果!$I$15:$I$18,F1046))</f>
        <v>1200</v>
      </c>
      <c r="AF1046" s="1">
        <f>方案参数!$BL$31</f>
        <v>9</v>
      </c>
      <c r="AG1046" s="1">
        <f>MAX(配置与结果!$B$32,1+INDEX(配置与结果!$F$15:$F$18,F1046)+0.08+方案参数!$CD$31+Q1046*方案参数!$W$31+Y1046*(方案参数!$AN$31+MIN(方案参数!$AO$31,P1046*0.03))+AB1046*方案参数!$BZ$31*0.025-配置与结果!$B$28+方案参数!$AE$31)</f>
        <v>2.5750000000000002</v>
      </c>
      <c r="AH1046" s="1">
        <f>MAX(0,1+V1046*方案参数!$U$31+9*方案参数!$V$31+方案参数!$AE$31-配置与结果!$B$29)</f>
        <v>1.9649999999999999</v>
      </c>
      <c r="AI1046" s="1">
        <f>IF(OR(INDEX(配置与结果!$K$15:$K$18,F1046)=1,G1046="RHI_BERRY"),1+配置与结果!$B$33+P1046*方案参数!$AH$31,1)</f>
        <v>1</v>
      </c>
      <c r="AJ1046" s="1">
        <f>MIN(1,MAX(0,J1046+方案参数!$AB$31-配置与结果!$B$27))</f>
        <v>1</v>
      </c>
      <c r="AK1046" s="1">
        <f>MAX(1,K1046+IF(F1046=2,0.15+方案参数!$CH$31,0)+BN1046*方案参数!$X$31+R1046*方案参数!$AA$31+方案参数!$BP$31-配置与结果!$B$26+Z1046*(方案参数!$AP$31+MIN(方案参数!$AQ$31,P1046*0.03)))</f>
        <v>2.7650000000000001</v>
      </c>
      <c r="AL1046" s="7">
        <f>ROUNDDOWN(MAX(AD1046*配置与结果!$B$31,AD1046-AE1046)*AF1046*AG1046*AH1046*AI1046,0)</f>
        <v>83518</v>
      </c>
      <c r="AM1046" s="7">
        <f>ROUNDDOWN(MAX(AD1046*配置与结果!$B$31,AD1046-AE1046)*AF1046*AG1046*AH1046*AI1046*AK1046,0)</f>
        <v>230928</v>
      </c>
      <c r="AN1046" s="7">
        <f t="shared" si="1460"/>
        <v>230928</v>
      </c>
      <c r="AO1046" s="7">
        <f>0</f>
        <v>0</v>
      </c>
      <c r="AP1046" s="7">
        <f>MAX(0,1+INDEX(配置与结果!$J$15:$J$18,F1046)+IF(T1046&gt;0,方案参数!$BY$31,0)-配置与结果!$B$30)</f>
        <v>1</v>
      </c>
      <c r="AQ1046" s="7">
        <f t="shared" si="1461"/>
        <v>0</v>
      </c>
      <c r="AR1046" s="7">
        <f t="shared" si="1462"/>
        <v>0</v>
      </c>
      <c r="AS1046" s="7">
        <f t="shared" si="1463"/>
        <v>0</v>
      </c>
      <c r="AT1046" s="7">
        <f>IF(U1046&gt;0,ROUNDDOWN(AL1046*方案参数!$AF$31,0)*(1-AJ1046)+ROUNDDOWN(AM1046*方案参数!$AF$31,0)*AJ1046,0)</f>
        <v>0</v>
      </c>
      <c r="AU1046" s="7">
        <f t="shared" si="1464"/>
        <v>230928</v>
      </c>
      <c r="AV1046" s="1">
        <f t="shared" si="1465"/>
        <v>2</v>
      </c>
      <c r="AW1046" s="1">
        <f t="shared" si="1472"/>
        <v>10</v>
      </c>
      <c r="AX1046" s="1">
        <f t="shared" si="1466"/>
        <v>2</v>
      </c>
      <c r="AY1046" s="1">
        <f>MIN(20,MAX(0,O1046+0+1-0))</f>
        <v>8</v>
      </c>
      <c r="AZ1046" s="1">
        <f t="shared" si="1467"/>
        <v>5</v>
      </c>
      <c r="BA1046" s="1">
        <f t="shared" si="1455"/>
        <v>5</v>
      </c>
      <c r="BB1046" s="1">
        <f t="shared" si="1471"/>
        <v>20</v>
      </c>
      <c r="BC1046" s="1">
        <f t="shared" si="1469"/>
        <v>3</v>
      </c>
      <c r="BD1046" s="1">
        <f t="shared" si="1442"/>
        <v>0</v>
      </c>
      <c r="BE1046" s="1">
        <f>MAX(0,U1046-IF(AF1046&gt;0,1,0))+0</f>
        <v>0</v>
      </c>
      <c r="BF1046" s="1">
        <f t="shared" si="1473"/>
        <v>4</v>
      </c>
      <c r="BG1046" s="1">
        <f t="shared" si="1452"/>
        <v>1</v>
      </c>
      <c r="BH1046" s="1">
        <f t="shared" si="1436"/>
        <v>1</v>
      </c>
      <c r="BI1046" s="1">
        <f t="shared" si="1453"/>
        <v>1</v>
      </c>
      <c r="BJ1046" s="1">
        <f t="shared" si="1456"/>
        <v>1</v>
      </c>
      <c r="BK1046" s="1">
        <f t="shared" si="1457"/>
        <v>1</v>
      </c>
      <c r="BL1046" s="1">
        <f t="shared" si="1470"/>
        <v>1</v>
      </c>
      <c r="BM1046" s="1">
        <f t="shared" si="1468"/>
        <v>1</v>
      </c>
      <c r="BN1046" s="1">
        <f t="shared" si="1437"/>
        <v>1</v>
      </c>
      <c r="BO1046" s="1">
        <f t="shared" si="1438"/>
        <v>1</v>
      </c>
    </row>
    <row r="1047" spans="1:67" ht="30.95" customHeight="1">
      <c r="A1047" s="1">
        <f>28</f>
        <v>28</v>
      </c>
      <c r="B1047" s="1">
        <f>固定流程!A39</f>
        <v>34</v>
      </c>
      <c r="C1047" s="1">
        <f>31</f>
        <v>31</v>
      </c>
      <c r="D1047" s="1">
        <f>2</f>
        <v>2</v>
      </c>
      <c r="E1047" s="1">
        <f>固定流程!C39</f>
        <v>3</v>
      </c>
      <c r="F1047" s="1">
        <f>固定流程!G39</f>
        <v>2</v>
      </c>
      <c r="G1047" s="1" t="str">
        <f>固定流程!H39</f>
        <v>37_WEAK</v>
      </c>
      <c r="H1047" s="1">
        <f>固定流程!F39</f>
        <v>1</v>
      </c>
      <c r="I1047" s="1">
        <f>INDEX(配置与结果!$B$15:$B$18,F1047)</f>
        <v>2306</v>
      </c>
      <c r="J1047" s="1">
        <f>INDEX(配置与结果!$D$15:$D$18,F1047)</f>
        <v>0.46</v>
      </c>
      <c r="K1047" s="1">
        <f>INDEX(配置与结果!$E$15:$E$18,F1047)</f>
        <v>1.9279999999999999</v>
      </c>
      <c r="L1047" s="1">
        <f t="shared" si="1449"/>
        <v>2</v>
      </c>
      <c r="M1047" s="1">
        <f t="shared" si="1450"/>
        <v>10</v>
      </c>
      <c r="N1047" s="1">
        <f t="shared" si="1451"/>
        <v>2</v>
      </c>
      <c r="O1047" s="1">
        <f t="shared" si="1443"/>
        <v>8</v>
      </c>
      <c r="P1047" s="1">
        <f>MIN(方案参数!$AI$31,AZ1046+0+0)</f>
        <v>5</v>
      </c>
      <c r="Q1047" s="1">
        <f t="shared" si="1421"/>
        <v>5</v>
      </c>
      <c r="R1047" s="1">
        <f t="shared" si="1422"/>
        <v>20</v>
      </c>
      <c r="S1047" s="1">
        <f t="shared" si="1423"/>
        <v>3</v>
      </c>
      <c r="T1047" s="1">
        <f t="shared" si="1458"/>
        <v>0</v>
      </c>
      <c r="U1047" s="1">
        <f t="shared" si="1425"/>
        <v>0</v>
      </c>
      <c r="V1047" s="1">
        <f t="shared" si="1426"/>
        <v>4</v>
      </c>
      <c r="W1047" s="1">
        <f t="shared" si="1427"/>
        <v>1</v>
      </c>
      <c r="X1047" s="1">
        <f t="shared" si="1428"/>
        <v>1</v>
      </c>
      <c r="Y1047" s="1">
        <f t="shared" si="1429"/>
        <v>1</v>
      </c>
      <c r="Z1047" s="1">
        <f t="shared" si="1430"/>
        <v>1</v>
      </c>
      <c r="AA1047" s="1">
        <f t="shared" si="1454"/>
        <v>1</v>
      </c>
      <c r="AB1047" s="1">
        <f t="shared" si="1432"/>
        <v>1</v>
      </c>
      <c r="AC1047" s="1">
        <f t="shared" si="1459"/>
        <v>1</v>
      </c>
      <c r="AD1047" s="1">
        <f>ROUNDDOWN(I1047*(1+IF(F1047=3,0.05+方案参数!$Y$31+AA1047*0.12,IF(F1047=4,方案参数!$BZ$31*方案参数!$AS$31,0)))+IF(AND(X1047=1,F1047&lt;&gt;3),方案参数!$CC$31,0)+AC1047*方案参数!$CB$31,0)</f>
        <v>3044</v>
      </c>
      <c r="AE1047" s="1">
        <f>IF(OR(F1047=1,F1047=4),配置与结果!$B$24,配置与结果!$B$25)*MAX(0,1-INDEX(配置与结果!$I$15:$I$18,F1047))</f>
        <v>1000</v>
      </c>
      <c r="AF1047" s="1">
        <f>方案参数!$CE$31</f>
        <v>8</v>
      </c>
      <c r="AG1047" s="1">
        <f>MAX(配置与结果!$B$32,1+INDEX(配置与结果!$F$15:$F$18,F1047)+0+Q1047*方案参数!$W$31+Y1047*(方案参数!$AN$31+MIN(方案参数!$AO$31,P1047*0.03))+AB1047*方案参数!$BZ$31*0.025-配置与结果!$B$28+方案参数!$AE$31)</f>
        <v>2.2800000000000002</v>
      </c>
      <c r="AH1047" s="1">
        <f>MAX(0,1+V1047*方案参数!$U$31+方案参数!$AE$31-配置与结果!$B$29)</f>
        <v>1.56</v>
      </c>
      <c r="AI1047" s="1">
        <f>IF(OR(INDEX(配置与结果!$K$15:$K$18,F1047)=1,G1047="RHI_BERRY"),1+配置与结果!$B$33+P1047*方案参数!$AH$31,1)</f>
        <v>1</v>
      </c>
      <c r="AJ1047" s="1">
        <f>MIN(1,MAX(0,J1047+方案参数!$AB$31-配置与结果!$B$27))</f>
        <v>0.76</v>
      </c>
      <c r="AK1047" s="1">
        <f>MAX(1,K1047+IF(F1047=2,0.15+方案参数!$CH$31,0)+BN1047*方案参数!$X$31+R1047*方案参数!$AA$31+0-配置与结果!$B$26+Z1047*(方案参数!$AP$31+MIN(方案参数!$AQ$31,P1047*0.03)))</f>
        <v>2.3380000000000001</v>
      </c>
      <c r="AL1047" s="7">
        <f>ROUNDDOWN(MAX(AD1047*配置与结果!$B$31,AD1047-AE1047)*AF1047*AG1047*AH1047*AI1047,0)</f>
        <v>58160</v>
      </c>
      <c r="AM1047" s="7">
        <f>ROUNDDOWN(MAX(AD1047*配置与结果!$B$31,AD1047-AE1047)*AF1047*AG1047*AH1047*AI1047*AK1047,0)</f>
        <v>135979</v>
      </c>
      <c r="AN1047" s="7">
        <f t="shared" si="1460"/>
        <v>117302.44</v>
      </c>
      <c r="AO1047" s="7">
        <f>0</f>
        <v>0</v>
      </c>
      <c r="AP1047" s="7">
        <f>MAX(0,1+INDEX(配置与结果!$J$15:$J$18,F1047)+IF(T1047&gt;0,方案参数!$BY$31,0)-配置与结果!$B$30)</f>
        <v>1</v>
      </c>
      <c r="AQ1047" s="7">
        <f t="shared" si="1461"/>
        <v>0</v>
      </c>
      <c r="AR1047" s="7">
        <f t="shared" si="1462"/>
        <v>0</v>
      </c>
      <c r="AS1047" s="7">
        <f t="shared" si="1463"/>
        <v>0</v>
      </c>
      <c r="AT1047" s="7">
        <f>IF(U1047&gt;0,ROUNDDOWN(AL1047*方案参数!$AF$31,0)*(1-AJ1047)+ROUNDDOWN(AM1047*方案参数!$AF$31,0)*AJ1047,0)</f>
        <v>0</v>
      </c>
      <c r="AU1047" s="7">
        <f t="shared" si="1464"/>
        <v>117302.44</v>
      </c>
      <c r="AV1047" s="1">
        <f t="shared" si="1465"/>
        <v>2</v>
      </c>
      <c r="AW1047" s="1">
        <f t="shared" si="1472"/>
        <v>10</v>
      </c>
      <c r="AX1047" s="1">
        <f t="shared" si="1466"/>
        <v>2</v>
      </c>
      <c r="AY1047" s="1">
        <f>MIN(20,MAX(0,O1047+0+0-0))</f>
        <v>8</v>
      </c>
      <c r="AZ1047" s="1">
        <f t="shared" si="1467"/>
        <v>5</v>
      </c>
      <c r="BA1047" s="1">
        <f t="shared" si="1455"/>
        <v>5</v>
      </c>
      <c r="BB1047" s="1">
        <f t="shared" si="1471"/>
        <v>20</v>
      </c>
      <c r="BC1047" s="1">
        <f t="shared" si="1469"/>
        <v>3</v>
      </c>
      <c r="BD1047" s="1">
        <f t="shared" si="1442"/>
        <v>0</v>
      </c>
      <c r="BE1047" s="1">
        <f>MAX(0,U1047-IF(AF1047&gt;0,1,0))+1</f>
        <v>1</v>
      </c>
      <c r="BF1047" s="1">
        <f t="shared" si="1473"/>
        <v>4</v>
      </c>
      <c r="BG1047" s="1">
        <f t="shared" si="1452"/>
        <v>1</v>
      </c>
      <c r="BH1047" s="1">
        <f t="shared" si="1436"/>
        <v>1</v>
      </c>
      <c r="BI1047" s="1">
        <f t="shared" si="1453"/>
        <v>1</v>
      </c>
      <c r="BJ1047" s="1">
        <f t="shared" si="1456"/>
        <v>1</v>
      </c>
      <c r="BK1047" s="1">
        <f t="shared" si="1457"/>
        <v>1</v>
      </c>
      <c r="BL1047" s="1">
        <f t="shared" si="1470"/>
        <v>1</v>
      </c>
      <c r="BM1047" s="1">
        <f t="shared" si="1468"/>
        <v>1</v>
      </c>
      <c r="BN1047" s="1">
        <f t="shared" si="1437"/>
        <v>1</v>
      </c>
      <c r="BO1047" s="1">
        <f t="shared" si="1438"/>
        <v>1</v>
      </c>
    </row>
    <row r="1048" spans="1:67" ht="30.95" customHeight="1">
      <c r="A1048" s="1">
        <f>28</f>
        <v>28</v>
      </c>
      <c r="B1048" s="1">
        <f>固定流程!A40</f>
        <v>35</v>
      </c>
      <c r="C1048" s="1">
        <f>31</f>
        <v>31</v>
      </c>
      <c r="D1048" s="1">
        <f>2</f>
        <v>2</v>
      </c>
      <c r="E1048" s="1">
        <f>固定流程!C40</f>
        <v>3</v>
      </c>
      <c r="F1048" s="1">
        <f>固定流程!G40</f>
        <v>2</v>
      </c>
      <c r="G1048" s="1" t="str">
        <f>固定流程!H40</f>
        <v>37_WEAK</v>
      </c>
      <c r="H1048" s="1">
        <f>固定流程!F40</f>
        <v>1</v>
      </c>
      <c r="I1048" s="1">
        <f>INDEX(配置与结果!$B$15:$B$18,F1048)</f>
        <v>2306</v>
      </c>
      <c r="J1048" s="1">
        <f>INDEX(配置与结果!$D$15:$D$18,F1048)</f>
        <v>0.46</v>
      </c>
      <c r="K1048" s="1">
        <f>INDEX(配置与结果!$E$15:$E$18,F1048)</f>
        <v>1.9279999999999999</v>
      </c>
      <c r="L1048" s="1">
        <f t="shared" si="1449"/>
        <v>2</v>
      </c>
      <c r="M1048" s="1">
        <f t="shared" si="1450"/>
        <v>10</v>
      </c>
      <c r="N1048" s="1">
        <f t="shared" si="1451"/>
        <v>2</v>
      </c>
      <c r="O1048" s="1">
        <f t="shared" si="1443"/>
        <v>8</v>
      </c>
      <c r="P1048" s="1">
        <f>MIN(方案参数!$AI$31,AZ1047+0+0)</f>
        <v>5</v>
      </c>
      <c r="Q1048" s="1">
        <f t="shared" si="1421"/>
        <v>5</v>
      </c>
      <c r="R1048" s="1">
        <f t="shared" si="1422"/>
        <v>20</v>
      </c>
      <c r="S1048" s="1">
        <f t="shared" si="1423"/>
        <v>3</v>
      </c>
      <c r="T1048" s="1">
        <f t="shared" si="1458"/>
        <v>0</v>
      </c>
      <c r="U1048" s="1">
        <f t="shared" si="1425"/>
        <v>1</v>
      </c>
      <c r="V1048" s="1">
        <f t="shared" si="1426"/>
        <v>4</v>
      </c>
      <c r="W1048" s="1">
        <f t="shared" si="1427"/>
        <v>1</v>
      </c>
      <c r="X1048" s="1">
        <f t="shared" si="1428"/>
        <v>1</v>
      </c>
      <c r="Y1048" s="1">
        <f t="shared" si="1429"/>
        <v>1</v>
      </c>
      <c r="Z1048" s="1">
        <f t="shared" si="1430"/>
        <v>1</v>
      </c>
      <c r="AA1048" s="1">
        <f t="shared" si="1454"/>
        <v>1</v>
      </c>
      <c r="AB1048" s="1">
        <f t="shared" si="1432"/>
        <v>1</v>
      </c>
      <c r="AC1048" s="1">
        <f t="shared" si="1459"/>
        <v>1</v>
      </c>
      <c r="AD1048" s="1">
        <f>ROUNDDOWN(I1048*(1+IF(F1048=3,0.05+方案参数!$Y$31+AA1048*0.12,IF(F1048=4,方案参数!$BZ$31*方案参数!$AS$31,0)))+IF(AND(X1048=1,F1048&lt;&gt;3),方案参数!$CC$31,0)+AC1048*方案参数!$CB$31,0)</f>
        <v>3044</v>
      </c>
      <c r="AE1048" s="1">
        <f>IF(OR(F1048=1,F1048=4),配置与结果!$B$24,配置与结果!$B$25)*MAX(0,1-INDEX(配置与结果!$I$15:$I$18,F1048))</f>
        <v>1000</v>
      </c>
      <c r="AF1048" s="1">
        <f>方案参数!$CE$31</f>
        <v>8</v>
      </c>
      <c r="AG1048" s="1">
        <f>MAX(配置与结果!$B$32,1+INDEX(配置与结果!$F$15:$F$18,F1048)+0+Q1048*方案参数!$W$31+Y1048*(方案参数!$AN$31+MIN(方案参数!$AO$31,P1048*0.03))+AB1048*方案参数!$BZ$31*0.025-配置与结果!$B$28+方案参数!$AE$31)</f>
        <v>2.2800000000000002</v>
      </c>
      <c r="AH1048" s="1">
        <f>MAX(0,1+V1048*方案参数!$U$31+方案参数!$AE$31-配置与结果!$B$29)</f>
        <v>1.56</v>
      </c>
      <c r="AI1048" s="1">
        <f>IF(OR(INDEX(配置与结果!$K$15:$K$18,F1048)=1,G1048="RHI_BERRY"),1+配置与结果!$B$33+P1048*方案参数!$AH$31,1)</f>
        <v>1</v>
      </c>
      <c r="AJ1048" s="1">
        <f>MIN(1,MAX(0,J1048+方案参数!$AB$31-配置与结果!$B$27))</f>
        <v>0.76</v>
      </c>
      <c r="AK1048" s="1">
        <f>MAX(1,K1048+IF(F1048=2,0.15+方案参数!$CH$31,0)+BN1048*方案参数!$X$31+R1048*方案参数!$AA$31+0-配置与结果!$B$26+Z1048*(方案参数!$AP$31+MIN(方案参数!$AQ$31,P1048*0.03)))</f>
        <v>2.3380000000000001</v>
      </c>
      <c r="AL1048" s="7">
        <f>ROUNDDOWN(MAX(AD1048*配置与结果!$B$31,AD1048-AE1048)*AF1048*AG1048*AH1048*AI1048,0)</f>
        <v>58160</v>
      </c>
      <c r="AM1048" s="7">
        <f>ROUNDDOWN(MAX(AD1048*配置与结果!$B$31,AD1048-AE1048)*AF1048*AG1048*AH1048*AI1048*AK1048,0)</f>
        <v>135979</v>
      </c>
      <c r="AN1048" s="7">
        <f t="shared" si="1460"/>
        <v>117302.44</v>
      </c>
      <c r="AO1048" s="7">
        <f>0</f>
        <v>0</v>
      </c>
      <c r="AP1048" s="7">
        <f>MAX(0,1+INDEX(配置与结果!$J$15:$J$18,F1048)+IF(T1048&gt;0,方案参数!$BY$31,0)-配置与结果!$B$30)</f>
        <v>1</v>
      </c>
      <c r="AQ1048" s="7">
        <f t="shared" si="1461"/>
        <v>0</v>
      </c>
      <c r="AR1048" s="7">
        <f t="shared" si="1462"/>
        <v>0</v>
      </c>
      <c r="AS1048" s="7">
        <f t="shared" si="1463"/>
        <v>0</v>
      </c>
      <c r="AT1048" s="7">
        <f>IF(U1048&gt;0,ROUNDDOWN(AL1048*方案参数!$AF$31,0)*(1-AJ1048)+ROUNDDOWN(AM1048*方案参数!$AF$31,0)*AJ1048,0)</f>
        <v>46920.520000000004</v>
      </c>
      <c r="AU1048" s="7">
        <f t="shared" si="1464"/>
        <v>164222.96000000002</v>
      </c>
      <c r="AV1048" s="1">
        <f t="shared" si="1465"/>
        <v>2</v>
      </c>
      <c r="AW1048" s="1">
        <f t="shared" si="1472"/>
        <v>10</v>
      </c>
      <c r="AX1048" s="1">
        <f t="shared" si="1466"/>
        <v>2</v>
      </c>
      <c r="AY1048" s="1">
        <f>MIN(20,MAX(0,O1048+0+0-0))</f>
        <v>8</v>
      </c>
      <c r="AZ1048" s="1">
        <f t="shared" si="1467"/>
        <v>5</v>
      </c>
      <c r="BA1048" s="1">
        <f t="shared" si="1455"/>
        <v>5</v>
      </c>
      <c r="BB1048" s="1">
        <f t="shared" si="1471"/>
        <v>20</v>
      </c>
      <c r="BC1048" s="1">
        <f t="shared" si="1469"/>
        <v>3</v>
      </c>
      <c r="BD1048" s="1">
        <f t="shared" si="1442"/>
        <v>0</v>
      </c>
      <c r="BE1048" s="1">
        <f>MAX(0,U1048-IF(AF1048&gt;0,1,0))+1</f>
        <v>1</v>
      </c>
      <c r="BF1048" s="1">
        <f t="shared" si="1473"/>
        <v>4</v>
      </c>
      <c r="BG1048" s="1">
        <f t="shared" si="1452"/>
        <v>1</v>
      </c>
      <c r="BH1048" s="1">
        <f t="shared" si="1436"/>
        <v>1</v>
      </c>
      <c r="BI1048" s="1">
        <f t="shared" si="1453"/>
        <v>1</v>
      </c>
      <c r="BJ1048" s="1">
        <f t="shared" si="1456"/>
        <v>1</v>
      </c>
      <c r="BK1048" s="1">
        <f t="shared" si="1457"/>
        <v>1</v>
      </c>
      <c r="BL1048" s="1">
        <f t="shared" si="1470"/>
        <v>1</v>
      </c>
      <c r="BM1048" s="1">
        <f t="shared" si="1468"/>
        <v>1</v>
      </c>
      <c r="BN1048" s="1">
        <f t="shared" si="1437"/>
        <v>1</v>
      </c>
      <c r="BO1048" s="1">
        <f t="shared" si="1438"/>
        <v>1</v>
      </c>
    </row>
    <row r="1049" spans="1:67" ht="30.95" customHeight="1">
      <c r="A1049" s="1">
        <f>28</f>
        <v>28</v>
      </c>
      <c r="B1049" s="1">
        <f>固定流程!A41</f>
        <v>36</v>
      </c>
      <c r="C1049" s="1">
        <f>31</f>
        <v>31</v>
      </c>
      <c r="D1049" s="1">
        <f>2</f>
        <v>2</v>
      </c>
      <c r="E1049" s="1">
        <f>固定流程!C41</f>
        <v>3</v>
      </c>
      <c r="F1049" s="1">
        <f>固定流程!G41</f>
        <v>1</v>
      </c>
      <c r="G1049" s="1" t="str">
        <f>固定流程!H41</f>
        <v>LILYA_FINISH</v>
      </c>
      <c r="H1049" s="1">
        <f>固定流程!F41</f>
        <v>1</v>
      </c>
      <c r="I1049" s="1">
        <f>INDEX(配置与结果!$B$15:$B$18,F1049)</f>
        <v>2296</v>
      </c>
      <c r="J1049" s="1">
        <f>INDEX(配置与结果!$D$15:$D$18,F1049)</f>
        <v>0.7</v>
      </c>
      <c r="K1049" s="1">
        <f>INDEX(配置与结果!$E$15:$E$18,F1049)</f>
        <v>2.0249999999999999</v>
      </c>
      <c r="L1049" s="1">
        <f t="shared" si="1449"/>
        <v>2</v>
      </c>
      <c r="M1049" s="1">
        <f t="shared" si="1450"/>
        <v>10</v>
      </c>
      <c r="N1049" s="1">
        <f t="shared" si="1451"/>
        <v>2</v>
      </c>
      <c r="O1049" s="1">
        <f t="shared" si="1443"/>
        <v>8</v>
      </c>
      <c r="P1049" s="1">
        <f>MIN(方案参数!$AI$31,AZ1048+0+0)</f>
        <v>5</v>
      </c>
      <c r="Q1049" s="1">
        <f t="shared" si="1421"/>
        <v>5</v>
      </c>
      <c r="R1049" s="1">
        <f t="shared" si="1422"/>
        <v>20</v>
      </c>
      <c r="S1049" s="1">
        <f t="shared" si="1423"/>
        <v>3</v>
      </c>
      <c r="T1049" s="1">
        <f t="shared" si="1458"/>
        <v>0</v>
      </c>
      <c r="U1049" s="1">
        <f t="shared" si="1425"/>
        <v>1</v>
      </c>
      <c r="V1049" s="1">
        <f t="shared" si="1426"/>
        <v>4</v>
      </c>
      <c r="W1049" s="1">
        <f t="shared" si="1427"/>
        <v>1</v>
      </c>
      <c r="X1049" s="1">
        <f t="shared" si="1428"/>
        <v>1</v>
      </c>
      <c r="Y1049" s="1">
        <f t="shared" si="1429"/>
        <v>1</v>
      </c>
      <c r="Z1049" s="1">
        <f t="shared" si="1430"/>
        <v>1</v>
      </c>
      <c r="AA1049" s="1">
        <f t="shared" si="1454"/>
        <v>1</v>
      </c>
      <c r="AB1049" s="1">
        <f t="shared" si="1432"/>
        <v>1</v>
      </c>
      <c r="AC1049" s="1">
        <f t="shared" si="1459"/>
        <v>1</v>
      </c>
      <c r="AD1049" s="1">
        <f>ROUNDDOWN(I1049*(1+IF(F1049=3,0.05+方案参数!$Y$31+AA1049*0.12,IF(F1049=4,方案参数!$BZ$31*方案参数!$AS$31,0)))+IF(AND(X1049=1,F1049&lt;&gt;3),方案参数!$CC$31,0)+AC1049*方案参数!$CB$31,0)</f>
        <v>3034</v>
      </c>
      <c r="AE1049" s="1">
        <f>IF(OR(F1049=1,F1049=4),配置与结果!$B$24,配置与结果!$B$25)*MAX(0,1-INDEX(配置与结果!$I$15:$I$18,F1049))</f>
        <v>1200</v>
      </c>
      <c r="AF1049" s="1">
        <f>方案参数!$BN$31+12*方案参数!$BO$31</f>
        <v>48</v>
      </c>
      <c r="AG1049" s="1">
        <f>MAX(配置与结果!$B$32,1+INDEX(配置与结果!$F$15:$F$18,F1049)+0.08+方案参数!$CD$31+Q1049*方案参数!$W$31+Y1049*(方案参数!$AN$31+MIN(方案参数!$AO$31,P1049*0.03))+AB1049*方案参数!$BZ$31*0.025-配置与结果!$B$28+方案参数!$AE$31)</f>
        <v>2.5750000000000002</v>
      </c>
      <c r="AH1049" s="1">
        <f>MAX(0,1+V1049*方案参数!$U$31+12*方案参数!$V$31+方案参数!$AE$31-配置与结果!$B$29)</f>
        <v>2.1</v>
      </c>
      <c r="AI1049" s="1">
        <f>IF(OR(INDEX(配置与结果!$K$15:$K$18,F1049)=1,G1049="RHI_BERRY"),1+配置与结果!$B$33+P1049*方案参数!$AH$31,1)</f>
        <v>1</v>
      </c>
      <c r="AJ1049" s="1">
        <f>MIN(1,MAX(0,J1049+方案参数!$AB$31-配置与结果!$B$27))</f>
        <v>1</v>
      </c>
      <c r="AK1049" s="1">
        <f>MAX(1,K1049+IF(F1049=2,0.15+方案参数!$CH$31,0)+BN1049*方案参数!$X$31+R1049*方案参数!$AA$31+方案参数!$BR$31-配置与结果!$B$26+Z1049*(方案参数!$AP$31+MIN(方案参数!$AQ$31,P1049*0.03)))</f>
        <v>3.165</v>
      </c>
      <c r="AL1049" s="7">
        <f>ROUNDDOWN(MAX(AD1049*配置与结果!$B$31,AD1049-AE1049)*AF1049*AG1049*AH1049*AI1049,0)</f>
        <v>476033</v>
      </c>
      <c r="AM1049" s="7">
        <f>ROUNDDOWN(MAX(AD1049*配置与结果!$B$31,AD1049-AE1049)*AF1049*AG1049*AH1049*AI1049*AK1049,0)</f>
        <v>1506644</v>
      </c>
      <c r="AN1049" s="7">
        <f t="shared" si="1460"/>
        <v>1506644</v>
      </c>
      <c r="AO1049" s="7">
        <f>0</f>
        <v>0</v>
      </c>
      <c r="AP1049" s="7">
        <f>MAX(0,1+INDEX(配置与结果!$J$15:$J$18,F1049)+IF(T1049&gt;0,方案参数!$BY$31,0)-配置与结果!$B$30)</f>
        <v>1</v>
      </c>
      <c r="AQ1049" s="7">
        <f t="shared" si="1461"/>
        <v>0</v>
      </c>
      <c r="AR1049" s="7">
        <f t="shared" si="1462"/>
        <v>0</v>
      </c>
      <c r="AS1049" s="7">
        <f t="shared" si="1463"/>
        <v>0</v>
      </c>
      <c r="AT1049" s="7">
        <f>IF(U1049&gt;0,ROUNDDOWN(AL1049*方案参数!$AF$31,0)*(1-AJ1049)+ROUNDDOWN(AM1049*方案参数!$AF$31,0)*AJ1049,0)</f>
        <v>602657</v>
      </c>
      <c r="AU1049" s="7">
        <f t="shared" si="1464"/>
        <v>2109301</v>
      </c>
      <c r="AV1049" s="1">
        <f t="shared" si="1465"/>
        <v>2</v>
      </c>
      <c r="AW1049" s="1">
        <f t="shared" si="1472"/>
        <v>10</v>
      </c>
      <c r="AX1049" s="1">
        <f t="shared" si="1466"/>
        <v>2</v>
      </c>
      <c r="AY1049" s="1">
        <f>MIN(20,MAX(0,O1049+0+1-0))</f>
        <v>9</v>
      </c>
      <c r="AZ1049" s="1">
        <f t="shared" si="1467"/>
        <v>5</v>
      </c>
      <c r="BA1049" s="1">
        <f t="shared" si="1455"/>
        <v>5</v>
      </c>
      <c r="BB1049" s="1">
        <f t="shared" si="1471"/>
        <v>20</v>
      </c>
      <c r="BC1049" s="1">
        <f t="shared" si="1469"/>
        <v>3</v>
      </c>
      <c r="BD1049" s="1">
        <f t="shared" si="1442"/>
        <v>0</v>
      </c>
      <c r="BE1049" s="1">
        <f>MAX(0,U1049-IF(AF1049&gt;0,1,0))+0</f>
        <v>0</v>
      </c>
      <c r="BF1049" s="1">
        <f t="shared" si="1473"/>
        <v>4</v>
      </c>
      <c r="BG1049" s="1">
        <f t="shared" si="1452"/>
        <v>1</v>
      </c>
      <c r="BH1049" s="1">
        <f t="shared" si="1436"/>
        <v>1</v>
      </c>
      <c r="BI1049" s="1">
        <f t="shared" si="1453"/>
        <v>1</v>
      </c>
      <c r="BJ1049" s="1">
        <f t="shared" si="1456"/>
        <v>1</v>
      </c>
      <c r="BK1049" s="1">
        <f t="shared" si="1457"/>
        <v>1</v>
      </c>
      <c r="BL1049" s="1">
        <f t="shared" si="1470"/>
        <v>1</v>
      </c>
      <c r="BM1049" s="1">
        <f t="shared" si="1468"/>
        <v>1</v>
      </c>
      <c r="BN1049" s="1">
        <f t="shared" si="1437"/>
        <v>1</v>
      </c>
      <c r="BO1049" s="1">
        <f t="shared" si="1438"/>
        <v>1</v>
      </c>
    </row>
    <row r="1050" spans="1:67" ht="30.95" customHeight="1">
      <c r="A1050" s="1">
        <f>29</f>
        <v>29</v>
      </c>
      <c r="B1050" s="1">
        <f>固定流程!A6</f>
        <v>1</v>
      </c>
      <c r="C1050" s="1">
        <f>32</f>
        <v>32</v>
      </c>
      <c r="D1050" s="1">
        <f>1</f>
        <v>1</v>
      </c>
      <c r="E1050" s="1">
        <f>固定流程!C6</f>
        <v>1</v>
      </c>
      <c r="F1050" s="1">
        <f>固定流程!G6</f>
        <v>3</v>
      </c>
      <c r="G1050" s="1" t="str">
        <f>固定流程!H6</f>
        <v>RHI_ULT</v>
      </c>
      <c r="H1050" s="1">
        <f>固定流程!F6</f>
        <v>1</v>
      </c>
      <c r="I1050" s="1">
        <f>INDEX(配置与结果!$B$15:$B$18,F1050)</f>
        <v>2597</v>
      </c>
      <c r="J1050" s="1">
        <f>INDEX(配置与结果!$D$15:$D$18,F1050)</f>
        <v>0.255</v>
      </c>
      <c r="K1050" s="1">
        <f>INDEX(配置与结果!$E$15:$E$18,F1050)</f>
        <v>1.55</v>
      </c>
      <c r="L1050" s="1">
        <f>0</f>
        <v>0</v>
      </c>
      <c r="M1050" s="1">
        <f>0</f>
        <v>0</v>
      </c>
      <c r="N1050" s="1">
        <f>0</f>
        <v>0</v>
      </c>
      <c r="O1050" s="1">
        <f>0</f>
        <v>0</v>
      </c>
      <c r="P1050" s="1">
        <f>MIN(方案参数!$AI$32,0+方案参数!$AJ$32+0)</f>
        <v>1</v>
      </c>
      <c r="Q1050" s="1">
        <f>0</f>
        <v>0</v>
      </c>
      <c r="R1050" s="1">
        <f>0</f>
        <v>0</v>
      </c>
      <c r="S1050" s="1">
        <f>0</f>
        <v>0</v>
      </c>
      <c r="T1050" s="1">
        <f>0+0</f>
        <v>0</v>
      </c>
      <c r="U1050" s="1">
        <f>0</f>
        <v>0</v>
      </c>
      <c r="V1050" s="1">
        <f>0</f>
        <v>0</v>
      </c>
      <c r="W1050" s="1">
        <f>0</f>
        <v>0</v>
      </c>
      <c r="X1050" s="1">
        <f>0</f>
        <v>0</v>
      </c>
      <c r="Y1050" s="1">
        <f>0</f>
        <v>0</v>
      </c>
      <c r="Z1050" s="1">
        <f>0</f>
        <v>0</v>
      </c>
      <c r="AA1050" s="1">
        <f>MAX(0,0)</f>
        <v>0</v>
      </c>
      <c r="AB1050" s="1">
        <f>0</f>
        <v>0</v>
      </c>
      <c r="AC1050" s="1">
        <f>MAX(0,0)</f>
        <v>0</v>
      </c>
      <c r="AD1050" s="1">
        <f>ROUNDDOWN(I1050*(1+IF(F1050=3,0.05+方案参数!$Y$32+AA1050*0.12,IF(F1050=4,方案参数!$BZ$32*方案参数!$AS$32,0)))+IF(AND(X1050=1,F1050&lt;&gt;3),方案参数!$CC$32,0)+AC1050*方案参数!$CB$32,0)</f>
        <v>2986</v>
      </c>
      <c r="AE1050" s="1">
        <f>IF(OR(F1050=1,F1050=4),配置与结果!$B$24,配置与结果!$B$25)*MAX(0,1-INDEX(配置与结果!$I$15:$I$18,F1050))</f>
        <v>1000</v>
      </c>
      <c r="AF1050" s="1">
        <f>0</f>
        <v>0</v>
      </c>
      <c r="AG1050" s="1">
        <f>MAX(配置与结果!$B$32,1+INDEX(配置与结果!$F$15:$F$18,F1050)+0+Q1050*方案参数!$W$32+Y1050*(方案参数!$AN$32+MIN(方案参数!$AO$32,P1050*0.03))+AB1050*方案参数!$BZ$32*0.025-配置与结果!$B$28)</f>
        <v>0.6349999999999999</v>
      </c>
      <c r="AH1050" s="1">
        <f>MAX(0,1+INDEX(配置与结果!$G$15:$G$18,F1050)+W1050*方案参数!$AG$32)</f>
        <v>1</v>
      </c>
      <c r="AI1050" s="1">
        <f>IF(OR(INDEX(配置与结果!$K$15:$K$18,F1050)=1,G1050="RHI_BERRY"),1+配置与结果!$B$33+P1050*方案参数!$AH$32,1)</f>
        <v>1</v>
      </c>
      <c r="AJ1050" s="1">
        <f>MIN(1,MAX(0,J1050+方案参数!$AB$32-配置与结果!$B$27))</f>
        <v>0.55499999999999994</v>
      </c>
      <c r="AK1050" s="1">
        <f>MAX(1,K1050+IF(F1050=2,0.15+方案参数!$CH$32,0)+BN1050*方案参数!$X$32+R1050*方案参数!$AA$32+0-配置与结果!$B$26+Z1050*(方案参数!$AP$32+MIN(方案参数!$AQ$32,P1050*0.03)))</f>
        <v>1.1499999999999999</v>
      </c>
      <c r="AL1050" s="7">
        <f>ROUNDDOWN(MAX(AD1050*配置与结果!$B$31,AD1050-AE1050)*AF1050*AG1050*AH1050*AI1050,0)</f>
        <v>0</v>
      </c>
      <c r="AM1050" s="7">
        <f>ROUNDDOWN(MAX(AD1050*配置与结果!$B$31,AD1050-AE1050)*AF1050*AG1050*AH1050*AI1050*AK1050,0)</f>
        <v>0</v>
      </c>
      <c r="AN1050" s="7">
        <f t="shared" si="1460"/>
        <v>0</v>
      </c>
      <c r="AO1050" s="7">
        <f>0</f>
        <v>0</v>
      </c>
      <c r="AP1050" s="7">
        <f>MAX(0,1+INDEX(配置与结果!$J$15:$J$18,F1050)+IF(T1050&gt;0,方案参数!$BY$32,0)-配置与结果!$B$30)</f>
        <v>1</v>
      </c>
      <c r="AQ1050" s="7">
        <f t="shared" si="1461"/>
        <v>0</v>
      </c>
      <c r="AR1050" s="7">
        <f t="shared" si="1462"/>
        <v>0</v>
      </c>
      <c r="AS1050" s="7">
        <f t="shared" si="1463"/>
        <v>0</v>
      </c>
      <c r="AT1050" s="7">
        <f>0</f>
        <v>0</v>
      </c>
      <c r="AU1050" s="7">
        <f t="shared" si="1464"/>
        <v>0</v>
      </c>
      <c r="AV1050" s="1">
        <f t="shared" si="1465"/>
        <v>0</v>
      </c>
      <c r="AW1050" s="1">
        <f t="shared" si="1472"/>
        <v>0</v>
      </c>
      <c r="AX1050" s="1">
        <f t="shared" si="1466"/>
        <v>0</v>
      </c>
      <c r="AY1050" s="1">
        <f>MIN(20,MAX(0,O1050+0+0-0))</f>
        <v>0</v>
      </c>
      <c r="AZ1050" s="1">
        <f t="shared" si="1467"/>
        <v>1</v>
      </c>
      <c r="BA1050" s="1">
        <f>MIN(6,Q1050+1)</f>
        <v>1</v>
      </c>
      <c r="BB1050" s="1">
        <f>MIN(30,R1050+5)</f>
        <v>5</v>
      </c>
      <c r="BC1050" s="1">
        <f t="shared" si="1469"/>
        <v>0</v>
      </c>
      <c r="BD1050" s="1">
        <f t="shared" si="1442"/>
        <v>0</v>
      </c>
      <c r="BE1050" s="1">
        <f>0</f>
        <v>0</v>
      </c>
      <c r="BF1050" s="1">
        <f t="shared" si="1473"/>
        <v>0</v>
      </c>
      <c r="BG1050" s="1">
        <f t="shared" si="1452"/>
        <v>0</v>
      </c>
      <c r="BH1050" s="1">
        <f>MAX(X1050,1)</f>
        <v>1</v>
      </c>
      <c r="BI1050" s="1">
        <f t="shared" si="1453"/>
        <v>0</v>
      </c>
      <c r="BJ1050" s="1">
        <f t="shared" si="1456"/>
        <v>0</v>
      </c>
      <c r="BK1050" s="1">
        <f t="shared" si="1457"/>
        <v>0</v>
      </c>
      <c r="BL1050" s="1">
        <f t="shared" si="1470"/>
        <v>0</v>
      </c>
      <c r="BM1050" s="1">
        <f t="shared" si="1468"/>
        <v>0</v>
      </c>
      <c r="BN1050" s="1">
        <f>0</f>
        <v>0</v>
      </c>
      <c r="BO1050" s="1">
        <f>MAX(BN1050,1)</f>
        <v>1</v>
      </c>
    </row>
    <row r="1051" spans="1:67" ht="30.95" customHeight="1">
      <c r="A1051" s="1">
        <f>29</f>
        <v>29</v>
      </c>
      <c r="B1051" s="1">
        <f>固定流程!A7</f>
        <v>2</v>
      </c>
      <c r="C1051" s="1">
        <f>32</f>
        <v>32</v>
      </c>
      <c r="D1051" s="1">
        <f>1</f>
        <v>1</v>
      </c>
      <c r="E1051" s="1">
        <f>固定流程!C7</f>
        <v>1</v>
      </c>
      <c r="F1051" s="1">
        <f>固定流程!G7</f>
        <v>3</v>
      </c>
      <c r="G1051" s="1" t="str">
        <f>固定流程!H7</f>
        <v>RHI_BUFF</v>
      </c>
      <c r="H1051" s="1">
        <f>固定流程!F7</f>
        <v>1</v>
      </c>
      <c r="I1051" s="1">
        <f>INDEX(配置与结果!$B$15:$B$18,F1051)</f>
        <v>2597</v>
      </c>
      <c r="J1051" s="1">
        <f>INDEX(配置与结果!$D$15:$D$18,F1051)</f>
        <v>0.255</v>
      </c>
      <c r="K1051" s="1">
        <f>INDEX(配置与结果!$E$15:$E$18,F1051)</f>
        <v>1.55</v>
      </c>
      <c r="L1051" s="1">
        <f t="shared" ref="L1051:O1056" si="1474">AV1050</f>
        <v>0</v>
      </c>
      <c r="M1051" s="1">
        <f t="shared" si="1474"/>
        <v>0</v>
      </c>
      <c r="N1051" s="1">
        <f t="shared" si="1474"/>
        <v>0</v>
      </c>
      <c r="O1051" s="1">
        <f t="shared" si="1474"/>
        <v>0</v>
      </c>
      <c r="P1051" s="1">
        <f>MIN(方案参数!$AI$32,AZ1050+0+方案参数!$AK$32)</f>
        <v>3</v>
      </c>
      <c r="Q1051" s="1">
        <f t="shared" ref="Q1051:Q1085" si="1475">BA1050</f>
        <v>1</v>
      </c>
      <c r="R1051" s="1">
        <f t="shared" ref="R1051:R1085" si="1476">BB1050</f>
        <v>5</v>
      </c>
      <c r="S1051" s="1">
        <f t="shared" ref="S1051:S1085" si="1477">BC1050</f>
        <v>0</v>
      </c>
      <c r="T1051" s="1">
        <f t="shared" ref="T1051:T1064" si="1478">BD1050+0</f>
        <v>0</v>
      </c>
      <c r="U1051" s="1">
        <f t="shared" ref="U1051:U1085" si="1479">BE1050</f>
        <v>0</v>
      </c>
      <c r="V1051" s="1">
        <f t="shared" ref="V1051:V1085" si="1480">BF1050</f>
        <v>0</v>
      </c>
      <c r="W1051" s="1">
        <f t="shared" ref="W1051:W1085" si="1481">BG1050</f>
        <v>0</v>
      </c>
      <c r="X1051" s="1">
        <f t="shared" ref="X1051:X1085" si="1482">BH1050</f>
        <v>1</v>
      </c>
      <c r="Y1051" s="1">
        <f t="shared" ref="Y1051:Y1085" si="1483">BI1050</f>
        <v>0</v>
      </c>
      <c r="Z1051" s="1">
        <f t="shared" ref="Z1051:Z1085" si="1484">BJ1050</f>
        <v>0</v>
      </c>
      <c r="AA1051" s="1">
        <f t="shared" ref="AA1051:AA1056" si="1485">MAX(BK1050,0)</f>
        <v>0</v>
      </c>
      <c r="AB1051" s="1">
        <f t="shared" ref="AB1051:AB1085" si="1486">BL1050</f>
        <v>0</v>
      </c>
      <c r="AC1051" s="1">
        <f t="shared" ref="AC1051:AC1064" si="1487">MAX(BM1050,0)</f>
        <v>0</v>
      </c>
      <c r="AD1051" s="1">
        <f>ROUNDDOWN(I1051*(1+IF(F1051=3,0.05+方案参数!$Y$32+AA1051*0.12,IF(F1051=4,方案参数!$BZ$32*方案参数!$AS$32,0)))+IF(AND(X1051=1,F1051&lt;&gt;3),方案参数!$CC$32,0)+AC1051*方案参数!$CB$32,0)</f>
        <v>2986</v>
      </c>
      <c r="AE1051" s="1">
        <f>IF(OR(F1051=1,F1051=4),配置与结果!$B$24,配置与结果!$B$25)*MAX(0,1-INDEX(配置与结果!$I$15:$I$18,F1051))</f>
        <v>1000</v>
      </c>
      <c r="AF1051" s="1">
        <f>0</f>
        <v>0</v>
      </c>
      <c r="AG1051" s="1">
        <f>MAX(配置与结果!$B$32,1+INDEX(配置与结果!$F$15:$F$18,F1051)+0+Q1051*方案参数!$W$32+Y1051*(方案参数!$AN$32+MIN(方案参数!$AO$32,P1051*0.03))+AB1051*方案参数!$BZ$32*0.025-配置与结果!$B$28)</f>
        <v>0.65499999999999992</v>
      </c>
      <c r="AH1051" s="1">
        <f>MAX(0,1+INDEX(配置与结果!$G$15:$G$18,F1051)+W1051*方案参数!$AG$32)</f>
        <v>1</v>
      </c>
      <c r="AI1051" s="1">
        <f>IF(OR(INDEX(配置与结果!$K$15:$K$18,F1051)=1,G1051="RHI_BERRY"),1+配置与结果!$B$33+P1051*方案参数!$AH$32,1)</f>
        <v>1</v>
      </c>
      <c r="AJ1051" s="1">
        <f>MIN(1,MAX(0,J1051+方案参数!$AB$32-配置与结果!$B$27))</f>
        <v>0.55499999999999994</v>
      </c>
      <c r="AK1051" s="1">
        <f>MAX(1,K1051+IF(F1051=2,0.15+方案参数!$CH$32,0)+BN1051*方案参数!$X$32+R1051*方案参数!$AA$32+0-配置与结果!$B$26+Z1051*(方案参数!$AP$32+MIN(方案参数!$AQ$32,P1051*0.03)))</f>
        <v>1.33</v>
      </c>
      <c r="AL1051" s="7">
        <f>ROUNDDOWN(MAX(AD1051*配置与结果!$B$31,AD1051-AE1051)*AF1051*AG1051*AH1051*AI1051,0)</f>
        <v>0</v>
      </c>
      <c r="AM1051" s="7">
        <f>ROUNDDOWN(MAX(AD1051*配置与结果!$B$31,AD1051-AE1051)*AF1051*AG1051*AH1051*AI1051*AK1051,0)</f>
        <v>0</v>
      </c>
      <c r="AN1051" s="7">
        <f t="shared" si="1460"/>
        <v>0</v>
      </c>
      <c r="AO1051" s="7">
        <f>0</f>
        <v>0</v>
      </c>
      <c r="AP1051" s="7">
        <f>MAX(0,1+INDEX(配置与结果!$J$15:$J$18,F1051)+IF(T1051&gt;0,方案参数!$BY$32,0)-配置与结果!$B$30)</f>
        <v>1</v>
      </c>
      <c r="AQ1051" s="7">
        <f t="shared" si="1461"/>
        <v>0</v>
      </c>
      <c r="AR1051" s="7">
        <f t="shared" si="1462"/>
        <v>0</v>
      </c>
      <c r="AS1051" s="7">
        <f t="shared" si="1463"/>
        <v>0</v>
      </c>
      <c r="AT1051" s="7">
        <f>0</f>
        <v>0</v>
      </c>
      <c r="AU1051" s="7">
        <f t="shared" si="1464"/>
        <v>0</v>
      </c>
      <c r="AV1051" s="1">
        <f t="shared" si="1465"/>
        <v>0</v>
      </c>
      <c r="AW1051" s="1">
        <f t="shared" si="1472"/>
        <v>0</v>
      </c>
      <c r="AX1051" s="1">
        <f t="shared" si="1466"/>
        <v>0</v>
      </c>
      <c r="AY1051" s="1">
        <f>MIN(20,MAX(0,O1051+0+0-0))</f>
        <v>0</v>
      </c>
      <c r="AZ1051" s="1">
        <f t="shared" si="1467"/>
        <v>3</v>
      </c>
      <c r="BA1051" s="1">
        <f>MIN(6,Q1051+1)</f>
        <v>2</v>
      </c>
      <c r="BB1051" s="1">
        <f t="shared" ref="BB1051:BB1064" si="1488">MIN(30,R1051+0)</f>
        <v>5</v>
      </c>
      <c r="BC1051" s="1">
        <f t="shared" si="1469"/>
        <v>0</v>
      </c>
      <c r="BD1051" s="1">
        <f t="shared" si="1442"/>
        <v>0</v>
      </c>
      <c r="BE1051" s="1">
        <f t="shared" ref="BE1051:BE1072" si="1489">BE1050</f>
        <v>0</v>
      </c>
      <c r="BF1051" s="1">
        <f t="shared" si="1473"/>
        <v>0</v>
      </c>
      <c r="BG1051" s="1">
        <f>MAX(W1051,1)</f>
        <v>1</v>
      </c>
      <c r="BH1051" s="1">
        <f t="shared" ref="BH1051:BH1085" si="1490">MAX(X1051,0)</f>
        <v>1</v>
      </c>
      <c r="BI1051" s="1">
        <f>MAX(Y1051,1)</f>
        <v>1</v>
      </c>
      <c r="BJ1051" s="1">
        <f t="shared" si="1456"/>
        <v>0</v>
      </c>
      <c r="BK1051" s="1">
        <f t="shared" si="1457"/>
        <v>0</v>
      </c>
      <c r="BL1051" s="1">
        <f t="shared" si="1470"/>
        <v>0</v>
      </c>
      <c r="BM1051" s="1">
        <f t="shared" si="1468"/>
        <v>0</v>
      </c>
      <c r="BN1051" s="1">
        <f t="shared" ref="BN1051:BN1085" si="1491">BO1050</f>
        <v>1</v>
      </c>
      <c r="BO1051" s="1">
        <f t="shared" ref="BO1051:BO1085" si="1492">MAX(BN1051,0)</f>
        <v>1</v>
      </c>
    </row>
    <row r="1052" spans="1:67" ht="30.95" customHeight="1">
      <c r="A1052" s="1">
        <f>29</f>
        <v>29</v>
      </c>
      <c r="B1052" s="1">
        <f>固定流程!A8</f>
        <v>3</v>
      </c>
      <c r="C1052" s="1">
        <f>32</f>
        <v>32</v>
      </c>
      <c r="D1052" s="1">
        <f>1</f>
        <v>1</v>
      </c>
      <c r="E1052" s="1">
        <f>固定流程!C8</f>
        <v>1</v>
      </c>
      <c r="F1052" s="1">
        <f>固定流程!G8</f>
        <v>1</v>
      </c>
      <c r="G1052" s="1" t="str">
        <f>固定流程!H8</f>
        <v>LILYA_COBRA</v>
      </c>
      <c r="H1052" s="1">
        <f>固定流程!F8</f>
        <v>1</v>
      </c>
      <c r="I1052" s="1">
        <f>INDEX(配置与结果!$B$15:$B$18,F1052)</f>
        <v>2296</v>
      </c>
      <c r="J1052" s="1">
        <f>INDEX(配置与结果!$D$15:$D$18,F1052)</f>
        <v>0.7</v>
      </c>
      <c r="K1052" s="1">
        <f>INDEX(配置与结果!$E$15:$E$18,F1052)</f>
        <v>2.0249999999999999</v>
      </c>
      <c r="L1052" s="1">
        <f t="shared" si="1474"/>
        <v>0</v>
      </c>
      <c r="M1052" s="1">
        <f t="shared" si="1474"/>
        <v>0</v>
      </c>
      <c r="N1052" s="1">
        <f t="shared" si="1474"/>
        <v>0</v>
      </c>
      <c r="O1052" s="1">
        <f t="shared" si="1474"/>
        <v>0</v>
      </c>
      <c r="P1052" s="1">
        <f>MIN(方案参数!$AI$32,AZ1051+0+0)</f>
        <v>3</v>
      </c>
      <c r="Q1052" s="1">
        <f t="shared" si="1475"/>
        <v>2</v>
      </c>
      <c r="R1052" s="1">
        <f t="shared" si="1476"/>
        <v>5</v>
      </c>
      <c r="S1052" s="1">
        <f t="shared" si="1477"/>
        <v>0</v>
      </c>
      <c r="T1052" s="1">
        <f t="shared" si="1478"/>
        <v>0</v>
      </c>
      <c r="U1052" s="1">
        <f t="shared" si="1479"/>
        <v>0</v>
      </c>
      <c r="V1052" s="1">
        <f t="shared" si="1480"/>
        <v>0</v>
      </c>
      <c r="W1052" s="1">
        <f t="shared" si="1481"/>
        <v>1</v>
      </c>
      <c r="X1052" s="1">
        <f t="shared" si="1482"/>
        <v>1</v>
      </c>
      <c r="Y1052" s="1">
        <f t="shared" si="1483"/>
        <v>1</v>
      </c>
      <c r="Z1052" s="1">
        <f t="shared" si="1484"/>
        <v>0</v>
      </c>
      <c r="AA1052" s="1">
        <f t="shared" si="1485"/>
        <v>0</v>
      </c>
      <c r="AB1052" s="1">
        <f t="shared" si="1486"/>
        <v>0</v>
      </c>
      <c r="AC1052" s="1">
        <f t="shared" si="1487"/>
        <v>0</v>
      </c>
      <c r="AD1052" s="1">
        <f>ROUNDDOWN(I1052*(1+IF(F1052=3,0.05+方案参数!$Y$32+AA1052*0.12,IF(F1052=4,方案参数!$BZ$32*方案参数!$AS$32,0)))+IF(AND(X1052=1,F1052&lt;&gt;3),方案参数!$CC$32,0)+AC1052*方案参数!$CB$32,0)</f>
        <v>2534</v>
      </c>
      <c r="AE1052" s="1">
        <f>IF(OR(F1052=1,F1052=4),配置与结果!$B$24,配置与结果!$B$25)*MAX(0,1-INDEX(配置与结果!$I$15:$I$18,F1052))</f>
        <v>1200</v>
      </c>
      <c r="AF1052" s="1">
        <f>0</f>
        <v>0</v>
      </c>
      <c r="AG1052" s="1">
        <f>MAX(配置与结果!$B$32,1+INDEX(配置与结果!$F$15:$F$18,F1052)+0.08+方案参数!$CD$32+Q1052*方案参数!$W$32+Y1052*(方案参数!$AN$32+MIN(方案参数!$AO$32,P1052*0.03))+AB1052*方案参数!$BZ$32*0.025-配置与结果!$B$28)</f>
        <v>1.2200000000000002</v>
      </c>
      <c r="AH1052" s="1">
        <f>MAX(0,1+INDEX(配置与结果!$G$15:$G$18,F1052)+W1052*方案参数!$AG$32)</f>
        <v>1.3</v>
      </c>
      <c r="AI1052" s="1">
        <f>IF(OR(INDEX(配置与结果!$K$15:$K$18,F1052)=1,G1052="RHI_BERRY"),1+配置与结果!$B$33+P1052*方案参数!$AH$32,1)</f>
        <v>1</v>
      </c>
      <c r="AJ1052" s="1">
        <f>MIN(1,MAX(0,J1052+方案参数!$AB$32-配置与结果!$B$27))</f>
        <v>1</v>
      </c>
      <c r="AK1052" s="1">
        <f>MAX(1,K1052+IF(F1052=2,0.15+方案参数!$CH$32,0)+BN1052*方案参数!$X$32+R1052*方案参数!$AA$32+0-配置与结果!$B$26+Z1052*(方案参数!$AP$32+MIN(方案参数!$AQ$32,P1052*0.03)))</f>
        <v>1.8050000000000002</v>
      </c>
      <c r="AL1052" s="7">
        <f>ROUNDDOWN(MAX(AD1052*配置与结果!$B$31,AD1052-AE1052)*AF1052*AG1052*AH1052*AI1052,0)</f>
        <v>0</v>
      </c>
      <c r="AM1052" s="7">
        <f>ROUNDDOWN(MAX(AD1052*配置与结果!$B$31,AD1052-AE1052)*AF1052*AG1052*AH1052*AI1052*AK1052,0)</f>
        <v>0</v>
      </c>
      <c r="AN1052" s="7">
        <f t="shared" si="1460"/>
        <v>0</v>
      </c>
      <c r="AO1052" s="7">
        <f>0</f>
        <v>0</v>
      </c>
      <c r="AP1052" s="7">
        <f>MAX(0,1+INDEX(配置与结果!$J$15:$J$18,F1052)+IF(T1052&gt;0,方案参数!$BY$32,0)-配置与结果!$B$30)</f>
        <v>1</v>
      </c>
      <c r="AQ1052" s="7">
        <f t="shared" si="1461"/>
        <v>0</v>
      </c>
      <c r="AR1052" s="7">
        <f t="shared" si="1462"/>
        <v>0</v>
      </c>
      <c r="AS1052" s="7">
        <f t="shared" si="1463"/>
        <v>0</v>
      </c>
      <c r="AT1052" s="7">
        <f>0</f>
        <v>0</v>
      </c>
      <c r="AU1052" s="7">
        <f t="shared" si="1464"/>
        <v>0</v>
      </c>
      <c r="AV1052" s="1">
        <f t="shared" si="1465"/>
        <v>1</v>
      </c>
      <c r="AW1052" s="1">
        <f>MIN(10,M1052+方案参数!$BD$32+0)</f>
        <v>3</v>
      </c>
      <c r="AX1052" s="1">
        <f t="shared" si="1466"/>
        <v>0</v>
      </c>
      <c r="AY1052" s="1">
        <f>MIN(20,MAX(0,O1052+6+0-0))</f>
        <v>6</v>
      </c>
      <c r="AZ1052" s="1">
        <f t="shared" si="1467"/>
        <v>3</v>
      </c>
      <c r="BA1052" s="1">
        <f>MIN(6,Q1052+0)</f>
        <v>2</v>
      </c>
      <c r="BB1052" s="1">
        <f t="shared" si="1488"/>
        <v>5</v>
      </c>
      <c r="BC1052" s="1">
        <f t="shared" si="1469"/>
        <v>0</v>
      </c>
      <c r="BD1052" s="1">
        <f t="shared" si="1442"/>
        <v>0</v>
      </c>
      <c r="BE1052" s="1">
        <f t="shared" si="1489"/>
        <v>0</v>
      </c>
      <c r="BF1052" s="1">
        <f t="shared" si="1473"/>
        <v>0</v>
      </c>
      <c r="BG1052" s="1">
        <f t="shared" ref="BG1052:BG1062" si="1493">MAX(W1052,0)</f>
        <v>1</v>
      </c>
      <c r="BH1052" s="1">
        <f t="shared" si="1490"/>
        <v>1</v>
      </c>
      <c r="BI1052" s="1">
        <f t="shared" ref="BI1052:BI1062" si="1494">MAX(Y1052,0)</f>
        <v>1</v>
      </c>
      <c r="BJ1052" s="1">
        <f t="shared" si="1456"/>
        <v>0</v>
      </c>
      <c r="BK1052" s="1">
        <f t="shared" si="1457"/>
        <v>0</v>
      </c>
      <c r="BL1052" s="1">
        <f t="shared" si="1470"/>
        <v>0</v>
      </c>
      <c r="BM1052" s="1">
        <f t="shared" si="1468"/>
        <v>0</v>
      </c>
      <c r="BN1052" s="1">
        <f t="shared" si="1491"/>
        <v>1</v>
      </c>
      <c r="BO1052" s="1">
        <f t="shared" si="1492"/>
        <v>1</v>
      </c>
    </row>
    <row r="1053" spans="1:67" ht="30.95" customHeight="1">
      <c r="A1053" s="1">
        <f>29</f>
        <v>29</v>
      </c>
      <c r="B1053" s="1">
        <f>固定流程!A9</f>
        <v>4</v>
      </c>
      <c r="C1053" s="1">
        <f>32</f>
        <v>32</v>
      </c>
      <c r="D1053" s="1">
        <f>1</f>
        <v>1</v>
      </c>
      <c r="E1053" s="1">
        <f>固定流程!C9</f>
        <v>1</v>
      </c>
      <c r="F1053" s="1">
        <f>固定流程!G9</f>
        <v>1</v>
      </c>
      <c r="G1053" s="1" t="str">
        <f>固定流程!H9</f>
        <v>LILYA_DIVE</v>
      </c>
      <c r="H1053" s="1">
        <f>固定流程!F9</f>
        <v>1</v>
      </c>
      <c r="I1053" s="1">
        <f>INDEX(配置与结果!$B$15:$B$18,F1053)</f>
        <v>2296</v>
      </c>
      <c r="J1053" s="1">
        <f>INDEX(配置与结果!$D$15:$D$18,F1053)</f>
        <v>0.7</v>
      </c>
      <c r="K1053" s="1">
        <f>INDEX(配置与结果!$E$15:$E$18,F1053)</f>
        <v>2.0249999999999999</v>
      </c>
      <c r="L1053" s="1">
        <f t="shared" si="1474"/>
        <v>1</v>
      </c>
      <c r="M1053" s="1">
        <f t="shared" si="1474"/>
        <v>3</v>
      </c>
      <c r="N1053" s="1">
        <f t="shared" si="1474"/>
        <v>0</v>
      </c>
      <c r="O1053" s="1">
        <f t="shared" si="1474"/>
        <v>6</v>
      </c>
      <c r="P1053" s="1">
        <f>MIN(方案参数!$AI$32,AZ1052+0+0)</f>
        <v>3</v>
      </c>
      <c r="Q1053" s="1">
        <f t="shared" si="1475"/>
        <v>2</v>
      </c>
      <c r="R1053" s="1">
        <f t="shared" si="1476"/>
        <v>5</v>
      </c>
      <c r="S1053" s="1">
        <f t="shared" si="1477"/>
        <v>0</v>
      </c>
      <c r="T1053" s="1">
        <f t="shared" si="1478"/>
        <v>0</v>
      </c>
      <c r="U1053" s="1">
        <f t="shared" si="1479"/>
        <v>0</v>
      </c>
      <c r="V1053" s="1">
        <f t="shared" si="1480"/>
        <v>0</v>
      </c>
      <c r="W1053" s="1">
        <f t="shared" si="1481"/>
        <v>1</v>
      </c>
      <c r="X1053" s="1">
        <f t="shared" si="1482"/>
        <v>1</v>
      </c>
      <c r="Y1053" s="1">
        <f t="shared" si="1483"/>
        <v>1</v>
      </c>
      <c r="Z1053" s="1">
        <f t="shared" si="1484"/>
        <v>0</v>
      </c>
      <c r="AA1053" s="1">
        <f t="shared" si="1485"/>
        <v>0</v>
      </c>
      <c r="AB1053" s="1">
        <f t="shared" si="1486"/>
        <v>0</v>
      </c>
      <c r="AC1053" s="1">
        <f t="shared" si="1487"/>
        <v>0</v>
      </c>
      <c r="AD1053" s="1">
        <f>ROUNDDOWN(I1053*(1+IF(F1053=3,0.05+方案参数!$Y$32+AA1053*0.12,IF(F1053=4,方案参数!$BZ$32*方案参数!$AS$32,0)))+IF(AND(X1053=1,F1053&lt;&gt;3),方案参数!$CC$32,0)+AC1053*方案参数!$CB$32,0)</f>
        <v>2534</v>
      </c>
      <c r="AE1053" s="1">
        <f>IF(OR(F1053=1,F1053=4),配置与结果!$B$24,配置与结果!$B$25)*MAX(0,1-INDEX(配置与结果!$I$15:$I$18,F1053))</f>
        <v>1200</v>
      </c>
      <c r="AF1053" s="1">
        <f>(IF(L1053=1,方案参数!$AW$32,IF(L1053=2,方案参数!$AX$32,0))+方案参数!$AV$32)*H1053</f>
        <v>6</v>
      </c>
      <c r="AG1053" s="1">
        <f>MAX(配置与结果!$B$32,1+INDEX(配置与结果!$F$15:$F$18,F1053)+0.08+方案参数!$CD$32+Q1053*方案参数!$W$32+Y1053*(方案参数!$AN$32+MIN(方案参数!$AO$32,P1053*0.03))+AB1053*方案参数!$BZ$32*0.025+IF(L1053=1,方案参数!$AY$32+(H1053-1)*0.1,IF(L1053=2,方案参数!$AZ$32+(H1053-1)*0.2,0))-配置与结果!$B$28)</f>
        <v>1.3200000000000003</v>
      </c>
      <c r="AH1053" s="1">
        <f>MAX(0,1+INDEX(配置与结果!$G$15:$G$18,F1053)+W1053*方案参数!$AG$32+IF(L1053=1,方案参数!$BA$32,IF(L1053=2,方案参数!$BB$32,0))+M1053*方案参数!$BC$32)</f>
        <v>2.08</v>
      </c>
      <c r="AI1053" s="1">
        <f>IF(OR(INDEX(配置与结果!$K$15:$K$18,F1053)=1,G1053="RHI_BERRY"),1+配置与结果!$B$33+P1053*方案参数!$AH$32,1)</f>
        <v>1</v>
      </c>
      <c r="AJ1053" s="1">
        <f>MIN(1,MAX(0,J1053+方案参数!$AB$32-配置与结果!$B$27))</f>
        <v>1</v>
      </c>
      <c r="AK1053" s="1">
        <f>MAX(1,K1053+IF(F1053=2,0.15+方案参数!$CH$32,0)+BN1053*方案参数!$X$32+R1053*方案参数!$AA$32+0-配置与结果!$B$26+Z1053*(方案参数!$AP$32+MIN(方案参数!$AQ$32,P1053*0.03)))</f>
        <v>1.8050000000000002</v>
      </c>
      <c r="AL1053" s="7">
        <f>ROUNDDOWN(MAX(AD1053*配置与结果!$B$31,AD1053-AE1053)*AF1053*AG1053*AH1053*AI1053,0)</f>
        <v>21975</v>
      </c>
      <c r="AM1053" s="7">
        <f>ROUNDDOWN(MAX(AD1053*配置与结果!$B$31,AD1053-AE1053)*AF1053*AG1053*AH1053*AI1053*AK1053,0)</f>
        <v>39666</v>
      </c>
      <c r="AN1053" s="7">
        <f t="shared" si="1460"/>
        <v>39666</v>
      </c>
      <c r="AO1053" s="7">
        <f>0</f>
        <v>0</v>
      </c>
      <c r="AP1053" s="7">
        <f>MAX(0,1+INDEX(配置与结果!$J$15:$J$18,F1053)+IF(T1053&gt;0,方案参数!$BY$32,0)-配置与结果!$B$30)</f>
        <v>1</v>
      </c>
      <c r="AQ1053" s="7">
        <f t="shared" si="1461"/>
        <v>0</v>
      </c>
      <c r="AR1053" s="7">
        <f t="shared" si="1462"/>
        <v>0</v>
      </c>
      <c r="AS1053" s="7">
        <f t="shared" si="1463"/>
        <v>0</v>
      </c>
      <c r="AT1053" s="7">
        <f>0</f>
        <v>0</v>
      </c>
      <c r="AU1053" s="7">
        <f t="shared" si="1464"/>
        <v>39666</v>
      </c>
      <c r="AV1053" s="1">
        <f t="shared" si="1465"/>
        <v>1</v>
      </c>
      <c r="AW1053" s="1">
        <f>MIN(10,M1053+0+IF(L1053=1,方案参数!$BE$32,0))</f>
        <v>4</v>
      </c>
      <c r="AX1053" s="1">
        <f t="shared" si="1466"/>
        <v>0</v>
      </c>
      <c r="AY1053" s="1">
        <f t="shared" ref="AY1053:AY1068" si="1495">MIN(20,MAX(0,O1053+0+0-0))</f>
        <v>6</v>
      </c>
      <c r="AZ1053" s="1">
        <f t="shared" si="1467"/>
        <v>3</v>
      </c>
      <c r="BA1053" s="1">
        <f>MIN(6,Q1053+0)</f>
        <v>2</v>
      </c>
      <c r="BB1053" s="1">
        <f t="shared" si="1488"/>
        <v>5</v>
      </c>
      <c r="BC1053" s="1">
        <f t="shared" si="1469"/>
        <v>0</v>
      </c>
      <c r="BD1053" s="1">
        <f t="shared" si="1442"/>
        <v>0</v>
      </c>
      <c r="BE1053" s="1">
        <f t="shared" si="1489"/>
        <v>0</v>
      </c>
      <c r="BF1053" s="1">
        <f t="shared" si="1473"/>
        <v>0</v>
      </c>
      <c r="BG1053" s="1">
        <f t="shared" si="1493"/>
        <v>1</v>
      </c>
      <c r="BH1053" s="1">
        <f t="shared" si="1490"/>
        <v>1</v>
      </c>
      <c r="BI1053" s="1">
        <f t="shared" si="1494"/>
        <v>1</v>
      </c>
      <c r="BJ1053" s="1">
        <f t="shared" si="1456"/>
        <v>0</v>
      </c>
      <c r="BK1053" s="1">
        <f t="shared" si="1457"/>
        <v>0</v>
      </c>
      <c r="BL1053" s="1">
        <f t="shared" si="1470"/>
        <v>0</v>
      </c>
      <c r="BM1053" s="1">
        <f t="shared" si="1468"/>
        <v>0</v>
      </c>
      <c r="BN1053" s="1">
        <f t="shared" si="1491"/>
        <v>1</v>
      </c>
      <c r="BO1053" s="1">
        <f t="shared" si="1492"/>
        <v>1</v>
      </c>
    </row>
    <row r="1054" spans="1:67" ht="30.95" customHeight="1">
      <c r="A1054" s="1">
        <f>29</f>
        <v>29</v>
      </c>
      <c r="B1054" s="1">
        <f>固定流程!A10</f>
        <v>5</v>
      </c>
      <c r="C1054" s="1">
        <f>32</f>
        <v>32</v>
      </c>
      <c r="D1054" s="1">
        <f>1</f>
        <v>1</v>
      </c>
      <c r="E1054" s="1">
        <f>固定流程!C10</f>
        <v>1</v>
      </c>
      <c r="F1054" s="1">
        <f>固定流程!G10</f>
        <v>2</v>
      </c>
      <c r="G1054" s="1" t="str">
        <f>固定流程!H10</f>
        <v>37_TRIANGLE</v>
      </c>
      <c r="H1054" s="1">
        <f>固定流程!F10</f>
        <v>1</v>
      </c>
      <c r="I1054" s="1">
        <f>INDEX(配置与结果!$B$15:$B$18,F1054)</f>
        <v>2306</v>
      </c>
      <c r="J1054" s="1">
        <f>INDEX(配置与结果!$D$15:$D$18,F1054)</f>
        <v>0.46</v>
      </c>
      <c r="K1054" s="1">
        <f>INDEX(配置与结果!$E$15:$E$18,F1054)</f>
        <v>1.9279999999999999</v>
      </c>
      <c r="L1054" s="1">
        <f t="shared" si="1474"/>
        <v>1</v>
      </c>
      <c r="M1054" s="1">
        <f t="shared" si="1474"/>
        <v>4</v>
      </c>
      <c r="N1054" s="1">
        <f t="shared" si="1474"/>
        <v>0</v>
      </c>
      <c r="O1054" s="1">
        <f t="shared" si="1474"/>
        <v>6</v>
      </c>
      <c r="P1054" s="1">
        <f>MIN(方案参数!$AI$32,AZ1053+0+0)</f>
        <v>3</v>
      </c>
      <c r="Q1054" s="1">
        <f t="shared" si="1475"/>
        <v>2</v>
      </c>
      <c r="R1054" s="1">
        <f t="shared" si="1476"/>
        <v>5</v>
      </c>
      <c r="S1054" s="1">
        <f t="shared" si="1477"/>
        <v>0</v>
      </c>
      <c r="T1054" s="1">
        <f t="shared" si="1478"/>
        <v>0</v>
      </c>
      <c r="U1054" s="1">
        <f t="shared" si="1479"/>
        <v>0</v>
      </c>
      <c r="V1054" s="1">
        <f t="shared" si="1480"/>
        <v>0</v>
      </c>
      <c r="W1054" s="1">
        <f t="shared" si="1481"/>
        <v>1</v>
      </c>
      <c r="X1054" s="1">
        <f t="shared" si="1482"/>
        <v>1</v>
      </c>
      <c r="Y1054" s="1">
        <f t="shared" si="1483"/>
        <v>1</v>
      </c>
      <c r="Z1054" s="1">
        <f t="shared" si="1484"/>
        <v>0</v>
      </c>
      <c r="AA1054" s="1">
        <f t="shared" si="1485"/>
        <v>0</v>
      </c>
      <c r="AB1054" s="1">
        <f t="shared" si="1486"/>
        <v>0</v>
      </c>
      <c r="AC1054" s="1">
        <f t="shared" si="1487"/>
        <v>0</v>
      </c>
      <c r="AD1054" s="1">
        <f>ROUNDDOWN(I1054*(1+IF(F1054=3,0.05+方案参数!$Y$32+AA1054*0.12,IF(F1054=4,方案参数!$BZ$32*方案参数!$AS$32,0)))+IF(AND(X1054=1,F1054&lt;&gt;3),方案参数!$CC$32,0)+AC1054*方案参数!$CB$32,0)</f>
        <v>2544</v>
      </c>
      <c r="AE1054" s="1">
        <f>IF(OR(F1054=1,F1054=4),配置与结果!$B$24,配置与结果!$B$25)*MAX(0,1-INDEX(配置与结果!$I$15:$I$18,F1054))</f>
        <v>1000</v>
      </c>
      <c r="AF1054" s="1">
        <f>方案参数!$BS$32*IF(H1054=1,1,IF(H1054=2,1.5,2.5))</f>
        <v>2.8</v>
      </c>
      <c r="AG1054" s="1">
        <f>MAX(配置与结果!$B$32,1+INDEX(配置与结果!$F$15:$F$18,F1054)+0+Q1054*方案参数!$W$32+Y1054*(方案参数!$AN$32+MIN(方案参数!$AO$32,P1054*0.03))+AB1054*方案参数!$BZ$32*0.025-配置与结果!$B$28)</f>
        <v>0.8849999999999999</v>
      </c>
      <c r="AH1054" s="1">
        <f>MAX(0,1+INDEX(配置与结果!$G$15:$G$18,F1054)+W1054*方案参数!$AG$32)</f>
        <v>1.3</v>
      </c>
      <c r="AI1054" s="1">
        <f>IF(OR(INDEX(配置与结果!$K$15:$K$18,F1054)=1,G1054="RHI_BERRY"),1+配置与结果!$B$33+P1054*方案参数!$AH$32,1)</f>
        <v>1</v>
      </c>
      <c r="AJ1054" s="1">
        <f>MIN(1,MAX(0,J1054+方案参数!$AB$32-配置与结果!$B$27))</f>
        <v>0.76</v>
      </c>
      <c r="AK1054" s="1">
        <f>MAX(1,K1054+IF(F1054=2,0.15+方案参数!$CH$32,0)+BN1054*方案参数!$X$32+R1054*方案参数!$AA$32+0-配置与结果!$B$26+Z1054*(方案参数!$AP$32+MIN(方案参数!$AQ$32,P1054*0.03)))</f>
        <v>1.9780000000000002</v>
      </c>
      <c r="AL1054" s="7">
        <f>ROUNDDOWN(MAX(AD1054*配置与结果!$B$31,AD1054-AE1054)*AF1054*AG1054*AH1054*AI1054,0)</f>
        <v>4973</v>
      </c>
      <c r="AM1054" s="7">
        <f>ROUNDDOWN(MAX(AD1054*配置与结果!$B$31,AD1054-AE1054)*AF1054*AG1054*AH1054*AI1054*AK1054,0)</f>
        <v>9838</v>
      </c>
      <c r="AN1054" s="7">
        <f t="shared" si="1460"/>
        <v>8670.4</v>
      </c>
      <c r="AO1054" s="7">
        <f>方案参数!$BU$32*IF(H1054=1,1,IF(H1054=2,1.5,2.5))</f>
        <v>0.8</v>
      </c>
      <c r="AP1054" s="7">
        <f>MAX(0,1+INDEX(配置与结果!$J$15:$J$18,F1054)+IF(T1054&gt;0,方案参数!$BY$32,0)-配置与结果!$B$30)</f>
        <v>1</v>
      </c>
      <c r="AQ1054" s="7">
        <f t="shared" si="1461"/>
        <v>2035</v>
      </c>
      <c r="AR1054" s="7">
        <f t="shared" si="1462"/>
        <v>4025</v>
      </c>
      <c r="AS1054" s="7">
        <f t="shared" si="1463"/>
        <v>3547.4</v>
      </c>
      <c r="AT1054" s="7">
        <f>0</f>
        <v>0</v>
      </c>
      <c r="AU1054" s="7">
        <f t="shared" si="1464"/>
        <v>12217.8</v>
      </c>
      <c r="AV1054" s="1">
        <f t="shared" si="1465"/>
        <v>1</v>
      </c>
      <c r="AW1054" s="1">
        <f>MIN(10,M1054+0+0)</f>
        <v>4</v>
      </c>
      <c r="AX1054" s="1">
        <f t="shared" si="1466"/>
        <v>0</v>
      </c>
      <c r="AY1054" s="1">
        <f t="shared" si="1495"/>
        <v>6</v>
      </c>
      <c r="AZ1054" s="1">
        <f t="shared" si="1467"/>
        <v>3</v>
      </c>
      <c r="BA1054" s="1">
        <f>MIN(6,Q1054+0)</f>
        <v>2</v>
      </c>
      <c r="BB1054" s="1">
        <f t="shared" si="1488"/>
        <v>5</v>
      </c>
      <c r="BC1054" s="1">
        <f t="shared" si="1469"/>
        <v>0</v>
      </c>
      <c r="BD1054" s="1">
        <f>MAX(0,T1054-IF(AO1054&gt;0,1,0))+1</f>
        <v>1</v>
      </c>
      <c r="BE1054" s="1">
        <f t="shared" si="1489"/>
        <v>0</v>
      </c>
      <c r="BF1054" s="1">
        <f t="shared" si="1473"/>
        <v>0</v>
      </c>
      <c r="BG1054" s="1">
        <f t="shared" si="1493"/>
        <v>1</v>
      </c>
      <c r="BH1054" s="1">
        <f t="shared" si="1490"/>
        <v>1</v>
      </c>
      <c r="BI1054" s="1">
        <f t="shared" si="1494"/>
        <v>1</v>
      </c>
      <c r="BJ1054" s="1">
        <f t="shared" si="1456"/>
        <v>0</v>
      </c>
      <c r="BK1054" s="1">
        <f t="shared" si="1457"/>
        <v>0</v>
      </c>
      <c r="BL1054" s="1">
        <f t="shared" si="1470"/>
        <v>0</v>
      </c>
      <c r="BM1054" s="1">
        <f t="shared" si="1468"/>
        <v>0</v>
      </c>
      <c r="BN1054" s="1">
        <f t="shared" si="1491"/>
        <v>1</v>
      </c>
      <c r="BO1054" s="1">
        <f t="shared" si="1492"/>
        <v>1</v>
      </c>
    </row>
    <row r="1055" spans="1:67" ht="30.95" customHeight="1">
      <c r="A1055" s="1">
        <f>29</f>
        <v>29</v>
      </c>
      <c r="B1055" s="1">
        <f>固定流程!A11</f>
        <v>6</v>
      </c>
      <c r="C1055" s="1">
        <f>32</f>
        <v>32</v>
      </c>
      <c r="D1055" s="1">
        <f>1</f>
        <v>1</v>
      </c>
      <c r="E1055" s="1">
        <f>固定流程!C11</f>
        <v>1</v>
      </c>
      <c r="F1055" s="1">
        <f>固定流程!G11</f>
        <v>2</v>
      </c>
      <c r="G1055" s="1" t="str">
        <f>固定流程!H11</f>
        <v>37_FOLLOW</v>
      </c>
      <c r="H1055" s="1">
        <f>固定流程!F11</f>
        <v>1</v>
      </c>
      <c r="I1055" s="1">
        <f>INDEX(配置与结果!$B$15:$B$18,F1055)</f>
        <v>2306</v>
      </c>
      <c r="J1055" s="1">
        <f>INDEX(配置与结果!$D$15:$D$18,F1055)</f>
        <v>0.46</v>
      </c>
      <c r="K1055" s="1">
        <f>INDEX(配置与结果!$E$15:$E$18,F1055)</f>
        <v>1.9279999999999999</v>
      </c>
      <c r="L1055" s="1">
        <f t="shared" si="1474"/>
        <v>1</v>
      </c>
      <c r="M1055" s="1">
        <f t="shared" si="1474"/>
        <v>4</v>
      </c>
      <c r="N1055" s="1">
        <f t="shared" si="1474"/>
        <v>0</v>
      </c>
      <c r="O1055" s="1">
        <f t="shared" si="1474"/>
        <v>6</v>
      </c>
      <c r="P1055" s="1">
        <f>MIN(方案参数!$AI$32,AZ1054+0+0)</f>
        <v>3</v>
      </c>
      <c r="Q1055" s="1">
        <f t="shared" si="1475"/>
        <v>2</v>
      </c>
      <c r="R1055" s="1">
        <f t="shared" si="1476"/>
        <v>5</v>
      </c>
      <c r="S1055" s="1">
        <f t="shared" si="1477"/>
        <v>0</v>
      </c>
      <c r="T1055" s="1">
        <f t="shared" si="1478"/>
        <v>1</v>
      </c>
      <c r="U1055" s="1">
        <f t="shared" si="1479"/>
        <v>0</v>
      </c>
      <c r="V1055" s="1">
        <f t="shared" si="1480"/>
        <v>0</v>
      </c>
      <c r="W1055" s="1">
        <f t="shared" si="1481"/>
        <v>1</v>
      </c>
      <c r="X1055" s="1">
        <f t="shared" si="1482"/>
        <v>1</v>
      </c>
      <c r="Y1055" s="1">
        <f t="shared" si="1483"/>
        <v>1</v>
      </c>
      <c r="Z1055" s="1">
        <f t="shared" si="1484"/>
        <v>0</v>
      </c>
      <c r="AA1055" s="1">
        <f t="shared" si="1485"/>
        <v>0</v>
      </c>
      <c r="AB1055" s="1">
        <f t="shared" si="1486"/>
        <v>0</v>
      </c>
      <c r="AC1055" s="1">
        <f t="shared" si="1487"/>
        <v>0</v>
      </c>
      <c r="AD1055" s="1">
        <f>ROUNDDOWN(I1055*(1+IF(F1055=3,0.05+方案参数!$Y$32+AA1055*0.12,IF(F1055=4,方案参数!$BZ$32*方案参数!$AS$32,0)))+IF(AND(X1055=1,F1055&lt;&gt;3),方案参数!$CC$32,0)+AC1055*方案参数!$CB$32,0)</f>
        <v>2544</v>
      </c>
      <c r="AE1055" s="1">
        <f>IF(OR(F1055=1,F1055=4),配置与结果!$B$24,配置与结果!$B$25)*MAX(0,1-INDEX(配置与结果!$I$15:$I$18,F1055))</f>
        <v>1000</v>
      </c>
      <c r="AF1055" s="1">
        <f>方案参数!$BV$32</f>
        <v>3</v>
      </c>
      <c r="AG1055" s="1">
        <f>MAX(配置与结果!$B$32,1+INDEX(配置与结果!$F$15:$F$18,F1055)+0+Q1055*方案参数!$W$32+Y1055*(方案参数!$AN$32+MIN(方案参数!$AO$32,P1055*0.03))+AB1055*方案参数!$BZ$32*0.025-配置与结果!$B$28)</f>
        <v>0.8849999999999999</v>
      </c>
      <c r="AH1055" s="1">
        <f>MAX(0,1+INDEX(配置与结果!$G$15:$G$18,F1055)+W1055*方案参数!$AG$32)</f>
        <v>1.3</v>
      </c>
      <c r="AI1055" s="1">
        <f>IF(OR(INDEX(配置与结果!$K$15:$K$18,F1055)=1,G1055="RHI_BERRY"),1+配置与结果!$B$33+P1055*方案参数!$AH$32,1)</f>
        <v>1</v>
      </c>
      <c r="AJ1055" s="1">
        <f>MIN(1,MAX(0,J1055+方案参数!$AB$32-配置与结果!$B$27))</f>
        <v>0.76</v>
      </c>
      <c r="AK1055" s="1">
        <f>MAX(1,K1055+IF(F1055=2,0.15+方案参数!$CH$32,0)+BN1055*方案参数!$X$32+R1055*方案参数!$AA$32+0-配置与结果!$B$26+Z1055*(方案参数!$AP$32+MIN(方案参数!$AQ$32,P1055*0.03)))</f>
        <v>1.9780000000000002</v>
      </c>
      <c r="AL1055" s="7">
        <f>ROUNDDOWN(MAX(AD1055*配置与结果!$B$31,AD1055-AE1055)*AF1055*AG1055*AH1055*AI1055,0)</f>
        <v>5329</v>
      </c>
      <c r="AM1055" s="7">
        <f>ROUNDDOWN(MAX(AD1055*配置与结果!$B$31,AD1055-AE1055)*AF1055*AG1055*AH1055*AI1055*AK1055,0)</f>
        <v>10540</v>
      </c>
      <c r="AN1055" s="7">
        <f t="shared" si="1460"/>
        <v>9289.36</v>
      </c>
      <c r="AO1055" s="7">
        <f>方案参数!$BW$32</f>
        <v>1</v>
      </c>
      <c r="AP1055" s="7">
        <f>MAX(0,1+INDEX(配置与结果!$J$15:$J$18,F1055)+IF(T1055&gt;0,方案参数!$BY$32,0)-配置与结果!$B$30)</f>
        <v>2</v>
      </c>
      <c r="AQ1055" s="7">
        <f t="shared" si="1461"/>
        <v>5088</v>
      </c>
      <c r="AR1055" s="7">
        <f t="shared" si="1462"/>
        <v>10064</v>
      </c>
      <c r="AS1055" s="7">
        <f t="shared" si="1463"/>
        <v>8869.76</v>
      </c>
      <c r="AT1055" s="7">
        <f>0</f>
        <v>0</v>
      </c>
      <c r="AU1055" s="7">
        <f t="shared" si="1464"/>
        <v>18159.120000000003</v>
      </c>
      <c r="AV1055" s="1">
        <f t="shared" si="1465"/>
        <v>1</v>
      </c>
      <c r="AW1055" s="1">
        <f>MIN(10,M1055+0+0)</f>
        <v>4</v>
      </c>
      <c r="AX1055" s="1">
        <f t="shared" si="1466"/>
        <v>0</v>
      </c>
      <c r="AY1055" s="1">
        <f t="shared" si="1495"/>
        <v>6</v>
      </c>
      <c r="AZ1055" s="1">
        <f t="shared" si="1467"/>
        <v>3</v>
      </c>
      <c r="BA1055" s="1">
        <f>MIN(6,Q1055+0)</f>
        <v>2</v>
      </c>
      <c r="BB1055" s="1">
        <f t="shared" si="1488"/>
        <v>5</v>
      </c>
      <c r="BC1055" s="1">
        <f t="shared" si="1469"/>
        <v>0</v>
      </c>
      <c r="BD1055" s="1">
        <f t="shared" ref="BD1055:BD1089" si="1496">MAX(0,T1055-IF(AO1055&gt;0,1,0))+0</f>
        <v>0</v>
      </c>
      <c r="BE1055" s="1">
        <f t="shared" si="1489"/>
        <v>0</v>
      </c>
      <c r="BF1055" s="1">
        <f>MIN(4,V1055+1)</f>
        <v>1</v>
      </c>
      <c r="BG1055" s="1">
        <f t="shared" si="1493"/>
        <v>1</v>
      </c>
      <c r="BH1055" s="1">
        <f t="shared" si="1490"/>
        <v>1</v>
      </c>
      <c r="BI1055" s="1">
        <f t="shared" si="1494"/>
        <v>1</v>
      </c>
      <c r="BJ1055" s="1">
        <f t="shared" si="1456"/>
        <v>0</v>
      </c>
      <c r="BK1055" s="1">
        <f t="shared" si="1457"/>
        <v>0</v>
      </c>
      <c r="BL1055" s="1">
        <f t="shared" si="1470"/>
        <v>0</v>
      </c>
      <c r="BM1055" s="1">
        <f t="shared" si="1468"/>
        <v>0</v>
      </c>
      <c r="BN1055" s="1">
        <f t="shared" si="1491"/>
        <v>1</v>
      </c>
      <c r="BO1055" s="1">
        <f t="shared" si="1492"/>
        <v>1</v>
      </c>
    </row>
    <row r="1056" spans="1:67" ht="30.95" customHeight="1">
      <c r="A1056" s="1">
        <f>29</f>
        <v>29</v>
      </c>
      <c r="B1056" s="1">
        <f>固定流程!A12</f>
        <v>7</v>
      </c>
      <c r="C1056" s="1">
        <f>32</f>
        <v>32</v>
      </c>
      <c r="D1056" s="1">
        <f>1</f>
        <v>1</v>
      </c>
      <c r="E1056" s="1">
        <f>固定流程!C12</f>
        <v>1</v>
      </c>
      <c r="F1056" s="1">
        <f>固定流程!G12</f>
        <v>4</v>
      </c>
      <c r="G1056" s="1" t="str">
        <f>固定流程!H12</f>
        <v>J_HARD</v>
      </c>
      <c r="H1056" s="1">
        <f>固定流程!F12</f>
        <v>1</v>
      </c>
      <c r="I1056" s="1">
        <f>INDEX(配置与结果!$B$15:$B$18,F1056)</f>
        <v>1906</v>
      </c>
      <c r="J1056" s="1">
        <f>INDEX(配置与结果!$D$15:$D$18,F1056)</f>
        <v>0.36699999999999999</v>
      </c>
      <c r="K1056" s="1">
        <f>INDEX(配置与结果!$E$15:$E$18,F1056)</f>
        <v>1.7170000000000001</v>
      </c>
      <c r="L1056" s="1">
        <f t="shared" si="1474"/>
        <v>1</v>
      </c>
      <c r="M1056" s="1">
        <f t="shared" si="1474"/>
        <v>4</v>
      </c>
      <c r="N1056" s="1">
        <f t="shared" si="1474"/>
        <v>0</v>
      </c>
      <c r="O1056" s="1">
        <f t="shared" si="1474"/>
        <v>6</v>
      </c>
      <c r="P1056" s="1">
        <f>MIN(方案参数!$AI$32,AZ1055+0+0)</f>
        <v>3</v>
      </c>
      <c r="Q1056" s="1">
        <f t="shared" si="1475"/>
        <v>2</v>
      </c>
      <c r="R1056" s="1">
        <f t="shared" si="1476"/>
        <v>5</v>
      </c>
      <c r="S1056" s="1">
        <f t="shared" si="1477"/>
        <v>0</v>
      </c>
      <c r="T1056" s="1">
        <f t="shared" si="1478"/>
        <v>0</v>
      </c>
      <c r="U1056" s="1">
        <f t="shared" si="1479"/>
        <v>0</v>
      </c>
      <c r="V1056" s="1">
        <f t="shared" si="1480"/>
        <v>1</v>
      </c>
      <c r="W1056" s="1">
        <f t="shared" si="1481"/>
        <v>1</v>
      </c>
      <c r="X1056" s="1">
        <f t="shared" si="1482"/>
        <v>1</v>
      </c>
      <c r="Y1056" s="1">
        <f t="shared" si="1483"/>
        <v>1</v>
      </c>
      <c r="Z1056" s="1">
        <f t="shared" si="1484"/>
        <v>0</v>
      </c>
      <c r="AA1056" s="1">
        <f t="shared" si="1485"/>
        <v>0</v>
      </c>
      <c r="AB1056" s="1">
        <f t="shared" si="1486"/>
        <v>0</v>
      </c>
      <c r="AC1056" s="1">
        <f t="shared" si="1487"/>
        <v>0</v>
      </c>
      <c r="AD1056" s="1">
        <f>ROUNDDOWN(I1056*(1+IF(F1056=3,0.05+方案参数!$Y$32+AA1056*0.12,IF(F1056=4,方案参数!$BZ$32*方案参数!$AS$32,0)))+IF(AND(X1056=1,F1056&lt;&gt;3),方案参数!$CC$32,0)+AC1056*方案参数!$CB$32,0)</f>
        <v>2811</v>
      </c>
      <c r="AE1056" s="1">
        <f>IF(OR(F1056=1,F1056=4),配置与结果!$B$24,配置与结果!$B$25)*MAX(0,1-INDEX(配置与结果!$I$15:$I$18,F1056))</f>
        <v>1200</v>
      </c>
      <c r="AF1056" s="1">
        <f>3.6*IF(H1056=1,1,IF(H1056=2,1.5,2.5))</f>
        <v>3.6</v>
      </c>
      <c r="AG1056" s="1">
        <f>MAX(配置与结果!$B$32,1+INDEX(配置与结果!$F$15:$F$18,F1056)+0.08+Q1056*方案参数!$W$32+Y1056*(方案参数!$AN$32+MIN(方案参数!$AO$32,P1056*0.03))+AB1056*方案参数!$BZ$32*0.025+0.1+IF(方案参数!$BZ$32&gt;=30,方案参数!$BZ$32*0.01,0)-配置与结果!$B$28)</f>
        <v>1.4350000000000001</v>
      </c>
      <c r="AH1056" s="1">
        <f>MAX(0,1+INDEX(配置与结果!$G$15:$G$18,F1056)+W1056*方案参数!$AG$32)</f>
        <v>1.3</v>
      </c>
      <c r="AI1056" s="1">
        <f>IF(OR(INDEX(配置与结果!$K$15:$K$18,F1056)=1,G1056="RHI_BERRY"),1+配置与结果!$B$33+P1056*方案参数!$AH$32,1)</f>
        <v>1</v>
      </c>
      <c r="AJ1056" s="1">
        <f>MIN(1,MAX(0,J1056+方案参数!$AB$32-配置与结果!$B$27))</f>
        <v>0.66700000000000004</v>
      </c>
      <c r="AK1056" s="1">
        <f>MAX(1,K1056+IF(F1056=2,0.15+方案参数!$CH$32,0)+BN1056*方案参数!$X$32+R1056*方案参数!$AA$32+0-配置与结果!$B$26+Z1056*(方案参数!$AP$32+MIN(方案参数!$AQ$32,P1056*0.03)))</f>
        <v>1.4969999999999999</v>
      </c>
      <c r="AL1056" s="7">
        <f>ROUNDDOWN(MAX(AD1056*配置与结果!$B$31,AD1056-AE1056)*AF1056*AG1056*AH1056*AI1056,0)</f>
        <v>10819</v>
      </c>
      <c r="AM1056" s="7">
        <f>ROUNDDOWN(MAX(AD1056*配置与结果!$B$31,AD1056-AE1056)*AF1056*AG1056*AH1056*AI1056*AK1056,0)</f>
        <v>16196</v>
      </c>
      <c r="AN1056" s="7">
        <f t="shared" si="1460"/>
        <v>14405.458999999999</v>
      </c>
      <c r="AO1056" s="7">
        <f>0</f>
        <v>0</v>
      </c>
      <c r="AP1056" s="7">
        <f>MAX(0,1+INDEX(配置与结果!$J$15:$J$18,F1056)+IF(T1056&gt;0,方案参数!$BY$32,0)-配置与结果!$B$30)</f>
        <v>1</v>
      </c>
      <c r="AQ1056" s="7">
        <f t="shared" si="1461"/>
        <v>0</v>
      </c>
      <c r="AR1056" s="7">
        <f t="shared" si="1462"/>
        <v>0</v>
      </c>
      <c r="AS1056" s="7">
        <f t="shared" si="1463"/>
        <v>0</v>
      </c>
      <c r="AT1056" s="7">
        <f>0</f>
        <v>0</v>
      </c>
      <c r="AU1056" s="7">
        <f t="shared" si="1464"/>
        <v>14405.458999999999</v>
      </c>
      <c r="AV1056" s="1">
        <f t="shared" si="1465"/>
        <v>1</v>
      </c>
      <c r="AW1056" s="1">
        <f>MIN(10,M1056+0+0)</f>
        <v>4</v>
      </c>
      <c r="AX1056" s="1">
        <f t="shared" si="1466"/>
        <v>0</v>
      </c>
      <c r="AY1056" s="1">
        <f t="shared" si="1495"/>
        <v>6</v>
      </c>
      <c r="AZ1056" s="1">
        <f t="shared" si="1467"/>
        <v>3</v>
      </c>
      <c r="BA1056" s="1">
        <f>MIN(6,Q1056+0)</f>
        <v>2</v>
      </c>
      <c r="BB1056" s="1">
        <f t="shared" si="1488"/>
        <v>5</v>
      </c>
      <c r="BC1056" s="1">
        <f>MIN(3,S1056+1)</f>
        <v>1</v>
      </c>
      <c r="BD1056" s="1">
        <f t="shared" si="1496"/>
        <v>0</v>
      </c>
      <c r="BE1056" s="1">
        <f t="shared" si="1489"/>
        <v>0</v>
      </c>
      <c r="BF1056" s="1">
        <f>MIN(4,V1056+0)</f>
        <v>1</v>
      </c>
      <c r="BG1056" s="1">
        <f t="shared" si="1493"/>
        <v>1</v>
      </c>
      <c r="BH1056" s="1">
        <f t="shared" si="1490"/>
        <v>1</v>
      </c>
      <c r="BI1056" s="1">
        <f t="shared" si="1494"/>
        <v>1</v>
      </c>
      <c r="BJ1056" s="1">
        <f t="shared" si="1456"/>
        <v>0</v>
      </c>
      <c r="BK1056" s="1">
        <f t="shared" si="1457"/>
        <v>0</v>
      </c>
      <c r="BL1056" s="1">
        <f t="shared" si="1470"/>
        <v>0</v>
      </c>
      <c r="BM1056" s="1">
        <f t="shared" si="1468"/>
        <v>0</v>
      </c>
      <c r="BN1056" s="1">
        <f t="shared" si="1491"/>
        <v>1</v>
      </c>
      <c r="BO1056" s="1">
        <f t="shared" si="1492"/>
        <v>1</v>
      </c>
    </row>
    <row r="1057" spans="1:67" ht="30.95" customHeight="1">
      <c r="A1057" s="1">
        <f>29</f>
        <v>29</v>
      </c>
      <c r="B1057" s="1">
        <f>固定流程!A13</f>
        <v>8</v>
      </c>
      <c r="C1057" s="1">
        <f>32</f>
        <v>32</v>
      </c>
      <c r="D1057" s="1">
        <f>1</f>
        <v>1</v>
      </c>
      <c r="E1057" s="1">
        <f>固定流程!C13</f>
        <v>2</v>
      </c>
      <c r="F1057" s="1">
        <f>固定流程!G13</f>
        <v>3</v>
      </c>
      <c r="G1057" s="1" t="str">
        <f>固定流程!H13</f>
        <v>RHI_ATTACK</v>
      </c>
      <c r="H1057" s="1">
        <f>固定流程!F13</f>
        <v>1</v>
      </c>
      <c r="I1057" s="1">
        <f>INDEX(配置与结果!$B$15:$B$18,F1057)</f>
        <v>2597</v>
      </c>
      <c r="J1057" s="1">
        <f>INDEX(配置与结果!$D$15:$D$18,F1057)</f>
        <v>0.255</v>
      </c>
      <c r="K1057" s="1">
        <f>INDEX(配置与结果!$E$15:$E$18,F1057)</f>
        <v>1.55</v>
      </c>
      <c r="L1057" s="1">
        <f>IF(AV1056=1,IF(M1057&gt;=10,2,1),IF(AV1056=2,IF(AX1056&lt;=1,0,2),0))</f>
        <v>1</v>
      </c>
      <c r="M1057" s="1">
        <f>IF(AND(AV1056=2,AX1056&lt;=1),0,MIN(10,AW1056+IF(AV1056=1,3,0)))</f>
        <v>7</v>
      </c>
      <c r="N1057" s="1">
        <f>IF(AND(AV1056=1,M1057&gt;=10),2,IF(AV1056=2,MAX(0,AX1056-1),0))</f>
        <v>0</v>
      </c>
      <c r="O1057" s="1">
        <f t="shared" ref="O1057:O1085" si="1497">AY1056</f>
        <v>6</v>
      </c>
      <c r="P1057" s="1">
        <f>MIN(方案参数!$AI$32,AZ1056+方案参数!$AJ$32+方案参数!$AK$32)</f>
        <v>5</v>
      </c>
      <c r="Q1057" s="1">
        <f t="shared" si="1475"/>
        <v>2</v>
      </c>
      <c r="R1057" s="1">
        <f t="shared" si="1476"/>
        <v>5</v>
      </c>
      <c r="S1057" s="1">
        <f t="shared" si="1477"/>
        <v>1</v>
      </c>
      <c r="T1057" s="1">
        <f t="shared" si="1478"/>
        <v>0</v>
      </c>
      <c r="U1057" s="1">
        <f t="shared" si="1479"/>
        <v>0</v>
      </c>
      <c r="V1057" s="1">
        <f t="shared" si="1480"/>
        <v>1</v>
      </c>
      <c r="W1057" s="1">
        <f t="shared" si="1481"/>
        <v>1</v>
      </c>
      <c r="X1057" s="1">
        <f t="shared" si="1482"/>
        <v>1</v>
      </c>
      <c r="Y1057" s="1">
        <f t="shared" si="1483"/>
        <v>1</v>
      </c>
      <c r="Z1057" s="1">
        <f t="shared" si="1484"/>
        <v>0</v>
      </c>
      <c r="AA1057" s="1">
        <f>MAX(BK1056,1)</f>
        <v>1</v>
      </c>
      <c r="AB1057" s="1">
        <f t="shared" si="1486"/>
        <v>0</v>
      </c>
      <c r="AC1057" s="1">
        <f t="shared" si="1487"/>
        <v>0</v>
      </c>
      <c r="AD1057" s="1">
        <f>ROUNDDOWN(I1057*(1+IF(F1057=3,0.05+方案参数!$Y$32+AA1057*0.12,IF(F1057=4,方案参数!$BZ$32*方案参数!$AS$32,0)))+IF(AND(X1057=1,F1057&lt;&gt;3),方案参数!$CC$32,0)+AC1057*方案参数!$CB$32,0)</f>
        <v>3298</v>
      </c>
      <c r="AE1057" s="1">
        <f>IF(OR(F1057=1,F1057=4),配置与结果!$B$24,配置与结果!$B$25)*MAX(0,1-INDEX(配置与结果!$I$15:$I$18,F1057))</f>
        <v>1000</v>
      </c>
      <c r="AF1057" s="1">
        <f>4</f>
        <v>4</v>
      </c>
      <c r="AG1057" s="1">
        <f>MAX(配置与结果!$B$32,1+INDEX(配置与结果!$F$15:$F$18,F1057)+0+Q1057*方案参数!$W$32+Y1057*(方案参数!$AN$32+MIN(方案参数!$AO$32,P1057*0.03))+AB1057*方案参数!$BZ$32*0.025-配置与结果!$B$28)</f>
        <v>0.97499999999999998</v>
      </c>
      <c r="AH1057" s="1">
        <f>MAX(0,1+INDEX(配置与结果!$G$15:$G$18,F1057)+W1057*方案参数!$AG$32)</f>
        <v>1.3</v>
      </c>
      <c r="AI1057" s="1">
        <f>IF(OR(INDEX(配置与结果!$K$15:$K$18,F1057)=1,G1057="RHI_BERRY"),1+配置与结果!$B$33+P1057*方案参数!$AH$32,1)</f>
        <v>1</v>
      </c>
      <c r="AJ1057" s="1">
        <f>MIN(1,MAX(0,J1057+方案参数!$AB$32-配置与结果!$B$27))</f>
        <v>0.55499999999999994</v>
      </c>
      <c r="AK1057" s="1">
        <f>MAX(1,K1057+IF(F1057=2,0.15+方案参数!$CH$32,0)+BN1057*方案参数!$X$32+R1057*方案参数!$AA$32+0-配置与结果!$B$26+Z1057*(方案参数!$AP$32+MIN(方案参数!$AQ$32,P1057*0.03)))</f>
        <v>1.33</v>
      </c>
      <c r="AL1057" s="7">
        <f>ROUNDDOWN(MAX(AD1057*配置与结果!$B$31,AD1057-AE1057)*AF1057*AG1057*AH1057*AI1057,0)</f>
        <v>11650</v>
      </c>
      <c r="AM1057" s="7">
        <f>ROUNDDOWN(MAX(AD1057*配置与结果!$B$31,AD1057-AE1057)*AF1057*AG1057*AH1057*AI1057*AK1057,0)</f>
        <v>15495</v>
      </c>
      <c r="AN1057" s="7">
        <f t="shared" si="1460"/>
        <v>13783.974999999999</v>
      </c>
      <c r="AO1057" s="7">
        <f>0</f>
        <v>0</v>
      </c>
      <c r="AP1057" s="7">
        <f>MAX(0,1+INDEX(配置与结果!$J$15:$J$18,F1057)+IF(T1057&gt;0,方案参数!$BY$32,0)-配置与结果!$B$30)</f>
        <v>1</v>
      </c>
      <c r="AQ1057" s="7">
        <f t="shared" si="1461"/>
        <v>0</v>
      </c>
      <c r="AR1057" s="7">
        <f t="shared" si="1462"/>
        <v>0</v>
      </c>
      <c r="AS1057" s="7">
        <f t="shared" si="1463"/>
        <v>0</v>
      </c>
      <c r="AT1057" s="7">
        <f>0</f>
        <v>0</v>
      </c>
      <c r="AU1057" s="7">
        <f t="shared" si="1464"/>
        <v>13783.974999999999</v>
      </c>
      <c r="AV1057" s="1">
        <f t="shared" si="1465"/>
        <v>1</v>
      </c>
      <c r="AW1057" s="1">
        <f>MIN(10,M1057+0+0)</f>
        <v>7</v>
      </c>
      <c r="AX1057" s="1">
        <f t="shared" si="1466"/>
        <v>0</v>
      </c>
      <c r="AY1057" s="1">
        <f t="shared" si="1495"/>
        <v>6</v>
      </c>
      <c r="AZ1057" s="1">
        <f t="shared" si="1467"/>
        <v>5</v>
      </c>
      <c r="BA1057" s="1">
        <f>MIN(6,Q1057+1)</f>
        <v>3</v>
      </c>
      <c r="BB1057" s="1">
        <f t="shared" si="1488"/>
        <v>5</v>
      </c>
      <c r="BC1057" s="1">
        <f>MIN(3,S1057+0)</f>
        <v>1</v>
      </c>
      <c r="BD1057" s="1">
        <f t="shared" si="1496"/>
        <v>0</v>
      </c>
      <c r="BE1057" s="1">
        <f t="shared" si="1489"/>
        <v>0</v>
      </c>
      <c r="BF1057" s="1">
        <f>MIN(4,V1057+0)</f>
        <v>1</v>
      </c>
      <c r="BG1057" s="1">
        <f t="shared" si="1493"/>
        <v>1</v>
      </c>
      <c r="BH1057" s="1">
        <f t="shared" si="1490"/>
        <v>1</v>
      </c>
      <c r="BI1057" s="1">
        <f t="shared" si="1494"/>
        <v>1</v>
      </c>
      <c r="BJ1057" s="1">
        <f>MAX(Z1057,1)</f>
        <v>1</v>
      </c>
      <c r="BK1057" s="1">
        <f>MAX(AA1057,1)</f>
        <v>1</v>
      </c>
      <c r="BL1057" s="1">
        <f t="shared" si="1470"/>
        <v>0</v>
      </c>
      <c r="BM1057" s="1">
        <f t="shared" si="1468"/>
        <v>0</v>
      </c>
      <c r="BN1057" s="1">
        <f t="shared" si="1491"/>
        <v>1</v>
      </c>
      <c r="BO1057" s="1">
        <f t="shared" si="1492"/>
        <v>1</v>
      </c>
    </row>
    <row r="1058" spans="1:67" ht="30.95" customHeight="1">
      <c r="A1058" s="1">
        <f>29</f>
        <v>29</v>
      </c>
      <c r="B1058" s="1">
        <f>固定流程!A14</f>
        <v>9</v>
      </c>
      <c r="C1058" s="1">
        <f>32</f>
        <v>32</v>
      </c>
      <c r="D1058" s="1">
        <f>1</f>
        <v>1</v>
      </c>
      <c r="E1058" s="1">
        <f>固定流程!C14</f>
        <v>2</v>
      </c>
      <c r="F1058" s="1">
        <f>固定流程!G14</f>
        <v>1</v>
      </c>
      <c r="G1058" s="1" t="str">
        <f>固定流程!H14</f>
        <v>LILYA_DIVE</v>
      </c>
      <c r="H1058" s="1">
        <f>固定流程!F14</f>
        <v>3</v>
      </c>
      <c r="I1058" s="1">
        <f>INDEX(配置与结果!$B$15:$B$18,F1058)</f>
        <v>2296</v>
      </c>
      <c r="J1058" s="1">
        <f>INDEX(配置与结果!$D$15:$D$18,F1058)</f>
        <v>0.7</v>
      </c>
      <c r="K1058" s="1">
        <f>INDEX(配置与结果!$E$15:$E$18,F1058)</f>
        <v>2.0249999999999999</v>
      </c>
      <c r="L1058" s="1">
        <f t="shared" ref="L1058:N1062" si="1498">AV1057</f>
        <v>1</v>
      </c>
      <c r="M1058" s="1">
        <f t="shared" si="1498"/>
        <v>7</v>
      </c>
      <c r="N1058" s="1">
        <f t="shared" si="1498"/>
        <v>0</v>
      </c>
      <c r="O1058" s="1">
        <f t="shared" si="1497"/>
        <v>6</v>
      </c>
      <c r="P1058" s="1">
        <f>MIN(方案参数!$AI$32,AZ1057+0+0)</f>
        <v>5</v>
      </c>
      <c r="Q1058" s="1">
        <f t="shared" si="1475"/>
        <v>3</v>
      </c>
      <c r="R1058" s="1">
        <f t="shared" si="1476"/>
        <v>5</v>
      </c>
      <c r="S1058" s="1">
        <f t="shared" si="1477"/>
        <v>1</v>
      </c>
      <c r="T1058" s="1">
        <f t="shared" si="1478"/>
        <v>0</v>
      </c>
      <c r="U1058" s="1">
        <f t="shared" si="1479"/>
        <v>0</v>
      </c>
      <c r="V1058" s="1">
        <f t="shared" si="1480"/>
        <v>1</v>
      </c>
      <c r="W1058" s="1">
        <f t="shared" si="1481"/>
        <v>1</v>
      </c>
      <c r="X1058" s="1">
        <f t="shared" si="1482"/>
        <v>1</v>
      </c>
      <c r="Y1058" s="1">
        <f t="shared" si="1483"/>
        <v>1</v>
      </c>
      <c r="Z1058" s="1">
        <f t="shared" si="1484"/>
        <v>1</v>
      </c>
      <c r="AA1058" s="1">
        <f t="shared" ref="AA1058:AA1063" si="1499">MAX(BK1057,0)</f>
        <v>1</v>
      </c>
      <c r="AB1058" s="1">
        <f t="shared" si="1486"/>
        <v>0</v>
      </c>
      <c r="AC1058" s="1">
        <f t="shared" si="1487"/>
        <v>0</v>
      </c>
      <c r="AD1058" s="1">
        <f>ROUNDDOWN(I1058*(1+IF(F1058=3,0.05+方案参数!$Y$32+AA1058*0.12,IF(F1058=4,方案参数!$BZ$32*方案参数!$AS$32,0)))+IF(AND(X1058=1,F1058&lt;&gt;3),方案参数!$CC$32,0)+AC1058*方案参数!$CB$32,0)</f>
        <v>2534</v>
      </c>
      <c r="AE1058" s="1">
        <f>IF(OR(F1058=1,F1058=4),配置与结果!$B$24,配置与结果!$B$25)*MAX(0,1-INDEX(配置与结果!$I$15:$I$18,F1058))</f>
        <v>1200</v>
      </c>
      <c r="AF1058" s="1">
        <f>(IF(L1058=1,方案参数!$AW$32,IF(L1058=2,方案参数!$AX$32,0))+方案参数!$AV$32)*H1058</f>
        <v>18</v>
      </c>
      <c r="AG1058" s="1">
        <f>MAX(配置与结果!$B$32,1+INDEX(配置与结果!$F$15:$F$18,F1058)+0.08+方案参数!$CD$32+Q1058*方案参数!$W$32+Y1058*(方案参数!$AN$32+MIN(方案参数!$AO$32,P1058*0.03))+AB1058*方案参数!$BZ$32*0.025+IF(L1058=1,方案参数!$AY$32+(H1058-1)*0.1,IF(L1058=2,方案参数!$AZ$32+(H1058-1)*0.2,0))-配置与结果!$B$28)</f>
        <v>1.6</v>
      </c>
      <c r="AH1058" s="1">
        <f>MAX(0,1+INDEX(配置与结果!$G$15:$G$18,F1058)+W1058*方案参数!$AG$32+IF(L1058=1,方案参数!$BA$32,IF(L1058=2,方案参数!$BB$32,0))+M1058*方案参数!$BC$32)</f>
        <v>2.3199999999999998</v>
      </c>
      <c r="AI1058" s="1">
        <f>IF(OR(INDEX(配置与结果!$K$15:$K$18,F1058)=1,G1058="RHI_BERRY"),1+配置与结果!$B$33+P1058*方案参数!$AH$32,1)</f>
        <v>1</v>
      </c>
      <c r="AJ1058" s="1">
        <f>MIN(1,MAX(0,J1058+方案参数!$AB$32-配置与结果!$B$27))</f>
        <v>1</v>
      </c>
      <c r="AK1058" s="1">
        <f>MAX(1,K1058+IF(F1058=2,0.15+方案参数!$CH$32,0)+BN1058*方案参数!$X$32+R1058*方案参数!$AA$32+0-配置与结果!$B$26+Z1058*(方案参数!$AP$32+MIN(方案参数!$AQ$32,P1058*0.03)))</f>
        <v>2.105</v>
      </c>
      <c r="AL1058" s="7">
        <f>ROUNDDOWN(MAX(AD1058*配置与结果!$B$31,AD1058-AE1058)*AF1058*AG1058*AH1058*AI1058,0)</f>
        <v>89132</v>
      </c>
      <c r="AM1058" s="7">
        <f>ROUNDDOWN(MAX(AD1058*配置与结果!$B$31,AD1058-AE1058)*AF1058*AG1058*AH1058*AI1058*AK1058,0)</f>
        <v>187624</v>
      </c>
      <c r="AN1058" s="7">
        <f t="shared" si="1460"/>
        <v>187624</v>
      </c>
      <c r="AO1058" s="7">
        <f>0</f>
        <v>0</v>
      </c>
      <c r="AP1058" s="7">
        <f>MAX(0,1+INDEX(配置与结果!$J$15:$J$18,F1058)+IF(T1058&gt;0,方案参数!$BY$32,0)-配置与结果!$B$30)</f>
        <v>1</v>
      </c>
      <c r="AQ1058" s="7">
        <f t="shared" si="1461"/>
        <v>0</v>
      </c>
      <c r="AR1058" s="7">
        <f t="shared" si="1462"/>
        <v>0</v>
      </c>
      <c r="AS1058" s="7">
        <f t="shared" si="1463"/>
        <v>0</v>
      </c>
      <c r="AT1058" s="7">
        <f>0</f>
        <v>0</v>
      </c>
      <c r="AU1058" s="7">
        <f t="shared" si="1464"/>
        <v>187624</v>
      </c>
      <c r="AV1058" s="1">
        <f t="shared" si="1465"/>
        <v>1</v>
      </c>
      <c r="AW1058" s="1">
        <f>MIN(10,M1058+0+IF(L1058=1,方案参数!$BE$32,0))</f>
        <v>8</v>
      </c>
      <c r="AX1058" s="1">
        <f t="shared" si="1466"/>
        <v>0</v>
      </c>
      <c r="AY1058" s="1">
        <f t="shared" si="1495"/>
        <v>6</v>
      </c>
      <c r="AZ1058" s="1">
        <f t="shared" si="1467"/>
        <v>5</v>
      </c>
      <c r="BA1058" s="1">
        <f>MIN(6,Q1058+0)</f>
        <v>3</v>
      </c>
      <c r="BB1058" s="1">
        <f t="shared" si="1488"/>
        <v>5</v>
      </c>
      <c r="BC1058" s="1">
        <f>MIN(3,S1058+0)</f>
        <v>1</v>
      </c>
      <c r="BD1058" s="1">
        <f t="shared" si="1496"/>
        <v>0</v>
      </c>
      <c r="BE1058" s="1">
        <f t="shared" si="1489"/>
        <v>0</v>
      </c>
      <c r="BF1058" s="1">
        <f>MIN(4,V1058+0)</f>
        <v>1</v>
      </c>
      <c r="BG1058" s="1">
        <f t="shared" si="1493"/>
        <v>1</v>
      </c>
      <c r="BH1058" s="1">
        <f t="shared" si="1490"/>
        <v>1</v>
      </c>
      <c r="BI1058" s="1">
        <f t="shared" si="1494"/>
        <v>1</v>
      </c>
      <c r="BJ1058" s="1">
        <f t="shared" ref="BJ1058:BK1063" si="1500">MAX(Z1058,0)</f>
        <v>1</v>
      </c>
      <c r="BK1058" s="1">
        <f t="shared" si="1500"/>
        <v>1</v>
      </c>
      <c r="BL1058" s="1">
        <f t="shared" si="1470"/>
        <v>0</v>
      </c>
      <c r="BM1058" s="1">
        <f t="shared" si="1468"/>
        <v>0</v>
      </c>
      <c r="BN1058" s="1">
        <f t="shared" si="1491"/>
        <v>1</v>
      </c>
      <c r="BO1058" s="1">
        <f t="shared" si="1492"/>
        <v>1</v>
      </c>
    </row>
    <row r="1059" spans="1:67" ht="30.95" customHeight="1">
      <c r="A1059" s="1">
        <f>29</f>
        <v>29</v>
      </c>
      <c r="B1059" s="1">
        <f>固定流程!A15</f>
        <v>10</v>
      </c>
      <c r="C1059" s="1">
        <f>32</f>
        <v>32</v>
      </c>
      <c r="D1059" s="1">
        <f>1</f>
        <v>1</v>
      </c>
      <c r="E1059" s="1">
        <f>固定流程!C15</f>
        <v>2</v>
      </c>
      <c r="F1059" s="1">
        <f>固定流程!G15</f>
        <v>4</v>
      </c>
      <c r="G1059" s="1" t="str">
        <f>固定流程!H15</f>
        <v>J_HARD</v>
      </c>
      <c r="H1059" s="1">
        <f>固定流程!F15</f>
        <v>1</v>
      </c>
      <c r="I1059" s="1">
        <f>INDEX(配置与结果!$B$15:$B$18,F1059)</f>
        <v>1906</v>
      </c>
      <c r="J1059" s="1">
        <f>INDEX(配置与结果!$D$15:$D$18,F1059)</f>
        <v>0.36699999999999999</v>
      </c>
      <c r="K1059" s="1">
        <f>INDEX(配置与结果!$E$15:$E$18,F1059)</f>
        <v>1.7170000000000001</v>
      </c>
      <c r="L1059" s="1">
        <f t="shared" si="1498"/>
        <v>1</v>
      </c>
      <c r="M1059" s="1">
        <f t="shared" si="1498"/>
        <v>8</v>
      </c>
      <c r="N1059" s="1">
        <f t="shared" si="1498"/>
        <v>0</v>
      </c>
      <c r="O1059" s="1">
        <f t="shared" si="1497"/>
        <v>6</v>
      </c>
      <c r="P1059" s="1">
        <f>MIN(方案参数!$AI$32,AZ1058+0+0)</f>
        <v>5</v>
      </c>
      <c r="Q1059" s="1">
        <f t="shared" si="1475"/>
        <v>3</v>
      </c>
      <c r="R1059" s="1">
        <f t="shared" si="1476"/>
        <v>5</v>
      </c>
      <c r="S1059" s="1">
        <f t="shared" si="1477"/>
        <v>1</v>
      </c>
      <c r="T1059" s="1">
        <f t="shared" si="1478"/>
        <v>0</v>
      </c>
      <c r="U1059" s="1">
        <f t="shared" si="1479"/>
        <v>0</v>
      </c>
      <c r="V1059" s="1">
        <f t="shared" si="1480"/>
        <v>1</v>
      </c>
      <c r="W1059" s="1">
        <f t="shared" si="1481"/>
        <v>1</v>
      </c>
      <c r="X1059" s="1">
        <f t="shared" si="1482"/>
        <v>1</v>
      </c>
      <c r="Y1059" s="1">
        <f t="shared" si="1483"/>
        <v>1</v>
      </c>
      <c r="Z1059" s="1">
        <f t="shared" si="1484"/>
        <v>1</v>
      </c>
      <c r="AA1059" s="1">
        <f t="shared" si="1499"/>
        <v>1</v>
      </c>
      <c r="AB1059" s="1">
        <f t="shared" si="1486"/>
        <v>0</v>
      </c>
      <c r="AC1059" s="1">
        <f t="shared" si="1487"/>
        <v>0</v>
      </c>
      <c r="AD1059" s="1">
        <f>ROUNDDOWN(I1059*(1+IF(F1059=3,0.05+方案参数!$Y$32+AA1059*0.12,IF(F1059=4,方案参数!$BZ$32*方案参数!$AS$32,0)))+IF(AND(X1059=1,F1059&lt;&gt;3),方案参数!$CC$32,0)+AC1059*方案参数!$CB$32,0)</f>
        <v>2811</v>
      </c>
      <c r="AE1059" s="1">
        <f>IF(OR(F1059=1,F1059=4),配置与结果!$B$24,配置与结果!$B$25)*MAX(0,1-INDEX(配置与结果!$I$15:$I$18,F1059))</f>
        <v>1200</v>
      </c>
      <c r="AF1059" s="1">
        <f>3.6*IF(H1059=1,1,IF(H1059=2,1.5,2.5))</f>
        <v>3.6</v>
      </c>
      <c r="AG1059" s="1">
        <f>MAX(配置与结果!$B$32,1+INDEX(配置与结果!$F$15:$F$18,F1059)+0.08+Q1059*方案参数!$W$32+Y1059*(方案参数!$AN$32+MIN(方案参数!$AO$32,P1059*0.03))+AB1059*方案参数!$BZ$32*0.025+0.1+IF(方案参数!$BZ$32&gt;=30,方案参数!$BZ$32*0.01,0)-配置与结果!$B$28)</f>
        <v>1.5150000000000001</v>
      </c>
      <c r="AH1059" s="1">
        <f>MAX(0,1+INDEX(配置与结果!$G$15:$G$18,F1059)+W1059*方案参数!$AG$32)</f>
        <v>1.3</v>
      </c>
      <c r="AI1059" s="1">
        <f>IF(OR(INDEX(配置与结果!$K$15:$K$18,F1059)=1,G1059="RHI_BERRY"),1+配置与结果!$B$33+P1059*方案参数!$AH$32,1)</f>
        <v>1</v>
      </c>
      <c r="AJ1059" s="1">
        <f>MIN(1,MAX(0,J1059+方案参数!$AB$32-配置与结果!$B$27))</f>
        <v>0.66700000000000004</v>
      </c>
      <c r="AK1059" s="1">
        <f>MAX(1,K1059+IF(F1059=2,0.15+方案参数!$CH$32,0)+BN1059*方案参数!$X$32+R1059*方案参数!$AA$32+0-配置与结果!$B$26+Z1059*(方案参数!$AP$32+MIN(方案参数!$AQ$32,P1059*0.03)))</f>
        <v>1.7969999999999999</v>
      </c>
      <c r="AL1059" s="7">
        <f>ROUNDDOWN(MAX(AD1059*配置与结果!$B$31,AD1059-AE1059)*AF1059*AG1059*AH1059*AI1059,0)</f>
        <v>11422</v>
      </c>
      <c r="AM1059" s="7">
        <f>ROUNDDOWN(MAX(AD1059*配置与结果!$B$31,AD1059-AE1059)*AF1059*AG1059*AH1059*AI1059*AK1059,0)</f>
        <v>20525</v>
      </c>
      <c r="AN1059" s="7">
        <f t="shared" si="1460"/>
        <v>17493.701000000001</v>
      </c>
      <c r="AO1059" s="7">
        <f>0</f>
        <v>0</v>
      </c>
      <c r="AP1059" s="7">
        <f>MAX(0,1+INDEX(配置与结果!$J$15:$J$18,F1059)+IF(T1059&gt;0,方案参数!$BY$32,0)-配置与结果!$B$30)</f>
        <v>1</v>
      </c>
      <c r="AQ1059" s="7">
        <f t="shared" si="1461"/>
        <v>0</v>
      </c>
      <c r="AR1059" s="7">
        <f t="shared" si="1462"/>
        <v>0</v>
      </c>
      <c r="AS1059" s="7">
        <f t="shared" si="1463"/>
        <v>0</v>
      </c>
      <c r="AT1059" s="7">
        <f>0</f>
        <v>0</v>
      </c>
      <c r="AU1059" s="7">
        <f t="shared" si="1464"/>
        <v>17493.701000000001</v>
      </c>
      <c r="AV1059" s="1">
        <f t="shared" si="1465"/>
        <v>1</v>
      </c>
      <c r="AW1059" s="1">
        <f t="shared" ref="AW1059:AW1069" si="1501">MIN(10,M1059+0+0)</f>
        <v>8</v>
      </c>
      <c r="AX1059" s="1">
        <f t="shared" si="1466"/>
        <v>0</v>
      </c>
      <c r="AY1059" s="1">
        <f t="shared" si="1495"/>
        <v>6</v>
      </c>
      <c r="AZ1059" s="1">
        <f t="shared" si="1467"/>
        <v>5</v>
      </c>
      <c r="BA1059" s="1">
        <f>MIN(6,Q1059+0)</f>
        <v>3</v>
      </c>
      <c r="BB1059" s="1">
        <f t="shared" si="1488"/>
        <v>5</v>
      </c>
      <c r="BC1059" s="1">
        <f>MIN(3,S1059+1)</f>
        <v>2</v>
      </c>
      <c r="BD1059" s="1">
        <f t="shared" si="1496"/>
        <v>0</v>
      </c>
      <c r="BE1059" s="1">
        <f t="shared" si="1489"/>
        <v>0</v>
      </c>
      <c r="BF1059" s="1">
        <f>MIN(4,V1059+0)</f>
        <v>1</v>
      </c>
      <c r="BG1059" s="1">
        <f t="shared" si="1493"/>
        <v>1</v>
      </c>
      <c r="BH1059" s="1">
        <f t="shared" si="1490"/>
        <v>1</v>
      </c>
      <c r="BI1059" s="1">
        <f t="shared" si="1494"/>
        <v>1</v>
      </c>
      <c r="BJ1059" s="1">
        <f t="shared" si="1500"/>
        <v>1</v>
      </c>
      <c r="BK1059" s="1">
        <f t="shared" si="1500"/>
        <v>1</v>
      </c>
      <c r="BL1059" s="1">
        <f t="shared" si="1470"/>
        <v>0</v>
      </c>
      <c r="BM1059" s="1">
        <f t="shared" si="1468"/>
        <v>0</v>
      </c>
      <c r="BN1059" s="1">
        <f t="shared" si="1491"/>
        <v>1</v>
      </c>
      <c r="BO1059" s="1">
        <f t="shared" si="1492"/>
        <v>1</v>
      </c>
    </row>
    <row r="1060" spans="1:67" ht="30.95" customHeight="1">
      <c r="A1060" s="1">
        <f>29</f>
        <v>29</v>
      </c>
      <c r="B1060" s="1">
        <f>固定流程!A16</f>
        <v>11</v>
      </c>
      <c r="C1060" s="1">
        <f>32</f>
        <v>32</v>
      </c>
      <c r="D1060" s="1">
        <f>1</f>
        <v>1</v>
      </c>
      <c r="E1060" s="1">
        <f>固定流程!C16</f>
        <v>2</v>
      </c>
      <c r="F1060" s="1">
        <f>固定流程!G16</f>
        <v>2</v>
      </c>
      <c r="G1060" s="1" t="str">
        <f>固定流程!H16</f>
        <v>37_CURVE</v>
      </c>
      <c r="H1060" s="1">
        <f>固定流程!F16</f>
        <v>1</v>
      </c>
      <c r="I1060" s="1">
        <f>INDEX(配置与结果!$B$15:$B$18,F1060)</f>
        <v>2306</v>
      </c>
      <c r="J1060" s="1">
        <f>INDEX(配置与结果!$D$15:$D$18,F1060)</f>
        <v>0.46</v>
      </c>
      <c r="K1060" s="1">
        <f>INDEX(配置与结果!$E$15:$E$18,F1060)</f>
        <v>1.9279999999999999</v>
      </c>
      <c r="L1060" s="1">
        <f t="shared" si="1498"/>
        <v>1</v>
      </c>
      <c r="M1060" s="1">
        <f t="shared" si="1498"/>
        <v>8</v>
      </c>
      <c r="N1060" s="1">
        <f t="shared" si="1498"/>
        <v>0</v>
      </c>
      <c r="O1060" s="1">
        <f t="shared" si="1497"/>
        <v>6</v>
      </c>
      <c r="P1060" s="1">
        <f>MIN(方案参数!$AI$32,AZ1059+0+0)</f>
        <v>5</v>
      </c>
      <c r="Q1060" s="1">
        <f t="shared" si="1475"/>
        <v>3</v>
      </c>
      <c r="R1060" s="1">
        <f t="shared" si="1476"/>
        <v>5</v>
      </c>
      <c r="S1060" s="1">
        <f t="shared" si="1477"/>
        <v>2</v>
      </c>
      <c r="T1060" s="1">
        <f t="shared" si="1478"/>
        <v>0</v>
      </c>
      <c r="U1060" s="1">
        <f t="shared" si="1479"/>
        <v>0</v>
      </c>
      <c r="V1060" s="1">
        <f t="shared" si="1480"/>
        <v>1</v>
      </c>
      <c r="W1060" s="1">
        <f t="shared" si="1481"/>
        <v>1</v>
      </c>
      <c r="X1060" s="1">
        <f t="shared" si="1482"/>
        <v>1</v>
      </c>
      <c r="Y1060" s="1">
        <f t="shared" si="1483"/>
        <v>1</v>
      </c>
      <c r="Z1060" s="1">
        <f t="shared" si="1484"/>
        <v>1</v>
      </c>
      <c r="AA1060" s="1">
        <f t="shared" si="1499"/>
        <v>1</v>
      </c>
      <c r="AB1060" s="1">
        <f t="shared" si="1486"/>
        <v>0</v>
      </c>
      <c r="AC1060" s="1">
        <f t="shared" si="1487"/>
        <v>0</v>
      </c>
      <c r="AD1060" s="1">
        <f>ROUNDDOWN(I1060*(1+IF(F1060=3,0.05+方案参数!$Y$32+AA1060*0.12,IF(F1060=4,方案参数!$BZ$32*方案参数!$AS$32,0)))+IF(AND(X1060=1,F1060&lt;&gt;3),方案参数!$CC$32,0)+AC1060*方案参数!$CB$32,0)</f>
        <v>2544</v>
      </c>
      <c r="AE1060" s="1">
        <f>IF(OR(F1060=1,F1060=4),配置与结果!$B$24,配置与结果!$B$25)*MAX(0,1-INDEX(配置与结果!$I$15:$I$18,F1060))</f>
        <v>1000</v>
      </c>
      <c r="AF1060" s="1">
        <f>方案参数!$BT$32*IF(H1060=1,1,IF(H1060=2,1.5,2.5))</f>
        <v>1.4</v>
      </c>
      <c r="AG1060" s="1">
        <f>MAX(配置与结果!$B$32,1+INDEX(配置与结果!$F$15:$F$18,F1060)+0+Q1060*方案参数!$W$32+Y1060*(方案参数!$AN$32+MIN(方案参数!$AO$32,P1060*0.03))+AB1060*方案参数!$BZ$32*0.025-配置与结果!$B$28)</f>
        <v>0.96499999999999997</v>
      </c>
      <c r="AH1060" s="1">
        <f>MAX(0,1+INDEX(配置与结果!$G$15:$G$18,F1060)+W1060*方案参数!$AG$32)</f>
        <v>1.3</v>
      </c>
      <c r="AI1060" s="1">
        <f>IF(OR(INDEX(配置与结果!$K$15:$K$18,F1060)=1,G1060="RHI_BERRY"),1+配置与结果!$B$33+P1060*方案参数!$AH$32,1)</f>
        <v>1</v>
      </c>
      <c r="AJ1060" s="1">
        <f>MIN(1,MAX(0,J1060+方案参数!$AB$32-配置与结果!$B$27))</f>
        <v>0.76</v>
      </c>
      <c r="AK1060" s="1">
        <f>MAX(1,K1060+IF(F1060=2,0.15+方案参数!$CH$32,0)+BN1060*方案参数!$X$32+R1060*方案参数!$AA$32+0-配置与结果!$B$26+Z1060*(方案参数!$AP$32+MIN(方案参数!$AQ$32,P1060*0.03)))</f>
        <v>2.278</v>
      </c>
      <c r="AL1060" s="7">
        <f>ROUNDDOWN(MAX(AD1060*配置与结果!$B$31,AD1060-AE1060)*AF1060*AG1060*AH1060*AI1060,0)</f>
        <v>2711</v>
      </c>
      <c r="AM1060" s="7">
        <f>ROUNDDOWN(MAX(AD1060*配置与结果!$B$31,AD1060-AE1060)*AF1060*AG1060*AH1060*AI1060*AK1060,0)</f>
        <v>6177</v>
      </c>
      <c r="AN1060" s="7">
        <f t="shared" si="1460"/>
        <v>5345.1600000000008</v>
      </c>
      <c r="AO1060" s="7">
        <f>方案参数!$BU$32*IF(H1060=1,1,IF(H1060=2,1.5,2.5))</f>
        <v>0.8</v>
      </c>
      <c r="AP1060" s="7">
        <f>MAX(0,1+INDEX(配置与结果!$J$15:$J$18,F1060)+IF(T1060&gt;0,方案参数!$BY$32,0)-配置与结果!$B$30)</f>
        <v>1</v>
      </c>
      <c r="AQ1060" s="7">
        <f t="shared" si="1461"/>
        <v>2035</v>
      </c>
      <c r="AR1060" s="7">
        <f t="shared" si="1462"/>
        <v>4635</v>
      </c>
      <c r="AS1060" s="7">
        <f t="shared" si="1463"/>
        <v>4011</v>
      </c>
      <c r="AT1060" s="7">
        <f>0</f>
        <v>0</v>
      </c>
      <c r="AU1060" s="7">
        <f t="shared" si="1464"/>
        <v>9356.16</v>
      </c>
      <c r="AV1060" s="1">
        <f t="shared" si="1465"/>
        <v>1</v>
      </c>
      <c r="AW1060" s="1">
        <f t="shared" si="1501"/>
        <v>8</v>
      </c>
      <c r="AX1060" s="1">
        <f t="shared" si="1466"/>
        <v>0</v>
      </c>
      <c r="AY1060" s="1">
        <f t="shared" si="1495"/>
        <v>6</v>
      </c>
      <c r="AZ1060" s="1">
        <f t="shared" si="1467"/>
        <v>5</v>
      </c>
      <c r="BA1060" s="1">
        <f>MIN(6,Q1060+0)</f>
        <v>3</v>
      </c>
      <c r="BB1060" s="1">
        <f t="shared" si="1488"/>
        <v>5</v>
      </c>
      <c r="BC1060" s="1">
        <f t="shared" ref="BC1060:BC1066" si="1502">MIN(3,S1060+0)</f>
        <v>2</v>
      </c>
      <c r="BD1060" s="1">
        <f t="shared" si="1496"/>
        <v>0</v>
      </c>
      <c r="BE1060" s="1">
        <f t="shared" si="1489"/>
        <v>0</v>
      </c>
      <c r="BF1060" s="1">
        <f>MIN(4,V1060+0)</f>
        <v>1</v>
      </c>
      <c r="BG1060" s="1">
        <f t="shared" si="1493"/>
        <v>1</v>
      </c>
      <c r="BH1060" s="1">
        <f t="shared" si="1490"/>
        <v>1</v>
      </c>
      <c r="BI1060" s="1">
        <f t="shared" si="1494"/>
        <v>1</v>
      </c>
      <c r="BJ1060" s="1">
        <f t="shared" si="1500"/>
        <v>1</v>
      </c>
      <c r="BK1060" s="1">
        <f t="shared" si="1500"/>
        <v>1</v>
      </c>
      <c r="BL1060" s="1">
        <f t="shared" si="1470"/>
        <v>0</v>
      </c>
      <c r="BM1060" s="1">
        <f t="shared" si="1468"/>
        <v>0</v>
      </c>
      <c r="BN1060" s="1">
        <f t="shared" si="1491"/>
        <v>1</v>
      </c>
      <c r="BO1060" s="1">
        <f t="shared" si="1492"/>
        <v>1</v>
      </c>
    </row>
    <row r="1061" spans="1:67" ht="30.95" customHeight="1">
      <c r="A1061" s="1">
        <f>29</f>
        <v>29</v>
      </c>
      <c r="B1061" s="1">
        <f>固定流程!A17</f>
        <v>12</v>
      </c>
      <c r="C1061" s="1">
        <f>32</f>
        <v>32</v>
      </c>
      <c r="D1061" s="1">
        <f>1</f>
        <v>1</v>
      </c>
      <c r="E1061" s="1">
        <f>固定流程!C17</f>
        <v>2</v>
      </c>
      <c r="F1061" s="1">
        <f>固定流程!G17</f>
        <v>2</v>
      </c>
      <c r="G1061" s="1" t="str">
        <f>固定流程!H17</f>
        <v>37_FOLLOW</v>
      </c>
      <c r="H1061" s="1">
        <f>固定流程!F17</f>
        <v>1</v>
      </c>
      <c r="I1061" s="1">
        <f>INDEX(配置与结果!$B$15:$B$18,F1061)</f>
        <v>2306</v>
      </c>
      <c r="J1061" s="1">
        <f>INDEX(配置与结果!$D$15:$D$18,F1061)</f>
        <v>0.46</v>
      </c>
      <c r="K1061" s="1">
        <f>INDEX(配置与结果!$E$15:$E$18,F1061)</f>
        <v>1.9279999999999999</v>
      </c>
      <c r="L1061" s="1">
        <f t="shared" si="1498"/>
        <v>1</v>
      </c>
      <c r="M1061" s="1">
        <f t="shared" si="1498"/>
        <v>8</v>
      </c>
      <c r="N1061" s="1">
        <f t="shared" si="1498"/>
        <v>0</v>
      </c>
      <c r="O1061" s="1">
        <f t="shared" si="1497"/>
        <v>6</v>
      </c>
      <c r="P1061" s="1">
        <f>MIN(方案参数!$AI$32,AZ1060+0+0)</f>
        <v>5</v>
      </c>
      <c r="Q1061" s="1">
        <f t="shared" si="1475"/>
        <v>3</v>
      </c>
      <c r="R1061" s="1">
        <f t="shared" si="1476"/>
        <v>5</v>
      </c>
      <c r="S1061" s="1">
        <f t="shared" si="1477"/>
        <v>2</v>
      </c>
      <c r="T1061" s="1">
        <f t="shared" si="1478"/>
        <v>0</v>
      </c>
      <c r="U1061" s="1">
        <f t="shared" si="1479"/>
        <v>0</v>
      </c>
      <c r="V1061" s="1">
        <f t="shared" si="1480"/>
        <v>1</v>
      </c>
      <c r="W1061" s="1">
        <f t="shared" si="1481"/>
        <v>1</v>
      </c>
      <c r="X1061" s="1">
        <f t="shared" si="1482"/>
        <v>1</v>
      </c>
      <c r="Y1061" s="1">
        <f t="shared" si="1483"/>
        <v>1</v>
      </c>
      <c r="Z1061" s="1">
        <f t="shared" si="1484"/>
        <v>1</v>
      </c>
      <c r="AA1061" s="1">
        <f t="shared" si="1499"/>
        <v>1</v>
      </c>
      <c r="AB1061" s="1">
        <f t="shared" si="1486"/>
        <v>0</v>
      </c>
      <c r="AC1061" s="1">
        <f t="shared" si="1487"/>
        <v>0</v>
      </c>
      <c r="AD1061" s="1">
        <f>ROUNDDOWN(I1061*(1+IF(F1061=3,0.05+方案参数!$Y$32+AA1061*0.12,IF(F1061=4,方案参数!$BZ$32*方案参数!$AS$32,0)))+IF(AND(X1061=1,F1061&lt;&gt;3),方案参数!$CC$32,0)+AC1061*方案参数!$CB$32,0)</f>
        <v>2544</v>
      </c>
      <c r="AE1061" s="1">
        <f>IF(OR(F1061=1,F1061=4),配置与结果!$B$24,配置与结果!$B$25)*MAX(0,1-INDEX(配置与结果!$I$15:$I$18,F1061))</f>
        <v>1000</v>
      </c>
      <c r="AF1061" s="1">
        <f>方案参数!$BV$32</f>
        <v>3</v>
      </c>
      <c r="AG1061" s="1">
        <f>MAX(配置与结果!$B$32,1+INDEX(配置与结果!$F$15:$F$18,F1061)+0+Q1061*方案参数!$W$32+Y1061*(方案参数!$AN$32+MIN(方案参数!$AO$32,P1061*0.03))+AB1061*方案参数!$BZ$32*0.025-配置与结果!$B$28)</f>
        <v>0.96499999999999997</v>
      </c>
      <c r="AH1061" s="1">
        <f>MAX(0,1+INDEX(配置与结果!$G$15:$G$18,F1061)+W1061*方案参数!$AG$32)</f>
        <v>1.3</v>
      </c>
      <c r="AI1061" s="1">
        <f>IF(OR(INDEX(配置与结果!$K$15:$K$18,F1061)=1,G1061="RHI_BERRY"),1+配置与结果!$B$33+P1061*方案参数!$AH$32,1)</f>
        <v>1</v>
      </c>
      <c r="AJ1061" s="1">
        <f>MIN(1,MAX(0,J1061+方案参数!$AB$32-配置与结果!$B$27))</f>
        <v>0.76</v>
      </c>
      <c r="AK1061" s="1">
        <f>MAX(1,K1061+IF(F1061=2,0.15+方案参数!$CH$32,0)+BN1061*方案参数!$X$32+R1061*方案参数!$AA$32+0-配置与结果!$B$26+Z1061*(方案参数!$AP$32+MIN(方案参数!$AQ$32,P1061*0.03)))</f>
        <v>2.278</v>
      </c>
      <c r="AL1061" s="7">
        <f>ROUNDDOWN(MAX(AD1061*配置与结果!$B$31,AD1061-AE1061)*AF1061*AG1061*AH1061*AI1061,0)</f>
        <v>5810</v>
      </c>
      <c r="AM1061" s="7">
        <f>ROUNDDOWN(MAX(AD1061*配置与结果!$B$31,AD1061-AE1061)*AF1061*AG1061*AH1061*AI1061*AK1061,0)</f>
        <v>13237</v>
      </c>
      <c r="AN1061" s="7">
        <f t="shared" si="1460"/>
        <v>11454.52</v>
      </c>
      <c r="AO1061" s="7">
        <f>方案参数!$BW$32</f>
        <v>1</v>
      </c>
      <c r="AP1061" s="7">
        <f>MAX(0,1+INDEX(配置与结果!$J$15:$J$18,F1061)+IF(T1061&gt;0,方案参数!$BY$32,0)-配置与结果!$B$30)</f>
        <v>1</v>
      </c>
      <c r="AQ1061" s="7">
        <f t="shared" si="1461"/>
        <v>2544</v>
      </c>
      <c r="AR1061" s="7">
        <f t="shared" si="1462"/>
        <v>5795</v>
      </c>
      <c r="AS1061" s="7">
        <f t="shared" si="1463"/>
        <v>5014.76</v>
      </c>
      <c r="AT1061" s="7">
        <f>0</f>
        <v>0</v>
      </c>
      <c r="AU1061" s="7">
        <f t="shared" si="1464"/>
        <v>16469.28</v>
      </c>
      <c r="AV1061" s="1">
        <f t="shared" si="1465"/>
        <v>1</v>
      </c>
      <c r="AW1061" s="1">
        <f t="shared" si="1501"/>
        <v>8</v>
      </c>
      <c r="AX1061" s="1">
        <f t="shared" si="1466"/>
        <v>0</v>
      </c>
      <c r="AY1061" s="1">
        <f t="shared" si="1495"/>
        <v>6</v>
      </c>
      <c r="AZ1061" s="1">
        <f t="shared" si="1467"/>
        <v>5</v>
      </c>
      <c r="BA1061" s="1">
        <f>MIN(6,Q1061+0)</f>
        <v>3</v>
      </c>
      <c r="BB1061" s="1">
        <f t="shared" si="1488"/>
        <v>5</v>
      </c>
      <c r="BC1061" s="1">
        <f t="shared" si="1502"/>
        <v>2</v>
      </c>
      <c r="BD1061" s="1">
        <f t="shared" si="1496"/>
        <v>0</v>
      </c>
      <c r="BE1061" s="1">
        <f t="shared" si="1489"/>
        <v>0</v>
      </c>
      <c r="BF1061" s="1">
        <f>MIN(4,V1061+1)</f>
        <v>2</v>
      </c>
      <c r="BG1061" s="1">
        <f t="shared" si="1493"/>
        <v>1</v>
      </c>
      <c r="BH1061" s="1">
        <f t="shared" si="1490"/>
        <v>1</v>
      </c>
      <c r="BI1061" s="1">
        <f t="shared" si="1494"/>
        <v>1</v>
      </c>
      <c r="BJ1061" s="1">
        <f t="shared" si="1500"/>
        <v>1</v>
      </c>
      <c r="BK1061" s="1">
        <f t="shared" si="1500"/>
        <v>1</v>
      </c>
      <c r="BL1061" s="1">
        <f t="shared" si="1470"/>
        <v>0</v>
      </c>
      <c r="BM1061" s="1">
        <f t="shared" si="1468"/>
        <v>0</v>
      </c>
      <c r="BN1061" s="1">
        <f t="shared" si="1491"/>
        <v>1</v>
      </c>
      <c r="BO1061" s="1">
        <f t="shared" si="1492"/>
        <v>1</v>
      </c>
    </row>
    <row r="1062" spans="1:67" ht="30.95" customHeight="1">
      <c r="A1062" s="1">
        <f>29</f>
        <v>29</v>
      </c>
      <c r="B1062" s="1">
        <f>固定流程!A18</f>
        <v>13</v>
      </c>
      <c r="C1062" s="1">
        <f>32</f>
        <v>32</v>
      </c>
      <c r="D1062" s="1">
        <f>1</f>
        <v>1</v>
      </c>
      <c r="E1062" s="1">
        <f>固定流程!C18</f>
        <v>2</v>
      </c>
      <c r="F1062" s="1">
        <f>固定流程!G18</f>
        <v>3</v>
      </c>
      <c r="G1062" s="1" t="str">
        <f>固定流程!H18</f>
        <v>RHI_BERRY</v>
      </c>
      <c r="H1062" s="1">
        <f>固定流程!F18</f>
        <v>1</v>
      </c>
      <c r="I1062" s="1">
        <f>INDEX(配置与结果!$B$15:$B$18,F1062)</f>
        <v>2597</v>
      </c>
      <c r="J1062" s="1">
        <f>INDEX(配置与结果!$D$15:$D$18,F1062)</f>
        <v>0.255</v>
      </c>
      <c r="K1062" s="1">
        <f>INDEX(配置与结果!$E$15:$E$18,F1062)</f>
        <v>1.55</v>
      </c>
      <c r="L1062" s="1">
        <f t="shared" si="1498"/>
        <v>1</v>
      </c>
      <c r="M1062" s="1">
        <f t="shared" si="1498"/>
        <v>8</v>
      </c>
      <c r="N1062" s="1">
        <f t="shared" si="1498"/>
        <v>0</v>
      </c>
      <c r="O1062" s="1">
        <f t="shared" si="1497"/>
        <v>6</v>
      </c>
      <c r="P1062" s="1">
        <f>MIN(方案参数!$AI$32,AZ1061+0+0)</f>
        <v>5</v>
      </c>
      <c r="Q1062" s="1">
        <f t="shared" si="1475"/>
        <v>3</v>
      </c>
      <c r="R1062" s="1">
        <f t="shared" si="1476"/>
        <v>5</v>
      </c>
      <c r="S1062" s="1">
        <f t="shared" si="1477"/>
        <v>2</v>
      </c>
      <c r="T1062" s="1">
        <f t="shared" si="1478"/>
        <v>0</v>
      </c>
      <c r="U1062" s="1">
        <f t="shared" si="1479"/>
        <v>0</v>
      </c>
      <c r="V1062" s="1">
        <f t="shared" si="1480"/>
        <v>2</v>
      </c>
      <c r="W1062" s="1">
        <f t="shared" si="1481"/>
        <v>1</v>
      </c>
      <c r="X1062" s="1">
        <f t="shared" si="1482"/>
        <v>1</v>
      </c>
      <c r="Y1062" s="1">
        <f t="shared" si="1483"/>
        <v>1</v>
      </c>
      <c r="Z1062" s="1">
        <f t="shared" si="1484"/>
        <v>1</v>
      </c>
      <c r="AA1062" s="1">
        <f t="shared" si="1499"/>
        <v>1</v>
      </c>
      <c r="AB1062" s="1">
        <f t="shared" si="1486"/>
        <v>0</v>
      </c>
      <c r="AC1062" s="1">
        <f t="shared" si="1487"/>
        <v>0</v>
      </c>
      <c r="AD1062" s="1">
        <f>ROUNDDOWN(I1062*(1+IF(F1062=3,0.05+方案参数!$Y$32+AA1062*0.12,IF(F1062=4,方案参数!$BZ$32*方案参数!$AS$32,0)))+IF(AND(X1062=1,F1062&lt;&gt;3),方案参数!$CC$32,0)+AC1062*方案参数!$CB$32,0)</f>
        <v>3298</v>
      </c>
      <c r="AE1062" s="1">
        <f>IF(OR(F1062=1,F1062=4),配置与结果!$B$24,配置与结果!$B$25)*MAX(0,1-INDEX(配置与结果!$I$15:$I$18,F1062))</f>
        <v>1000</v>
      </c>
      <c r="AF1062" s="1">
        <f>方案参数!$CF$32+P1062*方案参数!$CG$32</f>
        <v>22.5</v>
      </c>
      <c r="AG1062" s="1">
        <f>MAX(配置与结果!$B$32,1+INDEX(配置与结果!$F$15:$F$18,F1062)+0+Q1062*方案参数!$W$32+Y1062*(方案参数!$AN$32+MIN(方案参数!$AO$32,P1062*0.03))+AB1062*方案参数!$BZ$32*0.025-配置与结果!$B$28)</f>
        <v>0.995</v>
      </c>
      <c r="AH1062" s="1">
        <f>MAX(0,1+INDEX(配置与结果!$G$15:$G$18,F1062)+W1062*方案参数!$AG$32)</f>
        <v>1.3</v>
      </c>
      <c r="AI1062" s="1">
        <f>IF(OR(INDEX(配置与结果!$K$15:$K$18,F1062)=1,G1062="RHI_BERRY"),1+配置与结果!$B$33+P1062*方案参数!$AH$32,1)</f>
        <v>1.5</v>
      </c>
      <c r="AJ1062" s="1">
        <f>MIN(1,MAX(0,J1062+方案参数!$AB$32-配置与结果!$B$27))</f>
        <v>0.55499999999999994</v>
      </c>
      <c r="AK1062" s="1">
        <f>MAX(1,K1062+IF(F1062=2,0.15+方案参数!$CH$32,0)+BN1062*方案参数!$X$32+R1062*方案参数!$AA$32+0-配置与结果!$B$26+Z1062*(方案参数!$AP$32+MIN(方案参数!$AQ$32,P1062*0.03)))</f>
        <v>1.6300000000000001</v>
      </c>
      <c r="AL1062" s="7">
        <f>ROUNDDOWN(MAX(AD1062*配置与结果!$B$31,AD1062-AE1062)*AF1062*AG1062*AH1062*AI1062,0)</f>
        <v>100320</v>
      </c>
      <c r="AM1062" s="7">
        <f>ROUNDDOWN(MAX(AD1062*配置与结果!$B$31,AD1062-AE1062)*AF1062*AG1062*AH1062*AI1062*AK1062,0)</f>
        <v>163522</v>
      </c>
      <c r="AN1062" s="7">
        <f t="shared" si="1460"/>
        <v>135397.10999999999</v>
      </c>
      <c r="AO1062" s="7">
        <f>0</f>
        <v>0</v>
      </c>
      <c r="AP1062" s="7">
        <f>MAX(0,1+INDEX(配置与结果!$J$15:$J$18,F1062)+IF(T1062&gt;0,方案参数!$BY$32,0)-配置与结果!$B$30)</f>
        <v>1</v>
      </c>
      <c r="AQ1062" s="7">
        <f t="shared" si="1461"/>
        <v>0</v>
      </c>
      <c r="AR1062" s="7">
        <f t="shared" si="1462"/>
        <v>0</v>
      </c>
      <c r="AS1062" s="7">
        <f t="shared" si="1463"/>
        <v>0</v>
      </c>
      <c r="AT1062" s="7">
        <f>0</f>
        <v>0</v>
      </c>
      <c r="AU1062" s="7">
        <f t="shared" si="1464"/>
        <v>135397.10999999999</v>
      </c>
      <c r="AV1062" s="1">
        <f t="shared" si="1465"/>
        <v>1</v>
      </c>
      <c r="AW1062" s="1">
        <f t="shared" si="1501"/>
        <v>8</v>
      </c>
      <c r="AX1062" s="1">
        <f t="shared" si="1466"/>
        <v>0</v>
      </c>
      <c r="AY1062" s="1">
        <f t="shared" si="1495"/>
        <v>6</v>
      </c>
      <c r="AZ1062" s="1">
        <f t="shared" si="1467"/>
        <v>5</v>
      </c>
      <c r="BA1062" s="1">
        <f>MIN(6,Q1062+0)</f>
        <v>3</v>
      </c>
      <c r="BB1062" s="1">
        <f t="shared" si="1488"/>
        <v>5</v>
      </c>
      <c r="BC1062" s="1">
        <f t="shared" si="1502"/>
        <v>2</v>
      </c>
      <c r="BD1062" s="1">
        <f t="shared" si="1496"/>
        <v>0</v>
      </c>
      <c r="BE1062" s="1">
        <f t="shared" si="1489"/>
        <v>0</v>
      </c>
      <c r="BF1062" s="1">
        <f>MIN(4,V1062+0)</f>
        <v>2</v>
      </c>
      <c r="BG1062" s="1">
        <f t="shared" si="1493"/>
        <v>1</v>
      </c>
      <c r="BH1062" s="1">
        <f t="shared" si="1490"/>
        <v>1</v>
      </c>
      <c r="BI1062" s="1">
        <f t="shared" si="1494"/>
        <v>1</v>
      </c>
      <c r="BJ1062" s="1">
        <f t="shared" si="1500"/>
        <v>1</v>
      </c>
      <c r="BK1062" s="1">
        <f t="shared" si="1500"/>
        <v>1</v>
      </c>
      <c r="BL1062" s="1">
        <f t="shared" si="1470"/>
        <v>0</v>
      </c>
      <c r="BM1062" s="1">
        <f t="shared" si="1468"/>
        <v>0</v>
      </c>
      <c r="BN1062" s="1">
        <f t="shared" si="1491"/>
        <v>1</v>
      </c>
      <c r="BO1062" s="1">
        <f t="shared" si="1492"/>
        <v>1</v>
      </c>
    </row>
    <row r="1063" spans="1:67" ht="30.95" customHeight="1">
      <c r="A1063" s="1">
        <f>29</f>
        <v>29</v>
      </c>
      <c r="B1063" s="1">
        <f>固定流程!A19</f>
        <v>14</v>
      </c>
      <c r="C1063" s="1">
        <f>32</f>
        <v>32</v>
      </c>
      <c r="D1063" s="1">
        <f>1</f>
        <v>1</v>
      </c>
      <c r="E1063" s="1">
        <f>固定流程!C19</f>
        <v>3</v>
      </c>
      <c r="F1063" s="1">
        <f>固定流程!G19</f>
        <v>3</v>
      </c>
      <c r="G1063" s="1" t="str">
        <f>固定流程!H19</f>
        <v>RHI_BUFF</v>
      </c>
      <c r="H1063" s="1">
        <f>固定流程!F19</f>
        <v>1</v>
      </c>
      <c r="I1063" s="1">
        <f>INDEX(配置与结果!$B$15:$B$18,F1063)</f>
        <v>2597</v>
      </c>
      <c r="J1063" s="1">
        <f>INDEX(配置与结果!$D$15:$D$18,F1063)</f>
        <v>0.255</v>
      </c>
      <c r="K1063" s="1">
        <f>INDEX(配置与结果!$E$15:$E$18,F1063)</f>
        <v>1.55</v>
      </c>
      <c r="L1063" s="1">
        <f>IF(AV1062=1,IF(M1063&gt;=10,2,1),IF(AV1062=2,IF(AX1062&lt;=1,0,2),0))</f>
        <v>2</v>
      </c>
      <c r="M1063" s="1">
        <f>IF(AND(AV1062=2,AX1062&lt;=1),0,MIN(10,AW1062+IF(AV1062=1,3,0)))</f>
        <v>10</v>
      </c>
      <c r="N1063" s="1">
        <f>IF(AND(AV1062=1,M1063&gt;=10),2,IF(AV1062=2,MAX(0,AX1062-1),0))</f>
        <v>2</v>
      </c>
      <c r="O1063" s="1">
        <f t="shared" si="1497"/>
        <v>6</v>
      </c>
      <c r="P1063" s="1">
        <f>MIN(方案参数!$AI$32,AZ1062+方案参数!$AJ$32+方案参数!$AK$32)</f>
        <v>5</v>
      </c>
      <c r="Q1063" s="1">
        <f t="shared" si="1475"/>
        <v>3</v>
      </c>
      <c r="R1063" s="1">
        <f t="shared" si="1476"/>
        <v>5</v>
      </c>
      <c r="S1063" s="1">
        <f t="shared" si="1477"/>
        <v>2</v>
      </c>
      <c r="T1063" s="1">
        <f t="shared" si="1478"/>
        <v>0</v>
      </c>
      <c r="U1063" s="1">
        <f t="shared" si="1479"/>
        <v>0</v>
      </c>
      <c r="V1063" s="1">
        <f t="shared" si="1480"/>
        <v>2</v>
      </c>
      <c r="W1063" s="1">
        <f t="shared" si="1481"/>
        <v>1</v>
      </c>
      <c r="X1063" s="1">
        <f t="shared" si="1482"/>
        <v>1</v>
      </c>
      <c r="Y1063" s="1">
        <f t="shared" si="1483"/>
        <v>1</v>
      </c>
      <c r="Z1063" s="1">
        <f t="shared" si="1484"/>
        <v>1</v>
      </c>
      <c r="AA1063" s="1">
        <f t="shared" si="1499"/>
        <v>1</v>
      </c>
      <c r="AB1063" s="1">
        <f t="shared" si="1486"/>
        <v>0</v>
      </c>
      <c r="AC1063" s="1">
        <f t="shared" si="1487"/>
        <v>0</v>
      </c>
      <c r="AD1063" s="1">
        <f>ROUNDDOWN(I1063*(1+IF(F1063=3,0.05+方案参数!$Y$32+AA1063*0.12,IF(F1063=4,方案参数!$BZ$32*方案参数!$AS$32,0)))+IF(AND(X1063=1,F1063&lt;&gt;3),方案参数!$CC$32,0)+AC1063*方案参数!$CB$32,0)</f>
        <v>3298</v>
      </c>
      <c r="AE1063" s="1">
        <f>IF(OR(F1063=1,F1063=4),配置与结果!$B$24,配置与结果!$B$25)*MAX(0,1-INDEX(配置与结果!$I$15:$I$18,F1063))</f>
        <v>1000</v>
      </c>
      <c r="AF1063" s="1">
        <f>0</f>
        <v>0</v>
      </c>
      <c r="AG1063" s="1">
        <f>MAX(配置与结果!$B$32,1+INDEX(配置与结果!$F$15:$F$18,F1063)+0+Q1063*方案参数!$W$32+Y1063*(方案参数!$AN$32+MIN(方案参数!$AO$32,P1063*0.03))+AB1063*方案参数!$BZ$32*0.025-配置与结果!$B$28)</f>
        <v>0.995</v>
      </c>
      <c r="AH1063" s="1">
        <f>MAX(0,1+INDEX(配置与结果!$G$15:$G$18,F1063)+W1063*方案参数!$AG$32)</f>
        <v>1.3</v>
      </c>
      <c r="AI1063" s="1">
        <f>IF(OR(INDEX(配置与结果!$K$15:$K$18,F1063)=1,G1063="RHI_BERRY"),1+配置与结果!$B$33+P1063*方案参数!$AH$32,1)</f>
        <v>1</v>
      </c>
      <c r="AJ1063" s="1">
        <f>MIN(1,MAX(0,J1063+方案参数!$AB$32-配置与结果!$B$27))</f>
        <v>0.55499999999999994</v>
      </c>
      <c r="AK1063" s="1">
        <f>MAX(1,K1063+IF(F1063=2,0.15+方案参数!$CH$32,0)+BN1063*方案参数!$X$32+R1063*方案参数!$AA$32+0-配置与结果!$B$26+Z1063*(方案参数!$AP$32+MIN(方案参数!$AQ$32,P1063*0.03)))</f>
        <v>1.6300000000000001</v>
      </c>
      <c r="AL1063" s="7">
        <f>ROUNDDOWN(MAX(AD1063*配置与结果!$B$31,AD1063-AE1063)*AF1063*AG1063*AH1063*AI1063,0)</f>
        <v>0</v>
      </c>
      <c r="AM1063" s="7">
        <f>ROUNDDOWN(MAX(AD1063*配置与结果!$B$31,AD1063-AE1063)*AF1063*AG1063*AH1063*AI1063*AK1063,0)</f>
        <v>0</v>
      </c>
      <c r="AN1063" s="7">
        <f t="shared" si="1460"/>
        <v>0</v>
      </c>
      <c r="AO1063" s="7">
        <f>0</f>
        <v>0</v>
      </c>
      <c r="AP1063" s="7">
        <f>MAX(0,1+INDEX(配置与结果!$J$15:$J$18,F1063)+IF(T1063&gt;0,方案参数!$BY$32,0)-配置与结果!$B$30)</f>
        <v>1</v>
      </c>
      <c r="AQ1063" s="7">
        <f t="shared" si="1461"/>
        <v>0</v>
      </c>
      <c r="AR1063" s="7">
        <f t="shared" si="1462"/>
        <v>0</v>
      </c>
      <c r="AS1063" s="7">
        <f t="shared" si="1463"/>
        <v>0</v>
      </c>
      <c r="AT1063" s="7">
        <f>0</f>
        <v>0</v>
      </c>
      <c r="AU1063" s="7">
        <f t="shared" si="1464"/>
        <v>0</v>
      </c>
      <c r="AV1063" s="1">
        <f t="shared" si="1465"/>
        <v>2</v>
      </c>
      <c r="AW1063" s="1">
        <f t="shared" si="1501"/>
        <v>10</v>
      </c>
      <c r="AX1063" s="1">
        <f t="shared" si="1466"/>
        <v>2</v>
      </c>
      <c r="AY1063" s="1">
        <f t="shared" si="1495"/>
        <v>6</v>
      </c>
      <c r="AZ1063" s="1">
        <f t="shared" si="1467"/>
        <v>5</v>
      </c>
      <c r="BA1063" s="1">
        <f>MIN(6,Q1063+1)</f>
        <v>4</v>
      </c>
      <c r="BB1063" s="1">
        <f t="shared" si="1488"/>
        <v>5</v>
      </c>
      <c r="BC1063" s="1">
        <f t="shared" si="1502"/>
        <v>2</v>
      </c>
      <c r="BD1063" s="1">
        <f t="shared" si="1496"/>
        <v>0</v>
      </c>
      <c r="BE1063" s="1">
        <f t="shared" si="1489"/>
        <v>0</v>
      </c>
      <c r="BF1063" s="1">
        <f>MIN(4,V1063+0)</f>
        <v>2</v>
      </c>
      <c r="BG1063" s="1">
        <f>MAX(W1063,1)</f>
        <v>1</v>
      </c>
      <c r="BH1063" s="1">
        <f t="shared" si="1490"/>
        <v>1</v>
      </c>
      <c r="BI1063" s="1">
        <f>MAX(Y1063,1)</f>
        <v>1</v>
      </c>
      <c r="BJ1063" s="1">
        <f t="shared" si="1500"/>
        <v>1</v>
      </c>
      <c r="BK1063" s="1">
        <f t="shared" si="1500"/>
        <v>1</v>
      </c>
      <c r="BL1063" s="1">
        <f t="shared" si="1470"/>
        <v>0</v>
      </c>
      <c r="BM1063" s="1">
        <f t="shared" si="1468"/>
        <v>0</v>
      </c>
      <c r="BN1063" s="1">
        <f t="shared" si="1491"/>
        <v>1</v>
      </c>
      <c r="BO1063" s="1">
        <f t="shared" si="1492"/>
        <v>1</v>
      </c>
    </row>
    <row r="1064" spans="1:67" ht="30.95" customHeight="1">
      <c r="A1064" s="1">
        <f>29</f>
        <v>29</v>
      </c>
      <c r="B1064" s="1">
        <f>固定流程!A20</f>
        <v>15</v>
      </c>
      <c r="C1064" s="1">
        <f>32</f>
        <v>32</v>
      </c>
      <c r="D1064" s="1">
        <f>1</f>
        <v>1</v>
      </c>
      <c r="E1064" s="1">
        <f>固定流程!C20</f>
        <v>3</v>
      </c>
      <c r="F1064" s="1">
        <f>固定流程!G20</f>
        <v>3</v>
      </c>
      <c r="G1064" s="1" t="str">
        <f>固定流程!H20</f>
        <v>RHI_ATTACK</v>
      </c>
      <c r="H1064" s="1">
        <f>固定流程!F20</f>
        <v>1</v>
      </c>
      <c r="I1064" s="1">
        <f>INDEX(配置与结果!$B$15:$B$18,F1064)</f>
        <v>2597</v>
      </c>
      <c r="J1064" s="1">
        <f>INDEX(配置与结果!$D$15:$D$18,F1064)</f>
        <v>0.255</v>
      </c>
      <c r="K1064" s="1">
        <f>INDEX(配置与结果!$E$15:$E$18,F1064)</f>
        <v>1.55</v>
      </c>
      <c r="L1064" s="1">
        <f t="shared" ref="L1064:L1085" si="1503">AV1063</f>
        <v>2</v>
      </c>
      <c r="M1064" s="1">
        <f t="shared" ref="M1064:M1085" si="1504">AW1063</f>
        <v>10</v>
      </c>
      <c r="N1064" s="1">
        <f t="shared" ref="N1064:N1085" si="1505">AX1063</f>
        <v>2</v>
      </c>
      <c r="O1064" s="1">
        <f t="shared" si="1497"/>
        <v>6</v>
      </c>
      <c r="P1064" s="1">
        <f>MIN(方案参数!$AI$32,AZ1063+0+方案参数!$AK$32)</f>
        <v>5</v>
      </c>
      <c r="Q1064" s="1">
        <f t="shared" si="1475"/>
        <v>4</v>
      </c>
      <c r="R1064" s="1">
        <f t="shared" si="1476"/>
        <v>5</v>
      </c>
      <c r="S1064" s="1">
        <f t="shared" si="1477"/>
        <v>2</v>
      </c>
      <c r="T1064" s="1">
        <f t="shared" si="1478"/>
        <v>0</v>
      </c>
      <c r="U1064" s="1">
        <f t="shared" si="1479"/>
        <v>0</v>
      </c>
      <c r="V1064" s="1">
        <f t="shared" si="1480"/>
        <v>2</v>
      </c>
      <c r="W1064" s="1">
        <f t="shared" si="1481"/>
        <v>1</v>
      </c>
      <c r="X1064" s="1">
        <f t="shared" si="1482"/>
        <v>1</v>
      </c>
      <c r="Y1064" s="1">
        <f t="shared" si="1483"/>
        <v>1</v>
      </c>
      <c r="Z1064" s="1">
        <f t="shared" si="1484"/>
        <v>1</v>
      </c>
      <c r="AA1064" s="1">
        <f>MAX(BK1063,1)</f>
        <v>1</v>
      </c>
      <c r="AB1064" s="1">
        <f t="shared" si="1486"/>
        <v>0</v>
      </c>
      <c r="AC1064" s="1">
        <f t="shared" si="1487"/>
        <v>0</v>
      </c>
      <c r="AD1064" s="1">
        <f>ROUNDDOWN(I1064*(1+IF(F1064=3,0.05+方案参数!$Y$32+AA1064*0.12,IF(F1064=4,方案参数!$BZ$32*方案参数!$AS$32,0)))+IF(AND(X1064=1,F1064&lt;&gt;3),方案参数!$CC$32,0)+AC1064*方案参数!$CB$32,0)</f>
        <v>3298</v>
      </c>
      <c r="AE1064" s="1">
        <f>IF(OR(F1064=1,F1064=4),配置与结果!$B$24,配置与结果!$B$25)*MAX(0,1-INDEX(配置与结果!$I$15:$I$18,F1064))</f>
        <v>1000</v>
      </c>
      <c r="AF1064" s="1">
        <f>4</f>
        <v>4</v>
      </c>
      <c r="AG1064" s="1">
        <f>MAX(配置与结果!$B$32,1+INDEX(配置与结果!$F$15:$F$18,F1064)+0+Q1064*方案参数!$W$32+Y1064*(方案参数!$AN$32+MIN(方案参数!$AO$32,P1064*0.03))+AB1064*方案参数!$BZ$32*0.025-配置与结果!$B$28)</f>
        <v>1.0150000000000001</v>
      </c>
      <c r="AH1064" s="1">
        <f>MAX(0,1+INDEX(配置与结果!$G$15:$G$18,F1064)+W1064*方案参数!$AG$32)</f>
        <v>1.3</v>
      </c>
      <c r="AI1064" s="1">
        <f>IF(OR(INDEX(配置与结果!$K$15:$K$18,F1064)=1,G1064="RHI_BERRY"),1+配置与结果!$B$33+P1064*方案参数!$AH$32,1)</f>
        <v>1</v>
      </c>
      <c r="AJ1064" s="1">
        <f>MIN(1,MAX(0,J1064+方案参数!$AB$32-配置与结果!$B$27))</f>
        <v>0.55499999999999994</v>
      </c>
      <c r="AK1064" s="1">
        <f>MAX(1,K1064+IF(F1064=2,0.15+方案参数!$CH$32,0)+BN1064*方案参数!$X$32+R1064*方案参数!$AA$32+0-配置与结果!$B$26+Z1064*(方案参数!$AP$32+MIN(方案参数!$AQ$32,P1064*0.03)))</f>
        <v>1.6300000000000001</v>
      </c>
      <c r="AL1064" s="7">
        <f>ROUNDDOWN(MAX(AD1064*配置与结果!$B$31,AD1064-AE1064)*AF1064*AG1064*AH1064*AI1064,0)</f>
        <v>12128</v>
      </c>
      <c r="AM1064" s="7">
        <f>ROUNDDOWN(MAX(AD1064*配置与结果!$B$31,AD1064-AE1064)*AF1064*AG1064*AH1064*AI1064*AK1064,0)</f>
        <v>19770</v>
      </c>
      <c r="AN1064" s="7">
        <f t="shared" si="1460"/>
        <v>16369.31</v>
      </c>
      <c r="AO1064" s="7">
        <f>0</f>
        <v>0</v>
      </c>
      <c r="AP1064" s="7">
        <f>MAX(0,1+INDEX(配置与结果!$J$15:$J$18,F1064)+IF(T1064&gt;0,方案参数!$BY$32,0)-配置与结果!$B$30)</f>
        <v>1</v>
      </c>
      <c r="AQ1064" s="7">
        <f t="shared" si="1461"/>
        <v>0</v>
      </c>
      <c r="AR1064" s="7">
        <f t="shared" si="1462"/>
        <v>0</v>
      </c>
      <c r="AS1064" s="7">
        <f t="shared" si="1463"/>
        <v>0</v>
      </c>
      <c r="AT1064" s="7">
        <f>0</f>
        <v>0</v>
      </c>
      <c r="AU1064" s="7">
        <f t="shared" si="1464"/>
        <v>16369.31</v>
      </c>
      <c r="AV1064" s="1">
        <f t="shared" si="1465"/>
        <v>2</v>
      </c>
      <c r="AW1064" s="1">
        <f t="shared" si="1501"/>
        <v>10</v>
      </c>
      <c r="AX1064" s="1">
        <f t="shared" si="1466"/>
        <v>2</v>
      </c>
      <c r="AY1064" s="1">
        <f t="shared" si="1495"/>
        <v>6</v>
      </c>
      <c r="AZ1064" s="1">
        <f t="shared" si="1467"/>
        <v>5</v>
      </c>
      <c r="BA1064" s="1">
        <f>MIN(6,Q1064+1)</f>
        <v>5</v>
      </c>
      <c r="BB1064" s="1">
        <f t="shared" si="1488"/>
        <v>5</v>
      </c>
      <c r="BC1064" s="1">
        <f t="shared" si="1502"/>
        <v>2</v>
      </c>
      <c r="BD1064" s="1">
        <f t="shared" si="1496"/>
        <v>0</v>
      </c>
      <c r="BE1064" s="1">
        <f t="shared" si="1489"/>
        <v>0</v>
      </c>
      <c r="BF1064" s="1">
        <f>MIN(4,V1064+0)</f>
        <v>2</v>
      </c>
      <c r="BG1064" s="1">
        <f t="shared" ref="BG1064:BG1086" si="1506">MAX(W1064,0)</f>
        <v>1</v>
      </c>
      <c r="BH1064" s="1">
        <f t="shared" si="1490"/>
        <v>1</v>
      </c>
      <c r="BI1064" s="1">
        <f t="shared" ref="BI1064:BI1086" si="1507">MAX(Y1064,0)</f>
        <v>1</v>
      </c>
      <c r="BJ1064" s="1">
        <f>MAX(Z1064,1)</f>
        <v>1</v>
      </c>
      <c r="BK1064" s="1">
        <f>MAX(AA1064,1)</f>
        <v>1</v>
      </c>
      <c r="BL1064" s="1">
        <f t="shared" si="1470"/>
        <v>0</v>
      </c>
      <c r="BM1064" s="1">
        <f t="shared" si="1468"/>
        <v>0</v>
      </c>
      <c r="BN1064" s="1">
        <f t="shared" si="1491"/>
        <v>1</v>
      </c>
      <c r="BO1064" s="1">
        <f t="shared" si="1492"/>
        <v>1</v>
      </c>
    </row>
    <row r="1065" spans="1:67" ht="30.95" customHeight="1">
      <c r="A1065" s="1">
        <f>29</f>
        <v>29</v>
      </c>
      <c r="B1065" s="1">
        <f>固定流程!A21</f>
        <v>16</v>
      </c>
      <c r="C1065" s="1">
        <f>32</f>
        <v>32</v>
      </c>
      <c r="D1065" s="1">
        <f>1</f>
        <v>1</v>
      </c>
      <c r="E1065" s="1">
        <f>固定流程!C21</f>
        <v>3</v>
      </c>
      <c r="F1065" s="1">
        <f>固定流程!G21</f>
        <v>2</v>
      </c>
      <c r="G1065" s="1" t="str">
        <f>固定流程!H21</f>
        <v>37_ULT</v>
      </c>
      <c r="H1065" s="1">
        <f>固定流程!F21</f>
        <v>1</v>
      </c>
      <c r="I1065" s="1">
        <f>INDEX(配置与结果!$B$15:$B$18,F1065)</f>
        <v>2306</v>
      </c>
      <c r="J1065" s="1">
        <f>INDEX(配置与结果!$D$15:$D$18,F1065)</f>
        <v>0.46</v>
      </c>
      <c r="K1065" s="1">
        <f>INDEX(配置与结果!$E$15:$E$18,F1065)</f>
        <v>1.9279999999999999</v>
      </c>
      <c r="L1065" s="1">
        <f t="shared" si="1503"/>
        <v>2</v>
      </c>
      <c r="M1065" s="1">
        <f t="shared" si="1504"/>
        <v>10</v>
      </c>
      <c r="N1065" s="1">
        <f t="shared" si="1505"/>
        <v>2</v>
      </c>
      <c r="O1065" s="1">
        <f t="shared" si="1497"/>
        <v>6</v>
      </c>
      <c r="P1065" s="1">
        <f>MIN(方案参数!$AI$32,AZ1064+0+0)</f>
        <v>5</v>
      </c>
      <c r="Q1065" s="1">
        <f t="shared" si="1475"/>
        <v>5</v>
      </c>
      <c r="R1065" s="1">
        <f t="shared" si="1476"/>
        <v>5</v>
      </c>
      <c r="S1065" s="1">
        <f t="shared" si="1477"/>
        <v>2</v>
      </c>
      <c r="T1065" s="1">
        <f>BD1064+方案参数!$BX$32</f>
        <v>2</v>
      </c>
      <c r="U1065" s="1">
        <f t="shared" si="1479"/>
        <v>0</v>
      </c>
      <c r="V1065" s="1">
        <f t="shared" si="1480"/>
        <v>2</v>
      </c>
      <c r="W1065" s="1">
        <f t="shared" si="1481"/>
        <v>1</v>
      </c>
      <c r="X1065" s="1">
        <f t="shared" si="1482"/>
        <v>1</v>
      </c>
      <c r="Y1065" s="1">
        <f t="shared" si="1483"/>
        <v>1</v>
      </c>
      <c r="Z1065" s="1">
        <f t="shared" si="1484"/>
        <v>1</v>
      </c>
      <c r="AA1065" s="1">
        <f t="shared" ref="AA1065:AA1085" si="1508">MAX(BK1064,0)</f>
        <v>1</v>
      </c>
      <c r="AB1065" s="1">
        <f t="shared" si="1486"/>
        <v>0</v>
      </c>
      <c r="AC1065" s="1">
        <f>MAX(BM1064,1)</f>
        <v>1</v>
      </c>
      <c r="AD1065" s="1">
        <f>ROUNDDOWN(I1065*(1+IF(F1065=3,0.05+方案参数!$Y$32+AA1065*0.12,IF(F1065=4,方案参数!$BZ$32*方案参数!$AS$32,0)))+IF(AND(X1065=1,F1065&lt;&gt;3),方案参数!$CC$32,0)+AC1065*方案参数!$CB$32,0)</f>
        <v>3044</v>
      </c>
      <c r="AE1065" s="1">
        <f>IF(OR(F1065=1,F1065=4),配置与结果!$B$24,配置与结果!$B$25)*MAX(0,1-INDEX(配置与结果!$I$15:$I$18,F1065))</f>
        <v>1000</v>
      </c>
      <c r="AF1065" s="1">
        <f>0</f>
        <v>0</v>
      </c>
      <c r="AG1065" s="1">
        <f>MAX(配置与结果!$B$32,1+INDEX(配置与结果!$F$15:$F$18,F1065)+0+Q1065*方案参数!$W$32+Y1065*(方案参数!$AN$32+MIN(方案参数!$AO$32,P1065*0.03))+AB1065*方案参数!$BZ$32*0.025-配置与结果!$B$28)</f>
        <v>1.0049999999999999</v>
      </c>
      <c r="AH1065" s="1">
        <f>MAX(0,1+INDEX(配置与结果!$G$15:$G$18,F1065)+W1065*方案参数!$AG$32)</f>
        <v>1.3</v>
      </c>
      <c r="AI1065" s="1">
        <f>IF(OR(INDEX(配置与结果!$K$15:$K$18,F1065)=1,G1065="RHI_BERRY"),1+配置与结果!$B$33+P1065*方案参数!$AH$32,1)</f>
        <v>1</v>
      </c>
      <c r="AJ1065" s="1">
        <f>MIN(1,MAX(0,J1065+方案参数!$AB$32-配置与结果!$B$27))</f>
        <v>0.76</v>
      </c>
      <c r="AK1065" s="1">
        <f>MAX(1,K1065+IF(F1065=2,0.15+方案参数!$CH$32,0)+BN1065*方案参数!$X$32+R1065*方案参数!$AA$32+0-配置与结果!$B$26+Z1065*(方案参数!$AP$32+MIN(方案参数!$AQ$32,P1065*0.03)))</f>
        <v>2.278</v>
      </c>
      <c r="AL1065" s="7">
        <f>ROUNDDOWN(MAX(AD1065*配置与结果!$B$31,AD1065-AE1065)*AF1065*AG1065*AH1065*AI1065,0)</f>
        <v>0</v>
      </c>
      <c r="AM1065" s="7">
        <f>ROUNDDOWN(MAX(AD1065*配置与结果!$B$31,AD1065-AE1065)*AF1065*AG1065*AH1065*AI1065*AK1065,0)</f>
        <v>0</v>
      </c>
      <c r="AN1065" s="7">
        <f t="shared" si="1460"/>
        <v>0</v>
      </c>
      <c r="AO1065" s="7">
        <f>0</f>
        <v>0</v>
      </c>
      <c r="AP1065" s="7">
        <f>MAX(0,1+INDEX(配置与结果!$J$15:$J$18,F1065)+IF(T1065&gt;0,方案参数!$BY$32,0)-配置与结果!$B$30)</f>
        <v>2</v>
      </c>
      <c r="AQ1065" s="7">
        <f t="shared" si="1461"/>
        <v>0</v>
      </c>
      <c r="AR1065" s="7">
        <f t="shared" si="1462"/>
        <v>0</v>
      </c>
      <c r="AS1065" s="7">
        <f t="shared" si="1463"/>
        <v>0</v>
      </c>
      <c r="AT1065" s="7">
        <f>0</f>
        <v>0</v>
      </c>
      <c r="AU1065" s="7">
        <f t="shared" si="1464"/>
        <v>0</v>
      </c>
      <c r="AV1065" s="1">
        <f t="shared" si="1465"/>
        <v>2</v>
      </c>
      <c r="AW1065" s="1">
        <f t="shared" si="1501"/>
        <v>10</v>
      </c>
      <c r="AX1065" s="1">
        <f t="shared" si="1466"/>
        <v>2</v>
      </c>
      <c r="AY1065" s="1">
        <f t="shared" si="1495"/>
        <v>6</v>
      </c>
      <c r="AZ1065" s="1">
        <f t="shared" si="1467"/>
        <v>5</v>
      </c>
      <c r="BA1065" s="1">
        <f t="shared" ref="BA1065:BA1085" si="1509">MIN(6,Q1065+0)</f>
        <v>5</v>
      </c>
      <c r="BB1065" s="1">
        <f>MIN(30,R1065+5)</f>
        <v>10</v>
      </c>
      <c r="BC1065" s="1">
        <f t="shared" si="1502"/>
        <v>2</v>
      </c>
      <c r="BD1065" s="1">
        <f t="shared" si="1496"/>
        <v>2</v>
      </c>
      <c r="BE1065" s="1">
        <f t="shared" si="1489"/>
        <v>0</v>
      </c>
      <c r="BF1065" s="1">
        <f>MIN(4,V1065+0)</f>
        <v>2</v>
      </c>
      <c r="BG1065" s="1">
        <f t="shared" si="1506"/>
        <v>1</v>
      </c>
      <c r="BH1065" s="1">
        <f t="shared" si="1490"/>
        <v>1</v>
      </c>
      <c r="BI1065" s="1">
        <f t="shared" si="1507"/>
        <v>1</v>
      </c>
      <c r="BJ1065" s="1">
        <f t="shared" ref="BJ1065:BJ1092" si="1510">MAX(Z1065,0)</f>
        <v>1</v>
      </c>
      <c r="BK1065" s="1">
        <f t="shared" ref="BK1065:BK1092" si="1511">MAX(AA1065,0)</f>
        <v>1</v>
      </c>
      <c r="BL1065" s="1">
        <f t="shared" si="1470"/>
        <v>0</v>
      </c>
      <c r="BM1065" s="1">
        <f>MAX(AC1065,1)</f>
        <v>1</v>
      </c>
      <c r="BN1065" s="1">
        <f t="shared" si="1491"/>
        <v>1</v>
      </c>
      <c r="BO1065" s="1">
        <f t="shared" si="1492"/>
        <v>1</v>
      </c>
    </row>
    <row r="1066" spans="1:67" ht="30.95" customHeight="1">
      <c r="A1066" s="1">
        <f>29</f>
        <v>29</v>
      </c>
      <c r="B1066" s="1">
        <f>固定流程!A22</f>
        <v>17</v>
      </c>
      <c r="C1066" s="1">
        <f>32</f>
        <v>32</v>
      </c>
      <c r="D1066" s="1">
        <f>1</f>
        <v>1</v>
      </c>
      <c r="E1066" s="1">
        <f>固定流程!C22</f>
        <v>3</v>
      </c>
      <c r="F1066" s="1">
        <f>固定流程!G22</f>
        <v>2</v>
      </c>
      <c r="G1066" s="1" t="str">
        <f>固定流程!H22</f>
        <v>37_FOLLOW</v>
      </c>
      <c r="H1066" s="1">
        <f>固定流程!F22</f>
        <v>1</v>
      </c>
      <c r="I1066" s="1">
        <f>INDEX(配置与结果!$B$15:$B$18,F1066)</f>
        <v>2306</v>
      </c>
      <c r="J1066" s="1">
        <f>INDEX(配置与结果!$D$15:$D$18,F1066)</f>
        <v>0.46</v>
      </c>
      <c r="K1066" s="1">
        <f>INDEX(配置与结果!$E$15:$E$18,F1066)</f>
        <v>1.9279999999999999</v>
      </c>
      <c r="L1066" s="1">
        <f t="shared" si="1503"/>
        <v>2</v>
      </c>
      <c r="M1066" s="1">
        <f t="shared" si="1504"/>
        <v>10</v>
      </c>
      <c r="N1066" s="1">
        <f t="shared" si="1505"/>
        <v>2</v>
      </c>
      <c r="O1066" s="1">
        <f t="shared" si="1497"/>
        <v>6</v>
      </c>
      <c r="P1066" s="1">
        <f>MIN(方案参数!$AI$32,AZ1065+0+0)</f>
        <v>5</v>
      </c>
      <c r="Q1066" s="1">
        <f t="shared" si="1475"/>
        <v>5</v>
      </c>
      <c r="R1066" s="1">
        <f t="shared" si="1476"/>
        <v>10</v>
      </c>
      <c r="S1066" s="1">
        <f t="shared" si="1477"/>
        <v>2</v>
      </c>
      <c r="T1066" s="1">
        <f t="shared" ref="T1066:T1085" si="1512">BD1065+0</f>
        <v>2</v>
      </c>
      <c r="U1066" s="1">
        <f t="shared" si="1479"/>
        <v>0</v>
      </c>
      <c r="V1066" s="1">
        <f t="shared" si="1480"/>
        <v>2</v>
      </c>
      <c r="W1066" s="1">
        <f t="shared" si="1481"/>
        <v>1</v>
      </c>
      <c r="X1066" s="1">
        <f t="shared" si="1482"/>
        <v>1</v>
      </c>
      <c r="Y1066" s="1">
        <f t="shared" si="1483"/>
        <v>1</v>
      </c>
      <c r="Z1066" s="1">
        <f t="shared" si="1484"/>
        <v>1</v>
      </c>
      <c r="AA1066" s="1">
        <f t="shared" si="1508"/>
        <v>1</v>
      </c>
      <c r="AB1066" s="1">
        <f t="shared" si="1486"/>
        <v>0</v>
      </c>
      <c r="AC1066" s="1">
        <f t="shared" ref="AC1066:AC1085" si="1513">MAX(BM1065,0)</f>
        <v>1</v>
      </c>
      <c r="AD1066" s="1">
        <f>ROUNDDOWN(I1066*(1+IF(F1066=3,0.05+方案参数!$Y$32+AA1066*0.12,IF(F1066=4,方案参数!$BZ$32*方案参数!$AS$32,0)))+IF(AND(X1066=1,F1066&lt;&gt;3),方案参数!$CC$32,0)+AC1066*方案参数!$CB$32,0)</f>
        <v>3044</v>
      </c>
      <c r="AE1066" s="1">
        <f>IF(OR(F1066=1,F1066=4),配置与结果!$B$24,配置与结果!$B$25)*MAX(0,1-INDEX(配置与结果!$I$15:$I$18,F1066))</f>
        <v>1000</v>
      </c>
      <c r="AF1066" s="1">
        <f>方案参数!$BV$32</f>
        <v>3</v>
      </c>
      <c r="AG1066" s="1">
        <f>MAX(配置与结果!$B$32,1+INDEX(配置与结果!$F$15:$F$18,F1066)+0+Q1066*方案参数!$W$32+Y1066*(方案参数!$AN$32+MIN(方案参数!$AO$32,P1066*0.03))+AB1066*方案参数!$BZ$32*0.025-配置与结果!$B$28)</f>
        <v>1.0049999999999999</v>
      </c>
      <c r="AH1066" s="1">
        <f>MAX(0,1+INDEX(配置与结果!$G$15:$G$18,F1066)+W1066*方案参数!$AG$32)</f>
        <v>1.3</v>
      </c>
      <c r="AI1066" s="1">
        <f>IF(OR(INDEX(配置与结果!$K$15:$K$18,F1066)=1,G1066="RHI_BERRY"),1+配置与结果!$B$33+P1066*方案参数!$AH$32,1)</f>
        <v>1</v>
      </c>
      <c r="AJ1066" s="1">
        <f>MIN(1,MAX(0,J1066+方案参数!$AB$32-配置与结果!$B$27))</f>
        <v>0.76</v>
      </c>
      <c r="AK1066" s="1">
        <f>MAX(1,K1066+IF(F1066=2,0.15+方案参数!$CH$32,0)+BN1066*方案参数!$X$32+R1066*方案参数!$AA$32+0-配置与结果!$B$26+Z1066*(方案参数!$AP$32+MIN(方案参数!$AQ$32,P1066*0.03)))</f>
        <v>2.298</v>
      </c>
      <c r="AL1066" s="7">
        <f>ROUNDDOWN(MAX(AD1066*配置与结果!$B$31,AD1066-AE1066)*AF1066*AG1066*AH1066*AI1066,0)</f>
        <v>8011</v>
      </c>
      <c r="AM1066" s="7">
        <f>ROUNDDOWN(MAX(AD1066*配置与结果!$B$31,AD1066-AE1066)*AF1066*AG1066*AH1066*AI1066*AK1066,0)</f>
        <v>18410</v>
      </c>
      <c r="AN1066" s="7">
        <f t="shared" si="1460"/>
        <v>15914.24</v>
      </c>
      <c r="AO1066" s="7">
        <f>方案参数!$BW$32</f>
        <v>1</v>
      </c>
      <c r="AP1066" s="7">
        <f>MAX(0,1+INDEX(配置与结果!$J$15:$J$18,F1066)+IF(T1066&gt;0,方案参数!$BY$32,0)-配置与结果!$B$30)</f>
        <v>2</v>
      </c>
      <c r="AQ1066" s="7">
        <f t="shared" si="1461"/>
        <v>6088</v>
      </c>
      <c r="AR1066" s="7">
        <f t="shared" si="1462"/>
        <v>13990</v>
      </c>
      <c r="AS1066" s="7">
        <f t="shared" si="1463"/>
        <v>12093.52</v>
      </c>
      <c r="AT1066" s="7">
        <f>0</f>
        <v>0</v>
      </c>
      <c r="AU1066" s="7">
        <f t="shared" si="1464"/>
        <v>28007.760000000002</v>
      </c>
      <c r="AV1066" s="1">
        <f t="shared" si="1465"/>
        <v>2</v>
      </c>
      <c r="AW1066" s="1">
        <f t="shared" si="1501"/>
        <v>10</v>
      </c>
      <c r="AX1066" s="1">
        <f t="shared" si="1466"/>
        <v>2</v>
      </c>
      <c r="AY1066" s="1">
        <f t="shared" si="1495"/>
        <v>6</v>
      </c>
      <c r="AZ1066" s="1">
        <f t="shared" si="1467"/>
        <v>5</v>
      </c>
      <c r="BA1066" s="1">
        <f t="shared" si="1509"/>
        <v>5</v>
      </c>
      <c r="BB1066" s="1">
        <f>MIN(30,R1066+0)</f>
        <v>10</v>
      </c>
      <c r="BC1066" s="1">
        <f t="shared" si="1502"/>
        <v>2</v>
      </c>
      <c r="BD1066" s="1">
        <f t="shared" si="1496"/>
        <v>1</v>
      </c>
      <c r="BE1066" s="1">
        <f t="shared" si="1489"/>
        <v>0</v>
      </c>
      <c r="BF1066" s="1">
        <f>MIN(4,V1066+1)</f>
        <v>3</v>
      </c>
      <c r="BG1066" s="1">
        <f t="shared" si="1506"/>
        <v>1</v>
      </c>
      <c r="BH1066" s="1">
        <f t="shared" si="1490"/>
        <v>1</v>
      </c>
      <c r="BI1066" s="1">
        <f t="shared" si="1507"/>
        <v>1</v>
      </c>
      <c r="BJ1066" s="1">
        <f t="shared" si="1510"/>
        <v>1</v>
      </c>
      <c r="BK1066" s="1">
        <f t="shared" si="1511"/>
        <v>1</v>
      </c>
      <c r="BL1066" s="1">
        <f t="shared" si="1470"/>
        <v>0</v>
      </c>
      <c r="BM1066" s="1">
        <f t="shared" ref="BM1066:BM1100" si="1514">MAX(AC1066,0)</f>
        <v>1</v>
      </c>
      <c r="BN1066" s="1">
        <f t="shared" si="1491"/>
        <v>1</v>
      </c>
      <c r="BO1066" s="1">
        <f t="shared" si="1492"/>
        <v>1</v>
      </c>
    </row>
    <row r="1067" spans="1:67" ht="30.95" customHeight="1">
      <c r="A1067" s="1">
        <f>29</f>
        <v>29</v>
      </c>
      <c r="B1067" s="1">
        <f>固定流程!A23</f>
        <v>18</v>
      </c>
      <c r="C1067" s="1">
        <f>32</f>
        <v>32</v>
      </c>
      <c r="D1067" s="1">
        <f>1</f>
        <v>1</v>
      </c>
      <c r="E1067" s="1">
        <f>固定流程!C23</f>
        <v>3</v>
      </c>
      <c r="F1067" s="1">
        <f>固定流程!G23</f>
        <v>4</v>
      </c>
      <c r="G1067" s="1" t="str">
        <f>固定流程!H23</f>
        <v>J_HARD</v>
      </c>
      <c r="H1067" s="1">
        <f>固定流程!F23</f>
        <v>1</v>
      </c>
      <c r="I1067" s="1">
        <f>INDEX(配置与结果!$B$15:$B$18,F1067)</f>
        <v>1906</v>
      </c>
      <c r="J1067" s="1">
        <f>INDEX(配置与结果!$D$15:$D$18,F1067)</f>
        <v>0.36699999999999999</v>
      </c>
      <c r="K1067" s="1">
        <f>INDEX(配置与结果!$E$15:$E$18,F1067)</f>
        <v>1.7170000000000001</v>
      </c>
      <c r="L1067" s="1">
        <f t="shared" si="1503"/>
        <v>2</v>
      </c>
      <c r="M1067" s="1">
        <f t="shared" si="1504"/>
        <v>10</v>
      </c>
      <c r="N1067" s="1">
        <f t="shared" si="1505"/>
        <v>2</v>
      </c>
      <c r="O1067" s="1">
        <f t="shared" si="1497"/>
        <v>6</v>
      </c>
      <c r="P1067" s="1">
        <f>MIN(方案参数!$AI$32,AZ1066+0+0)</f>
        <v>5</v>
      </c>
      <c r="Q1067" s="1">
        <f t="shared" si="1475"/>
        <v>5</v>
      </c>
      <c r="R1067" s="1">
        <f t="shared" si="1476"/>
        <v>10</v>
      </c>
      <c r="S1067" s="1">
        <f t="shared" si="1477"/>
        <v>2</v>
      </c>
      <c r="T1067" s="1">
        <f t="shared" si="1512"/>
        <v>1</v>
      </c>
      <c r="U1067" s="1">
        <f t="shared" si="1479"/>
        <v>0</v>
      </c>
      <c r="V1067" s="1">
        <f t="shared" si="1480"/>
        <v>3</v>
      </c>
      <c r="W1067" s="1">
        <f t="shared" si="1481"/>
        <v>1</v>
      </c>
      <c r="X1067" s="1">
        <f t="shared" si="1482"/>
        <v>1</v>
      </c>
      <c r="Y1067" s="1">
        <f t="shared" si="1483"/>
        <v>1</v>
      </c>
      <c r="Z1067" s="1">
        <f t="shared" si="1484"/>
        <v>1</v>
      </c>
      <c r="AA1067" s="1">
        <f t="shared" si="1508"/>
        <v>1</v>
      </c>
      <c r="AB1067" s="1">
        <f t="shared" si="1486"/>
        <v>0</v>
      </c>
      <c r="AC1067" s="1">
        <f t="shared" si="1513"/>
        <v>1</v>
      </c>
      <c r="AD1067" s="1">
        <f>ROUNDDOWN(I1067*(1+IF(F1067=3,0.05+方案参数!$Y$32+AA1067*0.12,IF(F1067=4,方案参数!$BZ$32*方案参数!$AS$32,0)))+IF(AND(X1067=1,F1067&lt;&gt;3),方案参数!$CC$32,0)+AC1067*方案参数!$CB$32,0)</f>
        <v>3311</v>
      </c>
      <c r="AE1067" s="1">
        <f>IF(OR(F1067=1,F1067=4),配置与结果!$B$24,配置与结果!$B$25)*MAX(0,1-INDEX(配置与结果!$I$15:$I$18,F1067))</f>
        <v>1200</v>
      </c>
      <c r="AF1067" s="1">
        <f>3.6*IF(H1067=1,1,IF(H1067=2,1.5,2.5))</f>
        <v>3.6</v>
      </c>
      <c r="AG1067" s="1">
        <f>MAX(配置与结果!$B$32,1+INDEX(配置与结果!$F$15:$F$18,F1067)+0.08+Q1067*方案参数!$W$32+Y1067*(方案参数!$AN$32+MIN(方案参数!$AO$32,P1067*0.03))+AB1067*方案参数!$BZ$32*0.025+0.1+IF(方案参数!$BZ$32&gt;=30,方案参数!$BZ$32*0.01,0)-配置与结果!$B$28)</f>
        <v>1.5550000000000002</v>
      </c>
      <c r="AH1067" s="1">
        <f>MAX(0,1+INDEX(配置与结果!$G$15:$G$18,F1067)+W1067*方案参数!$AG$32)</f>
        <v>1.3</v>
      </c>
      <c r="AI1067" s="1">
        <f>IF(OR(INDEX(配置与结果!$K$15:$K$18,F1067)=1,G1067="RHI_BERRY"),1+配置与结果!$B$33+P1067*方案参数!$AH$32,1)</f>
        <v>1</v>
      </c>
      <c r="AJ1067" s="1">
        <f>MIN(1,MAX(0,J1067+方案参数!$AB$32-配置与结果!$B$27))</f>
        <v>0.66700000000000004</v>
      </c>
      <c r="AK1067" s="1">
        <f>MAX(1,K1067+IF(F1067=2,0.15+方案参数!$CH$32,0)+BN1067*方案参数!$X$32+R1067*方案参数!$AA$32+0-配置与结果!$B$26+Z1067*(方案参数!$AP$32+MIN(方案参数!$AQ$32,P1067*0.03)))</f>
        <v>1.8169999999999999</v>
      </c>
      <c r="AL1067" s="7">
        <f>ROUNDDOWN(MAX(AD1067*配置与结果!$B$31,AD1067-AE1067)*AF1067*AG1067*AH1067*AI1067,0)</f>
        <v>15362</v>
      </c>
      <c r="AM1067" s="7">
        <f>ROUNDDOWN(MAX(AD1067*配置与结果!$B$31,AD1067-AE1067)*AF1067*AG1067*AH1067*AI1067*AK1067,0)</f>
        <v>27913</v>
      </c>
      <c r="AN1067" s="7">
        <f t="shared" si="1460"/>
        <v>23733.517</v>
      </c>
      <c r="AO1067" s="7">
        <f>0</f>
        <v>0</v>
      </c>
      <c r="AP1067" s="7">
        <f>MAX(0,1+INDEX(配置与结果!$J$15:$J$18,F1067)+IF(T1067&gt;0,方案参数!$BY$32,0)-配置与结果!$B$30)</f>
        <v>2</v>
      </c>
      <c r="AQ1067" s="7">
        <f t="shared" si="1461"/>
        <v>0</v>
      </c>
      <c r="AR1067" s="7">
        <f t="shared" si="1462"/>
        <v>0</v>
      </c>
      <c r="AS1067" s="7">
        <f t="shared" si="1463"/>
        <v>0</v>
      </c>
      <c r="AT1067" s="7">
        <f>0</f>
        <v>0</v>
      </c>
      <c r="AU1067" s="7">
        <f t="shared" si="1464"/>
        <v>23733.517</v>
      </c>
      <c r="AV1067" s="1">
        <f t="shared" si="1465"/>
        <v>2</v>
      </c>
      <c r="AW1067" s="1">
        <f t="shared" si="1501"/>
        <v>10</v>
      </c>
      <c r="AX1067" s="1">
        <f t="shared" si="1466"/>
        <v>2</v>
      </c>
      <c r="AY1067" s="1">
        <f t="shared" si="1495"/>
        <v>6</v>
      </c>
      <c r="AZ1067" s="1">
        <f t="shared" si="1467"/>
        <v>5</v>
      </c>
      <c r="BA1067" s="1">
        <f t="shared" si="1509"/>
        <v>5</v>
      </c>
      <c r="BB1067" s="1">
        <f>MIN(30,R1067+0)</f>
        <v>10</v>
      </c>
      <c r="BC1067" s="1">
        <f>MIN(3,S1067+1)</f>
        <v>3</v>
      </c>
      <c r="BD1067" s="1">
        <f t="shared" si="1496"/>
        <v>1</v>
      </c>
      <c r="BE1067" s="1">
        <f t="shared" si="1489"/>
        <v>0</v>
      </c>
      <c r="BF1067" s="1">
        <f>MIN(4,V1067+0)</f>
        <v>3</v>
      </c>
      <c r="BG1067" s="1">
        <f t="shared" si="1506"/>
        <v>1</v>
      </c>
      <c r="BH1067" s="1">
        <f t="shared" si="1490"/>
        <v>1</v>
      </c>
      <c r="BI1067" s="1">
        <f t="shared" si="1507"/>
        <v>1</v>
      </c>
      <c r="BJ1067" s="1">
        <f t="shared" si="1510"/>
        <v>1</v>
      </c>
      <c r="BK1067" s="1">
        <f t="shared" si="1511"/>
        <v>1</v>
      </c>
      <c r="BL1067" s="1">
        <f t="shared" si="1470"/>
        <v>0</v>
      </c>
      <c r="BM1067" s="1">
        <f t="shared" si="1514"/>
        <v>1</v>
      </c>
      <c r="BN1067" s="1">
        <f t="shared" si="1491"/>
        <v>1</v>
      </c>
      <c r="BO1067" s="1">
        <f t="shared" si="1492"/>
        <v>1</v>
      </c>
    </row>
    <row r="1068" spans="1:67" ht="30.95" customHeight="1">
      <c r="A1068" s="1">
        <f>29</f>
        <v>29</v>
      </c>
      <c r="B1068" s="1">
        <f>固定流程!A24</f>
        <v>19</v>
      </c>
      <c r="C1068" s="1">
        <f>32</f>
        <v>32</v>
      </c>
      <c r="D1068" s="1">
        <f>1</f>
        <v>1</v>
      </c>
      <c r="E1068" s="1">
        <f>固定流程!C24</f>
        <v>3</v>
      </c>
      <c r="F1068" s="1">
        <f>固定流程!G24</f>
        <v>4</v>
      </c>
      <c r="G1068" s="1" t="str">
        <f>固定流程!H24</f>
        <v>J_ULT</v>
      </c>
      <c r="H1068" s="1">
        <f>固定流程!F24</f>
        <v>1</v>
      </c>
      <c r="I1068" s="1">
        <f>INDEX(配置与结果!$B$15:$B$18,F1068)</f>
        <v>1906</v>
      </c>
      <c r="J1068" s="1">
        <f>INDEX(配置与结果!$D$15:$D$18,F1068)</f>
        <v>0.36699999999999999</v>
      </c>
      <c r="K1068" s="1">
        <f>INDEX(配置与结果!$E$15:$E$18,F1068)</f>
        <v>1.7170000000000001</v>
      </c>
      <c r="L1068" s="1">
        <f t="shared" si="1503"/>
        <v>2</v>
      </c>
      <c r="M1068" s="1">
        <f t="shared" si="1504"/>
        <v>10</v>
      </c>
      <c r="N1068" s="1">
        <f t="shared" si="1505"/>
        <v>2</v>
      </c>
      <c r="O1068" s="1">
        <f t="shared" si="1497"/>
        <v>6</v>
      </c>
      <c r="P1068" s="1">
        <f>MIN(方案参数!$AI$32,AZ1067+0+0)</f>
        <v>5</v>
      </c>
      <c r="Q1068" s="1">
        <f t="shared" si="1475"/>
        <v>5</v>
      </c>
      <c r="R1068" s="1">
        <f t="shared" si="1476"/>
        <v>10</v>
      </c>
      <c r="S1068" s="1">
        <f t="shared" si="1477"/>
        <v>3</v>
      </c>
      <c r="T1068" s="1">
        <f t="shared" si="1512"/>
        <v>1</v>
      </c>
      <c r="U1068" s="1">
        <f t="shared" si="1479"/>
        <v>0</v>
      </c>
      <c r="V1068" s="1">
        <f t="shared" si="1480"/>
        <v>3</v>
      </c>
      <c r="W1068" s="1">
        <f t="shared" si="1481"/>
        <v>1</v>
      </c>
      <c r="X1068" s="1">
        <f t="shared" si="1482"/>
        <v>1</v>
      </c>
      <c r="Y1068" s="1">
        <f t="shared" si="1483"/>
        <v>1</v>
      </c>
      <c r="Z1068" s="1">
        <f t="shared" si="1484"/>
        <v>1</v>
      </c>
      <c r="AA1068" s="1">
        <f t="shared" si="1508"/>
        <v>1</v>
      </c>
      <c r="AB1068" s="1">
        <f t="shared" si="1486"/>
        <v>0</v>
      </c>
      <c r="AC1068" s="1">
        <f t="shared" si="1513"/>
        <v>1</v>
      </c>
      <c r="AD1068" s="1">
        <f>ROUNDDOWN(I1068*(1+IF(F1068=3,0.05+方案参数!$Y$32+AA1068*0.12,IF(F1068=4,方案参数!$BZ$32*方案参数!$AS$32,0)))+IF(AND(X1068=1,F1068&lt;&gt;3),方案参数!$CC$32,0)+AC1068*方案参数!$CB$32,0)</f>
        <v>3311</v>
      </c>
      <c r="AE1068" s="1">
        <f>IF(OR(F1068=1,F1068=4),配置与结果!$B$24,配置与结果!$B$25)*MAX(0,1-INDEX(配置与结果!$I$15:$I$18,F1068))</f>
        <v>1200</v>
      </c>
      <c r="AF1068" s="1">
        <f>方案参数!$AT$32+MAX(0,配置与结果!$H$26+方案参数!$BZ$32-30)*方案参数!$AU$32*配置与结果!$H$27</f>
        <v>42</v>
      </c>
      <c r="AG1068" s="1">
        <f>MAX(配置与结果!$B$32,1+INDEX(配置与结果!$F$15:$F$18,F1068)+0.08+Q1068*方案参数!$W$32+Y1068*(方案参数!$AN$32+MIN(方案参数!$AO$32,P1068*0.03))+AB1068*方案参数!$BZ$32*0.025-配置与结果!$B$28)</f>
        <v>1.105</v>
      </c>
      <c r="AH1068" s="1">
        <f>MAX(0,1+INDEX(配置与结果!$H$15:$H$18,F1068)+W1068*方案参数!$AG$32+S1068*方案参数!$Z$32)</f>
        <v>1.42</v>
      </c>
      <c r="AI1068" s="1">
        <f>IF(OR(INDEX(配置与结果!$K$15:$K$18,F1068)=1,G1068="RHI_BERRY"),1+配置与结果!$B$33+P1068*方案参数!$AH$32,1)</f>
        <v>1</v>
      </c>
      <c r="AJ1068" s="1">
        <f>MIN(1,MAX(0,J1068+方案参数!$AB$32-配置与结果!$B$27))</f>
        <v>0.66700000000000004</v>
      </c>
      <c r="AK1068" s="1">
        <f>MAX(1,K1068+IF(F1068=2,0.15+方案参数!$CH$32,0)+BN1068*方案参数!$X$32+R1068*方案参数!$AA$32+0-配置与结果!$B$26+Z1068*(方案参数!$AP$32+MIN(方案参数!$AQ$32,P1068*0.03)))</f>
        <v>1.8169999999999999</v>
      </c>
      <c r="AL1068" s="7">
        <f>ROUNDDOWN(MAX(AD1068*配置与结果!$B$31,AD1068-AE1068)*AF1068*AG1068*AH1068*AI1068,0)</f>
        <v>139119</v>
      </c>
      <c r="AM1068" s="7">
        <f>ROUNDDOWN(MAX(AD1068*配置与结果!$B$31,AD1068-AE1068)*AF1068*AG1068*AH1068*AI1068*AK1068,0)</f>
        <v>252780</v>
      </c>
      <c r="AN1068" s="7">
        <f t="shared" si="1460"/>
        <v>214930.88699999999</v>
      </c>
      <c r="AO1068" s="7">
        <f>0</f>
        <v>0</v>
      </c>
      <c r="AP1068" s="7">
        <f>MAX(0,1+INDEX(配置与结果!$J$15:$J$18,F1068)+IF(T1068&gt;0,方案参数!$BY$32,0)-配置与结果!$B$30)</f>
        <v>2</v>
      </c>
      <c r="AQ1068" s="7">
        <f t="shared" si="1461"/>
        <v>0</v>
      </c>
      <c r="AR1068" s="7">
        <f t="shared" si="1462"/>
        <v>0</v>
      </c>
      <c r="AS1068" s="7">
        <f t="shared" si="1463"/>
        <v>0</v>
      </c>
      <c r="AT1068" s="7">
        <f>0</f>
        <v>0</v>
      </c>
      <c r="AU1068" s="7">
        <f t="shared" si="1464"/>
        <v>214930.88699999999</v>
      </c>
      <c r="AV1068" s="1">
        <f t="shared" si="1465"/>
        <v>2</v>
      </c>
      <c r="AW1068" s="1">
        <f t="shared" si="1501"/>
        <v>10</v>
      </c>
      <c r="AX1068" s="1">
        <f t="shared" si="1466"/>
        <v>2</v>
      </c>
      <c r="AY1068" s="1">
        <f t="shared" si="1495"/>
        <v>6</v>
      </c>
      <c r="AZ1068" s="1">
        <f t="shared" si="1467"/>
        <v>5</v>
      </c>
      <c r="BA1068" s="1">
        <f t="shared" si="1509"/>
        <v>5</v>
      </c>
      <c r="BB1068" s="1">
        <f>MIN(30,R1068+5)</f>
        <v>15</v>
      </c>
      <c r="BC1068" s="1">
        <f t="shared" ref="BC1068:BC1091" si="1515">MIN(3,S1068+0)</f>
        <v>3</v>
      </c>
      <c r="BD1068" s="1">
        <f t="shared" si="1496"/>
        <v>1</v>
      </c>
      <c r="BE1068" s="1">
        <f t="shared" si="1489"/>
        <v>0</v>
      </c>
      <c r="BF1068" s="1">
        <f>MIN(4,V1068+0)</f>
        <v>3</v>
      </c>
      <c r="BG1068" s="1">
        <f t="shared" si="1506"/>
        <v>1</v>
      </c>
      <c r="BH1068" s="1">
        <f t="shared" si="1490"/>
        <v>1</v>
      </c>
      <c r="BI1068" s="1">
        <f t="shared" si="1507"/>
        <v>1</v>
      </c>
      <c r="BJ1068" s="1">
        <f t="shared" si="1510"/>
        <v>1</v>
      </c>
      <c r="BK1068" s="1">
        <f t="shared" si="1511"/>
        <v>1</v>
      </c>
      <c r="BL1068" s="1">
        <f>MAX(AB1068,1)</f>
        <v>1</v>
      </c>
      <c r="BM1068" s="1">
        <f t="shared" si="1514"/>
        <v>1</v>
      </c>
      <c r="BN1068" s="1">
        <f t="shared" si="1491"/>
        <v>1</v>
      </c>
      <c r="BO1068" s="1">
        <f t="shared" si="1492"/>
        <v>1</v>
      </c>
    </row>
    <row r="1069" spans="1:67" ht="30.95" customHeight="1">
      <c r="A1069" s="1">
        <f>29</f>
        <v>29</v>
      </c>
      <c r="B1069" s="1">
        <f>固定流程!A25</f>
        <v>20</v>
      </c>
      <c r="C1069" s="1">
        <f>32</f>
        <v>32</v>
      </c>
      <c r="D1069" s="1">
        <f>1</f>
        <v>1</v>
      </c>
      <c r="E1069" s="1">
        <f>固定流程!C25</f>
        <v>3</v>
      </c>
      <c r="F1069" s="1">
        <f>固定流程!G25</f>
        <v>1</v>
      </c>
      <c r="G1069" s="1" t="str">
        <f>固定流程!H25</f>
        <v>LILYA_ULT</v>
      </c>
      <c r="H1069" s="1">
        <f>固定流程!F25</f>
        <v>1</v>
      </c>
      <c r="I1069" s="1">
        <f>INDEX(配置与结果!$B$15:$B$18,F1069)</f>
        <v>2296</v>
      </c>
      <c r="J1069" s="1">
        <f>INDEX(配置与结果!$D$15:$D$18,F1069)</f>
        <v>0.7</v>
      </c>
      <c r="K1069" s="1">
        <f>INDEX(配置与结果!$E$15:$E$18,F1069)</f>
        <v>2.0249999999999999</v>
      </c>
      <c r="L1069" s="1">
        <f t="shared" si="1503"/>
        <v>2</v>
      </c>
      <c r="M1069" s="1">
        <f t="shared" si="1504"/>
        <v>10</v>
      </c>
      <c r="N1069" s="1">
        <f t="shared" si="1505"/>
        <v>2</v>
      </c>
      <c r="O1069" s="1">
        <f t="shared" si="1497"/>
        <v>6</v>
      </c>
      <c r="P1069" s="1">
        <f>MIN(方案参数!$AI$32,AZ1068+0+0)</f>
        <v>5</v>
      </c>
      <c r="Q1069" s="1">
        <f t="shared" si="1475"/>
        <v>5</v>
      </c>
      <c r="R1069" s="1">
        <f t="shared" si="1476"/>
        <v>15</v>
      </c>
      <c r="S1069" s="1">
        <f t="shared" si="1477"/>
        <v>3</v>
      </c>
      <c r="T1069" s="1">
        <f t="shared" si="1512"/>
        <v>1</v>
      </c>
      <c r="U1069" s="1">
        <f t="shared" si="1479"/>
        <v>0</v>
      </c>
      <c r="V1069" s="1">
        <f t="shared" si="1480"/>
        <v>3</v>
      </c>
      <c r="W1069" s="1">
        <f t="shared" si="1481"/>
        <v>1</v>
      </c>
      <c r="X1069" s="1">
        <f t="shared" si="1482"/>
        <v>1</v>
      </c>
      <c r="Y1069" s="1">
        <f t="shared" si="1483"/>
        <v>1</v>
      </c>
      <c r="Z1069" s="1">
        <f t="shared" si="1484"/>
        <v>1</v>
      </c>
      <c r="AA1069" s="1">
        <f t="shared" si="1508"/>
        <v>1</v>
      </c>
      <c r="AB1069" s="1">
        <f t="shared" si="1486"/>
        <v>1</v>
      </c>
      <c r="AC1069" s="1">
        <f t="shared" si="1513"/>
        <v>1</v>
      </c>
      <c r="AD1069" s="1">
        <f>ROUNDDOWN(I1069*(1+IF(F1069=3,0.05+方案参数!$Y$32+AA1069*0.12,IF(F1069=4,方案参数!$BZ$32*方案参数!$AS$32,0)))+IF(AND(X1069=1,F1069&lt;&gt;3),方案参数!$CC$32,0)+AC1069*方案参数!$CB$32,0)</f>
        <v>3034</v>
      </c>
      <c r="AE1069" s="1">
        <f>IF(OR(F1069=1,F1069=4),配置与结果!$B$24,配置与结果!$B$25)*MAX(0,1-INDEX(配置与结果!$I$15:$I$18,F1069)+IF(O1069&gt;=6,方案参数!$BK$32,0))</f>
        <v>1440</v>
      </c>
      <c r="AF1069" s="1">
        <f>方案参数!$BG$32+IF(O1069&gt;=6,方案参数!$BH$32,0)</f>
        <v>36</v>
      </c>
      <c r="AG1069" s="1">
        <f>MAX(配置与结果!$B$32,1+INDEX(配置与结果!$F$15:$F$18,F1069)+0.08+方案参数!$CD$32+Q1069*方案参数!$W$32+Y1069*(方案参数!$AN$32+MIN(方案参数!$AO$32,P1069*0.03))+AB1069*方案参数!$BZ$32*0.025-配置与结果!$B$28)</f>
        <v>2.2150000000000003</v>
      </c>
      <c r="AH1069" s="1">
        <f>MAX(0,1+INDEX(配置与结果!$H$15:$H$18,F1069)+W1069*方案参数!$AG$32+O1069*方案参数!$BF$32+IF(O1069&gt;=6,方案参数!$BI$32,0))</f>
        <v>2.4500000000000002</v>
      </c>
      <c r="AI1069" s="1">
        <f>IF(OR(INDEX(配置与结果!$K$15:$K$18,F1069)=1,G1069="RHI_BERRY"),1+配置与结果!$B$33+P1069*方案参数!$AH$32,1)</f>
        <v>1</v>
      </c>
      <c r="AJ1069" s="1">
        <f>MIN(1,MAX(0,J1069+方案参数!$AB$32-配置与结果!$B$27))</f>
        <v>1</v>
      </c>
      <c r="AK1069" s="1">
        <f>MAX(1,K1069+IF(F1069=2,0.15+方案参数!$CH$32,0)+BN1069*方案参数!$X$32+R1069*方案参数!$AA$32+IF(O1069&gt;=6,方案参数!$BJ$32,0)-配置与结果!$B$26+Z1069*(方案参数!$AP$32+MIN(方案参数!$AQ$32,P1069*0.03)))</f>
        <v>3.145</v>
      </c>
      <c r="AL1069" s="7">
        <f>ROUNDDOWN(MAX(AD1069*配置与结果!$B$31,AD1069-AE1069)*AF1069*AG1069*AH1069*AI1069,0)</f>
        <v>311408</v>
      </c>
      <c r="AM1069" s="7">
        <f>ROUNDDOWN(MAX(AD1069*配置与结果!$B$31,AD1069-AE1069)*AF1069*AG1069*AH1069*AI1069*AK1069,0)</f>
        <v>979380</v>
      </c>
      <c r="AN1069" s="7">
        <f t="shared" si="1460"/>
        <v>979380</v>
      </c>
      <c r="AO1069" s="7">
        <f>0</f>
        <v>0</v>
      </c>
      <c r="AP1069" s="7">
        <f>MAX(0,1+INDEX(配置与结果!$J$15:$J$18,F1069)+IF(T1069&gt;0,方案参数!$BY$32,0)-配置与结果!$B$30)</f>
        <v>2</v>
      </c>
      <c r="AQ1069" s="7">
        <f t="shared" si="1461"/>
        <v>0</v>
      </c>
      <c r="AR1069" s="7">
        <f t="shared" si="1462"/>
        <v>0</v>
      </c>
      <c r="AS1069" s="7">
        <f t="shared" si="1463"/>
        <v>0</v>
      </c>
      <c r="AT1069" s="7">
        <f>0</f>
        <v>0</v>
      </c>
      <c r="AU1069" s="7">
        <f t="shared" si="1464"/>
        <v>979380</v>
      </c>
      <c r="AV1069" s="1">
        <f t="shared" si="1465"/>
        <v>2</v>
      </c>
      <c r="AW1069" s="1">
        <f t="shared" si="1501"/>
        <v>10</v>
      </c>
      <c r="AX1069" s="1">
        <f t="shared" si="1466"/>
        <v>2</v>
      </c>
      <c r="AY1069" s="1">
        <f>MIN(20,MAX(0,O1069+0+0-IF(O1069&gt;=6,6,0)))</f>
        <v>0</v>
      </c>
      <c r="AZ1069" s="1">
        <f t="shared" si="1467"/>
        <v>5</v>
      </c>
      <c r="BA1069" s="1">
        <f t="shared" si="1509"/>
        <v>5</v>
      </c>
      <c r="BB1069" s="1">
        <f>MIN(30,R1069+5)</f>
        <v>20</v>
      </c>
      <c r="BC1069" s="1">
        <f t="shared" si="1515"/>
        <v>3</v>
      </c>
      <c r="BD1069" s="1">
        <f t="shared" si="1496"/>
        <v>1</v>
      </c>
      <c r="BE1069" s="1">
        <f t="shared" si="1489"/>
        <v>0</v>
      </c>
      <c r="BF1069" s="1">
        <f>MIN(4,V1069+0)</f>
        <v>3</v>
      </c>
      <c r="BG1069" s="1">
        <f t="shared" si="1506"/>
        <v>1</v>
      </c>
      <c r="BH1069" s="1">
        <f t="shared" si="1490"/>
        <v>1</v>
      </c>
      <c r="BI1069" s="1">
        <f t="shared" si="1507"/>
        <v>1</v>
      </c>
      <c r="BJ1069" s="1">
        <f t="shared" si="1510"/>
        <v>1</v>
      </c>
      <c r="BK1069" s="1">
        <f t="shared" si="1511"/>
        <v>1</v>
      </c>
      <c r="BL1069" s="1">
        <f t="shared" ref="BL1069:BL1103" si="1516">MAX(AB1069,0)</f>
        <v>1</v>
      </c>
      <c r="BM1069" s="1">
        <f t="shared" si="1514"/>
        <v>1</v>
      </c>
      <c r="BN1069" s="1">
        <f t="shared" si="1491"/>
        <v>1</v>
      </c>
      <c r="BO1069" s="1">
        <f t="shared" si="1492"/>
        <v>1</v>
      </c>
    </row>
    <row r="1070" spans="1:67" ht="30.95" customHeight="1">
      <c r="A1070" s="1">
        <f>29</f>
        <v>29</v>
      </c>
      <c r="B1070" s="1">
        <f>固定流程!A26</f>
        <v>21</v>
      </c>
      <c r="C1070" s="1">
        <f>32</f>
        <v>32</v>
      </c>
      <c r="D1070" s="1">
        <f>1</f>
        <v>1</v>
      </c>
      <c r="E1070" s="1">
        <f>固定流程!C26</f>
        <v>3</v>
      </c>
      <c r="F1070" s="1">
        <f>固定流程!G26</f>
        <v>1</v>
      </c>
      <c r="G1070" s="1" t="str">
        <f>固定流程!H26</f>
        <v>LILYA_DIVE</v>
      </c>
      <c r="H1070" s="1">
        <f>固定流程!F26</f>
        <v>3</v>
      </c>
      <c r="I1070" s="1">
        <f>INDEX(配置与结果!$B$15:$B$18,F1070)</f>
        <v>2296</v>
      </c>
      <c r="J1070" s="1">
        <f>INDEX(配置与结果!$D$15:$D$18,F1070)</f>
        <v>0.7</v>
      </c>
      <c r="K1070" s="1">
        <f>INDEX(配置与结果!$E$15:$E$18,F1070)</f>
        <v>2.0249999999999999</v>
      </c>
      <c r="L1070" s="1">
        <f t="shared" si="1503"/>
        <v>2</v>
      </c>
      <c r="M1070" s="1">
        <f t="shared" si="1504"/>
        <v>10</v>
      </c>
      <c r="N1070" s="1">
        <f t="shared" si="1505"/>
        <v>2</v>
      </c>
      <c r="O1070" s="1">
        <f t="shared" si="1497"/>
        <v>0</v>
      </c>
      <c r="P1070" s="1">
        <f>MIN(方案参数!$AI$32,AZ1069+0+0)</f>
        <v>5</v>
      </c>
      <c r="Q1070" s="1">
        <f t="shared" si="1475"/>
        <v>5</v>
      </c>
      <c r="R1070" s="1">
        <f t="shared" si="1476"/>
        <v>20</v>
      </c>
      <c r="S1070" s="1">
        <f t="shared" si="1477"/>
        <v>3</v>
      </c>
      <c r="T1070" s="1">
        <f t="shared" si="1512"/>
        <v>1</v>
      </c>
      <c r="U1070" s="1">
        <f t="shared" si="1479"/>
        <v>0</v>
      </c>
      <c r="V1070" s="1">
        <f t="shared" si="1480"/>
        <v>3</v>
      </c>
      <c r="W1070" s="1">
        <f t="shared" si="1481"/>
        <v>1</v>
      </c>
      <c r="X1070" s="1">
        <f t="shared" si="1482"/>
        <v>1</v>
      </c>
      <c r="Y1070" s="1">
        <f t="shared" si="1483"/>
        <v>1</v>
      </c>
      <c r="Z1070" s="1">
        <f t="shared" si="1484"/>
        <v>1</v>
      </c>
      <c r="AA1070" s="1">
        <f t="shared" si="1508"/>
        <v>1</v>
      </c>
      <c r="AB1070" s="1">
        <f t="shared" si="1486"/>
        <v>1</v>
      </c>
      <c r="AC1070" s="1">
        <f t="shared" si="1513"/>
        <v>1</v>
      </c>
      <c r="AD1070" s="1">
        <f>ROUNDDOWN(I1070*(1+IF(F1070=3,0.05+方案参数!$Y$32+AA1070*0.12,IF(F1070=4,方案参数!$BZ$32*方案参数!$AS$32,0)))+IF(AND(X1070=1,F1070&lt;&gt;3),方案参数!$CC$32,0)+AC1070*方案参数!$CB$32,0)</f>
        <v>3034</v>
      </c>
      <c r="AE1070" s="1">
        <f>IF(OR(F1070=1,F1070=4),配置与结果!$B$24,配置与结果!$B$25)*MAX(0,1-INDEX(配置与结果!$I$15:$I$18,F1070))</f>
        <v>1200</v>
      </c>
      <c r="AF1070" s="1">
        <f>(IF(L1070=1,方案参数!$AW$32,IF(L1070=2,方案参数!$AX$32,0))+方案参数!$AV$32)*H1070</f>
        <v>30</v>
      </c>
      <c r="AG1070" s="1">
        <f>MAX(配置与结果!$B$32,1+INDEX(配置与结果!$F$15:$F$18,F1070)+0.08+方案参数!$CD$32+Q1070*方案参数!$W$32+Y1070*(方案参数!$AN$32+MIN(方案参数!$AO$32,P1070*0.03))+AB1070*方案参数!$BZ$32*0.025+IF(L1070=1,方案参数!$AY$32+(H1070-1)*0.1,IF(L1070=2,方案参数!$AZ$32+(H1070-1)*0.2,0))-配置与结果!$B$28)</f>
        <v>2.8150000000000004</v>
      </c>
      <c r="AH1070" s="1">
        <f>MAX(0,1+INDEX(配置与结果!$G$15:$G$18,F1070)+W1070*方案参数!$AG$32+IF(L1070=1,方案参数!$BA$32,IF(L1070=2,方案参数!$BB$32,0))+M1070*方案参数!$BC$32)</f>
        <v>3.1</v>
      </c>
      <c r="AI1070" s="1">
        <f>IF(OR(INDEX(配置与结果!$K$15:$K$18,F1070)=1,G1070="RHI_BERRY"),1+配置与结果!$B$33+P1070*方案参数!$AH$32,1)</f>
        <v>1</v>
      </c>
      <c r="AJ1070" s="1">
        <f>MIN(1,MAX(0,J1070+方案参数!$AB$32-配置与结果!$B$27))</f>
        <v>1</v>
      </c>
      <c r="AK1070" s="1">
        <f>MAX(1,K1070+IF(F1070=2,0.15+方案参数!$CH$32,0)+BN1070*方案参数!$X$32+R1070*方案参数!$AA$32+0-配置与结果!$B$26+Z1070*(方案参数!$AP$32+MIN(方案参数!$AQ$32,P1070*0.03)))</f>
        <v>2.165</v>
      </c>
      <c r="AL1070" s="7">
        <f>ROUNDDOWN(MAX(AD1070*配置与结果!$B$31,AD1070-AE1070)*AF1070*AG1070*AH1070*AI1070,0)</f>
        <v>480132</v>
      </c>
      <c r="AM1070" s="7">
        <f>ROUNDDOWN(MAX(AD1070*配置与结果!$B$31,AD1070-AE1070)*AF1070*AG1070*AH1070*AI1070*AK1070,0)</f>
        <v>1039485</v>
      </c>
      <c r="AN1070" s="7">
        <f t="shared" si="1460"/>
        <v>1039485</v>
      </c>
      <c r="AO1070" s="7">
        <f>0</f>
        <v>0</v>
      </c>
      <c r="AP1070" s="7">
        <f>MAX(0,1+INDEX(配置与结果!$J$15:$J$18,F1070)+IF(T1070&gt;0,方案参数!$BY$32,0)-配置与结果!$B$30)</f>
        <v>2</v>
      </c>
      <c r="AQ1070" s="7">
        <f t="shared" si="1461"/>
        <v>0</v>
      </c>
      <c r="AR1070" s="7">
        <f t="shared" si="1462"/>
        <v>0</v>
      </c>
      <c r="AS1070" s="7">
        <f t="shared" si="1463"/>
        <v>0</v>
      </c>
      <c r="AT1070" s="7">
        <f>0</f>
        <v>0</v>
      </c>
      <c r="AU1070" s="7">
        <f t="shared" si="1464"/>
        <v>1039485</v>
      </c>
      <c r="AV1070" s="1">
        <f t="shared" si="1465"/>
        <v>2</v>
      </c>
      <c r="AW1070" s="1">
        <f>MIN(10,M1070+0+IF(L1070=1,方案参数!$BE$32,0))</f>
        <v>10</v>
      </c>
      <c r="AX1070" s="1">
        <f t="shared" si="1466"/>
        <v>2</v>
      </c>
      <c r="AY1070" s="1">
        <f>MIN(20,MAX(0,O1070+0+0-0))</f>
        <v>0</v>
      </c>
      <c r="AZ1070" s="1">
        <f t="shared" si="1467"/>
        <v>5</v>
      </c>
      <c r="BA1070" s="1">
        <f t="shared" si="1509"/>
        <v>5</v>
      </c>
      <c r="BB1070" s="1">
        <f t="shared" ref="BB1070:BB1085" si="1517">MIN(30,R1070+0)</f>
        <v>20</v>
      </c>
      <c r="BC1070" s="1">
        <f t="shared" si="1515"/>
        <v>3</v>
      </c>
      <c r="BD1070" s="1">
        <f t="shared" si="1496"/>
        <v>1</v>
      </c>
      <c r="BE1070" s="1">
        <f t="shared" si="1489"/>
        <v>0</v>
      </c>
      <c r="BF1070" s="1">
        <f>MIN(4,V1070+0)</f>
        <v>3</v>
      </c>
      <c r="BG1070" s="1">
        <f t="shared" si="1506"/>
        <v>1</v>
      </c>
      <c r="BH1070" s="1">
        <f t="shared" si="1490"/>
        <v>1</v>
      </c>
      <c r="BI1070" s="1">
        <f t="shared" si="1507"/>
        <v>1</v>
      </c>
      <c r="BJ1070" s="1">
        <f t="shared" si="1510"/>
        <v>1</v>
      </c>
      <c r="BK1070" s="1">
        <f t="shared" si="1511"/>
        <v>1</v>
      </c>
      <c r="BL1070" s="1">
        <f t="shared" si="1516"/>
        <v>1</v>
      </c>
      <c r="BM1070" s="1">
        <f t="shared" si="1514"/>
        <v>1</v>
      </c>
      <c r="BN1070" s="1">
        <f t="shared" si="1491"/>
        <v>1</v>
      </c>
      <c r="BO1070" s="1">
        <f t="shared" si="1492"/>
        <v>1</v>
      </c>
    </row>
    <row r="1071" spans="1:67" ht="30.95" customHeight="1">
      <c r="A1071" s="1">
        <f>29</f>
        <v>29</v>
      </c>
      <c r="B1071" s="1">
        <f>固定流程!A27</f>
        <v>22</v>
      </c>
      <c r="C1071" s="1">
        <f>32</f>
        <v>32</v>
      </c>
      <c r="D1071" s="1">
        <f>1</f>
        <v>1</v>
      </c>
      <c r="E1071" s="1">
        <f>固定流程!C27</f>
        <v>3</v>
      </c>
      <c r="F1071" s="1">
        <f>固定流程!G27</f>
        <v>3</v>
      </c>
      <c r="G1071" s="1" t="str">
        <f>固定流程!H27</f>
        <v>RHI_BERRY</v>
      </c>
      <c r="H1071" s="1">
        <f>固定流程!F27</f>
        <v>1</v>
      </c>
      <c r="I1071" s="1">
        <f>INDEX(配置与结果!$B$15:$B$18,F1071)</f>
        <v>2597</v>
      </c>
      <c r="J1071" s="1">
        <f>INDEX(配置与结果!$D$15:$D$18,F1071)</f>
        <v>0.255</v>
      </c>
      <c r="K1071" s="1">
        <f>INDEX(配置与结果!$E$15:$E$18,F1071)</f>
        <v>1.55</v>
      </c>
      <c r="L1071" s="1">
        <f t="shared" si="1503"/>
        <v>2</v>
      </c>
      <c r="M1071" s="1">
        <f t="shared" si="1504"/>
        <v>10</v>
      </c>
      <c r="N1071" s="1">
        <f t="shared" si="1505"/>
        <v>2</v>
      </c>
      <c r="O1071" s="1">
        <f t="shared" si="1497"/>
        <v>0</v>
      </c>
      <c r="P1071" s="1">
        <f>MIN(方案参数!$AI$32,AZ1070+0+0)</f>
        <v>5</v>
      </c>
      <c r="Q1071" s="1">
        <f t="shared" si="1475"/>
        <v>5</v>
      </c>
      <c r="R1071" s="1">
        <f t="shared" si="1476"/>
        <v>20</v>
      </c>
      <c r="S1071" s="1">
        <f t="shared" si="1477"/>
        <v>3</v>
      </c>
      <c r="T1071" s="1">
        <f t="shared" si="1512"/>
        <v>1</v>
      </c>
      <c r="U1071" s="1">
        <f t="shared" si="1479"/>
        <v>0</v>
      </c>
      <c r="V1071" s="1">
        <f t="shared" si="1480"/>
        <v>3</v>
      </c>
      <c r="W1071" s="1">
        <f t="shared" si="1481"/>
        <v>1</v>
      </c>
      <c r="X1071" s="1">
        <f t="shared" si="1482"/>
        <v>1</v>
      </c>
      <c r="Y1071" s="1">
        <f t="shared" si="1483"/>
        <v>1</v>
      </c>
      <c r="Z1071" s="1">
        <f t="shared" si="1484"/>
        <v>1</v>
      </c>
      <c r="AA1071" s="1">
        <f t="shared" si="1508"/>
        <v>1</v>
      </c>
      <c r="AB1071" s="1">
        <f t="shared" si="1486"/>
        <v>1</v>
      </c>
      <c r="AC1071" s="1">
        <f t="shared" si="1513"/>
        <v>1</v>
      </c>
      <c r="AD1071" s="1">
        <f>ROUNDDOWN(I1071*(1+IF(F1071=3,0.05+方案参数!$Y$32+AA1071*0.12,IF(F1071=4,方案参数!$BZ$32*方案参数!$AS$32,0)))+IF(AND(X1071=1,F1071&lt;&gt;3),方案参数!$CC$32,0)+AC1071*方案参数!$CB$32,0)</f>
        <v>3798</v>
      </c>
      <c r="AE1071" s="1">
        <f>IF(OR(F1071=1,F1071=4),配置与结果!$B$24,配置与结果!$B$25)*MAX(0,1-INDEX(配置与结果!$I$15:$I$18,F1071))</f>
        <v>1000</v>
      </c>
      <c r="AF1071" s="1">
        <f>方案参数!$CF$32+P1071*方案参数!$CG$32</f>
        <v>22.5</v>
      </c>
      <c r="AG1071" s="1">
        <f>MAX(配置与结果!$B$32,1+INDEX(配置与结果!$F$15:$F$18,F1071)+0+Q1071*方案参数!$W$32+Y1071*(方案参数!$AN$32+MIN(方案参数!$AO$32,P1071*0.03))+AB1071*方案参数!$BZ$32*0.025-配置与结果!$B$28)</f>
        <v>1.9100000000000001</v>
      </c>
      <c r="AH1071" s="1">
        <f>MAX(0,1+INDEX(配置与结果!$G$15:$G$18,F1071)+W1071*方案参数!$AG$32)</f>
        <v>1.3</v>
      </c>
      <c r="AI1071" s="1">
        <f>IF(OR(INDEX(配置与结果!$K$15:$K$18,F1071)=1,G1071="RHI_BERRY"),1+配置与结果!$B$33+P1071*方案参数!$AH$32,1)</f>
        <v>1.5</v>
      </c>
      <c r="AJ1071" s="1">
        <f>MIN(1,MAX(0,J1071+方案参数!$AB$32-配置与结果!$B$27))</f>
        <v>0.55499999999999994</v>
      </c>
      <c r="AK1071" s="1">
        <f>MAX(1,K1071+IF(F1071=2,0.15+方案参数!$CH$32,0)+BN1071*方案参数!$X$32+R1071*方案参数!$AA$32+0-配置与结果!$B$26+Z1071*(方案参数!$AP$32+MIN(方案参数!$AQ$32,P1071*0.03)))</f>
        <v>1.6900000000000002</v>
      </c>
      <c r="AL1071" s="7">
        <f>ROUNDDOWN(MAX(AD1071*配置与结果!$B$31,AD1071-AE1071)*AF1071*AG1071*AH1071*AI1071,0)</f>
        <v>234475</v>
      </c>
      <c r="AM1071" s="7">
        <f>ROUNDDOWN(MAX(AD1071*配置与结果!$B$31,AD1071-AE1071)*AF1071*AG1071*AH1071*AI1071*AK1071,0)</f>
        <v>396264</v>
      </c>
      <c r="AN1071" s="7">
        <f t="shared" si="1460"/>
        <v>324267.89500000002</v>
      </c>
      <c r="AO1071" s="7">
        <f>0</f>
        <v>0</v>
      </c>
      <c r="AP1071" s="7">
        <f>MAX(0,1+INDEX(配置与结果!$J$15:$J$18,F1071)+IF(T1071&gt;0,方案参数!$BY$32,0)-配置与结果!$B$30)</f>
        <v>2</v>
      </c>
      <c r="AQ1071" s="7">
        <f t="shared" si="1461"/>
        <v>0</v>
      </c>
      <c r="AR1071" s="7">
        <f t="shared" si="1462"/>
        <v>0</v>
      </c>
      <c r="AS1071" s="7">
        <f t="shared" si="1463"/>
        <v>0</v>
      </c>
      <c r="AT1071" s="7">
        <f>0</f>
        <v>0</v>
      </c>
      <c r="AU1071" s="7">
        <f t="shared" si="1464"/>
        <v>324267.89500000002</v>
      </c>
      <c r="AV1071" s="1">
        <f t="shared" si="1465"/>
        <v>2</v>
      </c>
      <c r="AW1071" s="1">
        <f t="shared" ref="AW1071:AW1087" si="1518">MIN(10,M1071+0+0)</f>
        <v>10</v>
      </c>
      <c r="AX1071" s="1">
        <f t="shared" si="1466"/>
        <v>2</v>
      </c>
      <c r="AY1071" s="1">
        <f>MIN(20,MAX(0,O1071+0+0-0))</f>
        <v>0</v>
      </c>
      <c r="AZ1071" s="1">
        <f t="shared" si="1467"/>
        <v>5</v>
      </c>
      <c r="BA1071" s="1">
        <f t="shared" si="1509"/>
        <v>5</v>
      </c>
      <c r="BB1071" s="1">
        <f t="shared" si="1517"/>
        <v>20</v>
      </c>
      <c r="BC1071" s="1">
        <f t="shared" si="1515"/>
        <v>3</v>
      </c>
      <c r="BD1071" s="1">
        <f t="shared" si="1496"/>
        <v>1</v>
      </c>
      <c r="BE1071" s="1">
        <f t="shared" si="1489"/>
        <v>0</v>
      </c>
      <c r="BF1071" s="1">
        <f>MIN(4,V1071+0)</f>
        <v>3</v>
      </c>
      <c r="BG1071" s="1">
        <f t="shared" si="1506"/>
        <v>1</v>
      </c>
      <c r="BH1071" s="1">
        <f t="shared" si="1490"/>
        <v>1</v>
      </c>
      <c r="BI1071" s="1">
        <f t="shared" si="1507"/>
        <v>1</v>
      </c>
      <c r="BJ1071" s="1">
        <f t="shared" si="1510"/>
        <v>1</v>
      </c>
      <c r="BK1071" s="1">
        <f t="shared" si="1511"/>
        <v>1</v>
      </c>
      <c r="BL1071" s="1">
        <f t="shared" si="1516"/>
        <v>1</v>
      </c>
      <c r="BM1071" s="1">
        <f t="shared" si="1514"/>
        <v>1</v>
      </c>
      <c r="BN1071" s="1">
        <f t="shared" si="1491"/>
        <v>1</v>
      </c>
      <c r="BO1071" s="1">
        <f t="shared" si="1492"/>
        <v>1</v>
      </c>
    </row>
    <row r="1072" spans="1:67" ht="30.95" customHeight="1">
      <c r="A1072" s="1">
        <f>29</f>
        <v>29</v>
      </c>
      <c r="B1072" s="1">
        <f>固定流程!A28</f>
        <v>23</v>
      </c>
      <c r="C1072" s="1">
        <f>32</f>
        <v>32</v>
      </c>
      <c r="D1072" s="1">
        <f>1</f>
        <v>1</v>
      </c>
      <c r="E1072" s="1">
        <f>固定流程!C28</f>
        <v>3</v>
      </c>
      <c r="F1072" s="1">
        <f>固定流程!G28</f>
        <v>2</v>
      </c>
      <c r="G1072" s="1" t="str">
        <f>固定流程!H28</f>
        <v>37_FOLLOW</v>
      </c>
      <c r="H1072" s="1">
        <f>固定流程!F28</f>
        <v>1</v>
      </c>
      <c r="I1072" s="1">
        <f>INDEX(配置与结果!$B$15:$B$18,F1072)</f>
        <v>2306</v>
      </c>
      <c r="J1072" s="1">
        <f>INDEX(配置与结果!$D$15:$D$18,F1072)</f>
        <v>0.46</v>
      </c>
      <c r="K1072" s="1">
        <f>INDEX(配置与结果!$E$15:$E$18,F1072)</f>
        <v>1.9279999999999999</v>
      </c>
      <c r="L1072" s="1">
        <f t="shared" si="1503"/>
        <v>2</v>
      </c>
      <c r="M1072" s="1">
        <f t="shared" si="1504"/>
        <v>10</v>
      </c>
      <c r="N1072" s="1">
        <f t="shared" si="1505"/>
        <v>2</v>
      </c>
      <c r="O1072" s="1">
        <f t="shared" si="1497"/>
        <v>0</v>
      </c>
      <c r="P1072" s="1">
        <f>MIN(方案参数!$AI$32,AZ1071+0+0)</f>
        <v>5</v>
      </c>
      <c r="Q1072" s="1">
        <f t="shared" si="1475"/>
        <v>5</v>
      </c>
      <c r="R1072" s="1">
        <f t="shared" si="1476"/>
        <v>20</v>
      </c>
      <c r="S1072" s="1">
        <f t="shared" si="1477"/>
        <v>3</v>
      </c>
      <c r="T1072" s="1">
        <f t="shared" si="1512"/>
        <v>1</v>
      </c>
      <c r="U1072" s="1">
        <f t="shared" si="1479"/>
        <v>0</v>
      </c>
      <c r="V1072" s="1">
        <f t="shared" si="1480"/>
        <v>3</v>
      </c>
      <c r="W1072" s="1">
        <f t="shared" si="1481"/>
        <v>1</v>
      </c>
      <c r="X1072" s="1">
        <f t="shared" si="1482"/>
        <v>1</v>
      </c>
      <c r="Y1072" s="1">
        <f t="shared" si="1483"/>
        <v>1</v>
      </c>
      <c r="Z1072" s="1">
        <f t="shared" si="1484"/>
        <v>1</v>
      </c>
      <c r="AA1072" s="1">
        <f t="shared" si="1508"/>
        <v>1</v>
      </c>
      <c r="AB1072" s="1">
        <f t="shared" si="1486"/>
        <v>1</v>
      </c>
      <c r="AC1072" s="1">
        <f t="shared" si="1513"/>
        <v>1</v>
      </c>
      <c r="AD1072" s="1">
        <f>ROUNDDOWN(I1072*(1+IF(F1072=3,0.05+方案参数!$Y$32+AA1072*0.12,IF(F1072=4,方案参数!$BZ$32*方案参数!$AS$32,0)))+IF(AND(X1072=1,F1072&lt;&gt;3),方案参数!$CC$32,0)+AC1072*方案参数!$CB$32,0)</f>
        <v>3044</v>
      </c>
      <c r="AE1072" s="1">
        <f>IF(OR(F1072=1,F1072=4),配置与结果!$B$24,配置与结果!$B$25)*MAX(0,1-INDEX(配置与结果!$I$15:$I$18,F1072))</f>
        <v>1000</v>
      </c>
      <c r="AF1072" s="1">
        <f>方案参数!$BV$32</f>
        <v>3</v>
      </c>
      <c r="AG1072" s="1">
        <f>MAX(配置与结果!$B$32,1+INDEX(配置与结果!$F$15:$F$18,F1072)+0+Q1072*方案参数!$W$32+Y1072*(方案参数!$AN$32+MIN(方案参数!$AO$32,P1072*0.03))+AB1072*方案参数!$BZ$32*0.025-配置与结果!$B$28)</f>
        <v>1.8800000000000003</v>
      </c>
      <c r="AH1072" s="1">
        <f>MAX(0,1+INDEX(配置与结果!$G$15:$G$18,F1072)+W1072*方案参数!$AG$32)</f>
        <v>1.3</v>
      </c>
      <c r="AI1072" s="1">
        <f>IF(OR(INDEX(配置与结果!$K$15:$K$18,F1072)=1,G1072="RHI_BERRY"),1+配置与结果!$B$33+P1072*方案参数!$AH$32,1)</f>
        <v>1</v>
      </c>
      <c r="AJ1072" s="1">
        <f>MIN(1,MAX(0,J1072+方案参数!$AB$32-配置与结果!$B$27))</f>
        <v>0.76</v>
      </c>
      <c r="AK1072" s="1">
        <f>MAX(1,K1072+IF(F1072=2,0.15+方案参数!$CH$32,0)+BN1072*方案参数!$X$32+R1072*方案参数!$AA$32+0-配置与结果!$B$26+Z1072*(方案参数!$AP$32+MIN(方案参数!$AQ$32,P1072*0.03)))</f>
        <v>2.3380000000000001</v>
      </c>
      <c r="AL1072" s="7">
        <f>ROUNDDOWN(MAX(AD1072*配置与结果!$B$31,AD1072-AE1072)*AF1072*AG1072*AH1072*AI1072,0)</f>
        <v>14986</v>
      </c>
      <c r="AM1072" s="7">
        <f>ROUNDDOWN(MAX(AD1072*配置与结果!$B$31,AD1072-AE1072)*AF1072*AG1072*AH1072*AI1072*AK1072,0)</f>
        <v>35038</v>
      </c>
      <c r="AN1072" s="7">
        <f t="shared" si="1460"/>
        <v>30225.52</v>
      </c>
      <c r="AO1072" s="7">
        <f>方案参数!$BW$32</f>
        <v>1</v>
      </c>
      <c r="AP1072" s="7">
        <f>MAX(0,1+INDEX(配置与结果!$J$15:$J$18,F1072)+IF(T1072&gt;0,方案参数!$BY$32,0)-配置与结果!$B$30)</f>
        <v>2</v>
      </c>
      <c r="AQ1072" s="7">
        <f t="shared" si="1461"/>
        <v>6088</v>
      </c>
      <c r="AR1072" s="7">
        <f t="shared" si="1462"/>
        <v>14233</v>
      </c>
      <c r="AS1072" s="7">
        <f t="shared" si="1463"/>
        <v>12278.2</v>
      </c>
      <c r="AT1072" s="7">
        <f>0</f>
        <v>0</v>
      </c>
      <c r="AU1072" s="7">
        <f t="shared" si="1464"/>
        <v>42503.72</v>
      </c>
      <c r="AV1072" s="1">
        <f t="shared" si="1465"/>
        <v>2</v>
      </c>
      <c r="AW1072" s="1">
        <f t="shared" si="1518"/>
        <v>10</v>
      </c>
      <c r="AX1072" s="1">
        <f t="shared" si="1466"/>
        <v>2</v>
      </c>
      <c r="AY1072" s="1">
        <f>MIN(20,MAX(0,O1072+0+0-0))</f>
        <v>0</v>
      </c>
      <c r="AZ1072" s="1">
        <f t="shared" si="1467"/>
        <v>5</v>
      </c>
      <c r="BA1072" s="1">
        <f t="shared" si="1509"/>
        <v>5</v>
      </c>
      <c r="BB1072" s="1">
        <f t="shared" si="1517"/>
        <v>20</v>
      </c>
      <c r="BC1072" s="1">
        <f t="shared" si="1515"/>
        <v>3</v>
      </c>
      <c r="BD1072" s="1">
        <f t="shared" si="1496"/>
        <v>0</v>
      </c>
      <c r="BE1072" s="1">
        <f t="shared" si="1489"/>
        <v>0</v>
      </c>
      <c r="BF1072" s="1">
        <f>MIN(4,V1072+1)</f>
        <v>4</v>
      </c>
      <c r="BG1072" s="1">
        <f t="shared" si="1506"/>
        <v>1</v>
      </c>
      <c r="BH1072" s="1">
        <f t="shared" si="1490"/>
        <v>1</v>
      </c>
      <c r="BI1072" s="1">
        <f t="shared" si="1507"/>
        <v>1</v>
      </c>
      <c r="BJ1072" s="1">
        <f t="shared" si="1510"/>
        <v>1</v>
      </c>
      <c r="BK1072" s="1">
        <f t="shared" si="1511"/>
        <v>1</v>
      </c>
      <c r="BL1072" s="1">
        <f t="shared" si="1516"/>
        <v>1</v>
      </c>
      <c r="BM1072" s="1">
        <f t="shared" si="1514"/>
        <v>1</v>
      </c>
      <c r="BN1072" s="1">
        <f t="shared" si="1491"/>
        <v>1</v>
      </c>
      <c r="BO1072" s="1">
        <f t="shared" si="1492"/>
        <v>1</v>
      </c>
    </row>
    <row r="1073" spans="1:67" ht="30.95" customHeight="1">
      <c r="A1073" s="1">
        <f>29</f>
        <v>29</v>
      </c>
      <c r="B1073" s="1">
        <f>固定流程!A29</f>
        <v>24</v>
      </c>
      <c r="C1073" s="1">
        <f>32</f>
        <v>32</v>
      </c>
      <c r="D1073" s="1">
        <f>2</f>
        <v>2</v>
      </c>
      <c r="E1073" s="1">
        <f>固定流程!C29</f>
        <v>3</v>
      </c>
      <c r="F1073" s="1">
        <f>固定流程!G29</f>
        <v>1</v>
      </c>
      <c r="G1073" s="1" t="str">
        <f>固定流程!H29</f>
        <v>LILYA_WEAK</v>
      </c>
      <c r="H1073" s="1">
        <f>固定流程!F29</f>
        <v>1</v>
      </c>
      <c r="I1073" s="1">
        <f>INDEX(配置与结果!$B$15:$B$18,F1073)</f>
        <v>2296</v>
      </c>
      <c r="J1073" s="1">
        <f>INDEX(配置与结果!$D$15:$D$18,F1073)</f>
        <v>0.7</v>
      </c>
      <c r="K1073" s="1">
        <f>INDEX(配置与结果!$E$15:$E$18,F1073)</f>
        <v>2.0249999999999999</v>
      </c>
      <c r="L1073" s="1">
        <f t="shared" si="1503"/>
        <v>2</v>
      </c>
      <c r="M1073" s="1">
        <f t="shared" si="1504"/>
        <v>10</v>
      </c>
      <c r="N1073" s="1">
        <f t="shared" si="1505"/>
        <v>2</v>
      </c>
      <c r="O1073" s="1">
        <f t="shared" si="1497"/>
        <v>0</v>
      </c>
      <c r="P1073" s="1">
        <f>MIN(方案参数!$AI$32,AZ1072+0+0)</f>
        <v>5</v>
      </c>
      <c r="Q1073" s="1">
        <f t="shared" si="1475"/>
        <v>5</v>
      </c>
      <c r="R1073" s="1">
        <f t="shared" si="1476"/>
        <v>20</v>
      </c>
      <c r="S1073" s="1">
        <f t="shared" si="1477"/>
        <v>3</v>
      </c>
      <c r="T1073" s="1">
        <f t="shared" si="1512"/>
        <v>0</v>
      </c>
      <c r="U1073" s="1">
        <f t="shared" si="1479"/>
        <v>0</v>
      </c>
      <c r="V1073" s="1">
        <f t="shared" si="1480"/>
        <v>4</v>
      </c>
      <c r="W1073" s="1">
        <f t="shared" si="1481"/>
        <v>1</v>
      </c>
      <c r="X1073" s="1">
        <f t="shared" si="1482"/>
        <v>1</v>
      </c>
      <c r="Y1073" s="1">
        <f t="shared" si="1483"/>
        <v>1</v>
      </c>
      <c r="Z1073" s="1">
        <f t="shared" si="1484"/>
        <v>1</v>
      </c>
      <c r="AA1073" s="1">
        <f t="shared" si="1508"/>
        <v>1</v>
      </c>
      <c r="AB1073" s="1">
        <f t="shared" si="1486"/>
        <v>1</v>
      </c>
      <c r="AC1073" s="1">
        <f t="shared" si="1513"/>
        <v>1</v>
      </c>
      <c r="AD1073" s="1">
        <f>ROUNDDOWN(I1073*(1+IF(F1073=3,0.05+方案参数!$Y$32+AA1073*0.12,IF(F1073=4,方案参数!$BZ$32*方案参数!$AS$32,0)))+IF(AND(X1073=1,F1073&lt;&gt;3),方案参数!$CC$32,0)+AC1073*方案参数!$CB$32,0)</f>
        <v>3034</v>
      </c>
      <c r="AE1073" s="1">
        <f>IF(OR(F1073=1,F1073=4),配置与结果!$B$24,配置与结果!$B$25)*MAX(0,1-INDEX(配置与结果!$I$15:$I$18,F1073))</f>
        <v>1200</v>
      </c>
      <c r="AF1073" s="1">
        <f>方案参数!$BL$32</f>
        <v>9</v>
      </c>
      <c r="AG1073" s="1">
        <f>MAX(配置与结果!$B$32,1+INDEX(配置与结果!$F$15:$F$18,F1073)+0.08+方案参数!$CD$32+Q1073*方案参数!$W$32+Y1073*(方案参数!$AN$32+MIN(方案参数!$AO$32,P1073*0.03))+AB1073*方案参数!$BZ$32*0.025-配置与结果!$B$28+方案参数!$AE$32)</f>
        <v>2.6150000000000002</v>
      </c>
      <c r="AH1073" s="1">
        <f>MAX(0,1+V1073*方案参数!$U$32+0*方案参数!$V$32+方案参数!$AE$32-配置与结果!$B$29)</f>
        <v>1.56</v>
      </c>
      <c r="AI1073" s="1">
        <f>IF(OR(INDEX(配置与结果!$K$15:$K$18,F1073)=1,G1073="RHI_BERRY"),1+配置与结果!$B$33+P1073*方案参数!$AH$32,1)</f>
        <v>1</v>
      </c>
      <c r="AJ1073" s="1">
        <f>MIN(1,MAX(0,J1073+方案参数!$AB$32-配置与结果!$B$27))</f>
        <v>1</v>
      </c>
      <c r="AK1073" s="1">
        <f>MAX(1,K1073+IF(F1073=2,0.15+方案参数!$CH$32,0)+BN1073*方案参数!$X$32+R1073*方案参数!$AA$32+方案参数!$BP$32-配置与结果!$B$26+Z1073*(方案参数!$AP$32+MIN(方案参数!$AQ$32,P1073*0.03)))</f>
        <v>2.7650000000000001</v>
      </c>
      <c r="AL1073" s="7">
        <f>ROUNDDOWN(MAX(AD1073*配置与结果!$B$31,AD1073-AE1073)*AF1073*AG1073*AH1073*AI1073,0)</f>
        <v>67334</v>
      </c>
      <c r="AM1073" s="7">
        <f>ROUNDDOWN(MAX(AD1073*配置与结果!$B$31,AD1073-AE1073)*AF1073*AG1073*AH1073*AI1073*AK1073,0)</f>
        <v>186180</v>
      </c>
      <c r="AN1073" s="7">
        <f t="shared" si="1460"/>
        <v>186180</v>
      </c>
      <c r="AO1073" s="7">
        <f>0</f>
        <v>0</v>
      </c>
      <c r="AP1073" s="7">
        <f>MAX(0,1+INDEX(配置与结果!$J$15:$J$18,F1073)+IF(T1073&gt;0,方案参数!$BY$32,0)-配置与结果!$B$30)</f>
        <v>1</v>
      </c>
      <c r="AQ1073" s="7">
        <f t="shared" si="1461"/>
        <v>0</v>
      </c>
      <c r="AR1073" s="7">
        <f t="shared" si="1462"/>
        <v>0</v>
      </c>
      <c r="AS1073" s="7">
        <f t="shared" si="1463"/>
        <v>0</v>
      </c>
      <c r="AT1073" s="7">
        <f>IF(U1073&gt;0,ROUNDDOWN(AL1073*方案参数!$AF$32,0)*(1-AJ1073)+ROUNDDOWN(AM1073*方案参数!$AF$32,0)*AJ1073,0)</f>
        <v>0</v>
      </c>
      <c r="AU1073" s="7">
        <f t="shared" si="1464"/>
        <v>186180</v>
      </c>
      <c r="AV1073" s="1">
        <f t="shared" si="1465"/>
        <v>2</v>
      </c>
      <c r="AW1073" s="1">
        <f t="shared" si="1518"/>
        <v>10</v>
      </c>
      <c r="AX1073" s="1">
        <f t="shared" si="1466"/>
        <v>2</v>
      </c>
      <c r="AY1073" s="1">
        <f>MIN(20,MAX(0,O1073+0+1-0))</f>
        <v>1</v>
      </c>
      <c r="AZ1073" s="1">
        <f t="shared" si="1467"/>
        <v>5</v>
      </c>
      <c r="BA1073" s="1">
        <f t="shared" si="1509"/>
        <v>5</v>
      </c>
      <c r="BB1073" s="1">
        <f t="shared" si="1517"/>
        <v>20</v>
      </c>
      <c r="BC1073" s="1">
        <f t="shared" si="1515"/>
        <v>3</v>
      </c>
      <c r="BD1073" s="1">
        <f t="shared" si="1496"/>
        <v>0</v>
      </c>
      <c r="BE1073" s="1">
        <f>MAX(0,U1073-IF(AF1073&gt;0,1,0))+0</f>
        <v>0</v>
      </c>
      <c r="BF1073" s="1">
        <f t="shared" ref="BF1073:BF1090" si="1519">MIN(4,V1073+0)</f>
        <v>4</v>
      </c>
      <c r="BG1073" s="1">
        <f t="shared" si="1506"/>
        <v>1</v>
      </c>
      <c r="BH1073" s="1">
        <f t="shared" si="1490"/>
        <v>1</v>
      </c>
      <c r="BI1073" s="1">
        <f t="shared" si="1507"/>
        <v>1</v>
      </c>
      <c r="BJ1073" s="1">
        <f t="shared" si="1510"/>
        <v>1</v>
      </c>
      <c r="BK1073" s="1">
        <f t="shared" si="1511"/>
        <v>1</v>
      </c>
      <c r="BL1073" s="1">
        <f t="shared" si="1516"/>
        <v>1</v>
      </c>
      <c r="BM1073" s="1">
        <f t="shared" si="1514"/>
        <v>1</v>
      </c>
      <c r="BN1073" s="1">
        <f t="shared" si="1491"/>
        <v>1</v>
      </c>
      <c r="BO1073" s="1">
        <f t="shared" si="1492"/>
        <v>1</v>
      </c>
    </row>
    <row r="1074" spans="1:67" ht="30.95" customHeight="1">
      <c r="A1074" s="1">
        <f>29</f>
        <v>29</v>
      </c>
      <c r="B1074" s="1">
        <f>固定流程!A30</f>
        <v>25</v>
      </c>
      <c r="C1074" s="1">
        <f>32</f>
        <v>32</v>
      </c>
      <c r="D1074" s="1">
        <f>2</f>
        <v>2</v>
      </c>
      <c r="E1074" s="1">
        <f>固定流程!C30</f>
        <v>3</v>
      </c>
      <c r="F1074" s="1">
        <f>固定流程!G30</f>
        <v>1</v>
      </c>
      <c r="G1074" s="1" t="str">
        <f>固定流程!H30</f>
        <v>LILYA_WEAK</v>
      </c>
      <c r="H1074" s="1">
        <f>固定流程!F30</f>
        <v>1</v>
      </c>
      <c r="I1074" s="1">
        <f>INDEX(配置与结果!$B$15:$B$18,F1074)</f>
        <v>2296</v>
      </c>
      <c r="J1074" s="1">
        <f>INDEX(配置与结果!$D$15:$D$18,F1074)</f>
        <v>0.7</v>
      </c>
      <c r="K1074" s="1">
        <f>INDEX(配置与结果!$E$15:$E$18,F1074)</f>
        <v>2.0249999999999999</v>
      </c>
      <c r="L1074" s="1">
        <f t="shared" si="1503"/>
        <v>2</v>
      </c>
      <c r="M1074" s="1">
        <f t="shared" si="1504"/>
        <v>10</v>
      </c>
      <c r="N1074" s="1">
        <f t="shared" si="1505"/>
        <v>2</v>
      </c>
      <c r="O1074" s="1">
        <f t="shared" si="1497"/>
        <v>1</v>
      </c>
      <c r="P1074" s="1">
        <f>MIN(方案参数!$AI$32,AZ1073+0+0)</f>
        <v>5</v>
      </c>
      <c r="Q1074" s="1">
        <f t="shared" si="1475"/>
        <v>5</v>
      </c>
      <c r="R1074" s="1">
        <f t="shared" si="1476"/>
        <v>20</v>
      </c>
      <c r="S1074" s="1">
        <f t="shared" si="1477"/>
        <v>3</v>
      </c>
      <c r="T1074" s="1">
        <f t="shared" si="1512"/>
        <v>0</v>
      </c>
      <c r="U1074" s="1">
        <f t="shared" si="1479"/>
        <v>0</v>
      </c>
      <c r="V1074" s="1">
        <f t="shared" si="1480"/>
        <v>4</v>
      </c>
      <c r="W1074" s="1">
        <f t="shared" si="1481"/>
        <v>1</v>
      </c>
      <c r="X1074" s="1">
        <f t="shared" si="1482"/>
        <v>1</v>
      </c>
      <c r="Y1074" s="1">
        <f t="shared" si="1483"/>
        <v>1</v>
      </c>
      <c r="Z1074" s="1">
        <f t="shared" si="1484"/>
        <v>1</v>
      </c>
      <c r="AA1074" s="1">
        <f t="shared" si="1508"/>
        <v>1</v>
      </c>
      <c r="AB1074" s="1">
        <f t="shared" si="1486"/>
        <v>1</v>
      </c>
      <c r="AC1074" s="1">
        <f t="shared" si="1513"/>
        <v>1</v>
      </c>
      <c r="AD1074" s="1">
        <f>ROUNDDOWN(I1074*(1+IF(F1074=3,0.05+方案参数!$Y$32+AA1074*0.12,IF(F1074=4,方案参数!$BZ$32*方案参数!$AS$32,0)))+IF(AND(X1074=1,F1074&lt;&gt;3),方案参数!$CC$32,0)+AC1074*方案参数!$CB$32,0)</f>
        <v>3034</v>
      </c>
      <c r="AE1074" s="1">
        <f>IF(OR(F1074=1,F1074=4),配置与结果!$B$24,配置与结果!$B$25)*MAX(0,1-INDEX(配置与结果!$I$15:$I$18,F1074))</f>
        <v>1200</v>
      </c>
      <c r="AF1074" s="1">
        <f>方案参数!$BL$32</f>
        <v>9</v>
      </c>
      <c r="AG1074" s="1">
        <f>MAX(配置与结果!$B$32,1+INDEX(配置与结果!$F$15:$F$18,F1074)+0.08+方案参数!$CD$32+Q1074*方案参数!$W$32+Y1074*(方案参数!$AN$32+MIN(方案参数!$AO$32,P1074*0.03))+AB1074*方案参数!$BZ$32*0.025-配置与结果!$B$28+方案参数!$AE$32)</f>
        <v>2.6150000000000002</v>
      </c>
      <c r="AH1074" s="1">
        <f>MAX(0,1+V1074*方案参数!$U$32+1*方案参数!$V$32+方案参数!$AE$32-配置与结果!$B$29)</f>
        <v>1.605</v>
      </c>
      <c r="AI1074" s="1">
        <f>IF(OR(INDEX(配置与结果!$K$15:$K$18,F1074)=1,G1074="RHI_BERRY"),1+配置与结果!$B$33+P1074*方案参数!$AH$32,1)</f>
        <v>1</v>
      </c>
      <c r="AJ1074" s="1">
        <f>MIN(1,MAX(0,J1074+方案参数!$AB$32-配置与结果!$B$27))</f>
        <v>1</v>
      </c>
      <c r="AK1074" s="1">
        <f>MAX(1,K1074+IF(F1074=2,0.15+方案参数!$CH$32,0)+BN1074*方案参数!$X$32+R1074*方案参数!$AA$32+方案参数!$BP$32-配置与结果!$B$26+Z1074*(方案参数!$AP$32+MIN(方案参数!$AQ$32,P1074*0.03)))</f>
        <v>2.7650000000000001</v>
      </c>
      <c r="AL1074" s="7">
        <f>ROUNDDOWN(MAX(AD1074*配置与结果!$B$31,AD1074-AE1074)*AF1074*AG1074*AH1074*AI1074,0)</f>
        <v>69276</v>
      </c>
      <c r="AM1074" s="7">
        <f>ROUNDDOWN(MAX(AD1074*配置与结果!$B$31,AD1074-AE1074)*AF1074*AG1074*AH1074*AI1074*AK1074,0)</f>
        <v>191550</v>
      </c>
      <c r="AN1074" s="7">
        <f t="shared" si="1460"/>
        <v>191550</v>
      </c>
      <c r="AO1074" s="7">
        <f>0</f>
        <v>0</v>
      </c>
      <c r="AP1074" s="7">
        <f>MAX(0,1+INDEX(配置与结果!$J$15:$J$18,F1074)+IF(T1074&gt;0,方案参数!$BY$32,0)-配置与结果!$B$30)</f>
        <v>1</v>
      </c>
      <c r="AQ1074" s="7">
        <f t="shared" si="1461"/>
        <v>0</v>
      </c>
      <c r="AR1074" s="7">
        <f t="shared" si="1462"/>
        <v>0</v>
      </c>
      <c r="AS1074" s="7">
        <f t="shared" si="1463"/>
        <v>0</v>
      </c>
      <c r="AT1074" s="7">
        <f>IF(U1074&gt;0,ROUNDDOWN(AL1074*方案参数!$AF$32,0)*(1-AJ1074)+ROUNDDOWN(AM1074*方案参数!$AF$32,0)*AJ1074,0)</f>
        <v>0</v>
      </c>
      <c r="AU1074" s="7">
        <f t="shared" si="1464"/>
        <v>191550</v>
      </c>
      <c r="AV1074" s="1">
        <f t="shared" si="1465"/>
        <v>2</v>
      </c>
      <c r="AW1074" s="1">
        <f t="shared" si="1518"/>
        <v>10</v>
      </c>
      <c r="AX1074" s="1">
        <f t="shared" si="1466"/>
        <v>2</v>
      </c>
      <c r="AY1074" s="1">
        <f>MIN(20,MAX(0,O1074+0+1-0))</f>
        <v>2</v>
      </c>
      <c r="AZ1074" s="1">
        <f t="shared" si="1467"/>
        <v>5</v>
      </c>
      <c r="BA1074" s="1">
        <f t="shared" si="1509"/>
        <v>5</v>
      </c>
      <c r="BB1074" s="1">
        <f t="shared" si="1517"/>
        <v>20</v>
      </c>
      <c r="BC1074" s="1">
        <f t="shared" si="1515"/>
        <v>3</v>
      </c>
      <c r="BD1074" s="1">
        <f t="shared" si="1496"/>
        <v>0</v>
      </c>
      <c r="BE1074" s="1">
        <f>MAX(0,U1074-IF(AF1074&gt;0,1,0))+0</f>
        <v>0</v>
      </c>
      <c r="BF1074" s="1">
        <f t="shared" si="1519"/>
        <v>4</v>
      </c>
      <c r="BG1074" s="1">
        <f t="shared" si="1506"/>
        <v>1</v>
      </c>
      <c r="BH1074" s="1">
        <f t="shared" si="1490"/>
        <v>1</v>
      </c>
      <c r="BI1074" s="1">
        <f t="shared" si="1507"/>
        <v>1</v>
      </c>
      <c r="BJ1074" s="1">
        <f t="shared" si="1510"/>
        <v>1</v>
      </c>
      <c r="BK1074" s="1">
        <f t="shared" si="1511"/>
        <v>1</v>
      </c>
      <c r="BL1074" s="1">
        <f t="shared" si="1516"/>
        <v>1</v>
      </c>
      <c r="BM1074" s="1">
        <f t="shared" si="1514"/>
        <v>1</v>
      </c>
      <c r="BN1074" s="1">
        <f t="shared" si="1491"/>
        <v>1</v>
      </c>
      <c r="BO1074" s="1">
        <f t="shared" si="1492"/>
        <v>1</v>
      </c>
    </row>
    <row r="1075" spans="1:67" ht="30.95" customHeight="1">
      <c r="A1075" s="1">
        <f>29</f>
        <v>29</v>
      </c>
      <c r="B1075" s="1">
        <f>固定流程!A31</f>
        <v>26</v>
      </c>
      <c r="C1075" s="1">
        <f>32</f>
        <v>32</v>
      </c>
      <c r="D1075" s="1">
        <f>2</f>
        <v>2</v>
      </c>
      <c r="E1075" s="1">
        <f>固定流程!C31</f>
        <v>3</v>
      </c>
      <c r="F1075" s="1">
        <f>固定流程!G31</f>
        <v>2</v>
      </c>
      <c r="G1075" s="1" t="str">
        <f>固定流程!H31</f>
        <v>37_WEAK</v>
      </c>
      <c r="H1075" s="1">
        <f>固定流程!F31</f>
        <v>1</v>
      </c>
      <c r="I1075" s="1">
        <f>INDEX(配置与结果!$B$15:$B$18,F1075)</f>
        <v>2306</v>
      </c>
      <c r="J1075" s="1">
        <f>INDEX(配置与结果!$D$15:$D$18,F1075)</f>
        <v>0.46</v>
      </c>
      <c r="K1075" s="1">
        <f>INDEX(配置与结果!$E$15:$E$18,F1075)</f>
        <v>1.9279999999999999</v>
      </c>
      <c r="L1075" s="1">
        <f t="shared" si="1503"/>
        <v>2</v>
      </c>
      <c r="M1075" s="1">
        <f t="shared" si="1504"/>
        <v>10</v>
      </c>
      <c r="N1075" s="1">
        <f t="shared" si="1505"/>
        <v>2</v>
      </c>
      <c r="O1075" s="1">
        <f t="shared" si="1497"/>
        <v>2</v>
      </c>
      <c r="P1075" s="1">
        <f>MIN(方案参数!$AI$32,AZ1074+0+0)</f>
        <v>5</v>
      </c>
      <c r="Q1075" s="1">
        <f t="shared" si="1475"/>
        <v>5</v>
      </c>
      <c r="R1075" s="1">
        <f t="shared" si="1476"/>
        <v>20</v>
      </c>
      <c r="S1075" s="1">
        <f t="shared" si="1477"/>
        <v>3</v>
      </c>
      <c r="T1075" s="1">
        <f t="shared" si="1512"/>
        <v>0</v>
      </c>
      <c r="U1075" s="1">
        <f t="shared" si="1479"/>
        <v>0</v>
      </c>
      <c r="V1075" s="1">
        <f t="shared" si="1480"/>
        <v>4</v>
      </c>
      <c r="W1075" s="1">
        <f t="shared" si="1481"/>
        <v>1</v>
      </c>
      <c r="X1075" s="1">
        <f t="shared" si="1482"/>
        <v>1</v>
      </c>
      <c r="Y1075" s="1">
        <f t="shared" si="1483"/>
        <v>1</v>
      </c>
      <c r="Z1075" s="1">
        <f t="shared" si="1484"/>
        <v>1</v>
      </c>
      <c r="AA1075" s="1">
        <f t="shared" si="1508"/>
        <v>1</v>
      </c>
      <c r="AB1075" s="1">
        <f t="shared" si="1486"/>
        <v>1</v>
      </c>
      <c r="AC1075" s="1">
        <f t="shared" si="1513"/>
        <v>1</v>
      </c>
      <c r="AD1075" s="1">
        <f>ROUNDDOWN(I1075*(1+IF(F1075=3,0.05+方案参数!$Y$32+AA1075*0.12,IF(F1075=4,方案参数!$BZ$32*方案参数!$AS$32,0)))+IF(AND(X1075=1,F1075&lt;&gt;3),方案参数!$CC$32,0)+AC1075*方案参数!$CB$32,0)</f>
        <v>3044</v>
      </c>
      <c r="AE1075" s="1">
        <f>IF(OR(F1075=1,F1075=4),配置与结果!$B$24,配置与结果!$B$25)*MAX(0,1-INDEX(配置与结果!$I$15:$I$18,F1075))</f>
        <v>1000</v>
      </c>
      <c r="AF1075" s="1">
        <f>方案参数!$CE$32</f>
        <v>8</v>
      </c>
      <c r="AG1075" s="1">
        <f>MAX(配置与结果!$B$32,1+INDEX(配置与结果!$F$15:$F$18,F1075)+0+Q1075*方案参数!$W$32+Y1075*(方案参数!$AN$32+MIN(方案参数!$AO$32,P1075*0.03))+AB1075*方案参数!$BZ$32*0.025-配置与结果!$B$28+方案参数!$AE$32)</f>
        <v>2.2800000000000002</v>
      </c>
      <c r="AH1075" s="1">
        <f>MAX(0,1+V1075*方案参数!$U$32+方案参数!$AE$32-配置与结果!$B$29)</f>
        <v>1.56</v>
      </c>
      <c r="AI1075" s="1">
        <f>IF(OR(INDEX(配置与结果!$K$15:$K$18,F1075)=1,G1075="RHI_BERRY"),1+配置与结果!$B$33+P1075*方案参数!$AH$32,1)</f>
        <v>1</v>
      </c>
      <c r="AJ1075" s="1">
        <f>MIN(1,MAX(0,J1075+方案参数!$AB$32-配置与结果!$B$27))</f>
        <v>0.76</v>
      </c>
      <c r="AK1075" s="1">
        <f>MAX(1,K1075+IF(F1075=2,0.15+方案参数!$CH$32,0)+BN1075*方案参数!$X$32+R1075*方案参数!$AA$32+0-配置与结果!$B$26+Z1075*(方案参数!$AP$32+MIN(方案参数!$AQ$32,P1075*0.03)))</f>
        <v>2.3380000000000001</v>
      </c>
      <c r="AL1075" s="7">
        <f>ROUNDDOWN(MAX(AD1075*配置与结果!$B$31,AD1075-AE1075)*AF1075*AG1075*AH1075*AI1075,0)</f>
        <v>58160</v>
      </c>
      <c r="AM1075" s="7">
        <f>ROUNDDOWN(MAX(AD1075*配置与结果!$B$31,AD1075-AE1075)*AF1075*AG1075*AH1075*AI1075*AK1075,0)</f>
        <v>135979</v>
      </c>
      <c r="AN1075" s="7">
        <f t="shared" si="1460"/>
        <v>117302.44</v>
      </c>
      <c r="AO1075" s="7">
        <f>0</f>
        <v>0</v>
      </c>
      <c r="AP1075" s="7">
        <f>MAX(0,1+INDEX(配置与结果!$J$15:$J$18,F1075)+IF(T1075&gt;0,方案参数!$BY$32,0)-配置与结果!$B$30)</f>
        <v>1</v>
      </c>
      <c r="AQ1075" s="7">
        <f t="shared" si="1461"/>
        <v>0</v>
      </c>
      <c r="AR1075" s="7">
        <f t="shared" si="1462"/>
        <v>0</v>
      </c>
      <c r="AS1075" s="7">
        <f t="shared" si="1463"/>
        <v>0</v>
      </c>
      <c r="AT1075" s="7">
        <f>IF(U1075&gt;0,ROUNDDOWN(AL1075*方案参数!$AF$32,0)*(1-AJ1075)+ROUNDDOWN(AM1075*方案参数!$AF$32,0)*AJ1075,0)</f>
        <v>0</v>
      </c>
      <c r="AU1075" s="7">
        <f t="shared" si="1464"/>
        <v>117302.44</v>
      </c>
      <c r="AV1075" s="1">
        <f t="shared" si="1465"/>
        <v>2</v>
      </c>
      <c r="AW1075" s="1">
        <f t="shared" si="1518"/>
        <v>10</v>
      </c>
      <c r="AX1075" s="1">
        <f t="shared" si="1466"/>
        <v>2</v>
      </c>
      <c r="AY1075" s="1">
        <f>MIN(20,MAX(0,O1075+0+0-0))</f>
        <v>2</v>
      </c>
      <c r="AZ1075" s="1">
        <f t="shared" si="1467"/>
        <v>5</v>
      </c>
      <c r="BA1075" s="1">
        <f t="shared" si="1509"/>
        <v>5</v>
      </c>
      <c r="BB1075" s="1">
        <f t="shared" si="1517"/>
        <v>20</v>
      </c>
      <c r="BC1075" s="1">
        <f t="shared" si="1515"/>
        <v>3</v>
      </c>
      <c r="BD1075" s="1">
        <f t="shared" si="1496"/>
        <v>0</v>
      </c>
      <c r="BE1075" s="1">
        <f>MAX(0,U1075-IF(AF1075&gt;0,1,0))+1</f>
        <v>1</v>
      </c>
      <c r="BF1075" s="1">
        <f t="shared" si="1519"/>
        <v>4</v>
      </c>
      <c r="BG1075" s="1">
        <f t="shared" si="1506"/>
        <v>1</v>
      </c>
      <c r="BH1075" s="1">
        <f t="shared" si="1490"/>
        <v>1</v>
      </c>
      <c r="BI1075" s="1">
        <f t="shared" si="1507"/>
        <v>1</v>
      </c>
      <c r="BJ1075" s="1">
        <f t="shared" si="1510"/>
        <v>1</v>
      </c>
      <c r="BK1075" s="1">
        <f t="shared" si="1511"/>
        <v>1</v>
      </c>
      <c r="BL1075" s="1">
        <f t="shared" si="1516"/>
        <v>1</v>
      </c>
      <c r="BM1075" s="1">
        <f t="shared" si="1514"/>
        <v>1</v>
      </c>
      <c r="BN1075" s="1">
        <f t="shared" si="1491"/>
        <v>1</v>
      </c>
      <c r="BO1075" s="1">
        <f t="shared" si="1492"/>
        <v>1</v>
      </c>
    </row>
    <row r="1076" spans="1:67" ht="30.95" customHeight="1">
      <c r="A1076" s="1">
        <f>29</f>
        <v>29</v>
      </c>
      <c r="B1076" s="1">
        <f>固定流程!A32</f>
        <v>27</v>
      </c>
      <c r="C1076" s="1">
        <f>32</f>
        <v>32</v>
      </c>
      <c r="D1076" s="1">
        <f>2</f>
        <v>2</v>
      </c>
      <c r="E1076" s="1">
        <f>固定流程!C32</f>
        <v>3</v>
      </c>
      <c r="F1076" s="1">
        <f>固定流程!G32</f>
        <v>1</v>
      </c>
      <c r="G1076" s="1" t="str">
        <f>固定流程!H32</f>
        <v>LILYA_THIRD</v>
      </c>
      <c r="H1076" s="1">
        <f>固定流程!F32</f>
        <v>1</v>
      </c>
      <c r="I1076" s="1">
        <f>INDEX(配置与结果!$B$15:$B$18,F1076)</f>
        <v>2296</v>
      </c>
      <c r="J1076" s="1">
        <f>INDEX(配置与结果!$D$15:$D$18,F1076)</f>
        <v>0.7</v>
      </c>
      <c r="K1076" s="1">
        <f>INDEX(配置与结果!$E$15:$E$18,F1076)</f>
        <v>2.0249999999999999</v>
      </c>
      <c r="L1076" s="1">
        <f t="shared" si="1503"/>
        <v>2</v>
      </c>
      <c r="M1076" s="1">
        <f t="shared" si="1504"/>
        <v>10</v>
      </c>
      <c r="N1076" s="1">
        <f t="shared" si="1505"/>
        <v>2</v>
      </c>
      <c r="O1076" s="1">
        <f t="shared" si="1497"/>
        <v>2</v>
      </c>
      <c r="P1076" s="1">
        <f>MIN(方案参数!$AI$32,AZ1075+0+0)</f>
        <v>5</v>
      </c>
      <c r="Q1076" s="1">
        <f t="shared" si="1475"/>
        <v>5</v>
      </c>
      <c r="R1076" s="1">
        <f t="shared" si="1476"/>
        <v>20</v>
      </c>
      <c r="S1076" s="1">
        <f t="shared" si="1477"/>
        <v>3</v>
      </c>
      <c r="T1076" s="1">
        <f t="shared" si="1512"/>
        <v>0</v>
      </c>
      <c r="U1076" s="1">
        <f t="shared" si="1479"/>
        <v>1</v>
      </c>
      <c r="V1076" s="1">
        <f t="shared" si="1480"/>
        <v>4</v>
      </c>
      <c r="W1076" s="1">
        <f t="shared" si="1481"/>
        <v>1</v>
      </c>
      <c r="X1076" s="1">
        <f t="shared" si="1482"/>
        <v>1</v>
      </c>
      <c r="Y1076" s="1">
        <f t="shared" si="1483"/>
        <v>1</v>
      </c>
      <c r="Z1076" s="1">
        <f t="shared" si="1484"/>
        <v>1</v>
      </c>
      <c r="AA1076" s="1">
        <f t="shared" si="1508"/>
        <v>1</v>
      </c>
      <c r="AB1076" s="1">
        <f t="shared" si="1486"/>
        <v>1</v>
      </c>
      <c r="AC1076" s="1">
        <f t="shared" si="1513"/>
        <v>1</v>
      </c>
      <c r="AD1076" s="1">
        <f>ROUNDDOWN(I1076*(1+IF(F1076=3,0.05+方案参数!$Y$32+AA1076*0.12,IF(F1076=4,方案参数!$BZ$32*方案参数!$AS$32,0)))+IF(AND(X1076=1,F1076&lt;&gt;3),方案参数!$CC$32,0)+AC1076*方案参数!$CB$32,0)</f>
        <v>3034</v>
      </c>
      <c r="AE1076" s="1">
        <f>IF(OR(F1076=1,F1076=4),配置与结果!$B$24,配置与结果!$B$25)*MAX(0,1-INDEX(配置与结果!$I$15:$I$18,F1076))</f>
        <v>1200</v>
      </c>
      <c r="AF1076" s="1">
        <f>方案参数!$BM$32</f>
        <v>20</v>
      </c>
      <c r="AG1076" s="1">
        <f>MAX(配置与结果!$B$32,1+INDEX(配置与结果!$F$15:$F$18,F1076)+0.08+方案参数!$CD$32+Q1076*方案参数!$W$32+Y1076*(方案参数!$AN$32+MIN(方案参数!$AO$32,P1076*0.03))+AB1076*方案参数!$BZ$32*0.025-配置与结果!$B$28+方案参数!$AE$32)</f>
        <v>2.6150000000000002</v>
      </c>
      <c r="AH1076" s="1">
        <f>MAX(0,1+V1076*方案参数!$U$32+3*方案参数!$V$32+方案参数!$AE$32-配置与结果!$B$29)</f>
        <v>1.6949999999999998</v>
      </c>
      <c r="AI1076" s="1">
        <f>IF(OR(INDEX(配置与结果!$K$15:$K$18,F1076)=1,G1076="RHI_BERRY"),1+配置与结果!$B$33+P1076*方案参数!$AH$32,1)</f>
        <v>1</v>
      </c>
      <c r="AJ1076" s="1">
        <f>MIN(1,MAX(0,J1076+方案参数!$AB$32-配置与结果!$B$27))</f>
        <v>1</v>
      </c>
      <c r="AK1076" s="1">
        <f>MAX(1,K1076+IF(F1076=2,0.15+方案参数!$CH$32,0)+BN1076*方案参数!$X$32+R1076*方案参数!$AA$32+方案参数!$BQ$32-配置与结果!$B$26+Z1076*(方案参数!$AP$32+MIN(方案参数!$AQ$32,P1076*0.03)))</f>
        <v>2.9650000000000003</v>
      </c>
      <c r="AL1076" s="7">
        <f>ROUNDDOWN(MAX(AD1076*配置与结果!$B$31,AD1076-AE1076)*AF1076*AG1076*AH1076*AI1076,0)</f>
        <v>162581</v>
      </c>
      <c r="AM1076" s="7">
        <f>ROUNDDOWN(MAX(AD1076*配置与结果!$B$31,AD1076-AE1076)*AF1076*AG1076*AH1076*AI1076*AK1076,0)</f>
        <v>482053</v>
      </c>
      <c r="AN1076" s="7">
        <f t="shared" si="1460"/>
        <v>482053</v>
      </c>
      <c r="AO1076" s="7">
        <f>0</f>
        <v>0</v>
      </c>
      <c r="AP1076" s="7">
        <f>MAX(0,1+INDEX(配置与结果!$J$15:$J$18,F1076)+IF(T1076&gt;0,方案参数!$BY$32,0)-配置与结果!$B$30)</f>
        <v>1</v>
      </c>
      <c r="AQ1076" s="7">
        <f t="shared" si="1461"/>
        <v>0</v>
      </c>
      <c r="AR1076" s="7">
        <f t="shared" si="1462"/>
        <v>0</v>
      </c>
      <c r="AS1076" s="7">
        <f t="shared" si="1463"/>
        <v>0</v>
      </c>
      <c r="AT1076" s="7">
        <f>IF(U1076&gt;0,ROUNDDOWN(AL1076*方案参数!$AF$32,0)*(1-AJ1076)+ROUNDDOWN(AM1076*方案参数!$AF$32,0)*AJ1076,0)</f>
        <v>192821</v>
      </c>
      <c r="AU1076" s="7">
        <f t="shared" si="1464"/>
        <v>674874</v>
      </c>
      <c r="AV1076" s="1">
        <f t="shared" si="1465"/>
        <v>2</v>
      </c>
      <c r="AW1076" s="1">
        <f t="shared" si="1518"/>
        <v>10</v>
      </c>
      <c r="AX1076" s="1">
        <f t="shared" si="1466"/>
        <v>2</v>
      </c>
      <c r="AY1076" s="1">
        <f>MIN(20,MAX(0,O1076+0+1-0))</f>
        <v>3</v>
      </c>
      <c r="AZ1076" s="1">
        <f t="shared" si="1467"/>
        <v>5</v>
      </c>
      <c r="BA1076" s="1">
        <f t="shared" si="1509"/>
        <v>5</v>
      </c>
      <c r="BB1076" s="1">
        <f t="shared" si="1517"/>
        <v>20</v>
      </c>
      <c r="BC1076" s="1">
        <f t="shared" si="1515"/>
        <v>3</v>
      </c>
      <c r="BD1076" s="1">
        <f t="shared" si="1496"/>
        <v>0</v>
      </c>
      <c r="BE1076" s="1">
        <f>MAX(0,U1076-IF(AF1076&gt;0,1,0))+0</f>
        <v>0</v>
      </c>
      <c r="BF1076" s="1">
        <f t="shared" si="1519"/>
        <v>4</v>
      </c>
      <c r="BG1076" s="1">
        <f t="shared" si="1506"/>
        <v>1</v>
      </c>
      <c r="BH1076" s="1">
        <f t="shared" si="1490"/>
        <v>1</v>
      </c>
      <c r="BI1076" s="1">
        <f t="shared" si="1507"/>
        <v>1</v>
      </c>
      <c r="BJ1076" s="1">
        <f t="shared" si="1510"/>
        <v>1</v>
      </c>
      <c r="BK1076" s="1">
        <f t="shared" si="1511"/>
        <v>1</v>
      </c>
      <c r="BL1076" s="1">
        <f t="shared" si="1516"/>
        <v>1</v>
      </c>
      <c r="BM1076" s="1">
        <f t="shared" si="1514"/>
        <v>1</v>
      </c>
      <c r="BN1076" s="1">
        <f t="shared" si="1491"/>
        <v>1</v>
      </c>
      <c r="BO1076" s="1">
        <f t="shared" si="1492"/>
        <v>1</v>
      </c>
    </row>
    <row r="1077" spans="1:67" ht="30.95" customHeight="1">
      <c r="A1077" s="1">
        <f>29</f>
        <v>29</v>
      </c>
      <c r="B1077" s="1">
        <f>固定流程!A33</f>
        <v>28</v>
      </c>
      <c r="C1077" s="1">
        <f>32</f>
        <v>32</v>
      </c>
      <c r="D1077" s="1">
        <f>2</f>
        <v>2</v>
      </c>
      <c r="E1077" s="1">
        <f>固定流程!C33</f>
        <v>3</v>
      </c>
      <c r="F1077" s="1">
        <f>固定流程!G33</f>
        <v>1</v>
      </c>
      <c r="G1077" s="1" t="str">
        <f>固定流程!H33</f>
        <v>LILYA_WEAK</v>
      </c>
      <c r="H1077" s="1">
        <f>固定流程!F33</f>
        <v>1</v>
      </c>
      <c r="I1077" s="1">
        <f>INDEX(配置与结果!$B$15:$B$18,F1077)</f>
        <v>2296</v>
      </c>
      <c r="J1077" s="1">
        <f>INDEX(配置与结果!$D$15:$D$18,F1077)</f>
        <v>0.7</v>
      </c>
      <c r="K1077" s="1">
        <f>INDEX(配置与结果!$E$15:$E$18,F1077)</f>
        <v>2.0249999999999999</v>
      </c>
      <c r="L1077" s="1">
        <f t="shared" si="1503"/>
        <v>2</v>
      </c>
      <c r="M1077" s="1">
        <f t="shared" si="1504"/>
        <v>10</v>
      </c>
      <c r="N1077" s="1">
        <f t="shared" si="1505"/>
        <v>2</v>
      </c>
      <c r="O1077" s="1">
        <f t="shared" si="1497"/>
        <v>3</v>
      </c>
      <c r="P1077" s="1">
        <f>MIN(方案参数!$AI$32,AZ1076+0+0)</f>
        <v>5</v>
      </c>
      <c r="Q1077" s="1">
        <f t="shared" si="1475"/>
        <v>5</v>
      </c>
      <c r="R1077" s="1">
        <f t="shared" si="1476"/>
        <v>20</v>
      </c>
      <c r="S1077" s="1">
        <f t="shared" si="1477"/>
        <v>3</v>
      </c>
      <c r="T1077" s="1">
        <f t="shared" si="1512"/>
        <v>0</v>
      </c>
      <c r="U1077" s="1">
        <f t="shared" si="1479"/>
        <v>0</v>
      </c>
      <c r="V1077" s="1">
        <f t="shared" si="1480"/>
        <v>4</v>
      </c>
      <c r="W1077" s="1">
        <f t="shared" si="1481"/>
        <v>1</v>
      </c>
      <c r="X1077" s="1">
        <f t="shared" si="1482"/>
        <v>1</v>
      </c>
      <c r="Y1077" s="1">
        <f t="shared" si="1483"/>
        <v>1</v>
      </c>
      <c r="Z1077" s="1">
        <f t="shared" si="1484"/>
        <v>1</v>
      </c>
      <c r="AA1077" s="1">
        <f t="shared" si="1508"/>
        <v>1</v>
      </c>
      <c r="AB1077" s="1">
        <f t="shared" si="1486"/>
        <v>1</v>
      </c>
      <c r="AC1077" s="1">
        <f t="shared" si="1513"/>
        <v>1</v>
      </c>
      <c r="AD1077" s="1">
        <f>ROUNDDOWN(I1077*(1+IF(F1077=3,0.05+方案参数!$Y$32+AA1077*0.12,IF(F1077=4,方案参数!$BZ$32*方案参数!$AS$32,0)))+IF(AND(X1077=1,F1077&lt;&gt;3),方案参数!$CC$32,0)+AC1077*方案参数!$CB$32,0)</f>
        <v>3034</v>
      </c>
      <c r="AE1077" s="1">
        <f>IF(OR(F1077=1,F1077=4),配置与结果!$B$24,配置与结果!$B$25)*MAX(0,1-INDEX(配置与结果!$I$15:$I$18,F1077))</f>
        <v>1200</v>
      </c>
      <c r="AF1077" s="1">
        <f>方案参数!$BL$32</f>
        <v>9</v>
      </c>
      <c r="AG1077" s="1">
        <f>MAX(配置与结果!$B$32,1+INDEX(配置与结果!$F$15:$F$18,F1077)+0.08+方案参数!$CD$32+Q1077*方案参数!$W$32+Y1077*(方案参数!$AN$32+MIN(方案参数!$AO$32,P1077*0.03))+AB1077*方案参数!$BZ$32*0.025-配置与结果!$B$28+方案参数!$AE$32)</f>
        <v>2.6150000000000002</v>
      </c>
      <c r="AH1077" s="1">
        <f>MAX(0,1+V1077*方案参数!$U$32+4*方案参数!$V$32+方案参数!$AE$32-配置与结果!$B$29)</f>
        <v>1.7399999999999998</v>
      </c>
      <c r="AI1077" s="1">
        <f>IF(OR(INDEX(配置与结果!$K$15:$K$18,F1077)=1,G1077="RHI_BERRY"),1+配置与结果!$B$33+P1077*方案参数!$AH$32,1)</f>
        <v>1</v>
      </c>
      <c r="AJ1077" s="1">
        <f>MIN(1,MAX(0,J1077+方案参数!$AB$32-配置与结果!$B$27))</f>
        <v>1</v>
      </c>
      <c r="AK1077" s="1">
        <f>MAX(1,K1077+IF(F1077=2,0.15+方案参数!$CH$32,0)+BN1077*方案参数!$X$32+R1077*方案参数!$AA$32+方案参数!$BP$32-配置与结果!$B$26+Z1077*(方案参数!$AP$32+MIN(方案参数!$AQ$32,P1077*0.03)))</f>
        <v>2.7650000000000001</v>
      </c>
      <c r="AL1077" s="7">
        <f>ROUNDDOWN(MAX(AD1077*配置与结果!$B$31,AD1077-AE1077)*AF1077*AG1077*AH1077*AI1077,0)</f>
        <v>75103</v>
      </c>
      <c r="AM1077" s="7">
        <f>ROUNDDOWN(MAX(AD1077*配置与结果!$B$31,AD1077-AE1077)*AF1077*AG1077*AH1077*AI1077*AK1077,0)</f>
        <v>207662</v>
      </c>
      <c r="AN1077" s="7">
        <f t="shared" si="1460"/>
        <v>207662</v>
      </c>
      <c r="AO1077" s="7">
        <f>0</f>
        <v>0</v>
      </c>
      <c r="AP1077" s="7">
        <f>MAX(0,1+INDEX(配置与结果!$J$15:$J$18,F1077)+IF(T1077&gt;0,方案参数!$BY$32,0)-配置与结果!$B$30)</f>
        <v>1</v>
      </c>
      <c r="AQ1077" s="7">
        <f t="shared" si="1461"/>
        <v>0</v>
      </c>
      <c r="AR1077" s="7">
        <f t="shared" si="1462"/>
        <v>0</v>
      </c>
      <c r="AS1077" s="7">
        <f t="shared" si="1463"/>
        <v>0</v>
      </c>
      <c r="AT1077" s="7">
        <f>IF(U1077&gt;0,ROUNDDOWN(AL1077*方案参数!$AF$32,0)*(1-AJ1077)+ROUNDDOWN(AM1077*方案参数!$AF$32,0)*AJ1077,0)</f>
        <v>0</v>
      </c>
      <c r="AU1077" s="7">
        <f t="shared" si="1464"/>
        <v>207662</v>
      </c>
      <c r="AV1077" s="1">
        <f t="shared" si="1465"/>
        <v>2</v>
      </c>
      <c r="AW1077" s="1">
        <f t="shared" si="1518"/>
        <v>10</v>
      </c>
      <c r="AX1077" s="1">
        <f t="shared" si="1466"/>
        <v>2</v>
      </c>
      <c r="AY1077" s="1">
        <f>MIN(20,MAX(0,O1077+0+1-0))</f>
        <v>4</v>
      </c>
      <c r="AZ1077" s="1">
        <f t="shared" si="1467"/>
        <v>5</v>
      </c>
      <c r="BA1077" s="1">
        <f t="shared" si="1509"/>
        <v>5</v>
      </c>
      <c r="BB1077" s="1">
        <f t="shared" si="1517"/>
        <v>20</v>
      </c>
      <c r="BC1077" s="1">
        <f t="shared" si="1515"/>
        <v>3</v>
      </c>
      <c r="BD1077" s="1">
        <f t="shared" si="1496"/>
        <v>0</v>
      </c>
      <c r="BE1077" s="1">
        <f>MAX(0,U1077-IF(AF1077&gt;0,1,0))+0</f>
        <v>0</v>
      </c>
      <c r="BF1077" s="1">
        <f t="shared" si="1519"/>
        <v>4</v>
      </c>
      <c r="BG1077" s="1">
        <f t="shared" si="1506"/>
        <v>1</v>
      </c>
      <c r="BH1077" s="1">
        <f t="shared" si="1490"/>
        <v>1</v>
      </c>
      <c r="BI1077" s="1">
        <f t="shared" si="1507"/>
        <v>1</v>
      </c>
      <c r="BJ1077" s="1">
        <f t="shared" si="1510"/>
        <v>1</v>
      </c>
      <c r="BK1077" s="1">
        <f t="shared" si="1511"/>
        <v>1</v>
      </c>
      <c r="BL1077" s="1">
        <f t="shared" si="1516"/>
        <v>1</v>
      </c>
      <c r="BM1077" s="1">
        <f t="shared" si="1514"/>
        <v>1</v>
      </c>
      <c r="BN1077" s="1">
        <f t="shared" si="1491"/>
        <v>1</v>
      </c>
      <c r="BO1077" s="1">
        <f t="shared" si="1492"/>
        <v>1</v>
      </c>
    </row>
    <row r="1078" spans="1:67" ht="30.95" customHeight="1">
      <c r="A1078" s="1">
        <f>29</f>
        <v>29</v>
      </c>
      <c r="B1078" s="1">
        <f>固定流程!A34</f>
        <v>29</v>
      </c>
      <c r="C1078" s="1">
        <f>32</f>
        <v>32</v>
      </c>
      <c r="D1078" s="1">
        <f>2</f>
        <v>2</v>
      </c>
      <c r="E1078" s="1">
        <f>固定流程!C34</f>
        <v>3</v>
      </c>
      <c r="F1078" s="1">
        <f>固定流程!G34</f>
        <v>1</v>
      </c>
      <c r="G1078" s="1" t="str">
        <f>固定流程!H34</f>
        <v>LILYA_WEAK</v>
      </c>
      <c r="H1078" s="1">
        <f>固定流程!F34</f>
        <v>1</v>
      </c>
      <c r="I1078" s="1">
        <f>INDEX(配置与结果!$B$15:$B$18,F1078)</f>
        <v>2296</v>
      </c>
      <c r="J1078" s="1">
        <f>INDEX(配置与结果!$D$15:$D$18,F1078)</f>
        <v>0.7</v>
      </c>
      <c r="K1078" s="1">
        <f>INDEX(配置与结果!$E$15:$E$18,F1078)</f>
        <v>2.0249999999999999</v>
      </c>
      <c r="L1078" s="1">
        <f t="shared" si="1503"/>
        <v>2</v>
      </c>
      <c r="M1078" s="1">
        <f t="shared" si="1504"/>
        <v>10</v>
      </c>
      <c r="N1078" s="1">
        <f t="shared" si="1505"/>
        <v>2</v>
      </c>
      <c r="O1078" s="1">
        <f t="shared" si="1497"/>
        <v>4</v>
      </c>
      <c r="P1078" s="1">
        <f>MIN(方案参数!$AI$32,AZ1077+0+0)</f>
        <v>5</v>
      </c>
      <c r="Q1078" s="1">
        <f t="shared" si="1475"/>
        <v>5</v>
      </c>
      <c r="R1078" s="1">
        <f t="shared" si="1476"/>
        <v>20</v>
      </c>
      <c r="S1078" s="1">
        <f t="shared" si="1477"/>
        <v>3</v>
      </c>
      <c r="T1078" s="1">
        <f t="shared" si="1512"/>
        <v>0</v>
      </c>
      <c r="U1078" s="1">
        <f t="shared" si="1479"/>
        <v>0</v>
      </c>
      <c r="V1078" s="1">
        <f t="shared" si="1480"/>
        <v>4</v>
      </c>
      <c r="W1078" s="1">
        <f t="shared" si="1481"/>
        <v>1</v>
      </c>
      <c r="X1078" s="1">
        <f t="shared" si="1482"/>
        <v>1</v>
      </c>
      <c r="Y1078" s="1">
        <f t="shared" si="1483"/>
        <v>1</v>
      </c>
      <c r="Z1078" s="1">
        <f t="shared" si="1484"/>
        <v>1</v>
      </c>
      <c r="AA1078" s="1">
        <f t="shared" si="1508"/>
        <v>1</v>
      </c>
      <c r="AB1078" s="1">
        <f t="shared" si="1486"/>
        <v>1</v>
      </c>
      <c r="AC1078" s="1">
        <f t="shared" si="1513"/>
        <v>1</v>
      </c>
      <c r="AD1078" s="1">
        <f>ROUNDDOWN(I1078*(1+IF(F1078=3,0.05+方案参数!$Y$32+AA1078*0.12,IF(F1078=4,方案参数!$BZ$32*方案参数!$AS$32,0)))+IF(AND(X1078=1,F1078&lt;&gt;3),方案参数!$CC$32,0)+AC1078*方案参数!$CB$32,0)</f>
        <v>3034</v>
      </c>
      <c r="AE1078" s="1">
        <f>IF(OR(F1078=1,F1078=4),配置与结果!$B$24,配置与结果!$B$25)*MAX(0,1-INDEX(配置与结果!$I$15:$I$18,F1078))</f>
        <v>1200</v>
      </c>
      <c r="AF1078" s="1">
        <f>方案参数!$BL$32</f>
        <v>9</v>
      </c>
      <c r="AG1078" s="1">
        <f>MAX(配置与结果!$B$32,1+INDEX(配置与结果!$F$15:$F$18,F1078)+0.08+方案参数!$CD$32+Q1078*方案参数!$W$32+Y1078*(方案参数!$AN$32+MIN(方案参数!$AO$32,P1078*0.03))+AB1078*方案参数!$BZ$32*0.025-配置与结果!$B$28+方案参数!$AE$32)</f>
        <v>2.6150000000000002</v>
      </c>
      <c r="AH1078" s="1">
        <f>MAX(0,1+V1078*方案参数!$U$32+5*方案参数!$V$32+方案参数!$AE$32-配置与结果!$B$29)</f>
        <v>1.7849999999999997</v>
      </c>
      <c r="AI1078" s="1">
        <f>IF(OR(INDEX(配置与结果!$K$15:$K$18,F1078)=1,G1078="RHI_BERRY"),1+配置与结果!$B$33+P1078*方案参数!$AH$32,1)</f>
        <v>1</v>
      </c>
      <c r="AJ1078" s="1">
        <f>MIN(1,MAX(0,J1078+方案参数!$AB$32-配置与结果!$B$27))</f>
        <v>1</v>
      </c>
      <c r="AK1078" s="1">
        <f>MAX(1,K1078+IF(F1078=2,0.15+方案参数!$CH$32,0)+BN1078*方案参数!$X$32+R1078*方案参数!$AA$32+方案参数!$BP$32-配置与结果!$B$26+Z1078*(方案参数!$AP$32+MIN(方案参数!$AQ$32,P1078*0.03)))</f>
        <v>2.7650000000000001</v>
      </c>
      <c r="AL1078" s="7">
        <f>ROUNDDOWN(MAX(AD1078*配置与结果!$B$31,AD1078-AE1078)*AF1078*AG1078*AH1078*AI1078,0)</f>
        <v>77046</v>
      </c>
      <c r="AM1078" s="7">
        <f>ROUNDDOWN(MAX(AD1078*配置与结果!$B$31,AD1078-AE1078)*AF1078*AG1078*AH1078*AI1078*AK1078,0)</f>
        <v>213033</v>
      </c>
      <c r="AN1078" s="7">
        <f t="shared" si="1460"/>
        <v>213033</v>
      </c>
      <c r="AO1078" s="7">
        <f>0</f>
        <v>0</v>
      </c>
      <c r="AP1078" s="7">
        <f>MAX(0,1+INDEX(配置与结果!$J$15:$J$18,F1078)+IF(T1078&gt;0,方案参数!$BY$32,0)-配置与结果!$B$30)</f>
        <v>1</v>
      </c>
      <c r="AQ1078" s="7">
        <f t="shared" si="1461"/>
        <v>0</v>
      </c>
      <c r="AR1078" s="7">
        <f t="shared" si="1462"/>
        <v>0</v>
      </c>
      <c r="AS1078" s="7">
        <f t="shared" si="1463"/>
        <v>0</v>
      </c>
      <c r="AT1078" s="7">
        <f>IF(U1078&gt;0,ROUNDDOWN(AL1078*方案参数!$AF$32,0)*(1-AJ1078)+ROUNDDOWN(AM1078*方案参数!$AF$32,0)*AJ1078,0)</f>
        <v>0</v>
      </c>
      <c r="AU1078" s="7">
        <f t="shared" si="1464"/>
        <v>213033</v>
      </c>
      <c r="AV1078" s="1">
        <f t="shared" si="1465"/>
        <v>2</v>
      </c>
      <c r="AW1078" s="1">
        <f t="shared" si="1518"/>
        <v>10</v>
      </c>
      <c r="AX1078" s="1">
        <f t="shared" si="1466"/>
        <v>2</v>
      </c>
      <c r="AY1078" s="1">
        <f>MIN(20,MAX(0,O1078+0+1-0))</f>
        <v>5</v>
      </c>
      <c r="AZ1078" s="1">
        <f t="shared" si="1467"/>
        <v>5</v>
      </c>
      <c r="BA1078" s="1">
        <f t="shared" si="1509"/>
        <v>5</v>
      </c>
      <c r="BB1078" s="1">
        <f t="shared" si="1517"/>
        <v>20</v>
      </c>
      <c r="BC1078" s="1">
        <f t="shared" si="1515"/>
        <v>3</v>
      </c>
      <c r="BD1078" s="1">
        <f t="shared" si="1496"/>
        <v>0</v>
      </c>
      <c r="BE1078" s="1">
        <f>MAX(0,U1078-IF(AF1078&gt;0,1,0))+0</f>
        <v>0</v>
      </c>
      <c r="BF1078" s="1">
        <f t="shared" si="1519"/>
        <v>4</v>
      </c>
      <c r="BG1078" s="1">
        <f t="shared" si="1506"/>
        <v>1</v>
      </c>
      <c r="BH1078" s="1">
        <f t="shared" si="1490"/>
        <v>1</v>
      </c>
      <c r="BI1078" s="1">
        <f t="shared" si="1507"/>
        <v>1</v>
      </c>
      <c r="BJ1078" s="1">
        <f t="shared" si="1510"/>
        <v>1</v>
      </c>
      <c r="BK1078" s="1">
        <f t="shared" si="1511"/>
        <v>1</v>
      </c>
      <c r="BL1078" s="1">
        <f t="shared" si="1516"/>
        <v>1</v>
      </c>
      <c r="BM1078" s="1">
        <f t="shared" si="1514"/>
        <v>1</v>
      </c>
      <c r="BN1078" s="1">
        <f t="shared" si="1491"/>
        <v>1</v>
      </c>
      <c r="BO1078" s="1">
        <f t="shared" si="1492"/>
        <v>1</v>
      </c>
    </row>
    <row r="1079" spans="1:67" ht="30.95" customHeight="1">
      <c r="A1079" s="1">
        <f>29</f>
        <v>29</v>
      </c>
      <c r="B1079" s="1">
        <f>固定流程!A35</f>
        <v>30</v>
      </c>
      <c r="C1079" s="1">
        <f>32</f>
        <v>32</v>
      </c>
      <c r="D1079" s="1">
        <f>2</f>
        <v>2</v>
      </c>
      <c r="E1079" s="1">
        <f>固定流程!C35</f>
        <v>3</v>
      </c>
      <c r="F1079" s="1">
        <f>固定流程!G35</f>
        <v>2</v>
      </c>
      <c r="G1079" s="1" t="str">
        <f>固定流程!H35</f>
        <v>37_WEAK</v>
      </c>
      <c r="H1079" s="1">
        <f>固定流程!F35</f>
        <v>1</v>
      </c>
      <c r="I1079" s="1">
        <f>INDEX(配置与结果!$B$15:$B$18,F1079)</f>
        <v>2306</v>
      </c>
      <c r="J1079" s="1">
        <f>INDEX(配置与结果!$D$15:$D$18,F1079)</f>
        <v>0.46</v>
      </c>
      <c r="K1079" s="1">
        <f>INDEX(配置与结果!$E$15:$E$18,F1079)</f>
        <v>1.9279999999999999</v>
      </c>
      <c r="L1079" s="1">
        <f t="shared" si="1503"/>
        <v>2</v>
      </c>
      <c r="M1079" s="1">
        <f t="shared" si="1504"/>
        <v>10</v>
      </c>
      <c r="N1079" s="1">
        <f t="shared" si="1505"/>
        <v>2</v>
      </c>
      <c r="O1079" s="1">
        <f t="shared" si="1497"/>
        <v>5</v>
      </c>
      <c r="P1079" s="1">
        <f>MIN(方案参数!$AI$32,AZ1078+0+0)</f>
        <v>5</v>
      </c>
      <c r="Q1079" s="1">
        <f t="shared" si="1475"/>
        <v>5</v>
      </c>
      <c r="R1079" s="1">
        <f t="shared" si="1476"/>
        <v>20</v>
      </c>
      <c r="S1079" s="1">
        <f t="shared" si="1477"/>
        <v>3</v>
      </c>
      <c r="T1079" s="1">
        <f t="shared" si="1512"/>
        <v>0</v>
      </c>
      <c r="U1079" s="1">
        <f t="shared" si="1479"/>
        <v>0</v>
      </c>
      <c r="V1079" s="1">
        <f t="shared" si="1480"/>
        <v>4</v>
      </c>
      <c r="W1079" s="1">
        <f t="shared" si="1481"/>
        <v>1</v>
      </c>
      <c r="X1079" s="1">
        <f t="shared" si="1482"/>
        <v>1</v>
      </c>
      <c r="Y1079" s="1">
        <f t="shared" si="1483"/>
        <v>1</v>
      </c>
      <c r="Z1079" s="1">
        <f t="shared" si="1484"/>
        <v>1</v>
      </c>
      <c r="AA1079" s="1">
        <f t="shared" si="1508"/>
        <v>1</v>
      </c>
      <c r="AB1079" s="1">
        <f t="shared" si="1486"/>
        <v>1</v>
      </c>
      <c r="AC1079" s="1">
        <f t="shared" si="1513"/>
        <v>1</v>
      </c>
      <c r="AD1079" s="1">
        <f>ROUNDDOWN(I1079*(1+IF(F1079=3,0.05+方案参数!$Y$32+AA1079*0.12,IF(F1079=4,方案参数!$BZ$32*方案参数!$AS$32,0)))+IF(AND(X1079=1,F1079&lt;&gt;3),方案参数!$CC$32,0)+AC1079*方案参数!$CB$32,0)</f>
        <v>3044</v>
      </c>
      <c r="AE1079" s="1">
        <f>IF(OR(F1079=1,F1079=4),配置与结果!$B$24,配置与结果!$B$25)*MAX(0,1-INDEX(配置与结果!$I$15:$I$18,F1079))</f>
        <v>1000</v>
      </c>
      <c r="AF1079" s="1">
        <f>方案参数!$CE$32</f>
        <v>8</v>
      </c>
      <c r="AG1079" s="1">
        <f>MAX(配置与结果!$B$32,1+INDEX(配置与结果!$F$15:$F$18,F1079)+0+Q1079*方案参数!$W$32+Y1079*(方案参数!$AN$32+MIN(方案参数!$AO$32,P1079*0.03))+AB1079*方案参数!$BZ$32*0.025-配置与结果!$B$28+方案参数!$AE$32)</f>
        <v>2.2800000000000002</v>
      </c>
      <c r="AH1079" s="1">
        <f>MAX(0,1+V1079*方案参数!$U$32+方案参数!$AE$32-配置与结果!$B$29)</f>
        <v>1.56</v>
      </c>
      <c r="AI1079" s="1">
        <f>IF(OR(INDEX(配置与结果!$K$15:$K$18,F1079)=1,G1079="RHI_BERRY"),1+配置与结果!$B$33+P1079*方案参数!$AH$32,1)</f>
        <v>1</v>
      </c>
      <c r="AJ1079" s="1">
        <f>MIN(1,MAX(0,J1079+方案参数!$AB$32-配置与结果!$B$27))</f>
        <v>0.76</v>
      </c>
      <c r="AK1079" s="1">
        <f>MAX(1,K1079+IF(F1079=2,0.15+方案参数!$CH$32,0)+BN1079*方案参数!$X$32+R1079*方案参数!$AA$32+0-配置与结果!$B$26+Z1079*(方案参数!$AP$32+MIN(方案参数!$AQ$32,P1079*0.03)))</f>
        <v>2.3380000000000001</v>
      </c>
      <c r="AL1079" s="7">
        <f>ROUNDDOWN(MAX(AD1079*配置与结果!$B$31,AD1079-AE1079)*AF1079*AG1079*AH1079*AI1079,0)</f>
        <v>58160</v>
      </c>
      <c r="AM1079" s="7">
        <f>ROUNDDOWN(MAX(AD1079*配置与结果!$B$31,AD1079-AE1079)*AF1079*AG1079*AH1079*AI1079*AK1079,0)</f>
        <v>135979</v>
      </c>
      <c r="AN1079" s="7">
        <f t="shared" si="1460"/>
        <v>117302.44</v>
      </c>
      <c r="AO1079" s="7">
        <f>0</f>
        <v>0</v>
      </c>
      <c r="AP1079" s="7">
        <f>MAX(0,1+INDEX(配置与结果!$J$15:$J$18,F1079)+IF(T1079&gt;0,方案参数!$BY$32,0)-配置与结果!$B$30)</f>
        <v>1</v>
      </c>
      <c r="AQ1079" s="7">
        <f t="shared" si="1461"/>
        <v>0</v>
      </c>
      <c r="AR1079" s="7">
        <f t="shared" si="1462"/>
        <v>0</v>
      </c>
      <c r="AS1079" s="7">
        <f t="shared" si="1463"/>
        <v>0</v>
      </c>
      <c r="AT1079" s="7">
        <f>IF(U1079&gt;0,ROUNDDOWN(AL1079*方案参数!$AF$32,0)*(1-AJ1079)+ROUNDDOWN(AM1079*方案参数!$AF$32,0)*AJ1079,0)</f>
        <v>0</v>
      </c>
      <c r="AU1079" s="7">
        <f t="shared" si="1464"/>
        <v>117302.44</v>
      </c>
      <c r="AV1079" s="1">
        <f t="shared" si="1465"/>
        <v>2</v>
      </c>
      <c r="AW1079" s="1">
        <f t="shared" si="1518"/>
        <v>10</v>
      </c>
      <c r="AX1079" s="1">
        <f t="shared" si="1466"/>
        <v>2</v>
      </c>
      <c r="AY1079" s="1">
        <f>MIN(20,MAX(0,O1079+0+0-0))</f>
        <v>5</v>
      </c>
      <c r="AZ1079" s="1">
        <f t="shared" si="1467"/>
        <v>5</v>
      </c>
      <c r="BA1079" s="1">
        <f t="shared" si="1509"/>
        <v>5</v>
      </c>
      <c r="BB1079" s="1">
        <f t="shared" si="1517"/>
        <v>20</v>
      </c>
      <c r="BC1079" s="1">
        <f t="shared" si="1515"/>
        <v>3</v>
      </c>
      <c r="BD1079" s="1">
        <f t="shared" si="1496"/>
        <v>0</v>
      </c>
      <c r="BE1079" s="1">
        <f>MAX(0,U1079-IF(AF1079&gt;0,1,0))+1</f>
        <v>1</v>
      </c>
      <c r="BF1079" s="1">
        <f t="shared" si="1519"/>
        <v>4</v>
      </c>
      <c r="BG1079" s="1">
        <f t="shared" si="1506"/>
        <v>1</v>
      </c>
      <c r="BH1079" s="1">
        <f t="shared" si="1490"/>
        <v>1</v>
      </c>
      <c r="BI1079" s="1">
        <f t="shared" si="1507"/>
        <v>1</v>
      </c>
      <c r="BJ1079" s="1">
        <f t="shared" si="1510"/>
        <v>1</v>
      </c>
      <c r="BK1079" s="1">
        <f t="shared" si="1511"/>
        <v>1</v>
      </c>
      <c r="BL1079" s="1">
        <f t="shared" si="1516"/>
        <v>1</v>
      </c>
      <c r="BM1079" s="1">
        <f t="shared" si="1514"/>
        <v>1</v>
      </c>
      <c r="BN1079" s="1">
        <f t="shared" si="1491"/>
        <v>1</v>
      </c>
      <c r="BO1079" s="1">
        <f t="shared" si="1492"/>
        <v>1</v>
      </c>
    </row>
    <row r="1080" spans="1:67" ht="30.95" customHeight="1">
      <c r="A1080" s="1">
        <f>29</f>
        <v>29</v>
      </c>
      <c r="B1080" s="1">
        <f>固定流程!A36</f>
        <v>31</v>
      </c>
      <c r="C1080" s="1">
        <f>32</f>
        <v>32</v>
      </c>
      <c r="D1080" s="1">
        <f>2</f>
        <v>2</v>
      </c>
      <c r="E1080" s="1">
        <f>固定流程!C36</f>
        <v>3</v>
      </c>
      <c r="F1080" s="1">
        <f>固定流程!G36</f>
        <v>1</v>
      </c>
      <c r="G1080" s="1" t="str">
        <f>固定流程!H36</f>
        <v>LILYA_THIRD</v>
      </c>
      <c r="H1080" s="1">
        <f>固定流程!F36</f>
        <v>1</v>
      </c>
      <c r="I1080" s="1">
        <f>INDEX(配置与结果!$B$15:$B$18,F1080)</f>
        <v>2296</v>
      </c>
      <c r="J1080" s="1">
        <f>INDEX(配置与结果!$D$15:$D$18,F1080)</f>
        <v>0.7</v>
      </c>
      <c r="K1080" s="1">
        <f>INDEX(配置与结果!$E$15:$E$18,F1080)</f>
        <v>2.0249999999999999</v>
      </c>
      <c r="L1080" s="1">
        <f t="shared" si="1503"/>
        <v>2</v>
      </c>
      <c r="M1080" s="1">
        <f t="shared" si="1504"/>
        <v>10</v>
      </c>
      <c r="N1080" s="1">
        <f t="shared" si="1505"/>
        <v>2</v>
      </c>
      <c r="O1080" s="1">
        <f t="shared" si="1497"/>
        <v>5</v>
      </c>
      <c r="P1080" s="1">
        <f>MIN(方案参数!$AI$32,AZ1079+0+0)</f>
        <v>5</v>
      </c>
      <c r="Q1080" s="1">
        <f t="shared" si="1475"/>
        <v>5</v>
      </c>
      <c r="R1080" s="1">
        <f t="shared" si="1476"/>
        <v>20</v>
      </c>
      <c r="S1080" s="1">
        <f t="shared" si="1477"/>
        <v>3</v>
      </c>
      <c r="T1080" s="1">
        <f t="shared" si="1512"/>
        <v>0</v>
      </c>
      <c r="U1080" s="1">
        <f t="shared" si="1479"/>
        <v>1</v>
      </c>
      <c r="V1080" s="1">
        <f t="shared" si="1480"/>
        <v>4</v>
      </c>
      <c r="W1080" s="1">
        <f t="shared" si="1481"/>
        <v>1</v>
      </c>
      <c r="X1080" s="1">
        <f t="shared" si="1482"/>
        <v>1</v>
      </c>
      <c r="Y1080" s="1">
        <f t="shared" si="1483"/>
        <v>1</v>
      </c>
      <c r="Z1080" s="1">
        <f t="shared" si="1484"/>
        <v>1</v>
      </c>
      <c r="AA1080" s="1">
        <f t="shared" si="1508"/>
        <v>1</v>
      </c>
      <c r="AB1080" s="1">
        <f t="shared" si="1486"/>
        <v>1</v>
      </c>
      <c r="AC1080" s="1">
        <f t="shared" si="1513"/>
        <v>1</v>
      </c>
      <c r="AD1080" s="1">
        <f>ROUNDDOWN(I1080*(1+IF(F1080=3,0.05+方案参数!$Y$32+AA1080*0.12,IF(F1080=4,方案参数!$BZ$32*方案参数!$AS$32,0)))+IF(AND(X1080=1,F1080&lt;&gt;3),方案参数!$CC$32,0)+AC1080*方案参数!$CB$32,0)</f>
        <v>3034</v>
      </c>
      <c r="AE1080" s="1">
        <f>IF(OR(F1080=1,F1080=4),配置与结果!$B$24,配置与结果!$B$25)*MAX(0,1-INDEX(配置与结果!$I$15:$I$18,F1080))</f>
        <v>1200</v>
      </c>
      <c r="AF1080" s="1">
        <f>方案参数!$BM$32</f>
        <v>20</v>
      </c>
      <c r="AG1080" s="1">
        <f>MAX(配置与结果!$B$32,1+INDEX(配置与结果!$F$15:$F$18,F1080)+0.08+方案参数!$CD$32+Q1080*方案参数!$W$32+Y1080*(方案参数!$AN$32+MIN(方案参数!$AO$32,P1080*0.03))+AB1080*方案参数!$BZ$32*0.025-配置与结果!$B$28+方案参数!$AE$32)</f>
        <v>2.6150000000000002</v>
      </c>
      <c r="AH1080" s="1">
        <f>MAX(0,1+V1080*方案参数!$U$32+7*方案参数!$V$32+方案参数!$AE$32-配置与结果!$B$29)</f>
        <v>1.875</v>
      </c>
      <c r="AI1080" s="1">
        <f>IF(OR(INDEX(配置与结果!$K$15:$K$18,F1080)=1,G1080="RHI_BERRY"),1+配置与结果!$B$33+P1080*方案参数!$AH$32,1)</f>
        <v>1</v>
      </c>
      <c r="AJ1080" s="1">
        <f>MIN(1,MAX(0,J1080+方案参数!$AB$32-配置与结果!$B$27))</f>
        <v>1</v>
      </c>
      <c r="AK1080" s="1">
        <f>MAX(1,K1080+IF(F1080=2,0.15+方案参数!$CH$32,0)+BN1080*方案参数!$X$32+R1080*方案参数!$AA$32+方案参数!$BQ$32-配置与结果!$B$26+Z1080*(方案参数!$AP$32+MIN(方案参数!$AQ$32,P1080*0.03)))</f>
        <v>2.9650000000000003</v>
      </c>
      <c r="AL1080" s="7">
        <f>ROUNDDOWN(MAX(AD1080*配置与结果!$B$31,AD1080-AE1080)*AF1080*AG1080*AH1080*AI1080,0)</f>
        <v>179846</v>
      </c>
      <c r="AM1080" s="7">
        <f>ROUNDDOWN(MAX(AD1080*配置与结果!$B$31,AD1080-AE1080)*AF1080*AG1080*AH1080*AI1080*AK1080,0)</f>
        <v>533245</v>
      </c>
      <c r="AN1080" s="7">
        <f t="shared" si="1460"/>
        <v>533245</v>
      </c>
      <c r="AO1080" s="7">
        <f>0</f>
        <v>0</v>
      </c>
      <c r="AP1080" s="7">
        <f>MAX(0,1+INDEX(配置与结果!$J$15:$J$18,F1080)+IF(T1080&gt;0,方案参数!$BY$32,0)-配置与结果!$B$30)</f>
        <v>1</v>
      </c>
      <c r="AQ1080" s="7">
        <f t="shared" si="1461"/>
        <v>0</v>
      </c>
      <c r="AR1080" s="7">
        <f t="shared" si="1462"/>
        <v>0</v>
      </c>
      <c r="AS1080" s="7">
        <f t="shared" si="1463"/>
        <v>0</v>
      </c>
      <c r="AT1080" s="7">
        <f>IF(U1080&gt;0,ROUNDDOWN(AL1080*方案参数!$AF$32,0)*(1-AJ1080)+ROUNDDOWN(AM1080*方案参数!$AF$32,0)*AJ1080,0)</f>
        <v>213298</v>
      </c>
      <c r="AU1080" s="7">
        <f t="shared" si="1464"/>
        <v>746543</v>
      </c>
      <c r="AV1080" s="1">
        <f t="shared" si="1465"/>
        <v>2</v>
      </c>
      <c r="AW1080" s="1">
        <f t="shared" si="1518"/>
        <v>10</v>
      </c>
      <c r="AX1080" s="1">
        <f t="shared" si="1466"/>
        <v>2</v>
      </c>
      <c r="AY1080" s="1">
        <f>MIN(20,MAX(0,O1080+0+1-0))</f>
        <v>6</v>
      </c>
      <c r="AZ1080" s="1">
        <f t="shared" si="1467"/>
        <v>5</v>
      </c>
      <c r="BA1080" s="1">
        <f t="shared" si="1509"/>
        <v>5</v>
      </c>
      <c r="BB1080" s="1">
        <f t="shared" si="1517"/>
        <v>20</v>
      </c>
      <c r="BC1080" s="1">
        <f t="shared" si="1515"/>
        <v>3</v>
      </c>
      <c r="BD1080" s="1">
        <f t="shared" si="1496"/>
        <v>0</v>
      </c>
      <c r="BE1080" s="1">
        <f>MAX(0,U1080-IF(AF1080&gt;0,1,0))+0</f>
        <v>0</v>
      </c>
      <c r="BF1080" s="1">
        <f t="shared" si="1519"/>
        <v>4</v>
      </c>
      <c r="BG1080" s="1">
        <f t="shared" si="1506"/>
        <v>1</v>
      </c>
      <c r="BH1080" s="1">
        <f t="shared" si="1490"/>
        <v>1</v>
      </c>
      <c r="BI1080" s="1">
        <f t="shared" si="1507"/>
        <v>1</v>
      </c>
      <c r="BJ1080" s="1">
        <f t="shared" si="1510"/>
        <v>1</v>
      </c>
      <c r="BK1080" s="1">
        <f t="shared" si="1511"/>
        <v>1</v>
      </c>
      <c r="BL1080" s="1">
        <f t="shared" si="1516"/>
        <v>1</v>
      </c>
      <c r="BM1080" s="1">
        <f t="shared" si="1514"/>
        <v>1</v>
      </c>
      <c r="BN1080" s="1">
        <f t="shared" si="1491"/>
        <v>1</v>
      </c>
      <c r="BO1080" s="1">
        <f t="shared" si="1492"/>
        <v>1</v>
      </c>
    </row>
    <row r="1081" spans="1:67" ht="30.95" customHeight="1">
      <c r="A1081" s="1">
        <f>29</f>
        <v>29</v>
      </c>
      <c r="B1081" s="1">
        <f>固定流程!A37</f>
        <v>32</v>
      </c>
      <c r="C1081" s="1">
        <f>32</f>
        <v>32</v>
      </c>
      <c r="D1081" s="1">
        <f>2</f>
        <v>2</v>
      </c>
      <c r="E1081" s="1">
        <f>固定流程!C37</f>
        <v>3</v>
      </c>
      <c r="F1081" s="1">
        <f>固定流程!G37</f>
        <v>1</v>
      </c>
      <c r="G1081" s="1" t="str">
        <f>固定流程!H37</f>
        <v>LILYA_WEAK</v>
      </c>
      <c r="H1081" s="1">
        <f>固定流程!F37</f>
        <v>1</v>
      </c>
      <c r="I1081" s="1">
        <f>INDEX(配置与结果!$B$15:$B$18,F1081)</f>
        <v>2296</v>
      </c>
      <c r="J1081" s="1">
        <f>INDEX(配置与结果!$D$15:$D$18,F1081)</f>
        <v>0.7</v>
      </c>
      <c r="K1081" s="1">
        <f>INDEX(配置与结果!$E$15:$E$18,F1081)</f>
        <v>2.0249999999999999</v>
      </c>
      <c r="L1081" s="1">
        <f t="shared" si="1503"/>
        <v>2</v>
      </c>
      <c r="M1081" s="1">
        <f t="shared" si="1504"/>
        <v>10</v>
      </c>
      <c r="N1081" s="1">
        <f t="shared" si="1505"/>
        <v>2</v>
      </c>
      <c r="O1081" s="1">
        <f t="shared" si="1497"/>
        <v>6</v>
      </c>
      <c r="P1081" s="1">
        <f>MIN(方案参数!$AI$32,AZ1080+0+0)</f>
        <v>5</v>
      </c>
      <c r="Q1081" s="1">
        <f t="shared" si="1475"/>
        <v>5</v>
      </c>
      <c r="R1081" s="1">
        <f t="shared" si="1476"/>
        <v>20</v>
      </c>
      <c r="S1081" s="1">
        <f t="shared" si="1477"/>
        <v>3</v>
      </c>
      <c r="T1081" s="1">
        <f t="shared" si="1512"/>
        <v>0</v>
      </c>
      <c r="U1081" s="1">
        <f t="shared" si="1479"/>
        <v>0</v>
      </c>
      <c r="V1081" s="1">
        <f t="shared" si="1480"/>
        <v>4</v>
      </c>
      <c r="W1081" s="1">
        <f t="shared" si="1481"/>
        <v>1</v>
      </c>
      <c r="X1081" s="1">
        <f t="shared" si="1482"/>
        <v>1</v>
      </c>
      <c r="Y1081" s="1">
        <f t="shared" si="1483"/>
        <v>1</v>
      </c>
      <c r="Z1081" s="1">
        <f t="shared" si="1484"/>
        <v>1</v>
      </c>
      <c r="AA1081" s="1">
        <f t="shared" si="1508"/>
        <v>1</v>
      </c>
      <c r="AB1081" s="1">
        <f t="shared" si="1486"/>
        <v>1</v>
      </c>
      <c r="AC1081" s="1">
        <f t="shared" si="1513"/>
        <v>1</v>
      </c>
      <c r="AD1081" s="1">
        <f>ROUNDDOWN(I1081*(1+IF(F1081=3,0.05+方案参数!$Y$32+AA1081*0.12,IF(F1081=4,方案参数!$BZ$32*方案参数!$AS$32,0)))+IF(AND(X1081=1,F1081&lt;&gt;3),方案参数!$CC$32,0)+AC1081*方案参数!$CB$32,0)</f>
        <v>3034</v>
      </c>
      <c r="AE1081" s="1">
        <f>IF(OR(F1081=1,F1081=4),配置与结果!$B$24,配置与结果!$B$25)*MAX(0,1-INDEX(配置与结果!$I$15:$I$18,F1081))</f>
        <v>1200</v>
      </c>
      <c r="AF1081" s="1">
        <f>方案参数!$BL$32</f>
        <v>9</v>
      </c>
      <c r="AG1081" s="1">
        <f>MAX(配置与结果!$B$32,1+INDEX(配置与结果!$F$15:$F$18,F1081)+0.08+方案参数!$CD$32+Q1081*方案参数!$W$32+Y1081*(方案参数!$AN$32+MIN(方案参数!$AO$32,P1081*0.03))+AB1081*方案参数!$BZ$32*0.025-配置与结果!$B$28+方案参数!$AE$32)</f>
        <v>2.6150000000000002</v>
      </c>
      <c r="AH1081" s="1">
        <f>MAX(0,1+V1081*方案参数!$U$32+8*方案参数!$V$32+方案参数!$AE$32-配置与结果!$B$29)</f>
        <v>1.92</v>
      </c>
      <c r="AI1081" s="1">
        <f>IF(OR(INDEX(配置与结果!$K$15:$K$18,F1081)=1,G1081="RHI_BERRY"),1+配置与结果!$B$33+P1081*方案参数!$AH$32,1)</f>
        <v>1</v>
      </c>
      <c r="AJ1081" s="1">
        <f>MIN(1,MAX(0,J1081+方案参数!$AB$32-配置与结果!$B$27))</f>
        <v>1</v>
      </c>
      <c r="AK1081" s="1">
        <f>MAX(1,K1081+IF(F1081=2,0.15+方案参数!$CH$32,0)+BN1081*方案参数!$X$32+R1081*方案参数!$AA$32+方案参数!$BP$32-配置与结果!$B$26+Z1081*(方案参数!$AP$32+MIN(方案参数!$AQ$32,P1081*0.03)))</f>
        <v>2.7650000000000001</v>
      </c>
      <c r="AL1081" s="7">
        <f>ROUNDDOWN(MAX(AD1081*配置与结果!$B$31,AD1081-AE1081)*AF1081*AG1081*AH1081*AI1081,0)</f>
        <v>82873</v>
      </c>
      <c r="AM1081" s="7">
        <f>ROUNDDOWN(MAX(AD1081*配置与结果!$B$31,AD1081-AE1081)*AF1081*AG1081*AH1081*AI1081*AK1081,0)</f>
        <v>229144</v>
      </c>
      <c r="AN1081" s="7">
        <f t="shared" si="1460"/>
        <v>229144</v>
      </c>
      <c r="AO1081" s="7">
        <f>0</f>
        <v>0</v>
      </c>
      <c r="AP1081" s="7">
        <f>MAX(0,1+INDEX(配置与结果!$J$15:$J$18,F1081)+IF(T1081&gt;0,方案参数!$BY$32,0)-配置与结果!$B$30)</f>
        <v>1</v>
      </c>
      <c r="AQ1081" s="7">
        <f t="shared" si="1461"/>
        <v>0</v>
      </c>
      <c r="AR1081" s="7">
        <f t="shared" si="1462"/>
        <v>0</v>
      </c>
      <c r="AS1081" s="7">
        <f t="shared" si="1463"/>
        <v>0</v>
      </c>
      <c r="AT1081" s="7">
        <f>IF(U1081&gt;0,ROUNDDOWN(AL1081*方案参数!$AF$32,0)*(1-AJ1081)+ROUNDDOWN(AM1081*方案参数!$AF$32,0)*AJ1081,0)</f>
        <v>0</v>
      </c>
      <c r="AU1081" s="7">
        <f t="shared" si="1464"/>
        <v>229144</v>
      </c>
      <c r="AV1081" s="1">
        <f t="shared" si="1465"/>
        <v>2</v>
      </c>
      <c r="AW1081" s="1">
        <f t="shared" si="1518"/>
        <v>10</v>
      </c>
      <c r="AX1081" s="1">
        <f t="shared" si="1466"/>
        <v>2</v>
      </c>
      <c r="AY1081" s="1">
        <f>MIN(20,MAX(0,O1081+0+1-0))</f>
        <v>7</v>
      </c>
      <c r="AZ1081" s="1">
        <f t="shared" si="1467"/>
        <v>5</v>
      </c>
      <c r="BA1081" s="1">
        <f t="shared" si="1509"/>
        <v>5</v>
      </c>
      <c r="BB1081" s="1">
        <f t="shared" si="1517"/>
        <v>20</v>
      </c>
      <c r="BC1081" s="1">
        <f t="shared" si="1515"/>
        <v>3</v>
      </c>
      <c r="BD1081" s="1">
        <f t="shared" si="1496"/>
        <v>0</v>
      </c>
      <c r="BE1081" s="1">
        <f>MAX(0,U1081-IF(AF1081&gt;0,1,0))+0</f>
        <v>0</v>
      </c>
      <c r="BF1081" s="1">
        <f t="shared" si="1519"/>
        <v>4</v>
      </c>
      <c r="BG1081" s="1">
        <f t="shared" si="1506"/>
        <v>1</v>
      </c>
      <c r="BH1081" s="1">
        <f t="shared" si="1490"/>
        <v>1</v>
      </c>
      <c r="BI1081" s="1">
        <f t="shared" si="1507"/>
        <v>1</v>
      </c>
      <c r="BJ1081" s="1">
        <f t="shared" si="1510"/>
        <v>1</v>
      </c>
      <c r="BK1081" s="1">
        <f t="shared" si="1511"/>
        <v>1</v>
      </c>
      <c r="BL1081" s="1">
        <f t="shared" si="1516"/>
        <v>1</v>
      </c>
      <c r="BM1081" s="1">
        <f t="shared" si="1514"/>
        <v>1</v>
      </c>
      <c r="BN1081" s="1">
        <f t="shared" si="1491"/>
        <v>1</v>
      </c>
      <c r="BO1081" s="1">
        <f t="shared" si="1492"/>
        <v>1</v>
      </c>
    </row>
    <row r="1082" spans="1:67" ht="30.95" customHeight="1">
      <c r="A1082" s="1">
        <f>29</f>
        <v>29</v>
      </c>
      <c r="B1082" s="1">
        <f>固定流程!A38</f>
        <v>33</v>
      </c>
      <c r="C1082" s="1">
        <f>32</f>
        <v>32</v>
      </c>
      <c r="D1082" s="1">
        <f>2</f>
        <v>2</v>
      </c>
      <c r="E1082" s="1">
        <f>固定流程!C38</f>
        <v>3</v>
      </c>
      <c r="F1082" s="1">
        <f>固定流程!G38</f>
        <v>1</v>
      </c>
      <c r="G1082" s="1" t="str">
        <f>固定流程!H38</f>
        <v>LILYA_WEAK</v>
      </c>
      <c r="H1082" s="1">
        <f>固定流程!F38</f>
        <v>1</v>
      </c>
      <c r="I1082" s="1">
        <f>INDEX(配置与结果!$B$15:$B$18,F1082)</f>
        <v>2296</v>
      </c>
      <c r="J1082" s="1">
        <f>INDEX(配置与结果!$D$15:$D$18,F1082)</f>
        <v>0.7</v>
      </c>
      <c r="K1082" s="1">
        <f>INDEX(配置与结果!$E$15:$E$18,F1082)</f>
        <v>2.0249999999999999</v>
      </c>
      <c r="L1082" s="1">
        <f t="shared" si="1503"/>
        <v>2</v>
      </c>
      <c r="M1082" s="1">
        <f t="shared" si="1504"/>
        <v>10</v>
      </c>
      <c r="N1082" s="1">
        <f t="shared" si="1505"/>
        <v>2</v>
      </c>
      <c r="O1082" s="1">
        <f t="shared" si="1497"/>
        <v>7</v>
      </c>
      <c r="P1082" s="1">
        <f>MIN(方案参数!$AI$32,AZ1081+0+0)</f>
        <v>5</v>
      </c>
      <c r="Q1082" s="1">
        <f t="shared" si="1475"/>
        <v>5</v>
      </c>
      <c r="R1082" s="1">
        <f t="shared" si="1476"/>
        <v>20</v>
      </c>
      <c r="S1082" s="1">
        <f t="shared" si="1477"/>
        <v>3</v>
      </c>
      <c r="T1082" s="1">
        <f t="shared" si="1512"/>
        <v>0</v>
      </c>
      <c r="U1082" s="1">
        <f t="shared" si="1479"/>
        <v>0</v>
      </c>
      <c r="V1082" s="1">
        <f t="shared" si="1480"/>
        <v>4</v>
      </c>
      <c r="W1082" s="1">
        <f t="shared" si="1481"/>
        <v>1</v>
      </c>
      <c r="X1082" s="1">
        <f t="shared" si="1482"/>
        <v>1</v>
      </c>
      <c r="Y1082" s="1">
        <f t="shared" si="1483"/>
        <v>1</v>
      </c>
      <c r="Z1082" s="1">
        <f t="shared" si="1484"/>
        <v>1</v>
      </c>
      <c r="AA1082" s="1">
        <f t="shared" si="1508"/>
        <v>1</v>
      </c>
      <c r="AB1082" s="1">
        <f t="shared" si="1486"/>
        <v>1</v>
      </c>
      <c r="AC1082" s="1">
        <f t="shared" si="1513"/>
        <v>1</v>
      </c>
      <c r="AD1082" s="1">
        <f>ROUNDDOWN(I1082*(1+IF(F1082=3,0.05+方案参数!$Y$32+AA1082*0.12,IF(F1082=4,方案参数!$BZ$32*方案参数!$AS$32,0)))+IF(AND(X1082=1,F1082&lt;&gt;3),方案参数!$CC$32,0)+AC1082*方案参数!$CB$32,0)</f>
        <v>3034</v>
      </c>
      <c r="AE1082" s="1">
        <f>IF(OR(F1082=1,F1082=4),配置与结果!$B$24,配置与结果!$B$25)*MAX(0,1-INDEX(配置与结果!$I$15:$I$18,F1082))</f>
        <v>1200</v>
      </c>
      <c r="AF1082" s="1">
        <f>方案参数!$BL$32</f>
        <v>9</v>
      </c>
      <c r="AG1082" s="1">
        <f>MAX(配置与结果!$B$32,1+INDEX(配置与结果!$F$15:$F$18,F1082)+0.08+方案参数!$CD$32+Q1082*方案参数!$W$32+Y1082*(方案参数!$AN$32+MIN(方案参数!$AO$32,P1082*0.03))+AB1082*方案参数!$BZ$32*0.025-配置与结果!$B$28+方案参数!$AE$32)</f>
        <v>2.6150000000000002</v>
      </c>
      <c r="AH1082" s="1">
        <f>MAX(0,1+V1082*方案参数!$U$32+9*方案参数!$V$32+方案参数!$AE$32-配置与结果!$B$29)</f>
        <v>1.9649999999999999</v>
      </c>
      <c r="AI1082" s="1">
        <f>IF(OR(INDEX(配置与结果!$K$15:$K$18,F1082)=1,G1082="RHI_BERRY"),1+配置与结果!$B$33+P1082*方案参数!$AH$32,1)</f>
        <v>1</v>
      </c>
      <c r="AJ1082" s="1">
        <f>MIN(1,MAX(0,J1082+方案参数!$AB$32-配置与结果!$B$27))</f>
        <v>1</v>
      </c>
      <c r="AK1082" s="1">
        <f>MAX(1,K1082+IF(F1082=2,0.15+方案参数!$CH$32,0)+BN1082*方案参数!$X$32+R1082*方案参数!$AA$32+方案参数!$BP$32-配置与结果!$B$26+Z1082*(方案参数!$AP$32+MIN(方案参数!$AQ$32,P1082*0.03)))</f>
        <v>2.7650000000000001</v>
      </c>
      <c r="AL1082" s="7">
        <f>ROUNDDOWN(MAX(AD1082*配置与结果!$B$31,AD1082-AE1082)*AF1082*AG1082*AH1082*AI1082,0)</f>
        <v>84815</v>
      </c>
      <c r="AM1082" s="7">
        <f>ROUNDDOWN(MAX(AD1082*配置与结果!$B$31,AD1082-AE1082)*AF1082*AG1082*AH1082*AI1082*AK1082,0)</f>
        <v>234515</v>
      </c>
      <c r="AN1082" s="7">
        <f t="shared" si="1460"/>
        <v>234515</v>
      </c>
      <c r="AO1082" s="7">
        <f>0</f>
        <v>0</v>
      </c>
      <c r="AP1082" s="7">
        <f>MAX(0,1+INDEX(配置与结果!$J$15:$J$18,F1082)+IF(T1082&gt;0,方案参数!$BY$32,0)-配置与结果!$B$30)</f>
        <v>1</v>
      </c>
      <c r="AQ1082" s="7">
        <f t="shared" si="1461"/>
        <v>0</v>
      </c>
      <c r="AR1082" s="7">
        <f t="shared" si="1462"/>
        <v>0</v>
      </c>
      <c r="AS1082" s="7">
        <f t="shared" si="1463"/>
        <v>0</v>
      </c>
      <c r="AT1082" s="7">
        <f>IF(U1082&gt;0,ROUNDDOWN(AL1082*方案参数!$AF$32,0)*(1-AJ1082)+ROUNDDOWN(AM1082*方案参数!$AF$32,0)*AJ1082,0)</f>
        <v>0</v>
      </c>
      <c r="AU1082" s="7">
        <f t="shared" si="1464"/>
        <v>234515</v>
      </c>
      <c r="AV1082" s="1">
        <f t="shared" si="1465"/>
        <v>2</v>
      </c>
      <c r="AW1082" s="1">
        <f t="shared" si="1518"/>
        <v>10</v>
      </c>
      <c r="AX1082" s="1">
        <f t="shared" si="1466"/>
        <v>2</v>
      </c>
      <c r="AY1082" s="1">
        <f>MIN(20,MAX(0,O1082+0+1-0))</f>
        <v>8</v>
      </c>
      <c r="AZ1082" s="1">
        <f t="shared" si="1467"/>
        <v>5</v>
      </c>
      <c r="BA1082" s="1">
        <f t="shared" si="1509"/>
        <v>5</v>
      </c>
      <c r="BB1082" s="1">
        <f t="shared" si="1517"/>
        <v>20</v>
      </c>
      <c r="BC1082" s="1">
        <f t="shared" si="1515"/>
        <v>3</v>
      </c>
      <c r="BD1082" s="1">
        <f t="shared" si="1496"/>
        <v>0</v>
      </c>
      <c r="BE1082" s="1">
        <f>MAX(0,U1082-IF(AF1082&gt;0,1,0))+0</f>
        <v>0</v>
      </c>
      <c r="BF1082" s="1">
        <f t="shared" si="1519"/>
        <v>4</v>
      </c>
      <c r="BG1082" s="1">
        <f t="shared" si="1506"/>
        <v>1</v>
      </c>
      <c r="BH1082" s="1">
        <f t="shared" si="1490"/>
        <v>1</v>
      </c>
      <c r="BI1082" s="1">
        <f t="shared" si="1507"/>
        <v>1</v>
      </c>
      <c r="BJ1082" s="1">
        <f t="shared" si="1510"/>
        <v>1</v>
      </c>
      <c r="BK1082" s="1">
        <f t="shared" si="1511"/>
        <v>1</v>
      </c>
      <c r="BL1082" s="1">
        <f t="shared" si="1516"/>
        <v>1</v>
      </c>
      <c r="BM1082" s="1">
        <f t="shared" si="1514"/>
        <v>1</v>
      </c>
      <c r="BN1082" s="1">
        <f t="shared" si="1491"/>
        <v>1</v>
      </c>
      <c r="BO1082" s="1">
        <f t="shared" si="1492"/>
        <v>1</v>
      </c>
    </row>
    <row r="1083" spans="1:67" ht="30.95" customHeight="1">
      <c r="A1083" s="1">
        <f>29</f>
        <v>29</v>
      </c>
      <c r="B1083" s="1">
        <f>固定流程!A39</f>
        <v>34</v>
      </c>
      <c r="C1083" s="1">
        <f>32</f>
        <v>32</v>
      </c>
      <c r="D1083" s="1">
        <f>2</f>
        <v>2</v>
      </c>
      <c r="E1083" s="1">
        <f>固定流程!C39</f>
        <v>3</v>
      </c>
      <c r="F1083" s="1">
        <f>固定流程!G39</f>
        <v>2</v>
      </c>
      <c r="G1083" s="1" t="str">
        <f>固定流程!H39</f>
        <v>37_WEAK</v>
      </c>
      <c r="H1083" s="1">
        <f>固定流程!F39</f>
        <v>1</v>
      </c>
      <c r="I1083" s="1">
        <f>INDEX(配置与结果!$B$15:$B$18,F1083)</f>
        <v>2306</v>
      </c>
      <c r="J1083" s="1">
        <f>INDEX(配置与结果!$D$15:$D$18,F1083)</f>
        <v>0.46</v>
      </c>
      <c r="K1083" s="1">
        <f>INDEX(配置与结果!$E$15:$E$18,F1083)</f>
        <v>1.9279999999999999</v>
      </c>
      <c r="L1083" s="1">
        <f t="shared" si="1503"/>
        <v>2</v>
      </c>
      <c r="M1083" s="1">
        <f t="shared" si="1504"/>
        <v>10</v>
      </c>
      <c r="N1083" s="1">
        <f t="shared" si="1505"/>
        <v>2</v>
      </c>
      <c r="O1083" s="1">
        <f t="shared" si="1497"/>
        <v>8</v>
      </c>
      <c r="P1083" s="1">
        <f>MIN(方案参数!$AI$32,AZ1082+0+0)</f>
        <v>5</v>
      </c>
      <c r="Q1083" s="1">
        <f t="shared" si="1475"/>
        <v>5</v>
      </c>
      <c r="R1083" s="1">
        <f t="shared" si="1476"/>
        <v>20</v>
      </c>
      <c r="S1083" s="1">
        <f t="shared" si="1477"/>
        <v>3</v>
      </c>
      <c r="T1083" s="1">
        <f t="shared" si="1512"/>
        <v>0</v>
      </c>
      <c r="U1083" s="1">
        <f t="shared" si="1479"/>
        <v>0</v>
      </c>
      <c r="V1083" s="1">
        <f t="shared" si="1480"/>
        <v>4</v>
      </c>
      <c r="W1083" s="1">
        <f t="shared" si="1481"/>
        <v>1</v>
      </c>
      <c r="X1083" s="1">
        <f t="shared" si="1482"/>
        <v>1</v>
      </c>
      <c r="Y1083" s="1">
        <f t="shared" si="1483"/>
        <v>1</v>
      </c>
      <c r="Z1083" s="1">
        <f t="shared" si="1484"/>
        <v>1</v>
      </c>
      <c r="AA1083" s="1">
        <f t="shared" si="1508"/>
        <v>1</v>
      </c>
      <c r="AB1083" s="1">
        <f t="shared" si="1486"/>
        <v>1</v>
      </c>
      <c r="AC1083" s="1">
        <f t="shared" si="1513"/>
        <v>1</v>
      </c>
      <c r="AD1083" s="1">
        <f>ROUNDDOWN(I1083*(1+IF(F1083=3,0.05+方案参数!$Y$32+AA1083*0.12,IF(F1083=4,方案参数!$BZ$32*方案参数!$AS$32,0)))+IF(AND(X1083=1,F1083&lt;&gt;3),方案参数!$CC$32,0)+AC1083*方案参数!$CB$32,0)</f>
        <v>3044</v>
      </c>
      <c r="AE1083" s="1">
        <f>IF(OR(F1083=1,F1083=4),配置与结果!$B$24,配置与结果!$B$25)*MAX(0,1-INDEX(配置与结果!$I$15:$I$18,F1083))</f>
        <v>1000</v>
      </c>
      <c r="AF1083" s="1">
        <f>方案参数!$CE$32</f>
        <v>8</v>
      </c>
      <c r="AG1083" s="1">
        <f>MAX(配置与结果!$B$32,1+INDEX(配置与结果!$F$15:$F$18,F1083)+0+Q1083*方案参数!$W$32+Y1083*(方案参数!$AN$32+MIN(方案参数!$AO$32,P1083*0.03))+AB1083*方案参数!$BZ$32*0.025-配置与结果!$B$28+方案参数!$AE$32)</f>
        <v>2.2800000000000002</v>
      </c>
      <c r="AH1083" s="1">
        <f>MAX(0,1+V1083*方案参数!$U$32+方案参数!$AE$32-配置与结果!$B$29)</f>
        <v>1.56</v>
      </c>
      <c r="AI1083" s="1">
        <f>IF(OR(INDEX(配置与结果!$K$15:$K$18,F1083)=1,G1083="RHI_BERRY"),1+配置与结果!$B$33+P1083*方案参数!$AH$32,1)</f>
        <v>1</v>
      </c>
      <c r="AJ1083" s="1">
        <f>MIN(1,MAX(0,J1083+方案参数!$AB$32-配置与结果!$B$27))</f>
        <v>0.76</v>
      </c>
      <c r="AK1083" s="1">
        <f>MAX(1,K1083+IF(F1083=2,0.15+方案参数!$CH$32,0)+BN1083*方案参数!$X$32+R1083*方案参数!$AA$32+0-配置与结果!$B$26+Z1083*(方案参数!$AP$32+MIN(方案参数!$AQ$32,P1083*0.03)))</f>
        <v>2.3380000000000001</v>
      </c>
      <c r="AL1083" s="7">
        <f>ROUNDDOWN(MAX(AD1083*配置与结果!$B$31,AD1083-AE1083)*AF1083*AG1083*AH1083*AI1083,0)</f>
        <v>58160</v>
      </c>
      <c r="AM1083" s="7">
        <f>ROUNDDOWN(MAX(AD1083*配置与结果!$B$31,AD1083-AE1083)*AF1083*AG1083*AH1083*AI1083*AK1083,0)</f>
        <v>135979</v>
      </c>
      <c r="AN1083" s="7">
        <f t="shared" si="1460"/>
        <v>117302.44</v>
      </c>
      <c r="AO1083" s="7">
        <f>0</f>
        <v>0</v>
      </c>
      <c r="AP1083" s="7">
        <f>MAX(0,1+INDEX(配置与结果!$J$15:$J$18,F1083)+IF(T1083&gt;0,方案参数!$BY$32,0)-配置与结果!$B$30)</f>
        <v>1</v>
      </c>
      <c r="AQ1083" s="7">
        <f t="shared" si="1461"/>
        <v>0</v>
      </c>
      <c r="AR1083" s="7">
        <f t="shared" si="1462"/>
        <v>0</v>
      </c>
      <c r="AS1083" s="7">
        <f t="shared" si="1463"/>
        <v>0</v>
      </c>
      <c r="AT1083" s="7">
        <f>IF(U1083&gt;0,ROUNDDOWN(AL1083*方案参数!$AF$32,0)*(1-AJ1083)+ROUNDDOWN(AM1083*方案参数!$AF$32,0)*AJ1083,0)</f>
        <v>0</v>
      </c>
      <c r="AU1083" s="7">
        <f t="shared" si="1464"/>
        <v>117302.44</v>
      </c>
      <c r="AV1083" s="1">
        <f t="shared" si="1465"/>
        <v>2</v>
      </c>
      <c r="AW1083" s="1">
        <f t="shared" si="1518"/>
        <v>10</v>
      </c>
      <c r="AX1083" s="1">
        <f t="shared" si="1466"/>
        <v>2</v>
      </c>
      <c r="AY1083" s="1">
        <f>MIN(20,MAX(0,O1083+0+0-0))</f>
        <v>8</v>
      </c>
      <c r="AZ1083" s="1">
        <f t="shared" si="1467"/>
        <v>5</v>
      </c>
      <c r="BA1083" s="1">
        <f t="shared" si="1509"/>
        <v>5</v>
      </c>
      <c r="BB1083" s="1">
        <f t="shared" si="1517"/>
        <v>20</v>
      </c>
      <c r="BC1083" s="1">
        <f t="shared" si="1515"/>
        <v>3</v>
      </c>
      <c r="BD1083" s="1">
        <f t="shared" si="1496"/>
        <v>0</v>
      </c>
      <c r="BE1083" s="1">
        <f>MAX(0,U1083-IF(AF1083&gt;0,1,0))+1</f>
        <v>1</v>
      </c>
      <c r="BF1083" s="1">
        <f t="shared" si="1519"/>
        <v>4</v>
      </c>
      <c r="BG1083" s="1">
        <f t="shared" si="1506"/>
        <v>1</v>
      </c>
      <c r="BH1083" s="1">
        <f t="shared" si="1490"/>
        <v>1</v>
      </c>
      <c r="BI1083" s="1">
        <f t="shared" si="1507"/>
        <v>1</v>
      </c>
      <c r="BJ1083" s="1">
        <f t="shared" si="1510"/>
        <v>1</v>
      </c>
      <c r="BK1083" s="1">
        <f t="shared" si="1511"/>
        <v>1</v>
      </c>
      <c r="BL1083" s="1">
        <f t="shared" si="1516"/>
        <v>1</v>
      </c>
      <c r="BM1083" s="1">
        <f t="shared" si="1514"/>
        <v>1</v>
      </c>
      <c r="BN1083" s="1">
        <f t="shared" si="1491"/>
        <v>1</v>
      </c>
      <c r="BO1083" s="1">
        <f t="shared" si="1492"/>
        <v>1</v>
      </c>
    </row>
    <row r="1084" spans="1:67" ht="30.95" customHeight="1">
      <c r="A1084" s="1">
        <f>29</f>
        <v>29</v>
      </c>
      <c r="B1084" s="1">
        <f>固定流程!A40</f>
        <v>35</v>
      </c>
      <c r="C1084" s="1">
        <f>32</f>
        <v>32</v>
      </c>
      <c r="D1084" s="1">
        <f>2</f>
        <v>2</v>
      </c>
      <c r="E1084" s="1">
        <f>固定流程!C40</f>
        <v>3</v>
      </c>
      <c r="F1084" s="1">
        <f>固定流程!G40</f>
        <v>2</v>
      </c>
      <c r="G1084" s="1" t="str">
        <f>固定流程!H40</f>
        <v>37_WEAK</v>
      </c>
      <c r="H1084" s="1">
        <f>固定流程!F40</f>
        <v>1</v>
      </c>
      <c r="I1084" s="1">
        <f>INDEX(配置与结果!$B$15:$B$18,F1084)</f>
        <v>2306</v>
      </c>
      <c r="J1084" s="1">
        <f>INDEX(配置与结果!$D$15:$D$18,F1084)</f>
        <v>0.46</v>
      </c>
      <c r="K1084" s="1">
        <f>INDEX(配置与结果!$E$15:$E$18,F1084)</f>
        <v>1.9279999999999999</v>
      </c>
      <c r="L1084" s="1">
        <f t="shared" si="1503"/>
        <v>2</v>
      </c>
      <c r="M1084" s="1">
        <f t="shared" si="1504"/>
        <v>10</v>
      </c>
      <c r="N1084" s="1">
        <f t="shared" si="1505"/>
        <v>2</v>
      </c>
      <c r="O1084" s="1">
        <f t="shared" si="1497"/>
        <v>8</v>
      </c>
      <c r="P1084" s="1">
        <f>MIN(方案参数!$AI$32,AZ1083+0+0)</f>
        <v>5</v>
      </c>
      <c r="Q1084" s="1">
        <f t="shared" si="1475"/>
        <v>5</v>
      </c>
      <c r="R1084" s="1">
        <f t="shared" si="1476"/>
        <v>20</v>
      </c>
      <c r="S1084" s="1">
        <f t="shared" si="1477"/>
        <v>3</v>
      </c>
      <c r="T1084" s="1">
        <f t="shared" si="1512"/>
        <v>0</v>
      </c>
      <c r="U1084" s="1">
        <f t="shared" si="1479"/>
        <v>1</v>
      </c>
      <c r="V1084" s="1">
        <f t="shared" si="1480"/>
        <v>4</v>
      </c>
      <c r="W1084" s="1">
        <f t="shared" si="1481"/>
        <v>1</v>
      </c>
      <c r="X1084" s="1">
        <f t="shared" si="1482"/>
        <v>1</v>
      </c>
      <c r="Y1084" s="1">
        <f t="shared" si="1483"/>
        <v>1</v>
      </c>
      <c r="Z1084" s="1">
        <f t="shared" si="1484"/>
        <v>1</v>
      </c>
      <c r="AA1084" s="1">
        <f t="shared" si="1508"/>
        <v>1</v>
      </c>
      <c r="AB1084" s="1">
        <f t="shared" si="1486"/>
        <v>1</v>
      </c>
      <c r="AC1084" s="1">
        <f t="shared" si="1513"/>
        <v>1</v>
      </c>
      <c r="AD1084" s="1">
        <f>ROUNDDOWN(I1084*(1+IF(F1084=3,0.05+方案参数!$Y$32+AA1084*0.12,IF(F1084=4,方案参数!$BZ$32*方案参数!$AS$32,0)))+IF(AND(X1084=1,F1084&lt;&gt;3),方案参数!$CC$32,0)+AC1084*方案参数!$CB$32,0)</f>
        <v>3044</v>
      </c>
      <c r="AE1084" s="1">
        <f>IF(OR(F1084=1,F1084=4),配置与结果!$B$24,配置与结果!$B$25)*MAX(0,1-INDEX(配置与结果!$I$15:$I$18,F1084))</f>
        <v>1000</v>
      </c>
      <c r="AF1084" s="1">
        <f>方案参数!$CE$32</f>
        <v>8</v>
      </c>
      <c r="AG1084" s="1">
        <f>MAX(配置与结果!$B$32,1+INDEX(配置与结果!$F$15:$F$18,F1084)+0+Q1084*方案参数!$W$32+Y1084*(方案参数!$AN$32+MIN(方案参数!$AO$32,P1084*0.03))+AB1084*方案参数!$BZ$32*0.025-配置与结果!$B$28+方案参数!$AE$32)</f>
        <v>2.2800000000000002</v>
      </c>
      <c r="AH1084" s="1">
        <f>MAX(0,1+V1084*方案参数!$U$32+方案参数!$AE$32-配置与结果!$B$29)</f>
        <v>1.56</v>
      </c>
      <c r="AI1084" s="1">
        <f>IF(OR(INDEX(配置与结果!$K$15:$K$18,F1084)=1,G1084="RHI_BERRY"),1+配置与结果!$B$33+P1084*方案参数!$AH$32,1)</f>
        <v>1</v>
      </c>
      <c r="AJ1084" s="1">
        <f>MIN(1,MAX(0,J1084+方案参数!$AB$32-配置与结果!$B$27))</f>
        <v>0.76</v>
      </c>
      <c r="AK1084" s="1">
        <f>MAX(1,K1084+IF(F1084=2,0.15+方案参数!$CH$32,0)+BN1084*方案参数!$X$32+R1084*方案参数!$AA$32+0-配置与结果!$B$26+Z1084*(方案参数!$AP$32+MIN(方案参数!$AQ$32,P1084*0.03)))</f>
        <v>2.3380000000000001</v>
      </c>
      <c r="AL1084" s="7">
        <f>ROUNDDOWN(MAX(AD1084*配置与结果!$B$31,AD1084-AE1084)*AF1084*AG1084*AH1084*AI1084,0)</f>
        <v>58160</v>
      </c>
      <c r="AM1084" s="7">
        <f>ROUNDDOWN(MAX(AD1084*配置与结果!$B$31,AD1084-AE1084)*AF1084*AG1084*AH1084*AI1084*AK1084,0)</f>
        <v>135979</v>
      </c>
      <c r="AN1084" s="7">
        <f t="shared" si="1460"/>
        <v>117302.44</v>
      </c>
      <c r="AO1084" s="7">
        <f>0</f>
        <v>0</v>
      </c>
      <c r="AP1084" s="7">
        <f>MAX(0,1+INDEX(配置与结果!$J$15:$J$18,F1084)+IF(T1084&gt;0,方案参数!$BY$32,0)-配置与结果!$B$30)</f>
        <v>1</v>
      </c>
      <c r="AQ1084" s="7">
        <f t="shared" si="1461"/>
        <v>0</v>
      </c>
      <c r="AR1084" s="7">
        <f t="shared" si="1462"/>
        <v>0</v>
      </c>
      <c r="AS1084" s="7">
        <f t="shared" si="1463"/>
        <v>0</v>
      </c>
      <c r="AT1084" s="7">
        <f>IF(U1084&gt;0,ROUNDDOWN(AL1084*方案参数!$AF$32,0)*(1-AJ1084)+ROUNDDOWN(AM1084*方案参数!$AF$32,0)*AJ1084,0)</f>
        <v>46920.520000000004</v>
      </c>
      <c r="AU1084" s="7">
        <f t="shared" si="1464"/>
        <v>164222.96000000002</v>
      </c>
      <c r="AV1084" s="1">
        <f t="shared" si="1465"/>
        <v>2</v>
      </c>
      <c r="AW1084" s="1">
        <f t="shared" si="1518"/>
        <v>10</v>
      </c>
      <c r="AX1084" s="1">
        <f t="shared" si="1466"/>
        <v>2</v>
      </c>
      <c r="AY1084" s="1">
        <f>MIN(20,MAX(0,O1084+0+0-0))</f>
        <v>8</v>
      </c>
      <c r="AZ1084" s="1">
        <f t="shared" si="1467"/>
        <v>5</v>
      </c>
      <c r="BA1084" s="1">
        <f t="shared" si="1509"/>
        <v>5</v>
      </c>
      <c r="BB1084" s="1">
        <f t="shared" si="1517"/>
        <v>20</v>
      </c>
      <c r="BC1084" s="1">
        <f t="shared" si="1515"/>
        <v>3</v>
      </c>
      <c r="BD1084" s="1">
        <f t="shared" si="1496"/>
        <v>0</v>
      </c>
      <c r="BE1084" s="1">
        <f>MAX(0,U1084-IF(AF1084&gt;0,1,0))+1</f>
        <v>1</v>
      </c>
      <c r="BF1084" s="1">
        <f t="shared" si="1519"/>
        <v>4</v>
      </c>
      <c r="BG1084" s="1">
        <f t="shared" si="1506"/>
        <v>1</v>
      </c>
      <c r="BH1084" s="1">
        <f t="shared" si="1490"/>
        <v>1</v>
      </c>
      <c r="BI1084" s="1">
        <f t="shared" si="1507"/>
        <v>1</v>
      </c>
      <c r="BJ1084" s="1">
        <f t="shared" si="1510"/>
        <v>1</v>
      </c>
      <c r="BK1084" s="1">
        <f t="shared" si="1511"/>
        <v>1</v>
      </c>
      <c r="BL1084" s="1">
        <f t="shared" si="1516"/>
        <v>1</v>
      </c>
      <c r="BM1084" s="1">
        <f t="shared" si="1514"/>
        <v>1</v>
      </c>
      <c r="BN1084" s="1">
        <f t="shared" si="1491"/>
        <v>1</v>
      </c>
      <c r="BO1084" s="1">
        <f t="shared" si="1492"/>
        <v>1</v>
      </c>
    </row>
    <row r="1085" spans="1:67" ht="30.95" customHeight="1">
      <c r="A1085" s="1">
        <f>29</f>
        <v>29</v>
      </c>
      <c r="B1085" s="1">
        <f>固定流程!A41</f>
        <v>36</v>
      </c>
      <c r="C1085" s="1">
        <f>32</f>
        <v>32</v>
      </c>
      <c r="D1085" s="1">
        <f>2</f>
        <v>2</v>
      </c>
      <c r="E1085" s="1">
        <f>固定流程!C41</f>
        <v>3</v>
      </c>
      <c r="F1085" s="1">
        <f>固定流程!G41</f>
        <v>1</v>
      </c>
      <c r="G1085" s="1" t="str">
        <f>固定流程!H41</f>
        <v>LILYA_FINISH</v>
      </c>
      <c r="H1085" s="1">
        <f>固定流程!F41</f>
        <v>1</v>
      </c>
      <c r="I1085" s="1">
        <f>INDEX(配置与结果!$B$15:$B$18,F1085)</f>
        <v>2296</v>
      </c>
      <c r="J1085" s="1">
        <f>INDEX(配置与结果!$D$15:$D$18,F1085)</f>
        <v>0.7</v>
      </c>
      <c r="K1085" s="1">
        <f>INDEX(配置与结果!$E$15:$E$18,F1085)</f>
        <v>2.0249999999999999</v>
      </c>
      <c r="L1085" s="1">
        <f t="shared" si="1503"/>
        <v>2</v>
      </c>
      <c r="M1085" s="1">
        <f t="shared" si="1504"/>
        <v>10</v>
      </c>
      <c r="N1085" s="1">
        <f t="shared" si="1505"/>
        <v>2</v>
      </c>
      <c r="O1085" s="1">
        <f t="shared" si="1497"/>
        <v>8</v>
      </c>
      <c r="P1085" s="1">
        <f>MIN(方案参数!$AI$32,AZ1084+0+0)</f>
        <v>5</v>
      </c>
      <c r="Q1085" s="1">
        <f t="shared" si="1475"/>
        <v>5</v>
      </c>
      <c r="R1085" s="1">
        <f t="shared" si="1476"/>
        <v>20</v>
      </c>
      <c r="S1085" s="1">
        <f t="shared" si="1477"/>
        <v>3</v>
      </c>
      <c r="T1085" s="1">
        <f t="shared" si="1512"/>
        <v>0</v>
      </c>
      <c r="U1085" s="1">
        <f t="shared" si="1479"/>
        <v>1</v>
      </c>
      <c r="V1085" s="1">
        <f t="shared" si="1480"/>
        <v>4</v>
      </c>
      <c r="W1085" s="1">
        <f t="shared" si="1481"/>
        <v>1</v>
      </c>
      <c r="X1085" s="1">
        <f t="shared" si="1482"/>
        <v>1</v>
      </c>
      <c r="Y1085" s="1">
        <f t="shared" si="1483"/>
        <v>1</v>
      </c>
      <c r="Z1085" s="1">
        <f t="shared" si="1484"/>
        <v>1</v>
      </c>
      <c r="AA1085" s="1">
        <f t="shared" si="1508"/>
        <v>1</v>
      </c>
      <c r="AB1085" s="1">
        <f t="shared" si="1486"/>
        <v>1</v>
      </c>
      <c r="AC1085" s="1">
        <f t="shared" si="1513"/>
        <v>1</v>
      </c>
      <c r="AD1085" s="1">
        <f>ROUNDDOWN(I1085*(1+IF(F1085=3,0.05+方案参数!$Y$32+AA1085*0.12,IF(F1085=4,方案参数!$BZ$32*方案参数!$AS$32,0)))+IF(AND(X1085=1,F1085&lt;&gt;3),方案参数!$CC$32,0)+AC1085*方案参数!$CB$32,0)</f>
        <v>3034</v>
      </c>
      <c r="AE1085" s="1">
        <f>IF(OR(F1085=1,F1085=4),配置与结果!$B$24,配置与结果!$B$25)*MAX(0,1-INDEX(配置与结果!$I$15:$I$18,F1085))</f>
        <v>1200</v>
      </c>
      <c r="AF1085" s="1">
        <f>方案参数!$BN$32+12*方案参数!$BO$32</f>
        <v>48</v>
      </c>
      <c r="AG1085" s="1">
        <f>MAX(配置与结果!$B$32,1+INDEX(配置与结果!$F$15:$F$18,F1085)+0.08+方案参数!$CD$32+Q1085*方案参数!$W$32+Y1085*(方案参数!$AN$32+MIN(方案参数!$AO$32,P1085*0.03))+AB1085*方案参数!$BZ$32*0.025-配置与结果!$B$28+方案参数!$AE$32)</f>
        <v>2.6150000000000002</v>
      </c>
      <c r="AH1085" s="1">
        <f>MAX(0,1+V1085*方案参数!$U$32+12*方案参数!$V$32+方案参数!$AE$32-配置与结果!$B$29)</f>
        <v>2.1</v>
      </c>
      <c r="AI1085" s="1">
        <f>IF(OR(INDEX(配置与结果!$K$15:$K$18,F1085)=1,G1085="RHI_BERRY"),1+配置与结果!$B$33+P1085*方案参数!$AH$32,1)</f>
        <v>1</v>
      </c>
      <c r="AJ1085" s="1">
        <f>MIN(1,MAX(0,J1085+方案参数!$AB$32-配置与结果!$B$27))</f>
        <v>1</v>
      </c>
      <c r="AK1085" s="1">
        <f>MAX(1,K1085+IF(F1085=2,0.15+方案参数!$CH$32,0)+BN1085*方案参数!$X$32+R1085*方案参数!$AA$32+方案参数!$BR$32-配置与结果!$B$26+Z1085*(方案参数!$AP$32+MIN(方案参数!$AQ$32,P1085*0.03)))</f>
        <v>3.165</v>
      </c>
      <c r="AL1085" s="7">
        <f>ROUNDDOWN(MAX(AD1085*配置与结果!$B$31,AD1085-AE1085)*AF1085*AG1085*AH1085*AI1085,0)</f>
        <v>483427</v>
      </c>
      <c r="AM1085" s="7">
        <f>ROUNDDOWN(MAX(AD1085*配置与结果!$B$31,AD1085-AE1085)*AF1085*AG1085*AH1085*AI1085*AK1085,0)</f>
        <v>1530048</v>
      </c>
      <c r="AN1085" s="7">
        <f t="shared" si="1460"/>
        <v>1530048</v>
      </c>
      <c r="AO1085" s="7">
        <f>0</f>
        <v>0</v>
      </c>
      <c r="AP1085" s="7">
        <f>MAX(0,1+INDEX(配置与结果!$J$15:$J$18,F1085)+IF(T1085&gt;0,方案参数!$BY$32,0)-配置与结果!$B$30)</f>
        <v>1</v>
      </c>
      <c r="AQ1085" s="7">
        <f t="shared" si="1461"/>
        <v>0</v>
      </c>
      <c r="AR1085" s="7">
        <f t="shared" si="1462"/>
        <v>0</v>
      </c>
      <c r="AS1085" s="7">
        <f t="shared" si="1463"/>
        <v>0</v>
      </c>
      <c r="AT1085" s="7">
        <f>IF(U1085&gt;0,ROUNDDOWN(AL1085*方案参数!$AF$32,0)*(1-AJ1085)+ROUNDDOWN(AM1085*方案参数!$AF$32,0)*AJ1085,0)</f>
        <v>612019</v>
      </c>
      <c r="AU1085" s="7">
        <f t="shared" si="1464"/>
        <v>2142067</v>
      </c>
      <c r="AV1085" s="1">
        <f t="shared" si="1465"/>
        <v>2</v>
      </c>
      <c r="AW1085" s="1">
        <f t="shared" si="1518"/>
        <v>10</v>
      </c>
      <c r="AX1085" s="1">
        <f t="shared" si="1466"/>
        <v>2</v>
      </c>
      <c r="AY1085" s="1">
        <f>MIN(20,MAX(0,O1085+0+1-0))</f>
        <v>9</v>
      </c>
      <c r="AZ1085" s="1">
        <f t="shared" si="1467"/>
        <v>5</v>
      </c>
      <c r="BA1085" s="1">
        <f t="shared" si="1509"/>
        <v>5</v>
      </c>
      <c r="BB1085" s="1">
        <f t="shared" si="1517"/>
        <v>20</v>
      </c>
      <c r="BC1085" s="1">
        <f t="shared" si="1515"/>
        <v>3</v>
      </c>
      <c r="BD1085" s="1">
        <f t="shared" si="1496"/>
        <v>0</v>
      </c>
      <c r="BE1085" s="1">
        <f>MAX(0,U1085-IF(AF1085&gt;0,1,0))+0</f>
        <v>0</v>
      </c>
      <c r="BF1085" s="1">
        <f t="shared" si="1519"/>
        <v>4</v>
      </c>
      <c r="BG1085" s="1">
        <f t="shared" si="1506"/>
        <v>1</v>
      </c>
      <c r="BH1085" s="1">
        <f t="shared" si="1490"/>
        <v>1</v>
      </c>
      <c r="BI1085" s="1">
        <f t="shared" si="1507"/>
        <v>1</v>
      </c>
      <c r="BJ1085" s="1">
        <f t="shared" si="1510"/>
        <v>1</v>
      </c>
      <c r="BK1085" s="1">
        <f t="shared" si="1511"/>
        <v>1</v>
      </c>
      <c r="BL1085" s="1">
        <f t="shared" si="1516"/>
        <v>1</v>
      </c>
      <c r="BM1085" s="1">
        <f t="shared" si="1514"/>
        <v>1</v>
      </c>
      <c r="BN1085" s="1">
        <f t="shared" si="1491"/>
        <v>1</v>
      </c>
      <c r="BO1085" s="1">
        <f t="shared" si="1492"/>
        <v>1</v>
      </c>
    </row>
    <row r="1086" spans="1:67" ht="30.95" customHeight="1">
      <c r="A1086" s="1">
        <f>30</f>
        <v>30</v>
      </c>
      <c r="B1086" s="1">
        <f>固定流程!A6</f>
        <v>1</v>
      </c>
      <c r="C1086" s="1">
        <f>33</f>
        <v>33</v>
      </c>
      <c r="D1086" s="1">
        <f>1</f>
        <v>1</v>
      </c>
      <c r="E1086" s="1">
        <f>固定流程!C6</f>
        <v>1</v>
      </c>
      <c r="F1086" s="1">
        <f>固定流程!G6</f>
        <v>3</v>
      </c>
      <c r="G1086" s="1" t="str">
        <f>固定流程!H6</f>
        <v>RHI_ULT</v>
      </c>
      <c r="H1086" s="1">
        <f>固定流程!F6</f>
        <v>1</v>
      </c>
      <c r="I1086" s="1">
        <f>INDEX(配置与结果!$B$15:$B$18,F1086)</f>
        <v>2597</v>
      </c>
      <c r="J1086" s="1">
        <f>INDEX(配置与结果!$D$15:$D$18,F1086)</f>
        <v>0.255</v>
      </c>
      <c r="K1086" s="1">
        <f>INDEX(配置与结果!$E$15:$E$18,F1086)</f>
        <v>1.55</v>
      </c>
      <c r="L1086" s="1">
        <f>0</f>
        <v>0</v>
      </c>
      <c r="M1086" s="1">
        <f>0</f>
        <v>0</v>
      </c>
      <c r="N1086" s="1">
        <f>0</f>
        <v>0</v>
      </c>
      <c r="O1086" s="1">
        <f>0</f>
        <v>0</v>
      </c>
      <c r="P1086" s="1">
        <f>MIN(方案参数!$AI$33,0+方案参数!$AJ$33+0)</f>
        <v>1</v>
      </c>
      <c r="Q1086" s="1">
        <f>0</f>
        <v>0</v>
      </c>
      <c r="R1086" s="1">
        <f>0</f>
        <v>0</v>
      </c>
      <c r="S1086" s="1">
        <f>0</f>
        <v>0</v>
      </c>
      <c r="T1086" s="1">
        <f>0+0</f>
        <v>0</v>
      </c>
      <c r="U1086" s="1">
        <f>0</f>
        <v>0</v>
      </c>
      <c r="V1086" s="1">
        <f>0</f>
        <v>0</v>
      </c>
      <c r="W1086" s="1">
        <f>0</f>
        <v>0</v>
      </c>
      <c r="X1086" s="1">
        <f>0</f>
        <v>0</v>
      </c>
      <c r="Y1086" s="1">
        <f>0</f>
        <v>0</v>
      </c>
      <c r="Z1086" s="1">
        <f>0</f>
        <v>0</v>
      </c>
      <c r="AA1086" s="1">
        <f>MAX(0,0)</f>
        <v>0</v>
      </c>
      <c r="AB1086" s="1">
        <f>0</f>
        <v>0</v>
      </c>
      <c r="AC1086" s="1">
        <f>MAX(0,0)</f>
        <v>0</v>
      </c>
      <c r="AD1086" s="1">
        <f>ROUNDDOWN(I1086*(1+IF(F1086=3,0.05+方案参数!$Y$33+AA1086*0.12,IF(F1086=4,方案参数!$BZ$33*方案参数!$AS$33,0)))+IF(AND(X1086=1,F1086&lt;&gt;3),方案参数!$CC$33,0)+AC1086*方案参数!$CB$33,0)</f>
        <v>2986</v>
      </c>
      <c r="AE1086" s="1">
        <f>IF(OR(F1086=1,F1086=4),配置与结果!$B$24,配置与结果!$B$25)*MAX(0,1-INDEX(配置与结果!$I$15:$I$18,F1086))</f>
        <v>1000</v>
      </c>
      <c r="AF1086" s="1">
        <f>0</f>
        <v>0</v>
      </c>
      <c r="AG1086" s="1">
        <f>MAX(配置与结果!$B$32,1+INDEX(配置与结果!$F$15:$F$18,F1086)+0+Q1086*方案参数!$W$33+Y1086*(方案参数!$AN$33+MIN(方案参数!$AO$33,P1086*0.03))+AB1086*方案参数!$BZ$33*0.025-配置与结果!$B$28)</f>
        <v>0.6349999999999999</v>
      </c>
      <c r="AH1086" s="1">
        <f>MAX(0,1+INDEX(配置与结果!$G$15:$G$18,F1086)+W1086*方案参数!$AG$33)</f>
        <v>1</v>
      </c>
      <c r="AI1086" s="1">
        <f>IF(OR(INDEX(配置与结果!$K$15:$K$18,F1086)=1,G1086="RHI_BERRY"),1+配置与结果!$B$33+P1086*方案参数!$AH$33,1)</f>
        <v>1</v>
      </c>
      <c r="AJ1086" s="1">
        <f>MIN(1,MAX(0,J1086+方案参数!$AB$33-配置与结果!$B$27))</f>
        <v>0.55499999999999994</v>
      </c>
      <c r="AK1086" s="1">
        <f>MAX(1,K1086+IF(F1086=2,0.15+方案参数!$CH$33,0)+BN1086*方案参数!$X$33+R1086*方案参数!$AA$33+0-配置与结果!$B$26+Z1086*(方案参数!$AP$33+MIN(方案参数!$AQ$33,P1086*0.03)))</f>
        <v>1.1499999999999999</v>
      </c>
      <c r="AL1086" s="7">
        <f>ROUNDDOWN(MAX(AD1086*配置与结果!$B$31,AD1086-AE1086)*AF1086*AG1086*AH1086*AI1086,0)</f>
        <v>0</v>
      </c>
      <c r="AM1086" s="7">
        <f>ROUNDDOWN(MAX(AD1086*配置与结果!$B$31,AD1086-AE1086)*AF1086*AG1086*AH1086*AI1086*AK1086,0)</f>
        <v>0</v>
      </c>
      <c r="AN1086" s="7">
        <f t="shared" si="1460"/>
        <v>0</v>
      </c>
      <c r="AO1086" s="7">
        <f>0</f>
        <v>0</v>
      </c>
      <c r="AP1086" s="7">
        <f>MAX(0,1+INDEX(配置与结果!$J$15:$J$18,F1086)+IF(T1086&gt;0,方案参数!$BY$33,0)-配置与结果!$B$30)</f>
        <v>1</v>
      </c>
      <c r="AQ1086" s="7">
        <f t="shared" si="1461"/>
        <v>0</v>
      </c>
      <c r="AR1086" s="7">
        <f t="shared" si="1462"/>
        <v>0</v>
      </c>
      <c r="AS1086" s="7">
        <f t="shared" si="1463"/>
        <v>0</v>
      </c>
      <c r="AT1086" s="7">
        <f>0</f>
        <v>0</v>
      </c>
      <c r="AU1086" s="7">
        <f t="shared" si="1464"/>
        <v>0</v>
      </c>
      <c r="AV1086" s="1">
        <f t="shared" si="1465"/>
        <v>0</v>
      </c>
      <c r="AW1086" s="1">
        <f t="shared" si="1518"/>
        <v>0</v>
      </c>
      <c r="AX1086" s="1">
        <f t="shared" si="1466"/>
        <v>0</v>
      </c>
      <c r="AY1086" s="1">
        <f>MIN(20,MAX(0,O1086+0+0-0))</f>
        <v>0</v>
      </c>
      <c r="AZ1086" s="1">
        <f t="shared" si="1467"/>
        <v>1</v>
      </c>
      <c r="BA1086" s="1">
        <f>MIN(6,Q1086+1)</f>
        <v>1</v>
      </c>
      <c r="BB1086" s="1">
        <f>MIN(30,R1086+5)</f>
        <v>5</v>
      </c>
      <c r="BC1086" s="1">
        <f t="shared" si="1515"/>
        <v>0</v>
      </c>
      <c r="BD1086" s="1">
        <f t="shared" si="1496"/>
        <v>0</v>
      </c>
      <c r="BE1086" s="1">
        <f>0</f>
        <v>0</v>
      </c>
      <c r="BF1086" s="1">
        <f t="shared" si="1519"/>
        <v>0</v>
      </c>
      <c r="BG1086" s="1">
        <f t="shared" si="1506"/>
        <v>0</v>
      </c>
      <c r="BH1086" s="1">
        <f>MAX(X1086,1)</f>
        <v>1</v>
      </c>
      <c r="BI1086" s="1">
        <f t="shared" si="1507"/>
        <v>0</v>
      </c>
      <c r="BJ1086" s="1">
        <f t="shared" si="1510"/>
        <v>0</v>
      </c>
      <c r="BK1086" s="1">
        <f t="shared" si="1511"/>
        <v>0</v>
      </c>
      <c r="BL1086" s="1">
        <f t="shared" si="1516"/>
        <v>0</v>
      </c>
      <c r="BM1086" s="1">
        <f t="shared" si="1514"/>
        <v>0</v>
      </c>
      <c r="BN1086" s="1">
        <f>0</f>
        <v>0</v>
      </c>
      <c r="BO1086" s="1">
        <f>MAX(BN1086,1)</f>
        <v>1</v>
      </c>
    </row>
    <row r="1087" spans="1:67" ht="30.95" customHeight="1">
      <c r="A1087" s="1">
        <f>30</f>
        <v>30</v>
      </c>
      <c r="B1087" s="1">
        <f>固定流程!A7</f>
        <v>2</v>
      </c>
      <c r="C1087" s="1">
        <f>33</f>
        <v>33</v>
      </c>
      <c r="D1087" s="1">
        <f>1</f>
        <v>1</v>
      </c>
      <c r="E1087" s="1">
        <f>固定流程!C7</f>
        <v>1</v>
      </c>
      <c r="F1087" s="1">
        <f>固定流程!G7</f>
        <v>3</v>
      </c>
      <c r="G1087" s="1" t="str">
        <f>固定流程!H7</f>
        <v>RHI_BUFF</v>
      </c>
      <c r="H1087" s="1">
        <f>固定流程!F7</f>
        <v>1</v>
      </c>
      <c r="I1087" s="1">
        <f>INDEX(配置与结果!$B$15:$B$18,F1087)</f>
        <v>2597</v>
      </c>
      <c r="J1087" s="1">
        <f>INDEX(配置与结果!$D$15:$D$18,F1087)</f>
        <v>0.255</v>
      </c>
      <c r="K1087" s="1">
        <f>INDEX(配置与结果!$E$15:$E$18,F1087)</f>
        <v>1.55</v>
      </c>
      <c r="L1087" s="1">
        <f t="shared" ref="L1087:O1092" si="1520">AV1086</f>
        <v>0</v>
      </c>
      <c r="M1087" s="1">
        <f t="shared" si="1520"/>
        <v>0</v>
      </c>
      <c r="N1087" s="1">
        <f t="shared" si="1520"/>
        <v>0</v>
      </c>
      <c r="O1087" s="1">
        <f t="shared" si="1520"/>
        <v>0</v>
      </c>
      <c r="P1087" s="1">
        <f>MIN(方案参数!$AI$33,AZ1086+0+方案参数!$AK$33)</f>
        <v>3</v>
      </c>
      <c r="Q1087" s="1">
        <f t="shared" ref="Q1087:Q1121" si="1521">BA1086</f>
        <v>1</v>
      </c>
      <c r="R1087" s="1">
        <f t="shared" ref="R1087:R1121" si="1522">BB1086</f>
        <v>5</v>
      </c>
      <c r="S1087" s="1">
        <f t="shared" ref="S1087:S1121" si="1523">BC1086</f>
        <v>0</v>
      </c>
      <c r="T1087" s="1">
        <f t="shared" ref="T1087:T1100" si="1524">BD1086+0</f>
        <v>0</v>
      </c>
      <c r="U1087" s="1">
        <f t="shared" ref="U1087:U1121" si="1525">BE1086</f>
        <v>0</v>
      </c>
      <c r="V1087" s="1">
        <f t="shared" ref="V1087:V1121" si="1526">BF1086</f>
        <v>0</v>
      </c>
      <c r="W1087" s="1">
        <f t="shared" ref="W1087:W1121" si="1527">BG1086</f>
        <v>0</v>
      </c>
      <c r="X1087" s="1">
        <f t="shared" ref="X1087:X1121" si="1528">BH1086</f>
        <v>1</v>
      </c>
      <c r="Y1087" s="1">
        <f t="shared" ref="Y1087:Y1121" si="1529">BI1086</f>
        <v>0</v>
      </c>
      <c r="Z1087" s="1">
        <f t="shared" ref="Z1087:Z1121" si="1530">BJ1086</f>
        <v>0</v>
      </c>
      <c r="AA1087" s="1">
        <f t="shared" ref="AA1087:AA1092" si="1531">MAX(BK1086,0)</f>
        <v>0</v>
      </c>
      <c r="AB1087" s="1">
        <f t="shared" ref="AB1087:AB1121" si="1532">BL1086</f>
        <v>0</v>
      </c>
      <c r="AC1087" s="1">
        <f t="shared" ref="AC1087:AC1100" si="1533">MAX(BM1086,0)</f>
        <v>0</v>
      </c>
      <c r="AD1087" s="1">
        <f>ROUNDDOWN(I1087*(1+IF(F1087=3,0.05+方案参数!$Y$33+AA1087*0.12,IF(F1087=4,方案参数!$BZ$33*方案参数!$AS$33,0)))+IF(AND(X1087=1,F1087&lt;&gt;3),方案参数!$CC$33,0)+AC1087*方案参数!$CB$33,0)</f>
        <v>2986</v>
      </c>
      <c r="AE1087" s="1">
        <f>IF(OR(F1087=1,F1087=4),配置与结果!$B$24,配置与结果!$B$25)*MAX(0,1-INDEX(配置与结果!$I$15:$I$18,F1087))</f>
        <v>1000</v>
      </c>
      <c r="AF1087" s="1">
        <f>0</f>
        <v>0</v>
      </c>
      <c r="AG1087" s="1">
        <f>MAX(配置与结果!$B$32,1+INDEX(配置与结果!$F$15:$F$18,F1087)+0+Q1087*方案参数!$W$33+Y1087*(方案参数!$AN$33+MIN(方案参数!$AO$33,P1087*0.03))+AB1087*方案参数!$BZ$33*0.025-配置与结果!$B$28)</f>
        <v>0.65499999999999992</v>
      </c>
      <c r="AH1087" s="1">
        <f>MAX(0,1+INDEX(配置与结果!$G$15:$G$18,F1087)+W1087*方案参数!$AG$33)</f>
        <v>1</v>
      </c>
      <c r="AI1087" s="1">
        <f>IF(OR(INDEX(配置与结果!$K$15:$K$18,F1087)=1,G1087="RHI_BERRY"),1+配置与结果!$B$33+P1087*方案参数!$AH$33,1)</f>
        <v>1</v>
      </c>
      <c r="AJ1087" s="1">
        <f>MIN(1,MAX(0,J1087+方案参数!$AB$33-配置与结果!$B$27))</f>
        <v>0.55499999999999994</v>
      </c>
      <c r="AK1087" s="1">
        <f>MAX(1,K1087+IF(F1087=2,0.15+方案参数!$CH$33,0)+BN1087*方案参数!$X$33+R1087*方案参数!$AA$33+0-配置与结果!$B$26+Z1087*(方案参数!$AP$33+MIN(方案参数!$AQ$33,P1087*0.03)))</f>
        <v>1.33</v>
      </c>
      <c r="AL1087" s="7">
        <f>ROUNDDOWN(MAX(AD1087*配置与结果!$B$31,AD1087-AE1087)*AF1087*AG1087*AH1087*AI1087,0)</f>
        <v>0</v>
      </c>
      <c r="AM1087" s="7">
        <f>ROUNDDOWN(MAX(AD1087*配置与结果!$B$31,AD1087-AE1087)*AF1087*AG1087*AH1087*AI1087*AK1087,0)</f>
        <v>0</v>
      </c>
      <c r="AN1087" s="7">
        <f t="shared" si="1460"/>
        <v>0</v>
      </c>
      <c r="AO1087" s="7">
        <f>0</f>
        <v>0</v>
      </c>
      <c r="AP1087" s="7">
        <f>MAX(0,1+INDEX(配置与结果!$J$15:$J$18,F1087)+IF(T1087&gt;0,方案参数!$BY$33,0)-配置与结果!$B$30)</f>
        <v>1</v>
      </c>
      <c r="AQ1087" s="7">
        <f t="shared" si="1461"/>
        <v>0</v>
      </c>
      <c r="AR1087" s="7">
        <f t="shared" si="1462"/>
        <v>0</v>
      </c>
      <c r="AS1087" s="7">
        <f t="shared" si="1463"/>
        <v>0</v>
      </c>
      <c r="AT1087" s="7">
        <f>0</f>
        <v>0</v>
      </c>
      <c r="AU1087" s="7">
        <f t="shared" si="1464"/>
        <v>0</v>
      </c>
      <c r="AV1087" s="1">
        <f t="shared" si="1465"/>
        <v>0</v>
      </c>
      <c r="AW1087" s="1">
        <f t="shared" si="1518"/>
        <v>0</v>
      </c>
      <c r="AX1087" s="1">
        <f t="shared" si="1466"/>
        <v>0</v>
      </c>
      <c r="AY1087" s="1">
        <f>MIN(20,MAX(0,O1087+0+0-0))</f>
        <v>0</v>
      </c>
      <c r="AZ1087" s="1">
        <f t="shared" si="1467"/>
        <v>3</v>
      </c>
      <c r="BA1087" s="1">
        <f>MIN(6,Q1087+1)</f>
        <v>2</v>
      </c>
      <c r="BB1087" s="1">
        <f t="shared" ref="BB1087:BB1100" si="1534">MIN(30,R1087+0)</f>
        <v>5</v>
      </c>
      <c r="BC1087" s="1">
        <f t="shared" si="1515"/>
        <v>0</v>
      </c>
      <c r="BD1087" s="1">
        <f t="shared" si="1496"/>
        <v>0</v>
      </c>
      <c r="BE1087" s="1">
        <f t="shared" ref="BE1087:BE1108" si="1535">BE1086</f>
        <v>0</v>
      </c>
      <c r="BF1087" s="1">
        <f t="shared" si="1519"/>
        <v>0</v>
      </c>
      <c r="BG1087" s="1">
        <f>MAX(W1087,1)</f>
        <v>1</v>
      </c>
      <c r="BH1087" s="1">
        <f t="shared" ref="BH1087:BH1121" si="1536">MAX(X1087,0)</f>
        <v>1</v>
      </c>
      <c r="BI1087" s="1">
        <f>MAX(Y1087,1)</f>
        <v>1</v>
      </c>
      <c r="BJ1087" s="1">
        <f t="shared" si="1510"/>
        <v>0</v>
      </c>
      <c r="BK1087" s="1">
        <f t="shared" si="1511"/>
        <v>0</v>
      </c>
      <c r="BL1087" s="1">
        <f t="shared" si="1516"/>
        <v>0</v>
      </c>
      <c r="BM1087" s="1">
        <f t="shared" si="1514"/>
        <v>0</v>
      </c>
      <c r="BN1087" s="1">
        <f t="shared" ref="BN1087:BN1121" si="1537">BO1086</f>
        <v>1</v>
      </c>
      <c r="BO1087" s="1">
        <f t="shared" ref="BO1087:BO1121" si="1538">MAX(BN1087,0)</f>
        <v>1</v>
      </c>
    </row>
    <row r="1088" spans="1:67" ht="30.95" customHeight="1">
      <c r="A1088" s="1">
        <f>30</f>
        <v>30</v>
      </c>
      <c r="B1088" s="1">
        <f>固定流程!A8</f>
        <v>3</v>
      </c>
      <c r="C1088" s="1">
        <f>33</f>
        <v>33</v>
      </c>
      <c r="D1088" s="1">
        <f>1</f>
        <v>1</v>
      </c>
      <c r="E1088" s="1">
        <f>固定流程!C8</f>
        <v>1</v>
      </c>
      <c r="F1088" s="1">
        <f>固定流程!G8</f>
        <v>1</v>
      </c>
      <c r="G1088" s="1" t="str">
        <f>固定流程!H8</f>
        <v>LILYA_COBRA</v>
      </c>
      <c r="H1088" s="1">
        <f>固定流程!F8</f>
        <v>1</v>
      </c>
      <c r="I1088" s="1">
        <f>INDEX(配置与结果!$B$15:$B$18,F1088)</f>
        <v>2296</v>
      </c>
      <c r="J1088" s="1">
        <f>INDEX(配置与结果!$D$15:$D$18,F1088)</f>
        <v>0.7</v>
      </c>
      <c r="K1088" s="1">
        <f>INDEX(配置与结果!$E$15:$E$18,F1088)</f>
        <v>2.0249999999999999</v>
      </c>
      <c r="L1088" s="1">
        <f t="shared" si="1520"/>
        <v>0</v>
      </c>
      <c r="M1088" s="1">
        <f t="shared" si="1520"/>
        <v>0</v>
      </c>
      <c r="N1088" s="1">
        <f t="shared" si="1520"/>
        <v>0</v>
      </c>
      <c r="O1088" s="1">
        <f t="shared" si="1520"/>
        <v>0</v>
      </c>
      <c r="P1088" s="1">
        <f>MIN(方案参数!$AI$33,AZ1087+0+0)</f>
        <v>3</v>
      </c>
      <c r="Q1088" s="1">
        <f t="shared" si="1521"/>
        <v>2</v>
      </c>
      <c r="R1088" s="1">
        <f t="shared" si="1522"/>
        <v>5</v>
      </c>
      <c r="S1088" s="1">
        <f t="shared" si="1523"/>
        <v>0</v>
      </c>
      <c r="T1088" s="1">
        <f t="shared" si="1524"/>
        <v>0</v>
      </c>
      <c r="U1088" s="1">
        <f t="shared" si="1525"/>
        <v>0</v>
      </c>
      <c r="V1088" s="1">
        <f t="shared" si="1526"/>
        <v>0</v>
      </c>
      <c r="W1088" s="1">
        <f t="shared" si="1527"/>
        <v>1</v>
      </c>
      <c r="X1088" s="1">
        <f t="shared" si="1528"/>
        <v>1</v>
      </c>
      <c r="Y1088" s="1">
        <f t="shared" si="1529"/>
        <v>1</v>
      </c>
      <c r="Z1088" s="1">
        <f t="shared" si="1530"/>
        <v>0</v>
      </c>
      <c r="AA1088" s="1">
        <f t="shared" si="1531"/>
        <v>0</v>
      </c>
      <c r="AB1088" s="1">
        <f t="shared" si="1532"/>
        <v>0</v>
      </c>
      <c r="AC1088" s="1">
        <f t="shared" si="1533"/>
        <v>0</v>
      </c>
      <c r="AD1088" s="1">
        <f>ROUNDDOWN(I1088*(1+IF(F1088=3,0.05+方案参数!$Y$33+AA1088*0.12,IF(F1088=4,方案参数!$BZ$33*方案参数!$AS$33,0)))+IF(AND(X1088=1,F1088&lt;&gt;3),方案参数!$CC$33,0)+AC1088*方案参数!$CB$33,0)</f>
        <v>2534</v>
      </c>
      <c r="AE1088" s="1">
        <f>IF(OR(F1088=1,F1088=4),配置与结果!$B$24,配置与结果!$B$25)*MAX(0,1-INDEX(配置与结果!$I$15:$I$18,F1088))</f>
        <v>1200</v>
      </c>
      <c r="AF1088" s="1">
        <f>0</f>
        <v>0</v>
      </c>
      <c r="AG1088" s="1">
        <f>MAX(配置与结果!$B$32,1+INDEX(配置与结果!$F$15:$F$18,F1088)+0.08+方案参数!$CD$33+Q1088*方案参数!$W$33+Y1088*(方案参数!$AN$33+MIN(方案参数!$AO$33,P1088*0.03))+AB1088*方案参数!$BZ$33*0.025-配置与结果!$B$28)</f>
        <v>1.2200000000000002</v>
      </c>
      <c r="AH1088" s="1">
        <f>MAX(0,1+INDEX(配置与结果!$G$15:$G$18,F1088)+W1088*方案参数!$AG$33)</f>
        <v>1.3</v>
      </c>
      <c r="AI1088" s="1">
        <f>IF(OR(INDEX(配置与结果!$K$15:$K$18,F1088)=1,G1088="RHI_BERRY"),1+配置与结果!$B$33+P1088*方案参数!$AH$33,1)</f>
        <v>1</v>
      </c>
      <c r="AJ1088" s="1">
        <f>MIN(1,MAX(0,J1088+方案参数!$AB$33-配置与结果!$B$27))</f>
        <v>1</v>
      </c>
      <c r="AK1088" s="1">
        <f>MAX(1,K1088+IF(F1088=2,0.15+方案参数!$CH$33,0)+BN1088*方案参数!$X$33+R1088*方案参数!$AA$33+0-配置与结果!$B$26+Z1088*(方案参数!$AP$33+MIN(方案参数!$AQ$33,P1088*0.03)))</f>
        <v>1.8050000000000002</v>
      </c>
      <c r="AL1088" s="7">
        <f>ROUNDDOWN(MAX(AD1088*配置与结果!$B$31,AD1088-AE1088)*AF1088*AG1088*AH1088*AI1088,0)</f>
        <v>0</v>
      </c>
      <c r="AM1088" s="7">
        <f>ROUNDDOWN(MAX(AD1088*配置与结果!$B$31,AD1088-AE1088)*AF1088*AG1088*AH1088*AI1088*AK1088,0)</f>
        <v>0</v>
      </c>
      <c r="AN1088" s="7">
        <f t="shared" si="1460"/>
        <v>0</v>
      </c>
      <c r="AO1088" s="7">
        <f>0</f>
        <v>0</v>
      </c>
      <c r="AP1088" s="7">
        <f>MAX(0,1+INDEX(配置与结果!$J$15:$J$18,F1088)+IF(T1088&gt;0,方案参数!$BY$33,0)-配置与结果!$B$30)</f>
        <v>1</v>
      </c>
      <c r="AQ1088" s="7">
        <f t="shared" si="1461"/>
        <v>0</v>
      </c>
      <c r="AR1088" s="7">
        <f t="shared" si="1462"/>
        <v>0</v>
      </c>
      <c r="AS1088" s="7">
        <f t="shared" si="1463"/>
        <v>0</v>
      </c>
      <c r="AT1088" s="7">
        <f>0</f>
        <v>0</v>
      </c>
      <c r="AU1088" s="7">
        <f t="shared" si="1464"/>
        <v>0</v>
      </c>
      <c r="AV1088" s="1">
        <f t="shared" si="1465"/>
        <v>1</v>
      </c>
      <c r="AW1088" s="1">
        <f>MIN(10,M1088+方案参数!$BD$33+0)</f>
        <v>3</v>
      </c>
      <c r="AX1088" s="1">
        <f t="shared" si="1466"/>
        <v>0</v>
      </c>
      <c r="AY1088" s="1">
        <f>MIN(20,MAX(0,O1088+6+0-0))</f>
        <v>6</v>
      </c>
      <c r="AZ1088" s="1">
        <f t="shared" si="1467"/>
        <v>3</v>
      </c>
      <c r="BA1088" s="1">
        <f>MIN(6,Q1088+0)</f>
        <v>2</v>
      </c>
      <c r="BB1088" s="1">
        <f t="shared" si="1534"/>
        <v>5</v>
      </c>
      <c r="BC1088" s="1">
        <f t="shared" si="1515"/>
        <v>0</v>
      </c>
      <c r="BD1088" s="1">
        <f t="shared" si="1496"/>
        <v>0</v>
      </c>
      <c r="BE1088" s="1">
        <f t="shared" si="1535"/>
        <v>0</v>
      </c>
      <c r="BF1088" s="1">
        <f t="shared" si="1519"/>
        <v>0</v>
      </c>
      <c r="BG1088" s="1">
        <f t="shared" ref="BG1088:BG1098" si="1539">MAX(W1088,0)</f>
        <v>1</v>
      </c>
      <c r="BH1088" s="1">
        <f t="shared" si="1536"/>
        <v>1</v>
      </c>
      <c r="BI1088" s="1">
        <f t="shared" ref="BI1088:BI1098" si="1540">MAX(Y1088,0)</f>
        <v>1</v>
      </c>
      <c r="BJ1088" s="1">
        <f t="shared" si="1510"/>
        <v>0</v>
      </c>
      <c r="BK1088" s="1">
        <f t="shared" si="1511"/>
        <v>0</v>
      </c>
      <c r="BL1088" s="1">
        <f t="shared" si="1516"/>
        <v>0</v>
      </c>
      <c r="BM1088" s="1">
        <f t="shared" si="1514"/>
        <v>0</v>
      </c>
      <c r="BN1088" s="1">
        <f t="shared" si="1537"/>
        <v>1</v>
      </c>
      <c r="BO1088" s="1">
        <f t="shared" si="1538"/>
        <v>1</v>
      </c>
    </row>
    <row r="1089" spans="1:67" ht="30.95" customHeight="1">
      <c r="A1089" s="1">
        <f>30</f>
        <v>30</v>
      </c>
      <c r="B1089" s="1">
        <f>固定流程!A9</f>
        <v>4</v>
      </c>
      <c r="C1089" s="1">
        <f>33</f>
        <v>33</v>
      </c>
      <c r="D1089" s="1">
        <f>1</f>
        <v>1</v>
      </c>
      <c r="E1089" s="1">
        <f>固定流程!C9</f>
        <v>1</v>
      </c>
      <c r="F1089" s="1">
        <f>固定流程!G9</f>
        <v>1</v>
      </c>
      <c r="G1089" s="1" t="str">
        <f>固定流程!H9</f>
        <v>LILYA_DIVE</v>
      </c>
      <c r="H1089" s="1">
        <f>固定流程!F9</f>
        <v>1</v>
      </c>
      <c r="I1089" s="1">
        <f>INDEX(配置与结果!$B$15:$B$18,F1089)</f>
        <v>2296</v>
      </c>
      <c r="J1089" s="1">
        <f>INDEX(配置与结果!$D$15:$D$18,F1089)</f>
        <v>0.7</v>
      </c>
      <c r="K1089" s="1">
        <f>INDEX(配置与结果!$E$15:$E$18,F1089)</f>
        <v>2.0249999999999999</v>
      </c>
      <c r="L1089" s="1">
        <f t="shared" si="1520"/>
        <v>1</v>
      </c>
      <c r="M1089" s="1">
        <f t="shared" si="1520"/>
        <v>3</v>
      </c>
      <c r="N1089" s="1">
        <f t="shared" si="1520"/>
        <v>0</v>
      </c>
      <c r="O1089" s="1">
        <f t="shared" si="1520"/>
        <v>6</v>
      </c>
      <c r="P1089" s="1">
        <f>MIN(方案参数!$AI$33,AZ1088+0+0)</f>
        <v>3</v>
      </c>
      <c r="Q1089" s="1">
        <f t="shared" si="1521"/>
        <v>2</v>
      </c>
      <c r="R1089" s="1">
        <f t="shared" si="1522"/>
        <v>5</v>
      </c>
      <c r="S1089" s="1">
        <f t="shared" si="1523"/>
        <v>0</v>
      </c>
      <c r="T1089" s="1">
        <f t="shared" si="1524"/>
        <v>0</v>
      </c>
      <c r="U1089" s="1">
        <f t="shared" si="1525"/>
        <v>0</v>
      </c>
      <c r="V1089" s="1">
        <f t="shared" si="1526"/>
        <v>0</v>
      </c>
      <c r="W1089" s="1">
        <f t="shared" si="1527"/>
        <v>1</v>
      </c>
      <c r="X1089" s="1">
        <f t="shared" si="1528"/>
        <v>1</v>
      </c>
      <c r="Y1089" s="1">
        <f t="shared" si="1529"/>
        <v>1</v>
      </c>
      <c r="Z1089" s="1">
        <f t="shared" si="1530"/>
        <v>0</v>
      </c>
      <c r="AA1089" s="1">
        <f t="shared" si="1531"/>
        <v>0</v>
      </c>
      <c r="AB1089" s="1">
        <f t="shared" si="1532"/>
        <v>0</v>
      </c>
      <c r="AC1089" s="1">
        <f t="shared" si="1533"/>
        <v>0</v>
      </c>
      <c r="AD1089" s="1">
        <f>ROUNDDOWN(I1089*(1+IF(F1089=3,0.05+方案参数!$Y$33+AA1089*0.12,IF(F1089=4,方案参数!$BZ$33*方案参数!$AS$33,0)))+IF(AND(X1089=1,F1089&lt;&gt;3),方案参数!$CC$33,0)+AC1089*方案参数!$CB$33,0)</f>
        <v>2534</v>
      </c>
      <c r="AE1089" s="1">
        <f>IF(OR(F1089=1,F1089=4),配置与结果!$B$24,配置与结果!$B$25)*MAX(0,1-INDEX(配置与结果!$I$15:$I$18,F1089))</f>
        <v>1200</v>
      </c>
      <c r="AF1089" s="1">
        <f>(IF(L1089=1,方案参数!$AW$33,IF(L1089=2,方案参数!$AX$33,0))+方案参数!$AV$33)*H1089</f>
        <v>6</v>
      </c>
      <c r="AG1089" s="1">
        <f>MAX(配置与结果!$B$32,1+INDEX(配置与结果!$F$15:$F$18,F1089)+0.08+方案参数!$CD$33+Q1089*方案参数!$W$33+Y1089*(方案参数!$AN$33+MIN(方案参数!$AO$33,P1089*0.03))+AB1089*方案参数!$BZ$33*0.025+IF(L1089=1,方案参数!$AY$33+(H1089-1)*0.1,IF(L1089=2,方案参数!$AZ$33+(H1089-1)*0.2,0))-配置与结果!$B$28)</f>
        <v>1.3200000000000003</v>
      </c>
      <c r="AH1089" s="1">
        <f>MAX(0,1+INDEX(配置与结果!$G$15:$G$18,F1089)+W1089*方案参数!$AG$33+IF(L1089=1,方案参数!$BA$33,IF(L1089=2,方案参数!$BB$33,0))+M1089*方案参数!$BC$33)</f>
        <v>2.08</v>
      </c>
      <c r="AI1089" s="1">
        <f>IF(OR(INDEX(配置与结果!$K$15:$K$18,F1089)=1,G1089="RHI_BERRY"),1+配置与结果!$B$33+P1089*方案参数!$AH$33,1)</f>
        <v>1</v>
      </c>
      <c r="AJ1089" s="1">
        <f>MIN(1,MAX(0,J1089+方案参数!$AB$33-配置与结果!$B$27))</f>
        <v>1</v>
      </c>
      <c r="AK1089" s="1">
        <f>MAX(1,K1089+IF(F1089=2,0.15+方案参数!$CH$33,0)+BN1089*方案参数!$X$33+R1089*方案参数!$AA$33+0-配置与结果!$B$26+Z1089*(方案参数!$AP$33+MIN(方案参数!$AQ$33,P1089*0.03)))</f>
        <v>1.8050000000000002</v>
      </c>
      <c r="AL1089" s="7">
        <f>ROUNDDOWN(MAX(AD1089*配置与结果!$B$31,AD1089-AE1089)*AF1089*AG1089*AH1089*AI1089,0)</f>
        <v>21975</v>
      </c>
      <c r="AM1089" s="7">
        <f>ROUNDDOWN(MAX(AD1089*配置与结果!$B$31,AD1089-AE1089)*AF1089*AG1089*AH1089*AI1089*AK1089,0)</f>
        <v>39666</v>
      </c>
      <c r="AN1089" s="7">
        <f t="shared" si="1460"/>
        <v>39666</v>
      </c>
      <c r="AO1089" s="7">
        <f>0</f>
        <v>0</v>
      </c>
      <c r="AP1089" s="7">
        <f>MAX(0,1+INDEX(配置与结果!$J$15:$J$18,F1089)+IF(T1089&gt;0,方案参数!$BY$33,0)-配置与结果!$B$30)</f>
        <v>1</v>
      </c>
      <c r="AQ1089" s="7">
        <f t="shared" si="1461"/>
        <v>0</v>
      </c>
      <c r="AR1089" s="7">
        <f t="shared" si="1462"/>
        <v>0</v>
      </c>
      <c r="AS1089" s="7">
        <f t="shared" si="1463"/>
        <v>0</v>
      </c>
      <c r="AT1089" s="7">
        <f>0</f>
        <v>0</v>
      </c>
      <c r="AU1089" s="7">
        <f t="shared" si="1464"/>
        <v>39666</v>
      </c>
      <c r="AV1089" s="1">
        <f t="shared" si="1465"/>
        <v>1</v>
      </c>
      <c r="AW1089" s="1">
        <f>MIN(10,M1089+0+IF(L1089=1,方案参数!$BE$33,0))</f>
        <v>4</v>
      </c>
      <c r="AX1089" s="1">
        <f t="shared" si="1466"/>
        <v>0</v>
      </c>
      <c r="AY1089" s="1">
        <f t="shared" ref="AY1089:AY1104" si="1541">MIN(20,MAX(0,O1089+0+0-0))</f>
        <v>6</v>
      </c>
      <c r="AZ1089" s="1">
        <f t="shared" si="1467"/>
        <v>3</v>
      </c>
      <c r="BA1089" s="1">
        <f>MIN(6,Q1089+0)</f>
        <v>2</v>
      </c>
      <c r="BB1089" s="1">
        <f t="shared" si="1534"/>
        <v>5</v>
      </c>
      <c r="BC1089" s="1">
        <f t="shared" si="1515"/>
        <v>0</v>
      </c>
      <c r="BD1089" s="1">
        <f t="shared" si="1496"/>
        <v>0</v>
      </c>
      <c r="BE1089" s="1">
        <f t="shared" si="1535"/>
        <v>0</v>
      </c>
      <c r="BF1089" s="1">
        <f t="shared" si="1519"/>
        <v>0</v>
      </c>
      <c r="BG1089" s="1">
        <f t="shared" si="1539"/>
        <v>1</v>
      </c>
      <c r="BH1089" s="1">
        <f t="shared" si="1536"/>
        <v>1</v>
      </c>
      <c r="BI1089" s="1">
        <f t="shared" si="1540"/>
        <v>1</v>
      </c>
      <c r="BJ1089" s="1">
        <f t="shared" si="1510"/>
        <v>0</v>
      </c>
      <c r="BK1089" s="1">
        <f t="shared" si="1511"/>
        <v>0</v>
      </c>
      <c r="BL1089" s="1">
        <f t="shared" si="1516"/>
        <v>0</v>
      </c>
      <c r="BM1089" s="1">
        <f t="shared" si="1514"/>
        <v>0</v>
      </c>
      <c r="BN1089" s="1">
        <f t="shared" si="1537"/>
        <v>1</v>
      </c>
      <c r="BO1089" s="1">
        <f t="shared" si="1538"/>
        <v>1</v>
      </c>
    </row>
    <row r="1090" spans="1:67" ht="30.95" customHeight="1">
      <c r="A1090" s="1">
        <f>30</f>
        <v>30</v>
      </c>
      <c r="B1090" s="1">
        <f>固定流程!A10</f>
        <v>5</v>
      </c>
      <c r="C1090" s="1">
        <f>33</f>
        <v>33</v>
      </c>
      <c r="D1090" s="1">
        <f>1</f>
        <v>1</v>
      </c>
      <c r="E1090" s="1">
        <f>固定流程!C10</f>
        <v>1</v>
      </c>
      <c r="F1090" s="1">
        <f>固定流程!G10</f>
        <v>2</v>
      </c>
      <c r="G1090" s="1" t="str">
        <f>固定流程!H10</f>
        <v>37_TRIANGLE</v>
      </c>
      <c r="H1090" s="1">
        <f>固定流程!F10</f>
        <v>1</v>
      </c>
      <c r="I1090" s="1">
        <f>INDEX(配置与结果!$B$15:$B$18,F1090)</f>
        <v>2306</v>
      </c>
      <c r="J1090" s="1">
        <f>INDEX(配置与结果!$D$15:$D$18,F1090)</f>
        <v>0.46</v>
      </c>
      <c r="K1090" s="1">
        <f>INDEX(配置与结果!$E$15:$E$18,F1090)</f>
        <v>1.9279999999999999</v>
      </c>
      <c r="L1090" s="1">
        <f t="shared" si="1520"/>
        <v>1</v>
      </c>
      <c r="M1090" s="1">
        <f t="shared" si="1520"/>
        <v>4</v>
      </c>
      <c r="N1090" s="1">
        <f t="shared" si="1520"/>
        <v>0</v>
      </c>
      <c r="O1090" s="1">
        <f t="shared" si="1520"/>
        <v>6</v>
      </c>
      <c r="P1090" s="1">
        <f>MIN(方案参数!$AI$33,AZ1089+0+0)</f>
        <v>3</v>
      </c>
      <c r="Q1090" s="1">
        <f t="shared" si="1521"/>
        <v>2</v>
      </c>
      <c r="R1090" s="1">
        <f t="shared" si="1522"/>
        <v>5</v>
      </c>
      <c r="S1090" s="1">
        <f t="shared" si="1523"/>
        <v>0</v>
      </c>
      <c r="T1090" s="1">
        <f t="shared" si="1524"/>
        <v>0</v>
      </c>
      <c r="U1090" s="1">
        <f t="shared" si="1525"/>
        <v>0</v>
      </c>
      <c r="V1090" s="1">
        <f t="shared" si="1526"/>
        <v>0</v>
      </c>
      <c r="W1090" s="1">
        <f t="shared" si="1527"/>
        <v>1</v>
      </c>
      <c r="X1090" s="1">
        <f t="shared" si="1528"/>
        <v>1</v>
      </c>
      <c r="Y1090" s="1">
        <f t="shared" si="1529"/>
        <v>1</v>
      </c>
      <c r="Z1090" s="1">
        <f t="shared" si="1530"/>
        <v>0</v>
      </c>
      <c r="AA1090" s="1">
        <f t="shared" si="1531"/>
        <v>0</v>
      </c>
      <c r="AB1090" s="1">
        <f t="shared" si="1532"/>
        <v>0</v>
      </c>
      <c r="AC1090" s="1">
        <f t="shared" si="1533"/>
        <v>0</v>
      </c>
      <c r="AD1090" s="1">
        <f>ROUNDDOWN(I1090*(1+IF(F1090=3,0.05+方案参数!$Y$33+AA1090*0.12,IF(F1090=4,方案参数!$BZ$33*方案参数!$AS$33,0)))+IF(AND(X1090=1,F1090&lt;&gt;3),方案参数!$CC$33,0)+AC1090*方案参数!$CB$33,0)</f>
        <v>2544</v>
      </c>
      <c r="AE1090" s="1">
        <f>IF(OR(F1090=1,F1090=4),配置与结果!$B$24,配置与结果!$B$25)*MAX(0,1-INDEX(配置与结果!$I$15:$I$18,F1090))</f>
        <v>1000</v>
      </c>
      <c r="AF1090" s="1">
        <f>方案参数!$BS$33*IF(H1090=1,1,IF(H1090=2,1.5,2.5))</f>
        <v>2.8</v>
      </c>
      <c r="AG1090" s="1">
        <f>MAX(配置与结果!$B$32,1+INDEX(配置与结果!$F$15:$F$18,F1090)+0+Q1090*方案参数!$W$33+Y1090*(方案参数!$AN$33+MIN(方案参数!$AO$33,P1090*0.03))+AB1090*方案参数!$BZ$33*0.025-配置与结果!$B$28)</f>
        <v>0.8849999999999999</v>
      </c>
      <c r="AH1090" s="1">
        <f>MAX(0,1+INDEX(配置与结果!$G$15:$G$18,F1090)+W1090*方案参数!$AG$33)</f>
        <v>1.3</v>
      </c>
      <c r="AI1090" s="1">
        <f>IF(OR(INDEX(配置与结果!$K$15:$K$18,F1090)=1,G1090="RHI_BERRY"),1+配置与结果!$B$33+P1090*方案参数!$AH$33,1)</f>
        <v>1</v>
      </c>
      <c r="AJ1090" s="1">
        <f>MIN(1,MAX(0,J1090+方案参数!$AB$33-配置与结果!$B$27))</f>
        <v>0.76</v>
      </c>
      <c r="AK1090" s="1">
        <f>MAX(1,K1090+IF(F1090=2,0.15+方案参数!$CH$33,0)+BN1090*方案参数!$X$33+R1090*方案参数!$AA$33+0-配置与结果!$B$26+Z1090*(方案参数!$AP$33+MIN(方案参数!$AQ$33,P1090*0.03)))</f>
        <v>1.9780000000000002</v>
      </c>
      <c r="AL1090" s="7">
        <f>ROUNDDOWN(MAX(AD1090*配置与结果!$B$31,AD1090-AE1090)*AF1090*AG1090*AH1090*AI1090,0)</f>
        <v>4973</v>
      </c>
      <c r="AM1090" s="7">
        <f>ROUNDDOWN(MAX(AD1090*配置与结果!$B$31,AD1090-AE1090)*AF1090*AG1090*AH1090*AI1090*AK1090,0)</f>
        <v>9838</v>
      </c>
      <c r="AN1090" s="7">
        <f t="shared" si="1460"/>
        <v>8670.4</v>
      </c>
      <c r="AO1090" s="7">
        <f>方案参数!$BU$33*IF(H1090=1,1,IF(H1090=2,1.5,2.5))</f>
        <v>0.8</v>
      </c>
      <c r="AP1090" s="7">
        <f>MAX(0,1+INDEX(配置与结果!$J$15:$J$18,F1090)+IF(T1090&gt;0,方案参数!$BY$33,0)-配置与结果!$B$30)</f>
        <v>1</v>
      </c>
      <c r="AQ1090" s="7">
        <f t="shared" si="1461"/>
        <v>2035</v>
      </c>
      <c r="AR1090" s="7">
        <f t="shared" si="1462"/>
        <v>4025</v>
      </c>
      <c r="AS1090" s="7">
        <f t="shared" si="1463"/>
        <v>3547.4</v>
      </c>
      <c r="AT1090" s="7">
        <f>0</f>
        <v>0</v>
      </c>
      <c r="AU1090" s="7">
        <f t="shared" si="1464"/>
        <v>12217.8</v>
      </c>
      <c r="AV1090" s="1">
        <f t="shared" si="1465"/>
        <v>1</v>
      </c>
      <c r="AW1090" s="1">
        <f>MIN(10,M1090+0+0)</f>
        <v>4</v>
      </c>
      <c r="AX1090" s="1">
        <f t="shared" si="1466"/>
        <v>0</v>
      </c>
      <c r="AY1090" s="1">
        <f t="shared" si="1541"/>
        <v>6</v>
      </c>
      <c r="AZ1090" s="1">
        <f t="shared" si="1467"/>
        <v>3</v>
      </c>
      <c r="BA1090" s="1">
        <f>MIN(6,Q1090+0)</f>
        <v>2</v>
      </c>
      <c r="BB1090" s="1">
        <f t="shared" si="1534"/>
        <v>5</v>
      </c>
      <c r="BC1090" s="1">
        <f t="shared" si="1515"/>
        <v>0</v>
      </c>
      <c r="BD1090" s="1">
        <f>MAX(0,T1090-IF(AO1090&gt;0,1,0))+1</f>
        <v>1</v>
      </c>
      <c r="BE1090" s="1">
        <f t="shared" si="1535"/>
        <v>0</v>
      </c>
      <c r="BF1090" s="1">
        <f t="shared" si="1519"/>
        <v>0</v>
      </c>
      <c r="BG1090" s="1">
        <f t="shared" si="1539"/>
        <v>1</v>
      </c>
      <c r="BH1090" s="1">
        <f t="shared" si="1536"/>
        <v>1</v>
      </c>
      <c r="BI1090" s="1">
        <f t="shared" si="1540"/>
        <v>1</v>
      </c>
      <c r="BJ1090" s="1">
        <f t="shared" si="1510"/>
        <v>0</v>
      </c>
      <c r="BK1090" s="1">
        <f t="shared" si="1511"/>
        <v>0</v>
      </c>
      <c r="BL1090" s="1">
        <f t="shared" si="1516"/>
        <v>0</v>
      </c>
      <c r="BM1090" s="1">
        <f t="shared" si="1514"/>
        <v>0</v>
      </c>
      <c r="BN1090" s="1">
        <f t="shared" si="1537"/>
        <v>1</v>
      </c>
      <c r="BO1090" s="1">
        <f t="shared" si="1538"/>
        <v>1</v>
      </c>
    </row>
    <row r="1091" spans="1:67" ht="30.95" customHeight="1">
      <c r="A1091" s="1">
        <f>30</f>
        <v>30</v>
      </c>
      <c r="B1091" s="1">
        <f>固定流程!A11</f>
        <v>6</v>
      </c>
      <c r="C1091" s="1">
        <f>33</f>
        <v>33</v>
      </c>
      <c r="D1091" s="1">
        <f>1</f>
        <v>1</v>
      </c>
      <c r="E1091" s="1">
        <f>固定流程!C11</f>
        <v>1</v>
      </c>
      <c r="F1091" s="1">
        <f>固定流程!G11</f>
        <v>2</v>
      </c>
      <c r="G1091" s="1" t="str">
        <f>固定流程!H11</f>
        <v>37_FOLLOW</v>
      </c>
      <c r="H1091" s="1">
        <f>固定流程!F11</f>
        <v>1</v>
      </c>
      <c r="I1091" s="1">
        <f>INDEX(配置与结果!$B$15:$B$18,F1091)</f>
        <v>2306</v>
      </c>
      <c r="J1091" s="1">
        <f>INDEX(配置与结果!$D$15:$D$18,F1091)</f>
        <v>0.46</v>
      </c>
      <c r="K1091" s="1">
        <f>INDEX(配置与结果!$E$15:$E$18,F1091)</f>
        <v>1.9279999999999999</v>
      </c>
      <c r="L1091" s="1">
        <f t="shared" si="1520"/>
        <v>1</v>
      </c>
      <c r="M1091" s="1">
        <f t="shared" si="1520"/>
        <v>4</v>
      </c>
      <c r="N1091" s="1">
        <f t="shared" si="1520"/>
        <v>0</v>
      </c>
      <c r="O1091" s="1">
        <f t="shared" si="1520"/>
        <v>6</v>
      </c>
      <c r="P1091" s="1">
        <f>MIN(方案参数!$AI$33,AZ1090+0+0)</f>
        <v>3</v>
      </c>
      <c r="Q1091" s="1">
        <f t="shared" si="1521"/>
        <v>2</v>
      </c>
      <c r="R1091" s="1">
        <f t="shared" si="1522"/>
        <v>5</v>
      </c>
      <c r="S1091" s="1">
        <f t="shared" si="1523"/>
        <v>0</v>
      </c>
      <c r="T1091" s="1">
        <f t="shared" si="1524"/>
        <v>1</v>
      </c>
      <c r="U1091" s="1">
        <f t="shared" si="1525"/>
        <v>0</v>
      </c>
      <c r="V1091" s="1">
        <f t="shared" si="1526"/>
        <v>0</v>
      </c>
      <c r="W1091" s="1">
        <f t="shared" si="1527"/>
        <v>1</v>
      </c>
      <c r="X1091" s="1">
        <f t="shared" si="1528"/>
        <v>1</v>
      </c>
      <c r="Y1091" s="1">
        <f t="shared" si="1529"/>
        <v>1</v>
      </c>
      <c r="Z1091" s="1">
        <f t="shared" si="1530"/>
        <v>0</v>
      </c>
      <c r="AA1091" s="1">
        <f t="shared" si="1531"/>
        <v>0</v>
      </c>
      <c r="AB1091" s="1">
        <f t="shared" si="1532"/>
        <v>0</v>
      </c>
      <c r="AC1091" s="1">
        <f t="shared" si="1533"/>
        <v>0</v>
      </c>
      <c r="AD1091" s="1">
        <f>ROUNDDOWN(I1091*(1+IF(F1091=3,0.05+方案参数!$Y$33+AA1091*0.12,IF(F1091=4,方案参数!$BZ$33*方案参数!$AS$33,0)))+IF(AND(X1091=1,F1091&lt;&gt;3),方案参数!$CC$33,0)+AC1091*方案参数!$CB$33,0)</f>
        <v>2544</v>
      </c>
      <c r="AE1091" s="1">
        <f>IF(OR(F1091=1,F1091=4),配置与结果!$B$24,配置与结果!$B$25)*MAX(0,1-INDEX(配置与结果!$I$15:$I$18,F1091))</f>
        <v>1000</v>
      </c>
      <c r="AF1091" s="1">
        <f>方案参数!$BV$33</f>
        <v>3</v>
      </c>
      <c r="AG1091" s="1">
        <f>MAX(配置与结果!$B$32,1+INDEX(配置与结果!$F$15:$F$18,F1091)+0+Q1091*方案参数!$W$33+Y1091*(方案参数!$AN$33+MIN(方案参数!$AO$33,P1091*0.03))+AB1091*方案参数!$BZ$33*0.025-配置与结果!$B$28)</f>
        <v>0.8849999999999999</v>
      </c>
      <c r="AH1091" s="1">
        <f>MAX(0,1+INDEX(配置与结果!$G$15:$G$18,F1091)+W1091*方案参数!$AG$33)</f>
        <v>1.3</v>
      </c>
      <c r="AI1091" s="1">
        <f>IF(OR(INDEX(配置与结果!$K$15:$K$18,F1091)=1,G1091="RHI_BERRY"),1+配置与结果!$B$33+P1091*方案参数!$AH$33,1)</f>
        <v>1</v>
      </c>
      <c r="AJ1091" s="1">
        <f>MIN(1,MAX(0,J1091+方案参数!$AB$33-配置与结果!$B$27))</f>
        <v>0.76</v>
      </c>
      <c r="AK1091" s="1">
        <f>MAX(1,K1091+IF(F1091=2,0.15+方案参数!$CH$33,0)+BN1091*方案参数!$X$33+R1091*方案参数!$AA$33+0-配置与结果!$B$26+Z1091*(方案参数!$AP$33+MIN(方案参数!$AQ$33,P1091*0.03)))</f>
        <v>1.9780000000000002</v>
      </c>
      <c r="AL1091" s="7">
        <f>ROUNDDOWN(MAX(AD1091*配置与结果!$B$31,AD1091-AE1091)*AF1091*AG1091*AH1091*AI1091,0)</f>
        <v>5329</v>
      </c>
      <c r="AM1091" s="7">
        <f>ROUNDDOWN(MAX(AD1091*配置与结果!$B$31,AD1091-AE1091)*AF1091*AG1091*AH1091*AI1091*AK1091,0)</f>
        <v>10540</v>
      </c>
      <c r="AN1091" s="7">
        <f t="shared" si="1460"/>
        <v>9289.36</v>
      </c>
      <c r="AO1091" s="7">
        <f>方案参数!$BW$33</f>
        <v>1</v>
      </c>
      <c r="AP1091" s="7">
        <f>MAX(0,1+INDEX(配置与结果!$J$15:$J$18,F1091)+IF(T1091&gt;0,方案参数!$BY$33,0)-配置与结果!$B$30)</f>
        <v>2</v>
      </c>
      <c r="AQ1091" s="7">
        <f t="shared" si="1461"/>
        <v>5088</v>
      </c>
      <c r="AR1091" s="7">
        <f t="shared" si="1462"/>
        <v>10064</v>
      </c>
      <c r="AS1091" s="7">
        <f t="shared" si="1463"/>
        <v>8869.76</v>
      </c>
      <c r="AT1091" s="7">
        <f>0</f>
        <v>0</v>
      </c>
      <c r="AU1091" s="7">
        <f t="shared" si="1464"/>
        <v>18159.120000000003</v>
      </c>
      <c r="AV1091" s="1">
        <f t="shared" si="1465"/>
        <v>1</v>
      </c>
      <c r="AW1091" s="1">
        <f>MIN(10,M1091+0+0)</f>
        <v>4</v>
      </c>
      <c r="AX1091" s="1">
        <f t="shared" si="1466"/>
        <v>0</v>
      </c>
      <c r="AY1091" s="1">
        <f t="shared" si="1541"/>
        <v>6</v>
      </c>
      <c r="AZ1091" s="1">
        <f t="shared" si="1467"/>
        <v>3</v>
      </c>
      <c r="BA1091" s="1">
        <f>MIN(6,Q1091+0)</f>
        <v>2</v>
      </c>
      <c r="BB1091" s="1">
        <f t="shared" si="1534"/>
        <v>5</v>
      </c>
      <c r="BC1091" s="1">
        <f t="shared" si="1515"/>
        <v>0</v>
      </c>
      <c r="BD1091" s="1">
        <f t="shared" ref="BD1091:BD1125" si="1542">MAX(0,T1091-IF(AO1091&gt;0,1,0))+0</f>
        <v>0</v>
      </c>
      <c r="BE1091" s="1">
        <f t="shared" si="1535"/>
        <v>0</v>
      </c>
      <c r="BF1091" s="1">
        <f>MIN(4,V1091+1)</f>
        <v>1</v>
      </c>
      <c r="BG1091" s="1">
        <f t="shared" si="1539"/>
        <v>1</v>
      </c>
      <c r="BH1091" s="1">
        <f t="shared" si="1536"/>
        <v>1</v>
      </c>
      <c r="BI1091" s="1">
        <f t="shared" si="1540"/>
        <v>1</v>
      </c>
      <c r="BJ1091" s="1">
        <f t="shared" si="1510"/>
        <v>0</v>
      </c>
      <c r="BK1091" s="1">
        <f t="shared" si="1511"/>
        <v>0</v>
      </c>
      <c r="BL1091" s="1">
        <f t="shared" si="1516"/>
        <v>0</v>
      </c>
      <c r="BM1091" s="1">
        <f t="shared" si="1514"/>
        <v>0</v>
      </c>
      <c r="BN1091" s="1">
        <f t="shared" si="1537"/>
        <v>1</v>
      </c>
      <c r="BO1091" s="1">
        <f t="shared" si="1538"/>
        <v>1</v>
      </c>
    </row>
    <row r="1092" spans="1:67" ht="30.95" customHeight="1">
      <c r="A1092" s="1">
        <f>30</f>
        <v>30</v>
      </c>
      <c r="B1092" s="1">
        <f>固定流程!A12</f>
        <v>7</v>
      </c>
      <c r="C1092" s="1">
        <f>33</f>
        <v>33</v>
      </c>
      <c r="D1092" s="1">
        <f>1</f>
        <v>1</v>
      </c>
      <c r="E1092" s="1">
        <f>固定流程!C12</f>
        <v>1</v>
      </c>
      <c r="F1092" s="1">
        <f>固定流程!G12</f>
        <v>4</v>
      </c>
      <c r="G1092" s="1" t="str">
        <f>固定流程!H12</f>
        <v>J_HARD</v>
      </c>
      <c r="H1092" s="1">
        <f>固定流程!F12</f>
        <v>1</v>
      </c>
      <c r="I1092" s="1">
        <f>INDEX(配置与结果!$B$15:$B$18,F1092)</f>
        <v>1906</v>
      </c>
      <c r="J1092" s="1">
        <f>INDEX(配置与结果!$D$15:$D$18,F1092)</f>
        <v>0.36699999999999999</v>
      </c>
      <c r="K1092" s="1">
        <f>INDEX(配置与结果!$E$15:$E$18,F1092)</f>
        <v>1.7170000000000001</v>
      </c>
      <c r="L1092" s="1">
        <f t="shared" si="1520"/>
        <v>1</v>
      </c>
      <c r="M1092" s="1">
        <f t="shared" si="1520"/>
        <v>4</v>
      </c>
      <c r="N1092" s="1">
        <f t="shared" si="1520"/>
        <v>0</v>
      </c>
      <c r="O1092" s="1">
        <f t="shared" si="1520"/>
        <v>6</v>
      </c>
      <c r="P1092" s="1">
        <f>MIN(方案参数!$AI$33,AZ1091+0+0)</f>
        <v>3</v>
      </c>
      <c r="Q1092" s="1">
        <f t="shared" si="1521"/>
        <v>2</v>
      </c>
      <c r="R1092" s="1">
        <f t="shared" si="1522"/>
        <v>5</v>
      </c>
      <c r="S1092" s="1">
        <f t="shared" si="1523"/>
        <v>0</v>
      </c>
      <c r="T1092" s="1">
        <f t="shared" si="1524"/>
        <v>0</v>
      </c>
      <c r="U1092" s="1">
        <f t="shared" si="1525"/>
        <v>0</v>
      </c>
      <c r="V1092" s="1">
        <f t="shared" si="1526"/>
        <v>1</v>
      </c>
      <c r="W1092" s="1">
        <f t="shared" si="1527"/>
        <v>1</v>
      </c>
      <c r="X1092" s="1">
        <f t="shared" si="1528"/>
        <v>1</v>
      </c>
      <c r="Y1092" s="1">
        <f t="shared" si="1529"/>
        <v>1</v>
      </c>
      <c r="Z1092" s="1">
        <f t="shared" si="1530"/>
        <v>0</v>
      </c>
      <c r="AA1092" s="1">
        <f t="shared" si="1531"/>
        <v>0</v>
      </c>
      <c r="AB1092" s="1">
        <f t="shared" si="1532"/>
        <v>0</v>
      </c>
      <c r="AC1092" s="1">
        <f t="shared" si="1533"/>
        <v>0</v>
      </c>
      <c r="AD1092" s="1">
        <f>ROUNDDOWN(I1092*(1+IF(F1092=3,0.05+方案参数!$Y$33+AA1092*0.12,IF(F1092=4,方案参数!$BZ$33*方案参数!$AS$33,0)))+IF(AND(X1092=1,F1092&lt;&gt;3),方案参数!$CC$33,0)+AC1092*方案参数!$CB$33,0)</f>
        <v>2811</v>
      </c>
      <c r="AE1092" s="1">
        <f>IF(OR(F1092=1,F1092=4),配置与结果!$B$24,配置与结果!$B$25)*MAX(0,1-INDEX(配置与结果!$I$15:$I$18,F1092))</f>
        <v>1200</v>
      </c>
      <c r="AF1092" s="1">
        <f>3.6*IF(H1092=1,1,IF(H1092=2,1.5,2.5))</f>
        <v>3.6</v>
      </c>
      <c r="AG1092" s="1">
        <f>MAX(配置与结果!$B$32,1+INDEX(配置与结果!$F$15:$F$18,F1092)+0.08+Q1092*方案参数!$W$33+Y1092*(方案参数!$AN$33+MIN(方案参数!$AO$33,P1092*0.03))+AB1092*方案参数!$BZ$33*0.025+0.1+IF(方案参数!$BZ$33&gt;=30,方案参数!$BZ$33*0.01,0)-配置与结果!$B$28)</f>
        <v>1.4350000000000001</v>
      </c>
      <c r="AH1092" s="1">
        <f>MAX(0,1+INDEX(配置与结果!$G$15:$G$18,F1092)+W1092*方案参数!$AG$33)</f>
        <v>1.3</v>
      </c>
      <c r="AI1092" s="1">
        <f>IF(OR(INDEX(配置与结果!$K$15:$K$18,F1092)=1,G1092="RHI_BERRY"),1+配置与结果!$B$33+P1092*方案参数!$AH$33,1)</f>
        <v>1</v>
      </c>
      <c r="AJ1092" s="1">
        <f>MIN(1,MAX(0,J1092+方案参数!$AB$33-配置与结果!$B$27))</f>
        <v>0.66700000000000004</v>
      </c>
      <c r="AK1092" s="1">
        <f>MAX(1,K1092+IF(F1092=2,0.15+方案参数!$CH$33,0)+BN1092*方案参数!$X$33+R1092*方案参数!$AA$33+0-配置与结果!$B$26+Z1092*(方案参数!$AP$33+MIN(方案参数!$AQ$33,P1092*0.03)))</f>
        <v>1.4969999999999999</v>
      </c>
      <c r="AL1092" s="7">
        <f>ROUNDDOWN(MAX(AD1092*配置与结果!$B$31,AD1092-AE1092)*AF1092*AG1092*AH1092*AI1092,0)</f>
        <v>10819</v>
      </c>
      <c r="AM1092" s="7">
        <f>ROUNDDOWN(MAX(AD1092*配置与结果!$B$31,AD1092-AE1092)*AF1092*AG1092*AH1092*AI1092*AK1092,0)</f>
        <v>16196</v>
      </c>
      <c r="AN1092" s="7">
        <f t="shared" si="1460"/>
        <v>14405.458999999999</v>
      </c>
      <c r="AO1092" s="7">
        <f>0</f>
        <v>0</v>
      </c>
      <c r="AP1092" s="7">
        <f>MAX(0,1+INDEX(配置与结果!$J$15:$J$18,F1092)+IF(T1092&gt;0,方案参数!$BY$33,0)-配置与结果!$B$30)</f>
        <v>1</v>
      </c>
      <c r="AQ1092" s="7">
        <f t="shared" si="1461"/>
        <v>0</v>
      </c>
      <c r="AR1092" s="7">
        <f t="shared" si="1462"/>
        <v>0</v>
      </c>
      <c r="AS1092" s="7">
        <f t="shared" si="1463"/>
        <v>0</v>
      </c>
      <c r="AT1092" s="7">
        <f>0</f>
        <v>0</v>
      </c>
      <c r="AU1092" s="7">
        <f t="shared" si="1464"/>
        <v>14405.458999999999</v>
      </c>
      <c r="AV1092" s="1">
        <f t="shared" si="1465"/>
        <v>1</v>
      </c>
      <c r="AW1092" s="1">
        <f>MIN(10,M1092+0+0)</f>
        <v>4</v>
      </c>
      <c r="AX1092" s="1">
        <f t="shared" si="1466"/>
        <v>0</v>
      </c>
      <c r="AY1092" s="1">
        <f t="shared" si="1541"/>
        <v>6</v>
      </c>
      <c r="AZ1092" s="1">
        <f t="shared" si="1467"/>
        <v>3</v>
      </c>
      <c r="BA1092" s="1">
        <f>MIN(6,Q1092+0)</f>
        <v>2</v>
      </c>
      <c r="BB1092" s="1">
        <f t="shared" si="1534"/>
        <v>5</v>
      </c>
      <c r="BC1092" s="1">
        <f>MIN(3,S1092+1)</f>
        <v>1</v>
      </c>
      <c r="BD1092" s="1">
        <f t="shared" si="1542"/>
        <v>0</v>
      </c>
      <c r="BE1092" s="1">
        <f t="shared" si="1535"/>
        <v>0</v>
      </c>
      <c r="BF1092" s="1">
        <f>MIN(4,V1092+0)</f>
        <v>1</v>
      </c>
      <c r="BG1092" s="1">
        <f t="shared" si="1539"/>
        <v>1</v>
      </c>
      <c r="BH1092" s="1">
        <f t="shared" si="1536"/>
        <v>1</v>
      </c>
      <c r="BI1092" s="1">
        <f t="shared" si="1540"/>
        <v>1</v>
      </c>
      <c r="BJ1092" s="1">
        <f t="shared" si="1510"/>
        <v>0</v>
      </c>
      <c r="BK1092" s="1">
        <f t="shared" si="1511"/>
        <v>0</v>
      </c>
      <c r="BL1092" s="1">
        <f t="shared" si="1516"/>
        <v>0</v>
      </c>
      <c r="BM1092" s="1">
        <f t="shared" si="1514"/>
        <v>0</v>
      </c>
      <c r="BN1092" s="1">
        <f t="shared" si="1537"/>
        <v>1</v>
      </c>
      <c r="BO1092" s="1">
        <f t="shared" si="1538"/>
        <v>1</v>
      </c>
    </row>
    <row r="1093" spans="1:67" ht="30.95" customHeight="1">
      <c r="A1093" s="1">
        <f>30</f>
        <v>30</v>
      </c>
      <c r="B1093" s="1">
        <f>固定流程!A13</f>
        <v>8</v>
      </c>
      <c r="C1093" s="1">
        <f>33</f>
        <v>33</v>
      </c>
      <c r="D1093" s="1">
        <f>1</f>
        <v>1</v>
      </c>
      <c r="E1093" s="1">
        <f>固定流程!C13</f>
        <v>2</v>
      </c>
      <c r="F1093" s="1">
        <f>固定流程!G13</f>
        <v>3</v>
      </c>
      <c r="G1093" s="1" t="str">
        <f>固定流程!H13</f>
        <v>RHI_ATTACK</v>
      </c>
      <c r="H1093" s="1">
        <f>固定流程!F13</f>
        <v>1</v>
      </c>
      <c r="I1093" s="1">
        <f>INDEX(配置与结果!$B$15:$B$18,F1093)</f>
        <v>2597</v>
      </c>
      <c r="J1093" s="1">
        <f>INDEX(配置与结果!$D$15:$D$18,F1093)</f>
        <v>0.255</v>
      </c>
      <c r="K1093" s="1">
        <f>INDEX(配置与结果!$E$15:$E$18,F1093)</f>
        <v>1.55</v>
      </c>
      <c r="L1093" s="1">
        <f>IF(AV1092=1,IF(M1093&gt;=10,2,1),IF(AV1092=2,IF(AX1092&lt;=1,0,2),0))</f>
        <v>1</v>
      </c>
      <c r="M1093" s="1">
        <f>IF(AND(AV1092=2,AX1092&lt;=1),0,MIN(10,AW1092+IF(AV1092=1,3,0)))</f>
        <v>7</v>
      </c>
      <c r="N1093" s="1">
        <f>IF(AND(AV1092=1,M1093&gt;=10),2,IF(AV1092=2,MAX(0,AX1092-1),0))</f>
        <v>0</v>
      </c>
      <c r="O1093" s="1">
        <f t="shared" ref="O1093:O1121" si="1543">AY1092</f>
        <v>6</v>
      </c>
      <c r="P1093" s="1">
        <f>MIN(方案参数!$AI$33,AZ1092+方案参数!$AJ$33+方案参数!$AK$33)</f>
        <v>5</v>
      </c>
      <c r="Q1093" s="1">
        <f t="shared" si="1521"/>
        <v>2</v>
      </c>
      <c r="R1093" s="1">
        <f t="shared" si="1522"/>
        <v>5</v>
      </c>
      <c r="S1093" s="1">
        <f t="shared" si="1523"/>
        <v>1</v>
      </c>
      <c r="T1093" s="1">
        <f t="shared" si="1524"/>
        <v>0</v>
      </c>
      <c r="U1093" s="1">
        <f t="shared" si="1525"/>
        <v>0</v>
      </c>
      <c r="V1093" s="1">
        <f t="shared" si="1526"/>
        <v>1</v>
      </c>
      <c r="W1093" s="1">
        <f t="shared" si="1527"/>
        <v>1</v>
      </c>
      <c r="X1093" s="1">
        <f t="shared" si="1528"/>
        <v>1</v>
      </c>
      <c r="Y1093" s="1">
        <f t="shared" si="1529"/>
        <v>1</v>
      </c>
      <c r="Z1093" s="1">
        <f t="shared" si="1530"/>
        <v>0</v>
      </c>
      <c r="AA1093" s="1">
        <f>MAX(BK1092,1)</f>
        <v>1</v>
      </c>
      <c r="AB1093" s="1">
        <f t="shared" si="1532"/>
        <v>0</v>
      </c>
      <c r="AC1093" s="1">
        <f t="shared" si="1533"/>
        <v>0</v>
      </c>
      <c r="AD1093" s="1">
        <f>ROUNDDOWN(I1093*(1+IF(F1093=3,0.05+方案参数!$Y$33+AA1093*0.12,IF(F1093=4,方案参数!$BZ$33*方案参数!$AS$33,0)))+IF(AND(X1093=1,F1093&lt;&gt;3),方案参数!$CC$33,0)+AC1093*方案参数!$CB$33,0)</f>
        <v>3298</v>
      </c>
      <c r="AE1093" s="1">
        <f>IF(OR(F1093=1,F1093=4),配置与结果!$B$24,配置与结果!$B$25)*MAX(0,1-INDEX(配置与结果!$I$15:$I$18,F1093))</f>
        <v>1000</v>
      </c>
      <c r="AF1093" s="1">
        <f>4</f>
        <v>4</v>
      </c>
      <c r="AG1093" s="1">
        <f>MAX(配置与结果!$B$32,1+INDEX(配置与结果!$F$15:$F$18,F1093)+0+Q1093*方案参数!$W$33+Y1093*(方案参数!$AN$33+MIN(方案参数!$AO$33,P1093*0.03))+AB1093*方案参数!$BZ$33*0.025-配置与结果!$B$28)</f>
        <v>0.97499999999999998</v>
      </c>
      <c r="AH1093" s="1">
        <f>MAX(0,1+INDEX(配置与结果!$G$15:$G$18,F1093)+W1093*方案参数!$AG$33)</f>
        <v>1.3</v>
      </c>
      <c r="AI1093" s="1">
        <f>IF(OR(INDEX(配置与结果!$K$15:$K$18,F1093)=1,G1093="RHI_BERRY"),1+配置与结果!$B$33+P1093*方案参数!$AH$33,1)</f>
        <v>1</v>
      </c>
      <c r="AJ1093" s="1">
        <f>MIN(1,MAX(0,J1093+方案参数!$AB$33-配置与结果!$B$27))</f>
        <v>0.55499999999999994</v>
      </c>
      <c r="AK1093" s="1">
        <f>MAX(1,K1093+IF(F1093=2,0.15+方案参数!$CH$33,0)+BN1093*方案参数!$X$33+R1093*方案参数!$AA$33+0-配置与结果!$B$26+Z1093*(方案参数!$AP$33+MIN(方案参数!$AQ$33,P1093*0.03)))</f>
        <v>1.33</v>
      </c>
      <c r="AL1093" s="7">
        <f>ROUNDDOWN(MAX(AD1093*配置与结果!$B$31,AD1093-AE1093)*AF1093*AG1093*AH1093*AI1093,0)</f>
        <v>11650</v>
      </c>
      <c r="AM1093" s="7">
        <f>ROUNDDOWN(MAX(AD1093*配置与结果!$B$31,AD1093-AE1093)*AF1093*AG1093*AH1093*AI1093*AK1093,0)</f>
        <v>15495</v>
      </c>
      <c r="AN1093" s="7">
        <f t="shared" si="1460"/>
        <v>13783.974999999999</v>
      </c>
      <c r="AO1093" s="7">
        <f>0</f>
        <v>0</v>
      </c>
      <c r="AP1093" s="7">
        <f>MAX(0,1+INDEX(配置与结果!$J$15:$J$18,F1093)+IF(T1093&gt;0,方案参数!$BY$33,0)-配置与结果!$B$30)</f>
        <v>1</v>
      </c>
      <c r="AQ1093" s="7">
        <f t="shared" si="1461"/>
        <v>0</v>
      </c>
      <c r="AR1093" s="7">
        <f t="shared" si="1462"/>
        <v>0</v>
      </c>
      <c r="AS1093" s="7">
        <f t="shared" si="1463"/>
        <v>0</v>
      </c>
      <c r="AT1093" s="7">
        <f>0</f>
        <v>0</v>
      </c>
      <c r="AU1093" s="7">
        <f t="shared" si="1464"/>
        <v>13783.974999999999</v>
      </c>
      <c r="AV1093" s="1">
        <f t="shared" si="1465"/>
        <v>1</v>
      </c>
      <c r="AW1093" s="1">
        <f>MIN(10,M1093+0+0)</f>
        <v>7</v>
      </c>
      <c r="AX1093" s="1">
        <f t="shared" si="1466"/>
        <v>0</v>
      </c>
      <c r="AY1093" s="1">
        <f t="shared" si="1541"/>
        <v>6</v>
      </c>
      <c r="AZ1093" s="1">
        <f t="shared" si="1467"/>
        <v>5</v>
      </c>
      <c r="BA1093" s="1">
        <f>MIN(6,Q1093+1)</f>
        <v>3</v>
      </c>
      <c r="BB1093" s="1">
        <f t="shared" si="1534"/>
        <v>5</v>
      </c>
      <c r="BC1093" s="1">
        <f>MIN(3,S1093+0)</f>
        <v>1</v>
      </c>
      <c r="BD1093" s="1">
        <f t="shared" si="1542"/>
        <v>0</v>
      </c>
      <c r="BE1093" s="1">
        <f t="shared" si="1535"/>
        <v>0</v>
      </c>
      <c r="BF1093" s="1">
        <f>MIN(4,V1093+0)</f>
        <v>1</v>
      </c>
      <c r="BG1093" s="1">
        <f t="shared" si="1539"/>
        <v>1</v>
      </c>
      <c r="BH1093" s="1">
        <f t="shared" si="1536"/>
        <v>1</v>
      </c>
      <c r="BI1093" s="1">
        <f t="shared" si="1540"/>
        <v>1</v>
      </c>
      <c r="BJ1093" s="1">
        <f>MAX(Z1093,1)</f>
        <v>1</v>
      </c>
      <c r="BK1093" s="1">
        <f>MAX(AA1093,1)</f>
        <v>1</v>
      </c>
      <c r="BL1093" s="1">
        <f t="shared" si="1516"/>
        <v>0</v>
      </c>
      <c r="BM1093" s="1">
        <f t="shared" si="1514"/>
        <v>0</v>
      </c>
      <c r="BN1093" s="1">
        <f t="shared" si="1537"/>
        <v>1</v>
      </c>
      <c r="BO1093" s="1">
        <f t="shared" si="1538"/>
        <v>1</v>
      </c>
    </row>
    <row r="1094" spans="1:67" ht="30.95" customHeight="1">
      <c r="A1094" s="1">
        <f>30</f>
        <v>30</v>
      </c>
      <c r="B1094" s="1">
        <f>固定流程!A14</f>
        <v>9</v>
      </c>
      <c r="C1094" s="1">
        <f>33</f>
        <v>33</v>
      </c>
      <c r="D1094" s="1">
        <f>1</f>
        <v>1</v>
      </c>
      <c r="E1094" s="1">
        <f>固定流程!C14</f>
        <v>2</v>
      </c>
      <c r="F1094" s="1">
        <f>固定流程!G14</f>
        <v>1</v>
      </c>
      <c r="G1094" s="1" t="str">
        <f>固定流程!H14</f>
        <v>LILYA_DIVE</v>
      </c>
      <c r="H1094" s="1">
        <f>固定流程!F14</f>
        <v>3</v>
      </c>
      <c r="I1094" s="1">
        <f>INDEX(配置与结果!$B$15:$B$18,F1094)</f>
        <v>2296</v>
      </c>
      <c r="J1094" s="1">
        <f>INDEX(配置与结果!$D$15:$D$18,F1094)</f>
        <v>0.7</v>
      </c>
      <c r="K1094" s="1">
        <f>INDEX(配置与结果!$E$15:$E$18,F1094)</f>
        <v>2.0249999999999999</v>
      </c>
      <c r="L1094" s="1">
        <f t="shared" ref="L1094:N1098" si="1544">AV1093</f>
        <v>1</v>
      </c>
      <c r="M1094" s="1">
        <f t="shared" si="1544"/>
        <v>7</v>
      </c>
      <c r="N1094" s="1">
        <f t="shared" si="1544"/>
        <v>0</v>
      </c>
      <c r="O1094" s="1">
        <f t="shared" si="1543"/>
        <v>6</v>
      </c>
      <c r="P1094" s="1">
        <f>MIN(方案参数!$AI$33,AZ1093+0+0)</f>
        <v>5</v>
      </c>
      <c r="Q1094" s="1">
        <f t="shared" si="1521"/>
        <v>3</v>
      </c>
      <c r="R1094" s="1">
        <f t="shared" si="1522"/>
        <v>5</v>
      </c>
      <c r="S1094" s="1">
        <f t="shared" si="1523"/>
        <v>1</v>
      </c>
      <c r="T1094" s="1">
        <f t="shared" si="1524"/>
        <v>0</v>
      </c>
      <c r="U1094" s="1">
        <f t="shared" si="1525"/>
        <v>0</v>
      </c>
      <c r="V1094" s="1">
        <f t="shared" si="1526"/>
        <v>1</v>
      </c>
      <c r="W1094" s="1">
        <f t="shared" si="1527"/>
        <v>1</v>
      </c>
      <c r="X1094" s="1">
        <f t="shared" si="1528"/>
        <v>1</v>
      </c>
      <c r="Y1094" s="1">
        <f t="shared" si="1529"/>
        <v>1</v>
      </c>
      <c r="Z1094" s="1">
        <f t="shared" si="1530"/>
        <v>1</v>
      </c>
      <c r="AA1094" s="1">
        <f t="shared" ref="AA1094:AA1099" si="1545">MAX(BK1093,0)</f>
        <v>1</v>
      </c>
      <c r="AB1094" s="1">
        <f t="shared" si="1532"/>
        <v>0</v>
      </c>
      <c r="AC1094" s="1">
        <f t="shared" si="1533"/>
        <v>0</v>
      </c>
      <c r="AD1094" s="1">
        <f>ROUNDDOWN(I1094*(1+IF(F1094=3,0.05+方案参数!$Y$33+AA1094*0.12,IF(F1094=4,方案参数!$BZ$33*方案参数!$AS$33,0)))+IF(AND(X1094=1,F1094&lt;&gt;3),方案参数!$CC$33,0)+AC1094*方案参数!$CB$33,0)</f>
        <v>2534</v>
      </c>
      <c r="AE1094" s="1">
        <f>IF(OR(F1094=1,F1094=4),配置与结果!$B$24,配置与结果!$B$25)*MAX(0,1-INDEX(配置与结果!$I$15:$I$18,F1094))</f>
        <v>1200</v>
      </c>
      <c r="AF1094" s="1">
        <f>(IF(L1094=1,方案参数!$AW$33,IF(L1094=2,方案参数!$AX$33,0))+方案参数!$AV$33)*H1094</f>
        <v>18</v>
      </c>
      <c r="AG1094" s="1">
        <f>MAX(配置与结果!$B$32,1+INDEX(配置与结果!$F$15:$F$18,F1094)+0.08+方案参数!$CD$33+Q1094*方案参数!$W$33+Y1094*(方案参数!$AN$33+MIN(方案参数!$AO$33,P1094*0.03))+AB1094*方案参数!$BZ$33*0.025+IF(L1094=1,方案参数!$AY$33+(H1094-1)*0.1,IF(L1094=2,方案参数!$AZ$33+(H1094-1)*0.2,0))-配置与结果!$B$28)</f>
        <v>1.6</v>
      </c>
      <c r="AH1094" s="1">
        <f>MAX(0,1+INDEX(配置与结果!$G$15:$G$18,F1094)+W1094*方案参数!$AG$33+IF(L1094=1,方案参数!$BA$33,IF(L1094=2,方案参数!$BB$33,0))+M1094*方案参数!$BC$33)</f>
        <v>2.3199999999999998</v>
      </c>
      <c r="AI1094" s="1">
        <f>IF(OR(INDEX(配置与结果!$K$15:$K$18,F1094)=1,G1094="RHI_BERRY"),1+配置与结果!$B$33+P1094*方案参数!$AH$33,1)</f>
        <v>1</v>
      </c>
      <c r="AJ1094" s="1">
        <f>MIN(1,MAX(0,J1094+方案参数!$AB$33-配置与结果!$B$27))</f>
        <v>1</v>
      </c>
      <c r="AK1094" s="1">
        <f>MAX(1,K1094+IF(F1094=2,0.15+方案参数!$CH$33,0)+BN1094*方案参数!$X$33+R1094*方案参数!$AA$33+0-配置与结果!$B$26+Z1094*(方案参数!$AP$33+MIN(方案参数!$AQ$33,P1094*0.03)))</f>
        <v>2.105</v>
      </c>
      <c r="AL1094" s="7">
        <f>ROUNDDOWN(MAX(AD1094*配置与结果!$B$31,AD1094-AE1094)*AF1094*AG1094*AH1094*AI1094,0)</f>
        <v>89132</v>
      </c>
      <c r="AM1094" s="7">
        <f>ROUNDDOWN(MAX(AD1094*配置与结果!$B$31,AD1094-AE1094)*AF1094*AG1094*AH1094*AI1094*AK1094,0)</f>
        <v>187624</v>
      </c>
      <c r="AN1094" s="7">
        <f t="shared" ref="AN1094:AN1157" si="1546">AL1094*(1-AJ1094)+AM1094*AJ1094</f>
        <v>187624</v>
      </c>
      <c r="AO1094" s="7">
        <f>0</f>
        <v>0</v>
      </c>
      <c r="AP1094" s="7">
        <f>MAX(0,1+INDEX(配置与结果!$J$15:$J$18,F1094)+IF(T1094&gt;0,方案参数!$BY$33,0)-配置与结果!$B$30)</f>
        <v>1</v>
      </c>
      <c r="AQ1094" s="7">
        <f t="shared" ref="AQ1094:AQ1157" si="1547">ROUNDDOWN(ROUNDDOWN(AD1094*AO1094,0)*AP1094,0)</f>
        <v>0</v>
      </c>
      <c r="AR1094" s="7">
        <f t="shared" ref="AR1094:AR1157" si="1548">ROUNDDOWN(ROUNDDOWN(AD1094*AO1094,0)*AP1094*AK1094,0)</f>
        <v>0</v>
      </c>
      <c r="AS1094" s="7">
        <f t="shared" ref="AS1094:AS1157" si="1549">AQ1094*(1-AJ1094)+AR1094*AJ1094</f>
        <v>0</v>
      </c>
      <c r="AT1094" s="7">
        <f>0</f>
        <v>0</v>
      </c>
      <c r="AU1094" s="7">
        <f t="shared" ref="AU1094:AU1157" si="1550">AN1094+AS1094+AT1094</f>
        <v>187624</v>
      </c>
      <c r="AV1094" s="1">
        <f t="shared" ref="AV1094:AV1157" si="1551">IF(G1094="LILYA_COBRA",IF(L1094=0,1,L1094),L1094)</f>
        <v>1</v>
      </c>
      <c r="AW1094" s="1">
        <f>MIN(10,M1094+0+IF(L1094=1,方案参数!$BE$33,0))</f>
        <v>8</v>
      </c>
      <c r="AX1094" s="1">
        <f t="shared" ref="AX1094:AX1157" si="1552">N1094</f>
        <v>0</v>
      </c>
      <c r="AY1094" s="1">
        <f t="shared" si="1541"/>
        <v>6</v>
      </c>
      <c r="AZ1094" s="1">
        <f t="shared" ref="AZ1094:AZ1157" si="1553">P1094</f>
        <v>5</v>
      </c>
      <c r="BA1094" s="1">
        <f>MIN(6,Q1094+0)</f>
        <v>3</v>
      </c>
      <c r="BB1094" s="1">
        <f t="shared" si="1534"/>
        <v>5</v>
      </c>
      <c r="BC1094" s="1">
        <f>MIN(3,S1094+0)</f>
        <v>1</v>
      </c>
      <c r="BD1094" s="1">
        <f t="shared" si="1542"/>
        <v>0</v>
      </c>
      <c r="BE1094" s="1">
        <f t="shared" si="1535"/>
        <v>0</v>
      </c>
      <c r="BF1094" s="1">
        <f>MIN(4,V1094+0)</f>
        <v>1</v>
      </c>
      <c r="BG1094" s="1">
        <f t="shared" si="1539"/>
        <v>1</v>
      </c>
      <c r="BH1094" s="1">
        <f t="shared" si="1536"/>
        <v>1</v>
      </c>
      <c r="BI1094" s="1">
        <f t="shared" si="1540"/>
        <v>1</v>
      </c>
      <c r="BJ1094" s="1">
        <f t="shared" ref="BJ1094:BK1099" si="1554">MAX(Z1094,0)</f>
        <v>1</v>
      </c>
      <c r="BK1094" s="1">
        <f t="shared" si="1554"/>
        <v>1</v>
      </c>
      <c r="BL1094" s="1">
        <f t="shared" si="1516"/>
        <v>0</v>
      </c>
      <c r="BM1094" s="1">
        <f t="shared" si="1514"/>
        <v>0</v>
      </c>
      <c r="BN1094" s="1">
        <f t="shared" si="1537"/>
        <v>1</v>
      </c>
      <c r="BO1094" s="1">
        <f t="shared" si="1538"/>
        <v>1</v>
      </c>
    </row>
    <row r="1095" spans="1:67" ht="30.95" customHeight="1">
      <c r="A1095" s="1">
        <f>30</f>
        <v>30</v>
      </c>
      <c r="B1095" s="1">
        <f>固定流程!A15</f>
        <v>10</v>
      </c>
      <c r="C1095" s="1">
        <f>33</f>
        <v>33</v>
      </c>
      <c r="D1095" s="1">
        <f>1</f>
        <v>1</v>
      </c>
      <c r="E1095" s="1">
        <f>固定流程!C15</f>
        <v>2</v>
      </c>
      <c r="F1095" s="1">
        <f>固定流程!G15</f>
        <v>4</v>
      </c>
      <c r="G1095" s="1" t="str">
        <f>固定流程!H15</f>
        <v>J_HARD</v>
      </c>
      <c r="H1095" s="1">
        <f>固定流程!F15</f>
        <v>1</v>
      </c>
      <c r="I1095" s="1">
        <f>INDEX(配置与结果!$B$15:$B$18,F1095)</f>
        <v>1906</v>
      </c>
      <c r="J1095" s="1">
        <f>INDEX(配置与结果!$D$15:$D$18,F1095)</f>
        <v>0.36699999999999999</v>
      </c>
      <c r="K1095" s="1">
        <f>INDEX(配置与结果!$E$15:$E$18,F1095)</f>
        <v>1.7170000000000001</v>
      </c>
      <c r="L1095" s="1">
        <f t="shared" si="1544"/>
        <v>1</v>
      </c>
      <c r="M1095" s="1">
        <f t="shared" si="1544"/>
        <v>8</v>
      </c>
      <c r="N1095" s="1">
        <f t="shared" si="1544"/>
        <v>0</v>
      </c>
      <c r="O1095" s="1">
        <f t="shared" si="1543"/>
        <v>6</v>
      </c>
      <c r="P1095" s="1">
        <f>MIN(方案参数!$AI$33,AZ1094+0+0)</f>
        <v>5</v>
      </c>
      <c r="Q1095" s="1">
        <f t="shared" si="1521"/>
        <v>3</v>
      </c>
      <c r="R1095" s="1">
        <f t="shared" si="1522"/>
        <v>5</v>
      </c>
      <c r="S1095" s="1">
        <f t="shared" si="1523"/>
        <v>1</v>
      </c>
      <c r="T1095" s="1">
        <f t="shared" si="1524"/>
        <v>0</v>
      </c>
      <c r="U1095" s="1">
        <f t="shared" si="1525"/>
        <v>0</v>
      </c>
      <c r="V1095" s="1">
        <f t="shared" si="1526"/>
        <v>1</v>
      </c>
      <c r="W1095" s="1">
        <f t="shared" si="1527"/>
        <v>1</v>
      </c>
      <c r="X1095" s="1">
        <f t="shared" si="1528"/>
        <v>1</v>
      </c>
      <c r="Y1095" s="1">
        <f t="shared" si="1529"/>
        <v>1</v>
      </c>
      <c r="Z1095" s="1">
        <f t="shared" si="1530"/>
        <v>1</v>
      </c>
      <c r="AA1095" s="1">
        <f t="shared" si="1545"/>
        <v>1</v>
      </c>
      <c r="AB1095" s="1">
        <f t="shared" si="1532"/>
        <v>0</v>
      </c>
      <c r="AC1095" s="1">
        <f t="shared" si="1533"/>
        <v>0</v>
      </c>
      <c r="AD1095" s="1">
        <f>ROUNDDOWN(I1095*(1+IF(F1095=3,0.05+方案参数!$Y$33+AA1095*0.12,IF(F1095=4,方案参数!$BZ$33*方案参数!$AS$33,0)))+IF(AND(X1095=1,F1095&lt;&gt;3),方案参数!$CC$33,0)+AC1095*方案参数!$CB$33,0)</f>
        <v>2811</v>
      </c>
      <c r="AE1095" s="1">
        <f>IF(OR(F1095=1,F1095=4),配置与结果!$B$24,配置与结果!$B$25)*MAX(0,1-INDEX(配置与结果!$I$15:$I$18,F1095))</f>
        <v>1200</v>
      </c>
      <c r="AF1095" s="1">
        <f>3.6*IF(H1095=1,1,IF(H1095=2,1.5,2.5))</f>
        <v>3.6</v>
      </c>
      <c r="AG1095" s="1">
        <f>MAX(配置与结果!$B$32,1+INDEX(配置与结果!$F$15:$F$18,F1095)+0.08+Q1095*方案参数!$W$33+Y1095*(方案参数!$AN$33+MIN(方案参数!$AO$33,P1095*0.03))+AB1095*方案参数!$BZ$33*0.025+0.1+IF(方案参数!$BZ$33&gt;=30,方案参数!$BZ$33*0.01,0)-配置与结果!$B$28)</f>
        <v>1.5150000000000001</v>
      </c>
      <c r="AH1095" s="1">
        <f>MAX(0,1+INDEX(配置与结果!$G$15:$G$18,F1095)+W1095*方案参数!$AG$33)</f>
        <v>1.3</v>
      </c>
      <c r="AI1095" s="1">
        <f>IF(OR(INDEX(配置与结果!$K$15:$K$18,F1095)=1,G1095="RHI_BERRY"),1+配置与结果!$B$33+P1095*方案参数!$AH$33,1)</f>
        <v>1</v>
      </c>
      <c r="AJ1095" s="1">
        <f>MIN(1,MAX(0,J1095+方案参数!$AB$33-配置与结果!$B$27))</f>
        <v>0.66700000000000004</v>
      </c>
      <c r="AK1095" s="1">
        <f>MAX(1,K1095+IF(F1095=2,0.15+方案参数!$CH$33,0)+BN1095*方案参数!$X$33+R1095*方案参数!$AA$33+0-配置与结果!$B$26+Z1095*(方案参数!$AP$33+MIN(方案参数!$AQ$33,P1095*0.03)))</f>
        <v>1.7969999999999999</v>
      </c>
      <c r="AL1095" s="7">
        <f>ROUNDDOWN(MAX(AD1095*配置与结果!$B$31,AD1095-AE1095)*AF1095*AG1095*AH1095*AI1095,0)</f>
        <v>11422</v>
      </c>
      <c r="AM1095" s="7">
        <f>ROUNDDOWN(MAX(AD1095*配置与结果!$B$31,AD1095-AE1095)*AF1095*AG1095*AH1095*AI1095*AK1095,0)</f>
        <v>20525</v>
      </c>
      <c r="AN1095" s="7">
        <f t="shared" si="1546"/>
        <v>17493.701000000001</v>
      </c>
      <c r="AO1095" s="7">
        <f>0</f>
        <v>0</v>
      </c>
      <c r="AP1095" s="7">
        <f>MAX(0,1+INDEX(配置与结果!$J$15:$J$18,F1095)+IF(T1095&gt;0,方案参数!$BY$33,0)-配置与结果!$B$30)</f>
        <v>1</v>
      </c>
      <c r="AQ1095" s="7">
        <f t="shared" si="1547"/>
        <v>0</v>
      </c>
      <c r="AR1095" s="7">
        <f t="shared" si="1548"/>
        <v>0</v>
      </c>
      <c r="AS1095" s="7">
        <f t="shared" si="1549"/>
        <v>0</v>
      </c>
      <c r="AT1095" s="7">
        <f>0</f>
        <v>0</v>
      </c>
      <c r="AU1095" s="7">
        <f t="shared" si="1550"/>
        <v>17493.701000000001</v>
      </c>
      <c r="AV1095" s="1">
        <f t="shared" si="1551"/>
        <v>1</v>
      </c>
      <c r="AW1095" s="1">
        <f t="shared" ref="AW1095:AW1105" si="1555">MIN(10,M1095+0+0)</f>
        <v>8</v>
      </c>
      <c r="AX1095" s="1">
        <f t="shared" si="1552"/>
        <v>0</v>
      </c>
      <c r="AY1095" s="1">
        <f t="shared" si="1541"/>
        <v>6</v>
      </c>
      <c r="AZ1095" s="1">
        <f t="shared" si="1553"/>
        <v>5</v>
      </c>
      <c r="BA1095" s="1">
        <f>MIN(6,Q1095+0)</f>
        <v>3</v>
      </c>
      <c r="BB1095" s="1">
        <f t="shared" si="1534"/>
        <v>5</v>
      </c>
      <c r="BC1095" s="1">
        <f>MIN(3,S1095+1)</f>
        <v>2</v>
      </c>
      <c r="BD1095" s="1">
        <f t="shared" si="1542"/>
        <v>0</v>
      </c>
      <c r="BE1095" s="1">
        <f t="shared" si="1535"/>
        <v>0</v>
      </c>
      <c r="BF1095" s="1">
        <f>MIN(4,V1095+0)</f>
        <v>1</v>
      </c>
      <c r="BG1095" s="1">
        <f t="shared" si="1539"/>
        <v>1</v>
      </c>
      <c r="BH1095" s="1">
        <f t="shared" si="1536"/>
        <v>1</v>
      </c>
      <c r="BI1095" s="1">
        <f t="shared" si="1540"/>
        <v>1</v>
      </c>
      <c r="BJ1095" s="1">
        <f t="shared" si="1554"/>
        <v>1</v>
      </c>
      <c r="BK1095" s="1">
        <f t="shared" si="1554"/>
        <v>1</v>
      </c>
      <c r="BL1095" s="1">
        <f t="shared" si="1516"/>
        <v>0</v>
      </c>
      <c r="BM1095" s="1">
        <f t="shared" si="1514"/>
        <v>0</v>
      </c>
      <c r="BN1095" s="1">
        <f t="shared" si="1537"/>
        <v>1</v>
      </c>
      <c r="BO1095" s="1">
        <f t="shared" si="1538"/>
        <v>1</v>
      </c>
    </row>
    <row r="1096" spans="1:67" ht="30.95" customHeight="1">
      <c r="A1096" s="1">
        <f>30</f>
        <v>30</v>
      </c>
      <c r="B1096" s="1">
        <f>固定流程!A16</f>
        <v>11</v>
      </c>
      <c r="C1096" s="1">
        <f>33</f>
        <v>33</v>
      </c>
      <c r="D1096" s="1">
        <f>1</f>
        <v>1</v>
      </c>
      <c r="E1096" s="1">
        <f>固定流程!C16</f>
        <v>2</v>
      </c>
      <c r="F1096" s="1">
        <f>固定流程!G16</f>
        <v>2</v>
      </c>
      <c r="G1096" s="1" t="str">
        <f>固定流程!H16</f>
        <v>37_CURVE</v>
      </c>
      <c r="H1096" s="1">
        <f>固定流程!F16</f>
        <v>1</v>
      </c>
      <c r="I1096" s="1">
        <f>INDEX(配置与结果!$B$15:$B$18,F1096)</f>
        <v>2306</v>
      </c>
      <c r="J1096" s="1">
        <f>INDEX(配置与结果!$D$15:$D$18,F1096)</f>
        <v>0.46</v>
      </c>
      <c r="K1096" s="1">
        <f>INDEX(配置与结果!$E$15:$E$18,F1096)</f>
        <v>1.9279999999999999</v>
      </c>
      <c r="L1096" s="1">
        <f t="shared" si="1544"/>
        <v>1</v>
      </c>
      <c r="M1096" s="1">
        <f t="shared" si="1544"/>
        <v>8</v>
      </c>
      <c r="N1096" s="1">
        <f t="shared" si="1544"/>
        <v>0</v>
      </c>
      <c r="O1096" s="1">
        <f t="shared" si="1543"/>
        <v>6</v>
      </c>
      <c r="P1096" s="1">
        <f>MIN(方案参数!$AI$33,AZ1095+0+0)</f>
        <v>5</v>
      </c>
      <c r="Q1096" s="1">
        <f t="shared" si="1521"/>
        <v>3</v>
      </c>
      <c r="R1096" s="1">
        <f t="shared" si="1522"/>
        <v>5</v>
      </c>
      <c r="S1096" s="1">
        <f t="shared" si="1523"/>
        <v>2</v>
      </c>
      <c r="T1096" s="1">
        <f t="shared" si="1524"/>
        <v>0</v>
      </c>
      <c r="U1096" s="1">
        <f t="shared" si="1525"/>
        <v>0</v>
      </c>
      <c r="V1096" s="1">
        <f t="shared" si="1526"/>
        <v>1</v>
      </c>
      <c r="W1096" s="1">
        <f t="shared" si="1527"/>
        <v>1</v>
      </c>
      <c r="X1096" s="1">
        <f t="shared" si="1528"/>
        <v>1</v>
      </c>
      <c r="Y1096" s="1">
        <f t="shared" si="1529"/>
        <v>1</v>
      </c>
      <c r="Z1096" s="1">
        <f t="shared" si="1530"/>
        <v>1</v>
      </c>
      <c r="AA1096" s="1">
        <f t="shared" si="1545"/>
        <v>1</v>
      </c>
      <c r="AB1096" s="1">
        <f t="shared" si="1532"/>
        <v>0</v>
      </c>
      <c r="AC1096" s="1">
        <f t="shared" si="1533"/>
        <v>0</v>
      </c>
      <c r="AD1096" s="1">
        <f>ROUNDDOWN(I1096*(1+IF(F1096=3,0.05+方案参数!$Y$33+AA1096*0.12,IF(F1096=4,方案参数!$BZ$33*方案参数!$AS$33,0)))+IF(AND(X1096=1,F1096&lt;&gt;3),方案参数!$CC$33,0)+AC1096*方案参数!$CB$33,0)</f>
        <v>2544</v>
      </c>
      <c r="AE1096" s="1">
        <f>IF(OR(F1096=1,F1096=4),配置与结果!$B$24,配置与结果!$B$25)*MAX(0,1-INDEX(配置与结果!$I$15:$I$18,F1096))</f>
        <v>1000</v>
      </c>
      <c r="AF1096" s="1">
        <f>方案参数!$BT$33*IF(H1096=1,1,IF(H1096=2,1.5,2.5))</f>
        <v>1.4</v>
      </c>
      <c r="AG1096" s="1">
        <f>MAX(配置与结果!$B$32,1+INDEX(配置与结果!$F$15:$F$18,F1096)+0+Q1096*方案参数!$W$33+Y1096*(方案参数!$AN$33+MIN(方案参数!$AO$33,P1096*0.03))+AB1096*方案参数!$BZ$33*0.025-配置与结果!$B$28)</f>
        <v>0.96499999999999997</v>
      </c>
      <c r="AH1096" s="1">
        <f>MAX(0,1+INDEX(配置与结果!$G$15:$G$18,F1096)+W1096*方案参数!$AG$33)</f>
        <v>1.3</v>
      </c>
      <c r="AI1096" s="1">
        <f>IF(OR(INDEX(配置与结果!$K$15:$K$18,F1096)=1,G1096="RHI_BERRY"),1+配置与结果!$B$33+P1096*方案参数!$AH$33,1)</f>
        <v>1</v>
      </c>
      <c r="AJ1096" s="1">
        <f>MIN(1,MAX(0,J1096+方案参数!$AB$33-配置与结果!$B$27))</f>
        <v>0.76</v>
      </c>
      <c r="AK1096" s="1">
        <f>MAX(1,K1096+IF(F1096=2,0.15+方案参数!$CH$33,0)+BN1096*方案参数!$X$33+R1096*方案参数!$AA$33+0-配置与结果!$B$26+Z1096*(方案参数!$AP$33+MIN(方案参数!$AQ$33,P1096*0.03)))</f>
        <v>2.278</v>
      </c>
      <c r="AL1096" s="7">
        <f>ROUNDDOWN(MAX(AD1096*配置与结果!$B$31,AD1096-AE1096)*AF1096*AG1096*AH1096*AI1096,0)</f>
        <v>2711</v>
      </c>
      <c r="AM1096" s="7">
        <f>ROUNDDOWN(MAX(AD1096*配置与结果!$B$31,AD1096-AE1096)*AF1096*AG1096*AH1096*AI1096*AK1096,0)</f>
        <v>6177</v>
      </c>
      <c r="AN1096" s="7">
        <f t="shared" si="1546"/>
        <v>5345.1600000000008</v>
      </c>
      <c r="AO1096" s="7">
        <f>方案参数!$BU$33*IF(H1096=1,1,IF(H1096=2,1.5,2.5))</f>
        <v>0.8</v>
      </c>
      <c r="AP1096" s="7">
        <f>MAX(0,1+INDEX(配置与结果!$J$15:$J$18,F1096)+IF(T1096&gt;0,方案参数!$BY$33,0)-配置与结果!$B$30)</f>
        <v>1</v>
      </c>
      <c r="AQ1096" s="7">
        <f t="shared" si="1547"/>
        <v>2035</v>
      </c>
      <c r="AR1096" s="7">
        <f t="shared" si="1548"/>
        <v>4635</v>
      </c>
      <c r="AS1096" s="7">
        <f t="shared" si="1549"/>
        <v>4011</v>
      </c>
      <c r="AT1096" s="7">
        <f>0</f>
        <v>0</v>
      </c>
      <c r="AU1096" s="7">
        <f t="shared" si="1550"/>
        <v>9356.16</v>
      </c>
      <c r="AV1096" s="1">
        <f t="shared" si="1551"/>
        <v>1</v>
      </c>
      <c r="AW1096" s="1">
        <f t="shared" si="1555"/>
        <v>8</v>
      </c>
      <c r="AX1096" s="1">
        <f t="shared" si="1552"/>
        <v>0</v>
      </c>
      <c r="AY1096" s="1">
        <f t="shared" si="1541"/>
        <v>6</v>
      </c>
      <c r="AZ1096" s="1">
        <f t="shared" si="1553"/>
        <v>5</v>
      </c>
      <c r="BA1096" s="1">
        <f>MIN(6,Q1096+0)</f>
        <v>3</v>
      </c>
      <c r="BB1096" s="1">
        <f t="shared" si="1534"/>
        <v>5</v>
      </c>
      <c r="BC1096" s="1">
        <f t="shared" ref="BC1096:BC1102" si="1556">MIN(3,S1096+0)</f>
        <v>2</v>
      </c>
      <c r="BD1096" s="1">
        <f t="shared" si="1542"/>
        <v>0</v>
      </c>
      <c r="BE1096" s="1">
        <f t="shared" si="1535"/>
        <v>0</v>
      </c>
      <c r="BF1096" s="1">
        <f>MIN(4,V1096+0)</f>
        <v>1</v>
      </c>
      <c r="BG1096" s="1">
        <f t="shared" si="1539"/>
        <v>1</v>
      </c>
      <c r="BH1096" s="1">
        <f t="shared" si="1536"/>
        <v>1</v>
      </c>
      <c r="BI1096" s="1">
        <f t="shared" si="1540"/>
        <v>1</v>
      </c>
      <c r="BJ1096" s="1">
        <f t="shared" si="1554"/>
        <v>1</v>
      </c>
      <c r="BK1096" s="1">
        <f t="shared" si="1554"/>
        <v>1</v>
      </c>
      <c r="BL1096" s="1">
        <f t="shared" si="1516"/>
        <v>0</v>
      </c>
      <c r="BM1096" s="1">
        <f t="shared" si="1514"/>
        <v>0</v>
      </c>
      <c r="BN1096" s="1">
        <f t="shared" si="1537"/>
        <v>1</v>
      </c>
      <c r="BO1096" s="1">
        <f t="shared" si="1538"/>
        <v>1</v>
      </c>
    </row>
    <row r="1097" spans="1:67" ht="30.95" customHeight="1">
      <c r="A1097" s="1">
        <f>30</f>
        <v>30</v>
      </c>
      <c r="B1097" s="1">
        <f>固定流程!A17</f>
        <v>12</v>
      </c>
      <c r="C1097" s="1">
        <f>33</f>
        <v>33</v>
      </c>
      <c r="D1097" s="1">
        <f>1</f>
        <v>1</v>
      </c>
      <c r="E1097" s="1">
        <f>固定流程!C17</f>
        <v>2</v>
      </c>
      <c r="F1097" s="1">
        <f>固定流程!G17</f>
        <v>2</v>
      </c>
      <c r="G1097" s="1" t="str">
        <f>固定流程!H17</f>
        <v>37_FOLLOW</v>
      </c>
      <c r="H1097" s="1">
        <f>固定流程!F17</f>
        <v>1</v>
      </c>
      <c r="I1097" s="1">
        <f>INDEX(配置与结果!$B$15:$B$18,F1097)</f>
        <v>2306</v>
      </c>
      <c r="J1097" s="1">
        <f>INDEX(配置与结果!$D$15:$D$18,F1097)</f>
        <v>0.46</v>
      </c>
      <c r="K1097" s="1">
        <f>INDEX(配置与结果!$E$15:$E$18,F1097)</f>
        <v>1.9279999999999999</v>
      </c>
      <c r="L1097" s="1">
        <f t="shared" si="1544"/>
        <v>1</v>
      </c>
      <c r="M1097" s="1">
        <f t="shared" si="1544"/>
        <v>8</v>
      </c>
      <c r="N1097" s="1">
        <f t="shared" si="1544"/>
        <v>0</v>
      </c>
      <c r="O1097" s="1">
        <f t="shared" si="1543"/>
        <v>6</v>
      </c>
      <c r="P1097" s="1">
        <f>MIN(方案参数!$AI$33,AZ1096+0+0)</f>
        <v>5</v>
      </c>
      <c r="Q1097" s="1">
        <f t="shared" si="1521"/>
        <v>3</v>
      </c>
      <c r="R1097" s="1">
        <f t="shared" si="1522"/>
        <v>5</v>
      </c>
      <c r="S1097" s="1">
        <f t="shared" si="1523"/>
        <v>2</v>
      </c>
      <c r="T1097" s="1">
        <f t="shared" si="1524"/>
        <v>0</v>
      </c>
      <c r="U1097" s="1">
        <f t="shared" si="1525"/>
        <v>0</v>
      </c>
      <c r="V1097" s="1">
        <f t="shared" si="1526"/>
        <v>1</v>
      </c>
      <c r="W1097" s="1">
        <f t="shared" si="1527"/>
        <v>1</v>
      </c>
      <c r="X1097" s="1">
        <f t="shared" si="1528"/>
        <v>1</v>
      </c>
      <c r="Y1097" s="1">
        <f t="shared" si="1529"/>
        <v>1</v>
      </c>
      <c r="Z1097" s="1">
        <f t="shared" si="1530"/>
        <v>1</v>
      </c>
      <c r="AA1097" s="1">
        <f t="shared" si="1545"/>
        <v>1</v>
      </c>
      <c r="AB1097" s="1">
        <f t="shared" si="1532"/>
        <v>0</v>
      </c>
      <c r="AC1097" s="1">
        <f t="shared" si="1533"/>
        <v>0</v>
      </c>
      <c r="AD1097" s="1">
        <f>ROUNDDOWN(I1097*(1+IF(F1097=3,0.05+方案参数!$Y$33+AA1097*0.12,IF(F1097=4,方案参数!$BZ$33*方案参数!$AS$33,0)))+IF(AND(X1097=1,F1097&lt;&gt;3),方案参数!$CC$33,0)+AC1097*方案参数!$CB$33,0)</f>
        <v>2544</v>
      </c>
      <c r="AE1097" s="1">
        <f>IF(OR(F1097=1,F1097=4),配置与结果!$B$24,配置与结果!$B$25)*MAX(0,1-INDEX(配置与结果!$I$15:$I$18,F1097))</f>
        <v>1000</v>
      </c>
      <c r="AF1097" s="1">
        <f>方案参数!$BV$33</f>
        <v>3</v>
      </c>
      <c r="AG1097" s="1">
        <f>MAX(配置与结果!$B$32,1+INDEX(配置与结果!$F$15:$F$18,F1097)+0+Q1097*方案参数!$W$33+Y1097*(方案参数!$AN$33+MIN(方案参数!$AO$33,P1097*0.03))+AB1097*方案参数!$BZ$33*0.025-配置与结果!$B$28)</f>
        <v>0.96499999999999997</v>
      </c>
      <c r="AH1097" s="1">
        <f>MAX(0,1+INDEX(配置与结果!$G$15:$G$18,F1097)+W1097*方案参数!$AG$33)</f>
        <v>1.3</v>
      </c>
      <c r="AI1097" s="1">
        <f>IF(OR(INDEX(配置与结果!$K$15:$K$18,F1097)=1,G1097="RHI_BERRY"),1+配置与结果!$B$33+P1097*方案参数!$AH$33,1)</f>
        <v>1</v>
      </c>
      <c r="AJ1097" s="1">
        <f>MIN(1,MAX(0,J1097+方案参数!$AB$33-配置与结果!$B$27))</f>
        <v>0.76</v>
      </c>
      <c r="AK1097" s="1">
        <f>MAX(1,K1097+IF(F1097=2,0.15+方案参数!$CH$33,0)+BN1097*方案参数!$X$33+R1097*方案参数!$AA$33+0-配置与结果!$B$26+Z1097*(方案参数!$AP$33+MIN(方案参数!$AQ$33,P1097*0.03)))</f>
        <v>2.278</v>
      </c>
      <c r="AL1097" s="7">
        <f>ROUNDDOWN(MAX(AD1097*配置与结果!$B$31,AD1097-AE1097)*AF1097*AG1097*AH1097*AI1097,0)</f>
        <v>5810</v>
      </c>
      <c r="AM1097" s="7">
        <f>ROUNDDOWN(MAX(AD1097*配置与结果!$B$31,AD1097-AE1097)*AF1097*AG1097*AH1097*AI1097*AK1097,0)</f>
        <v>13237</v>
      </c>
      <c r="AN1097" s="7">
        <f t="shared" si="1546"/>
        <v>11454.52</v>
      </c>
      <c r="AO1097" s="7">
        <f>方案参数!$BW$33</f>
        <v>1</v>
      </c>
      <c r="AP1097" s="7">
        <f>MAX(0,1+INDEX(配置与结果!$J$15:$J$18,F1097)+IF(T1097&gt;0,方案参数!$BY$33,0)-配置与结果!$B$30)</f>
        <v>1</v>
      </c>
      <c r="AQ1097" s="7">
        <f t="shared" si="1547"/>
        <v>2544</v>
      </c>
      <c r="AR1097" s="7">
        <f t="shared" si="1548"/>
        <v>5795</v>
      </c>
      <c r="AS1097" s="7">
        <f t="shared" si="1549"/>
        <v>5014.76</v>
      </c>
      <c r="AT1097" s="7">
        <f>0</f>
        <v>0</v>
      </c>
      <c r="AU1097" s="7">
        <f t="shared" si="1550"/>
        <v>16469.28</v>
      </c>
      <c r="AV1097" s="1">
        <f t="shared" si="1551"/>
        <v>1</v>
      </c>
      <c r="AW1097" s="1">
        <f t="shared" si="1555"/>
        <v>8</v>
      </c>
      <c r="AX1097" s="1">
        <f t="shared" si="1552"/>
        <v>0</v>
      </c>
      <c r="AY1097" s="1">
        <f t="shared" si="1541"/>
        <v>6</v>
      </c>
      <c r="AZ1097" s="1">
        <f t="shared" si="1553"/>
        <v>5</v>
      </c>
      <c r="BA1097" s="1">
        <f>MIN(6,Q1097+0)</f>
        <v>3</v>
      </c>
      <c r="BB1097" s="1">
        <f t="shared" si="1534"/>
        <v>5</v>
      </c>
      <c r="BC1097" s="1">
        <f t="shared" si="1556"/>
        <v>2</v>
      </c>
      <c r="BD1097" s="1">
        <f t="shared" si="1542"/>
        <v>0</v>
      </c>
      <c r="BE1097" s="1">
        <f t="shared" si="1535"/>
        <v>0</v>
      </c>
      <c r="BF1097" s="1">
        <f>MIN(4,V1097+1)</f>
        <v>2</v>
      </c>
      <c r="BG1097" s="1">
        <f t="shared" si="1539"/>
        <v>1</v>
      </c>
      <c r="BH1097" s="1">
        <f t="shared" si="1536"/>
        <v>1</v>
      </c>
      <c r="BI1097" s="1">
        <f t="shared" si="1540"/>
        <v>1</v>
      </c>
      <c r="BJ1097" s="1">
        <f t="shared" si="1554"/>
        <v>1</v>
      </c>
      <c r="BK1097" s="1">
        <f t="shared" si="1554"/>
        <v>1</v>
      </c>
      <c r="BL1097" s="1">
        <f t="shared" si="1516"/>
        <v>0</v>
      </c>
      <c r="BM1097" s="1">
        <f t="shared" si="1514"/>
        <v>0</v>
      </c>
      <c r="BN1097" s="1">
        <f t="shared" si="1537"/>
        <v>1</v>
      </c>
      <c r="BO1097" s="1">
        <f t="shared" si="1538"/>
        <v>1</v>
      </c>
    </row>
    <row r="1098" spans="1:67" ht="30.95" customHeight="1">
      <c r="A1098" s="1">
        <f>30</f>
        <v>30</v>
      </c>
      <c r="B1098" s="1">
        <f>固定流程!A18</f>
        <v>13</v>
      </c>
      <c r="C1098" s="1">
        <f>33</f>
        <v>33</v>
      </c>
      <c r="D1098" s="1">
        <f>1</f>
        <v>1</v>
      </c>
      <c r="E1098" s="1">
        <f>固定流程!C18</f>
        <v>2</v>
      </c>
      <c r="F1098" s="1">
        <f>固定流程!G18</f>
        <v>3</v>
      </c>
      <c r="G1098" s="1" t="str">
        <f>固定流程!H18</f>
        <v>RHI_BERRY</v>
      </c>
      <c r="H1098" s="1">
        <f>固定流程!F18</f>
        <v>1</v>
      </c>
      <c r="I1098" s="1">
        <f>INDEX(配置与结果!$B$15:$B$18,F1098)</f>
        <v>2597</v>
      </c>
      <c r="J1098" s="1">
        <f>INDEX(配置与结果!$D$15:$D$18,F1098)</f>
        <v>0.255</v>
      </c>
      <c r="K1098" s="1">
        <f>INDEX(配置与结果!$E$15:$E$18,F1098)</f>
        <v>1.55</v>
      </c>
      <c r="L1098" s="1">
        <f t="shared" si="1544"/>
        <v>1</v>
      </c>
      <c r="M1098" s="1">
        <f t="shared" si="1544"/>
        <v>8</v>
      </c>
      <c r="N1098" s="1">
        <f t="shared" si="1544"/>
        <v>0</v>
      </c>
      <c r="O1098" s="1">
        <f t="shared" si="1543"/>
        <v>6</v>
      </c>
      <c r="P1098" s="1">
        <f>MIN(方案参数!$AI$33,AZ1097+0+0)</f>
        <v>5</v>
      </c>
      <c r="Q1098" s="1">
        <f t="shared" si="1521"/>
        <v>3</v>
      </c>
      <c r="R1098" s="1">
        <f t="shared" si="1522"/>
        <v>5</v>
      </c>
      <c r="S1098" s="1">
        <f t="shared" si="1523"/>
        <v>2</v>
      </c>
      <c r="T1098" s="1">
        <f t="shared" si="1524"/>
        <v>0</v>
      </c>
      <c r="U1098" s="1">
        <f t="shared" si="1525"/>
        <v>0</v>
      </c>
      <c r="V1098" s="1">
        <f t="shared" si="1526"/>
        <v>2</v>
      </c>
      <c r="W1098" s="1">
        <f t="shared" si="1527"/>
        <v>1</v>
      </c>
      <c r="X1098" s="1">
        <f t="shared" si="1528"/>
        <v>1</v>
      </c>
      <c r="Y1098" s="1">
        <f t="shared" si="1529"/>
        <v>1</v>
      </c>
      <c r="Z1098" s="1">
        <f t="shared" si="1530"/>
        <v>1</v>
      </c>
      <c r="AA1098" s="1">
        <f t="shared" si="1545"/>
        <v>1</v>
      </c>
      <c r="AB1098" s="1">
        <f t="shared" si="1532"/>
        <v>0</v>
      </c>
      <c r="AC1098" s="1">
        <f t="shared" si="1533"/>
        <v>0</v>
      </c>
      <c r="AD1098" s="1">
        <f>ROUNDDOWN(I1098*(1+IF(F1098=3,0.05+方案参数!$Y$33+AA1098*0.12,IF(F1098=4,方案参数!$BZ$33*方案参数!$AS$33,0)))+IF(AND(X1098=1,F1098&lt;&gt;3),方案参数!$CC$33,0)+AC1098*方案参数!$CB$33,0)</f>
        <v>3298</v>
      </c>
      <c r="AE1098" s="1">
        <f>IF(OR(F1098=1,F1098=4),配置与结果!$B$24,配置与结果!$B$25)*MAX(0,1-INDEX(配置与结果!$I$15:$I$18,F1098))</f>
        <v>1000</v>
      </c>
      <c r="AF1098" s="1">
        <f>方案参数!$CF$33+P1098*方案参数!$CG$33</f>
        <v>22.5</v>
      </c>
      <c r="AG1098" s="1">
        <f>MAX(配置与结果!$B$32,1+INDEX(配置与结果!$F$15:$F$18,F1098)+0+Q1098*方案参数!$W$33+Y1098*(方案参数!$AN$33+MIN(方案参数!$AO$33,P1098*0.03))+AB1098*方案参数!$BZ$33*0.025-配置与结果!$B$28)</f>
        <v>0.995</v>
      </c>
      <c r="AH1098" s="1">
        <f>MAX(0,1+INDEX(配置与结果!$G$15:$G$18,F1098)+W1098*方案参数!$AG$33)</f>
        <v>1.3</v>
      </c>
      <c r="AI1098" s="1">
        <f>IF(OR(INDEX(配置与结果!$K$15:$K$18,F1098)=1,G1098="RHI_BERRY"),1+配置与结果!$B$33+P1098*方案参数!$AH$33,1)</f>
        <v>1.5</v>
      </c>
      <c r="AJ1098" s="1">
        <f>MIN(1,MAX(0,J1098+方案参数!$AB$33-配置与结果!$B$27))</f>
        <v>0.55499999999999994</v>
      </c>
      <c r="AK1098" s="1">
        <f>MAX(1,K1098+IF(F1098=2,0.15+方案参数!$CH$33,0)+BN1098*方案参数!$X$33+R1098*方案参数!$AA$33+0-配置与结果!$B$26+Z1098*(方案参数!$AP$33+MIN(方案参数!$AQ$33,P1098*0.03)))</f>
        <v>1.6300000000000001</v>
      </c>
      <c r="AL1098" s="7">
        <f>ROUNDDOWN(MAX(AD1098*配置与结果!$B$31,AD1098-AE1098)*AF1098*AG1098*AH1098*AI1098,0)</f>
        <v>100320</v>
      </c>
      <c r="AM1098" s="7">
        <f>ROUNDDOWN(MAX(AD1098*配置与结果!$B$31,AD1098-AE1098)*AF1098*AG1098*AH1098*AI1098*AK1098,0)</f>
        <v>163522</v>
      </c>
      <c r="AN1098" s="7">
        <f t="shared" si="1546"/>
        <v>135397.10999999999</v>
      </c>
      <c r="AO1098" s="7">
        <f>0</f>
        <v>0</v>
      </c>
      <c r="AP1098" s="7">
        <f>MAX(0,1+INDEX(配置与结果!$J$15:$J$18,F1098)+IF(T1098&gt;0,方案参数!$BY$33,0)-配置与结果!$B$30)</f>
        <v>1</v>
      </c>
      <c r="AQ1098" s="7">
        <f t="shared" si="1547"/>
        <v>0</v>
      </c>
      <c r="AR1098" s="7">
        <f t="shared" si="1548"/>
        <v>0</v>
      </c>
      <c r="AS1098" s="7">
        <f t="shared" si="1549"/>
        <v>0</v>
      </c>
      <c r="AT1098" s="7">
        <f>0</f>
        <v>0</v>
      </c>
      <c r="AU1098" s="7">
        <f t="shared" si="1550"/>
        <v>135397.10999999999</v>
      </c>
      <c r="AV1098" s="1">
        <f t="shared" si="1551"/>
        <v>1</v>
      </c>
      <c r="AW1098" s="1">
        <f t="shared" si="1555"/>
        <v>8</v>
      </c>
      <c r="AX1098" s="1">
        <f t="shared" si="1552"/>
        <v>0</v>
      </c>
      <c r="AY1098" s="1">
        <f t="shared" si="1541"/>
        <v>6</v>
      </c>
      <c r="AZ1098" s="1">
        <f t="shared" si="1553"/>
        <v>5</v>
      </c>
      <c r="BA1098" s="1">
        <f>MIN(6,Q1098+0)</f>
        <v>3</v>
      </c>
      <c r="BB1098" s="1">
        <f t="shared" si="1534"/>
        <v>5</v>
      </c>
      <c r="BC1098" s="1">
        <f t="shared" si="1556"/>
        <v>2</v>
      </c>
      <c r="BD1098" s="1">
        <f t="shared" si="1542"/>
        <v>0</v>
      </c>
      <c r="BE1098" s="1">
        <f t="shared" si="1535"/>
        <v>0</v>
      </c>
      <c r="BF1098" s="1">
        <f>MIN(4,V1098+0)</f>
        <v>2</v>
      </c>
      <c r="BG1098" s="1">
        <f t="shared" si="1539"/>
        <v>1</v>
      </c>
      <c r="BH1098" s="1">
        <f t="shared" si="1536"/>
        <v>1</v>
      </c>
      <c r="BI1098" s="1">
        <f t="shared" si="1540"/>
        <v>1</v>
      </c>
      <c r="BJ1098" s="1">
        <f t="shared" si="1554"/>
        <v>1</v>
      </c>
      <c r="BK1098" s="1">
        <f t="shared" si="1554"/>
        <v>1</v>
      </c>
      <c r="BL1098" s="1">
        <f t="shared" si="1516"/>
        <v>0</v>
      </c>
      <c r="BM1098" s="1">
        <f t="shared" si="1514"/>
        <v>0</v>
      </c>
      <c r="BN1098" s="1">
        <f t="shared" si="1537"/>
        <v>1</v>
      </c>
      <c r="BO1098" s="1">
        <f t="shared" si="1538"/>
        <v>1</v>
      </c>
    </row>
    <row r="1099" spans="1:67" ht="30.95" customHeight="1">
      <c r="A1099" s="1">
        <f>30</f>
        <v>30</v>
      </c>
      <c r="B1099" s="1">
        <f>固定流程!A19</f>
        <v>14</v>
      </c>
      <c r="C1099" s="1">
        <f>33</f>
        <v>33</v>
      </c>
      <c r="D1099" s="1">
        <f>1</f>
        <v>1</v>
      </c>
      <c r="E1099" s="1">
        <f>固定流程!C19</f>
        <v>3</v>
      </c>
      <c r="F1099" s="1">
        <f>固定流程!G19</f>
        <v>3</v>
      </c>
      <c r="G1099" s="1" t="str">
        <f>固定流程!H19</f>
        <v>RHI_BUFF</v>
      </c>
      <c r="H1099" s="1">
        <f>固定流程!F19</f>
        <v>1</v>
      </c>
      <c r="I1099" s="1">
        <f>INDEX(配置与结果!$B$15:$B$18,F1099)</f>
        <v>2597</v>
      </c>
      <c r="J1099" s="1">
        <f>INDEX(配置与结果!$D$15:$D$18,F1099)</f>
        <v>0.255</v>
      </c>
      <c r="K1099" s="1">
        <f>INDEX(配置与结果!$E$15:$E$18,F1099)</f>
        <v>1.55</v>
      </c>
      <c r="L1099" s="1">
        <f>IF(AV1098=1,IF(M1099&gt;=10,2,1),IF(AV1098=2,IF(AX1098&lt;=1,0,2),0))</f>
        <v>2</v>
      </c>
      <c r="M1099" s="1">
        <f>IF(AND(AV1098=2,AX1098&lt;=1),0,MIN(10,AW1098+IF(AV1098=1,3,0)))</f>
        <v>10</v>
      </c>
      <c r="N1099" s="1">
        <f>IF(AND(AV1098=1,M1099&gt;=10),2,IF(AV1098=2,MAX(0,AX1098-1),0))</f>
        <v>2</v>
      </c>
      <c r="O1099" s="1">
        <f t="shared" si="1543"/>
        <v>6</v>
      </c>
      <c r="P1099" s="1">
        <f>MIN(方案参数!$AI$33,AZ1098+方案参数!$AJ$33+方案参数!$AK$33)</f>
        <v>5</v>
      </c>
      <c r="Q1099" s="1">
        <f t="shared" si="1521"/>
        <v>3</v>
      </c>
      <c r="R1099" s="1">
        <f t="shared" si="1522"/>
        <v>5</v>
      </c>
      <c r="S1099" s="1">
        <f t="shared" si="1523"/>
        <v>2</v>
      </c>
      <c r="T1099" s="1">
        <f t="shared" si="1524"/>
        <v>0</v>
      </c>
      <c r="U1099" s="1">
        <f t="shared" si="1525"/>
        <v>0</v>
      </c>
      <c r="V1099" s="1">
        <f t="shared" si="1526"/>
        <v>2</v>
      </c>
      <c r="W1099" s="1">
        <f t="shared" si="1527"/>
        <v>1</v>
      </c>
      <c r="X1099" s="1">
        <f t="shared" si="1528"/>
        <v>1</v>
      </c>
      <c r="Y1099" s="1">
        <f t="shared" si="1529"/>
        <v>1</v>
      </c>
      <c r="Z1099" s="1">
        <f t="shared" si="1530"/>
        <v>1</v>
      </c>
      <c r="AA1099" s="1">
        <f t="shared" si="1545"/>
        <v>1</v>
      </c>
      <c r="AB1099" s="1">
        <f t="shared" si="1532"/>
        <v>0</v>
      </c>
      <c r="AC1099" s="1">
        <f t="shared" si="1533"/>
        <v>0</v>
      </c>
      <c r="AD1099" s="1">
        <f>ROUNDDOWN(I1099*(1+IF(F1099=3,0.05+方案参数!$Y$33+AA1099*0.12,IF(F1099=4,方案参数!$BZ$33*方案参数!$AS$33,0)))+IF(AND(X1099=1,F1099&lt;&gt;3),方案参数!$CC$33,0)+AC1099*方案参数!$CB$33,0)</f>
        <v>3298</v>
      </c>
      <c r="AE1099" s="1">
        <f>IF(OR(F1099=1,F1099=4),配置与结果!$B$24,配置与结果!$B$25)*MAX(0,1-INDEX(配置与结果!$I$15:$I$18,F1099))</f>
        <v>1000</v>
      </c>
      <c r="AF1099" s="1">
        <f>0</f>
        <v>0</v>
      </c>
      <c r="AG1099" s="1">
        <f>MAX(配置与结果!$B$32,1+INDEX(配置与结果!$F$15:$F$18,F1099)+0+Q1099*方案参数!$W$33+Y1099*(方案参数!$AN$33+MIN(方案参数!$AO$33,P1099*0.03))+AB1099*方案参数!$BZ$33*0.025-配置与结果!$B$28)</f>
        <v>0.995</v>
      </c>
      <c r="AH1099" s="1">
        <f>MAX(0,1+INDEX(配置与结果!$G$15:$G$18,F1099)+W1099*方案参数!$AG$33)</f>
        <v>1.3</v>
      </c>
      <c r="AI1099" s="1">
        <f>IF(OR(INDEX(配置与结果!$K$15:$K$18,F1099)=1,G1099="RHI_BERRY"),1+配置与结果!$B$33+P1099*方案参数!$AH$33,1)</f>
        <v>1</v>
      </c>
      <c r="AJ1099" s="1">
        <f>MIN(1,MAX(0,J1099+方案参数!$AB$33-配置与结果!$B$27))</f>
        <v>0.55499999999999994</v>
      </c>
      <c r="AK1099" s="1">
        <f>MAX(1,K1099+IF(F1099=2,0.15+方案参数!$CH$33,0)+BN1099*方案参数!$X$33+R1099*方案参数!$AA$33+0-配置与结果!$B$26+Z1099*(方案参数!$AP$33+MIN(方案参数!$AQ$33,P1099*0.03)))</f>
        <v>1.6300000000000001</v>
      </c>
      <c r="AL1099" s="7">
        <f>ROUNDDOWN(MAX(AD1099*配置与结果!$B$31,AD1099-AE1099)*AF1099*AG1099*AH1099*AI1099,0)</f>
        <v>0</v>
      </c>
      <c r="AM1099" s="7">
        <f>ROUNDDOWN(MAX(AD1099*配置与结果!$B$31,AD1099-AE1099)*AF1099*AG1099*AH1099*AI1099*AK1099,0)</f>
        <v>0</v>
      </c>
      <c r="AN1099" s="7">
        <f t="shared" si="1546"/>
        <v>0</v>
      </c>
      <c r="AO1099" s="7">
        <f>0</f>
        <v>0</v>
      </c>
      <c r="AP1099" s="7">
        <f>MAX(0,1+INDEX(配置与结果!$J$15:$J$18,F1099)+IF(T1099&gt;0,方案参数!$BY$33,0)-配置与结果!$B$30)</f>
        <v>1</v>
      </c>
      <c r="AQ1099" s="7">
        <f t="shared" si="1547"/>
        <v>0</v>
      </c>
      <c r="AR1099" s="7">
        <f t="shared" si="1548"/>
        <v>0</v>
      </c>
      <c r="AS1099" s="7">
        <f t="shared" si="1549"/>
        <v>0</v>
      </c>
      <c r="AT1099" s="7">
        <f>0</f>
        <v>0</v>
      </c>
      <c r="AU1099" s="7">
        <f t="shared" si="1550"/>
        <v>0</v>
      </c>
      <c r="AV1099" s="1">
        <f t="shared" si="1551"/>
        <v>2</v>
      </c>
      <c r="AW1099" s="1">
        <f t="shared" si="1555"/>
        <v>10</v>
      </c>
      <c r="AX1099" s="1">
        <f t="shared" si="1552"/>
        <v>2</v>
      </c>
      <c r="AY1099" s="1">
        <f t="shared" si="1541"/>
        <v>6</v>
      </c>
      <c r="AZ1099" s="1">
        <f t="shared" si="1553"/>
        <v>5</v>
      </c>
      <c r="BA1099" s="1">
        <f>MIN(6,Q1099+1)</f>
        <v>4</v>
      </c>
      <c r="BB1099" s="1">
        <f t="shared" si="1534"/>
        <v>5</v>
      </c>
      <c r="BC1099" s="1">
        <f t="shared" si="1556"/>
        <v>2</v>
      </c>
      <c r="BD1099" s="1">
        <f t="shared" si="1542"/>
        <v>0</v>
      </c>
      <c r="BE1099" s="1">
        <f t="shared" si="1535"/>
        <v>0</v>
      </c>
      <c r="BF1099" s="1">
        <f>MIN(4,V1099+0)</f>
        <v>2</v>
      </c>
      <c r="BG1099" s="1">
        <f>MAX(W1099,1)</f>
        <v>1</v>
      </c>
      <c r="BH1099" s="1">
        <f t="shared" si="1536"/>
        <v>1</v>
      </c>
      <c r="BI1099" s="1">
        <f>MAX(Y1099,1)</f>
        <v>1</v>
      </c>
      <c r="BJ1099" s="1">
        <f t="shared" si="1554"/>
        <v>1</v>
      </c>
      <c r="BK1099" s="1">
        <f t="shared" si="1554"/>
        <v>1</v>
      </c>
      <c r="BL1099" s="1">
        <f t="shared" si="1516"/>
        <v>0</v>
      </c>
      <c r="BM1099" s="1">
        <f t="shared" si="1514"/>
        <v>0</v>
      </c>
      <c r="BN1099" s="1">
        <f t="shared" si="1537"/>
        <v>1</v>
      </c>
      <c r="BO1099" s="1">
        <f t="shared" si="1538"/>
        <v>1</v>
      </c>
    </row>
    <row r="1100" spans="1:67" ht="30.95" customHeight="1">
      <c r="A1100" s="1">
        <f>30</f>
        <v>30</v>
      </c>
      <c r="B1100" s="1">
        <f>固定流程!A20</f>
        <v>15</v>
      </c>
      <c r="C1100" s="1">
        <f>33</f>
        <v>33</v>
      </c>
      <c r="D1100" s="1">
        <f>1</f>
        <v>1</v>
      </c>
      <c r="E1100" s="1">
        <f>固定流程!C20</f>
        <v>3</v>
      </c>
      <c r="F1100" s="1">
        <f>固定流程!G20</f>
        <v>3</v>
      </c>
      <c r="G1100" s="1" t="str">
        <f>固定流程!H20</f>
        <v>RHI_ATTACK</v>
      </c>
      <c r="H1100" s="1">
        <f>固定流程!F20</f>
        <v>1</v>
      </c>
      <c r="I1100" s="1">
        <f>INDEX(配置与结果!$B$15:$B$18,F1100)</f>
        <v>2597</v>
      </c>
      <c r="J1100" s="1">
        <f>INDEX(配置与结果!$D$15:$D$18,F1100)</f>
        <v>0.255</v>
      </c>
      <c r="K1100" s="1">
        <f>INDEX(配置与结果!$E$15:$E$18,F1100)</f>
        <v>1.55</v>
      </c>
      <c r="L1100" s="1">
        <f t="shared" ref="L1100:L1121" si="1557">AV1099</f>
        <v>2</v>
      </c>
      <c r="M1100" s="1">
        <f t="shared" ref="M1100:M1121" si="1558">AW1099</f>
        <v>10</v>
      </c>
      <c r="N1100" s="1">
        <f t="shared" ref="N1100:N1121" si="1559">AX1099</f>
        <v>2</v>
      </c>
      <c r="O1100" s="1">
        <f t="shared" si="1543"/>
        <v>6</v>
      </c>
      <c r="P1100" s="1">
        <f>MIN(方案参数!$AI$33,AZ1099+0+方案参数!$AK$33)</f>
        <v>5</v>
      </c>
      <c r="Q1100" s="1">
        <f t="shared" si="1521"/>
        <v>4</v>
      </c>
      <c r="R1100" s="1">
        <f t="shared" si="1522"/>
        <v>5</v>
      </c>
      <c r="S1100" s="1">
        <f t="shared" si="1523"/>
        <v>2</v>
      </c>
      <c r="T1100" s="1">
        <f t="shared" si="1524"/>
        <v>0</v>
      </c>
      <c r="U1100" s="1">
        <f t="shared" si="1525"/>
        <v>0</v>
      </c>
      <c r="V1100" s="1">
        <f t="shared" si="1526"/>
        <v>2</v>
      </c>
      <c r="W1100" s="1">
        <f t="shared" si="1527"/>
        <v>1</v>
      </c>
      <c r="X1100" s="1">
        <f t="shared" si="1528"/>
        <v>1</v>
      </c>
      <c r="Y1100" s="1">
        <f t="shared" si="1529"/>
        <v>1</v>
      </c>
      <c r="Z1100" s="1">
        <f t="shared" si="1530"/>
        <v>1</v>
      </c>
      <c r="AA1100" s="1">
        <f>MAX(BK1099,1)</f>
        <v>1</v>
      </c>
      <c r="AB1100" s="1">
        <f t="shared" si="1532"/>
        <v>0</v>
      </c>
      <c r="AC1100" s="1">
        <f t="shared" si="1533"/>
        <v>0</v>
      </c>
      <c r="AD1100" s="1">
        <f>ROUNDDOWN(I1100*(1+IF(F1100=3,0.05+方案参数!$Y$33+AA1100*0.12,IF(F1100=4,方案参数!$BZ$33*方案参数!$AS$33,0)))+IF(AND(X1100=1,F1100&lt;&gt;3),方案参数!$CC$33,0)+AC1100*方案参数!$CB$33,0)</f>
        <v>3298</v>
      </c>
      <c r="AE1100" s="1">
        <f>IF(OR(F1100=1,F1100=4),配置与结果!$B$24,配置与结果!$B$25)*MAX(0,1-INDEX(配置与结果!$I$15:$I$18,F1100))</f>
        <v>1000</v>
      </c>
      <c r="AF1100" s="1">
        <f>4</f>
        <v>4</v>
      </c>
      <c r="AG1100" s="1">
        <f>MAX(配置与结果!$B$32,1+INDEX(配置与结果!$F$15:$F$18,F1100)+0+Q1100*方案参数!$W$33+Y1100*(方案参数!$AN$33+MIN(方案参数!$AO$33,P1100*0.03))+AB1100*方案参数!$BZ$33*0.025-配置与结果!$B$28)</f>
        <v>1.0150000000000001</v>
      </c>
      <c r="AH1100" s="1">
        <f>MAX(0,1+INDEX(配置与结果!$G$15:$G$18,F1100)+W1100*方案参数!$AG$33)</f>
        <v>1.3</v>
      </c>
      <c r="AI1100" s="1">
        <f>IF(OR(INDEX(配置与结果!$K$15:$K$18,F1100)=1,G1100="RHI_BERRY"),1+配置与结果!$B$33+P1100*方案参数!$AH$33,1)</f>
        <v>1</v>
      </c>
      <c r="AJ1100" s="1">
        <f>MIN(1,MAX(0,J1100+方案参数!$AB$33-配置与结果!$B$27))</f>
        <v>0.55499999999999994</v>
      </c>
      <c r="AK1100" s="1">
        <f>MAX(1,K1100+IF(F1100=2,0.15+方案参数!$CH$33,0)+BN1100*方案参数!$X$33+R1100*方案参数!$AA$33+0-配置与结果!$B$26+Z1100*(方案参数!$AP$33+MIN(方案参数!$AQ$33,P1100*0.03)))</f>
        <v>1.6300000000000001</v>
      </c>
      <c r="AL1100" s="7">
        <f>ROUNDDOWN(MAX(AD1100*配置与结果!$B$31,AD1100-AE1100)*AF1100*AG1100*AH1100*AI1100,0)</f>
        <v>12128</v>
      </c>
      <c r="AM1100" s="7">
        <f>ROUNDDOWN(MAX(AD1100*配置与结果!$B$31,AD1100-AE1100)*AF1100*AG1100*AH1100*AI1100*AK1100,0)</f>
        <v>19770</v>
      </c>
      <c r="AN1100" s="7">
        <f t="shared" si="1546"/>
        <v>16369.31</v>
      </c>
      <c r="AO1100" s="7">
        <f>0</f>
        <v>0</v>
      </c>
      <c r="AP1100" s="7">
        <f>MAX(0,1+INDEX(配置与结果!$J$15:$J$18,F1100)+IF(T1100&gt;0,方案参数!$BY$33,0)-配置与结果!$B$30)</f>
        <v>1</v>
      </c>
      <c r="AQ1100" s="7">
        <f t="shared" si="1547"/>
        <v>0</v>
      </c>
      <c r="AR1100" s="7">
        <f t="shared" si="1548"/>
        <v>0</v>
      </c>
      <c r="AS1100" s="7">
        <f t="shared" si="1549"/>
        <v>0</v>
      </c>
      <c r="AT1100" s="7">
        <f>0</f>
        <v>0</v>
      </c>
      <c r="AU1100" s="7">
        <f t="shared" si="1550"/>
        <v>16369.31</v>
      </c>
      <c r="AV1100" s="1">
        <f t="shared" si="1551"/>
        <v>2</v>
      </c>
      <c r="AW1100" s="1">
        <f t="shared" si="1555"/>
        <v>10</v>
      </c>
      <c r="AX1100" s="1">
        <f t="shared" si="1552"/>
        <v>2</v>
      </c>
      <c r="AY1100" s="1">
        <f t="shared" si="1541"/>
        <v>6</v>
      </c>
      <c r="AZ1100" s="1">
        <f t="shared" si="1553"/>
        <v>5</v>
      </c>
      <c r="BA1100" s="1">
        <f>MIN(6,Q1100+1)</f>
        <v>5</v>
      </c>
      <c r="BB1100" s="1">
        <f t="shared" si="1534"/>
        <v>5</v>
      </c>
      <c r="BC1100" s="1">
        <f t="shared" si="1556"/>
        <v>2</v>
      </c>
      <c r="BD1100" s="1">
        <f t="shared" si="1542"/>
        <v>0</v>
      </c>
      <c r="BE1100" s="1">
        <f t="shared" si="1535"/>
        <v>0</v>
      </c>
      <c r="BF1100" s="1">
        <f>MIN(4,V1100+0)</f>
        <v>2</v>
      </c>
      <c r="BG1100" s="1">
        <f t="shared" ref="BG1100:BG1122" si="1560">MAX(W1100,0)</f>
        <v>1</v>
      </c>
      <c r="BH1100" s="1">
        <f t="shared" si="1536"/>
        <v>1</v>
      </c>
      <c r="BI1100" s="1">
        <f t="shared" ref="BI1100:BI1122" si="1561">MAX(Y1100,0)</f>
        <v>1</v>
      </c>
      <c r="BJ1100" s="1">
        <f>MAX(Z1100,1)</f>
        <v>1</v>
      </c>
      <c r="BK1100" s="1">
        <f>MAX(AA1100,1)</f>
        <v>1</v>
      </c>
      <c r="BL1100" s="1">
        <f t="shared" si="1516"/>
        <v>0</v>
      </c>
      <c r="BM1100" s="1">
        <f t="shared" si="1514"/>
        <v>0</v>
      </c>
      <c r="BN1100" s="1">
        <f t="shared" si="1537"/>
        <v>1</v>
      </c>
      <c r="BO1100" s="1">
        <f t="shared" si="1538"/>
        <v>1</v>
      </c>
    </row>
    <row r="1101" spans="1:67" ht="30.95" customHeight="1">
      <c r="A1101" s="1">
        <f>30</f>
        <v>30</v>
      </c>
      <c r="B1101" s="1">
        <f>固定流程!A21</f>
        <v>16</v>
      </c>
      <c r="C1101" s="1">
        <f>33</f>
        <v>33</v>
      </c>
      <c r="D1101" s="1">
        <f>1</f>
        <v>1</v>
      </c>
      <c r="E1101" s="1">
        <f>固定流程!C21</f>
        <v>3</v>
      </c>
      <c r="F1101" s="1">
        <f>固定流程!G21</f>
        <v>2</v>
      </c>
      <c r="G1101" s="1" t="str">
        <f>固定流程!H21</f>
        <v>37_ULT</v>
      </c>
      <c r="H1101" s="1">
        <f>固定流程!F21</f>
        <v>1</v>
      </c>
      <c r="I1101" s="1">
        <f>INDEX(配置与结果!$B$15:$B$18,F1101)</f>
        <v>2306</v>
      </c>
      <c r="J1101" s="1">
        <f>INDEX(配置与结果!$D$15:$D$18,F1101)</f>
        <v>0.46</v>
      </c>
      <c r="K1101" s="1">
        <f>INDEX(配置与结果!$E$15:$E$18,F1101)</f>
        <v>1.9279999999999999</v>
      </c>
      <c r="L1101" s="1">
        <f t="shared" si="1557"/>
        <v>2</v>
      </c>
      <c r="M1101" s="1">
        <f t="shared" si="1558"/>
        <v>10</v>
      </c>
      <c r="N1101" s="1">
        <f t="shared" si="1559"/>
        <v>2</v>
      </c>
      <c r="O1101" s="1">
        <f t="shared" si="1543"/>
        <v>6</v>
      </c>
      <c r="P1101" s="1">
        <f>MIN(方案参数!$AI$33,AZ1100+0+0)</f>
        <v>5</v>
      </c>
      <c r="Q1101" s="1">
        <f t="shared" si="1521"/>
        <v>5</v>
      </c>
      <c r="R1101" s="1">
        <f t="shared" si="1522"/>
        <v>5</v>
      </c>
      <c r="S1101" s="1">
        <f t="shared" si="1523"/>
        <v>2</v>
      </c>
      <c r="T1101" s="1">
        <f>BD1100+方案参数!$BX$33</f>
        <v>2</v>
      </c>
      <c r="U1101" s="1">
        <f t="shared" si="1525"/>
        <v>0</v>
      </c>
      <c r="V1101" s="1">
        <f t="shared" si="1526"/>
        <v>2</v>
      </c>
      <c r="W1101" s="1">
        <f t="shared" si="1527"/>
        <v>1</v>
      </c>
      <c r="X1101" s="1">
        <f t="shared" si="1528"/>
        <v>1</v>
      </c>
      <c r="Y1101" s="1">
        <f t="shared" si="1529"/>
        <v>1</v>
      </c>
      <c r="Z1101" s="1">
        <f t="shared" si="1530"/>
        <v>1</v>
      </c>
      <c r="AA1101" s="1">
        <f t="shared" ref="AA1101:AA1121" si="1562">MAX(BK1100,0)</f>
        <v>1</v>
      </c>
      <c r="AB1101" s="1">
        <f t="shared" si="1532"/>
        <v>0</v>
      </c>
      <c r="AC1101" s="1">
        <f>MAX(BM1100,1)</f>
        <v>1</v>
      </c>
      <c r="AD1101" s="1">
        <f>ROUNDDOWN(I1101*(1+IF(F1101=3,0.05+方案参数!$Y$33+AA1101*0.12,IF(F1101=4,方案参数!$BZ$33*方案参数!$AS$33,0)))+IF(AND(X1101=1,F1101&lt;&gt;3),方案参数!$CC$33,0)+AC1101*方案参数!$CB$33,0)</f>
        <v>3044</v>
      </c>
      <c r="AE1101" s="1">
        <f>IF(OR(F1101=1,F1101=4),配置与结果!$B$24,配置与结果!$B$25)*MAX(0,1-INDEX(配置与结果!$I$15:$I$18,F1101))</f>
        <v>1000</v>
      </c>
      <c r="AF1101" s="1">
        <f>0</f>
        <v>0</v>
      </c>
      <c r="AG1101" s="1">
        <f>MAX(配置与结果!$B$32,1+INDEX(配置与结果!$F$15:$F$18,F1101)+0+Q1101*方案参数!$W$33+Y1101*(方案参数!$AN$33+MIN(方案参数!$AO$33,P1101*0.03))+AB1101*方案参数!$BZ$33*0.025-配置与结果!$B$28)</f>
        <v>1.0049999999999999</v>
      </c>
      <c r="AH1101" s="1">
        <f>MAX(0,1+INDEX(配置与结果!$G$15:$G$18,F1101)+W1101*方案参数!$AG$33)</f>
        <v>1.3</v>
      </c>
      <c r="AI1101" s="1">
        <f>IF(OR(INDEX(配置与结果!$K$15:$K$18,F1101)=1,G1101="RHI_BERRY"),1+配置与结果!$B$33+P1101*方案参数!$AH$33,1)</f>
        <v>1</v>
      </c>
      <c r="AJ1101" s="1">
        <f>MIN(1,MAX(0,J1101+方案参数!$AB$33-配置与结果!$B$27))</f>
        <v>0.76</v>
      </c>
      <c r="AK1101" s="1">
        <f>MAX(1,K1101+IF(F1101=2,0.15+方案参数!$CH$33,0)+BN1101*方案参数!$X$33+R1101*方案参数!$AA$33+0-配置与结果!$B$26+Z1101*(方案参数!$AP$33+MIN(方案参数!$AQ$33,P1101*0.03)))</f>
        <v>2.278</v>
      </c>
      <c r="AL1101" s="7">
        <f>ROUNDDOWN(MAX(AD1101*配置与结果!$B$31,AD1101-AE1101)*AF1101*AG1101*AH1101*AI1101,0)</f>
        <v>0</v>
      </c>
      <c r="AM1101" s="7">
        <f>ROUNDDOWN(MAX(AD1101*配置与结果!$B$31,AD1101-AE1101)*AF1101*AG1101*AH1101*AI1101*AK1101,0)</f>
        <v>0</v>
      </c>
      <c r="AN1101" s="7">
        <f t="shared" si="1546"/>
        <v>0</v>
      </c>
      <c r="AO1101" s="7">
        <f>0</f>
        <v>0</v>
      </c>
      <c r="AP1101" s="7">
        <f>MAX(0,1+INDEX(配置与结果!$J$15:$J$18,F1101)+IF(T1101&gt;0,方案参数!$BY$33,0)-配置与结果!$B$30)</f>
        <v>2</v>
      </c>
      <c r="AQ1101" s="7">
        <f t="shared" si="1547"/>
        <v>0</v>
      </c>
      <c r="AR1101" s="7">
        <f t="shared" si="1548"/>
        <v>0</v>
      </c>
      <c r="AS1101" s="7">
        <f t="shared" si="1549"/>
        <v>0</v>
      </c>
      <c r="AT1101" s="7">
        <f>0</f>
        <v>0</v>
      </c>
      <c r="AU1101" s="7">
        <f t="shared" si="1550"/>
        <v>0</v>
      </c>
      <c r="AV1101" s="1">
        <f t="shared" si="1551"/>
        <v>2</v>
      </c>
      <c r="AW1101" s="1">
        <f t="shared" si="1555"/>
        <v>10</v>
      </c>
      <c r="AX1101" s="1">
        <f t="shared" si="1552"/>
        <v>2</v>
      </c>
      <c r="AY1101" s="1">
        <f t="shared" si="1541"/>
        <v>6</v>
      </c>
      <c r="AZ1101" s="1">
        <f t="shared" si="1553"/>
        <v>5</v>
      </c>
      <c r="BA1101" s="1">
        <f t="shared" ref="BA1101:BA1121" si="1563">MIN(6,Q1101+0)</f>
        <v>5</v>
      </c>
      <c r="BB1101" s="1">
        <f>MIN(30,R1101+5)</f>
        <v>10</v>
      </c>
      <c r="BC1101" s="1">
        <f t="shared" si="1556"/>
        <v>2</v>
      </c>
      <c r="BD1101" s="1">
        <f t="shared" si="1542"/>
        <v>2</v>
      </c>
      <c r="BE1101" s="1">
        <f t="shared" si="1535"/>
        <v>0</v>
      </c>
      <c r="BF1101" s="1">
        <f>MIN(4,V1101+0)</f>
        <v>2</v>
      </c>
      <c r="BG1101" s="1">
        <f t="shared" si="1560"/>
        <v>1</v>
      </c>
      <c r="BH1101" s="1">
        <f t="shared" si="1536"/>
        <v>1</v>
      </c>
      <c r="BI1101" s="1">
        <f t="shared" si="1561"/>
        <v>1</v>
      </c>
      <c r="BJ1101" s="1">
        <f t="shared" ref="BJ1101:BJ1128" si="1564">MAX(Z1101,0)</f>
        <v>1</v>
      </c>
      <c r="BK1101" s="1">
        <f t="shared" ref="BK1101:BK1128" si="1565">MAX(AA1101,0)</f>
        <v>1</v>
      </c>
      <c r="BL1101" s="1">
        <f t="shared" si="1516"/>
        <v>0</v>
      </c>
      <c r="BM1101" s="1">
        <f>MAX(AC1101,1)</f>
        <v>1</v>
      </c>
      <c r="BN1101" s="1">
        <f t="shared" si="1537"/>
        <v>1</v>
      </c>
      <c r="BO1101" s="1">
        <f t="shared" si="1538"/>
        <v>1</v>
      </c>
    </row>
    <row r="1102" spans="1:67" ht="30.95" customHeight="1">
      <c r="A1102" s="1">
        <f>30</f>
        <v>30</v>
      </c>
      <c r="B1102" s="1">
        <f>固定流程!A22</f>
        <v>17</v>
      </c>
      <c r="C1102" s="1">
        <f>33</f>
        <v>33</v>
      </c>
      <c r="D1102" s="1">
        <f>1</f>
        <v>1</v>
      </c>
      <c r="E1102" s="1">
        <f>固定流程!C22</f>
        <v>3</v>
      </c>
      <c r="F1102" s="1">
        <f>固定流程!G22</f>
        <v>2</v>
      </c>
      <c r="G1102" s="1" t="str">
        <f>固定流程!H22</f>
        <v>37_FOLLOW</v>
      </c>
      <c r="H1102" s="1">
        <f>固定流程!F22</f>
        <v>1</v>
      </c>
      <c r="I1102" s="1">
        <f>INDEX(配置与结果!$B$15:$B$18,F1102)</f>
        <v>2306</v>
      </c>
      <c r="J1102" s="1">
        <f>INDEX(配置与结果!$D$15:$D$18,F1102)</f>
        <v>0.46</v>
      </c>
      <c r="K1102" s="1">
        <f>INDEX(配置与结果!$E$15:$E$18,F1102)</f>
        <v>1.9279999999999999</v>
      </c>
      <c r="L1102" s="1">
        <f t="shared" si="1557"/>
        <v>2</v>
      </c>
      <c r="M1102" s="1">
        <f t="shared" si="1558"/>
        <v>10</v>
      </c>
      <c r="N1102" s="1">
        <f t="shared" si="1559"/>
        <v>2</v>
      </c>
      <c r="O1102" s="1">
        <f t="shared" si="1543"/>
        <v>6</v>
      </c>
      <c r="P1102" s="1">
        <f>MIN(方案参数!$AI$33,AZ1101+0+0)</f>
        <v>5</v>
      </c>
      <c r="Q1102" s="1">
        <f t="shared" si="1521"/>
        <v>5</v>
      </c>
      <c r="R1102" s="1">
        <f t="shared" si="1522"/>
        <v>10</v>
      </c>
      <c r="S1102" s="1">
        <f t="shared" si="1523"/>
        <v>2</v>
      </c>
      <c r="T1102" s="1">
        <f t="shared" ref="T1102:T1121" si="1566">BD1101+0</f>
        <v>2</v>
      </c>
      <c r="U1102" s="1">
        <f t="shared" si="1525"/>
        <v>0</v>
      </c>
      <c r="V1102" s="1">
        <f t="shared" si="1526"/>
        <v>2</v>
      </c>
      <c r="W1102" s="1">
        <f t="shared" si="1527"/>
        <v>1</v>
      </c>
      <c r="X1102" s="1">
        <f t="shared" si="1528"/>
        <v>1</v>
      </c>
      <c r="Y1102" s="1">
        <f t="shared" si="1529"/>
        <v>1</v>
      </c>
      <c r="Z1102" s="1">
        <f t="shared" si="1530"/>
        <v>1</v>
      </c>
      <c r="AA1102" s="1">
        <f t="shared" si="1562"/>
        <v>1</v>
      </c>
      <c r="AB1102" s="1">
        <f t="shared" si="1532"/>
        <v>0</v>
      </c>
      <c r="AC1102" s="1">
        <f t="shared" ref="AC1102:AC1121" si="1567">MAX(BM1101,0)</f>
        <v>1</v>
      </c>
      <c r="AD1102" s="1">
        <f>ROUNDDOWN(I1102*(1+IF(F1102=3,0.05+方案参数!$Y$33+AA1102*0.12,IF(F1102=4,方案参数!$BZ$33*方案参数!$AS$33,0)))+IF(AND(X1102=1,F1102&lt;&gt;3),方案参数!$CC$33,0)+AC1102*方案参数!$CB$33,0)</f>
        <v>3044</v>
      </c>
      <c r="AE1102" s="1">
        <f>IF(OR(F1102=1,F1102=4),配置与结果!$B$24,配置与结果!$B$25)*MAX(0,1-INDEX(配置与结果!$I$15:$I$18,F1102))</f>
        <v>1000</v>
      </c>
      <c r="AF1102" s="1">
        <f>方案参数!$BV$33</f>
        <v>3</v>
      </c>
      <c r="AG1102" s="1">
        <f>MAX(配置与结果!$B$32,1+INDEX(配置与结果!$F$15:$F$18,F1102)+0+Q1102*方案参数!$W$33+Y1102*(方案参数!$AN$33+MIN(方案参数!$AO$33,P1102*0.03))+AB1102*方案参数!$BZ$33*0.025-配置与结果!$B$28)</f>
        <v>1.0049999999999999</v>
      </c>
      <c r="AH1102" s="1">
        <f>MAX(0,1+INDEX(配置与结果!$G$15:$G$18,F1102)+W1102*方案参数!$AG$33)</f>
        <v>1.3</v>
      </c>
      <c r="AI1102" s="1">
        <f>IF(OR(INDEX(配置与结果!$K$15:$K$18,F1102)=1,G1102="RHI_BERRY"),1+配置与结果!$B$33+P1102*方案参数!$AH$33,1)</f>
        <v>1</v>
      </c>
      <c r="AJ1102" s="1">
        <f>MIN(1,MAX(0,J1102+方案参数!$AB$33-配置与结果!$B$27))</f>
        <v>0.76</v>
      </c>
      <c r="AK1102" s="1">
        <f>MAX(1,K1102+IF(F1102=2,0.15+方案参数!$CH$33,0)+BN1102*方案参数!$X$33+R1102*方案参数!$AA$33+0-配置与结果!$B$26+Z1102*(方案参数!$AP$33+MIN(方案参数!$AQ$33,P1102*0.03)))</f>
        <v>2.298</v>
      </c>
      <c r="AL1102" s="7">
        <f>ROUNDDOWN(MAX(AD1102*配置与结果!$B$31,AD1102-AE1102)*AF1102*AG1102*AH1102*AI1102,0)</f>
        <v>8011</v>
      </c>
      <c r="AM1102" s="7">
        <f>ROUNDDOWN(MAX(AD1102*配置与结果!$B$31,AD1102-AE1102)*AF1102*AG1102*AH1102*AI1102*AK1102,0)</f>
        <v>18410</v>
      </c>
      <c r="AN1102" s="7">
        <f t="shared" si="1546"/>
        <v>15914.24</v>
      </c>
      <c r="AO1102" s="7">
        <f>方案参数!$BW$33</f>
        <v>1</v>
      </c>
      <c r="AP1102" s="7">
        <f>MAX(0,1+INDEX(配置与结果!$J$15:$J$18,F1102)+IF(T1102&gt;0,方案参数!$BY$33,0)-配置与结果!$B$30)</f>
        <v>2</v>
      </c>
      <c r="AQ1102" s="7">
        <f t="shared" si="1547"/>
        <v>6088</v>
      </c>
      <c r="AR1102" s="7">
        <f t="shared" si="1548"/>
        <v>13990</v>
      </c>
      <c r="AS1102" s="7">
        <f t="shared" si="1549"/>
        <v>12093.52</v>
      </c>
      <c r="AT1102" s="7">
        <f>0</f>
        <v>0</v>
      </c>
      <c r="AU1102" s="7">
        <f t="shared" si="1550"/>
        <v>28007.760000000002</v>
      </c>
      <c r="AV1102" s="1">
        <f t="shared" si="1551"/>
        <v>2</v>
      </c>
      <c r="AW1102" s="1">
        <f t="shared" si="1555"/>
        <v>10</v>
      </c>
      <c r="AX1102" s="1">
        <f t="shared" si="1552"/>
        <v>2</v>
      </c>
      <c r="AY1102" s="1">
        <f t="shared" si="1541"/>
        <v>6</v>
      </c>
      <c r="AZ1102" s="1">
        <f t="shared" si="1553"/>
        <v>5</v>
      </c>
      <c r="BA1102" s="1">
        <f t="shared" si="1563"/>
        <v>5</v>
      </c>
      <c r="BB1102" s="1">
        <f>MIN(30,R1102+0)</f>
        <v>10</v>
      </c>
      <c r="BC1102" s="1">
        <f t="shared" si="1556"/>
        <v>2</v>
      </c>
      <c r="BD1102" s="1">
        <f t="shared" si="1542"/>
        <v>1</v>
      </c>
      <c r="BE1102" s="1">
        <f t="shared" si="1535"/>
        <v>0</v>
      </c>
      <c r="BF1102" s="1">
        <f>MIN(4,V1102+1)</f>
        <v>3</v>
      </c>
      <c r="BG1102" s="1">
        <f t="shared" si="1560"/>
        <v>1</v>
      </c>
      <c r="BH1102" s="1">
        <f t="shared" si="1536"/>
        <v>1</v>
      </c>
      <c r="BI1102" s="1">
        <f t="shared" si="1561"/>
        <v>1</v>
      </c>
      <c r="BJ1102" s="1">
        <f t="shared" si="1564"/>
        <v>1</v>
      </c>
      <c r="BK1102" s="1">
        <f t="shared" si="1565"/>
        <v>1</v>
      </c>
      <c r="BL1102" s="1">
        <f t="shared" si="1516"/>
        <v>0</v>
      </c>
      <c r="BM1102" s="1">
        <f t="shared" ref="BM1102:BM1136" si="1568">MAX(AC1102,0)</f>
        <v>1</v>
      </c>
      <c r="BN1102" s="1">
        <f t="shared" si="1537"/>
        <v>1</v>
      </c>
      <c r="BO1102" s="1">
        <f t="shared" si="1538"/>
        <v>1</v>
      </c>
    </row>
    <row r="1103" spans="1:67" ht="30.95" customHeight="1">
      <c r="A1103" s="1">
        <f>30</f>
        <v>30</v>
      </c>
      <c r="B1103" s="1">
        <f>固定流程!A23</f>
        <v>18</v>
      </c>
      <c r="C1103" s="1">
        <f>33</f>
        <v>33</v>
      </c>
      <c r="D1103" s="1">
        <f>1</f>
        <v>1</v>
      </c>
      <c r="E1103" s="1">
        <f>固定流程!C23</f>
        <v>3</v>
      </c>
      <c r="F1103" s="1">
        <f>固定流程!G23</f>
        <v>4</v>
      </c>
      <c r="G1103" s="1" t="str">
        <f>固定流程!H23</f>
        <v>J_HARD</v>
      </c>
      <c r="H1103" s="1">
        <f>固定流程!F23</f>
        <v>1</v>
      </c>
      <c r="I1103" s="1">
        <f>INDEX(配置与结果!$B$15:$B$18,F1103)</f>
        <v>1906</v>
      </c>
      <c r="J1103" s="1">
        <f>INDEX(配置与结果!$D$15:$D$18,F1103)</f>
        <v>0.36699999999999999</v>
      </c>
      <c r="K1103" s="1">
        <f>INDEX(配置与结果!$E$15:$E$18,F1103)</f>
        <v>1.7170000000000001</v>
      </c>
      <c r="L1103" s="1">
        <f t="shared" si="1557"/>
        <v>2</v>
      </c>
      <c r="M1103" s="1">
        <f t="shared" si="1558"/>
        <v>10</v>
      </c>
      <c r="N1103" s="1">
        <f t="shared" si="1559"/>
        <v>2</v>
      </c>
      <c r="O1103" s="1">
        <f t="shared" si="1543"/>
        <v>6</v>
      </c>
      <c r="P1103" s="1">
        <f>MIN(方案参数!$AI$33,AZ1102+0+0)</f>
        <v>5</v>
      </c>
      <c r="Q1103" s="1">
        <f t="shared" si="1521"/>
        <v>5</v>
      </c>
      <c r="R1103" s="1">
        <f t="shared" si="1522"/>
        <v>10</v>
      </c>
      <c r="S1103" s="1">
        <f t="shared" si="1523"/>
        <v>2</v>
      </c>
      <c r="T1103" s="1">
        <f t="shared" si="1566"/>
        <v>1</v>
      </c>
      <c r="U1103" s="1">
        <f t="shared" si="1525"/>
        <v>0</v>
      </c>
      <c r="V1103" s="1">
        <f t="shared" si="1526"/>
        <v>3</v>
      </c>
      <c r="W1103" s="1">
        <f t="shared" si="1527"/>
        <v>1</v>
      </c>
      <c r="X1103" s="1">
        <f t="shared" si="1528"/>
        <v>1</v>
      </c>
      <c r="Y1103" s="1">
        <f t="shared" si="1529"/>
        <v>1</v>
      </c>
      <c r="Z1103" s="1">
        <f t="shared" si="1530"/>
        <v>1</v>
      </c>
      <c r="AA1103" s="1">
        <f t="shared" si="1562"/>
        <v>1</v>
      </c>
      <c r="AB1103" s="1">
        <f t="shared" si="1532"/>
        <v>0</v>
      </c>
      <c r="AC1103" s="1">
        <f t="shared" si="1567"/>
        <v>1</v>
      </c>
      <c r="AD1103" s="1">
        <f>ROUNDDOWN(I1103*(1+IF(F1103=3,0.05+方案参数!$Y$33+AA1103*0.12,IF(F1103=4,方案参数!$BZ$33*方案参数!$AS$33,0)))+IF(AND(X1103=1,F1103&lt;&gt;3),方案参数!$CC$33,0)+AC1103*方案参数!$CB$33,0)</f>
        <v>3311</v>
      </c>
      <c r="AE1103" s="1">
        <f>IF(OR(F1103=1,F1103=4),配置与结果!$B$24,配置与结果!$B$25)*MAX(0,1-INDEX(配置与结果!$I$15:$I$18,F1103))</f>
        <v>1200</v>
      </c>
      <c r="AF1103" s="1">
        <f>3.6*IF(H1103=1,1,IF(H1103=2,1.5,2.5))</f>
        <v>3.6</v>
      </c>
      <c r="AG1103" s="1">
        <f>MAX(配置与结果!$B$32,1+INDEX(配置与结果!$F$15:$F$18,F1103)+0.08+Q1103*方案参数!$W$33+Y1103*(方案参数!$AN$33+MIN(方案参数!$AO$33,P1103*0.03))+AB1103*方案参数!$BZ$33*0.025+0.1+IF(方案参数!$BZ$33&gt;=30,方案参数!$BZ$33*0.01,0)-配置与结果!$B$28)</f>
        <v>1.5550000000000002</v>
      </c>
      <c r="AH1103" s="1">
        <f>MAX(0,1+INDEX(配置与结果!$G$15:$G$18,F1103)+W1103*方案参数!$AG$33)</f>
        <v>1.3</v>
      </c>
      <c r="AI1103" s="1">
        <f>IF(OR(INDEX(配置与结果!$K$15:$K$18,F1103)=1,G1103="RHI_BERRY"),1+配置与结果!$B$33+P1103*方案参数!$AH$33,1)</f>
        <v>1</v>
      </c>
      <c r="AJ1103" s="1">
        <f>MIN(1,MAX(0,J1103+方案参数!$AB$33-配置与结果!$B$27))</f>
        <v>0.66700000000000004</v>
      </c>
      <c r="AK1103" s="1">
        <f>MAX(1,K1103+IF(F1103=2,0.15+方案参数!$CH$33,0)+BN1103*方案参数!$X$33+R1103*方案参数!$AA$33+0-配置与结果!$B$26+Z1103*(方案参数!$AP$33+MIN(方案参数!$AQ$33,P1103*0.03)))</f>
        <v>1.8169999999999999</v>
      </c>
      <c r="AL1103" s="7">
        <f>ROUNDDOWN(MAX(AD1103*配置与结果!$B$31,AD1103-AE1103)*AF1103*AG1103*AH1103*AI1103,0)</f>
        <v>15362</v>
      </c>
      <c r="AM1103" s="7">
        <f>ROUNDDOWN(MAX(AD1103*配置与结果!$B$31,AD1103-AE1103)*AF1103*AG1103*AH1103*AI1103*AK1103,0)</f>
        <v>27913</v>
      </c>
      <c r="AN1103" s="7">
        <f t="shared" si="1546"/>
        <v>23733.517</v>
      </c>
      <c r="AO1103" s="7">
        <f>0</f>
        <v>0</v>
      </c>
      <c r="AP1103" s="7">
        <f>MAX(0,1+INDEX(配置与结果!$J$15:$J$18,F1103)+IF(T1103&gt;0,方案参数!$BY$33,0)-配置与结果!$B$30)</f>
        <v>2</v>
      </c>
      <c r="AQ1103" s="7">
        <f t="shared" si="1547"/>
        <v>0</v>
      </c>
      <c r="AR1103" s="7">
        <f t="shared" si="1548"/>
        <v>0</v>
      </c>
      <c r="AS1103" s="7">
        <f t="shared" si="1549"/>
        <v>0</v>
      </c>
      <c r="AT1103" s="7">
        <f>0</f>
        <v>0</v>
      </c>
      <c r="AU1103" s="7">
        <f t="shared" si="1550"/>
        <v>23733.517</v>
      </c>
      <c r="AV1103" s="1">
        <f t="shared" si="1551"/>
        <v>2</v>
      </c>
      <c r="AW1103" s="1">
        <f t="shared" si="1555"/>
        <v>10</v>
      </c>
      <c r="AX1103" s="1">
        <f t="shared" si="1552"/>
        <v>2</v>
      </c>
      <c r="AY1103" s="1">
        <f t="shared" si="1541"/>
        <v>6</v>
      </c>
      <c r="AZ1103" s="1">
        <f t="shared" si="1553"/>
        <v>5</v>
      </c>
      <c r="BA1103" s="1">
        <f t="shared" si="1563"/>
        <v>5</v>
      </c>
      <c r="BB1103" s="1">
        <f>MIN(30,R1103+0)</f>
        <v>10</v>
      </c>
      <c r="BC1103" s="1">
        <f>MIN(3,S1103+1)</f>
        <v>3</v>
      </c>
      <c r="BD1103" s="1">
        <f t="shared" si="1542"/>
        <v>1</v>
      </c>
      <c r="BE1103" s="1">
        <f t="shared" si="1535"/>
        <v>0</v>
      </c>
      <c r="BF1103" s="1">
        <f>MIN(4,V1103+0)</f>
        <v>3</v>
      </c>
      <c r="BG1103" s="1">
        <f t="shared" si="1560"/>
        <v>1</v>
      </c>
      <c r="BH1103" s="1">
        <f t="shared" si="1536"/>
        <v>1</v>
      </c>
      <c r="BI1103" s="1">
        <f t="shared" si="1561"/>
        <v>1</v>
      </c>
      <c r="BJ1103" s="1">
        <f t="shared" si="1564"/>
        <v>1</v>
      </c>
      <c r="BK1103" s="1">
        <f t="shared" si="1565"/>
        <v>1</v>
      </c>
      <c r="BL1103" s="1">
        <f t="shared" si="1516"/>
        <v>0</v>
      </c>
      <c r="BM1103" s="1">
        <f t="shared" si="1568"/>
        <v>1</v>
      </c>
      <c r="BN1103" s="1">
        <f t="shared" si="1537"/>
        <v>1</v>
      </c>
      <c r="BO1103" s="1">
        <f t="shared" si="1538"/>
        <v>1</v>
      </c>
    </row>
    <row r="1104" spans="1:67" ht="30.95" customHeight="1">
      <c r="A1104" s="1">
        <f>30</f>
        <v>30</v>
      </c>
      <c r="B1104" s="1">
        <f>固定流程!A24</f>
        <v>19</v>
      </c>
      <c r="C1104" s="1">
        <f>33</f>
        <v>33</v>
      </c>
      <c r="D1104" s="1">
        <f>1</f>
        <v>1</v>
      </c>
      <c r="E1104" s="1">
        <f>固定流程!C24</f>
        <v>3</v>
      </c>
      <c r="F1104" s="1">
        <f>固定流程!G24</f>
        <v>4</v>
      </c>
      <c r="G1104" s="1" t="str">
        <f>固定流程!H24</f>
        <v>J_ULT</v>
      </c>
      <c r="H1104" s="1">
        <f>固定流程!F24</f>
        <v>1</v>
      </c>
      <c r="I1104" s="1">
        <f>INDEX(配置与结果!$B$15:$B$18,F1104)</f>
        <v>1906</v>
      </c>
      <c r="J1104" s="1">
        <f>INDEX(配置与结果!$D$15:$D$18,F1104)</f>
        <v>0.36699999999999999</v>
      </c>
      <c r="K1104" s="1">
        <f>INDEX(配置与结果!$E$15:$E$18,F1104)</f>
        <v>1.7170000000000001</v>
      </c>
      <c r="L1104" s="1">
        <f t="shared" si="1557"/>
        <v>2</v>
      </c>
      <c r="M1104" s="1">
        <f t="shared" si="1558"/>
        <v>10</v>
      </c>
      <c r="N1104" s="1">
        <f t="shared" si="1559"/>
        <v>2</v>
      </c>
      <c r="O1104" s="1">
        <f t="shared" si="1543"/>
        <v>6</v>
      </c>
      <c r="P1104" s="1">
        <f>MIN(方案参数!$AI$33,AZ1103+0+0)</f>
        <v>5</v>
      </c>
      <c r="Q1104" s="1">
        <f t="shared" si="1521"/>
        <v>5</v>
      </c>
      <c r="R1104" s="1">
        <f t="shared" si="1522"/>
        <v>10</v>
      </c>
      <c r="S1104" s="1">
        <f t="shared" si="1523"/>
        <v>3</v>
      </c>
      <c r="T1104" s="1">
        <f t="shared" si="1566"/>
        <v>1</v>
      </c>
      <c r="U1104" s="1">
        <f t="shared" si="1525"/>
        <v>0</v>
      </c>
      <c r="V1104" s="1">
        <f t="shared" si="1526"/>
        <v>3</v>
      </c>
      <c r="W1104" s="1">
        <f t="shared" si="1527"/>
        <v>1</v>
      </c>
      <c r="X1104" s="1">
        <f t="shared" si="1528"/>
        <v>1</v>
      </c>
      <c r="Y1104" s="1">
        <f t="shared" si="1529"/>
        <v>1</v>
      </c>
      <c r="Z1104" s="1">
        <f t="shared" si="1530"/>
        <v>1</v>
      </c>
      <c r="AA1104" s="1">
        <f t="shared" si="1562"/>
        <v>1</v>
      </c>
      <c r="AB1104" s="1">
        <f t="shared" si="1532"/>
        <v>0</v>
      </c>
      <c r="AC1104" s="1">
        <f t="shared" si="1567"/>
        <v>1</v>
      </c>
      <c r="AD1104" s="1">
        <f>ROUNDDOWN(I1104*(1+IF(F1104=3,0.05+方案参数!$Y$33+AA1104*0.12,IF(F1104=4,方案参数!$BZ$33*方案参数!$AS$33,0)))+IF(AND(X1104=1,F1104&lt;&gt;3),方案参数!$CC$33,0)+AC1104*方案参数!$CB$33,0)</f>
        <v>3311</v>
      </c>
      <c r="AE1104" s="1">
        <f>IF(OR(F1104=1,F1104=4),配置与结果!$B$24,配置与结果!$B$25)*MAX(0,1-INDEX(配置与结果!$I$15:$I$18,F1104))</f>
        <v>1200</v>
      </c>
      <c r="AF1104" s="1">
        <f>方案参数!$AT$33+MAX(0,配置与结果!$H$26+方案参数!$BZ$33-30)*方案参数!$AU$33*配置与结果!$H$27</f>
        <v>42</v>
      </c>
      <c r="AG1104" s="1">
        <f>MAX(配置与结果!$B$32,1+INDEX(配置与结果!$F$15:$F$18,F1104)+0.08+Q1104*方案参数!$W$33+Y1104*(方案参数!$AN$33+MIN(方案参数!$AO$33,P1104*0.03))+AB1104*方案参数!$BZ$33*0.025-配置与结果!$B$28)</f>
        <v>1.105</v>
      </c>
      <c r="AH1104" s="1">
        <f>MAX(0,1+INDEX(配置与结果!$H$15:$H$18,F1104)+W1104*方案参数!$AG$33+S1104*方案参数!$Z$33)</f>
        <v>1.42</v>
      </c>
      <c r="AI1104" s="1">
        <f>IF(OR(INDEX(配置与结果!$K$15:$K$18,F1104)=1,G1104="RHI_BERRY"),1+配置与结果!$B$33+P1104*方案参数!$AH$33,1)</f>
        <v>1</v>
      </c>
      <c r="AJ1104" s="1">
        <f>MIN(1,MAX(0,J1104+方案参数!$AB$33-配置与结果!$B$27))</f>
        <v>0.66700000000000004</v>
      </c>
      <c r="AK1104" s="1">
        <f>MAX(1,K1104+IF(F1104=2,0.15+方案参数!$CH$33,0)+BN1104*方案参数!$X$33+R1104*方案参数!$AA$33+0-配置与结果!$B$26+Z1104*(方案参数!$AP$33+MIN(方案参数!$AQ$33,P1104*0.03)))</f>
        <v>1.8169999999999999</v>
      </c>
      <c r="AL1104" s="7">
        <f>ROUNDDOWN(MAX(AD1104*配置与结果!$B$31,AD1104-AE1104)*AF1104*AG1104*AH1104*AI1104,0)</f>
        <v>139119</v>
      </c>
      <c r="AM1104" s="7">
        <f>ROUNDDOWN(MAX(AD1104*配置与结果!$B$31,AD1104-AE1104)*AF1104*AG1104*AH1104*AI1104*AK1104,0)</f>
        <v>252780</v>
      </c>
      <c r="AN1104" s="7">
        <f t="shared" si="1546"/>
        <v>214930.88699999999</v>
      </c>
      <c r="AO1104" s="7">
        <f>0</f>
        <v>0</v>
      </c>
      <c r="AP1104" s="7">
        <f>MAX(0,1+INDEX(配置与结果!$J$15:$J$18,F1104)+IF(T1104&gt;0,方案参数!$BY$33,0)-配置与结果!$B$30)</f>
        <v>2</v>
      </c>
      <c r="AQ1104" s="7">
        <f t="shared" si="1547"/>
        <v>0</v>
      </c>
      <c r="AR1104" s="7">
        <f t="shared" si="1548"/>
        <v>0</v>
      </c>
      <c r="AS1104" s="7">
        <f t="shared" si="1549"/>
        <v>0</v>
      </c>
      <c r="AT1104" s="7">
        <f>0</f>
        <v>0</v>
      </c>
      <c r="AU1104" s="7">
        <f t="shared" si="1550"/>
        <v>214930.88699999999</v>
      </c>
      <c r="AV1104" s="1">
        <f t="shared" si="1551"/>
        <v>2</v>
      </c>
      <c r="AW1104" s="1">
        <f t="shared" si="1555"/>
        <v>10</v>
      </c>
      <c r="AX1104" s="1">
        <f t="shared" si="1552"/>
        <v>2</v>
      </c>
      <c r="AY1104" s="1">
        <f t="shared" si="1541"/>
        <v>6</v>
      </c>
      <c r="AZ1104" s="1">
        <f t="shared" si="1553"/>
        <v>5</v>
      </c>
      <c r="BA1104" s="1">
        <f t="shared" si="1563"/>
        <v>5</v>
      </c>
      <c r="BB1104" s="1">
        <f>MIN(30,R1104+5)</f>
        <v>15</v>
      </c>
      <c r="BC1104" s="1">
        <f t="shared" ref="BC1104:BC1127" si="1569">MIN(3,S1104+0)</f>
        <v>3</v>
      </c>
      <c r="BD1104" s="1">
        <f t="shared" si="1542"/>
        <v>1</v>
      </c>
      <c r="BE1104" s="1">
        <f t="shared" si="1535"/>
        <v>0</v>
      </c>
      <c r="BF1104" s="1">
        <f>MIN(4,V1104+0)</f>
        <v>3</v>
      </c>
      <c r="BG1104" s="1">
        <f t="shared" si="1560"/>
        <v>1</v>
      </c>
      <c r="BH1104" s="1">
        <f t="shared" si="1536"/>
        <v>1</v>
      </c>
      <c r="BI1104" s="1">
        <f t="shared" si="1561"/>
        <v>1</v>
      </c>
      <c r="BJ1104" s="1">
        <f t="shared" si="1564"/>
        <v>1</v>
      </c>
      <c r="BK1104" s="1">
        <f t="shared" si="1565"/>
        <v>1</v>
      </c>
      <c r="BL1104" s="1">
        <f>MAX(AB1104,1)</f>
        <v>1</v>
      </c>
      <c r="BM1104" s="1">
        <f t="shared" si="1568"/>
        <v>1</v>
      </c>
      <c r="BN1104" s="1">
        <f t="shared" si="1537"/>
        <v>1</v>
      </c>
      <c r="BO1104" s="1">
        <f t="shared" si="1538"/>
        <v>1</v>
      </c>
    </row>
    <row r="1105" spans="1:67" ht="30.95" customHeight="1">
      <c r="A1105" s="1">
        <f>30</f>
        <v>30</v>
      </c>
      <c r="B1105" s="1">
        <f>固定流程!A25</f>
        <v>20</v>
      </c>
      <c r="C1105" s="1">
        <f>33</f>
        <v>33</v>
      </c>
      <c r="D1105" s="1">
        <f>1</f>
        <v>1</v>
      </c>
      <c r="E1105" s="1">
        <f>固定流程!C25</f>
        <v>3</v>
      </c>
      <c r="F1105" s="1">
        <f>固定流程!G25</f>
        <v>1</v>
      </c>
      <c r="G1105" s="1" t="str">
        <f>固定流程!H25</f>
        <v>LILYA_ULT</v>
      </c>
      <c r="H1105" s="1">
        <f>固定流程!F25</f>
        <v>1</v>
      </c>
      <c r="I1105" s="1">
        <f>INDEX(配置与结果!$B$15:$B$18,F1105)</f>
        <v>2296</v>
      </c>
      <c r="J1105" s="1">
        <f>INDEX(配置与结果!$D$15:$D$18,F1105)</f>
        <v>0.7</v>
      </c>
      <c r="K1105" s="1">
        <f>INDEX(配置与结果!$E$15:$E$18,F1105)</f>
        <v>2.0249999999999999</v>
      </c>
      <c r="L1105" s="1">
        <f t="shared" si="1557"/>
        <v>2</v>
      </c>
      <c r="M1105" s="1">
        <f t="shared" si="1558"/>
        <v>10</v>
      </c>
      <c r="N1105" s="1">
        <f t="shared" si="1559"/>
        <v>2</v>
      </c>
      <c r="O1105" s="1">
        <f t="shared" si="1543"/>
        <v>6</v>
      </c>
      <c r="P1105" s="1">
        <f>MIN(方案参数!$AI$33,AZ1104+0+0)</f>
        <v>5</v>
      </c>
      <c r="Q1105" s="1">
        <f t="shared" si="1521"/>
        <v>5</v>
      </c>
      <c r="R1105" s="1">
        <f t="shared" si="1522"/>
        <v>15</v>
      </c>
      <c r="S1105" s="1">
        <f t="shared" si="1523"/>
        <v>3</v>
      </c>
      <c r="T1105" s="1">
        <f t="shared" si="1566"/>
        <v>1</v>
      </c>
      <c r="U1105" s="1">
        <f t="shared" si="1525"/>
        <v>0</v>
      </c>
      <c r="V1105" s="1">
        <f t="shared" si="1526"/>
        <v>3</v>
      </c>
      <c r="W1105" s="1">
        <f t="shared" si="1527"/>
        <v>1</v>
      </c>
      <c r="X1105" s="1">
        <f t="shared" si="1528"/>
        <v>1</v>
      </c>
      <c r="Y1105" s="1">
        <f t="shared" si="1529"/>
        <v>1</v>
      </c>
      <c r="Z1105" s="1">
        <f t="shared" si="1530"/>
        <v>1</v>
      </c>
      <c r="AA1105" s="1">
        <f t="shared" si="1562"/>
        <v>1</v>
      </c>
      <c r="AB1105" s="1">
        <f t="shared" si="1532"/>
        <v>1</v>
      </c>
      <c r="AC1105" s="1">
        <f t="shared" si="1567"/>
        <v>1</v>
      </c>
      <c r="AD1105" s="1">
        <f>ROUNDDOWN(I1105*(1+IF(F1105=3,0.05+方案参数!$Y$33+AA1105*0.12,IF(F1105=4,方案参数!$BZ$33*方案参数!$AS$33,0)))+IF(AND(X1105=1,F1105&lt;&gt;3),方案参数!$CC$33,0)+AC1105*方案参数!$CB$33,0)</f>
        <v>3034</v>
      </c>
      <c r="AE1105" s="1">
        <f>IF(OR(F1105=1,F1105=4),配置与结果!$B$24,配置与结果!$B$25)*MAX(0,1-INDEX(配置与结果!$I$15:$I$18,F1105)+IF(O1105&gt;=6,方案参数!$BK$33,0))</f>
        <v>1440</v>
      </c>
      <c r="AF1105" s="1">
        <f>方案参数!$BG$33+IF(O1105&gt;=6,方案参数!$BH$33,0)</f>
        <v>36</v>
      </c>
      <c r="AG1105" s="1">
        <f>MAX(配置与结果!$B$32,1+INDEX(配置与结果!$F$15:$F$18,F1105)+0.08+方案参数!$CD$33+Q1105*方案参数!$W$33+Y1105*(方案参数!$AN$33+MIN(方案参数!$AO$33,P1105*0.03))+AB1105*方案参数!$BZ$33*0.025-配置与结果!$B$28)</f>
        <v>2.2150000000000003</v>
      </c>
      <c r="AH1105" s="1">
        <f>MAX(0,1+INDEX(配置与结果!$H$15:$H$18,F1105)+W1105*方案参数!$AG$33+O1105*方案参数!$BF$33+IF(O1105&gt;=6,方案参数!$BI$33,0))</f>
        <v>2.4500000000000002</v>
      </c>
      <c r="AI1105" s="1">
        <f>IF(OR(INDEX(配置与结果!$K$15:$K$18,F1105)=1,G1105="RHI_BERRY"),1+配置与结果!$B$33+P1105*方案参数!$AH$33,1)</f>
        <v>1</v>
      </c>
      <c r="AJ1105" s="1">
        <f>MIN(1,MAX(0,J1105+方案参数!$AB$33-配置与结果!$B$27))</f>
        <v>1</v>
      </c>
      <c r="AK1105" s="1">
        <f>MAX(1,K1105+IF(F1105=2,0.15+方案参数!$CH$33,0)+BN1105*方案参数!$X$33+R1105*方案参数!$AA$33+IF(O1105&gt;=6,方案参数!$BJ$33,0)-配置与结果!$B$26+Z1105*(方案参数!$AP$33+MIN(方案参数!$AQ$33,P1105*0.03)))</f>
        <v>3.145</v>
      </c>
      <c r="AL1105" s="7">
        <f>ROUNDDOWN(MAX(AD1105*配置与结果!$B$31,AD1105-AE1105)*AF1105*AG1105*AH1105*AI1105,0)</f>
        <v>311408</v>
      </c>
      <c r="AM1105" s="7">
        <f>ROUNDDOWN(MAX(AD1105*配置与结果!$B$31,AD1105-AE1105)*AF1105*AG1105*AH1105*AI1105*AK1105,0)</f>
        <v>979380</v>
      </c>
      <c r="AN1105" s="7">
        <f t="shared" si="1546"/>
        <v>979380</v>
      </c>
      <c r="AO1105" s="7">
        <f>0</f>
        <v>0</v>
      </c>
      <c r="AP1105" s="7">
        <f>MAX(0,1+INDEX(配置与结果!$J$15:$J$18,F1105)+IF(T1105&gt;0,方案参数!$BY$33,0)-配置与结果!$B$30)</f>
        <v>2</v>
      </c>
      <c r="AQ1105" s="7">
        <f t="shared" si="1547"/>
        <v>0</v>
      </c>
      <c r="AR1105" s="7">
        <f t="shared" si="1548"/>
        <v>0</v>
      </c>
      <c r="AS1105" s="7">
        <f t="shared" si="1549"/>
        <v>0</v>
      </c>
      <c r="AT1105" s="7">
        <f>0</f>
        <v>0</v>
      </c>
      <c r="AU1105" s="7">
        <f t="shared" si="1550"/>
        <v>979380</v>
      </c>
      <c r="AV1105" s="1">
        <f t="shared" si="1551"/>
        <v>2</v>
      </c>
      <c r="AW1105" s="1">
        <f t="shared" si="1555"/>
        <v>10</v>
      </c>
      <c r="AX1105" s="1">
        <f t="shared" si="1552"/>
        <v>2</v>
      </c>
      <c r="AY1105" s="1">
        <f>MIN(20,MAX(0,O1105+0+0-IF(O1105&gt;=6,6,0)))</f>
        <v>0</v>
      </c>
      <c r="AZ1105" s="1">
        <f t="shared" si="1553"/>
        <v>5</v>
      </c>
      <c r="BA1105" s="1">
        <f t="shared" si="1563"/>
        <v>5</v>
      </c>
      <c r="BB1105" s="1">
        <f>MIN(30,R1105+5)</f>
        <v>20</v>
      </c>
      <c r="BC1105" s="1">
        <f t="shared" si="1569"/>
        <v>3</v>
      </c>
      <c r="BD1105" s="1">
        <f t="shared" si="1542"/>
        <v>1</v>
      </c>
      <c r="BE1105" s="1">
        <f t="shared" si="1535"/>
        <v>0</v>
      </c>
      <c r="BF1105" s="1">
        <f>MIN(4,V1105+0)</f>
        <v>3</v>
      </c>
      <c r="BG1105" s="1">
        <f t="shared" si="1560"/>
        <v>1</v>
      </c>
      <c r="BH1105" s="1">
        <f t="shared" si="1536"/>
        <v>1</v>
      </c>
      <c r="BI1105" s="1">
        <f t="shared" si="1561"/>
        <v>1</v>
      </c>
      <c r="BJ1105" s="1">
        <f t="shared" si="1564"/>
        <v>1</v>
      </c>
      <c r="BK1105" s="1">
        <f t="shared" si="1565"/>
        <v>1</v>
      </c>
      <c r="BL1105" s="1">
        <f t="shared" ref="BL1105:BL1139" si="1570">MAX(AB1105,0)</f>
        <v>1</v>
      </c>
      <c r="BM1105" s="1">
        <f t="shared" si="1568"/>
        <v>1</v>
      </c>
      <c r="BN1105" s="1">
        <f t="shared" si="1537"/>
        <v>1</v>
      </c>
      <c r="BO1105" s="1">
        <f t="shared" si="1538"/>
        <v>1</v>
      </c>
    </row>
    <row r="1106" spans="1:67" ht="30.95" customHeight="1">
      <c r="A1106" s="1">
        <f>30</f>
        <v>30</v>
      </c>
      <c r="B1106" s="1">
        <f>固定流程!A26</f>
        <v>21</v>
      </c>
      <c r="C1106" s="1">
        <f>33</f>
        <v>33</v>
      </c>
      <c r="D1106" s="1">
        <f>1</f>
        <v>1</v>
      </c>
      <c r="E1106" s="1">
        <f>固定流程!C26</f>
        <v>3</v>
      </c>
      <c r="F1106" s="1">
        <f>固定流程!G26</f>
        <v>1</v>
      </c>
      <c r="G1106" s="1" t="str">
        <f>固定流程!H26</f>
        <v>LILYA_DIVE</v>
      </c>
      <c r="H1106" s="1">
        <f>固定流程!F26</f>
        <v>3</v>
      </c>
      <c r="I1106" s="1">
        <f>INDEX(配置与结果!$B$15:$B$18,F1106)</f>
        <v>2296</v>
      </c>
      <c r="J1106" s="1">
        <f>INDEX(配置与结果!$D$15:$D$18,F1106)</f>
        <v>0.7</v>
      </c>
      <c r="K1106" s="1">
        <f>INDEX(配置与结果!$E$15:$E$18,F1106)</f>
        <v>2.0249999999999999</v>
      </c>
      <c r="L1106" s="1">
        <f t="shared" si="1557"/>
        <v>2</v>
      </c>
      <c r="M1106" s="1">
        <f t="shared" si="1558"/>
        <v>10</v>
      </c>
      <c r="N1106" s="1">
        <f t="shared" si="1559"/>
        <v>2</v>
      </c>
      <c r="O1106" s="1">
        <f t="shared" si="1543"/>
        <v>0</v>
      </c>
      <c r="P1106" s="1">
        <f>MIN(方案参数!$AI$33,AZ1105+0+0)</f>
        <v>5</v>
      </c>
      <c r="Q1106" s="1">
        <f t="shared" si="1521"/>
        <v>5</v>
      </c>
      <c r="R1106" s="1">
        <f t="shared" si="1522"/>
        <v>20</v>
      </c>
      <c r="S1106" s="1">
        <f t="shared" si="1523"/>
        <v>3</v>
      </c>
      <c r="T1106" s="1">
        <f t="shared" si="1566"/>
        <v>1</v>
      </c>
      <c r="U1106" s="1">
        <f t="shared" si="1525"/>
        <v>0</v>
      </c>
      <c r="V1106" s="1">
        <f t="shared" si="1526"/>
        <v>3</v>
      </c>
      <c r="W1106" s="1">
        <f t="shared" si="1527"/>
        <v>1</v>
      </c>
      <c r="X1106" s="1">
        <f t="shared" si="1528"/>
        <v>1</v>
      </c>
      <c r="Y1106" s="1">
        <f t="shared" si="1529"/>
        <v>1</v>
      </c>
      <c r="Z1106" s="1">
        <f t="shared" si="1530"/>
        <v>1</v>
      </c>
      <c r="AA1106" s="1">
        <f t="shared" si="1562"/>
        <v>1</v>
      </c>
      <c r="AB1106" s="1">
        <f t="shared" si="1532"/>
        <v>1</v>
      </c>
      <c r="AC1106" s="1">
        <f t="shared" si="1567"/>
        <v>1</v>
      </c>
      <c r="AD1106" s="1">
        <f>ROUNDDOWN(I1106*(1+IF(F1106=3,0.05+方案参数!$Y$33+AA1106*0.12,IF(F1106=4,方案参数!$BZ$33*方案参数!$AS$33,0)))+IF(AND(X1106=1,F1106&lt;&gt;3),方案参数!$CC$33,0)+AC1106*方案参数!$CB$33,0)</f>
        <v>3034</v>
      </c>
      <c r="AE1106" s="1">
        <f>IF(OR(F1106=1,F1106=4),配置与结果!$B$24,配置与结果!$B$25)*MAX(0,1-INDEX(配置与结果!$I$15:$I$18,F1106))</f>
        <v>1200</v>
      </c>
      <c r="AF1106" s="1">
        <f>(IF(L1106=1,方案参数!$AW$33,IF(L1106=2,方案参数!$AX$33,0))+方案参数!$AV$33)*H1106</f>
        <v>30</v>
      </c>
      <c r="AG1106" s="1">
        <f>MAX(配置与结果!$B$32,1+INDEX(配置与结果!$F$15:$F$18,F1106)+0.08+方案参数!$CD$33+Q1106*方案参数!$W$33+Y1106*(方案参数!$AN$33+MIN(方案参数!$AO$33,P1106*0.03))+AB1106*方案参数!$BZ$33*0.025+IF(L1106=1,方案参数!$AY$33+(H1106-1)*0.1,IF(L1106=2,方案参数!$AZ$33+(H1106-1)*0.2,0))-配置与结果!$B$28)</f>
        <v>2.8150000000000004</v>
      </c>
      <c r="AH1106" s="1">
        <f>MAX(0,1+INDEX(配置与结果!$G$15:$G$18,F1106)+W1106*方案参数!$AG$33+IF(L1106=1,方案参数!$BA$33,IF(L1106=2,方案参数!$BB$33,0))+M1106*方案参数!$BC$33)</f>
        <v>3.1</v>
      </c>
      <c r="AI1106" s="1">
        <f>IF(OR(INDEX(配置与结果!$K$15:$K$18,F1106)=1,G1106="RHI_BERRY"),1+配置与结果!$B$33+P1106*方案参数!$AH$33,1)</f>
        <v>1</v>
      </c>
      <c r="AJ1106" s="1">
        <f>MIN(1,MAX(0,J1106+方案参数!$AB$33-配置与结果!$B$27))</f>
        <v>1</v>
      </c>
      <c r="AK1106" s="1">
        <f>MAX(1,K1106+IF(F1106=2,0.15+方案参数!$CH$33,0)+BN1106*方案参数!$X$33+R1106*方案参数!$AA$33+0-配置与结果!$B$26+Z1106*(方案参数!$AP$33+MIN(方案参数!$AQ$33,P1106*0.03)))</f>
        <v>2.165</v>
      </c>
      <c r="AL1106" s="7">
        <f>ROUNDDOWN(MAX(AD1106*配置与结果!$B$31,AD1106-AE1106)*AF1106*AG1106*AH1106*AI1106,0)</f>
        <v>480132</v>
      </c>
      <c r="AM1106" s="7">
        <f>ROUNDDOWN(MAX(AD1106*配置与结果!$B$31,AD1106-AE1106)*AF1106*AG1106*AH1106*AI1106*AK1106,0)</f>
        <v>1039485</v>
      </c>
      <c r="AN1106" s="7">
        <f t="shared" si="1546"/>
        <v>1039485</v>
      </c>
      <c r="AO1106" s="7">
        <f>0</f>
        <v>0</v>
      </c>
      <c r="AP1106" s="7">
        <f>MAX(0,1+INDEX(配置与结果!$J$15:$J$18,F1106)+IF(T1106&gt;0,方案参数!$BY$33,0)-配置与结果!$B$30)</f>
        <v>2</v>
      </c>
      <c r="AQ1106" s="7">
        <f t="shared" si="1547"/>
        <v>0</v>
      </c>
      <c r="AR1106" s="7">
        <f t="shared" si="1548"/>
        <v>0</v>
      </c>
      <c r="AS1106" s="7">
        <f t="shared" si="1549"/>
        <v>0</v>
      </c>
      <c r="AT1106" s="7">
        <f>0</f>
        <v>0</v>
      </c>
      <c r="AU1106" s="7">
        <f t="shared" si="1550"/>
        <v>1039485</v>
      </c>
      <c r="AV1106" s="1">
        <f t="shared" si="1551"/>
        <v>2</v>
      </c>
      <c r="AW1106" s="1">
        <f>MIN(10,M1106+0+IF(L1106=1,方案参数!$BE$33,0))</f>
        <v>10</v>
      </c>
      <c r="AX1106" s="1">
        <f t="shared" si="1552"/>
        <v>2</v>
      </c>
      <c r="AY1106" s="1">
        <f>MIN(20,MAX(0,O1106+0+0-0))</f>
        <v>0</v>
      </c>
      <c r="AZ1106" s="1">
        <f t="shared" si="1553"/>
        <v>5</v>
      </c>
      <c r="BA1106" s="1">
        <f t="shared" si="1563"/>
        <v>5</v>
      </c>
      <c r="BB1106" s="1">
        <f t="shared" ref="BB1106:BB1121" si="1571">MIN(30,R1106+0)</f>
        <v>20</v>
      </c>
      <c r="BC1106" s="1">
        <f t="shared" si="1569"/>
        <v>3</v>
      </c>
      <c r="BD1106" s="1">
        <f t="shared" si="1542"/>
        <v>1</v>
      </c>
      <c r="BE1106" s="1">
        <f t="shared" si="1535"/>
        <v>0</v>
      </c>
      <c r="BF1106" s="1">
        <f>MIN(4,V1106+0)</f>
        <v>3</v>
      </c>
      <c r="BG1106" s="1">
        <f t="shared" si="1560"/>
        <v>1</v>
      </c>
      <c r="BH1106" s="1">
        <f t="shared" si="1536"/>
        <v>1</v>
      </c>
      <c r="BI1106" s="1">
        <f t="shared" si="1561"/>
        <v>1</v>
      </c>
      <c r="BJ1106" s="1">
        <f t="shared" si="1564"/>
        <v>1</v>
      </c>
      <c r="BK1106" s="1">
        <f t="shared" si="1565"/>
        <v>1</v>
      </c>
      <c r="BL1106" s="1">
        <f t="shared" si="1570"/>
        <v>1</v>
      </c>
      <c r="BM1106" s="1">
        <f t="shared" si="1568"/>
        <v>1</v>
      </c>
      <c r="BN1106" s="1">
        <f t="shared" si="1537"/>
        <v>1</v>
      </c>
      <c r="BO1106" s="1">
        <f t="shared" si="1538"/>
        <v>1</v>
      </c>
    </row>
    <row r="1107" spans="1:67" ht="30.95" customHeight="1">
      <c r="A1107" s="1">
        <f>30</f>
        <v>30</v>
      </c>
      <c r="B1107" s="1">
        <f>固定流程!A27</f>
        <v>22</v>
      </c>
      <c r="C1107" s="1">
        <f>33</f>
        <v>33</v>
      </c>
      <c r="D1107" s="1">
        <f>1</f>
        <v>1</v>
      </c>
      <c r="E1107" s="1">
        <f>固定流程!C27</f>
        <v>3</v>
      </c>
      <c r="F1107" s="1">
        <f>固定流程!G27</f>
        <v>3</v>
      </c>
      <c r="G1107" s="1" t="str">
        <f>固定流程!H27</f>
        <v>RHI_BERRY</v>
      </c>
      <c r="H1107" s="1">
        <f>固定流程!F27</f>
        <v>1</v>
      </c>
      <c r="I1107" s="1">
        <f>INDEX(配置与结果!$B$15:$B$18,F1107)</f>
        <v>2597</v>
      </c>
      <c r="J1107" s="1">
        <f>INDEX(配置与结果!$D$15:$D$18,F1107)</f>
        <v>0.255</v>
      </c>
      <c r="K1107" s="1">
        <f>INDEX(配置与结果!$E$15:$E$18,F1107)</f>
        <v>1.55</v>
      </c>
      <c r="L1107" s="1">
        <f t="shared" si="1557"/>
        <v>2</v>
      </c>
      <c r="M1107" s="1">
        <f t="shared" si="1558"/>
        <v>10</v>
      </c>
      <c r="N1107" s="1">
        <f t="shared" si="1559"/>
        <v>2</v>
      </c>
      <c r="O1107" s="1">
        <f t="shared" si="1543"/>
        <v>0</v>
      </c>
      <c r="P1107" s="1">
        <f>MIN(方案参数!$AI$33,AZ1106+0+0)</f>
        <v>5</v>
      </c>
      <c r="Q1107" s="1">
        <f t="shared" si="1521"/>
        <v>5</v>
      </c>
      <c r="R1107" s="1">
        <f t="shared" si="1522"/>
        <v>20</v>
      </c>
      <c r="S1107" s="1">
        <f t="shared" si="1523"/>
        <v>3</v>
      </c>
      <c r="T1107" s="1">
        <f t="shared" si="1566"/>
        <v>1</v>
      </c>
      <c r="U1107" s="1">
        <f t="shared" si="1525"/>
        <v>0</v>
      </c>
      <c r="V1107" s="1">
        <f t="shared" si="1526"/>
        <v>3</v>
      </c>
      <c r="W1107" s="1">
        <f t="shared" si="1527"/>
        <v>1</v>
      </c>
      <c r="X1107" s="1">
        <f t="shared" si="1528"/>
        <v>1</v>
      </c>
      <c r="Y1107" s="1">
        <f t="shared" si="1529"/>
        <v>1</v>
      </c>
      <c r="Z1107" s="1">
        <f t="shared" si="1530"/>
        <v>1</v>
      </c>
      <c r="AA1107" s="1">
        <f t="shared" si="1562"/>
        <v>1</v>
      </c>
      <c r="AB1107" s="1">
        <f t="shared" si="1532"/>
        <v>1</v>
      </c>
      <c r="AC1107" s="1">
        <f t="shared" si="1567"/>
        <v>1</v>
      </c>
      <c r="AD1107" s="1">
        <f>ROUNDDOWN(I1107*(1+IF(F1107=3,0.05+方案参数!$Y$33+AA1107*0.12,IF(F1107=4,方案参数!$BZ$33*方案参数!$AS$33,0)))+IF(AND(X1107=1,F1107&lt;&gt;3),方案参数!$CC$33,0)+AC1107*方案参数!$CB$33,0)</f>
        <v>3798</v>
      </c>
      <c r="AE1107" s="1">
        <f>IF(OR(F1107=1,F1107=4),配置与结果!$B$24,配置与结果!$B$25)*MAX(0,1-INDEX(配置与结果!$I$15:$I$18,F1107))</f>
        <v>1000</v>
      </c>
      <c r="AF1107" s="1">
        <f>方案参数!$CF$33+P1107*方案参数!$CG$33</f>
        <v>22.5</v>
      </c>
      <c r="AG1107" s="1">
        <f>MAX(配置与结果!$B$32,1+INDEX(配置与结果!$F$15:$F$18,F1107)+0+Q1107*方案参数!$W$33+Y1107*(方案参数!$AN$33+MIN(方案参数!$AO$33,P1107*0.03))+AB1107*方案参数!$BZ$33*0.025-配置与结果!$B$28)</f>
        <v>1.9100000000000001</v>
      </c>
      <c r="AH1107" s="1">
        <f>MAX(0,1+INDEX(配置与结果!$G$15:$G$18,F1107)+W1107*方案参数!$AG$33)</f>
        <v>1.3</v>
      </c>
      <c r="AI1107" s="1">
        <f>IF(OR(INDEX(配置与结果!$K$15:$K$18,F1107)=1,G1107="RHI_BERRY"),1+配置与结果!$B$33+P1107*方案参数!$AH$33,1)</f>
        <v>1.5</v>
      </c>
      <c r="AJ1107" s="1">
        <f>MIN(1,MAX(0,J1107+方案参数!$AB$33-配置与结果!$B$27))</f>
        <v>0.55499999999999994</v>
      </c>
      <c r="AK1107" s="1">
        <f>MAX(1,K1107+IF(F1107=2,0.15+方案参数!$CH$33,0)+BN1107*方案参数!$X$33+R1107*方案参数!$AA$33+0-配置与结果!$B$26+Z1107*(方案参数!$AP$33+MIN(方案参数!$AQ$33,P1107*0.03)))</f>
        <v>1.6900000000000002</v>
      </c>
      <c r="AL1107" s="7">
        <f>ROUNDDOWN(MAX(AD1107*配置与结果!$B$31,AD1107-AE1107)*AF1107*AG1107*AH1107*AI1107,0)</f>
        <v>234475</v>
      </c>
      <c r="AM1107" s="7">
        <f>ROUNDDOWN(MAX(AD1107*配置与结果!$B$31,AD1107-AE1107)*AF1107*AG1107*AH1107*AI1107*AK1107,0)</f>
        <v>396264</v>
      </c>
      <c r="AN1107" s="7">
        <f t="shared" si="1546"/>
        <v>324267.89500000002</v>
      </c>
      <c r="AO1107" s="7">
        <f>0</f>
        <v>0</v>
      </c>
      <c r="AP1107" s="7">
        <f>MAX(0,1+INDEX(配置与结果!$J$15:$J$18,F1107)+IF(T1107&gt;0,方案参数!$BY$33,0)-配置与结果!$B$30)</f>
        <v>2</v>
      </c>
      <c r="AQ1107" s="7">
        <f t="shared" si="1547"/>
        <v>0</v>
      </c>
      <c r="AR1107" s="7">
        <f t="shared" si="1548"/>
        <v>0</v>
      </c>
      <c r="AS1107" s="7">
        <f t="shared" si="1549"/>
        <v>0</v>
      </c>
      <c r="AT1107" s="7">
        <f>0</f>
        <v>0</v>
      </c>
      <c r="AU1107" s="7">
        <f t="shared" si="1550"/>
        <v>324267.89500000002</v>
      </c>
      <c r="AV1107" s="1">
        <f t="shared" si="1551"/>
        <v>2</v>
      </c>
      <c r="AW1107" s="1">
        <f t="shared" ref="AW1107:AW1123" si="1572">MIN(10,M1107+0+0)</f>
        <v>10</v>
      </c>
      <c r="AX1107" s="1">
        <f t="shared" si="1552"/>
        <v>2</v>
      </c>
      <c r="AY1107" s="1">
        <f>MIN(20,MAX(0,O1107+0+0-0))</f>
        <v>0</v>
      </c>
      <c r="AZ1107" s="1">
        <f t="shared" si="1553"/>
        <v>5</v>
      </c>
      <c r="BA1107" s="1">
        <f t="shared" si="1563"/>
        <v>5</v>
      </c>
      <c r="BB1107" s="1">
        <f t="shared" si="1571"/>
        <v>20</v>
      </c>
      <c r="BC1107" s="1">
        <f t="shared" si="1569"/>
        <v>3</v>
      </c>
      <c r="BD1107" s="1">
        <f t="shared" si="1542"/>
        <v>1</v>
      </c>
      <c r="BE1107" s="1">
        <f t="shared" si="1535"/>
        <v>0</v>
      </c>
      <c r="BF1107" s="1">
        <f>MIN(4,V1107+0)</f>
        <v>3</v>
      </c>
      <c r="BG1107" s="1">
        <f t="shared" si="1560"/>
        <v>1</v>
      </c>
      <c r="BH1107" s="1">
        <f t="shared" si="1536"/>
        <v>1</v>
      </c>
      <c r="BI1107" s="1">
        <f t="shared" si="1561"/>
        <v>1</v>
      </c>
      <c r="BJ1107" s="1">
        <f t="shared" si="1564"/>
        <v>1</v>
      </c>
      <c r="BK1107" s="1">
        <f t="shared" si="1565"/>
        <v>1</v>
      </c>
      <c r="BL1107" s="1">
        <f t="shared" si="1570"/>
        <v>1</v>
      </c>
      <c r="BM1107" s="1">
        <f t="shared" si="1568"/>
        <v>1</v>
      </c>
      <c r="BN1107" s="1">
        <f t="shared" si="1537"/>
        <v>1</v>
      </c>
      <c r="BO1107" s="1">
        <f t="shared" si="1538"/>
        <v>1</v>
      </c>
    </row>
    <row r="1108" spans="1:67" ht="30.95" customHeight="1">
      <c r="A1108" s="1">
        <f>30</f>
        <v>30</v>
      </c>
      <c r="B1108" s="1">
        <f>固定流程!A28</f>
        <v>23</v>
      </c>
      <c r="C1108" s="1">
        <f>33</f>
        <v>33</v>
      </c>
      <c r="D1108" s="1">
        <f>1</f>
        <v>1</v>
      </c>
      <c r="E1108" s="1">
        <f>固定流程!C28</f>
        <v>3</v>
      </c>
      <c r="F1108" s="1">
        <f>固定流程!G28</f>
        <v>2</v>
      </c>
      <c r="G1108" s="1" t="str">
        <f>固定流程!H28</f>
        <v>37_FOLLOW</v>
      </c>
      <c r="H1108" s="1">
        <f>固定流程!F28</f>
        <v>1</v>
      </c>
      <c r="I1108" s="1">
        <f>INDEX(配置与结果!$B$15:$B$18,F1108)</f>
        <v>2306</v>
      </c>
      <c r="J1108" s="1">
        <f>INDEX(配置与结果!$D$15:$D$18,F1108)</f>
        <v>0.46</v>
      </c>
      <c r="K1108" s="1">
        <f>INDEX(配置与结果!$E$15:$E$18,F1108)</f>
        <v>1.9279999999999999</v>
      </c>
      <c r="L1108" s="1">
        <f t="shared" si="1557"/>
        <v>2</v>
      </c>
      <c r="M1108" s="1">
        <f t="shared" si="1558"/>
        <v>10</v>
      </c>
      <c r="N1108" s="1">
        <f t="shared" si="1559"/>
        <v>2</v>
      </c>
      <c r="O1108" s="1">
        <f t="shared" si="1543"/>
        <v>0</v>
      </c>
      <c r="P1108" s="1">
        <f>MIN(方案参数!$AI$33,AZ1107+0+0)</f>
        <v>5</v>
      </c>
      <c r="Q1108" s="1">
        <f t="shared" si="1521"/>
        <v>5</v>
      </c>
      <c r="R1108" s="1">
        <f t="shared" si="1522"/>
        <v>20</v>
      </c>
      <c r="S1108" s="1">
        <f t="shared" si="1523"/>
        <v>3</v>
      </c>
      <c r="T1108" s="1">
        <f t="shared" si="1566"/>
        <v>1</v>
      </c>
      <c r="U1108" s="1">
        <f t="shared" si="1525"/>
        <v>0</v>
      </c>
      <c r="V1108" s="1">
        <f t="shared" si="1526"/>
        <v>3</v>
      </c>
      <c r="W1108" s="1">
        <f t="shared" si="1527"/>
        <v>1</v>
      </c>
      <c r="X1108" s="1">
        <f t="shared" si="1528"/>
        <v>1</v>
      </c>
      <c r="Y1108" s="1">
        <f t="shared" si="1529"/>
        <v>1</v>
      </c>
      <c r="Z1108" s="1">
        <f t="shared" si="1530"/>
        <v>1</v>
      </c>
      <c r="AA1108" s="1">
        <f t="shared" si="1562"/>
        <v>1</v>
      </c>
      <c r="AB1108" s="1">
        <f t="shared" si="1532"/>
        <v>1</v>
      </c>
      <c r="AC1108" s="1">
        <f t="shared" si="1567"/>
        <v>1</v>
      </c>
      <c r="AD1108" s="1">
        <f>ROUNDDOWN(I1108*(1+IF(F1108=3,0.05+方案参数!$Y$33+AA1108*0.12,IF(F1108=4,方案参数!$BZ$33*方案参数!$AS$33,0)))+IF(AND(X1108=1,F1108&lt;&gt;3),方案参数!$CC$33,0)+AC1108*方案参数!$CB$33,0)</f>
        <v>3044</v>
      </c>
      <c r="AE1108" s="1">
        <f>IF(OR(F1108=1,F1108=4),配置与结果!$B$24,配置与结果!$B$25)*MAX(0,1-INDEX(配置与结果!$I$15:$I$18,F1108))</f>
        <v>1000</v>
      </c>
      <c r="AF1108" s="1">
        <f>方案参数!$BV$33</f>
        <v>3</v>
      </c>
      <c r="AG1108" s="1">
        <f>MAX(配置与结果!$B$32,1+INDEX(配置与结果!$F$15:$F$18,F1108)+0+Q1108*方案参数!$W$33+Y1108*(方案参数!$AN$33+MIN(方案参数!$AO$33,P1108*0.03))+AB1108*方案参数!$BZ$33*0.025-配置与结果!$B$28)</f>
        <v>1.8800000000000003</v>
      </c>
      <c r="AH1108" s="1">
        <f>MAX(0,1+INDEX(配置与结果!$G$15:$G$18,F1108)+W1108*方案参数!$AG$33)</f>
        <v>1.3</v>
      </c>
      <c r="AI1108" s="1">
        <f>IF(OR(INDEX(配置与结果!$K$15:$K$18,F1108)=1,G1108="RHI_BERRY"),1+配置与结果!$B$33+P1108*方案参数!$AH$33,1)</f>
        <v>1</v>
      </c>
      <c r="AJ1108" s="1">
        <f>MIN(1,MAX(0,J1108+方案参数!$AB$33-配置与结果!$B$27))</f>
        <v>0.76</v>
      </c>
      <c r="AK1108" s="1">
        <f>MAX(1,K1108+IF(F1108=2,0.15+方案参数!$CH$33,0)+BN1108*方案参数!$X$33+R1108*方案参数!$AA$33+0-配置与结果!$B$26+Z1108*(方案参数!$AP$33+MIN(方案参数!$AQ$33,P1108*0.03)))</f>
        <v>2.3380000000000001</v>
      </c>
      <c r="AL1108" s="7">
        <f>ROUNDDOWN(MAX(AD1108*配置与结果!$B$31,AD1108-AE1108)*AF1108*AG1108*AH1108*AI1108,0)</f>
        <v>14986</v>
      </c>
      <c r="AM1108" s="7">
        <f>ROUNDDOWN(MAX(AD1108*配置与结果!$B$31,AD1108-AE1108)*AF1108*AG1108*AH1108*AI1108*AK1108,0)</f>
        <v>35038</v>
      </c>
      <c r="AN1108" s="7">
        <f t="shared" si="1546"/>
        <v>30225.52</v>
      </c>
      <c r="AO1108" s="7">
        <f>方案参数!$BW$33</f>
        <v>1</v>
      </c>
      <c r="AP1108" s="7">
        <f>MAX(0,1+INDEX(配置与结果!$J$15:$J$18,F1108)+IF(T1108&gt;0,方案参数!$BY$33,0)-配置与结果!$B$30)</f>
        <v>2</v>
      </c>
      <c r="AQ1108" s="7">
        <f t="shared" si="1547"/>
        <v>6088</v>
      </c>
      <c r="AR1108" s="7">
        <f t="shared" si="1548"/>
        <v>14233</v>
      </c>
      <c r="AS1108" s="7">
        <f t="shared" si="1549"/>
        <v>12278.2</v>
      </c>
      <c r="AT1108" s="7">
        <f>0</f>
        <v>0</v>
      </c>
      <c r="AU1108" s="7">
        <f t="shared" si="1550"/>
        <v>42503.72</v>
      </c>
      <c r="AV1108" s="1">
        <f t="shared" si="1551"/>
        <v>2</v>
      </c>
      <c r="AW1108" s="1">
        <f t="shared" si="1572"/>
        <v>10</v>
      </c>
      <c r="AX1108" s="1">
        <f t="shared" si="1552"/>
        <v>2</v>
      </c>
      <c r="AY1108" s="1">
        <f>MIN(20,MAX(0,O1108+0+0-0))</f>
        <v>0</v>
      </c>
      <c r="AZ1108" s="1">
        <f t="shared" si="1553"/>
        <v>5</v>
      </c>
      <c r="BA1108" s="1">
        <f t="shared" si="1563"/>
        <v>5</v>
      </c>
      <c r="BB1108" s="1">
        <f t="shared" si="1571"/>
        <v>20</v>
      </c>
      <c r="BC1108" s="1">
        <f t="shared" si="1569"/>
        <v>3</v>
      </c>
      <c r="BD1108" s="1">
        <f t="shared" si="1542"/>
        <v>0</v>
      </c>
      <c r="BE1108" s="1">
        <f t="shared" si="1535"/>
        <v>0</v>
      </c>
      <c r="BF1108" s="1">
        <f>MIN(4,V1108+1)</f>
        <v>4</v>
      </c>
      <c r="BG1108" s="1">
        <f t="shared" si="1560"/>
        <v>1</v>
      </c>
      <c r="BH1108" s="1">
        <f t="shared" si="1536"/>
        <v>1</v>
      </c>
      <c r="BI1108" s="1">
        <f t="shared" si="1561"/>
        <v>1</v>
      </c>
      <c r="BJ1108" s="1">
        <f t="shared" si="1564"/>
        <v>1</v>
      </c>
      <c r="BK1108" s="1">
        <f t="shared" si="1565"/>
        <v>1</v>
      </c>
      <c r="BL1108" s="1">
        <f t="shared" si="1570"/>
        <v>1</v>
      </c>
      <c r="BM1108" s="1">
        <f t="shared" si="1568"/>
        <v>1</v>
      </c>
      <c r="BN1108" s="1">
        <f t="shared" si="1537"/>
        <v>1</v>
      </c>
      <c r="BO1108" s="1">
        <f t="shared" si="1538"/>
        <v>1</v>
      </c>
    </row>
    <row r="1109" spans="1:67" ht="30.95" customHeight="1">
      <c r="A1109" s="1">
        <f>30</f>
        <v>30</v>
      </c>
      <c r="B1109" s="1">
        <f>固定流程!A29</f>
        <v>24</v>
      </c>
      <c r="C1109" s="1">
        <f>33</f>
        <v>33</v>
      </c>
      <c r="D1109" s="1">
        <f>2</f>
        <v>2</v>
      </c>
      <c r="E1109" s="1">
        <f>固定流程!C29</f>
        <v>3</v>
      </c>
      <c r="F1109" s="1">
        <f>固定流程!G29</f>
        <v>1</v>
      </c>
      <c r="G1109" s="1" t="str">
        <f>固定流程!H29</f>
        <v>LILYA_WEAK</v>
      </c>
      <c r="H1109" s="1">
        <f>固定流程!F29</f>
        <v>1</v>
      </c>
      <c r="I1109" s="1">
        <f>INDEX(配置与结果!$B$15:$B$18,F1109)</f>
        <v>2296</v>
      </c>
      <c r="J1109" s="1">
        <f>INDEX(配置与结果!$D$15:$D$18,F1109)</f>
        <v>0.7</v>
      </c>
      <c r="K1109" s="1">
        <f>INDEX(配置与结果!$E$15:$E$18,F1109)</f>
        <v>2.0249999999999999</v>
      </c>
      <c r="L1109" s="1">
        <f t="shared" si="1557"/>
        <v>2</v>
      </c>
      <c r="M1109" s="1">
        <f t="shared" si="1558"/>
        <v>10</v>
      </c>
      <c r="N1109" s="1">
        <f t="shared" si="1559"/>
        <v>2</v>
      </c>
      <c r="O1109" s="1">
        <f t="shared" si="1543"/>
        <v>0</v>
      </c>
      <c r="P1109" s="1">
        <f>MIN(方案参数!$AI$33,AZ1108+0+0)</f>
        <v>5</v>
      </c>
      <c r="Q1109" s="1">
        <f t="shared" si="1521"/>
        <v>5</v>
      </c>
      <c r="R1109" s="1">
        <f t="shared" si="1522"/>
        <v>20</v>
      </c>
      <c r="S1109" s="1">
        <f t="shared" si="1523"/>
        <v>3</v>
      </c>
      <c r="T1109" s="1">
        <f t="shared" si="1566"/>
        <v>0</v>
      </c>
      <c r="U1109" s="1">
        <f t="shared" si="1525"/>
        <v>0</v>
      </c>
      <c r="V1109" s="1">
        <f t="shared" si="1526"/>
        <v>4</v>
      </c>
      <c r="W1109" s="1">
        <f t="shared" si="1527"/>
        <v>1</v>
      </c>
      <c r="X1109" s="1">
        <f t="shared" si="1528"/>
        <v>1</v>
      </c>
      <c r="Y1109" s="1">
        <f t="shared" si="1529"/>
        <v>1</v>
      </c>
      <c r="Z1109" s="1">
        <f t="shared" si="1530"/>
        <v>1</v>
      </c>
      <c r="AA1109" s="1">
        <f t="shared" si="1562"/>
        <v>1</v>
      </c>
      <c r="AB1109" s="1">
        <f t="shared" si="1532"/>
        <v>1</v>
      </c>
      <c r="AC1109" s="1">
        <f t="shared" si="1567"/>
        <v>1</v>
      </c>
      <c r="AD1109" s="1">
        <f>ROUNDDOWN(I1109*(1+IF(F1109=3,0.05+方案参数!$Y$33+AA1109*0.12,IF(F1109=4,方案参数!$BZ$33*方案参数!$AS$33,0)))+IF(AND(X1109=1,F1109&lt;&gt;3),方案参数!$CC$33,0)+AC1109*方案参数!$CB$33,0)</f>
        <v>3034</v>
      </c>
      <c r="AE1109" s="1">
        <f>IF(OR(F1109=1,F1109=4),配置与结果!$B$24,配置与结果!$B$25)*MAX(0,1-INDEX(配置与结果!$I$15:$I$18,F1109))</f>
        <v>1200</v>
      </c>
      <c r="AF1109" s="1">
        <f>方案参数!$BL$33</f>
        <v>9</v>
      </c>
      <c r="AG1109" s="1">
        <f>MAX(配置与结果!$B$32,1+INDEX(配置与结果!$F$15:$F$18,F1109)+0.08+方案参数!$CD$33+Q1109*方案参数!$W$33+Y1109*(方案参数!$AN$33+MIN(方案参数!$AO$33,P1109*0.03))+AB1109*方案参数!$BZ$33*0.025-配置与结果!$B$28+方案参数!$AE$33)</f>
        <v>2.6150000000000002</v>
      </c>
      <c r="AH1109" s="1">
        <f>MAX(0,1+V1109*方案参数!$U$33+0*方案参数!$V$33+方案参数!$AE$33-配置与结果!$B$29)</f>
        <v>1.56</v>
      </c>
      <c r="AI1109" s="1">
        <f>IF(OR(INDEX(配置与结果!$K$15:$K$18,F1109)=1,G1109="RHI_BERRY"),1+配置与结果!$B$33+P1109*方案参数!$AH$33,1)</f>
        <v>1</v>
      </c>
      <c r="AJ1109" s="1">
        <f>MIN(1,MAX(0,J1109+方案参数!$AB$33-配置与结果!$B$27))</f>
        <v>1</v>
      </c>
      <c r="AK1109" s="1">
        <f>MAX(1,K1109+IF(F1109=2,0.15+方案参数!$CH$33,0)+BN1109*方案参数!$X$33+R1109*方案参数!$AA$33+方案参数!$BP$33-配置与结果!$B$26+Z1109*(方案参数!$AP$33+MIN(方案参数!$AQ$33,P1109*0.03)))</f>
        <v>2.7650000000000001</v>
      </c>
      <c r="AL1109" s="7">
        <f>ROUNDDOWN(MAX(AD1109*配置与结果!$B$31,AD1109-AE1109)*AF1109*AG1109*AH1109*AI1109,0)</f>
        <v>67334</v>
      </c>
      <c r="AM1109" s="7">
        <f>ROUNDDOWN(MAX(AD1109*配置与结果!$B$31,AD1109-AE1109)*AF1109*AG1109*AH1109*AI1109*AK1109,0)</f>
        <v>186180</v>
      </c>
      <c r="AN1109" s="7">
        <f t="shared" si="1546"/>
        <v>186180</v>
      </c>
      <c r="AO1109" s="7">
        <f>0</f>
        <v>0</v>
      </c>
      <c r="AP1109" s="7">
        <f>MAX(0,1+INDEX(配置与结果!$J$15:$J$18,F1109)+IF(T1109&gt;0,方案参数!$BY$33,0)-配置与结果!$B$30)</f>
        <v>1</v>
      </c>
      <c r="AQ1109" s="7">
        <f t="shared" si="1547"/>
        <v>0</v>
      </c>
      <c r="AR1109" s="7">
        <f t="shared" si="1548"/>
        <v>0</v>
      </c>
      <c r="AS1109" s="7">
        <f t="shared" si="1549"/>
        <v>0</v>
      </c>
      <c r="AT1109" s="7">
        <f>IF(U1109&gt;0,ROUNDDOWN(AL1109*方案参数!$AF$33,0)*(1-AJ1109)+ROUNDDOWN(AM1109*方案参数!$AF$33,0)*AJ1109,0)</f>
        <v>0</v>
      </c>
      <c r="AU1109" s="7">
        <f t="shared" si="1550"/>
        <v>186180</v>
      </c>
      <c r="AV1109" s="1">
        <f t="shared" si="1551"/>
        <v>2</v>
      </c>
      <c r="AW1109" s="1">
        <f t="shared" si="1572"/>
        <v>10</v>
      </c>
      <c r="AX1109" s="1">
        <f t="shared" si="1552"/>
        <v>2</v>
      </c>
      <c r="AY1109" s="1">
        <f>MIN(20,MAX(0,O1109+0+1-0))</f>
        <v>1</v>
      </c>
      <c r="AZ1109" s="1">
        <f t="shared" si="1553"/>
        <v>5</v>
      </c>
      <c r="BA1109" s="1">
        <f t="shared" si="1563"/>
        <v>5</v>
      </c>
      <c r="BB1109" s="1">
        <f t="shared" si="1571"/>
        <v>20</v>
      </c>
      <c r="BC1109" s="1">
        <f t="shared" si="1569"/>
        <v>3</v>
      </c>
      <c r="BD1109" s="1">
        <f t="shared" si="1542"/>
        <v>0</v>
      </c>
      <c r="BE1109" s="1">
        <f>MAX(0,U1109-IF(AF1109&gt;0,1,0))+0</f>
        <v>0</v>
      </c>
      <c r="BF1109" s="1">
        <f t="shared" ref="BF1109:BF1126" si="1573">MIN(4,V1109+0)</f>
        <v>4</v>
      </c>
      <c r="BG1109" s="1">
        <f t="shared" si="1560"/>
        <v>1</v>
      </c>
      <c r="BH1109" s="1">
        <f t="shared" si="1536"/>
        <v>1</v>
      </c>
      <c r="BI1109" s="1">
        <f t="shared" si="1561"/>
        <v>1</v>
      </c>
      <c r="BJ1109" s="1">
        <f t="shared" si="1564"/>
        <v>1</v>
      </c>
      <c r="BK1109" s="1">
        <f t="shared" si="1565"/>
        <v>1</v>
      </c>
      <c r="BL1109" s="1">
        <f t="shared" si="1570"/>
        <v>1</v>
      </c>
      <c r="BM1109" s="1">
        <f t="shared" si="1568"/>
        <v>1</v>
      </c>
      <c r="BN1109" s="1">
        <f t="shared" si="1537"/>
        <v>1</v>
      </c>
      <c r="BO1109" s="1">
        <f t="shared" si="1538"/>
        <v>1</v>
      </c>
    </row>
    <row r="1110" spans="1:67" ht="30.95" customHeight="1">
      <c r="A1110" s="1">
        <f>30</f>
        <v>30</v>
      </c>
      <c r="B1110" s="1">
        <f>固定流程!A30</f>
        <v>25</v>
      </c>
      <c r="C1110" s="1">
        <f>33</f>
        <v>33</v>
      </c>
      <c r="D1110" s="1">
        <f>2</f>
        <v>2</v>
      </c>
      <c r="E1110" s="1">
        <f>固定流程!C30</f>
        <v>3</v>
      </c>
      <c r="F1110" s="1">
        <f>固定流程!G30</f>
        <v>1</v>
      </c>
      <c r="G1110" s="1" t="str">
        <f>固定流程!H30</f>
        <v>LILYA_WEAK</v>
      </c>
      <c r="H1110" s="1">
        <f>固定流程!F30</f>
        <v>1</v>
      </c>
      <c r="I1110" s="1">
        <f>INDEX(配置与结果!$B$15:$B$18,F1110)</f>
        <v>2296</v>
      </c>
      <c r="J1110" s="1">
        <f>INDEX(配置与结果!$D$15:$D$18,F1110)</f>
        <v>0.7</v>
      </c>
      <c r="K1110" s="1">
        <f>INDEX(配置与结果!$E$15:$E$18,F1110)</f>
        <v>2.0249999999999999</v>
      </c>
      <c r="L1110" s="1">
        <f t="shared" si="1557"/>
        <v>2</v>
      </c>
      <c r="M1110" s="1">
        <f t="shared" si="1558"/>
        <v>10</v>
      </c>
      <c r="N1110" s="1">
        <f t="shared" si="1559"/>
        <v>2</v>
      </c>
      <c r="O1110" s="1">
        <f t="shared" si="1543"/>
        <v>1</v>
      </c>
      <c r="P1110" s="1">
        <f>MIN(方案参数!$AI$33,AZ1109+0+0)</f>
        <v>5</v>
      </c>
      <c r="Q1110" s="1">
        <f t="shared" si="1521"/>
        <v>5</v>
      </c>
      <c r="R1110" s="1">
        <f t="shared" si="1522"/>
        <v>20</v>
      </c>
      <c r="S1110" s="1">
        <f t="shared" si="1523"/>
        <v>3</v>
      </c>
      <c r="T1110" s="1">
        <f t="shared" si="1566"/>
        <v>0</v>
      </c>
      <c r="U1110" s="1">
        <f t="shared" si="1525"/>
        <v>0</v>
      </c>
      <c r="V1110" s="1">
        <f t="shared" si="1526"/>
        <v>4</v>
      </c>
      <c r="W1110" s="1">
        <f t="shared" si="1527"/>
        <v>1</v>
      </c>
      <c r="X1110" s="1">
        <f t="shared" si="1528"/>
        <v>1</v>
      </c>
      <c r="Y1110" s="1">
        <f t="shared" si="1529"/>
        <v>1</v>
      </c>
      <c r="Z1110" s="1">
        <f t="shared" si="1530"/>
        <v>1</v>
      </c>
      <c r="AA1110" s="1">
        <f t="shared" si="1562"/>
        <v>1</v>
      </c>
      <c r="AB1110" s="1">
        <f t="shared" si="1532"/>
        <v>1</v>
      </c>
      <c r="AC1110" s="1">
        <f t="shared" si="1567"/>
        <v>1</v>
      </c>
      <c r="AD1110" s="1">
        <f>ROUNDDOWN(I1110*(1+IF(F1110=3,0.05+方案参数!$Y$33+AA1110*0.12,IF(F1110=4,方案参数!$BZ$33*方案参数!$AS$33,0)))+IF(AND(X1110=1,F1110&lt;&gt;3),方案参数!$CC$33,0)+AC1110*方案参数!$CB$33,0)</f>
        <v>3034</v>
      </c>
      <c r="AE1110" s="1">
        <f>IF(OR(F1110=1,F1110=4),配置与结果!$B$24,配置与结果!$B$25)*MAX(0,1-INDEX(配置与结果!$I$15:$I$18,F1110))</f>
        <v>1200</v>
      </c>
      <c r="AF1110" s="1">
        <f>方案参数!$BL$33</f>
        <v>9</v>
      </c>
      <c r="AG1110" s="1">
        <f>MAX(配置与结果!$B$32,1+INDEX(配置与结果!$F$15:$F$18,F1110)+0.08+方案参数!$CD$33+Q1110*方案参数!$W$33+Y1110*(方案参数!$AN$33+MIN(方案参数!$AO$33,P1110*0.03))+AB1110*方案参数!$BZ$33*0.025-配置与结果!$B$28+方案参数!$AE$33)</f>
        <v>2.6150000000000002</v>
      </c>
      <c r="AH1110" s="1">
        <f>MAX(0,1+V1110*方案参数!$U$33+1*方案参数!$V$33+方案参数!$AE$33-配置与结果!$B$29)</f>
        <v>1.62</v>
      </c>
      <c r="AI1110" s="1">
        <f>IF(OR(INDEX(配置与结果!$K$15:$K$18,F1110)=1,G1110="RHI_BERRY"),1+配置与结果!$B$33+P1110*方案参数!$AH$33,1)</f>
        <v>1</v>
      </c>
      <c r="AJ1110" s="1">
        <f>MIN(1,MAX(0,J1110+方案参数!$AB$33-配置与结果!$B$27))</f>
        <v>1</v>
      </c>
      <c r="AK1110" s="1">
        <f>MAX(1,K1110+IF(F1110=2,0.15+方案参数!$CH$33,0)+BN1110*方案参数!$X$33+R1110*方案参数!$AA$33+方案参数!$BP$33-配置与结果!$B$26+Z1110*(方案参数!$AP$33+MIN(方案参数!$AQ$33,P1110*0.03)))</f>
        <v>2.7650000000000001</v>
      </c>
      <c r="AL1110" s="7">
        <f>ROUNDDOWN(MAX(AD1110*配置与结果!$B$31,AD1110-AE1110)*AF1110*AG1110*AH1110*AI1110,0)</f>
        <v>69924</v>
      </c>
      <c r="AM1110" s="7">
        <f>ROUNDDOWN(MAX(AD1110*配置与结果!$B$31,AD1110-AE1110)*AF1110*AG1110*AH1110*AI1110*AK1110,0)</f>
        <v>193340</v>
      </c>
      <c r="AN1110" s="7">
        <f t="shared" si="1546"/>
        <v>193340</v>
      </c>
      <c r="AO1110" s="7">
        <f>0</f>
        <v>0</v>
      </c>
      <c r="AP1110" s="7">
        <f>MAX(0,1+INDEX(配置与结果!$J$15:$J$18,F1110)+IF(T1110&gt;0,方案参数!$BY$33,0)-配置与结果!$B$30)</f>
        <v>1</v>
      </c>
      <c r="AQ1110" s="7">
        <f t="shared" si="1547"/>
        <v>0</v>
      </c>
      <c r="AR1110" s="7">
        <f t="shared" si="1548"/>
        <v>0</v>
      </c>
      <c r="AS1110" s="7">
        <f t="shared" si="1549"/>
        <v>0</v>
      </c>
      <c r="AT1110" s="7">
        <f>IF(U1110&gt;0,ROUNDDOWN(AL1110*方案参数!$AF$33,0)*(1-AJ1110)+ROUNDDOWN(AM1110*方案参数!$AF$33,0)*AJ1110,0)</f>
        <v>0</v>
      </c>
      <c r="AU1110" s="7">
        <f t="shared" si="1550"/>
        <v>193340</v>
      </c>
      <c r="AV1110" s="1">
        <f t="shared" si="1551"/>
        <v>2</v>
      </c>
      <c r="AW1110" s="1">
        <f t="shared" si="1572"/>
        <v>10</v>
      </c>
      <c r="AX1110" s="1">
        <f t="shared" si="1552"/>
        <v>2</v>
      </c>
      <c r="AY1110" s="1">
        <f>MIN(20,MAX(0,O1110+0+1-0))</f>
        <v>2</v>
      </c>
      <c r="AZ1110" s="1">
        <f t="shared" si="1553"/>
        <v>5</v>
      </c>
      <c r="BA1110" s="1">
        <f t="shared" si="1563"/>
        <v>5</v>
      </c>
      <c r="BB1110" s="1">
        <f t="shared" si="1571"/>
        <v>20</v>
      </c>
      <c r="BC1110" s="1">
        <f t="shared" si="1569"/>
        <v>3</v>
      </c>
      <c r="BD1110" s="1">
        <f t="shared" si="1542"/>
        <v>0</v>
      </c>
      <c r="BE1110" s="1">
        <f>MAX(0,U1110-IF(AF1110&gt;0,1,0))+0</f>
        <v>0</v>
      </c>
      <c r="BF1110" s="1">
        <f t="shared" si="1573"/>
        <v>4</v>
      </c>
      <c r="BG1110" s="1">
        <f t="shared" si="1560"/>
        <v>1</v>
      </c>
      <c r="BH1110" s="1">
        <f t="shared" si="1536"/>
        <v>1</v>
      </c>
      <c r="BI1110" s="1">
        <f t="shared" si="1561"/>
        <v>1</v>
      </c>
      <c r="BJ1110" s="1">
        <f t="shared" si="1564"/>
        <v>1</v>
      </c>
      <c r="BK1110" s="1">
        <f t="shared" si="1565"/>
        <v>1</v>
      </c>
      <c r="BL1110" s="1">
        <f t="shared" si="1570"/>
        <v>1</v>
      </c>
      <c r="BM1110" s="1">
        <f t="shared" si="1568"/>
        <v>1</v>
      </c>
      <c r="BN1110" s="1">
        <f t="shared" si="1537"/>
        <v>1</v>
      </c>
      <c r="BO1110" s="1">
        <f t="shared" si="1538"/>
        <v>1</v>
      </c>
    </row>
    <row r="1111" spans="1:67" ht="30.95" customHeight="1">
      <c r="A1111" s="1">
        <f>30</f>
        <v>30</v>
      </c>
      <c r="B1111" s="1">
        <f>固定流程!A31</f>
        <v>26</v>
      </c>
      <c r="C1111" s="1">
        <f>33</f>
        <v>33</v>
      </c>
      <c r="D1111" s="1">
        <f>2</f>
        <v>2</v>
      </c>
      <c r="E1111" s="1">
        <f>固定流程!C31</f>
        <v>3</v>
      </c>
      <c r="F1111" s="1">
        <f>固定流程!G31</f>
        <v>2</v>
      </c>
      <c r="G1111" s="1" t="str">
        <f>固定流程!H31</f>
        <v>37_WEAK</v>
      </c>
      <c r="H1111" s="1">
        <f>固定流程!F31</f>
        <v>1</v>
      </c>
      <c r="I1111" s="1">
        <f>INDEX(配置与结果!$B$15:$B$18,F1111)</f>
        <v>2306</v>
      </c>
      <c r="J1111" s="1">
        <f>INDEX(配置与结果!$D$15:$D$18,F1111)</f>
        <v>0.46</v>
      </c>
      <c r="K1111" s="1">
        <f>INDEX(配置与结果!$E$15:$E$18,F1111)</f>
        <v>1.9279999999999999</v>
      </c>
      <c r="L1111" s="1">
        <f t="shared" si="1557"/>
        <v>2</v>
      </c>
      <c r="M1111" s="1">
        <f t="shared" si="1558"/>
        <v>10</v>
      </c>
      <c r="N1111" s="1">
        <f t="shared" si="1559"/>
        <v>2</v>
      </c>
      <c r="O1111" s="1">
        <f t="shared" si="1543"/>
        <v>2</v>
      </c>
      <c r="P1111" s="1">
        <f>MIN(方案参数!$AI$33,AZ1110+0+0)</f>
        <v>5</v>
      </c>
      <c r="Q1111" s="1">
        <f t="shared" si="1521"/>
        <v>5</v>
      </c>
      <c r="R1111" s="1">
        <f t="shared" si="1522"/>
        <v>20</v>
      </c>
      <c r="S1111" s="1">
        <f t="shared" si="1523"/>
        <v>3</v>
      </c>
      <c r="T1111" s="1">
        <f t="shared" si="1566"/>
        <v>0</v>
      </c>
      <c r="U1111" s="1">
        <f t="shared" si="1525"/>
        <v>0</v>
      </c>
      <c r="V1111" s="1">
        <f t="shared" si="1526"/>
        <v>4</v>
      </c>
      <c r="W1111" s="1">
        <f t="shared" si="1527"/>
        <v>1</v>
      </c>
      <c r="X1111" s="1">
        <f t="shared" si="1528"/>
        <v>1</v>
      </c>
      <c r="Y1111" s="1">
        <f t="shared" si="1529"/>
        <v>1</v>
      </c>
      <c r="Z1111" s="1">
        <f t="shared" si="1530"/>
        <v>1</v>
      </c>
      <c r="AA1111" s="1">
        <f t="shared" si="1562"/>
        <v>1</v>
      </c>
      <c r="AB1111" s="1">
        <f t="shared" si="1532"/>
        <v>1</v>
      </c>
      <c r="AC1111" s="1">
        <f t="shared" si="1567"/>
        <v>1</v>
      </c>
      <c r="AD1111" s="1">
        <f>ROUNDDOWN(I1111*(1+IF(F1111=3,0.05+方案参数!$Y$33+AA1111*0.12,IF(F1111=4,方案参数!$BZ$33*方案参数!$AS$33,0)))+IF(AND(X1111=1,F1111&lt;&gt;3),方案参数!$CC$33,0)+AC1111*方案参数!$CB$33,0)</f>
        <v>3044</v>
      </c>
      <c r="AE1111" s="1">
        <f>IF(OR(F1111=1,F1111=4),配置与结果!$B$24,配置与结果!$B$25)*MAX(0,1-INDEX(配置与结果!$I$15:$I$18,F1111))</f>
        <v>1000</v>
      </c>
      <c r="AF1111" s="1">
        <f>方案参数!$CE$33</f>
        <v>8</v>
      </c>
      <c r="AG1111" s="1">
        <f>MAX(配置与结果!$B$32,1+INDEX(配置与结果!$F$15:$F$18,F1111)+0+Q1111*方案参数!$W$33+Y1111*(方案参数!$AN$33+MIN(方案参数!$AO$33,P1111*0.03))+AB1111*方案参数!$BZ$33*0.025-配置与结果!$B$28+方案参数!$AE$33)</f>
        <v>2.2800000000000002</v>
      </c>
      <c r="AH1111" s="1">
        <f>MAX(0,1+V1111*方案参数!$U$33+方案参数!$AE$33-配置与结果!$B$29)</f>
        <v>1.56</v>
      </c>
      <c r="AI1111" s="1">
        <f>IF(OR(INDEX(配置与结果!$K$15:$K$18,F1111)=1,G1111="RHI_BERRY"),1+配置与结果!$B$33+P1111*方案参数!$AH$33,1)</f>
        <v>1</v>
      </c>
      <c r="AJ1111" s="1">
        <f>MIN(1,MAX(0,J1111+方案参数!$AB$33-配置与结果!$B$27))</f>
        <v>0.76</v>
      </c>
      <c r="AK1111" s="1">
        <f>MAX(1,K1111+IF(F1111=2,0.15+方案参数!$CH$33,0)+BN1111*方案参数!$X$33+R1111*方案参数!$AA$33+0-配置与结果!$B$26+Z1111*(方案参数!$AP$33+MIN(方案参数!$AQ$33,P1111*0.03)))</f>
        <v>2.3380000000000001</v>
      </c>
      <c r="AL1111" s="7">
        <f>ROUNDDOWN(MAX(AD1111*配置与结果!$B$31,AD1111-AE1111)*AF1111*AG1111*AH1111*AI1111,0)</f>
        <v>58160</v>
      </c>
      <c r="AM1111" s="7">
        <f>ROUNDDOWN(MAX(AD1111*配置与结果!$B$31,AD1111-AE1111)*AF1111*AG1111*AH1111*AI1111*AK1111,0)</f>
        <v>135979</v>
      </c>
      <c r="AN1111" s="7">
        <f t="shared" si="1546"/>
        <v>117302.44</v>
      </c>
      <c r="AO1111" s="7">
        <f>0</f>
        <v>0</v>
      </c>
      <c r="AP1111" s="7">
        <f>MAX(0,1+INDEX(配置与结果!$J$15:$J$18,F1111)+IF(T1111&gt;0,方案参数!$BY$33,0)-配置与结果!$B$30)</f>
        <v>1</v>
      </c>
      <c r="AQ1111" s="7">
        <f t="shared" si="1547"/>
        <v>0</v>
      </c>
      <c r="AR1111" s="7">
        <f t="shared" si="1548"/>
        <v>0</v>
      </c>
      <c r="AS1111" s="7">
        <f t="shared" si="1549"/>
        <v>0</v>
      </c>
      <c r="AT1111" s="7">
        <f>IF(U1111&gt;0,ROUNDDOWN(AL1111*方案参数!$AF$33,0)*(1-AJ1111)+ROUNDDOWN(AM1111*方案参数!$AF$33,0)*AJ1111,0)</f>
        <v>0</v>
      </c>
      <c r="AU1111" s="7">
        <f t="shared" si="1550"/>
        <v>117302.44</v>
      </c>
      <c r="AV1111" s="1">
        <f t="shared" si="1551"/>
        <v>2</v>
      </c>
      <c r="AW1111" s="1">
        <f t="shared" si="1572"/>
        <v>10</v>
      </c>
      <c r="AX1111" s="1">
        <f t="shared" si="1552"/>
        <v>2</v>
      </c>
      <c r="AY1111" s="1">
        <f>MIN(20,MAX(0,O1111+0+0-0))</f>
        <v>2</v>
      </c>
      <c r="AZ1111" s="1">
        <f t="shared" si="1553"/>
        <v>5</v>
      </c>
      <c r="BA1111" s="1">
        <f t="shared" si="1563"/>
        <v>5</v>
      </c>
      <c r="BB1111" s="1">
        <f t="shared" si="1571"/>
        <v>20</v>
      </c>
      <c r="BC1111" s="1">
        <f t="shared" si="1569"/>
        <v>3</v>
      </c>
      <c r="BD1111" s="1">
        <f t="shared" si="1542"/>
        <v>0</v>
      </c>
      <c r="BE1111" s="1">
        <f>MAX(0,U1111-IF(AF1111&gt;0,1,0))+1</f>
        <v>1</v>
      </c>
      <c r="BF1111" s="1">
        <f t="shared" si="1573"/>
        <v>4</v>
      </c>
      <c r="BG1111" s="1">
        <f t="shared" si="1560"/>
        <v>1</v>
      </c>
      <c r="BH1111" s="1">
        <f t="shared" si="1536"/>
        <v>1</v>
      </c>
      <c r="BI1111" s="1">
        <f t="shared" si="1561"/>
        <v>1</v>
      </c>
      <c r="BJ1111" s="1">
        <f t="shared" si="1564"/>
        <v>1</v>
      </c>
      <c r="BK1111" s="1">
        <f t="shared" si="1565"/>
        <v>1</v>
      </c>
      <c r="BL1111" s="1">
        <f t="shared" si="1570"/>
        <v>1</v>
      </c>
      <c r="BM1111" s="1">
        <f t="shared" si="1568"/>
        <v>1</v>
      </c>
      <c r="BN1111" s="1">
        <f t="shared" si="1537"/>
        <v>1</v>
      </c>
      <c r="BO1111" s="1">
        <f t="shared" si="1538"/>
        <v>1</v>
      </c>
    </row>
    <row r="1112" spans="1:67" ht="30.95" customHeight="1">
      <c r="A1112" s="1">
        <f>30</f>
        <v>30</v>
      </c>
      <c r="B1112" s="1">
        <f>固定流程!A32</f>
        <v>27</v>
      </c>
      <c r="C1112" s="1">
        <f>33</f>
        <v>33</v>
      </c>
      <c r="D1112" s="1">
        <f>2</f>
        <v>2</v>
      </c>
      <c r="E1112" s="1">
        <f>固定流程!C32</f>
        <v>3</v>
      </c>
      <c r="F1112" s="1">
        <f>固定流程!G32</f>
        <v>1</v>
      </c>
      <c r="G1112" s="1" t="str">
        <f>固定流程!H32</f>
        <v>LILYA_THIRD</v>
      </c>
      <c r="H1112" s="1">
        <f>固定流程!F32</f>
        <v>1</v>
      </c>
      <c r="I1112" s="1">
        <f>INDEX(配置与结果!$B$15:$B$18,F1112)</f>
        <v>2296</v>
      </c>
      <c r="J1112" s="1">
        <f>INDEX(配置与结果!$D$15:$D$18,F1112)</f>
        <v>0.7</v>
      </c>
      <c r="K1112" s="1">
        <f>INDEX(配置与结果!$E$15:$E$18,F1112)</f>
        <v>2.0249999999999999</v>
      </c>
      <c r="L1112" s="1">
        <f t="shared" si="1557"/>
        <v>2</v>
      </c>
      <c r="M1112" s="1">
        <f t="shared" si="1558"/>
        <v>10</v>
      </c>
      <c r="N1112" s="1">
        <f t="shared" si="1559"/>
        <v>2</v>
      </c>
      <c r="O1112" s="1">
        <f t="shared" si="1543"/>
        <v>2</v>
      </c>
      <c r="P1112" s="1">
        <f>MIN(方案参数!$AI$33,AZ1111+0+0)</f>
        <v>5</v>
      </c>
      <c r="Q1112" s="1">
        <f t="shared" si="1521"/>
        <v>5</v>
      </c>
      <c r="R1112" s="1">
        <f t="shared" si="1522"/>
        <v>20</v>
      </c>
      <c r="S1112" s="1">
        <f t="shared" si="1523"/>
        <v>3</v>
      </c>
      <c r="T1112" s="1">
        <f t="shared" si="1566"/>
        <v>0</v>
      </c>
      <c r="U1112" s="1">
        <f t="shared" si="1525"/>
        <v>1</v>
      </c>
      <c r="V1112" s="1">
        <f t="shared" si="1526"/>
        <v>4</v>
      </c>
      <c r="W1112" s="1">
        <f t="shared" si="1527"/>
        <v>1</v>
      </c>
      <c r="X1112" s="1">
        <f t="shared" si="1528"/>
        <v>1</v>
      </c>
      <c r="Y1112" s="1">
        <f t="shared" si="1529"/>
        <v>1</v>
      </c>
      <c r="Z1112" s="1">
        <f t="shared" si="1530"/>
        <v>1</v>
      </c>
      <c r="AA1112" s="1">
        <f t="shared" si="1562"/>
        <v>1</v>
      </c>
      <c r="AB1112" s="1">
        <f t="shared" si="1532"/>
        <v>1</v>
      </c>
      <c r="AC1112" s="1">
        <f t="shared" si="1567"/>
        <v>1</v>
      </c>
      <c r="AD1112" s="1">
        <f>ROUNDDOWN(I1112*(1+IF(F1112=3,0.05+方案参数!$Y$33+AA1112*0.12,IF(F1112=4,方案参数!$BZ$33*方案参数!$AS$33,0)))+IF(AND(X1112=1,F1112&lt;&gt;3),方案参数!$CC$33,0)+AC1112*方案参数!$CB$33,0)</f>
        <v>3034</v>
      </c>
      <c r="AE1112" s="1">
        <f>IF(OR(F1112=1,F1112=4),配置与结果!$B$24,配置与结果!$B$25)*MAX(0,1-INDEX(配置与结果!$I$15:$I$18,F1112))</f>
        <v>1200</v>
      </c>
      <c r="AF1112" s="1">
        <f>方案参数!$BM$33</f>
        <v>20</v>
      </c>
      <c r="AG1112" s="1">
        <f>MAX(配置与结果!$B$32,1+INDEX(配置与结果!$F$15:$F$18,F1112)+0.08+方案参数!$CD$33+Q1112*方案参数!$W$33+Y1112*(方案参数!$AN$33+MIN(方案参数!$AO$33,P1112*0.03))+AB1112*方案参数!$BZ$33*0.025-配置与结果!$B$28+方案参数!$AE$33)</f>
        <v>2.6150000000000002</v>
      </c>
      <c r="AH1112" s="1">
        <f>MAX(0,1+V1112*方案参数!$U$33+3*方案参数!$V$33+方案参数!$AE$33-配置与结果!$B$29)</f>
        <v>1.7399999999999998</v>
      </c>
      <c r="AI1112" s="1">
        <f>IF(OR(INDEX(配置与结果!$K$15:$K$18,F1112)=1,G1112="RHI_BERRY"),1+配置与结果!$B$33+P1112*方案参数!$AH$33,1)</f>
        <v>1</v>
      </c>
      <c r="AJ1112" s="1">
        <f>MIN(1,MAX(0,J1112+方案参数!$AB$33-配置与结果!$B$27))</f>
        <v>1</v>
      </c>
      <c r="AK1112" s="1">
        <f>MAX(1,K1112+IF(F1112=2,0.15+方案参数!$CH$33,0)+BN1112*方案参数!$X$33+R1112*方案参数!$AA$33+方案参数!$BQ$33-配置与结果!$B$26+Z1112*(方案参数!$AP$33+MIN(方案参数!$AQ$33,P1112*0.03)))</f>
        <v>2.9650000000000003</v>
      </c>
      <c r="AL1112" s="7">
        <f>ROUNDDOWN(MAX(AD1112*配置与结果!$B$31,AD1112-AE1112)*AF1112*AG1112*AH1112*AI1112,0)</f>
        <v>166897</v>
      </c>
      <c r="AM1112" s="7">
        <f>ROUNDDOWN(MAX(AD1112*配置与结果!$B$31,AD1112-AE1112)*AF1112*AG1112*AH1112*AI1112*AK1112,0)</f>
        <v>494851</v>
      </c>
      <c r="AN1112" s="7">
        <f t="shared" si="1546"/>
        <v>494851</v>
      </c>
      <c r="AO1112" s="7">
        <f>0</f>
        <v>0</v>
      </c>
      <c r="AP1112" s="7">
        <f>MAX(0,1+INDEX(配置与结果!$J$15:$J$18,F1112)+IF(T1112&gt;0,方案参数!$BY$33,0)-配置与结果!$B$30)</f>
        <v>1</v>
      </c>
      <c r="AQ1112" s="7">
        <f t="shared" si="1547"/>
        <v>0</v>
      </c>
      <c r="AR1112" s="7">
        <f t="shared" si="1548"/>
        <v>0</v>
      </c>
      <c r="AS1112" s="7">
        <f t="shared" si="1549"/>
        <v>0</v>
      </c>
      <c r="AT1112" s="7">
        <f>IF(U1112&gt;0,ROUNDDOWN(AL1112*方案参数!$AF$33,0)*(1-AJ1112)+ROUNDDOWN(AM1112*方案参数!$AF$33,0)*AJ1112,0)</f>
        <v>197940</v>
      </c>
      <c r="AU1112" s="7">
        <f t="shared" si="1550"/>
        <v>692791</v>
      </c>
      <c r="AV1112" s="1">
        <f t="shared" si="1551"/>
        <v>2</v>
      </c>
      <c r="AW1112" s="1">
        <f t="shared" si="1572"/>
        <v>10</v>
      </c>
      <c r="AX1112" s="1">
        <f t="shared" si="1552"/>
        <v>2</v>
      </c>
      <c r="AY1112" s="1">
        <f>MIN(20,MAX(0,O1112+0+1-0))</f>
        <v>3</v>
      </c>
      <c r="AZ1112" s="1">
        <f t="shared" si="1553"/>
        <v>5</v>
      </c>
      <c r="BA1112" s="1">
        <f t="shared" si="1563"/>
        <v>5</v>
      </c>
      <c r="BB1112" s="1">
        <f t="shared" si="1571"/>
        <v>20</v>
      </c>
      <c r="BC1112" s="1">
        <f t="shared" si="1569"/>
        <v>3</v>
      </c>
      <c r="BD1112" s="1">
        <f t="shared" si="1542"/>
        <v>0</v>
      </c>
      <c r="BE1112" s="1">
        <f>MAX(0,U1112-IF(AF1112&gt;0,1,0))+0</f>
        <v>0</v>
      </c>
      <c r="BF1112" s="1">
        <f t="shared" si="1573"/>
        <v>4</v>
      </c>
      <c r="BG1112" s="1">
        <f t="shared" si="1560"/>
        <v>1</v>
      </c>
      <c r="BH1112" s="1">
        <f t="shared" si="1536"/>
        <v>1</v>
      </c>
      <c r="BI1112" s="1">
        <f t="shared" si="1561"/>
        <v>1</v>
      </c>
      <c r="BJ1112" s="1">
        <f t="shared" si="1564"/>
        <v>1</v>
      </c>
      <c r="BK1112" s="1">
        <f t="shared" si="1565"/>
        <v>1</v>
      </c>
      <c r="BL1112" s="1">
        <f t="shared" si="1570"/>
        <v>1</v>
      </c>
      <c r="BM1112" s="1">
        <f t="shared" si="1568"/>
        <v>1</v>
      </c>
      <c r="BN1112" s="1">
        <f t="shared" si="1537"/>
        <v>1</v>
      </c>
      <c r="BO1112" s="1">
        <f t="shared" si="1538"/>
        <v>1</v>
      </c>
    </row>
    <row r="1113" spans="1:67" ht="30.95" customHeight="1">
      <c r="A1113" s="1">
        <f>30</f>
        <v>30</v>
      </c>
      <c r="B1113" s="1">
        <f>固定流程!A33</f>
        <v>28</v>
      </c>
      <c r="C1113" s="1">
        <f>33</f>
        <v>33</v>
      </c>
      <c r="D1113" s="1">
        <f>2</f>
        <v>2</v>
      </c>
      <c r="E1113" s="1">
        <f>固定流程!C33</f>
        <v>3</v>
      </c>
      <c r="F1113" s="1">
        <f>固定流程!G33</f>
        <v>1</v>
      </c>
      <c r="G1113" s="1" t="str">
        <f>固定流程!H33</f>
        <v>LILYA_WEAK</v>
      </c>
      <c r="H1113" s="1">
        <f>固定流程!F33</f>
        <v>1</v>
      </c>
      <c r="I1113" s="1">
        <f>INDEX(配置与结果!$B$15:$B$18,F1113)</f>
        <v>2296</v>
      </c>
      <c r="J1113" s="1">
        <f>INDEX(配置与结果!$D$15:$D$18,F1113)</f>
        <v>0.7</v>
      </c>
      <c r="K1113" s="1">
        <f>INDEX(配置与结果!$E$15:$E$18,F1113)</f>
        <v>2.0249999999999999</v>
      </c>
      <c r="L1113" s="1">
        <f t="shared" si="1557"/>
        <v>2</v>
      </c>
      <c r="M1113" s="1">
        <f t="shared" si="1558"/>
        <v>10</v>
      </c>
      <c r="N1113" s="1">
        <f t="shared" si="1559"/>
        <v>2</v>
      </c>
      <c r="O1113" s="1">
        <f t="shared" si="1543"/>
        <v>3</v>
      </c>
      <c r="P1113" s="1">
        <f>MIN(方案参数!$AI$33,AZ1112+0+0)</f>
        <v>5</v>
      </c>
      <c r="Q1113" s="1">
        <f t="shared" si="1521"/>
        <v>5</v>
      </c>
      <c r="R1113" s="1">
        <f t="shared" si="1522"/>
        <v>20</v>
      </c>
      <c r="S1113" s="1">
        <f t="shared" si="1523"/>
        <v>3</v>
      </c>
      <c r="T1113" s="1">
        <f t="shared" si="1566"/>
        <v>0</v>
      </c>
      <c r="U1113" s="1">
        <f t="shared" si="1525"/>
        <v>0</v>
      </c>
      <c r="V1113" s="1">
        <f t="shared" si="1526"/>
        <v>4</v>
      </c>
      <c r="W1113" s="1">
        <f t="shared" si="1527"/>
        <v>1</v>
      </c>
      <c r="X1113" s="1">
        <f t="shared" si="1528"/>
        <v>1</v>
      </c>
      <c r="Y1113" s="1">
        <f t="shared" si="1529"/>
        <v>1</v>
      </c>
      <c r="Z1113" s="1">
        <f t="shared" si="1530"/>
        <v>1</v>
      </c>
      <c r="AA1113" s="1">
        <f t="shared" si="1562"/>
        <v>1</v>
      </c>
      <c r="AB1113" s="1">
        <f t="shared" si="1532"/>
        <v>1</v>
      </c>
      <c r="AC1113" s="1">
        <f t="shared" si="1567"/>
        <v>1</v>
      </c>
      <c r="AD1113" s="1">
        <f>ROUNDDOWN(I1113*(1+IF(F1113=3,0.05+方案参数!$Y$33+AA1113*0.12,IF(F1113=4,方案参数!$BZ$33*方案参数!$AS$33,0)))+IF(AND(X1113=1,F1113&lt;&gt;3),方案参数!$CC$33,0)+AC1113*方案参数!$CB$33,0)</f>
        <v>3034</v>
      </c>
      <c r="AE1113" s="1">
        <f>IF(OR(F1113=1,F1113=4),配置与结果!$B$24,配置与结果!$B$25)*MAX(0,1-INDEX(配置与结果!$I$15:$I$18,F1113))</f>
        <v>1200</v>
      </c>
      <c r="AF1113" s="1">
        <f>方案参数!$BL$33</f>
        <v>9</v>
      </c>
      <c r="AG1113" s="1">
        <f>MAX(配置与结果!$B$32,1+INDEX(配置与结果!$F$15:$F$18,F1113)+0.08+方案参数!$CD$33+Q1113*方案参数!$W$33+Y1113*(方案参数!$AN$33+MIN(方案参数!$AO$33,P1113*0.03))+AB1113*方案参数!$BZ$33*0.025-配置与结果!$B$28+方案参数!$AE$33)</f>
        <v>2.6150000000000002</v>
      </c>
      <c r="AH1113" s="1">
        <f>MAX(0,1+V1113*方案参数!$U$33+4*方案参数!$V$33+方案参数!$AE$33-配置与结果!$B$29)</f>
        <v>1.7999999999999998</v>
      </c>
      <c r="AI1113" s="1">
        <f>IF(OR(INDEX(配置与结果!$K$15:$K$18,F1113)=1,G1113="RHI_BERRY"),1+配置与结果!$B$33+P1113*方案参数!$AH$33,1)</f>
        <v>1</v>
      </c>
      <c r="AJ1113" s="1">
        <f>MIN(1,MAX(0,J1113+方案参数!$AB$33-配置与结果!$B$27))</f>
        <v>1</v>
      </c>
      <c r="AK1113" s="1">
        <f>MAX(1,K1113+IF(F1113=2,0.15+方案参数!$CH$33,0)+BN1113*方案参数!$X$33+R1113*方案参数!$AA$33+方案参数!$BP$33-配置与结果!$B$26+Z1113*(方案参数!$AP$33+MIN(方案参数!$AQ$33,P1113*0.03)))</f>
        <v>2.7650000000000001</v>
      </c>
      <c r="AL1113" s="7">
        <f>ROUNDDOWN(MAX(AD1113*配置与结果!$B$31,AD1113-AE1113)*AF1113*AG1113*AH1113*AI1113,0)</f>
        <v>77693</v>
      </c>
      <c r="AM1113" s="7">
        <f>ROUNDDOWN(MAX(AD1113*配置与结果!$B$31,AD1113-AE1113)*AF1113*AG1113*AH1113*AI1113*AK1113,0)</f>
        <v>214823</v>
      </c>
      <c r="AN1113" s="7">
        <f t="shared" si="1546"/>
        <v>214823</v>
      </c>
      <c r="AO1113" s="7">
        <f>0</f>
        <v>0</v>
      </c>
      <c r="AP1113" s="7">
        <f>MAX(0,1+INDEX(配置与结果!$J$15:$J$18,F1113)+IF(T1113&gt;0,方案参数!$BY$33,0)-配置与结果!$B$30)</f>
        <v>1</v>
      </c>
      <c r="AQ1113" s="7">
        <f t="shared" si="1547"/>
        <v>0</v>
      </c>
      <c r="AR1113" s="7">
        <f t="shared" si="1548"/>
        <v>0</v>
      </c>
      <c r="AS1113" s="7">
        <f t="shared" si="1549"/>
        <v>0</v>
      </c>
      <c r="AT1113" s="7">
        <f>IF(U1113&gt;0,ROUNDDOWN(AL1113*方案参数!$AF$33,0)*(1-AJ1113)+ROUNDDOWN(AM1113*方案参数!$AF$33,0)*AJ1113,0)</f>
        <v>0</v>
      </c>
      <c r="AU1113" s="7">
        <f t="shared" si="1550"/>
        <v>214823</v>
      </c>
      <c r="AV1113" s="1">
        <f t="shared" si="1551"/>
        <v>2</v>
      </c>
      <c r="AW1113" s="1">
        <f t="shared" si="1572"/>
        <v>10</v>
      </c>
      <c r="AX1113" s="1">
        <f t="shared" si="1552"/>
        <v>2</v>
      </c>
      <c r="AY1113" s="1">
        <f>MIN(20,MAX(0,O1113+0+1-0))</f>
        <v>4</v>
      </c>
      <c r="AZ1113" s="1">
        <f t="shared" si="1553"/>
        <v>5</v>
      </c>
      <c r="BA1113" s="1">
        <f t="shared" si="1563"/>
        <v>5</v>
      </c>
      <c r="BB1113" s="1">
        <f t="shared" si="1571"/>
        <v>20</v>
      </c>
      <c r="BC1113" s="1">
        <f t="shared" si="1569"/>
        <v>3</v>
      </c>
      <c r="BD1113" s="1">
        <f t="shared" si="1542"/>
        <v>0</v>
      </c>
      <c r="BE1113" s="1">
        <f>MAX(0,U1113-IF(AF1113&gt;0,1,0))+0</f>
        <v>0</v>
      </c>
      <c r="BF1113" s="1">
        <f t="shared" si="1573"/>
        <v>4</v>
      </c>
      <c r="BG1113" s="1">
        <f t="shared" si="1560"/>
        <v>1</v>
      </c>
      <c r="BH1113" s="1">
        <f t="shared" si="1536"/>
        <v>1</v>
      </c>
      <c r="BI1113" s="1">
        <f t="shared" si="1561"/>
        <v>1</v>
      </c>
      <c r="BJ1113" s="1">
        <f t="shared" si="1564"/>
        <v>1</v>
      </c>
      <c r="BK1113" s="1">
        <f t="shared" si="1565"/>
        <v>1</v>
      </c>
      <c r="BL1113" s="1">
        <f t="shared" si="1570"/>
        <v>1</v>
      </c>
      <c r="BM1113" s="1">
        <f t="shared" si="1568"/>
        <v>1</v>
      </c>
      <c r="BN1113" s="1">
        <f t="shared" si="1537"/>
        <v>1</v>
      </c>
      <c r="BO1113" s="1">
        <f t="shared" si="1538"/>
        <v>1</v>
      </c>
    </row>
    <row r="1114" spans="1:67" ht="30.95" customHeight="1">
      <c r="A1114" s="1">
        <f>30</f>
        <v>30</v>
      </c>
      <c r="B1114" s="1">
        <f>固定流程!A34</f>
        <v>29</v>
      </c>
      <c r="C1114" s="1">
        <f>33</f>
        <v>33</v>
      </c>
      <c r="D1114" s="1">
        <f>2</f>
        <v>2</v>
      </c>
      <c r="E1114" s="1">
        <f>固定流程!C34</f>
        <v>3</v>
      </c>
      <c r="F1114" s="1">
        <f>固定流程!G34</f>
        <v>1</v>
      </c>
      <c r="G1114" s="1" t="str">
        <f>固定流程!H34</f>
        <v>LILYA_WEAK</v>
      </c>
      <c r="H1114" s="1">
        <f>固定流程!F34</f>
        <v>1</v>
      </c>
      <c r="I1114" s="1">
        <f>INDEX(配置与结果!$B$15:$B$18,F1114)</f>
        <v>2296</v>
      </c>
      <c r="J1114" s="1">
        <f>INDEX(配置与结果!$D$15:$D$18,F1114)</f>
        <v>0.7</v>
      </c>
      <c r="K1114" s="1">
        <f>INDEX(配置与结果!$E$15:$E$18,F1114)</f>
        <v>2.0249999999999999</v>
      </c>
      <c r="L1114" s="1">
        <f t="shared" si="1557"/>
        <v>2</v>
      </c>
      <c r="M1114" s="1">
        <f t="shared" si="1558"/>
        <v>10</v>
      </c>
      <c r="N1114" s="1">
        <f t="shared" si="1559"/>
        <v>2</v>
      </c>
      <c r="O1114" s="1">
        <f t="shared" si="1543"/>
        <v>4</v>
      </c>
      <c r="P1114" s="1">
        <f>MIN(方案参数!$AI$33,AZ1113+0+0)</f>
        <v>5</v>
      </c>
      <c r="Q1114" s="1">
        <f t="shared" si="1521"/>
        <v>5</v>
      </c>
      <c r="R1114" s="1">
        <f t="shared" si="1522"/>
        <v>20</v>
      </c>
      <c r="S1114" s="1">
        <f t="shared" si="1523"/>
        <v>3</v>
      </c>
      <c r="T1114" s="1">
        <f t="shared" si="1566"/>
        <v>0</v>
      </c>
      <c r="U1114" s="1">
        <f t="shared" si="1525"/>
        <v>0</v>
      </c>
      <c r="V1114" s="1">
        <f t="shared" si="1526"/>
        <v>4</v>
      </c>
      <c r="W1114" s="1">
        <f t="shared" si="1527"/>
        <v>1</v>
      </c>
      <c r="X1114" s="1">
        <f t="shared" si="1528"/>
        <v>1</v>
      </c>
      <c r="Y1114" s="1">
        <f t="shared" si="1529"/>
        <v>1</v>
      </c>
      <c r="Z1114" s="1">
        <f t="shared" si="1530"/>
        <v>1</v>
      </c>
      <c r="AA1114" s="1">
        <f t="shared" si="1562"/>
        <v>1</v>
      </c>
      <c r="AB1114" s="1">
        <f t="shared" si="1532"/>
        <v>1</v>
      </c>
      <c r="AC1114" s="1">
        <f t="shared" si="1567"/>
        <v>1</v>
      </c>
      <c r="AD1114" s="1">
        <f>ROUNDDOWN(I1114*(1+IF(F1114=3,0.05+方案参数!$Y$33+AA1114*0.12,IF(F1114=4,方案参数!$BZ$33*方案参数!$AS$33,0)))+IF(AND(X1114=1,F1114&lt;&gt;3),方案参数!$CC$33,0)+AC1114*方案参数!$CB$33,0)</f>
        <v>3034</v>
      </c>
      <c r="AE1114" s="1">
        <f>IF(OR(F1114=1,F1114=4),配置与结果!$B$24,配置与结果!$B$25)*MAX(0,1-INDEX(配置与结果!$I$15:$I$18,F1114))</f>
        <v>1200</v>
      </c>
      <c r="AF1114" s="1">
        <f>方案参数!$BL$33</f>
        <v>9</v>
      </c>
      <c r="AG1114" s="1">
        <f>MAX(配置与结果!$B$32,1+INDEX(配置与结果!$F$15:$F$18,F1114)+0.08+方案参数!$CD$33+Q1114*方案参数!$W$33+Y1114*(方案参数!$AN$33+MIN(方案参数!$AO$33,P1114*0.03))+AB1114*方案参数!$BZ$33*0.025-配置与结果!$B$28+方案参数!$AE$33)</f>
        <v>2.6150000000000002</v>
      </c>
      <c r="AH1114" s="1">
        <f>MAX(0,1+V1114*方案参数!$U$33+5*方案参数!$V$33+方案参数!$AE$33-配置与结果!$B$29)</f>
        <v>1.8599999999999999</v>
      </c>
      <c r="AI1114" s="1">
        <f>IF(OR(INDEX(配置与结果!$K$15:$K$18,F1114)=1,G1114="RHI_BERRY"),1+配置与结果!$B$33+P1114*方案参数!$AH$33,1)</f>
        <v>1</v>
      </c>
      <c r="AJ1114" s="1">
        <f>MIN(1,MAX(0,J1114+方案参数!$AB$33-配置与结果!$B$27))</f>
        <v>1</v>
      </c>
      <c r="AK1114" s="1">
        <f>MAX(1,K1114+IF(F1114=2,0.15+方案参数!$CH$33,0)+BN1114*方案参数!$X$33+R1114*方案参数!$AA$33+方案参数!$BP$33-配置与结果!$B$26+Z1114*(方案参数!$AP$33+MIN(方案参数!$AQ$33,P1114*0.03)))</f>
        <v>2.7650000000000001</v>
      </c>
      <c r="AL1114" s="7">
        <f>ROUNDDOWN(MAX(AD1114*配置与结果!$B$31,AD1114-AE1114)*AF1114*AG1114*AH1114*AI1114,0)</f>
        <v>80283</v>
      </c>
      <c r="AM1114" s="7">
        <f>ROUNDDOWN(MAX(AD1114*配置与结果!$B$31,AD1114-AE1114)*AF1114*AG1114*AH1114*AI1114*AK1114,0)</f>
        <v>221983</v>
      </c>
      <c r="AN1114" s="7">
        <f t="shared" si="1546"/>
        <v>221983</v>
      </c>
      <c r="AO1114" s="7">
        <f>0</f>
        <v>0</v>
      </c>
      <c r="AP1114" s="7">
        <f>MAX(0,1+INDEX(配置与结果!$J$15:$J$18,F1114)+IF(T1114&gt;0,方案参数!$BY$33,0)-配置与结果!$B$30)</f>
        <v>1</v>
      </c>
      <c r="AQ1114" s="7">
        <f t="shared" si="1547"/>
        <v>0</v>
      </c>
      <c r="AR1114" s="7">
        <f t="shared" si="1548"/>
        <v>0</v>
      </c>
      <c r="AS1114" s="7">
        <f t="shared" si="1549"/>
        <v>0</v>
      </c>
      <c r="AT1114" s="7">
        <f>IF(U1114&gt;0,ROUNDDOWN(AL1114*方案参数!$AF$33,0)*(1-AJ1114)+ROUNDDOWN(AM1114*方案参数!$AF$33,0)*AJ1114,0)</f>
        <v>0</v>
      </c>
      <c r="AU1114" s="7">
        <f t="shared" si="1550"/>
        <v>221983</v>
      </c>
      <c r="AV1114" s="1">
        <f t="shared" si="1551"/>
        <v>2</v>
      </c>
      <c r="AW1114" s="1">
        <f t="shared" si="1572"/>
        <v>10</v>
      </c>
      <c r="AX1114" s="1">
        <f t="shared" si="1552"/>
        <v>2</v>
      </c>
      <c r="AY1114" s="1">
        <f>MIN(20,MAX(0,O1114+0+1-0))</f>
        <v>5</v>
      </c>
      <c r="AZ1114" s="1">
        <f t="shared" si="1553"/>
        <v>5</v>
      </c>
      <c r="BA1114" s="1">
        <f t="shared" si="1563"/>
        <v>5</v>
      </c>
      <c r="BB1114" s="1">
        <f t="shared" si="1571"/>
        <v>20</v>
      </c>
      <c r="BC1114" s="1">
        <f t="shared" si="1569"/>
        <v>3</v>
      </c>
      <c r="BD1114" s="1">
        <f t="shared" si="1542"/>
        <v>0</v>
      </c>
      <c r="BE1114" s="1">
        <f>MAX(0,U1114-IF(AF1114&gt;0,1,0))+0</f>
        <v>0</v>
      </c>
      <c r="BF1114" s="1">
        <f t="shared" si="1573"/>
        <v>4</v>
      </c>
      <c r="BG1114" s="1">
        <f t="shared" si="1560"/>
        <v>1</v>
      </c>
      <c r="BH1114" s="1">
        <f t="shared" si="1536"/>
        <v>1</v>
      </c>
      <c r="BI1114" s="1">
        <f t="shared" si="1561"/>
        <v>1</v>
      </c>
      <c r="BJ1114" s="1">
        <f t="shared" si="1564"/>
        <v>1</v>
      </c>
      <c r="BK1114" s="1">
        <f t="shared" si="1565"/>
        <v>1</v>
      </c>
      <c r="BL1114" s="1">
        <f t="shared" si="1570"/>
        <v>1</v>
      </c>
      <c r="BM1114" s="1">
        <f t="shared" si="1568"/>
        <v>1</v>
      </c>
      <c r="BN1114" s="1">
        <f t="shared" si="1537"/>
        <v>1</v>
      </c>
      <c r="BO1114" s="1">
        <f t="shared" si="1538"/>
        <v>1</v>
      </c>
    </row>
    <row r="1115" spans="1:67" ht="30.95" customHeight="1">
      <c r="A1115" s="1">
        <f>30</f>
        <v>30</v>
      </c>
      <c r="B1115" s="1">
        <f>固定流程!A35</f>
        <v>30</v>
      </c>
      <c r="C1115" s="1">
        <f>33</f>
        <v>33</v>
      </c>
      <c r="D1115" s="1">
        <f>2</f>
        <v>2</v>
      </c>
      <c r="E1115" s="1">
        <f>固定流程!C35</f>
        <v>3</v>
      </c>
      <c r="F1115" s="1">
        <f>固定流程!G35</f>
        <v>2</v>
      </c>
      <c r="G1115" s="1" t="str">
        <f>固定流程!H35</f>
        <v>37_WEAK</v>
      </c>
      <c r="H1115" s="1">
        <f>固定流程!F35</f>
        <v>1</v>
      </c>
      <c r="I1115" s="1">
        <f>INDEX(配置与结果!$B$15:$B$18,F1115)</f>
        <v>2306</v>
      </c>
      <c r="J1115" s="1">
        <f>INDEX(配置与结果!$D$15:$D$18,F1115)</f>
        <v>0.46</v>
      </c>
      <c r="K1115" s="1">
        <f>INDEX(配置与结果!$E$15:$E$18,F1115)</f>
        <v>1.9279999999999999</v>
      </c>
      <c r="L1115" s="1">
        <f t="shared" si="1557"/>
        <v>2</v>
      </c>
      <c r="M1115" s="1">
        <f t="shared" si="1558"/>
        <v>10</v>
      </c>
      <c r="N1115" s="1">
        <f t="shared" si="1559"/>
        <v>2</v>
      </c>
      <c r="O1115" s="1">
        <f t="shared" si="1543"/>
        <v>5</v>
      </c>
      <c r="P1115" s="1">
        <f>MIN(方案参数!$AI$33,AZ1114+0+0)</f>
        <v>5</v>
      </c>
      <c r="Q1115" s="1">
        <f t="shared" si="1521"/>
        <v>5</v>
      </c>
      <c r="R1115" s="1">
        <f t="shared" si="1522"/>
        <v>20</v>
      </c>
      <c r="S1115" s="1">
        <f t="shared" si="1523"/>
        <v>3</v>
      </c>
      <c r="T1115" s="1">
        <f t="shared" si="1566"/>
        <v>0</v>
      </c>
      <c r="U1115" s="1">
        <f t="shared" si="1525"/>
        <v>0</v>
      </c>
      <c r="V1115" s="1">
        <f t="shared" si="1526"/>
        <v>4</v>
      </c>
      <c r="W1115" s="1">
        <f t="shared" si="1527"/>
        <v>1</v>
      </c>
      <c r="X1115" s="1">
        <f t="shared" si="1528"/>
        <v>1</v>
      </c>
      <c r="Y1115" s="1">
        <f t="shared" si="1529"/>
        <v>1</v>
      </c>
      <c r="Z1115" s="1">
        <f t="shared" si="1530"/>
        <v>1</v>
      </c>
      <c r="AA1115" s="1">
        <f t="shared" si="1562"/>
        <v>1</v>
      </c>
      <c r="AB1115" s="1">
        <f t="shared" si="1532"/>
        <v>1</v>
      </c>
      <c r="AC1115" s="1">
        <f t="shared" si="1567"/>
        <v>1</v>
      </c>
      <c r="AD1115" s="1">
        <f>ROUNDDOWN(I1115*(1+IF(F1115=3,0.05+方案参数!$Y$33+AA1115*0.12,IF(F1115=4,方案参数!$BZ$33*方案参数!$AS$33,0)))+IF(AND(X1115=1,F1115&lt;&gt;3),方案参数!$CC$33,0)+AC1115*方案参数!$CB$33,0)</f>
        <v>3044</v>
      </c>
      <c r="AE1115" s="1">
        <f>IF(OR(F1115=1,F1115=4),配置与结果!$B$24,配置与结果!$B$25)*MAX(0,1-INDEX(配置与结果!$I$15:$I$18,F1115))</f>
        <v>1000</v>
      </c>
      <c r="AF1115" s="1">
        <f>方案参数!$CE$33</f>
        <v>8</v>
      </c>
      <c r="AG1115" s="1">
        <f>MAX(配置与结果!$B$32,1+INDEX(配置与结果!$F$15:$F$18,F1115)+0+Q1115*方案参数!$W$33+Y1115*(方案参数!$AN$33+MIN(方案参数!$AO$33,P1115*0.03))+AB1115*方案参数!$BZ$33*0.025-配置与结果!$B$28+方案参数!$AE$33)</f>
        <v>2.2800000000000002</v>
      </c>
      <c r="AH1115" s="1">
        <f>MAX(0,1+V1115*方案参数!$U$33+方案参数!$AE$33-配置与结果!$B$29)</f>
        <v>1.56</v>
      </c>
      <c r="AI1115" s="1">
        <f>IF(OR(INDEX(配置与结果!$K$15:$K$18,F1115)=1,G1115="RHI_BERRY"),1+配置与结果!$B$33+P1115*方案参数!$AH$33,1)</f>
        <v>1</v>
      </c>
      <c r="AJ1115" s="1">
        <f>MIN(1,MAX(0,J1115+方案参数!$AB$33-配置与结果!$B$27))</f>
        <v>0.76</v>
      </c>
      <c r="AK1115" s="1">
        <f>MAX(1,K1115+IF(F1115=2,0.15+方案参数!$CH$33,0)+BN1115*方案参数!$X$33+R1115*方案参数!$AA$33+0-配置与结果!$B$26+Z1115*(方案参数!$AP$33+MIN(方案参数!$AQ$33,P1115*0.03)))</f>
        <v>2.3380000000000001</v>
      </c>
      <c r="AL1115" s="7">
        <f>ROUNDDOWN(MAX(AD1115*配置与结果!$B$31,AD1115-AE1115)*AF1115*AG1115*AH1115*AI1115,0)</f>
        <v>58160</v>
      </c>
      <c r="AM1115" s="7">
        <f>ROUNDDOWN(MAX(AD1115*配置与结果!$B$31,AD1115-AE1115)*AF1115*AG1115*AH1115*AI1115*AK1115,0)</f>
        <v>135979</v>
      </c>
      <c r="AN1115" s="7">
        <f t="shared" si="1546"/>
        <v>117302.44</v>
      </c>
      <c r="AO1115" s="7">
        <f>0</f>
        <v>0</v>
      </c>
      <c r="AP1115" s="7">
        <f>MAX(0,1+INDEX(配置与结果!$J$15:$J$18,F1115)+IF(T1115&gt;0,方案参数!$BY$33,0)-配置与结果!$B$30)</f>
        <v>1</v>
      </c>
      <c r="AQ1115" s="7">
        <f t="shared" si="1547"/>
        <v>0</v>
      </c>
      <c r="AR1115" s="7">
        <f t="shared" si="1548"/>
        <v>0</v>
      </c>
      <c r="AS1115" s="7">
        <f t="shared" si="1549"/>
        <v>0</v>
      </c>
      <c r="AT1115" s="7">
        <f>IF(U1115&gt;0,ROUNDDOWN(AL1115*方案参数!$AF$33,0)*(1-AJ1115)+ROUNDDOWN(AM1115*方案参数!$AF$33,0)*AJ1115,0)</f>
        <v>0</v>
      </c>
      <c r="AU1115" s="7">
        <f t="shared" si="1550"/>
        <v>117302.44</v>
      </c>
      <c r="AV1115" s="1">
        <f t="shared" si="1551"/>
        <v>2</v>
      </c>
      <c r="AW1115" s="1">
        <f t="shared" si="1572"/>
        <v>10</v>
      </c>
      <c r="AX1115" s="1">
        <f t="shared" si="1552"/>
        <v>2</v>
      </c>
      <c r="AY1115" s="1">
        <f>MIN(20,MAX(0,O1115+0+0-0))</f>
        <v>5</v>
      </c>
      <c r="AZ1115" s="1">
        <f t="shared" si="1553"/>
        <v>5</v>
      </c>
      <c r="BA1115" s="1">
        <f t="shared" si="1563"/>
        <v>5</v>
      </c>
      <c r="BB1115" s="1">
        <f t="shared" si="1571"/>
        <v>20</v>
      </c>
      <c r="BC1115" s="1">
        <f t="shared" si="1569"/>
        <v>3</v>
      </c>
      <c r="BD1115" s="1">
        <f t="shared" si="1542"/>
        <v>0</v>
      </c>
      <c r="BE1115" s="1">
        <f>MAX(0,U1115-IF(AF1115&gt;0,1,0))+1</f>
        <v>1</v>
      </c>
      <c r="BF1115" s="1">
        <f t="shared" si="1573"/>
        <v>4</v>
      </c>
      <c r="BG1115" s="1">
        <f t="shared" si="1560"/>
        <v>1</v>
      </c>
      <c r="BH1115" s="1">
        <f t="shared" si="1536"/>
        <v>1</v>
      </c>
      <c r="BI1115" s="1">
        <f t="shared" si="1561"/>
        <v>1</v>
      </c>
      <c r="BJ1115" s="1">
        <f t="shared" si="1564"/>
        <v>1</v>
      </c>
      <c r="BK1115" s="1">
        <f t="shared" si="1565"/>
        <v>1</v>
      </c>
      <c r="BL1115" s="1">
        <f t="shared" si="1570"/>
        <v>1</v>
      </c>
      <c r="BM1115" s="1">
        <f t="shared" si="1568"/>
        <v>1</v>
      </c>
      <c r="BN1115" s="1">
        <f t="shared" si="1537"/>
        <v>1</v>
      </c>
      <c r="BO1115" s="1">
        <f t="shared" si="1538"/>
        <v>1</v>
      </c>
    </row>
    <row r="1116" spans="1:67" ht="30.95" customHeight="1">
      <c r="A1116" s="1">
        <f>30</f>
        <v>30</v>
      </c>
      <c r="B1116" s="1">
        <f>固定流程!A36</f>
        <v>31</v>
      </c>
      <c r="C1116" s="1">
        <f>33</f>
        <v>33</v>
      </c>
      <c r="D1116" s="1">
        <f>2</f>
        <v>2</v>
      </c>
      <c r="E1116" s="1">
        <f>固定流程!C36</f>
        <v>3</v>
      </c>
      <c r="F1116" s="1">
        <f>固定流程!G36</f>
        <v>1</v>
      </c>
      <c r="G1116" s="1" t="str">
        <f>固定流程!H36</f>
        <v>LILYA_THIRD</v>
      </c>
      <c r="H1116" s="1">
        <f>固定流程!F36</f>
        <v>1</v>
      </c>
      <c r="I1116" s="1">
        <f>INDEX(配置与结果!$B$15:$B$18,F1116)</f>
        <v>2296</v>
      </c>
      <c r="J1116" s="1">
        <f>INDEX(配置与结果!$D$15:$D$18,F1116)</f>
        <v>0.7</v>
      </c>
      <c r="K1116" s="1">
        <f>INDEX(配置与结果!$E$15:$E$18,F1116)</f>
        <v>2.0249999999999999</v>
      </c>
      <c r="L1116" s="1">
        <f t="shared" si="1557"/>
        <v>2</v>
      </c>
      <c r="M1116" s="1">
        <f t="shared" si="1558"/>
        <v>10</v>
      </c>
      <c r="N1116" s="1">
        <f t="shared" si="1559"/>
        <v>2</v>
      </c>
      <c r="O1116" s="1">
        <f t="shared" si="1543"/>
        <v>5</v>
      </c>
      <c r="P1116" s="1">
        <f>MIN(方案参数!$AI$33,AZ1115+0+0)</f>
        <v>5</v>
      </c>
      <c r="Q1116" s="1">
        <f t="shared" si="1521"/>
        <v>5</v>
      </c>
      <c r="R1116" s="1">
        <f t="shared" si="1522"/>
        <v>20</v>
      </c>
      <c r="S1116" s="1">
        <f t="shared" si="1523"/>
        <v>3</v>
      </c>
      <c r="T1116" s="1">
        <f t="shared" si="1566"/>
        <v>0</v>
      </c>
      <c r="U1116" s="1">
        <f t="shared" si="1525"/>
        <v>1</v>
      </c>
      <c r="V1116" s="1">
        <f t="shared" si="1526"/>
        <v>4</v>
      </c>
      <c r="W1116" s="1">
        <f t="shared" si="1527"/>
        <v>1</v>
      </c>
      <c r="X1116" s="1">
        <f t="shared" si="1528"/>
        <v>1</v>
      </c>
      <c r="Y1116" s="1">
        <f t="shared" si="1529"/>
        <v>1</v>
      </c>
      <c r="Z1116" s="1">
        <f t="shared" si="1530"/>
        <v>1</v>
      </c>
      <c r="AA1116" s="1">
        <f t="shared" si="1562"/>
        <v>1</v>
      </c>
      <c r="AB1116" s="1">
        <f t="shared" si="1532"/>
        <v>1</v>
      </c>
      <c r="AC1116" s="1">
        <f t="shared" si="1567"/>
        <v>1</v>
      </c>
      <c r="AD1116" s="1">
        <f>ROUNDDOWN(I1116*(1+IF(F1116=3,0.05+方案参数!$Y$33+AA1116*0.12,IF(F1116=4,方案参数!$BZ$33*方案参数!$AS$33,0)))+IF(AND(X1116=1,F1116&lt;&gt;3),方案参数!$CC$33,0)+AC1116*方案参数!$CB$33,0)</f>
        <v>3034</v>
      </c>
      <c r="AE1116" s="1">
        <f>IF(OR(F1116=1,F1116=4),配置与结果!$B$24,配置与结果!$B$25)*MAX(0,1-INDEX(配置与结果!$I$15:$I$18,F1116))</f>
        <v>1200</v>
      </c>
      <c r="AF1116" s="1">
        <f>方案参数!$BM$33</f>
        <v>20</v>
      </c>
      <c r="AG1116" s="1">
        <f>MAX(配置与结果!$B$32,1+INDEX(配置与结果!$F$15:$F$18,F1116)+0.08+方案参数!$CD$33+Q1116*方案参数!$W$33+Y1116*(方案参数!$AN$33+MIN(方案参数!$AO$33,P1116*0.03))+AB1116*方案参数!$BZ$33*0.025-配置与结果!$B$28+方案参数!$AE$33)</f>
        <v>2.6150000000000002</v>
      </c>
      <c r="AH1116" s="1">
        <f>MAX(0,1+V1116*方案参数!$U$33+7*方案参数!$V$33+方案参数!$AE$33-配置与结果!$B$29)</f>
        <v>1.98</v>
      </c>
      <c r="AI1116" s="1">
        <f>IF(OR(INDEX(配置与结果!$K$15:$K$18,F1116)=1,G1116="RHI_BERRY"),1+配置与结果!$B$33+P1116*方案参数!$AH$33,1)</f>
        <v>1</v>
      </c>
      <c r="AJ1116" s="1">
        <f>MIN(1,MAX(0,J1116+方案参数!$AB$33-配置与结果!$B$27))</f>
        <v>1</v>
      </c>
      <c r="AK1116" s="1">
        <f>MAX(1,K1116+IF(F1116=2,0.15+方案参数!$CH$33,0)+BN1116*方案参数!$X$33+R1116*方案参数!$AA$33+方案参数!$BQ$33-配置与结果!$B$26+Z1116*(方案参数!$AP$33+MIN(方案参数!$AQ$33,P1116*0.03)))</f>
        <v>2.9650000000000003</v>
      </c>
      <c r="AL1116" s="7">
        <f>ROUNDDOWN(MAX(AD1116*配置与结果!$B$31,AD1116-AE1116)*AF1116*AG1116*AH1116*AI1116,0)</f>
        <v>189918</v>
      </c>
      <c r="AM1116" s="7">
        <f>ROUNDDOWN(MAX(AD1116*配置与结果!$B$31,AD1116-AE1116)*AF1116*AG1116*AH1116*AI1116*AK1116,0)</f>
        <v>563106</v>
      </c>
      <c r="AN1116" s="7">
        <f t="shared" si="1546"/>
        <v>563106</v>
      </c>
      <c r="AO1116" s="7">
        <f>0</f>
        <v>0</v>
      </c>
      <c r="AP1116" s="7">
        <f>MAX(0,1+INDEX(配置与结果!$J$15:$J$18,F1116)+IF(T1116&gt;0,方案参数!$BY$33,0)-配置与结果!$B$30)</f>
        <v>1</v>
      </c>
      <c r="AQ1116" s="7">
        <f t="shared" si="1547"/>
        <v>0</v>
      </c>
      <c r="AR1116" s="7">
        <f t="shared" si="1548"/>
        <v>0</v>
      </c>
      <c r="AS1116" s="7">
        <f t="shared" si="1549"/>
        <v>0</v>
      </c>
      <c r="AT1116" s="7">
        <f>IF(U1116&gt;0,ROUNDDOWN(AL1116*方案参数!$AF$33,0)*(1-AJ1116)+ROUNDDOWN(AM1116*方案参数!$AF$33,0)*AJ1116,0)</f>
        <v>225242</v>
      </c>
      <c r="AU1116" s="7">
        <f t="shared" si="1550"/>
        <v>788348</v>
      </c>
      <c r="AV1116" s="1">
        <f t="shared" si="1551"/>
        <v>2</v>
      </c>
      <c r="AW1116" s="1">
        <f t="shared" si="1572"/>
        <v>10</v>
      </c>
      <c r="AX1116" s="1">
        <f t="shared" si="1552"/>
        <v>2</v>
      </c>
      <c r="AY1116" s="1">
        <f>MIN(20,MAX(0,O1116+0+1-0))</f>
        <v>6</v>
      </c>
      <c r="AZ1116" s="1">
        <f t="shared" si="1553"/>
        <v>5</v>
      </c>
      <c r="BA1116" s="1">
        <f t="shared" si="1563"/>
        <v>5</v>
      </c>
      <c r="BB1116" s="1">
        <f t="shared" si="1571"/>
        <v>20</v>
      </c>
      <c r="BC1116" s="1">
        <f t="shared" si="1569"/>
        <v>3</v>
      </c>
      <c r="BD1116" s="1">
        <f t="shared" si="1542"/>
        <v>0</v>
      </c>
      <c r="BE1116" s="1">
        <f>MAX(0,U1116-IF(AF1116&gt;0,1,0))+0</f>
        <v>0</v>
      </c>
      <c r="BF1116" s="1">
        <f t="shared" si="1573"/>
        <v>4</v>
      </c>
      <c r="BG1116" s="1">
        <f t="shared" si="1560"/>
        <v>1</v>
      </c>
      <c r="BH1116" s="1">
        <f t="shared" si="1536"/>
        <v>1</v>
      </c>
      <c r="BI1116" s="1">
        <f t="shared" si="1561"/>
        <v>1</v>
      </c>
      <c r="BJ1116" s="1">
        <f t="shared" si="1564"/>
        <v>1</v>
      </c>
      <c r="BK1116" s="1">
        <f t="shared" si="1565"/>
        <v>1</v>
      </c>
      <c r="BL1116" s="1">
        <f t="shared" si="1570"/>
        <v>1</v>
      </c>
      <c r="BM1116" s="1">
        <f t="shared" si="1568"/>
        <v>1</v>
      </c>
      <c r="BN1116" s="1">
        <f t="shared" si="1537"/>
        <v>1</v>
      </c>
      <c r="BO1116" s="1">
        <f t="shared" si="1538"/>
        <v>1</v>
      </c>
    </row>
    <row r="1117" spans="1:67" ht="30.95" customHeight="1">
      <c r="A1117" s="1">
        <f>30</f>
        <v>30</v>
      </c>
      <c r="B1117" s="1">
        <f>固定流程!A37</f>
        <v>32</v>
      </c>
      <c r="C1117" s="1">
        <f>33</f>
        <v>33</v>
      </c>
      <c r="D1117" s="1">
        <f>2</f>
        <v>2</v>
      </c>
      <c r="E1117" s="1">
        <f>固定流程!C37</f>
        <v>3</v>
      </c>
      <c r="F1117" s="1">
        <f>固定流程!G37</f>
        <v>1</v>
      </c>
      <c r="G1117" s="1" t="str">
        <f>固定流程!H37</f>
        <v>LILYA_WEAK</v>
      </c>
      <c r="H1117" s="1">
        <f>固定流程!F37</f>
        <v>1</v>
      </c>
      <c r="I1117" s="1">
        <f>INDEX(配置与结果!$B$15:$B$18,F1117)</f>
        <v>2296</v>
      </c>
      <c r="J1117" s="1">
        <f>INDEX(配置与结果!$D$15:$D$18,F1117)</f>
        <v>0.7</v>
      </c>
      <c r="K1117" s="1">
        <f>INDEX(配置与结果!$E$15:$E$18,F1117)</f>
        <v>2.0249999999999999</v>
      </c>
      <c r="L1117" s="1">
        <f t="shared" si="1557"/>
        <v>2</v>
      </c>
      <c r="M1117" s="1">
        <f t="shared" si="1558"/>
        <v>10</v>
      </c>
      <c r="N1117" s="1">
        <f t="shared" si="1559"/>
        <v>2</v>
      </c>
      <c r="O1117" s="1">
        <f t="shared" si="1543"/>
        <v>6</v>
      </c>
      <c r="P1117" s="1">
        <f>MIN(方案参数!$AI$33,AZ1116+0+0)</f>
        <v>5</v>
      </c>
      <c r="Q1117" s="1">
        <f t="shared" si="1521"/>
        <v>5</v>
      </c>
      <c r="R1117" s="1">
        <f t="shared" si="1522"/>
        <v>20</v>
      </c>
      <c r="S1117" s="1">
        <f t="shared" si="1523"/>
        <v>3</v>
      </c>
      <c r="T1117" s="1">
        <f t="shared" si="1566"/>
        <v>0</v>
      </c>
      <c r="U1117" s="1">
        <f t="shared" si="1525"/>
        <v>0</v>
      </c>
      <c r="V1117" s="1">
        <f t="shared" si="1526"/>
        <v>4</v>
      </c>
      <c r="W1117" s="1">
        <f t="shared" si="1527"/>
        <v>1</v>
      </c>
      <c r="X1117" s="1">
        <f t="shared" si="1528"/>
        <v>1</v>
      </c>
      <c r="Y1117" s="1">
        <f t="shared" si="1529"/>
        <v>1</v>
      </c>
      <c r="Z1117" s="1">
        <f t="shared" si="1530"/>
        <v>1</v>
      </c>
      <c r="AA1117" s="1">
        <f t="shared" si="1562"/>
        <v>1</v>
      </c>
      <c r="AB1117" s="1">
        <f t="shared" si="1532"/>
        <v>1</v>
      </c>
      <c r="AC1117" s="1">
        <f t="shared" si="1567"/>
        <v>1</v>
      </c>
      <c r="AD1117" s="1">
        <f>ROUNDDOWN(I1117*(1+IF(F1117=3,0.05+方案参数!$Y$33+AA1117*0.12,IF(F1117=4,方案参数!$BZ$33*方案参数!$AS$33,0)))+IF(AND(X1117=1,F1117&lt;&gt;3),方案参数!$CC$33,0)+AC1117*方案参数!$CB$33,0)</f>
        <v>3034</v>
      </c>
      <c r="AE1117" s="1">
        <f>IF(OR(F1117=1,F1117=4),配置与结果!$B$24,配置与结果!$B$25)*MAX(0,1-INDEX(配置与结果!$I$15:$I$18,F1117))</f>
        <v>1200</v>
      </c>
      <c r="AF1117" s="1">
        <f>方案参数!$BL$33</f>
        <v>9</v>
      </c>
      <c r="AG1117" s="1">
        <f>MAX(配置与结果!$B$32,1+INDEX(配置与结果!$F$15:$F$18,F1117)+0.08+方案参数!$CD$33+Q1117*方案参数!$W$33+Y1117*(方案参数!$AN$33+MIN(方案参数!$AO$33,P1117*0.03))+AB1117*方案参数!$BZ$33*0.025-配置与结果!$B$28+方案参数!$AE$33)</f>
        <v>2.6150000000000002</v>
      </c>
      <c r="AH1117" s="1">
        <f>MAX(0,1+V1117*方案参数!$U$33+8*方案参数!$V$33+方案参数!$AE$33-配置与结果!$B$29)</f>
        <v>2.04</v>
      </c>
      <c r="AI1117" s="1">
        <f>IF(OR(INDEX(配置与结果!$K$15:$K$18,F1117)=1,G1117="RHI_BERRY"),1+配置与结果!$B$33+P1117*方案参数!$AH$33,1)</f>
        <v>1</v>
      </c>
      <c r="AJ1117" s="1">
        <f>MIN(1,MAX(0,J1117+方案参数!$AB$33-配置与结果!$B$27))</f>
        <v>1</v>
      </c>
      <c r="AK1117" s="1">
        <f>MAX(1,K1117+IF(F1117=2,0.15+方案参数!$CH$33,0)+BN1117*方案参数!$X$33+R1117*方案参数!$AA$33+方案参数!$BP$33-配置与结果!$B$26+Z1117*(方案参数!$AP$33+MIN(方案参数!$AQ$33,P1117*0.03)))</f>
        <v>2.7650000000000001</v>
      </c>
      <c r="AL1117" s="7">
        <f>ROUNDDOWN(MAX(AD1117*配置与结果!$B$31,AD1117-AE1117)*AF1117*AG1117*AH1117*AI1117,0)</f>
        <v>88052</v>
      </c>
      <c r="AM1117" s="7">
        <f>ROUNDDOWN(MAX(AD1117*配置与结果!$B$31,AD1117-AE1117)*AF1117*AG1117*AH1117*AI1117*AK1117,0)</f>
        <v>243466</v>
      </c>
      <c r="AN1117" s="7">
        <f t="shared" si="1546"/>
        <v>243466</v>
      </c>
      <c r="AO1117" s="7">
        <f>0</f>
        <v>0</v>
      </c>
      <c r="AP1117" s="7">
        <f>MAX(0,1+INDEX(配置与结果!$J$15:$J$18,F1117)+IF(T1117&gt;0,方案参数!$BY$33,0)-配置与结果!$B$30)</f>
        <v>1</v>
      </c>
      <c r="AQ1117" s="7">
        <f t="shared" si="1547"/>
        <v>0</v>
      </c>
      <c r="AR1117" s="7">
        <f t="shared" si="1548"/>
        <v>0</v>
      </c>
      <c r="AS1117" s="7">
        <f t="shared" si="1549"/>
        <v>0</v>
      </c>
      <c r="AT1117" s="7">
        <f>IF(U1117&gt;0,ROUNDDOWN(AL1117*方案参数!$AF$33,0)*(1-AJ1117)+ROUNDDOWN(AM1117*方案参数!$AF$33,0)*AJ1117,0)</f>
        <v>0</v>
      </c>
      <c r="AU1117" s="7">
        <f t="shared" si="1550"/>
        <v>243466</v>
      </c>
      <c r="AV1117" s="1">
        <f t="shared" si="1551"/>
        <v>2</v>
      </c>
      <c r="AW1117" s="1">
        <f t="shared" si="1572"/>
        <v>10</v>
      </c>
      <c r="AX1117" s="1">
        <f t="shared" si="1552"/>
        <v>2</v>
      </c>
      <c r="AY1117" s="1">
        <f>MIN(20,MAX(0,O1117+0+1-0))</f>
        <v>7</v>
      </c>
      <c r="AZ1117" s="1">
        <f t="shared" si="1553"/>
        <v>5</v>
      </c>
      <c r="BA1117" s="1">
        <f t="shared" si="1563"/>
        <v>5</v>
      </c>
      <c r="BB1117" s="1">
        <f t="shared" si="1571"/>
        <v>20</v>
      </c>
      <c r="BC1117" s="1">
        <f t="shared" si="1569"/>
        <v>3</v>
      </c>
      <c r="BD1117" s="1">
        <f t="shared" si="1542"/>
        <v>0</v>
      </c>
      <c r="BE1117" s="1">
        <f>MAX(0,U1117-IF(AF1117&gt;0,1,0))+0</f>
        <v>0</v>
      </c>
      <c r="BF1117" s="1">
        <f t="shared" si="1573"/>
        <v>4</v>
      </c>
      <c r="BG1117" s="1">
        <f t="shared" si="1560"/>
        <v>1</v>
      </c>
      <c r="BH1117" s="1">
        <f t="shared" si="1536"/>
        <v>1</v>
      </c>
      <c r="BI1117" s="1">
        <f t="shared" si="1561"/>
        <v>1</v>
      </c>
      <c r="BJ1117" s="1">
        <f t="shared" si="1564"/>
        <v>1</v>
      </c>
      <c r="BK1117" s="1">
        <f t="shared" si="1565"/>
        <v>1</v>
      </c>
      <c r="BL1117" s="1">
        <f t="shared" si="1570"/>
        <v>1</v>
      </c>
      <c r="BM1117" s="1">
        <f t="shared" si="1568"/>
        <v>1</v>
      </c>
      <c r="BN1117" s="1">
        <f t="shared" si="1537"/>
        <v>1</v>
      </c>
      <c r="BO1117" s="1">
        <f t="shared" si="1538"/>
        <v>1</v>
      </c>
    </row>
    <row r="1118" spans="1:67" ht="30.95" customHeight="1">
      <c r="A1118" s="1">
        <f>30</f>
        <v>30</v>
      </c>
      <c r="B1118" s="1">
        <f>固定流程!A38</f>
        <v>33</v>
      </c>
      <c r="C1118" s="1">
        <f>33</f>
        <v>33</v>
      </c>
      <c r="D1118" s="1">
        <f>2</f>
        <v>2</v>
      </c>
      <c r="E1118" s="1">
        <f>固定流程!C38</f>
        <v>3</v>
      </c>
      <c r="F1118" s="1">
        <f>固定流程!G38</f>
        <v>1</v>
      </c>
      <c r="G1118" s="1" t="str">
        <f>固定流程!H38</f>
        <v>LILYA_WEAK</v>
      </c>
      <c r="H1118" s="1">
        <f>固定流程!F38</f>
        <v>1</v>
      </c>
      <c r="I1118" s="1">
        <f>INDEX(配置与结果!$B$15:$B$18,F1118)</f>
        <v>2296</v>
      </c>
      <c r="J1118" s="1">
        <f>INDEX(配置与结果!$D$15:$D$18,F1118)</f>
        <v>0.7</v>
      </c>
      <c r="K1118" s="1">
        <f>INDEX(配置与结果!$E$15:$E$18,F1118)</f>
        <v>2.0249999999999999</v>
      </c>
      <c r="L1118" s="1">
        <f t="shared" si="1557"/>
        <v>2</v>
      </c>
      <c r="M1118" s="1">
        <f t="shared" si="1558"/>
        <v>10</v>
      </c>
      <c r="N1118" s="1">
        <f t="shared" si="1559"/>
        <v>2</v>
      </c>
      <c r="O1118" s="1">
        <f t="shared" si="1543"/>
        <v>7</v>
      </c>
      <c r="P1118" s="1">
        <f>MIN(方案参数!$AI$33,AZ1117+0+0)</f>
        <v>5</v>
      </c>
      <c r="Q1118" s="1">
        <f t="shared" si="1521"/>
        <v>5</v>
      </c>
      <c r="R1118" s="1">
        <f t="shared" si="1522"/>
        <v>20</v>
      </c>
      <c r="S1118" s="1">
        <f t="shared" si="1523"/>
        <v>3</v>
      </c>
      <c r="T1118" s="1">
        <f t="shared" si="1566"/>
        <v>0</v>
      </c>
      <c r="U1118" s="1">
        <f t="shared" si="1525"/>
        <v>0</v>
      </c>
      <c r="V1118" s="1">
        <f t="shared" si="1526"/>
        <v>4</v>
      </c>
      <c r="W1118" s="1">
        <f t="shared" si="1527"/>
        <v>1</v>
      </c>
      <c r="X1118" s="1">
        <f t="shared" si="1528"/>
        <v>1</v>
      </c>
      <c r="Y1118" s="1">
        <f t="shared" si="1529"/>
        <v>1</v>
      </c>
      <c r="Z1118" s="1">
        <f t="shared" si="1530"/>
        <v>1</v>
      </c>
      <c r="AA1118" s="1">
        <f t="shared" si="1562"/>
        <v>1</v>
      </c>
      <c r="AB1118" s="1">
        <f t="shared" si="1532"/>
        <v>1</v>
      </c>
      <c r="AC1118" s="1">
        <f t="shared" si="1567"/>
        <v>1</v>
      </c>
      <c r="AD1118" s="1">
        <f>ROUNDDOWN(I1118*(1+IF(F1118=3,0.05+方案参数!$Y$33+AA1118*0.12,IF(F1118=4,方案参数!$BZ$33*方案参数!$AS$33,0)))+IF(AND(X1118=1,F1118&lt;&gt;3),方案参数!$CC$33,0)+AC1118*方案参数!$CB$33,0)</f>
        <v>3034</v>
      </c>
      <c r="AE1118" s="1">
        <f>IF(OR(F1118=1,F1118=4),配置与结果!$B$24,配置与结果!$B$25)*MAX(0,1-INDEX(配置与结果!$I$15:$I$18,F1118))</f>
        <v>1200</v>
      </c>
      <c r="AF1118" s="1">
        <f>方案参数!$BL$33</f>
        <v>9</v>
      </c>
      <c r="AG1118" s="1">
        <f>MAX(配置与结果!$B$32,1+INDEX(配置与结果!$F$15:$F$18,F1118)+0.08+方案参数!$CD$33+Q1118*方案参数!$W$33+Y1118*(方案参数!$AN$33+MIN(方案参数!$AO$33,P1118*0.03))+AB1118*方案参数!$BZ$33*0.025-配置与结果!$B$28+方案参数!$AE$33)</f>
        <v>2.6150000000000002</v>
      </c>
      <c r="AH1118" s="1">
        <f>MAX(0,1+V1118*方案参数!$U$33+9*方案参数!$V$33+方案参数!$AE$33-配置与结果!$B$29)</f>
        <v>2.1</v>
      </c>
      <c r="AI1118" s="1">
        <f>IF(OR(INDEX(配置与结果!$K$15:$K$18,F1118)=1,G1118="RHI_BERRY"),1+配置与结果!$B$33+P1118*方案参数!$AH$33,1)</f>
        <v>1</v>
      </c>
      <c r="AJ1118" s="1">
        <f>MIN(1,MAX(0,J1118+方案参数!$AB$33-配置与结果!$B$27))</f>
        <v>1</v>
      </c>
      <c r="AK1118" s="1">
        <f>MAX(1,K1118+IF(F1118=2,0.15+方案参数!$CH$33,0)+BN1118*方案参数!$X$33+R1118*方案参数!$AA$33+方案参数!$BP$33-配置与结果!$B$26+Z1118*(方案参数!$AP$33+MIN(方案参数!$AQ$33,P1118*0.03)))</f>
        <v>2.7650000000000001</v>
      </c>
      <c r="AL1118" s="7">
        <f>ROUNDDOWN(MAX(AD1118*配置与结果!$B$31,AD1118-AE1118)*AF1118*AG1118*AH1118*AI1118,0)</f>
        <v>90642</v>
      </c>
      <c r="AM1118" s="7">
        <f>ROUNDDOWN(MAX(AD1118*配置与结果!$B$31,AD1118-AE1118)*AF1118*AG1118*AH1118*AI1118*AK1118,0)</f>
        <v>250627</v>
      </c>
      <c r="AN1118" s="7">
        <f t="shared" si="1546"/>
        <v>250627</v>
      </c>
      <c r="AO1118" s="7">
        <f>0</f>
        <v>0</v>
      </c>
      <c r="AP1118" s="7">
        <f>MAX(0,1+INDEX(配置与结果!$J$15:$J$18,F1118)+IF(T1118&gt;0,方案参数!$BY$33,0)-配置与结果!$B$30)</f>
        <v>1</v>
      </c>
      <c r="AQ1118" s="7">
        <f t="shared" si="1547"/>
        <v>0</v>
      </c>
      <c r="AR1118" s="7">
        <f t="shared" si="1548"/>
        <v>0</v>
      </c>
      <c r="AS1118" s="7">
        <f t="shared" si="1549"/>
        <v>0</v>
      </c>
      <c r="AT1118" s="7">
        <f>IF(U1118&gt;0,ROUNDDOWN(AL1118*方案参数!$AF$33,0)*(1-AJ1118)+ROUNDDOWN(AM1118*方案参数!$AF$33,0)*AJ1118,0)</f>
        <v>0</v>
      </c>
      <c r="AU1118" s="7">
        <f t="shared" si="1550"/>
        <v>250627</v>
      </c>
      <c r="AV1118" s="1">
        <f t="shared" si="1551"/>
        <v>2</v>
      </c>
      <c r="AW1118" s="1">
        <f t="shared" si="1572"/>
        <v>10</v>
      </c>
      <c r="AX1118" s="1">
        <f t="shared" si="1552"/>
        <v>2</v>
      </c>
      <c r="AY1118" s="1">
        <f>MIN(20,MAX(0,O1118+0+1-0))</f>
        <v>8</v>
      </c>
      <c r="AZ1118" s="1">
        <f t="shared" si="1553"/>
        <v>5</v>
      </c>
      <c r="BA1118" s="1">
        <f t="shared" si="1563"/>
        <v>5</v>
      </c>
      <c r="BB1118" s="1">
        <f t="shared" si="1571"/>
        <v>20</v>
      </c>
      <c r="BC1118" s="1">
        <f t="shared" si="1569"/>
        <v>3</v>
      </c>
      <c r="BD1118" s="1">
        <f t="shared" si="1542"/>
        <v>0</v>
      </c>
      <c r="BE1118" s="1">
        <f>MAX(0,U1118-IF(AF1118&gt;0,1,0))+0</f>
        <v>0</v>
      </c>
      <c r="BF1118" s="1">
        <f t="shared" si="1573"/>
        <v>4</v>
      </c>
      <c r="BG1118" s="1">
        <f t="shared" si="1560"/>
        <v>1</v>
      </c>
      <c r="BH1118" s="1">
        <f t="shared" si="1536"/>
        <v>1</v>
      </c>
      <c r="BI1118" s="1">
        <f t="shared" si="1561"/>
        <v>1</v>
      </c>
      <c r="BJ1118" s="1">
        <f t="shared" si="1564"/>
        <v>1</v>
      </c>
      <c r="BK1118" s="1">
        <f t="shared" si="1565"/>
        <v>1</v>
      </c>
      <c r="BL1118" s="1">
        <f t="shared" si="1570"/>
        <v>1</v>
      </c>
      <c r="BM1118" s="1">
        <f t="shared" si="1568"/>
        <v>1</v>
      </c>
      <c r="BN1118" s="1">
        <f t="shared" si="1537"/>
        <v>1</v>
      </c>
      <c r="BO1118" s="1">
        <f t="shared" si="1538"/>
        <v>1</v>
      </c>
    </row>
    <row r="1119" spans="1:67" ht="30.95" customHeight="1">
      <c r="A1119" s="1">
        <f>30</f>
        <v>30</v>
      </c>
      <c r="B1119" s="1">
        <f>固定流程!A39</f>
        <v>34</v>
      </c>
      <c r="C1119" s="1">
        <f>33</f>
        <v>33</v>
      </c>
      <c r="D1119" s="1">
        <f>2</f>
        <v>2</v>
      </c>
      <c r="E1119" s="1">
        <f>固定流程!C39</f>
        <v>3</v>
      </c>
      <c r="F1119" s="1">
        <f>固定流程!G39</f>
        <v>2</v>
      </c>
      <c r="G1119" s="1" t="str">
        <f>固定流程!H39</f>
        <v>37_WEAK</v>
      </c>
      <c r="H1119" s="1">
        <f>固定流程!F39</f>
        <v>1</v>
      </c>
      <c r="I1119" s="1">
        <f>INDEX(配置与结果!$B$15:$B$18,F1119)</f>
        <v>2306</v>
      </c>
      <c r="J1119" s="1">
        <f>INDEX(配置与结果!$D$15:$D$18,F1119)</f>
        <v>0.46</v>
      </c>
      <c r="K1119" s="1">
        <f>INDEX(配置与结果!$E$15:$E$18,F1119)</f>
        <v>1.9279999999999999</v>
      </c>
      <c r="L1119" s="1">
        <f t="shared" si="1557"/>
        <v>2</v>
      </c>
      <c r="M1119" s="1">
        <f t="shared" si="1558"/>
        <v>10</v>
      </c>
      <c r="N1119" s="1">
        <f t="shared" si="1559"/>
        <v>2</v>
      </c>
      <c r="O1119" s="1">
        <f t="shared" si="1543"/>
        <v>8</v>
      </c>
      <c r="P1119" s="1">
        <f>MIN(方案参数!$AI$33,AZ1118+0+0)</f>
        <v>5</v>
      </c>
      <c r="Q1119" s="1">
        <f t="shared" si="1521"/>
        <v>5</v>
      </c>
      <c r="R1119" s="1">
        <f t="shared" si="1522"/>
        <v>20</v>
      </c>
      <c r="S1119" s="1">
        <f t="shared" si="1523"/>
        <v>3</v>
      </c>
      <c r="T1119" s="1">
        <f t="shared" si="1566"/>
        <v>0</v>
      </c>
      <c r="U1119" s="1">
        <f t="shared" si="1525"/>
        <v>0</v>
      </c>
      <c r="V1119" s="1">
        <f t="shared" si="1526"/>
        <v>4</v>
      </c>
      <c r="W1119" s="1">
        <f t="shared" si="1527"/>
        <v>1</v>
      </c>
      <c r="X1119" s="1">
        <f t="shared" si="1528"/>
        <v>1</v>
      </c>
      <c r="Y1119" s="1">
        <f t="shared" si="1529"/>
        <v>1</v>
      </c>
      <c r="Z1119" s="1">
        <f t="shared" si="1530"/>
        <v>1</v>
      </c>
      <c r="AA1119" s="1">
        <f t="shared" si="1562"/>
        <v>1</v>
      </c>
      <c r="AB1119" s="1">
        <f t="shared" si="1532"/>
        <v>1</v>
      </c>
      <c r="AC1119" s="1">
        <f t="shared" si="1567"/>
        <v>1</v>
      </c>
      <c r="AD1119" s="1">
        <f>ROUNDDOWN(I1119*(1+IF(F1119=3,0.05+方案参数!$Y$33+AA1119*0.12,IF(F1119=4,方案参数!$BZ$33*方案参数!$AS$33,0)))+IF(AND(X1119=1,F1119&lt;&gt;3),方案参数!$CC$33,0)+AC1119*方案参数!$CB$33,0)</f>
        <v>3044</v>
      </c>
      <c r="AE1119" s="1">
        <f>IF(OR(F1119=1,F1119=4),配置与结果!$B$24,配置与结果!$B$25)*MAX(0,1-INDEX(配置与结果!$I$15:$I$18,F1119))</f>
        <v>1000</v>
      </c>
      <c r="AF1119" s="1">
        <f>方案参数!$CE$33</f>
        <v>8</v>
      </c>
      <c r="AG1119" s="1">
        <f>MAX(配置与结果!$B$32,1+INDEX(配置与结果!$F$15:$F$18,F1119)+0+Q1119*方案参数!$W$33+Y1119*(方案参数!$AN$33+MIN(方案参数!$AO$33,P1119*0.03))+AB1119*方案参数!$BZ$33*0.025-配置与结果!$B$28+方案参数!$AE$33)</f>
        <v>2.2800000000000002</v>
      </c>
      <c r="AH1119" s="1">
        <f>MAX(0,1+V1119*方案参数!$U$33+方案参数!$AE$33-配置与结果!$B$29)</f>
        <v>1.56</v>
      </c>
      <c r="AI1119" s="1">
        <f>IF(OR(INDEX(配置与结果!$K$15:$K$18,F1119)=1,G1119="RHI_BERRY"),1+配置与结果!$B$33+P1119*方案参数!$AH$33,1)</f>
        <v>1</v>
      </c>
      <c r="AJ1119" s="1">
        <f>MIN(1,MAX(0,J1119+方案参数!$AB$33-配置与结果!$B$27))</f>
        <v>0.76</v>
      </c>
      <c r="AK1119" s="1">
        <f>MAX(1,K1119+IF(F1119=2,0.15+方案参数!$CH$33,0)+BN1119*方案参数!$X$33+R1119*方案参数!$AA$33+0-配置与结果!$B$26+Z1119*(方案参数!$AP$33+MIN(方案参数!$AQ$33,P1119*0.03)))</f>
        <v>2.3380000000000001</v>
      </c>
      <c r="AL1119" s="7">
        <f>ROUNDDOWN(MAX(AD1119*配置与结果!$B$31,AD1119-AE1119)*AF1119*AG1119*AH1119*AI1119,0)</f>
        <v>58160</v>
      </c>
      <c r="AM1119" s="7">
        <f>ROUNDDOWN(MAX(AD1119*配置与结果!$B$31,AD1119-AE1119)*AF1119*AG1119*AH1119*AI1119*AK1119,0)</f>
        <v>135979</v>
      </c>
      <c r="AN1119" s="7">
        <f t="shared" si="1546"/>
        <v>117302.44</v>
      </c>
      <c r="AO1119" s="7">
        <f>0</f>
        <v>0</v>
      </c>
      <c r="AP1119" s="7">
        <f>MAX(0,1+INDEX(配置与结果!$J$15:$J$18,F1119)+IF(T1119&gt;0,方案参数!$BY$33,0)-配置与结果!$B$30)</f>
        <v>1</v>
      </c>
      <c r="AQ1119" s="7">
        <f t="shared" si="1547"/>
        <v>0</v>
      </c>
      <c r="AR1119" s="7">
        <f t="shared" si="1548"/>
        <v>0</v>
      </c>
      <c r="AS1119" s="7">
        <f t="shared" si="1549"/>
        <v>0</v>
      </c>
      <c r="AT1119" s="7">
        <f>IF(U1119&gt;0,ROUNDDOWN(AL1119*方案参数!$AF$33,0)*(1-AJ1119)+ROUNDDOWN(AM1119*方案参数!$AF$33,0)*AJ1119,0)</f>
        <v>0</v>
      </c>
      <c r="AU1119" s="7">
        <f t="shared" si="1550"/>
        <v>117302.44</v>
      </c>
      <c r="AV1119" s="1">
        <f t="shared" si="1551"/>
        <v>2</v>
      </c>
      <c r="AW1119" s="1">
        <f t="shared" si="1572"/>
        <v>10</v>
      </c>
      <c r="AX1119" s="1">
        <f t="shared" si="1552"/>
        <v>2</v>
      </c>
      <c r="AY1119" s="1">
        <f>MIN(20,MAX(0,O1119+0+0-0))</f>
        <v>8</v>
      </c>
      <c r="AZ1119" s="1">
        <f t="shared" si="1553"/>
        <v>5</v>
      </c>
      <c r="BA1119" s="1">
        <f t="shared" si="1563"/>
        <v>5</v>
      </c>
      <c r="BB1119" s="1">
        <f t="shared" si="1571"/>
        <v>20</v>
      </c>
      <c r="BC1119" s="1">
        <f t="shared" si="1569"/>
        <v>3</v>
      </c>
      <c r="BD1119" s="1">
        <f t="shared" si="1542"/>
        <v>0</v>
      </c>
      <c r="BE1119" s="1">
        <f>MAX(0,U1119-IF(AF1119&gt;0,1,0))+1</f>
        <v>1</v>
      </c>
      <c r="BF1119" s="1">
        <f t="shared" si="1573"/>
        <v>4</v>
      </c>
      <c r="BG1119" s="1">
        <f t="shared" si="1560"/>
        <v>1</v>
      </c>
      <c r="BH1119" s="1">
        <f t="shared" si="1536"/>
        <v>1</v>
      </c>
      <c r="BI1119" s="1">
        <f t="shared" si="1561"/>
        <v>1</v>
      </c>
      <c r="BJ1119" s="1">
        <f t="shared" si="1564"/>
        <v>1</v>
      </c>
      <c r="BK1119" s="1">
        <f t="shared" si="1565"/>
        <v>1</v>
      </c>
      <c r="BL1119" s="1">
        <f t="shared" si="1570"/>
        <v>1</v>
      </c>
      <c r="BM1119" s="1">
        <f t="shared" si="1568"/>
        <v>1</v>
      </c>
      <c r="BN1119" s="1">
        <f t="shared" si="1537"/>
        <v>1</v>
      </c>
      <c r="BO1119" s="1">
        <f t="shared" si="1538"/>
        <v>1</v>
      </c>
    </row>
    <row r="1120" spans="1:67" ht="30.95" customHeight="1">
      <c r="A1120" s="1">
        <f>30</f>
        <v>30</v>
      </c>
      <c r="B1120" s="1">
        <f>固定流程!A40</f>
        <v>35</v>
      </c>
      <c r="C1120" s="1">
        <f>33</f>
        <v>33</v>
      </c>
      <c r="D1120" s="1">
        <f>2</f>
        <v>2</v>
      </c>
      <c r="E1120" s="1">
        <f>固定流程!C40</f>
        <v>3</v>
      </c>
      <c r="F1120" s="1">
        <f>固定流程!G40</f>
        <v>2</v>
      </c>
      <c r="G1120" s="1" t="str">
        <f>固定流程!H40</f>
        <v>37_WEAK</v>
      </c>
      <c r="H1120" s="1">
        <f>固定流程!F40</f>
        <v>1</v>
      </c>
      <c r="I1120" s="1">
        <f>INDEX(配置与结果!$B$15:$B$18,F1120)</f>
        <v>2306</v>
      </c>
      <c r="J1120" s="1">
        <f>INDEX(配置与结果!$D$15:$D$18,F1120)</f>
        <v>0.46</v>
      </c>
      <c r="K1120" s="1">
        <f>INDEX(配置与结果!$E$15:$E$18,F1120)</f>
        <v>1.9279999999999999</v>
      </c>
      <c r="L1120" s="1">
        <f t="shared" si="1557"/>
        <v>2</v>
      </c>
      <c r="M1120" s="1">
        <f t="shared" si="1558"/>
        <v>10</v>
      </c>
      <c r="N1120" s="1">
        <f t="shared" si="1559"/>
        <v>2</v>
      </c>
      <c r="O1120" s="1">
        <f t="shared" si="1543"/>
        <v>8</v>
      </c>
      <c r="P1120" s="1">
        <f>MIN(方案参数!$AI$33,AZ1119+0+0)</f>
        <v>5</v>
      </c>
      <c r="Q1120" s="1">
        <f t="shared" si="1521"/>
        <v>5</v>
      </c>
      <c r="R1120" s="1">
        <f t="shared" si="1522"/>
        <v>20</v>
      </c>
      <c r="S1120" s="1">
        <f t="shared" si="1523"/>
        <v>3</v>
      </c>
      <c r="T1120" s="1">
        <f t="shared" si="1566"/>
        <v>0</v>
      </c>
      <c r="U1120" s="1">
        <f t="shared" si="1525"/>
        <v>1</v>
      </c>
      <c r="V1120" s="1">
        <f t="shared" si="1526"/>
        <v>4</v>
      </c>
      <c r="W1120" s="1">
        <f t="shared" si="1527"/>
        <v>1</v>
      </c>
      <c r="X1120" s="1">
        <f t="shared" si="1528"/>
        <v>1</v>
      </c>
      <c r="Y1120" s="1">
        <f t="shared" si="1529"/>
        <v>1</v>
      </c>
      <c r="Z1120" s="1">
        <f t="shared" si="1530"/>
        <v>1</v>
      </c>
      <c r="AA1120" s="1">
        <f t="shared" si="1562"/>
        <v>1</v>
      </c>
      <c r="AB1120" s="1">
        <f t="shared" si="1532"/>
        <v>1</v>
      </c>
      <c r="AC1120" s="1">
        <f t="shared" si="1567"/>
        <v>1</v>
      </c>
      <c r="AD1120" s="1">
        <f>ROUNDDOWN(I1120*(1+IF(F1120=3,0.05+方案参数!$Y$33+AA1120*0.12,IF(F1120=4,方案参数!$BZ$33*方案参数!$AS$33,0)))+IF(AND(X1120=1,F1120&lt;&gt;3),方案参数!$CC$33,0)+AC1120*方案参数!$CB$33,0)</f>
        <v>3044</v>
      </c>
      <c r="AE1120" s="1">
        <f>IF(OR(F1120=1,F1120=4),配置与结果!$B$24,配置与结果!$B$25)*MAX(0,1-INDEX(配置与结果!$I$15:$I$18,F1120))</f>
        <v>1000</v>
      </c>
      <c r="AF1120" s="1">
        <f>方案参数!$CE$33</f>
        <v>8</v>
      </c>
      <c r="AG1120" s="1">
        <f>MAX(配置与结果!$B$32,1+INDEX(配置与结果!$F$15:$F$18,F1120)+0+Q1120*方案参数!$W$33+Y1120*(方案参数!$AN$33+MIN(方案参数!$AO$33,P1120*0.03))+AB1120*方案参数!$BZ$33*0.025-配置与结果!$B$28+方案参数!$AE$33)</f>
        <v>2.2800000000000002</v>
      </c>
      <c r="AH1120" s="1">
        <f>MAX(0,1+V1120*方案参数!$U$33+方案参数!$AE$33-配置与结果!$B$29)</f>
        <v>1.56</v>
      </c>
      <c r="AI1120" s="1">
        <f>IF(OR(INDEX(配置与结果!$K$15:$K$18,F1120)=1,G1120="RHI_BERRY"),1+配置与结果!$B$33+P1120*方案参数!$AH$33,1)</f>
        <v>1</v>
      </c>
      <c r="AJ1120" s="1">
        <f>MIN(1,MAX(0,J1120+方案参数!$AB$33-配置与结果!$B$27))</f>
        <v>0.76</v>
      </c>
      <c r="AK1120" s="1">
        <f>MAX(1,K1120+IF(F1120=2,0.15+方案参数!$CH$33,0)+BN1120*方案参数!$X$33+R1120*方案参数!$AA$33+0-配置与结果!$B$26+Z1120*(方案参数!$AP$33+MIN(方案参数!$AQ$33,P1120*0.03)))</f>
        <v>2.3380000000000001</v>
      </c>
      <c r="AL1120" s="7">
        <f>ROUNDDOWN(MAX(AD1120*配置与结果!$B$31,AD1120-AE1120)*AF1120*AG1120*AH1120*AI1120,0)</f>
        <v>58160</v>
      </c>
      <c r="AM1120" s="7">
        <f>ROUNDDOWN(MAX(AD1120*配置与结果!$B$31,AD1120-AE1120)*AF1120*AG1120*AH1120*AI1120*AK1120,0)</f>
        <v>135979</v>
      </c>
      <c r="AN1120" s="7">
        <f t="shared" si="1546"/>
        <v>117302.44</v>
      </c>
      <c r="AO1120" s="7">
        <f>0</f>
        <v>0</v>
      </c>
      <c r="AP1120" s="7">
        <f>MAX(0,1+INDEX(配置与结果!$J$15:$J$18,F1120)+IF(T1120&gt;0,方案参数!$BY$33,0)-配置与结果!$B$30)</f>
        <v>1</v>
      </c>
      <c r="AQ1120" s="7">
        <f t="shared" si="1547"/>
        <v>0</v>
      </c>
      <c r="AR1120" s="7">
        <f t="shared" si="1548"/>
        <v>0</v>
      </c>
      <c r="AS1120" s="7">
        <f t="shared" si="1549"/>
        <v>0</v>
      </c>
      <c r="AT1120" s="7">
        <f>IF(U1120&gt;0,ROUNDDOWN(AL1120*方案参数!$AF$33,0)*(1-AJ1120)+ROUNDDOWN(AM1120*方案参数!$AF$33,0)*AJ1120,0)</f>
        <v>46920.520000000004</v>
      </c>
      <c r="AU1120" s="7">
        <f t="shared" si="1550"/>
        <v>164222.96000000002</v>
      </c>
      <c r="AV1120" s="1">
        <f t="shared" si="1551"/>
        <v>2</v>
      </c>
      <c r="AW1120" s="1">
        <f t="shared" si="1572"/>
        <v>10</v>
      </c>
      <c r="AX1120" s="1">
        <f t="shared" si="1552"/>
        <v>2</v>
      </c>
      <c r="AY1120" s="1">
        <f>MIN(20,MAX(0,O1120+0+0-0))</f>
        <v>8</v>
      </c>
      <c r="AZ1120" s="1">
        <f t="shared" si="1553"/>
        <v>5</v>
      </c>
      <c r="BA1120" s="1">
        <f t="shared" si="1563"/>
        <v>5</v>
      </c>
      <c r="BB1120" s="1">
        <f t="shared" si="1571"/>
        <v>20</v>
      </c>
      <c r="BC1120" s="1">
        <f t="shared" si="1569"/>
        <v>3</v>
      </c>
      <c r="BD1120" s="1">
        <f t="shared" si="1542"/>
        <v>0</v>
      </c>
      <c r="BE1120" s="1">
        <f>MAX(0,U1120-IF(AF1120&gt;0,1,0))+1</f>
        <v>1</v>
      </c>
      <c r="BF1120" s="1">
        <f t="shared" si="1573"/>
        <v>4</v>
      </c>
      <c r="BG1120" s="1">
        <f t="shared" si="1560"/>
        <v>1</v>
      </c>
      <c r="BH1120" s="1">
        <f t="shared" si="1536"/>
        <v>1</v>
      </c>
      <c r="BI1120" s="1">
        <f t="shared" si="1561"/>
        <v>1</v>
      </c>
      <c r="BJ1120" s="1">
        <f t="shared" si="1564"/>
        <v>1</v>
      </c>
      <c r="BK1120" s="1">
        <f t="shared" si="1565"/>
        <v>1</v>
      </c>
      <c r="BL1120" s="1">
        <f t="shared" si="1570"/>
        <v>1</v>
      </c>
      <c r="BM1120" s="1">
        <f t="shared" si="1568"/>
        <v>1</v>
      </c>
      <c r="BN1120" s="1">
        <f t="shared" si="1537"/>
        <v>1</v>
      </c>
      <c r="BO1120" s="1">
        <f t="shared" si="1538"/>
        <v>1</v>
      </c>
    </row>
    <row r="1121" spans="1:67" ht="30.95" customHeight="1">
      <c r="A1121" s="1">
        <f>30</f>
        <v>30</v>
      </c>
      <c r="B1121" s="1">
        <f>固定流程!A41</f>
        <v>36</v>
      </c>
      <c r="C1121" s="1">
        <f>33</f>
        <v>33</v>
      </c>
      <c r="D1121" s="1">
        <f>2</f>
        <v>2</v>
      </c>
      <c r="E1121" s="1">
        <f>固定流程!C41</f>
        <v>3</v>
      </c>
      <c r="F1121" s="1">
        <f>固定流程!G41</f>
        <v>1</v>
      </c>
      <c r="G1121" s="1" t="str">
        <f>固定流程!H41</f>
        <v>LILYA_FINISH</v>
      </c>
      <c r="H1121" s="1">
        <f>固定流程!F41</f>
        <v>1</v>
      </c>
      <c r="I1121" s="1">
        <f>INDEX(配置与结果!$B$15:$B$18,F1121)</f>
        <v>2296</v>
      </c>
      <c r="J1121" s="1">
        <f>INDEX(配置与结果!$D$15:$D$18,F1121)</f>
        <v>0.7</v>
      </c>
      <c r="K1121" s="1">
        <f>INDEX(配置与结果!$E$15:$E$18,F1121)</f>
        <v>2.0249999999999999</v>
      </c>
      <c r="L1121" s="1">
        <f t="shared" si="1557"/>
        <v>2</v>
      </c>
      <c r="M1121" s="1">
        <f t="shared" si="1558"/>
        <v>10</v>
      </c>
      <c r="N1121" s="1">
        <f t="shared" si="1559"/>
        <v>2</v>
      </c>
      <c r="O1121" s="1">
        <f t="shared" si="1543"/>
        <v>8</v>
      </c>
      <c r="P1121" s="1">
        <f>MIN(方案参数!$AI$33,AZ1120+0+0)</f>
        <v>5</v>
      </c>
      <c r="Q1121" s="1">
        <f t="shared" si="1521"/>
        <v>5</v>
      </c>
      <c r="R1121" s="1">
        <f t="shared" si="1522"/>
        <v>20</v>
      </c>
      <c r="S1121" s="1">
        <f t="shared" si="1523"/>
        <v>3</v>
      </c>
      <c r="T1121" s="1">
        <f t="shared" si="1566"/>
        <v>0</v>
      </c>
      <c r="U1121" s="1">
        <f t="shared" si="1525"/>
        <v>1</v>
      </c>
      <c r="V1121" s="1">
        <f t="shared" si="1526"/>
        <v>4</v>
      </c>
      <c r="W1121" s="1">
        <f t="shared" si="1527"/>
        <v>1</v>
      </c>
      <c r="X1121" s="1">
        <f t="shared" si="1528"/>
        <v>1</v>
      </c>
      <c r="Y1121" s="1">
        <f t="shared" si="1529"/>
        <v>1</v>
      </c>
      <c r="Z1121" s="1">
        <f t="shared" si="1530"/>
        <v>1</v>
      </c>
      <c r="AA1121" s="1">
        <f t="shared" si="1562"/>
        <v>1</v>
      </c>
      <c r="AB1121" s="1">
        <f t="shared" si="1532"/>
        <v>1</v>
      </c>
      <c r="AC1121" s="1">
        <f t="shared" si="1567"/>
        <v>1</v>
      </c>
      <c r="AD1121" s="1">
        <f>ROUNDDOWN(I1121*(1+IF(F1121=3,0.05+方案参数!$Y$33+AA1121*0.12,IF(F1121=4,方案参数!$BZ$33*方案参数!$AS$33,0)))+IF(AND(X1121=1,F1121&lt;&gt;3),方案参数!$CC$33,0)+AC1121*方案参数!$CB$33,0)</f>
        <v>3034</v>
      </c>
      <c r="AE1121" s="1">
        <f>IF(OR(F1121=1,F1121=4),配置与结果!$B$24,配置与结果!$B$25)*MAX(0,1-INDEX(配置与结果!$I$15:$I$18,F1121))</f>
        <v>1200</v>
      </c>
      <c r="AF1121" s="1">
        <f>方案参数!$BN$33+12*方案参数!$BO$33</f>
        <v>48</v>
      </c>
      <c r="AG1121" s="1">
        <f>MAX(配置与结果!$B$32,1+INDEX(配置与结果!$F$15:$F$18,F1121)+0.08+方案参数!$CD$33+Q1121*方案参数!$W$33+Y1121*(方案参数!$AN$33+MIN(方案参数!$AO$33,P1121*0.03))+AB1121*方案参数!$BZ$33*0.025-配置与结果!$B$28+方案参数!$AE$33)</f>
        <v>2.6150000000000002</v>
      </c>
      <c r="AH1121" s="1">
        <f>MAX(0,1+V1121*方案参数!$U$33+12*方案参数!$V$33+方案参数!$AE$33-配置与结果!$B$29)</f>
        <v>2.2799999999999998</v>
      </c>
      <c r="AI1121" s="1">
        <f>IF(OR(INDEX(配置与结果!$K$15:$K$18,F1121)=1,G1121="RHI_BERRY"),1+配置与结果!$B$33+P1121*方案参数!$AH$33,1)</f>
        <v>1</v>
      </c>
      <c r="AJ1121" s="1">
        <f>MIN(1,MAX(0,J1121+方案参数!$AB$33-配置与结果!$B$27))</f>
        <v>1</v>
      </c>
      <c r="AK1121" s="1">
        <f>MAX(1,K1121+IF(F1121=2,0.15+方案参数!$CH$33,0)+BN1121*方案参数!$X$33+R1121*方案参数!$AA$33+方案参数!$BR$33-配置与结果!$B$26+Z1121*(方案参数!$AP$33+MIN(方案参数!$AQ$33,P1121*0.03)))</f>
        <v>3.165</v>
      </c>
      <c r="AL1121" s="7">
        <f>ROUNDDOWN(MAX(AD1121*配置与结果!$B$31,AD1121-AE1121)*AF1121*AG1121*AH1121*AI1121,0)</f>
        <v>524864</v>
      </c>
      <c r="AM1121" s="7">
        <f>ROUNDDOWN(MAX(AD1121*配置与结果!$B$31,AD1121-AE1121)*AF1121*AG1121*AH1121*AI1121*AK1121,0)</f>
        <v>1661195</v>
      </c>
      <c r="AN1121" s="7">
        <f t="shared" si="1546"/>
        <v>1661195</v>
      </c>
      <c r="AO1121" s="7">
        <f>0</f>
        <v>0</v>
      </c>
      <c r="AP1121" s="7">
        <f>MAX(0,1+INDEX(配置与结果!$J$15:$J$18,F1121)+IF(T1121&gt;0,方案参数!$BY$33,0)-配置与结果!$B$30)</f>
        <v>1</v>
      </c>
      <c r="AQ1121" s="7">
        <f t="shared" si="1547"/>
        <v>0</v>
      </c>
      <c r="AR1121" s="7">
        <f t="shared" si="1548"/>
        <v>0</v>
      </c>
      <c r="AS1121" s="7">
        <f t="shared" si="1549"/>
        <v>0</v>
      </c>
      <c r="AT1121" s="7">
        <f>IF(U1121&gt;0,ROUNDDOWN(AL1121*方案参数!$AF$33,0)*(1-AJ1121)+ROUNDDOWN(AM1121*方案参数!$AF$33,0)*AJ1121,0)</f>
        <v>664478</v>
      </c>
      <c r="AU1121" s="7">
        <f t="shared" si="1550"/>
        <v>2325673</v>
      </c>
      <c r="AV1121" s="1">
        <f t="shared" si="1551"/>
        <v>2</v>
      </c>
      <c r="AW1121" s="1">
        <f t="shared" si="1572"/>
        <v>10</v>
      </c>
      <c r="AX1121" s="1">
        <f t="shared" si="1552"/>
        <v>2</v>
      </c>
      <c r="AY1121" s="1">
        <f>MIN(20,MAX(0,O1121+0+1-0))</f>
        <v>9</v>
      </c>
      <c r="AZ1121" s="1">
        <f t="shared" si="1553"/>
        <v>5</v>
      </c>
      <c r="BA1121" s="1">
        <f t="shared" si="1563"/>
        <v>5</v>
      </c>
      <c r="BB1121" s="1">
        <f t="shared" si="1571"/>
        <v>20</v>
      </c>
      <c r="BC1121" s="1">
        <f t="shared" si="1569"/>
        <v>3</v>
      </c>
      <c r="BD1121" s="1">
        <f t="shared" si="1542"/>
        <v>0</v>
      </c>
      <c r="BE1121" s="1">
        <f>MAX(0,U1121-IF(AF1121&gt;0,1,0))+0</f>
        <v>0</v>
      </c>
      <c r="BF1121" s="1">
        <f t="shared" si="1573"/>
        <v>4</v>
      </c>
      <c r="BG1121" s="1">
        <f t="shared" si="1560"/>
        <v>1</v>
      </c>
      <c r="BH1121" s="1">
        <f t="shared" si="1536"/>
        <v>1</v>
      </c>
      <c r="BI1121" s="1">
        <f t="shared" si="1561"/>
        <v>1</v>
      </c>
      <c r="BJ1121" s="1">
        <f t="shared" si="1564"/>
        <v>1</v>
      </c>
      <c r="BK1121" s="1">
        <f t="shared" si="1565"/>
        <v>1</v>
      </c>
      <c r="BL1121" s="1">
        <f t="shared" si="1570"/>
        <v>1</v>
      </c>
      <c r="BM1121" s="1">
        <f t="shared" si="1568"/>
        <v>1</v>
      </c>
      <c r="BN1121" s="1">
        <f t="shared" si="1537"/>
        <v>1</v>
      </c>
      <c r="BO1121" s="1">
        <f t="shared" si="1538"/>
        <v>1</v>
      </c>
    </row>
    <row r="1122" spans="1:67" ht="30.95" customHeight="1">
      <c r="A1122" s="1">
        <f>31</f>
        <v>31</v>
      </c>
      <c r="B1122" s="1">
        <f>固定流程!A6</f>
        <v>1</v>
      </c>
      <c r="C1122" s="1">
        <f>34</f>
        <v>34</v>
      </c>
      <c r="D1122" s="1">
        <f>1</f>
        <v>1</v>
      </c>
      <c r="E1122" s="1">
        <f>固定流程!C6</f>
        <v>1</v>
      </c>
      <c r="F1122" s="1">
        <f>固定流程!G6</f>
        <v>3</v>
      </c>
      <c r="G1122" s="1" t="str">
        <f>固定流程!H6</f>
        <v>RHI_ULT</v>
      </c>
      <c r="H1122" s="1">
        <f>固定流程!F6</f>
        <v>1</v>
      </c>
      <c r="I1122" s="1">
        <f>INDEX(配置与结果!$B$15:$B$18,F1122)</f>
        <v>2597</v>
      </c>
      <c r="J1122" s="1">
        <f>INDEX(配置与结果!$D$15:$D$18,F1122)</f>
        <v>0.255</v>
      </c>
      <c r="K1122" s="1">
        <f>INDEX(配置与结果!$E$15:$E$18,F1122)</f>
        <v>1.55</v>
      </c>
      <c r="L1122" s="1">
        <f>0</f>
        <v>0</v>
      </c>
      <c r="M1122" s="1">
        <f>0</f>
        <v>0</v>
      </c>
      <c r="N1122" s="1">
        <f>0</f>
        <v>0</v>
      </c>
      <c r="O1122" s="1">
        <f>0</f>
        <v>0</v>
      </c>
      <c r="P1122" s="1">
        <f>MIN(方案参数!$AI$34,0+方案参数!$AJ$34+0)</f>
        <v>1</v>
      </c>
      <c r="Q1122" s="1">
        <f>0</f>
        <v>0</v>
      </c>
      <c r="R1122" s="1">
        <f>0</f>
        <v>0</v>
      </c>
      <c r="S1122" s="1">
        <f>0</f>
        <v>0</v>
      </c>
      <c r="T1122" s="1">
        <f>0+0</f>
        <v>0</v>
      </c>
      <c r="U1122" s="1">
        <f>0</f>
        <v>0</v>
      </c>
      <c r="V1122" s="1">
        <f>0</f>
        <v>0</v>
      </c>
      <c r="W1122" s="1">
        <f>0</f>
        <v>0</v>
      </c>
      <c r="X1122" s="1">
        <f>0</f>
        <v>0</v>
      </c>
      <c r="Y1122" s="1">
        <f>0</f>
        <v>0</v>
      </c>
      <c r="Z1122" s="1">
        <f>0</f>
        <v>0</v>
      </c>
      <c r="AA1122" s="1">
        <f>MAX(0,0)</f>
        <v>0</v>
      </c>
      <c r="AB1122" s="1">
        <f>0</f>
        <v>0</v>
      </c>
      <c r="AC1122" s="1">
        <f>MAX(0,0)</f>
        <v>0</v>
      </c>
      <c r="AD1122" s="1">
        <f>ROUNDDOWN(I1122*(1+IF(F1122=3,0.05+方案参数!$Y$34+AA1122*0.12,IF(F1122=4,方案参数!$BZ$34*方案参数!$AS$34,0)))+IF(AND(X1122=1,F1122&lt;&gt;3),方案参数!$CC$34,0)+AC1122*方案参数!$CB$34,0)</f>
        <v>2986</v>
      </c>
      <c r="AE1122" s="1">
        <f>IF(OR(F1122=1,F1122=4),配置与结果!$B$24,配置与结果!$B$25)*MAX(0,1-INDEX(配置与结果!$I$15:$I$18,F1122))</f>
        <v>1000</v>
      </c>
      <c r="AF1122" s="1">
        <f>0</f>
        <v>0</v>
      </c>
      <c r="AG1122" s="1">
        <f>MAX(配置与结果!$B$32,1+INDEX(配置与结果!$F$15:$F$18,F1122)+0+Q1122*方案参数!$W$34+Y1122*(方案参数!$AN$34+MIN(方案参数!$AO$34,P1122*0.03))+AB1122*方案参数!$BZ$34*0.025-配置与结果!$B$28)</f>
        <v>0.6349999999999999</v>
      </c>
      <c r="AH1122" s="1">
        <f>MAX(0,1+INDEX(配置与结果!$G$15:$G$18,F1122)+W1122*方案参数!$AG$34)</f>
        <v>1</v>
      </c>
      <c r="AI1122" s="1">
        <f>IF(OR(INDEX(配置与结果!$K$15:$K$18,F1122)=1,G1122="RHI_BERRY"),1+配置与结果!$B$33+P1122*方案参数!$AH$34,1)</f>
        <v>1</v>
      </c>
      <c r="AJ1122" s="1">
        <f>MIN(1,MAX(0,J1122+方案参数!$AB$34-配置与结果!$B$27))</f>
        <v>0.55499999999999994</v>
      </c>
      <c r="AK1122" s="1">
        <f>MAX(1,K1122+IF(F1122=2,0.15+方案参数!$CH$34,0)+BN1122*方案参数!$X$34+R1122*方案参数!$AA$34+0-配置与结果!$B$26+Z1122*(方案参数!$AP$34+MIN(方案参数!$AQ$34,P1122*0.03)))</f>
        <v>1.1499999999999999</v>
      </c>
      <c r="AL1122" s="7">
        <f>ROUNDDOWN(MAX(AD1122*配置与结果!$B$31,AD1122-AE1122)*AF1122*AG1122*AH1122*AI1122,0)</f>
        <v>0</v>
      </c>
      <c r="AM1122" s="7">
        <f>ROUNDDOWN(MAX(AD1122*配置与结果!$B$31,AD1122-AE1122)*AF1122*AG1122*AH1122*AI1122*AK1122,0)</f>
        <v>0</v>
      </c>
      <c r="AN1122" s="7">
        <f t="shared" si="1546"/>
        <v>0</v>
      </c>
      <c r="AO1122" s="7">
        <f>0</f>
        <v>0</v>
      </c>
      <c r="AP1122" s="7">
        <f>MAX(0,1+INDEX(配置与结果!$J$15:$J$18,F1122)+IF(T1122&gt;0,方案参数!$BY$34,0)-配置与结果!$B$30)</f>
        <v>1</v>
      </c>
      <c r="AQ1122" s="7">
        <f t="shared" si="1547"/>
        <v>0</v>
      </c>
      <c r="AR1122" s="7">
        <f t="shared" si="1548"/>
        <v>0</v>
      </c>
      <c r="AS1122" s="7">
        <f t="shared" si="1549"/>
        <v>0</v>
      </c>
      <c r="AT1122" s="7">
        <f>0</f>
        <v>0</v>
      </c>
      <c r="AU1122" s="7">
        <f t="shared" si="1550"/>
        <v>0</v>
      </c>
      <c r="AV1122" s="1">
        <f t="shared" si="1551"/>
        <v>0</v>
      </c>
      <c r="AW1122" s="1">
        <f t="shared" si="1572"/>
        <v>0</v>
      </c>
      <c r="AX1122" s="1">
        <f t="shared" si="1552"/>
        <v>0</v>
      </c>
      <c r="AY1122" s="1">
        <f>MIN(20,MAX(0,O1122+0+0-0))</f>
        <v>0</v>
      </c>
      <c r="AZ1122" s="1">
        <f t="shared" si="1553"/>
        <v>1</v>
      </c>
      <c r="BA1122" s="1">
        <f>MIN(6,Q1122+1)</f>
        <v>1</v>
      </c>
      <c r="BB1122" s="1">
        <f>MIN(30,R1122+5)</f>
        <v>5</v>
      </c>
      <c r="BC1122" s="1">
        <f t="shared" si="1569"/>
        <v>0</v>
      </c>
      <c r="BD1122" s="1">
        <f t="shared" si="1542"/>
        <v>0</v>
      </c>
      <c r="BE1122" s="1">
        <f>0</f>
        <v>0</v>
      </c>
      <c r="BF1122" s="1">
        <f t="shared" si="1573"/>
        <v>0</v>
      </c>
      <c r="BG1122" s="1">
        <f t="shared" si="1560"/>
        <v>0</v>
      </c>
      <c r="BH1122" s="1">
        <f>MAX(X1122,1)</f>
        <v>1</v>
      </c>
      <c r="BI1122" s="1">
        <f t="shared" si="1561"/>
        <v>0</v>
      </c>
      <c r="BJ1122" s="1">
        <f t="shared" si="1564"/>
        <v>0</v>
      </c>
      <c r="BK1122" s="1">
        <f t="shared" si="1565"/>
        <v>0</v>
      </c>
      <c r="BL1122" s="1">
        <f t="shared" si="1570"/>
        <v>0</v>
      </c>
      <c r="BM1122" s="1">
        <f t="shared" si="1568"/>
        <v>0</v>
      </c>
      <c r="BN1122" s="1">
        <f>0</f>
        <v>0</v>
      </c>
      <c r="BO1122" s="1">
        <f>MAX(BN1122,1)</f>
        <v>1</v>
      </c>
    </row>
    <row r="1123" spans="1:67" ht="30.95" customHeight="1">
      <c r="A1123" s="1">
        <f>31</f>
        <v>31</v>
      </c>
      <c r="B1123" s="1">
        <f>固定流程!A7</f>
        <v>2</v>
      </c>
      <c r="C1123" s="1">
        <f>34</f>
        <v>34</v>
      </c>
      <c r="D1123" s="1">
        <f>1</f>
        <v>1</v>
      </c>
      <c r="E1123" s="1">
        <f>固定流程!C7</f>
        <v>1</v>
      </c>
      <c r="F1123" s="1">
        <f>固定流程!G7</f>
        <v>3</v>
      </c>
      <c r="G1123" s="1" t="str">
        <f>固定流程!H7</f>
        <v>RHI_BUFF</v>
      </c>
      <c r="H1123" s="1">
        <f>固定流程!F7</f>
        <v>1</v>
      </c>
      <c r="I1123" s="1">
        <f>INDEX(配置与结果!$B$15:$B$18,F1123)</f>
        <v>2597</v>
      </c>
      <c r="J1123" s="1">
        <f>INDEX(配置与结果!$D$15:$D$18,F1123)</f>
        <v>0.255</v>
      </c>
      <c r="K1123" s="1">
        <f>INDEX(配置与结果!$E$15:$E$18,F1123)</f>
        <v>1.55</v>
      </c>
      <c r="L1123" s="1">
        <f t="shared" ref="L1123:O1128" si="1574">AV1122</f>
        <v>0</v>
      </c>
      <c r="M1123" s="1">
        <f t="shared" si="1574"/>
        <v>0</v>
      </c>
      <c r="N1123" s="1">
        <f t="shared" si="1574"/>
        <v>0</v>
      </c>
      <c r="O1123" s="1">
        <f t="shared" si="1574"/>
        <v>0</v>
      </c>
      <c r="P1123" s="1">
        <f>MIN(方案参数!$AI$34,AZ1122+0+方案参数!$AK$34)</f>
        <v>3</v>
      </c>
      <c r="Q1123" s="1">
        <f t="shared" ref="Q1123:Q1157" si="1575">BA1122</f>
        <v>1</v>
      </c>
      <c r="R1123" s="1">
        <f t="shared" ref="R1123:R1157" si="1576">BB1122</f>
        <v>5</v>
      </c>
      <c r="S1123" s="1">
        <f t="shared" ref="S1123:S1157" si="1577">BC1122</f>
        <v>0</v>
      </c>
      <c r="T1123" s="1">
        <f t="shared" ref="T1123:T1136" si="1578">BD1122+0</f>
        <v>0</v>
      </c>
      <c r="U1123" s="1">
        <f t="shared" ref="U1123:U1157" si="1579">BE1122</f>
        <v>0</v>
      </c>
      <c r="V1123" s="1">
        <f t="shared" ref="V1123:V1157" si="1580">BF1122</f>
        <v>0</v>
      </c>
      <c r="W1123" s="1">
        <f t="shared" ref="W1123:W1157" si="1581">BG1122</f>
        <v>0</v>
      </c>
      <c r="X1123" s="1">
        <f t="shared" ref="X1123:X1157" si="1582">BH1122</f>
        <v>1</v>
      </c>
      <c r="Y1123" s="1">
        <f t="shared" ref="Y1123:Y1157" si="1583">BI1122</f>
        <v>0</v>
      </c>
      <c r="Z1123" s="1">
        <f t="shared" ref="Z1123:Z1157" si="1584">BJ1122</f>
        <v>0</v>
      </c>
      <c r="AA1123" s="1">
        <f t="shared" ref="AA1123:AA1128" si="1585">MAX(BK1122,0)</f>
        <v>0</v>
      </c>
      <c r="AB1123" s="1">
        <f t="shared" ref="AB1123:AB1157" si="1586">BL1122</f>
        <v>0</v>
      </c>
      <c r="AC1123" s="1">
        <f t="shared" ref="AC1123:AC1136" si="1587">MAX(BM1122,0)</f>
        <v>0</v>
      </c>
      <c r="AD1123" s="1">
        <f>ROUNDDOWN(I1123*(1+IF(F1123=3,0.05+方案参数!$Y$34+AA1123*0.12,IF(F1123=4,方案参数!$BZ$34*方案参数!$AS$34,0)))+IF(AND(X1123=1,F1123&lt;&gt;3),方案参数!$CC$34,0)+AC1123*方案参数!$CB$34,0)</f>
        <v>2986</v>
      </c>
      <c r="AE1123" s="1">
        <f>IF(OR(F1123=1,F1123=4),配置与结果!$B$24,配置与结果!$B$25)*MAX(0,1-INDEX(配置与结果!$I$15:$I$18,F1123))</f>
        <v>1000</v>
      </c>
      <c r="AF1123" s="1">
        <f>0</f>
        <v>0</v>
      </c>
      <c r="AG1123" s="1">
        <f>MAX(配置与结果!$B$32,1+INDEX(配置与结果!$F$15:$F$18,F1123)+0+Q1123*方案参数!$W$34+Y1123*(方案参数!$AN$34+MIN(方案参数!$AO$34,P1123*0.03))+AB1123*方案参数!$BZ$34*0.025-配置与结果!$B$28)</f>
        <v>0.65499999999999992</v>
      </c>
      <c r="AH1123" s="1">
        <f>MAX(0,1+INDEX(配置与结果!$G$15:$G$18,F1123)+W1123*方案参数!$AG$34)</f>
        <v>1</v>
      </c>
      <c r="AI1123" s="1">
        <f>IF(OR(INDEX(配置与结果!$K$15:$K$18,F1123)=1,G1123="RHI_BERRY"),1+配置与结果!$B$33+P1123*方案参数!$AH$34,1)</f>
        <v>1</v>
      </c>
      <c r="AJ1123" s="1">
        <f>MIN(1,MAX(0,J1123+方案参数!$AB$34-配置与结果!$B$27))</f>
        <v>0.55499999999999994</v>
      </c>
      <c r="AK1123" s="1">
        <f>MAX(1,K1123+IF(F1123=2,0.15+方案参数!$CH$34,0)+BN1123*方案参数!$X$34+R1123*方案参数!$AA$34+0-配置与结果!$B$26+Z1123*(方案参数!$AP$34+MIN(方案参数!$AQ$34,P1123*0.03)))</f>
        <v>1.33</v>
      </c>
      <c r="AL1123" s="7">
        <f>ROUNDDOWN(MAX(AD1123*配置与结果!$B$31,AD1123-AE1123)*AF1123*AG1123*AH1123*AI1123,0)</f>
        <v>0</v>
      </c>
      <c r="AM1123" s="7">
        <f>ROUNDDOWN(MAX(AD1123*配置与结果!$B$31,AD1123-AE1123)*AF1123*AG1123*AH1123*AI1123*AK1123,0)</f>
        <v>0</v>
      </c>
      <c r="AN1123" s="7">
        <f t="shared" si="1546"/>
        <v>0</v>
      </c>
      <c r="AO1123" s="7">
        <f>0</f>
        <v>0</v>
      </c>
      <c r="AP1123" s="7">
        <f>MAX(0,1+INDEX(配置与结果!$J$15:$J$18,F1123)+IF(T1123&gt;0,方案参数!$BY$34,0)-配置与结果!$B$30)</f>
        <v>1</v>
      </c>
      <c r="AQ1123" s="7">
        <f t="shared" si="1547"/>
        <v>0</v>
      </c>
      <c r="AR1123" s="7">
        <f t="shared" si="1548"/>
        <v>0</v>
      </c>
      <c r="AS1123" s="7">
        <f t="shared" si="1549"/>
        <v>0</v>
      </c>
      <c r="AT1123" s="7">
        <f>0</f>
        <v>0</v>
      </c>
      <c r="AU1123" s="7">
        <f t="shared" si="1550"/>
        <v>0</v>
      </c>
      <c r="AV1123" s="1">
        <f t="shared" si="1551"/>
        <v>0</v>
      </c>
      <c r="AW1123" s="1">
        <f t="shared" si="1572"/>
        <v>0</v>
      </c>
      <c r="AX1123" s="1">
        <f t="shared" si="1552"/>
        <v>0</v>
      </c>
      <c r="AY1123" s="1">
        <f>MIN(20,MAX(0,O1123+0+0-0))</f>
        <v>0</v>
      </c>
      <c r="AZ1123" s="1">
        <f t="shared" si="1553"/>
        <v>3</v>
      </c>
      <c r="BA1123" s="1">
        <f>MIN(6,Q1123+1)</f>
        <v>2</v>
      </c>
      <c r="BB1123" s="1">
        <f t="shared" ref="BB1123:BB1136" si="1588">MIN(30,R1123+0)</f>
        <v>5</v>
      </c>
      <c r="BC1123" s="1">
        <f t="shared" si="1569"/>
        <v>0</v>
      </c>
      <c r="BD1123" s="1">
        <f t="shared" si="1542"/>
        <v>0</v>
      </c>
      <c r="BE1123" s="1">
        <f t="shared" ref="BE1123:BE1144" si="1589">BE1122</f>
        <v>0</v>
      </c>
      <c r="BF1123" s="1">
        <f t="shared" si="1573"/>
        <v>0</v>
      </c>
      <c r="BG1123" s="1">
        <f>MAX(W1123,1)</f>
        <v>1</v>
      </c>
      <c r="BH1123" s="1">
        <f t="shared" ref="BH1123:BH1157" si="1590">MAX(X1123,0)</f>
        <v>1</v>
      </c>
      <c r="BI1123" s="1">
        <f>MAX(Y1123,1)</f>
        <v>1</v>
      </c>
      <c r="BJ1123" s="1">
        <f t="shared" si="1564"/>
        <v>0</v>
      </c>
      <c r="BK1123" s="1">
        <f t="shared" si="1565"/>
        <v>0</v>
      </c>
      <c r="BL1123" s="1">
        <f t="shared" si="1570"/>
        <v>0</v>
      </c>
      <c r="BM1123" s="1">
        <f t="shared" si="1568"/>
        <v>0</v>
      </c>
      <c r="BN1123" s="1">
        <f t="shared" ref="BN1123:BN1157" si="1591">BO1122</f>
        <v>1</v>
      </c>
      <c r="BO1123" s="1">
        <f t="shared" ref="BO1123:BO1157" si="1592">MAX(BN1123,0)</f>
        <v>1</v>
      </c>
    </row>
    <row r="1124" spans="1:67" ht="30.95" customHeight="1">
      <c r="A1124" s="1">
        <f>31</f>
        <v>31</v>
      </c>
      <c r="B1124" s="1">
        <f>固定流程!A8</f>
        <v>3</v>
      </c>
      <c r="C1124" s="1">
        <f>34</f>
        <v>34</v>
      </c>
      <c r="D1124" s="1">
        <f>1</f>
        <v>1</v>
      </c>
      <c r="E1124" s="1">
        <f>固定流程!C8</f>
        <v>1</v>
      </c>
      <c r="F1124" s="1">
        <f>固定流程!G8</f>
        <v>1</v>
      </c>
      <c r="G1124" s="1" t="str">
        <f>固定流程!H8</f>
        <v>LILYA_COBRA</v>
      </c>
      <c r="H1124" s="1">
        <f>固定流程!F8</f>
        <v>1</v>
      </c>
      <c r="I1124" s="1">
        <f>INDEX(配置与结果!$B$15:$B$18,F1124)</f>
        <v>2296</v>
      </c>
      <c r="J1124" s="1">
        <f>INDEX(配置与结果!$D$15:$D$18,F1124)</f>
        <v>0.7</v>
      </c>
      <c r="K1124" s="1">
        <f>INDEX(配置与结果!$E$15:$E$18,F1124)</f>
        <v>2.0249999999999999</v>
      </c>
      <c r="L1124" s="1">
        <f t="shared" si="1574"/>
        <v>0</v>
      </c>
      <c r="M1124" s="1">
        <f t="shared" si="1574"/>
        <v>0</v>
      </c>
      <c r="N1124" s="1">
        <f t="shared" si="1574"/>
        <v>0</v>
      </c>
      <c r="O1124" s="1">
        <f t="shared" si="1574"/>
        <v>0</v>
      </c>
      <c r="P1124" s="1">
        <f>MIN(方案参数!$AI$34,AZ1123+0+0)</f>
        <v>3</v>
      </c>
      <c r="Q1124" s="1">
        <f t="shared" si="1575"/>
        <v>2</v>
      </c>
      <c r="R1124" s="1">
        <f t="shared" si="1576"/>
        <v>5</v>
      </c>
      <c r="S1124" s="1">
        <f t="shared" si="1577"/>
        <v>0</v>
      </c>
      <c r="T1124" s="1">
        <f t="shared" si="1578"/>
        <v>0</v>
      </c>
      <c r="U1124" s="1">
        <f t="shared" si="1579"/>
        <v>0</v>
      </c>
      <c r="V1124" s="1">
        <f t="shared" si="1580"/>
        <v>0</v>
      </c>
      <c r="W1124" s="1">
        <f t="shared" si="1581"/>
        <v>1</v>
      </c>
      <c r="X1124" s="1">
        <f t="shared" si="1582"/>
        <v>1</v>
      </c>
      <c r="Y1124" s="1">
        <f t="shared" si="1583"/>
        <v>1</v>
      </c>
      <c r="Z1124" s="1">
        <f t="shared" si="1584"/>
        <v>0</v>
      </c>
      <c r="AA1124" s="1">
        <f t="shared" si="1585"/>
        <v>0</v>
      </c>
      <c r="AB1124" s="1">
        <f t="shared" si="1586"/>
        <v>0</v>
      </c>
      <c r="AC1124" s="1">
        <f t="shared" si="1587"/>
        <v>0</v>
      </c>
      <c r="AD1124" s="1">
        <f>ROUNDDOWN(I1124*(1+IF(F1124=3,0.05+方案参数!$Y$34+AA1124*0.12,IF(F1124=4,方案参数!$BZ$34*方案参数!$AS$34,0)))+IF(AND(X1124=1,F1124&lt;&gt;3),方案参数!$CC$34,0)+AC1124*方案参数!$CB$34,0)</f>
        <v>2534</v>
      </c>
      <c r="AE1124" s="1">
        <f>IF(OR(F1124=1,F1124=4),配置与结果!$B$24,配置与结果!$B$25)*MAX(0,1-INDEX(配置与结果!$I$15:$I$18,F1124))</f>
        <v>1200</v>
      </c>
      <c r="AF1124" s="1">
        <f>0</f>
        <v>0</v>
      </c>
      <c r="AG1124" s="1">
        <f>MAX(配置与结果!$B$32,1+INDEX(配置与结果!$F$15:$F$18,F1124)+0.08+方案参数!$CD$34+Q1124*方案参数!$W$34+Y1124*(方案参数!$AN$34+MIN(方案参数!$AO$34,P1124*0.03))+AB1124*方案参数!$BZ$34*0.025-配置与结果!$B$28)</f>
        <v>1.2200000000000002</v>
      </c>
      <c r="AH1124" s="1">
        <f>MAX(0,1+INDEX(配置与结果!$G$15:$G$18,F1124)+W1124*方案参数!$AG$34)</f>
        <v>1.3</v>
      </c>
      <c r="AI1124" s="1">
        <f>IF(OR(INDEX(配置与结果!$K$15:$K$18,F1124)=1,G1124="RHI_BERRY"),1+配置与结果!$B$33+P1124*方案参数!$AH$34,1)</f>
        <v>1</v>
      </c>
      <c r="AJ1124" s="1">
        <f>MIN(1,MAX(0,J1124+方案参数!$AB$34-配置与结果!$B$27))</f>
        <v>1</v>
      </c>
      <c r="AK1124" s="1">
        <f>MAX(1,K1124+IF(F1124=2,0.15+方案参数!$CH$34,0)+BN1124*方案参数!$X$34+R1124*方案参数!$AA$34+0-配置与结果!$B$26+Z1124*(方案参数!$AP$34+MIN(方案参数!$AQ$34,P1124*0.03)))</f>
        <v>1.8050000000000002</v>
      </c>
      <c r="AL1124" s="7">
        <f>ROUNDDOWN(MAX(AD1124*配置与结果!$B$31,AD1124-AE1124)*AF1124*AG1124*AH1124*AI1124,0)</f>
        <v>0</v>
      </c>
      <c r="AM1124" s="7">
        <f>ROUNDDOWN(MAX(AD1124*配置与结果!$B$31,AD1124-AE1124)*AF1124*AG1124*AH1124*AI1124*AK1124,0)</f>
        <v>0</v>
      </c>
      <c r="AN1124" s="7">
        <f t="shared" si="1546"/>
        <v>0</v>
      </c>
      <c r="AO1124" s="7">
        <f>0</f>
        <v>0</v>
      </c>
      <c r="AP1124" s="7">
        <f>MAX(0,1+INDEX(配置与结果!$J$15:$J$18,F1124)+IF(T1124&gt;0,方案参数!$BY$34,0)-配置与结果!$B$30)</f>
        <v>1</v>
      </c>
      <c r="AQ1124" s="7">
        <f t="shared" si="1547"/>
        <v>0</v>
      </c>
      <c r="AR1124" s="7">
        <f t="shared" si="1548"/>
        <v>0</v>
      </c>
      <c r="AS1124" s="7">
        <f t="shared" si="1549"/>
        <v>0</v>
      </c>
      <c r="AT1124" s="7">
        <f>0</f>
        <v>0</v>
      </c>
      <c r="AU1124" s="7">
        <f t="shared" si="1550"/>
        <v>0</v>
      </c>
      <c r="AV1124" s="1">
        <f t="shared" si="1551"/>
        <v>1</v>
      </c>
      <c r="AW1124" s="1">
        <f>MIN(10,M1124+方案参数!$BD$34+0)</f>
        <v>3</v>
      </c>
      <c r="AX1124" s="1">
        <f t="shared" si="1552"/>
        <v>0</v>
      </c>
      <c r="AY1124" s="1">
        <f>MIN(20,MAX(0,O1124+6+0-0))</f>
        <v>6</v>
      </c>
      <c r="AZ1124" s="1">
        <f t="shared" si="1553"/>
        <v>3</v>
      </c>
      <c r="BA1124" s="1">
        <f>MIN(6,Q1124+0)</f>
        <v>2</v>
      </c>
      <c r="BB1124" s="1">
        <f t="shared" si="1588"/>
        <v>5</v>
      </c>
      <c r="BC1124" s="1">
        <f t="shared" si="1569"/>
        <v>0</v>
      </c>
      <c r="BD1124" s="1">
        <f t="shared" si="1542"/>
        <v>0</v>
      </c>
      <c r="BE1124" s="1">
        <f t="shared" si="1589"/>
        <v>0</v>
      </c>
      <c r="BF1124" s="1">
        <f t="shared" si="1573"/>
        <v>0</v>
      </c>
      <c r="BG1124" s="1">
        <f t="shared" ref="BG1124:BG1134" si="1593">MAX(W1124,0)</f>
        <v>1</v>
      </c>
      <c r="BH1124" s="1">
        <f t="shared" si="1590"/>
        <v>1</v>
      </c>
      <c r="BI1124" s="1">
        <f t="shared" ref="BI1124:BI1134" si="1594">MAX(Y1124,0)</f>
        <v>1</v>
      </c>
      <c r="BJ1124" s="1">
        <f t="shared" si="1564"/>
        <v>0</v>
      </c>
      <c r="BK1124" s="1">
        <f t="shared" si="1565"/>
        <v>0</v>
      </c>
      <c r="BL1124" s="1">
        <f t="shared" si="1570"/>
        <v>0</v>
      </c>
      <c r="BM1124" s="1">
        <f t="shared" si="1568"/>
        <v>0</v>
      </c>
      <c r="BN1124" s="1">
        <f t="shared" si="1591"/>
        <v>1</v>
      </c>
      <c r="BO1124" s="1">
        <f t="shared" si="1592"/>
        <v>1</v>
      </c>
    </row>
    <row r="1125" spans="1:67" ht="30.95" customHeight="1">
      <c r="A1125" s="1">
        <f>31</f>
        <v>31</v>
      </c>
      <c r="B1125" s="1">
        <f>固定流程!A9</f>
        <v>4</v>
      </c>
      <c r="C1125" s="1">
        <f>34</f>
        <v>34</v>
      </c>
      <c r="D1125" s="1">
        <f>1</f>
        <v>1</v>
      </c>
      <c r="E1125" s="1">
        <f>固定流程!C9</f>
        <v>1</v>
      </c>
      <c r="F1125" s="1">
        <f>固定流程!G9</f>
        <v>1</v>
      </c>
      <c r="G1125" s="1" t="str">
        <f>固定流程!H9</f>
        <v>LILYA_DIVE</v>
      </c>
      <c r="H1125" s="1">
        <f>固定流程!F9</f>
        <v>1</v>
      </c>
      <c r="I1125" s="1">
        <f>INDEX(配置与结果!$B$15:$B$18,F1125)</f>
        <v>2296</v>
      </c>
      <c r="J1125" s="1">
        <f>INDEX(配置与结果!$D$15:$D$18,F1125)</f>
        <v>0.7</v>
      </c>
      <c r="K1125" s="1">
        <f>INDEX(配置与结果!$E$15:$E$18,F1125)</f>
        <v>2.0249999999999999</v>
      </c>
      <c r="L1125" s="1">
        <f t="shared" si="1574"/>
        <v>1</v>
      </c>
      <c r="M1125" s="1">
        <f t="shared" si="1574"/>
        <v>3</v>
      </c>
      <c r="N1125" s="1">
        <f t="shared" si="1574"/>
        <v>0</v>
      </c>
      <c r="O1125" s="1">
        <f t="shared" si="1574"/>
        <v>6</v>
      </c>
      <c r="P1125" s="1">
        <f>MIN(方案参数!$AI$34,AZ1124+0+0)</f>
        <v>3</v>
      </c>
      <c r="Q1125" s="1">
        <f t="shared" si="1575"/>
        <v>2</v>
      </c>
      <c r="R1125" s="1">
        <f t="shared" si="1576"/>
        <v>5</v>
      </c>
      <c r="S1125" s="1">
        <f t="shared" si="1577"/>
        <v>0</v>
      </c>
      <c r="T1125" s="1">
        <f t="shared" si="1578"/>
        <v>0</v>
      </c>
      <c r="U1125" s="1">
        <f t="shared" si="1579"/>
        <v>0</v>
      </c>
      <c r="V1125" s="1">
        <f t="shared" si="1580"/>
        <v>0</v>
      </c>
      <c r="W1125" s="1">
        <f t="shared" si="1581"/>
        <v>1</v>
      </c>
      <c r="X1125" s="1">
        <f t="shared" si="1582"/>
        <v>1</v>
      </c>
      <c r="Y1125" s="1">
        <f t="shared" si="1583"/>
        <v>1</v>
      </c>
      <c r="Z1125" s="1">
        <f t="shared" si="1584"/>
        <v>0</v>
      </c>
      <c r="AA1125" s="1">
        <f t="shared" si="1585"/>
        <v>0</v>
      </c>
      <c r="AB1125" s="1">
        <f t="shared" si="1586"/>
        <v>0</v>
      </c>
      <c r="AC1125" s="1">
        <f t="shared" si="1587"/>
        <v>0</v>
      </c>
      <c r="AD1125" s="1">
        <f>ROUNDDOWN(I1125*(1+IF(F1125=3,0.05+方案参数!$Y$34+AA1125*0.12,IF(F1125=4,方案参数!$BZ$34*方案参数!$AS$34,0)))+IF(AND(X1125=1,F1125&lt;&gt;3),方案参数!$CC$34,0)+AC1125*方案参数!$CB$34,0)</f>
        <v>2534</v>
      </c>
      <c r="AE1125" s="1">
        <f>IF(OR(F1125=1,F1125=4),配置与结果!$B$24,配置与结果!$B$25)*MAX(0,1-INDEX(配置与结果!$I$15:$I$18,F1125))</f>
        <v>1200</v>
      </c>
      <c r="AF1125" s="1">
        <f>(IF(L1125=1,方案参数!$AW$34,IF(L1125=2,方案参数!$AX$34,0))+方案参数!$AV$34)*H1125</f>
        <v>6</v>
      </c>
      <c r="AG1125" s="1">
        <f>MAX(配置与结果!$B$32,1+INDEX(配置与结果!$F$15:$F$18,F1125)+0.08+方案参数!$CD$34+Q1125*方案参数!$W$34+Y1125*(方案参数!$AN$34+MIN(方案参数!$AO$34,P1125*0.03))+AB1125*方案参数!$BZ$34*0.025+IF(L1125=1,方案参数!$AY$34+(H1125-1)*0.1,IF(L1125=2,方案参数!$AZ$34+(H1125-1)*0.2,0))-配置与结果!$B$28)</f>
        <v>1.3200000000000003</v>
      </c>
      <c r="AH1125" s="1">
        <f>MAX(0,1+INDEX(配置与结果!$G$15:$G$18,F1125)+W1125*方案参数!$AG$34+IF(L1125=1,方案参数!$BA$34,IF(L1125=2,方案参数!$BB$34,0))+M1125*方案参数!$BC$34)</f>
        <v>2.08</v>
      </c>
      <c r="AI1125" s="1">
        <f>IF(OR(INDEX(配置与结果!$K$15:$K$18,F1125)=1,G1125="RHI_BERRY"),1+配置与结果!$B$33+P1125*方案参数!$AH$34,1)</f>
        <v>1</v>
      </c>
      <c r="AJ1125" s="1">
        <f>MIN(1,MAX(0,J1125+方案参数!$AB$34-配置与结果!$B$27))</f>
        <v>1</v>
      </c>
      <c r="AK1125" s="1">
        <f>MAX(1,K1125+IF(F1125=2,0.15+方案参数!$CH$34,0)+BN1125*方案参数!$X$34+R1125*方案参数!$AA$34+0-配置与结果!$B$26+Z1125*(方案参数!$AP$34+MIN(方案参数!$AQ$34,P1125*0.03)))</f>
        <v>1.8050000000000002</v>
      </c>
      <c r="AL1125" s="7">
        <f>ROUNDDOWN(MAX(AD1125*配置与结果!$B$31,AD1125-AE1125)*AF1125*AG1125*AH1125*AI1125,0)</f>
        <v>21975</v>
      </c>
      <c r="AM1125" s="7">
        <f>ROUNDDOWN(MAX(AD1125*配置与结果!$B$31,AD1125-AE1125)*AF1125*AG1125*AH1125*AI1125*AK1125,0)</f>
        <v>39666</v>
      </c>
      <c r="AN1125" s="7">
        <f t="shared" si="1546"/>
        <v>39666</v>
      </c>
      <c r="AO1125" s="7">
        <f>0</f>
        <v>0</v>
      </c>
      <c r="AP1125" s="7">
        <f>MAX(0,1+INDEX(配置与结果!$J$15:$J$18,F1125)+IF(T1125&gt;0,方案参数!$BY$34,0)-配置与结果!$B$30)</f>
        <v>1</v>
      </c>
      <c r="AQ1125" s="7">
        <f t="shared" si="1547"/>
        <v>0</v>
      </c>
      <c r="AR1125" s="7">
        <f t="shared" si="1548"/>
        <v>0</v>
      </c>
      <c r="AS1125" s="7">
        <f t="shared" si="1549"/>
        <v>0</v>
      </c>
      <c r="AT1125" s="7">
        <f>0</f>
        <v>0</v>
      </c>
      <c r="AU1125" s="7">
        <f t="shared" si="1550"/>
        <v>39666</v>
      </c>
      <c r="AV1125" s="1">
        <f t="shared" si="1551"/>
        <v>1</v>
      </c>
      <c r="AW1125" s="1">
        <f>MIN(10,M1125+0+IF(L1125=1,方案参数!$BE$34,0))</f>
        <v>4</v>
      </c>
      <c r="AX1125" s="1">
        <f t="shared" si="1552"/>
        <v>0</v>
      </c>
      <c r="AY1125" s="1">
        <f t="shared" ref="AY1125:AY1140" si="1595">MIN(20,MAX(0,O1125+0+0-0))</f>
        <v>6</v>
      </c>
      <c r="AZ1125" s="1">
        <f t="shared" si="1553"/>
        <v>3</v>
      </c>
      <c r="BA1125" s="1">
        <f>MIN(6,Q1125+0)</f>
        <v>2</v>
      </c>
      <c r="BB1125" s="1">
        <f t="shared" si="1588"/>
        <v>5</v>
      </c>
      <c r="BC1125" s="1">
        <f t="shared" si="1569"/>
        <v>0</v>
      </c>
      <c r="BD1125" s="1">
        <f t="shared" si="1542"/>
        <v>0</v>
      </c>
      <c r="BE1125" s="1">
        <f t="shared" si="1589"/>
        <v>0</v>
      </c>
      <c r="BF1125" s="1">
        <f t="shared" si="1573"/>
        <v>0</v>
      </c>
      <c r="BG1125" s="1">
        <f t="shared" si="1593"/>
        <v>1</v>
      </c>
      <c r="BH1125" s="1">
        <f t="shared" si="1590"/>
        <v>1</v>
      </c>
      <c r="BI1125" s="1">
        <f t="shared" si="1594"/>
        <v>1</v>
      </c>
      <c r="BJ1125" s="1">
        <f t="shared" si="1564"/>
        <v>0</v>
      </c>
      <c r="BK1125" s="1">
        <f t="shared" si="1565"/>
        <v>0</v>
      </c>
      <c r="BL1125" s="1">
        <f t="shared" si="1570"/>
        <v>0</v>
      </c>
      <c r="BM1125" s="1">
        <f t="shared" si="1568"/>
        <v>0</v>
      </c>
      <c r="BN1125" s="1">
        <f t="shared" si="1591"/>
        <v>1</v>
      </c>
      <c r="BO1125" s="1">
        <f t="shared" si="1592"/>
        <v>1</v>
      </c>
    </row>
    <row r="1126" spans="1:67" ht="30.95" customHeight="1">
      <c r="A1126" s="1">
        <f>31</f>
        <v>31</v>
      </c>
      <c r="B1126" s="1">
        <f>固定流程!A10</f>
        <v>5</v>
      </c>
      <c r="C1126" s="1">
        <f>34</f>
        <v>34</v>
      </c>
      <c r="D1126" s="1">
        <f>1</f>
        <v>1</v>
      </c>
      <c r="E1126" s="1">
        <f>固定流程!C10</f>
        <v>1</v>
      </c>
      <c r="F1126" s="1">
        <f>固定流程!G10</f>
        <v>2</v>
      </c>
      <c r="G1126" s="1" t="str">
        <f>固定流程!H10</f>
        <v>37_TRIANGLE</v>
      </c>
      <c r="H1126" s="1">
        <f>固定流程!F10</f>
        <v>1</v>
      </c>
      <c r="I1126" s="1">
        <f>INDEX(配置与结果!$B$15:$B$18,F1126)</f>
        <v>2306</v>
      </c>
      <c r="J1126" s="1">
        <f>INDEX(配置与结果!$D$15:$D$18,F1126)</f>
        <v>0.46</v>
      </c>
      <c r="K1126" s="1">
        <f>INDEX(配置与结果!$E$15:$E$18,F1126)</f>
        <v>1.9279999999999999</v>
      </c>
      <c r="L1126" s="1">
        <f t="shared" si="1574"/>
        <v>1</v>
      </c>
      <c r="M1126" s="1">
        <f t="shared" si="1574"/>
        <v>4</v>
      </c>
      <c r="N1126" s="1">
        <f t="shared" si="1574"/>
        <v>0</v>
      </c>
      <c r="O1126" s="1">
        <f t="shared" si="1574"/>
        <v>6</v>
      </c>
      <c r="P1126" s="1">
        <f>MIN(方案参数!$AI$34,AZ1125+0+0)</f>
        <v>3</v>
      </c>
      <c r="Q1126" s="1">
        <f t="shared" si="1575"/>
        <v>2</v>
      </c>
      <c r="R1126" s="1">
        <f t="shared" si="1576"/>
        <v>5</v>
      </c>
      <c r="S1126" s="1">
        <f t="shared" si="1577"/>
        <v>0</v>
      </c>
      <c r="T1126" s="1">
        <f t="shared" si="1578"/>
        <v>0</v>
      </c>
      <c r="U1126" s="1">
        <f t="shared" si="1579"/>
        <v>0</v>
      </c>
      <c r="V1126" s="1">
        <f t="shared" si="1580"/>
        <v>0</v>
      </c>
      <c r="W1126" s="1">
        <f t="shared" si="1581"/>
        <v>1</v>
      </c>
      <c r="X1126" s="1">
        <f t="shared" si="1582"/>
        <v>1</v>
      </c>
      <c r="Y1126" s="1">
        <f t="shared" si="1583"/>
        <v>1</v>
      </c>
      <c r="Z1126" s="1">
        <f t="shared" si="1584"/>
        <v>0</v>
      </c>
      <c r="AA1126" s="1">
        <f t="shared" si="1585"/>
        <v>0</v>
      </c>
      <c r="AB1126" s="1">
        <f t="shared" si="1586"/>
        <v>0</v>
      </c>
      <c r="AC1126" s="1">
        <f t="shared" si="1587"/>
        <v>0</v>
      </c>
      <c r="AD1126" s="1">
        <f>ROUNDDOWN(I1126*(1+IF(F1126=3,0.05+方案参数!$Y$34+AA1126*0.12,IF(F1126=4,方案参数!$BZ$34*方案参数!$AS$34,0)))+IF(AND(X1126=1,F1126&lt;&gt;3),方案参数!$CC$34,0)+AC1126*方案参数!$CB$34,0)</f>
        <v>2544</v>
      </c>
      <c r="AE1126" s="1">
        <f>IF(OR(F1126=1,F1126=4),配置与结果!$B$24,配置与结果!$B$25)*MAX(0,1-INDEX(配置与结果!$I$15:$I$18,F1126))</f>
        <v>1000</v>
      </c>
      <c r="AF1126" s="1">
        <f>方案参数!$BS$34*IF(H1126=1,1,IF(H1126=2,1.5,2.5))</f>
        <v>2.8</v>
      </c>
      <c r="AG1126" s="1">
        <f>MAX(配置与结果!$B$32,1+INDEX(配置与结果!$F$15:$F$18,F1126)+0+Q1126*方案参数!$W$34+Y1126*(方案参数!$AN$34+MIN(方案参数!$AO$34,P1126*0.03))+AB1126*方案参数!$BZ$34*0.025-配置与结果!$B$28)</f>
        <v>0.8849999999999999</v>
      </c>
      <c r="AH1126" s="1">
        <f>MAX(0,1+INDEX(配置与结果!$G$15:$G$18,F1126)+W1126*方案参数!$AG$34)</f>
        <v>1.3</v>
      </c>
      <c r="AI1126" s="1">
        <f>IF(OR(INDEX(配置与结果!$K$15:$K$18,F1126)=1,G1126="RHI_BERRY"),1+配置与结果!$B$33+P1126*方案参数!$AH$34,1)</f>
        <v>1</v>
      </c>
      <c r="AJ1126" s="1">
        <f>MIN(1,MAX(0,J1126+方案参数!$AB$34-配置与结果!$B$27))</f>
        <v>0.76</v>
      </c>
      <c r="AK1126" s="1">
        <f>MAX(1,K1126+IF(F1126=2,0.15+方案参数!$CH$34,0)+BN1126*方案参数!$X$34+R1126*方案参数!$AA$34+0-配置与结果!$B$26+Z1126*(方案参数!$AP$34+MIN(方案参数!$AQ$34,P1126*0.03)))</f>
        <v>1.9780000000000002</v>
      </c>
      <c r="AL1126" s="7">
        <f>ROUNDDOWN(MAX(AD1126*配置与结果!$B$31,AD1126-AE1126)*AF1126*AG1126*AH1126*AI1126,0)</f>
        <v>4973</v>
      </c>
      <c r="AM1126" s="7">
        <f>ROUNDDOWN(MAX(AD1126*配置与结果!$B$31,AD1126-AE1126)*AF1126*AG1126*AH1126*AI1126*AK1126,0)</f>
        <v>9838</v>
      </c>
      <c r="AN1126" s="7">
        <f t="shared" si="1546"/>
        <v>8670.4</v>
      </c>
      <c r="AO1126" s="7">
        <f>方案参数!$BU$34*IF(H1126=1,1,IF(H1126=2,1.5,2.5))</f>
        <v>0.8</v>
      </c>
      <c r="AP1126" s="7">
        <f>MAX(0,1+INDEX(配置与结果!$J$15:$J$18,F1126)+IF(T1126&gt;0,方案参数!$BY$34,0)-配置与结果!$B$30)</f>
        <v>1</v>
      </c>
      <c r="AQ1126" s="7">
        <f t="shared" si="1547"/>
        <v>2035</v>
      </c>
      <c r="AR1126" s="7">
        <f t="shared" si="1548"/>
        <v>4025</v>
      </c>
      <c r="AS1126" s="7">
        <f t="shared" si="1549"/>
        <v>3547.4</v>
      </c>
      <c r="AT1126" s="7">
        <f>0</f>
        <v>0</v>
      </c>
      <c r="AU1126" s="7">
        <f t="shared" si="1550"/>
        <v>12217.8</v>
      </c>
      <c r="AV1126" s="1">
        <f t="shared" si="1551"/>
        <v>1</v>
      </c>
      <c r="AW1126" s="1">
        <f>MIN(10,M1126+0+0)</f>
        <v>4</v>
      </c>
      <c r="AX1126" s="1">
        <f t="shared" si="1552"/>
        <v>0</v>
      </c>
      <c r="AY1126" s="1">
        <f t="shared" si="1595"/>
        <v>6</v>
      </c>
      <c r="AZ1126" s="1">
        <f t="shared" si="1553"/>
        <v>3</v>
      </c>
      <c r="BA1126" s="1">
        <f>MIN(6,Q1126+0)</f>
        <v>2</v>
      </c>
      <c r="BB1126" s="1">
        <f t="shared" si="1588"/>
        <v>5</v>
      </c>
      <c r="BC1126" s="1">
        <f t="shared" si="1569"/>
        <v>0</v>
      </c>
      <c r="BD1126" s="1">
        <f>MAX(0,T1126-IF(AO1126&gt;0,1,0))+1</f>
        <v>1</v>
      </c>
      <c r="BE1126" s="1">
        <f t="shared" si="1589"/>
        <v>0</v>
      </c>
      <c r="BF1126" s="1">
        <f t="shared" si="1573"/>
        <v>0</v>
      </c>
      <c r="BG1126" s="1">
        <f t="shared" si="1593"/>
        <v>1</v>
      </c>
      <c r="BH1126" s="1">
        <f t="shared" si="1590"/>
        <v>1</v>
      </c>
      <c r="BI1126" s="1">
        <f t="shared" si="1594"/>
        <v>1</v>
      </c>
      <c r="BJ1126" s="1">
        <f t="shared" si="1564"/>
        <v>0</v>
      </c>
      <c r="BK1126" s="1">
        <f t="shared" si="1565"/>
        <v>0</v>
      </c>
      <c r="BL1126" s="1">
        <f t="shared" si="1570"/>
        <v>0</v>
      </c>
      <c r="BM1126" s="1">
        <f t="shared" si="1568"/>
        <v>0</v>
      </c>
      <c r="BN1126" s="1">
        <f t="shared" si="1591"/>
        <v>1</v>
      </c>
      <c r="BO1126" s="1">
        <f t="shared" si="1592"/>
        <v>1</v>
      </c>
    </row>
    <row r="1127" spans="1:67" ht="30.95" customHeight="1">
      <c r="A1127" s="1">
        <f>31</f>
        <v>31</v>
      </c>
      <c r="B1127" s="1">
        <f>固定流程!A11</f>
        <v>6</v>
      </c>
      <c r="C1127" s="1">
        <f>34</f>
        <v>34</v>
      </c>
      <c r="D1127" s="1">
        <f>1</f>
        <v>1</v>
      </c>
      <c r="E1127" s="1">
        <f>固定流程!C11</f>
        <v>1</v>
      </c>
      <c r="F1127" s="1">
        <f>固定流程!G11</f>
        <v>2</v>
      </c>
      <c r="G1127" s="1" t="str">
        <f>固定流程!H11</f>
        <v>37_FOLLOW</v>
      </c>
      <c r="H1127" s="1">
        <f>固定流程!F11</f>
        <v>1</v>
      </c>
      <c r="I1127" s="1">
        <f>INDEX(配置与结果!$B$15:$B$18,F1127)</f>
        <v>2306</v>
      </c>
      <c r="J1127" s="1">
        <f>INDEX(配置与结果!$D$15:$D$18,F1127)</f>
        <v>0.46</v>
      </c>
      <c r="K1127" s="1">
        <f>INDEX(配置与结果!$E$15:$E$18,F1127)</f>
        <v>1.9279999999999999</v>
      </c>
      <c r="L1127" s="1">
        <f t="shared" si="1574"/>
        <v>1</v>
      </c>
      <c r="M1127" s="1">
        <f t="shared" si="1574"/>
        <v>4</v>
      </c>
      <c r="N1127" s="1">
        <f t="shared" si="1574"/>
        <v>0</v>
      </c>
      <c r="O1127" s="1">
        <f t="shared" si="1574"/>
        <v>6</v>
      </c>
      <c r="P1127" s="1">
        <f>MIN(方案参数!$AI$34,AZ1126+0+0)</f>
        <v>3</v>
      </c>
      <c r="Q1127" s="1">
        <f t="shared" si="1575"/>
        <v>2</v>
      </c>
      <c r="R1127" s="1">
        <f t="shared" si="1576"/>
        <v>5</v>
      </c>
      <c r="S1127" s="1">
        <f t="shared" si="1577"/>
        <v>0</v>
      </c>
      <c r="T1127" s="1">
        <f t="shared" si="1578"/>
        <v>1</v>
      </c>
      <c r="U1127" s="1">
        <f t="shared" si="1579"/>
        <v>0</v>
      </c>
      <c r="V1127" s="1">
        <f t="shared" si="1580"/>
        <v>0</v>
      </c>
      <c r="W1127" s="1">
        <f t="shared" si="1581"/>
        <v>1</v>
      </c>
      <c r="X1127" s="1">
        <f t="shared" si="1582"/>
        <v>1</v>
      </c>
      <c r="Y1127" s="1">
        <f t="shared" si="1583"/>
        <v>1</v>
      </c>
      <c r="Z1127" s="1">
        <f t="shared" si="1584"/>
        <v>0</v>
      </c>
      <c r="AA1127" s="1">
        <f t="shared" si="1585"/>
        <v>0</v>
      </c>
      <c r="AB1127" s="1">
        <f t="shared" si="1586"/>
        <v>0</v>
      </c>
      <c r="AC1127" s="1">
        <f t="shared" si="1587"/>
        <v>0</v>
      </c>
      <c r="AD1127" s="1">
        <f>ROUNDDOWN(I1127*(1+IF(F1127=3,0.05+方案参数!$Y$34+AA1127*0.12,IF(F1127=4,方案参数!$BZ$34*方案参数!$AS$34,0)))+IF(AND(X1127=1,F1127&lt;&gt;3),方案参数!$CC$34,0)+AC1127*方案参数!$CB$34,0)</f>
        <v>2544</v>
      </c>
      <c r="AE1127" s="1">
        <f>IF(OR(F1127=1,F1127=4),配置与结果!$B$24,配置与结果!$B$25)*MAX(0,1-INDEX(配置与结果!$I$15:$I$18,F1127))</f>
        <v>1000</v>
      </c>
      <c r="AF1127" s="1">
        <f>方案参数!$BV$34</f>
        <v>3</v>
      </c>
      <c r="AG1127" s="1">
        <f>MAX(配置与结果!$B$32,1+INDEX(配置与结果!$F$15:$F$18,F1127)+0+Q1127*方案参数!$W$34+Y1127*(方案参数!$AN$34+MIN(方案参数!$AO$34,P1127*0.03))+AB1127*方案参数!$BZ$34*0.025-配置与结果!$B$28)</f>
        <v>0.8849999999999999</v>
      </c>
      <c r="AH1127" s="1">
        <f>MAX(0,1+INDEX(配置与结果!$G$15:$G$18,F1127)+W1127*方案参数!$AG$34)</f>
        <v>1.3</v>
      </c>
      <c r="AI1127" s="1">
        <f>IF(OR(INDEX(配置与结果!$K$15:$K$18,F1127)=1,G1127="RHI_BERRY"),1+配置与结果!$B$33+P1127*方案参数!$AH$34,1)</f>
        <v>1</v>
      </c>
      <c r="AJ1127" s="1">
        <f>MIN(1,MAX(0,J1127+方案参数!$AB$34-配置与结果!$B$27))</f>
        <v>0.76</v>
      </c>
      <c r="AK1127" s="1">
        <f>MAX(1,K1127+IF(F1127=2,0.15+方案参数!$CH$34,0)+BN1127*方案参数!$X$34+R1127*方案参数!$AA$34+0-配置与结果!$B$26+Z1127*(方案参数!$AP$34+MIN(方案参数!$AQ$34,P1127*0.03)))</f>
        <v>1.9780000000000002</v>
      </c>
      <c r="AL1127" s="7">
        <f>ROUNDDOWN(MAX(AD1127*配置与结果!$B$31,AD1127-AE1127)*AF1127*AG1127*AH1127*AI1127,0)</f>
        <v>5329</v>
      </c>
      <c r="AM1127" s="7">
        <f>ROUNDDOWN(MAX(AD1127*配置与结果!$B$31,AD1127-AE1127)*AF1127*AG1127*AH1127*AI1127*AK1127,0)</f>
        <v>10540</v>
      </c>
      <c r="AN1127" s="7">
        <f t="shared" si="1546"/>
        <v>9289.36</v>
      </c>
      <c r="AO1127" s="7">
        <f>方案参数!$BW$34</f>
        <v>1</v>
      </c>
      <c r="AP1127" s="7">
        <f>MAX(0,1+INDEX(配置与结果!$J$15:$J$18,F1127)+IF(T1127&gt;0,方案参数!$BY$34,0)-配置与结果!$B$30)</f>
        <v>2</v>
      </c>
      <c r="AQ1127" s="7">
        <f t="shared" si="1547"/>
        <v>5088</v>
      </c>
      <c r="AR1127" s="7">
        <f t="shared" si="1548"/>
        <v>10064</v>
      </c>
      <c r="AS1127" s="7">
        <f t="shared" si="1549"/>
        <v>8869.76</v>
      </c>
      <c r="AT1127" s="7">
        <f>0</f>
        <v>0</v>
      </c>
      <c r="AU1127" s="7">
        <f t="shared" si="1550"/>
        <v>18159.120000000003</v>
      </c>
      <c r="AV1127" s="1">
        <f t="shared" si="1551"/>
        <v>1</v>
      </c>
      <c r="AW1127" s="1">
        <f>MIN(10,M1127+0+0)</f>
        <v>4</v>
      </c>
      <c r="AX1127" s="1">
        <f t="shared" si="1552"/>
        <v>0</v>
      </c>
      <c r="AY1127" s="1">
        <f t="shared" si="1595"/>
        <v>6</v>
      </c>
      <c r="AZ1127" s="1">
        <f t="shared" si="1553"/>
        <v>3</v>
      </c>
      <c r="BA1127" s="1">
        <f>MIN(6,Q1127+0)</f>
        <v>2</v>
      </c>
      <c r="BB1127" s="1">
        <f t="shared" si="1588"/>
        <v>5</v>
      </c>
      <c r="BC1127" s="1">
        <f t="shared" si="1569"/>
        <v>0</v>
      </c>
      <c r="BD1127" s="1">
        <f t="shared" ref="BD1127:BD1161" si="1596">MAX(0,T1127-IF(AO1127&gt;0,1,0))+0</f>
        <v>0</v>
      </c>
      <c r="BE1127" s="1">
        <f t="shared" si="1589"/>
        <v>0</v>
      </c>
      <c r="BF1127" s="1">
        <f>MIN(4,V1127+1)</f>
        <v>1</v>
      </c>
      <c r="BG1127" s="1">
        <f t="shared" si="1593"/>
        <v>1</v>
      </c>
      <c r="BH1127" s="1">
        <f t="shared" si="1590"/>
        <v>1</v>
      </c>
      <c r="BI1127" s="1">
        <f t="shared" si="1594"/>
        <v>1</v>
      </c>
      <c r="BJ1127" s="1">
        <f t="shared" si="1564"/>
        <v>0</v>
      </c>
      <c r="BK1127" s="1">
        <f t="shared" si="1565"/>
        <v>0</v>
      </c>
      <c r="BL1127" s="1">
        <f t="shared" si="1570"/>
        <v>0</v>
      </c>
      <c r="BM1127" s="1">
        <f t="shared" si="1568"/>
        <v>0</v>
      </c>
      <c r="BN1127" s="1">
        <f t="shared" si="1591"/>
        <v>1</v>
      </c>
      <c r="BO1127" s="1">
        <f t="shared" si="1592"/>
        <v>1</v>
      </c>
    </row>
    <row r="1128" spans="1:67" ht="30.95" customHeight="1">
      <c r="A1128" s="1">
        <f>31</f>
        <v>31</v>
      </c>
      <c r="B1128" s="1">
        <f>固定流程!A12</f>
        <v>7</v>
      </c>
      <c r="C1128" s="1">
        <f>34</f>
        <v>34</v>
      </c>
      <c r="D1128" s="1">
        <f>1</f>
        <v>1</v>
      </c>
      <c r="E1128" s="1">
        <f>固定流程!C12</f>
        <v>1</v>
      </c>
      <c r="F1128" s="1">
        <f>固定流程!G12</f>
        <v>4</v>
      </c>
      <c r="G1128" s="1" t="str">
        <f>固定流程!H12</f>
        <v>J_HARD</v>
      </c>
      <c r="H1128" s="1">
        <f>固定流程!F12</f>
        <v>1</v>
      </c>
      <c r="I1128" s="1">
        <f>INDEX(配置与结果!$B$15:$B$18,F1128)</f>
        <v>1906</v>
      </c>
      <c r="J1128" s="1">
        <f>INDEX(配置与结果!$D$15:$D$18,F1128)</f>
        <v>0.36699999999999999</v>
      </c>
      <c r="K1128" s="1">
        <f>INDEX(配置与结果!$E$15:$E$18,F1128)</f>
        <v>1.7170000000000001</v>
      </c>
      <c r="L1128" s="1">
        <f t="shared" si="1574"/>
        <v>1</v>
      </c>
      <c r="M1128" s="1">
        <f t="shared" si="1574"/>
        <v>4</v>
      </c>
      <c r="N1128" s="1">
        <f t="shared" si="1574"/>
        <v>0</v>
      </c>
      <c r="O1128" s="1">
        <f t="shared" si="1574"/>
        <v>6</v>
      </c>
      <c r="P1128" s="1">
        <f>MIN(方案参数!$AI$34,AZ1127+0+0)</f>
        <v>3</v>
      </c>
      <c r="Q1128" s="1">
        <f t="shared" si="1575"/>
        <v>2</v>
      </c>
      <c r="R1128" s="1">
        <f t="shared" si="1576"/>
        <v>5</v>
      </c>
      <c r="S1128" s="1">
        <f t="shared" si="1577"/>
        <v>0</v>
      </c>
      <c r="T1128" s="1">
        <f t="shared" si="1578"/>
        <v>0</v>
      </c>
      <c r="U1128" s="1">
        <f t="shared" si="1579"/>
        <v>0</v>
      </c>
      <c r="V1128" s="1">
        <f t="shared" si="1580"/>
        <v>1</v>
      </c>
      <c r="W1128" s="1">
        <f t="shared" si="1581"/>
        <v>1</v>
      </c>
      <c r="X1128" s="1">
        <f t="shared" si="1582"/>
        <v>1</v>
      </c>
      <c r="Y1128" s="1">
        <f t="shared" si="1583"/>
        <v>1</v>
      </c>
      <c r="Z1128" s="1">
        <f t="shared" si="1584"/>
        <v>0</v>
      </c>
      <c r="AA1128" s="1">
        <f t="shared" si="1585"/>
        <v>0</v>
      </c>
      <c r="AB1128" s="1">
        <f t="shared" si="1586"/>
        <v>0</v>
      </c>
      <c r="AC1128" s="1">
        <f t="shared" si="1587"/>
        <v>0</v>
      </c>
      <c r="AD1128" s="1">
        <f>ROUNDDOWN(I1128*(1+IF(F1128=3,0.05+方案参数!$Y$34+AA1128*0.12,IF(F1128=4,方案参数!$BZ$34*方案参数!$AS$34,0)))+IF(AND(X1128=1,F1128&lt;&gt;3),方案参数!$CC$34,0)+AC1128*方案参数!$CB$34,0)</f>
        <v>2811</v>
      </c>
      <c r="AE1128" s="1">
        <f>IF(OR(F1128=1,F1128=4),配置与结果!$B$24,配置与结果!$B$25)*MAX(0,1-INDEX(配置与结果!$I$15:$I$18,F1128))</f>
        <v>1200</v>
      </c>
      <c r="AF1128" s="1">
        <f>3.6*IF(H1128=1,1,IF(H1128=2,1.5,2.5))</f>
        <v>3.6</v>
      </c>
      <c r="AG1128" s="1">
        <f>MAX(配置与结果!$B$32,1+INDEX(配置与结果!$F$15:$F$18,F1128)+0.08+Q1128*方案参数!$W$34+Y1128*(方案参数!$AN$34+MIN(方案参数!$AO$34,P1128*0.03))+AB1128*方案参数!$BZ$34*0.025+0.1+IF(方案参数!$BZ$34&gt;=30,方案参数!$BZ$34*0.01,0)-配置与结果!$B$28)</f>
        <v>1.4350000000000001</v>
      </c>
      <c r="AH1128" s="1">
        <f>MAX(0,1+INDEX(配置与结果!$G$15:$G$18,F1128)+W1128*方案参数!$AG$34)</f>
        <v>1.3</v>
      </c>
      <c r="AI1128" s="1">
        <f>IF(OR(INDEX(配置与结果!$K$15:$K$18,F1128)=1,G1128="RHI_BERRY"),1+配置与结果!$B$33+P1128*方案参数!$AH$34,1)</f>
        <v>1</v>
      </c>
      <c r="AJ1128" s="1">
        <f>MIN(1,MAX(0,J1128+方案参数!$AB$34-配置与结果!$B$27))</f>
        <v>0.66700000000000004</v>
      </c>
      <c r="AK1128" s="1">
        <f>MAX(1,K1128+IF(F1128=2,0.15+方案参数!$CH$34,0)+BN1128*方案参数!$X$34+R1128*方案参数!$AA$34+0-配置与结果!$B$26+Z1128*(方案参数!$AP$34+MIN(方案参数!$AQ$34,P1128*0.03)))</f>
        <v>1.4969999999999999</v>
      </c>
      <c r="AL1128" s="7">
        <f>ROUNDDOWN(MAX(AD1128*配置与结果!$B$31,AD1128-AE1128)*AF1128*AG1128*AH1128*AI1128,0)</f>
        <v>10819</v>
      </c>
      <c r="AM1128" s="7">
        <f>ROUNDDOWN(MAX(AD1128*配置与结果!$B$31,AD1128-AE1128)*AF1128*AG1128*AH1128*AI1128*AK1128,0)</f>
        <v>16196</v>
      </c>
      <c r="AN1128" s="7">
        <f t="shared" si="1546"/>
        <v>14405.458999999999</v>
      </c>
      <c r="AO1128" s="7">
        <f>0</f>
        <v>0</v>
      </c>
      <c r="AP1128" s="7">
        <f>MAX(0,1+INDEX(配置与结果!$J$15:$J$18,F1128)+IF(T1128&gt;0,方案参数!$BY$34,0)-配置与结果!$B$30)</f>
        <v>1</v>
      </c>
      <c r="AQ1128" s="7">
        <f t="shared" si="1547"/>
        <v>0</v>
      </c>
      <c r="AR1128" s="7">
        <f t="shared" si="1548"/>
        <v>0</v>
      </c>
      <c r="AS1128" s="7">
        <f t="shared" si="1549"/>
        <v>0</v>
      </c>
      <c r="AT1128" s="7">
        <f>0</f>
        <v>0</v>
      </c>
      <c r="AU1128" s="7">
        <f t="shared" si="1550"/>
        <v>14405.458999999999</v>
      </c>
      <c r="AV1128" s="1">
        <f t="shared" si="1551"/>
        <v>1</v>
      </c>
      <c r="AW1128" s="1">
        <f>MIN(10,M1128+0+0)</f>
        <v>4</v>
      </c>
      <c r="AX1128" s="1">
        <f t="shared" si="1552"/>
        <v>0</v>
      </c>
      <c r="AY1128" s="1">
        <f t="shared" si="1595"/>
        <v>6</v>
      </c>
      <c r="AZ1128" s="1">
        <f t="shared" si="1553"/>
        <v>3</v>
      </c>
      <c r="BA1128" s="1">
        <f>MIN(6,Q1128+0)</f>
        <v>2</v>
      </c>
      <c r="BB1128" s="1">
        <f t="shared" si="1588"/>
        <v>5</v>
      </c>
      <c r="BC1128" s="1">
        <f>MIN(3,S1128+1)</f>
        <v>1</v>
      </c>
      <c r="BD1128" s="1">
        <f t="shared" si="1596"/>
        <v>0</v>
      </c>
      <c r="BE1128" s="1">
        <f t="shared" si="1589"/>
        <v>0</v>
      </c>
      <c r="BF1128" s="1">
        <f>MIN(4,V1128+0)</f>
        <v>1</v>
      </c>
      <c r="BG1128" s="1">
        <f t="shared" si="1593"/>
        <v>1</v>
      </c>
      <c r="BH1128" s="1">
        <f t="shared" si="1590"/>
        <v>1</v>
      </c>
      <c r="BI1128" s="1">
        <f t="shared" si="1594"/>
        <v>1</v>
      </c>
      <c r="BJ1128" s="1">
        <f t="shared" si="1564"/>
        <v>0</v>
      </c>
      <c r="BK1128" s="1">
        <f t="shared" si="1565"/>
        <v>0</v>
      </c>
      <c r="BL1128" s="1">
        <f t="shared" si="1570"/>
        <v>0</v>
      </c>
      <c r="BM1128" s="1">
        <f t="shared" si="1568"/>
        <v>0</v>
      </c>
      <c r="BN1128" s="1">
        <f t="shared" si="1591"/>
        <v>1</v>
      </c>
      <c r="BO1128" s="1">
        <f t="shared" si="1592"/>
        <v>1</v>
      </c>
    </row>
    <row r="1129" spans="1:67" ht="30.95" customHeight="1">
      <c r="A1129" s="1">
        <f>31</f>
        <v>31</v>
      </c>
      <c r="B1129" s="1">
        <f>固定流程!A13</f>
        <v>8</v>
      </c>
      <c r="C1129" s="1">
        <f>34</f>
        <v>34</v>
      </c>
      <c r="D1129" s="1">
        <f>1</f>
        <v>1</v>
      </c>
      <c r="E1129" s="1">
        <f>固定流程!C13</f>
        <v>2</v>
      </c>
      <c r="F1129" s="1">
        <f>固定流程!G13</f>
        <v>3</v>
      </c>
      <c r="G1129" s="1" t="str">
        <f>固定流程!H13</f>
        <v>RHI_ATTACK</v>
      </c>
      <c r="H1129" s="1">
        <f>固定流程!F13</f>
        <v>1</v>
      </c>
      <c r="I1129" s="1">
        <f>INDEX(配置与结果!$B$15:$B$18,F1129)</f>
        <v>2597</v>
      </c>
      <c r="J1129" s="1">
        <f>INDEX(配置与结果!$D$15:$D$18,F1129)</f>
        <v>0.255</v>
      </c>
      <c r="K1129" s="1">
        <f>INDEX(配置与结果!$E$15:$E$18,F1129)</f>
        <v>1.55</v>
      </c>
      <c r="L1129" s="1">
        <f>IF(AV1128=1,IF(M1129&gt;=10,2,1),IF(AV1128=2,IF(AX1128&lt;=1,0,2),0))</f>
        <v>1</v>
      </c>
      <c r="M1129" s="1">
        <f>IF(AND(AV1128=2,AX1128&lt;=1),0,MIN(10,AW1128+IF(AV1128=1,3,0)))</f>
        <v>7</v>
      </c>
      <c r="N1129" s="1">
        <f>IF(AND(AV1128=1,M1129&gt;=10),2,IF(AV1128=2,MAX(0,AX1128-1),0))</f>
        <v>0</v>
      </c>
      <c r="O1129" s="1">
        <f t="shared" ref="O1129:O1157" si="1597">AY1128</f>
        <v>6</v>
      </c>
      <c r="P1129" s="1">
        <f>MIN(方案参数!$AI$34,AZ1128+方案参数!$AJ$34+方案参数!$AK$34)</f>
        <v>5</v>
      </c>
      <c r="Q1129" s="1">
        <f t="shared" si="1575"/>
        <v>2</v>
      </c>
      <c r="R1129" s="1">
        <f t="shared" si="1576"/>
        <v>5</v>
      </c>
      <c r="S1129" s="1">
        <f t="shared" si="1577"/>
        <v>1</v>
      </c>
      <c r="T1129" s="1">
        <f t="shared" si="1578"/>
        <v>0</v>
      </c>
      <c r="U1129" s="1">
        <f t="shared" si="1579"/>
        <v>0</v>
      </c>
      <c r="V1129" s="1">
        <f t="shared" si="1580"/>
        <v>1</v>
      </c>
      <c r="W1129" s="1">
        <f t="shared" si="1581"/>
        <v>1</v>
      </c>
      <c r="X1129" s="1">
        <f t="shared" si="1582"/>
        <v>1</v>
      </c>
      <c r="Y1129" s="1">
        <f t="shared" si="1583"/>
        <v>1</v>
      </c>
      <c r="Z1129" s="1">
        <f t="shared" si="1584"/>
        <v>0</v>
      </c>
      <c r="AA1129" s="1">
        <f>MAX(BK1128,1)</f>
        <v>1</v>
      </c>
      <c r="AB1129" s="1">
        <f t="shared" si="1586"/>
        <v>0</v>
      </c>
      <c r="AC1129" s="1">
        <f t="shared" si="1587"/>
        <v>0</v>
      </c>
      <c r="AD1129" s="1">
        <f>ROUNDDOWN(I1129*(1+IF(F1129=3,0.05+方案参数!$Y$34+AA1129*0.12,IF(F1129=4,方案参数!$BZ$34*方案参数!$AS$34,0)))+IF(AND(X1129=1,F1129&lt;&gt;3),方案参数!$CC$34,0)+AC1129*方案参数!$CB$34,0)</f>
        <v>3298</v>
      </c>
      <c r="AE1129" s="1">
        <f>IF(OR(F1129=1,F1129=4),配置与结果!$B$24,配置与结果!$B$25)*MAX(0,1-INDEX(配置与结果!$I$15:$I$18,F1129))</f>
        <v>1000</v>
      </c>
      <c r="AF1129" s="1">
        <f>4</f>
        <v>4</v>
      </c>
      <c r="AG1129" s="1">
        <f>MAX(配置与结果!$B$32,1+INDEX(配置与结果!$F$15:$F$18,F1129)+0+Q1129*方案参数!$W$34+Y1129*(方案参数!$AN$34+MIN(方案参数!$AO$34,P1129*0.03))+AB1129*方案参数!$BZ$34*0.025-配置与结果!$B$28)</f>
        <v>0.97499999999999998</v>
      </c>
      <c r="AH1129" s="1">
        <f>MAX(0,1+INDEX(配置与结果!$G$15:$G$18,F1129)+W1129*方案参数!$AG$34)</f>
        <v>1.3</v>
      </c>
      <c r="AI1129" s="1">
        <f>IF(OR(INDEX(配置与结果!$K$15:$K$18,F1129)=1,G1129="RHI_BERRY"),1+配置与结果!$B$33+P1129*方案参数!$AH$34,1)</f>
        <v>1</v>
      </c>
      <c r="AJ1129" s="1">
        <f>MIN(1,MAX(0,J1129+方案参数!$AB$34-配置与结果!$B$27))</f>
        <v>0.55499999999999994</v>
      </c>
      <c r="AK1129" s="1">
        <f>MAX(1,K1129+IF(F1129=2,0.15+方案参数!$CH$34,0)+BN1129*方案参数!$X$34+R1129*方案参数!$AA$34+0-配置与结果!$B$26+Z1129*(方案参数!$AP$34+MIN(方案参数!$AQ$34,P1129*0.03)))</f>
        <v>1.33</v>
      </c>
      <c r="AL1129" s="7">
        <f>ROUNDDOWN(MAX(AD1129*配置与结果!$B$31,AD1129-AE1129)*AF1129*AG1129*AH1129*AI1129,0)</f>
        <v>11650</v>
      </c>
      <c r="AM1129" s="7">
        <f>ROUNDDOWN(MAX(AD1129*配置与结果!$B$31,AD1129-AE1129)*AF1129*AG1129*AH1129*AI1129*AK1129,0)</f>
        <v>15495</v>
      </c>
      <c r="AN1129" s="7">
        <f t="shared" si="1546"/>
        <v>13783.974999999999</v>
      </c>
      <c r="AO1129" s="7">
        <f>0</f>
        <v>0</v>
      </c>
      <c r="AP1129" s="7">
        <f>MAX(0,1+INDEX(配置与结果!$J$15:$J$18,F1129)+IF(T1129&gt;0,方案参数!$BY$34,0)-配置与结果!$B$30)</f>
        <v>1</v>
      </c>
      <c r="AQ1129" s="7">
        <f t="shared" si="1547"/>
        <v>0</v>
      </c>
      <c r="AR1129" s="7">
        <f t="shared" si="1548"/>
        <v>0</v>
      </c>
      <c r="AS1129" s="7">
        <f t="shared" si="1549"/>
        <v>0</v>
      </c>
      <c r="AT1129" s="7">
        <f>0</f>
        <v>0</v>
      </c>
      <c r="AU1129" s="7">
        <f t="shared" si="1550"/>
        <v>13783.974999999999</v>
      </c>
      <c r="AV1129" s="1">
        <f t="shared" si="1551"/>
        <v>1</v>
      </c>
      <c r="AW1129" s="1">
        <f>MIN(10,M1129+0+0)</f>
        <v>7</v>
      </c>
      <c r="AX1129" s="1">
        <f t="shared" si="1552"/>
        <v>0</v>
      </c>
      <c r="AY1129" s="1">
        <f t="shared" si="1595"/>
        <v>6</v>
      </c>
      <c r="AZ1129" s="1">
        <f t="shared" si="1553"/>
        <v>5</v>
      </c>
      <c r="BA1129" s="1">
        <f>MIN(6,Q1129+1)</f>
        <v>3</v>
      </c>
      <c r="BB1129" s="1">
        <f t="shared" si="1588"/>
        <v>5</v>
      </c>
      <c r="BC1129" s="1">
        <f>MIN(3,S1129+0)</f>
        <v>1</v>
      </c>
      <c r="BD1129" s="1">
        <f t="shared" si="1596"/>
        <v>0</v>
      </c>
      <c r="BE1129" s="1">
        <f t="shared" si="1589"/>
        <v>0</v>
      </c>
      <c r="BF1129" s="1">
        <f>MIN(4,V1129+0)</f>
        <v>1</v>
      </c>
      <c r="BG1129" s="1">
        <f t="shared" si="1593"/>
        <v>1</v>
      </c>
      <c r="BH1129" s="1">
        <f t="shared" si="1590"/>
        <v>1</v>
      </c>
      <c r="BI1129" s="1">
        <f t="shared" si="1594"/>
        <v>1</v>
      </c>
      <c r="BJ1129" s="1">
        <f>MAX(Z1129,1)</f>
        <v>1</v>
      </c>
      <c r="BK1129" s="1">
        <f>MAX(AA1129,1)</f>
        <v>1</v>
      </c>
      <c r="BL1129" s="1">
        <f t="shared" si="1570"/>
        <v>0</v>
      </c>
      <c r="BM1129" s="1">
        <f t="shared" si="1568"/>
        <v>0</v>
      </c>
      <c r="BN1129" s="1">
        <f t="shared" si="1591"/>
        <v>1</v>
      </c>
      <c r="BO1129" s="1">
        <f t="shared" si="1592"/>
        <v>1</v>
      </c>
    </row>
    <row r="1130" spans="1:67" ht="30.95" customHeight="1">
      <c r="A1130" s="1">
        <f>31</f>
        <v>31</v>
      </c>
      <c r="B1130" s="1">
        <f>固定流程!A14</f>
        <v>9</v>
      </c>
      <c r="C1130" s="1">
        <f>34</f>
        <v>34</v>
      </c>
      <c r="D1130" s="1">
        <f>1</f>
        <v>1</v>
      </c>
      <c r="E1130" s="1">
        <f>固定流程!C14</f>
        <v>2</v>
      </c>
      <c r="F1130" s="1">
        <f>固定流程!G14</f>
        <v>1</v>
      </c>
      <c r="G1130" s="1" t="str">
        <f>固定流程!H14</f>
        <v>LILYA_DIVE</v>
      </c>
      <c r="H1130" s="1">
        <f>固定流程!F14</f>
        <v>3</v>
      </c>
      <c r="I1130" s="1">
        <f>INDEX(配置与结果!$B$15:$B$18,F1130)</f>
        <v>2296</v>
      </c>
      <c r="J1130" s="1">
        <f>INDEX(配置与结果!$D$15:$D$18,F1130)</f>
        <v>0.7</v>
      </c>
      <c r="K1130" s="1">
        <f>INDEX(配置与结果!$E$15:$E$18,F1130)</f>
        <v>2.0249999999999999</v>
      </c>
      <c r="L1130" s="1">
        <f t="shared" ref="L1130:N1134" si="1598">AV1129</f>
        <v>1</v>
      </c>
      <c r="M1130" s="1">
        <f t="shared" si="1598"/>
        <v>7</v>
      </c>
      <c r="N1130" s="1">
        <f t="shared" si="1598"/>
        <v>0</v>
      </c>
      <c r="O1130" s="1">
        <f t="shared" si="1597"/>
        <v>6</v>
      </c>
      <c r="P1130" s="1">
        <f>MIN(方案参数!$AI$34,AZ1129+0+0)</f>
        <v>5</v>
      </c>
      <c r="Q1130" s="1">
        <f t="shared" si="1575"/>
        <v>3</v>
      </c>
      <c r="R1130" s="1">
        <f t="shared" si="1576"/>
        <v>5</v>
      </c>
      <c r="S1130" s="1">
        <f t="shared" si="1577"/>
        <v>1</v>
      </c>
      <c r="T1130" s="1">
        <f t="shared" si="1578"/>
        <v>0</v>
      </c>
      <c r="U1130" s="1">
        <f t="shared" si="1579"/>
        <v>0</v>
      </c>
      <c r="V1130" s="1">
        <f t="shared" si="1580"/>
        <v>1</v>
      </c>
      <c r="W1130" s="1">
        <f t="shared" si="1581"/>
        <v>1</v>
      </c>
      <c r="X1130" s="1">
        <f t="shared" si="1582"/>
        <v>1</v>
      </c>
      <c r="Y1130" s="1">
        <f t="shared" si="1583"/>
        <v>1</v>
      </c>
      <c r="Z1130" s="1">
        <f t="shared" si="1584"/>
        <v>1</v>
      </c>
      <c r="AA1130" s="1">
        <f t="shared" ref="AA1130:AA1135" si="1599">MAX(BK1129,0)</f>
        <v>1</v>
      </c>
      <c r="AB1130" s="1">
        <f t="shared" si="1586"/>
        <v>0</v>
      </c>
      <c r="AC1130" s="1">
        <f t="shared" si="1587"/>
        <v>0</v>
      </c>
      <c r="AD1130" s="1">
        <f>ROUNDDOWN(I1130*(1+IF(F1130=3,0.05+方案参数!$Y$34+AA1130*0.12,IF(F1130=4,方案参数!$BZ$34*方案参数!$AS$34,0)))+IF(AND(X1130=1,F1130&lt;&gt;3),方案参数!$CC$34,0)+AC1130*方案参数!$CB$34,0)</f>
        <v>2534</v>
      </c>
      <c r="AE1130" s="1">
        <f>IF(OR(F1130=1,F1130=4),配置与结果!$B$24,配置与结果!$B$25)*MAX(0,1-INDEX(配置与结果!$I$15:$I$18,F1130))</f>
        <v>1200</v>
      </c>
      <c r="AF1130" s="1">
        <f>(IF(L1130=1,方案参数!$AW$34,IF(L1130=2,方案参数!$AX$34,0))+方案参数!$AV$34)*H1130</f>
        <v>18</v>
      </c>
      <c r="AG1130" s="1">
        <f>MAX(配置与结果!$B$32,1+INDEX(配置与结果!$F$15:$F$18,F1130)+0.08+方案参数!$CD$34+Q1130*方案参数!$W$34+Y1130*(方案参数!$AN$34+MIN(方案参数!$AO$34,P1130*0.03))+AB1130*方案参数!$BZ$34*0.025+IF(L1130=1,方案参数!$AY$34+(H1130-1)*0.1,IF(L1130=2,方案参数!$AZ$34+(H1130-1)*0.2,0))-配置与结果!$B$28)</f>
        <v>1.6</v>
      </c>
      <c r="AH1130" s="1">
        <f>MAX(0,1+INDEX(配置与结果!$G$15:$G$18,F1130)+W1130*方案参数!$AG$34+IF(L1130=1,方案参数!$BA$34,IF(L1130=2,方案参数!$BB$34,0))+M1130*方案参数!$BC$34)</f>
        <v>2.3199999999999998</v>
      </c>
      <c r="AI1130" s="1">
        <f>IF(OR(INDEX(配置与结果!$K$15:$K$18,F1130)=1,G1130="RHI_BERRY"),1+配置与结果!$B$33+P1130*方案参数!$AH$34,1)</f>
        <v>1</v>
      </c>
      <c r="AJ1130" s="1">
        <f>MIN(1,MAX(0,J1130+方案参数!$AB$34-配置与结果!$B$27))</f>
        <v>1</v>
      </c>
      <c r="AK1130" s="1">
        <f>MAX(1,K1130+IF(F1130=2,0.15+方案参数!$CH$34,0)+BN1130*方案参数!$X$34+R1130*方案参数!$AA$34+0-配置与结果!$B$26+Z1130*(方案参数!$AP$34+MIN(方案参数!$AQ$34,P1130*0.03)))</f>
        <v>2.105</v>
      </c>
      <c r="AL1130" s="7">
        <f>ROUNDDOWN(MAX(AD1130*配置与结果!$B$31,AD1130-AE1130)*AF1130*AG1130*AH1130*AI1130,0)</f>
        <v>89132</v>
      </c>
      <c r="AM1130" s="7">
        <f>ROUNDDOWN(MAX(AD1130*配置与结果!$B$31,AD1130-AE1130)*AF1130*AG1130*AH1130*AI1130*AK1130,0)</f>
        <v>187624</v>
      </c>
      <c r="AN1130" s="7">
        <f t="shared" si="1546"/>
        <v>187624</v>
      </c>
      <c r="AO1130" s="7">
        <f>0</f>
        <v>0</v>
      </c>
      <c r="AP1130" s="7">
        <f>MAX(0,1+INDEX(配置与结果!$J$15:$J$18,F1130)+IF(T1130&gt;0,方案参数!$BY$34,0)-配置与结果!$B$30)</f>
        <v>1</v>
      </c>
      <c r="AQ1130" s="7">
        <f t="shared" si="1547"/>
        <v>0</v>
      </c>
      <c r="AR1130" s="7">
        <f t="shared" si="1548"/>
        <v>0</v>
      </c>
      <c r="AS1130" s="7">
        <f t="shared" si="1549"/>
        <v>0</v>
      </c>
      <c r="AT1130" s="7">
        <f>0</f>
        <v>0</v>
      </c>
      <c r="AU1130" s="7">
        <f t="shared" si="1550"/>
        <v>187624</v>
      </c>
      <c r="AV1130" s="1">
        <f t="shared" si="1551"/>
        <v>1</v>
      </c>
      <c r="AW1130" s="1">
        <f>MIN(10,M1130+0+IF(L1130=1,方案参数!$BE$34,0))</f>
        <v>8</v>
      </c>
      <c r="AX1130" s="1">
        <f t="shared" si="1552"/>
        <v>0</v>
      </c>
      <c r="AY1130" s="1">
        <f t="shared" si="1595"/>
        <v>6</v>
      </c>
      <c r="AZ1130" s="1">
        <f t="shared" si="1553"/>
        <v>5</v>
      </c>
      <c r="BA1130" s="1">
        <f>MIN(6,Q1130+0)</f>
        <v>3</v>
      </c>
      <c r="BB1130" s="1">
        <f t="shared" si="1588"/>
        <v>5</v>
      </c>
      <c r="BC1130" s="1">
        <f>MIN(3,S1130+0)</f>
        <v>1</v>
      </c>
      <c r="BD1130" s="1">
        <f t="shared" si="1596"/>
        <v>0</v>
      </c>
      <c r="BE1130" s="1">
        <f t="shared" si="1589"/>
        <v>0</v>
      </c>
      <c r="BF1130" s="1">
        <f>MIN(4,V1130+0)</f>
        <v>1</v>
      </c>
      <c r="BG1130" s="1">
        <f t="shared" si="1593"/>
        <v>1</v>
      </c>
      <c r="BH1130" s="1">
        <f t="shared" si="1590"/>
        <v>1</v>
      </c>
      <c r="BI1130" s="1">
        <f t="shared" si="1594"/>
        <v>1</v>
      </c>
      <c r="BJ1130" s="1">
        <f t="shared" ref="BJ1130:BK1135" si="1600">MAX(Z1130,0)</f>
        <v>1</v>
      </c>
      <c r="BK1130" s="1">
        <f t="shared" si="1600"/>
        <v>1</v>
      </c>
      <c r="BL1130" s="1">
        <f t="shared" si="1570"/>
        <v>0</v>
      </c>
      <c r="BM1130" s="1">
        <f t="shared" si="1568"/>
        <v>0</v>
      </c>
      <c r="BN1130" s="1">
        <f t="shared" si="1591"/>
        <v>1</v>
      </c>
      <c r="BO1130" s="1">
        <f t="shared" si="1592"/>
        <v>1</v>
      </c>
    </row>
    <row r="1131" spans="1:67" ht="30.95" customHeight="1">
      <c r="A1131" s="1">
        <f>31</f>
        <v>31</v>
      </c>
      <c r="B1131" s="1">
        <f>固定流程!A15</f>
        <v>10</v>
      </c>
      <c r="C1131" s="1">
        <f>34</f>
        <v>34</v>
      </c>
      <c r="D1131" s="1">
        <f>1</f>
        <v>1</v>
      </c>
      <c r="E1131" s="1">
        <f>固定流程!C15</f>
        <v>2</v>
      </c>
      <c r="F1131" s="1">
        <f>固定流程!G15</f>
        <v>4</v>
      </c>
      <c r="G1131" s="1" t="str">
        <f>固定流程!H15</f>
        <v>J_HARD</v>
      </c>
      <c r="H1131" s="1">
        <f>固定流程!F15</f>
        <v>1</v>
      </c>
      <c r="I1131" s="1">
        <f>INDEX(配置与结果!$B$15:$B$18,F1131)</f>
        <v>1906</v>
      </c>
      <c r="J1131" s="1">
        <f>INDEX(配置与结果!$D$15:$D$18,F1131)</f>
        <v>0.36699999999999999</v>
      </c>
      <c r="K1131" s="1">
        <f>INDEX(配置与结果!$E$15:$E$18,F1131)</f>
        <v>1.7170000000000001</v>
      </c>
      <c r="L1131" s="1">
        <f t="shared" si="1598"/>
        <v>1</v>
      </c>
      <c r="M1131" s="1">
        <f t="shared" si="1598"/>
        <v>8</v>
      </c>
      <c r="N1131" s="1">
        <f t="shared" si="1598"/>
        <v>0</v>
      </c>
      <c r="O1131" s="1">
        <f t="shared" si="1597"/>
        <v>6</v>
      </c>
      <c r="P1131" s="1">
        <f>MIN(方案参数!$AI$34,AZ1130+0+0)</f>
        <v>5</v>
      </c>
      <c r="Q1131" s="1">
        <f t="shared" si="1575"/>
        <v>3</v>
      </c>
      <c r="R1131" s="1">
        <f t="shared" si="1576"/>
        <v>5</v>
      </c>
      <c r="S1131" s="1">
        <f t="shared" si="1577"/>
        <v>1</v>
      </c>
      <c r="T1131" s="1">
        <f t="shared" si="1578"/>
        <v>0</v>
      </c>
      <c r="U1131" s="1">
        <f t="shared" si="1579"/>
        <v>0</v>
      </c>
      <c r="V1131" s="1">
        <f t="shared" si="1580"/>
        <v>1</v>
      </c>
      <c r="W1131" s="1">
        <f t="shared" si="1581"/>
        <v>1</v>
      </c>
      <c r="X1131" s="1">
        <f t="shared" si="1582"/>
        <v>1</v>
      </c>
      <c r="Y1131" s="1">
        <f t="shared" si="1583"/>
        <v>1</v>
      </c>
      <c r="Z1131" s="1">
        <f t="shared" si="1584"/>
        <v>1</v>
      </c>
      <c r="AA1131" s="1">
        <f t="shared" si="1599"/>
        <v>1</v>
      </c>
      <c r="AB1131" s="1">
        <f t="shared" si="1586"/>
        <v>0</v>
      </c>
      <c r="AC1131" s="1">
        <f t="shared" si="1587"/>
        <v>0</v>
      </c>
      <c r="AD1131" s="1">
        <f>ROUNDDOWN(I1131*(1+IF(F1131=3,0.05+方案参数!$Y$34+AA1131*0.12,IF(F1131=4,方案参数!$BZ$34*方案参数!$AS$34,0)))+IF(AND(X1131=1,F1131&lt;&gt;3),方案参数!$CC$34,0)+AC1131*方案参数!$CB$34,0)</f>
        <v>2811</v>
      </c>
      <c r="AE1131" s="1">
        <f>IF(OR(F1131=1,F1131=4),配置与结果!$B$24,配置与结果!$B$25)*MAX(0,1-INDEX(配置与结果!$I$15:$I$18,F1131))</f>
        <v>1200</v>
      </c>
      <c r="AF1131" s="1">
        <f>3.6*IF(H1131=1,1,IF(H1131=2,1.5,2.5))</f>
        <v>3.6</v>
      </c>
      <c r="AG1131" s="1">
        <f>MAX(配置与结果!$B$32,1+INDEX(配置与结果!$F$15:$F$18,F1131)+0.08+Q1131*方案参数!$W$34+Y1131*(方案参数!$AN$34+MIN(方案参数!$AO$34,P1131*0.03))+AB1131*方案参数!$BZ$34*0.025+0.1+IF(方案参数!$BZ$34&gt;=30,方案参数!$BZ$34*0.01,0)-配置与结果!$B$28)</f>
        <v>1.5150000000000001</v>
      </c>
      <c r="AH1131" s="1">
        <f>MAX(0,1+INDEX(配置与结果!$G$15:$G$18,F1131)+W1131*方案参数!$AG$34)</f>
        <v>1.3</v>
      </c>
      <c r="AI1131" s="1">
        <f>IF(OR(INDEX(配置与结果!$K$15:$K$18,F1131)=1,G1131="RHI_BERRY"),1+配置与结果!$B$33+P1131*方案参数!$AH$34,1)</f>
        <v>1</v>
      </c>
      <c r="AJ1131" s="1">
        <f>MIN(1,MAX(0,J1131+方案参数!$AB$34-配置与结果!$B$27))</f>
        <v>0.66700000000000004</v>
      </c>
      <c r="AK1131" s="1">
        <f>MAX(1,K1131+IF(F1131=2,0.15+方案参数!$CH$34,0)+BN1131*方案参数!$X$34+R1131*方案参数!$AA$34+0-配置与结果!$B$26+Z1131*(方案参数!$AP$34+MIN(方案参数!$AQ$34,P1131*0.03)))</f>
        <v>1.7969999999999999</v>
      </c>
      <c r="AL1131" s="7">
        <f>ROUNDDOWN(MAX(AD1131*配置与结果!$B$31,AD1131-AE1131)*AF1131*AG1131*AH1131*AI1131,0)</f>
        <v>11422</v>
      </c>
      <c r="AM1131" s="7">
        <f>ROUNDDOWN(MAX(AD1131*配置与结果!$B$31,AD1131-AE1131)*AF1131*AG1131*AH1131*AI1131*AK1131,0)</f>
        <v>20525</v>
      </c>
      <c r="AN1131" s="7">
        <f t="shared" si="1546"/>
        <v>17493.701000000001</v>
      </c>
      <c r="AO1131" s="7">
        <f>0</f>
        <v>0</v>
      </c>
      <c r="AP1131" s="7">
        <f>MAX(0,1+INDEX(配置与结果!$J$15:$J$18,F1131)+IF(T1131&gt;0,方案参数!$BY$34,0)-配置与结果!$B$30)</f>
        <v>1</v>
      </c>
      <c r="AQ1131" s="7">
        <f t="shared" si="1547"/>
        <v>0</v>
      </c>
      <c r="AR1131" s="7">
        <f t="shared" si="1548"/>
        <v>0</v>
      </c>
      <c r="AS1131" s="7">
        <f t="shared" si="1549"/>
        <v>0</v>
      </c>
      <c r="AT1131" s="7">
        <f>0</f>
        <v>0</v>
      </c>
      <c r="AU1131" s="7">
        <f t="shared" si="1550"/>
        <v>17493.701000000001</v>
      </c>
      <c r="AV1131" s="1">
        <f t="shared" si="1551"/>
        <v>1</v>
      </c>
      <c r="AW1131" s="1">
        <f t="shared" ref="AW1131:AW1141" si="1601">MIN(10,M1131+0+0)</f>
        <v>8</v>
      </c>
      <c r="AX1131" s="1">
        <f t="shared" si="1552"/>
        <v>0</v>
      </c>
      <c r="AY1131" s="1">
        <f t="shared" si="1595"/>
        <v>6</v>
      </c>
      <c r="AZ1131" s="1">
        <f t="shared" si="1553"/>
        <v>5</v>
      </c>
      <c r="BA1131" s="1">
        <f>MIN(6,Q1131+0)</f>
        <v>3</v>
      </c>
      <c r="BB1131" s="1">
        <f t="shared" si="1588"/>
        <v>5</v>
      </c>
      <c r="BC1131" s="1">
        <f>MIN(3,S1131+1)</f>
        <v>2</v>
      </c>
      <c r="BD1131" s="1">
        <f t="shared" si="1596"/>
        <v>0</v>
      </c>
      <c r="BE1131" s="1">
        <f t="shared" si="1589"/>
        <v>0</v>
      </c>
      <c r="BF1131" s="1">
        <f>MIN(4,V1131+0)</f>
        <v>1</v>
      </c>
      <c r="BG1131" s="1">
        <f t="shared" si="1593"/>
        <v>1</v>
      </c>
      <c r="BH1131" s="1">
        <f t="shared" si="1590"/>
        <v>1</v>
      </c>
      <c r="BI1131" s="1">
        <f t="shared" si="1594"/>
        <v>1</v>
      </c>
      <c r="BJ1131" s="1">
        <f t="shared" si="1600"/>
        <v>1</v>
      </c>
      <c r="BK1131" s="1">
        <f t="shared" si="1600"/>
        <v>1</v>
      </c>
      <c r="BL1131" s="1">
        <f t="shared" si="1570"/>
        <v>0</v>
      </c>
      <c r="BM1131" s="1">
        <f t="shared" si="1568"/>
        <v>0</v>
      </c>
      <c r="BN1131" s="1">
        <f t="shared" si="1591"/>
        <v>1</v>
      </c>
      <c r="BO1131" s="1">
        <f t="shared" si="1592"/>
        <v>1</v>
      </c>
    </row>
    <row r="1132" spans="1:67" ht="30.95" customHeight="1">
      <c r="A1132" s="1">
        <f>31</f>
        <v>31</v>
      </c>
      <c r="B1132" s="1">
        <f>固定流程!A16</f>
        <v>11</v>
      </c>
      <c r="C1132" s="1">
        <f>34</f>
        <v>34</v>
      </c>
      <c r="D1132" s="1">
        <f>1</f>
        <v>1</v>
      </c>
      <c r="E1132" s="1">
        <f>固定流程!C16</f>
        <v>2</v>
      </c>
      <c r="F1132" s="1">
        <f>固定流程!G16</f>
        <v>2</v>
      </c>
      <c r="G1132" s="1" t="str">
        <f>固定流程!H16</f>
        <v>37_CURVE</v>
      </c>
      <c r="H1132" s="1">
        <f>固定流程!F16</f>
        <v>1</v>
      </c>
      <c r="I1132" s="1">
        <f>INDEX(配置与结果!$B$15:$B$18,F1132)</f>
        <v>2306</v>
      </c>
      <c r="J1132" s="1">
        <f>INDEX(配置与结果!$D$15:$D$18,F1132)</f>
        <v>0.46</v>
      </c>
      <c r="K1132" s="1">
        <f>INDEX(配置与结果!$E$15:$E$18,F1132)</f>
        <v>1.9279999999999999</v>
      </c>
      <c r="L1132" s="1">
        <f t="shared" si="1598"/>
        <v>1</v>
      </c>
      <c r="M1132" s="1">
        <f t="shared" si="1598"/>
        <v>8</v>
      </c>
      <c r="N1132" s="1">
        <f t="shared" si="1598"/>
        <v>0</v>
      </c>
      <c r="O1132" s="1">
        <f t="shared" si="1597"/>
        <v>6</v>
      </c>
      <c r="P1132" s="1">
        <f>MIN(方案参数!$AI$34,AZ1131+0+0)</f>
        <v>5</v>
      </c>
      <c r="Q1132" s="1">
        <f t="shared" si="1575"/>
        <v>3</v>
      </c>
      <c r="R1132" s="1">
        <f t="shared" si="1576"/>
        <v>5</v>
      </c>
      <c r="S1132" s="1">
        <f t="shared" si="1577"/>
        <v>2</v>
      </c>
      <c r="T1132" s="1">
        <f t="shared" si="1578"/>
        <v>0</v>
      </c>
      <c r="U1132" s="1">
        <f t="shared" si="1579"/>
        <v>0</v>
      </c>
      <c r="V1132" s="1">
        <f t="shared" si="1580"/>
        <v>1</v>
      </c>
      <c r="W1132" s="1">
        <f t="shared" si="1581"/>
        <v>1</v>
      </c>
      <c r="X1132" s="1">
        <f t="shared" si="1582"/>
        <v>1</v>
      </c>
      <c r="Y1132" s="1">
        <f t="shared" si="1583"/>
        <v>1</v>
      </c>
      <c r="Z1132" s="1">
        <f t="shared" si="1584"/>
        <v>1</v>
      </c>
      <c r="AA1132" s="1">
        <f t="shared" si="1599"/>
        <v>1</v>
      </c>
      <c r="AB1132" s="1">
        <f t="shared" si="1586"/>
        <v>0</v>
      </c>
      <c r="AC1132" s="1">
        <f t="shared" si="1587"/>
        <v>0</v>
      </c>
      <c r="AD1132" s="1">
        <f>ROUNDDOWN(I1132*(1+IF(F1132=3,0.05+方案参数!$Y$34+AA1132*0.12,IF(F1132=4,方案参数!$BZ$34*方案参数!$AS$34,0)))+IF(AND(X1132=1,F1132&lt;&gt;3),方案参数!$CC$34,0)+AC1132*方案参数!$CB$34,0)</f>
        <v>2544</v>
      </c>
      <c r="AE1132" s="1">
        <f>IF(OR(F1132=1,F1132=4),配置与结果!$B$24,配置与结果!$B$25)*MAX(0,1-INDEX(配置与结果!$I$15:$I$18,F1132))</f>
        <v>1000</v>
      </c>
      <c r="AF1132" s="1">
        <f>方案参数!$BT$34*IF(H1132=1,1,IF(H1132=2,1.5,2.5))</f>
        <v>1.4</v>
      </c>
      <c r="AG1132" s="1">
        <f>MAX(配置与结果!$B$32,1+INDEX(配置与结果!$F$15:$F$18,F1132)+0+Q1132*方案参数!$W$34+Y1132*(方案参数!$AN$34+MIN(方案参数!$AO$34,P1132*0.03))+AB1132*方案参数!$BZ$34*0.025-配置与结果!$B$28)</f>
        <v>0.96499999999999997</v>
      </c>
      <c r="AH1132" s="1">
        <f>MAX(0,1+INDEX(配置与结果!$G$15:$G$18,F1132)+W1132*方案参数!$AG$34)</f>
        <v>1.3</v>
      </c>
      <c r="AI1132" s="1">
        <f>IF(OR(INDEX(配置与结果!$K$15:$K$18,F1132)=1,G1132="RHI_BERRY"),1+配置与结果!$B$33+P1132*方案参数!$AH$34,1)</f>
        <v>1</v>
      </c>
      <c r="AJ1132" s="1">
        <f>MIN(1,MAX(0,J1132+方案参数!$AB$34-配置与结果!$B$27))</f>
        <v>0.76</v>
      </c>
      <c r="AK1132" s="1">
        <f>MAX(1,K1132+IF(F1132=2,0.15+方案参数!$CH$34,0)+BN1132*方案参数!$X$34+R1132*方案参数!$AA$34+0-配置与结果!$B$26+Z1132*(方案参数!$AP$34+MIN(方案参数!$AQ$34,P1132*0.03)))</f>
        <v>2.278</v>
      </c>
      <c r="AL1132" s="7">
        <f>ROUNDDOWN(MAX(AD1132*配置与结果!$B$31,AD1132-AE1132)*AF1132*AG1132*AH1132*AI1132,0)</f>
        <v>2711</v>
      </c>
      <c r="AM1132" s="7">
        <f>ROUNDDOWN(MAX(AD1132*配置与结果!$B$31,AD1132-AE1132)*AF1132*AG1132*AH1132*AI1132*AK1132,0)</f>
        <v>6177</v>
      </c>
      <c r="AN1132" s="7">
        <f t="shared" si="1546"/>
        <v>5345.1600000000008</v>
      </c>
      <c r="AO1132" s="7">
        <f>方案参数!$BU$34*IF(H1132=1,1,IF(H1132=2,1.5,2.5))</f>
        <v>0.8</v>
      </c>
      <c r="AP1132" s="7">
        <f>MAX(0,1+INDEX(配置与结果!$J$15:$J$18,F1132)+IF(T1132&gt;0,方案参数!$BY$34,0)-配置与结果!$B$30)</f>
        <v>1</v>
      </c>
      <c r="AQ1132" s="7">
        <f t="shared" si="1547"/>
        <v>2035</v>
      </c>
      <c r="AR1132" s="7">
        <f t="shared" si="1548"/>
        <v>4635</v>
      </c>
      <c r="AS1132" s="7">
        <f t="shared" si="1549"/>
        <v>4011</v>
      </c>
      <c r="AT1132" s="7">
        <f>0</f>
        <v>0</v>
      </c>
      <c r="AU1132" s="7">
        <f t="shared" si="1550"/>
        <v>9356.16</v>
      </c>
      <c r="AV1132" s="1">
        <f t="shared" si="1551"/>
        <v>1</v>
      </c>
      <c r="AW1132" s="1">
        <f t="shared" si="1601"/>
        <v>8</v>
      </c>
      <c r="AX1132" s="1">
        <f t="shared" si="1552"/>
        <v>0</v>
      </c>
      <c r="AY1132" s="1">
        <f t="shared" si="1595"/>
        <v>6</v>
      </c>
      <c r="AZ1132" s="1">
        <f t="shared" si="1553"/>
        <v>5</v>
      </c>
      <c r="BA1132" s="1">
        <f>MIN(6,Q1132+0)</f>
        <v>3</v>
      </c>
      <c r="BB1132" s="1">
        <f t="shared" si="1588"/>
        <v>5</v>
      </c>
      <c r="BC1132" s="1">
        <f t="shared" ref="BC1132:BC1138" si="1602">MIN(3,S1132+0)</f>
        <v>2</v>
      </c>
      <c r="BD1132" s="1">
        <f t="shared" si="1596"/>
        <v>0</v>
      </c>
      <c r="BE1132" s="1">
        <f t="shared" si="1589"/>
        <v>0</v>
      </c>
      <c r="BF1132" s="1">
        <f>MIN(4,V1132+0)</f>
        <v>1</v>
      </c>
      <c r="BG1132" s="1">
        <f t="shared" si="1593"/>
        <v>1</v>
      </c>
      <c r="BH1132" s="1">
        <f t="shared" si="1590"/>
        <v>1</v>
      </c>
      <c r="BI1132" s="1">
        <f t="shared" si="1594"/>
        <v>1</v>
      </c>
      <c r="BJ1132" s="1">
        <f t="shared" si="1600"/>
        <v>1</v>
      </c>
      <c r="BK1132" s="1">
        <f t="shared" si="1600"/>
        <v>1</v>
      </c>
      <c r="BL1132" s="1">
        <f t="shared" si="1570"/>
        <v>0</v>
      </c>
      <c r="BM1132" s="1">
        <f t="shared" si="1568"/>
        <v>0</v>
      </c>
      <c r="BN1132" s="1">
        <f t="shared" si="1591"/>
        <v>1</v>
      </c>
      <c r="BO1132" s="1">
        <f t="shared" si="1592"/>
        <v>1</v>
      </c>
    </row>
    <row r="1133" spans="1:67" ht="30.95" customHeight="1">
      <c r="A1133" s="1">
        <f>31</f>
        <v>31</v>
      </c>
      <c r="B1133" s="1">
        <f>固定流程!A17</f>
        <v>12</v>
      </c>
      <c r="C1133" s="1">
        <f>34</f>
        <v>34</v>
      </c>
      <c r="D1133" s="1">
        <f>1</f>
        <v>1</v>
      </c>
      <c r="E1133" s="1">
        <f>固定流程!C17</f>
        <v>2</v>
      </c>
      <c r="F1133" s="1">
        <f>固定流程!G17</f>
        <v>2</v>
      </c>
      <c r="G1133" s="1" t="str">
        <f>固定流程!H17</f>
        <v>37_FOLLOW</v>
      </c>
      <c r="H1133" s="1">
        <f>固定流程!F17</f>
        <v>1</v>
      </c>
      <c r="I1133" s="1">
        <f>INDEX(配置与结果!$B$15:$B$18,F1133)</f>
        <v>2306</v>
      </c>
      <c r="J1133" s="1">
        <f>INDEX(配置与结果!$D$15:$D$18,F1133)</f>
        <v>0.46</v>
      </c>
      <c r="K1133" s="1">
        <f>INDEX(配置与结果!$E$15:$E$18,F1133)</f>
        <v>1.9279999999999999</v>
      </c>
      <c r="L1133" s="1">
        <f t="shared" si="1598"/>
        <v>1</v>
      </c>
      <c r="M1133" s="1">
        <f t="shared" si="1598"/>
        <v>8</v>
      </c>
      <c r="N1133" s="1">
        <f t="shared" si="1598"/>
        <v>0</v>
      </c>
      <c r="O1133" s="1">
        <f t="shared" si="1597"/>
        <v>6</v>
      </c>
      <c r="P1133" s="1">
        <f>MIN(方案参数!$AI$34,AZ1132+0+0)</f>
        <v>5</v>
      </c>
      <c r="Q1133" s="1">
        <f t="shared" si="1575"/>
        <v>3</v>
      </c>
      <c r="R1133" s="1">
        <f t="shared" si="1576"/>
        <v>5</v>
      </c>
      <c r="S1133" s="1">
        <f t="shared" si="1577"/>
        <v>2</v>
      </c>
      <c r="T1133" s="1">
        <f t="shared" si="1578"/>
        <v>0</v>
      </c>
      <c r="U1133" s="1">
        <f t="shared" si="1579"/>
        <v>0</v>
      </c>
      <c r="V1133" s="1">
        <f t="shared" si="1580"/>
        <v>1</v>
      </c>
      <c r="W1133" s="1">
        <f t="shared" si="1581"/>
        <v>1</v>
      </c>
      <c r="X1133" s="1">
        <f t="shared" si="1582"/>
        <v>1</v>
      </c>
      <c r="Y1133" s="1">
        <f t="shared" si="1583"/>
        <v>1</v>
      </c>
      <c r="Z1133" s="1">
        <f t="shared" si="1584"/>
        <v>1</v>
      </c>
      <c r="AA1133" s="1">
        <f t="shared" si="1599"/>
        <v>1</v>
      </c>
      <c r="AB1133" s="1">
        <f t="shared" si="1586"/>
        <v>0</v>
      </c>
      <c r="AC1133" s="1">
        <f t="shared" si="1587"/>
        <v>0</v>
      </c>
      <c r="AD1133" s="1">
        <f>ROUNDDOWN(I1133*(1+IF(F1133=3,0.05+方案参数!$Y$34+AA1133*0.12,IF(F1133=4,方案参数!$BZ$34*方案参数!$AS$34,0)))+IF(AND(X1133=1,F1133&lt;&gt;3),方案参数!$CC$34,0)+AC1133*方案参数!$CB$34,0)</f>
        <v>2544</v>
      </c>
      <c r="AE1133" s="1">
        <f>IF(OR(F1133=1,F1133=4),配置与结果!$B$24,配置与结果!$B$25)*MAX(0,1-INDEX(配置与结果!$I$15:$I$18,F1133))</f>
        <v>1000</v>
      </c>
      <c r="AF1133" s="1">
        <f>方案参数!$BV$34</f>
        <v>3</v>
      </c>
      <c r="AG1133" s="1">
        <f>MAX(配置与结果!$B$32,1+INDEX(配置与结果!$F$15:$F$18,F1133)+0+Q1133*方案参数!$W$34+Y1133*(方案参数!$AN$34+MIN(方案参数!$AO$34,P1133*0.03))+AB1133*方案参数!$BZ$34*0.025-配置与结果!$B$28)</f>
        <v>0.96499999999999997</v>
      </c>
      <c r="AH1133" s="1">
        <f>MAX(0,1+INDEX(配置与结果!$G$15:$G$18,F1133)+W1133*方案参数!$AG$34)</f>
        <v>1.3</v>
      </c>
      <c r="AI1133" s="1">
        <f>IF(OR(INDEX(配置与结果!$K$15:$K$18,F1133)=1,G1133="RHI_BERRY"),1+配置与结果!$B$33+P1133*方案参数!$AH$34,1)</f>
        <v>1</v>
      </c>
      <c r="AJ1133" s="1">
        <f>MIN(1,MAX(0,J1133+方案参数!$AB$34-配置与结果!$B$27))</f>
        <v>0.76</v>
      </c>
      <c r="AK1133" s="1">
        <f>MAX(1,K1133+IF(F1133=2,0.15+方案参数!$CH$34,0)+BN1133*方案参数!$X$34+R1133*方案参数!$AA$34+0-配置与结果!$B$26+Z1133*(方案参数!$AP$34+MIN(方案参数!$AQ$34,P1133*0.03)))</f>
        <v>2.278</v>
      </c>
      <c r="AL1133" s="7">
        <f>ROUNDDOWN(MAX(AD1133*配置与结果!$B$31,AD1133-AE1133)*AF1133*AG1133*AH1133*AI1133,0)</f>
        <v>5810</v>
      </c>
      <c r="AM1133" s="7">
        <f>ROUNDDOWN(MAX(AD1133*配置与结果!$B$31,AD1133-AE1133)*AF1133*AG1133*AH1133*AI1133*AK1133,0)</f>
        <v>13237</v>
      </c>
      <c r="AN1133" s="7">
        <f t="shared" si="1546"/>
        <v>11454.52</v>
      </c>
      <c r="AO1133" s="7">
        <f>方案参数!$BW$34</f>
        <v>1</v>
      </c>
      <c r="AP1133" s="7">
        <f>MAX(0,1+INDEX(配置与结果!$J$15:$J$18,F1133)+IF(T1133&gt;0,方案参数!$BY$34,0)-配置与结果!$B$30)</f>
        <v>1</v>
      </c>
      <c r="AQ1133" s="7">
        <f t="shared" si="1547"/>
        <v>2544</v>
      </c>
      <c r="AR1133" s="7">
        <f t="shared" si="1548"/>
        <v>5795</v>
      </c>
      <c r="AS1133" s="7">
        <f t="shared" si="1549"/>
        <v>5014.76</v>
      </c>
      <c r="AT1133" s="7">
        <f>0</f>
        <v>0</v>
      </c>
      <c r="AU1133" s="7">
        <f t="shared" si="1550"/>
        <v>16469.28</v>
      </c>
      <c r="AV1133" s="1">
        <f t="shared" si="1551"/>
        <v>1</v>
      </c>
      <c r="AW1133" s="1">
        <f t="shared" si="1601"/>
        <v>8</v>
      </c>
      <c r="AX1133" s="1">
        <f t="shared" si="1552"/>
        <v>0</v>
      </c>
      <c r="AY1133" s="1">
        <f t="shared" si="1595"/>
        <v>6</v>
      </c>
      <c r="AZ1133" s="1">
        <f t="shared" si="1553"/>
        <v>5</v>
      </c>
      <c r="BA1133" s="1">
        <f>MIN(6,Q1133+0)</f>
        <v>3</v>
      </c>
      <c r="BB1133" s="1">
        <f t="shared" si="1588"/>
        <v>5</v>
      </c>
      <c r="BC1133" s="1">
        <f t="shared" si="1602"/>
        <v>2</v>
      </c>
      <c r="BD1133" s="1">
        <f t="shared" si="1596"/>
        <v>0</v>
      </c>
      <c r="BE1133" s="1">
        <f t="shared" si="1589"/>
        <v>0</v>
      </c>
      <c r="BF1133" s="1">
        <f>MIN(4,V1133+1)</f>
        <v>2</v>
      </c>
      <c r="BG1133" s="1">
        <f t="shared" si="1593"/>
        <v>1</v>
      </c>
      <c r="BH1133" s="1">
        <f t="shared" si="1590"/>
        <v>1</v>
      </c>
      <c r="BI1133" s="1">
        <f t="shared" si="1594"/>
        <v>1</v>
      </c>
      <c r="BJ1133" s="1">
        <f t="shared" si="1600"/>
        <v>1</v>
      </c>
      <c r="BK1133" s="1">
        <f t="shared" si="1600"/>
        <v>1</v>
      </c>
      <c r="BL1133" s="1">
        <f t="shared" si="1570"/>
        <v>0</v>
      </c>
      <c r="BM1133" s="1">
        <f t="shared" si="1568"/>
        <v>0</v>
      </c>
      <c r="BN1133" s="1">
        <f t="shared" si="1591"/>
        <v>1</v>
      </c>
      <c r="BO1133" s="1">
        <f t="shared" si="1592"/>
        <v>1</v>
      </c>
    </row>
    <row r="1134" spans="1:67" ht="30.95" customHeight="1">
      <c r="A1134" s="1">
        <f>31</f>
        <v>31</v>
      </c>
      <c r="B1134" s="1">
        <f>固定流程!A18</f>
        <v>13</v>
      </c>
      <c r="C1134" s="1">
        <f>34</f>
        <v>34</v>
      </c>
      <c r="D1134" s="1">
        <f>1</f>
        <v>1</v>
      </c>
      <c r="E1134" s="1">
        <f>固定流程!C18</f>
        <v>2</v>
      </c>
      <c r="F1134" s="1">
        <f>固定流程!G18</f>
        <v>3</v>
      </c>
      <c r="G1134" s="1" t="str">
        <f>固定流程!H18</f>
        <v>RHI_BERRY</v>
      </c>
      <c r="H1134" s="1">
        <f>固定流程!F18</f>
        <v>1</v>
      </c>
      <c r="I1134" s="1">
        <f>INDEX(配置与结果!$B$15:$B$18,F1134)</f>
        <v>2597</v>
      </c>
      <c r="J1134" s="1">
        <f>INDEX(配置与结果!$D$15:$D$18,F1134)</f>
        <v>0.255</v>
      </c>
      <c r="K1134" s="1">
        <f>INDEX(配置与结果!$E$15:$E$18,F1134)</f>
        <v>1.55</v>
      </c>
      <c r="L1134" s="1">
        <f t="shared" si="1598"/>
        <v>1</v>
      </c>
      <c r="M1134" s="1">
        <f t="shared" si="1598"/>
        <v>8</v>
      </c>
      <c r="N1134" s="1">
        <f t="shared" si="1598"/>
        <v>0</v>
      </c>
      <c r="O1134" s="1">
        <f t="shared" si="1597"/>
        <v>6</v>
      </c>
      <c r="P1134" s="1">
        <f>MIN(方案参数!$AI$34,AZ1133+0+0)</f>
        <v>5</v>
      </c>
      <c r="Q1134" s="1">
        <f t="shared" si="1575"/>
        <v>3</v>
      </c>
      <c r="R1134" s="1">
        <f t="shared" si="1576"/>
        <v>5</v>
      </c>
      <c r="S1134" s="1">
        <f t="shared" si="1577"/>
        <v>2</v>
      </c>
      <c r="T1134" s="1">
        <f t="shared" si="1578"/>
        <v>0</v>
      </c>
      <c r="U1134" s="1">
        <f t="shared" si="1579"/>
        <v>0</v>
      </c>
      <c r="V1134" s="1">
        <f t="shared" si="1580"/>
        <v>2</v>
      </c>
      <c r="W1134" s="1">
        <f t="shared" si="1581"/>
        <v>1</v>
      </c>
      <c r="X1134" s="1">
        <f t="shared" si="1582"/>
        <v>1</v>
      </c>
      <c r="Y1134" s="1">
        <f t="shared" si="1583"/>
        <v>1</v>
      </c>
      <c r="Z1134" s="1">
        <f t="shared" si="1584"/>
        <v>1</v>
      </c>
      <c r="AA1134" s="1">
        <f t="shared" si="1599"/>
        <v>1</v>
      </c>
      <c r="AB1134" s="1">
        <f t="shared" si="1586"/>
        <v>0</v>
      </c>
      <c r="AC1134" s="1">
        <f t="shared" si="1587"/>
        <v>0</v>
      </c>
      <c r="AD1134" s="1">
        <f>ROUNDDOWN(I1134*(1+IF(F1134=3,0.05+方案参数!$Y$34+AA1134*0.12,IF(F1134=4,方案参数!$BZ$34*方案参数!$AS$34,0)))+IF(AND(X1134=1,F1134&lt;&gt;3),方案参数!$CC$34,0)+AC1134*方案参数!$CB$34,0)</f>
        <v>3298</v>
      </c>
      <c r="AE1134" s="1">
        <f>IF(OR(F1134=1,F1134=4),配置与结果!$B$24,配置与结果!$B$25)*MAX(0,1-INDEX(配置与结果!$I$15:$I$18,F1134))</f>
        <v>1000</v>
      </c>
      <c r="AF1134" s="1">
        <f>方案参数!$CF$34+P1134*方案参数!$CG$34</f>
        <v>22.5</v>
      </c>
      <c r="AG1134" s="1">
        <f>MAX(配置与结果!$B$32,1+INDEX(配置与结果!$F$15:$F$18,F1134)+0+Q1134*方案参数!$W$34+Y1134*(方案参数!$AN$34+MIN(方案参数!$AO$34,P1134*0.03))+AB1134*方案参数!$BZ$34*0.025-配置与结果!$B$28)</f>
        <v>0.995</v>
      </c>
      <c r="AH1134" s="1">
        <f>MAX(0,1+INDEX(配置与结果!$G$15:$G$18,F1134)+W1134*方案参数!$AG$34)</f>
        <v>1.3</v>
      </c>
      <c r="AI1134" s="1">
        <f>IF(OR(INDEX(配置与结果!$K$15:$K$18,F1134)=1,G1134="RHI_BERRY"),1+配置与结果!$B$33+P1134*方案参数!$AH$34,1)</f>
        <v>1.5</v>
      </c>
      <c r="AJ1134" s="1">
        <f>MIN(1,MAX(0,J1134+方案参数!$AB$34-配置与结果!$B$27))</f>
        <v>0.55499999999999994</v>
      </c>
      <c r="AK1134" s="1">
        <f>MAX(1,K1134+IF(F1134=2,0.15+方案参数!$CH$34,0)+BN1134*方案参数!$X$34+R1134*方案参数!$AA$34+0-配置与结果!$B$26+Z1134*(方案参数!$AP$34+MIN(方案参数!$AQ$34,P1134*0.03)))</f>
        <v>1.6300000000000001</v>
      </c>
      <c r="AL1134" s="7">
        <f>ROUNDDOWN(MAX(AD1134*配置与结果!$B$31,AD1134-AE1134)*AF1134*AG1134*AH1134*AI1134,0)</f>
        <v>100320</v>
      </c>
      <c r="AM1134" s="7">
        <f>ROUNDDOWN(MAX(AD1134*配置与结果!$B$31,AD1134-AE1134)*AF1134*AG1134*AH1134*AI1134*AK1134,0)</f>
        <v>163522</v>
      </c>
      <c r="AN1134" s="7">
        <f t="shared" si="1546"/>
        <v>135397.10999999999</v>
      </c>
      <c r="AO1134" s="7">
        <f>0</f>
        <v>0</v>
      </c>
      <c r="AP1134" s="7">
        <f>MAX(0,1+INDEX(配置与结果!$J$15:$J$18,F1134)+IF(T1134&gt;0,方案参数!$BY$34,0)-配置与结果!$B$30)</f>
        <v>1</v>
      </c>
      <c r="AQ1134" s="7">
        <f t="shared" si="1547"/>
        <v>0</v>
      </c>
      <c r="AR1134" s="7">
        <f t="shared" si="1548"/>
        <v>0</v>
      </c>
      <c r="AS1134" s="7">
        <f t="shared" si="1549"/>
        <v>0</v>
      </c>
      <c r="AT1134" s="7">
        <f>0</f>
        <v>0</v>
      </c>
      <c r="AU1134" s="7">
        <f t="shared" si="1550"/>
        <v>135397.10999999999</v>
      </c>
      <c r="AV1134" s="1">
        <f t="shared" si="1551"/>
        <v>1</v>
      </c>
      <c r="AW1134" s="1">
        <f t="shared" si="1601"/>
        <v>8</v>
      </c>
      <c r="AX1134" s="1">
        <f t="shared" si="1552"/>
        <v>0</v>
      </c>
      <c r="AY1134" s="1">
        <f t="shared" si="1595"/>
        <v>6</v>
      </c>
      <c r="AZ1134" s="1">
        <f t="shared" si="1553"/>
        <v>5</v>
      </c>
      <c r="BA1134" s="1">
        <f>MIN(6,Q1134+0)</f>
        <v>3</v>
      </c>
      <c r="BB1134" s="1">
        <f t="shared" si="1588"/>
        <v>5</v>
      </c>
      <c r="BC1134" s="1">
        <f t="shared" si="1602"/>
        <v>2</v>
      </c>
      <c r="BD1134" s="1">
        <f t="shared" si="1596"/>
        <v>0</v>
      </c>
      <c r="BE1134" s="1">
        <f t="shared" si="1589"/>
        <v>0</v>
      </c>
      <c r="BF1134" s="1">
        <f>MIN(4,V1134+0)</f>
        <v>2</v>
      </c>
      <c r="BG1134" s="1">
        <f t="shared" si="1593"/>
        <v>1</v>
      </c>
      <c r="BH1134" s="1">
        <f t="shared" si="1590"/>
        <v>1</v>
      </c>
      <c r="BI1134" s="1">
        <f t="shared" si="1594"/>
        <v>1</v>
      </c>
      <c r="BJ1134" s="1">
        <f t="shared" si="1600"/>
        <v>1</v>
      </c>
      <c r="BK1134" s="1">
        <f t="shared" si="1600"/>
        <v>1</v>
      </c>
      <c r="BL1134" s="1">
        <f t="shared" si="1570"/>
        <v>0</v>
      </c>
      <c r="BM1134" s="1">
        <f t="shared" si="1568"/>
        <v>0</v>
      </c>
      <c r="BN1134" s="1">
        <f t="shared" si="1591"/>
        <v>1</v>
      </c>
      <c r="BO1134" s="1">
        <f t="shared" si="1592"/>
        <v>1</v>
      </c>
    </row>
    <row r="1135" spans="1:67" ht="30.95" customHeight="1">
      <c r="A1135" s="1">
        <f>31</f>
        <v>31</v>
      </c>
      <c r="B1135" s="1">
        <f>固定流程!A19</f>
        <v>14</v>
      </c>
      <c r="C1135" s="1">
        <f>34</f>
        <v>34</v>
      </c>
      <c r="D1135" s="1">
        <f>1</f>
        <v>1</v>
      </c>
      <c r="E1135" s="1">
        <f>固定流程!C19</f>
        <v>3</v>
      </c>
      <c r="F1135" s="1">
        <f>固定流程!G19</f>
        <v>3</v>
      </c>
      <c r="G1135" s="1" t="str">
        <f>固定流程!H19</f>
        <v>RHI_BUFF</v>
      </c>
      <c r="H1135" s="1">
        <f>固定流程!F19</f>
        <v>1</v>
      </c>
      <c r="I1135" s="1">
        <f>INDEX(配置与结果!$B$15:$B$18,F1135)</f>
        <v>2597</v>
      </c>
      <c r="J1135" s="1">
        <f>INDEX(配置与结果!$D$15:$D$18,F1135)</f>
        <v>0.255</v>
      </c>
      <c r="K1135" s="1">
        <f>INDEX(配置与结果!$E$15:$E$18,F1135)</f>
        <v>1.55</v>
      </c>
      <c r="L1135" s="1">
        <f>IF(AV1134=1,IF(M1135&gt;=10,2,1),IF(AV1134=2,IF(AX1134&lt;=1,0,2),0))</f>
        <v>2</v>
      </c>
      <c r="M1135" s="1">
        <f>IF(AND(AV1134=2,AX1134&lt;=1),0,MIN(10,AW1134+IF(AV1134=1,3,0)))</f>
        <v>10</v>
      </c>
      <c r="N1135" s="1">
        <f>IF(AND(AV1134=1,M1135&gt;=10),2,IF(AV1134=2,MAX(0,AX1134-1),0))</f>
        <v>2</v>
      </c>
      <c r="O1135" s="1">
        <f t="shared" si="1597"/>
        <v>6</v>
      </c>
      <c r="P1135" s="1">
        <f>MIN(方案参数!$AI$34,AZ1134+方案参数!$AJ$34+方案参数!$AK$34)</f>
        <v>5</v>
      </c>
      <c r="Q1135" s="1">
        <f t="shared" si="1575"/>
        <v>3</v>
      </c>
      <c r="R1135" s="1">
        <f t="shared" si="1576"/>
        <v>5</v>
      </c>
      <c r="S1135" s="1">
        <f t="shared" si="1577"/>
        <v>2</v>
      </c>
      <c r="T1135" s="1">
        <f t="shared" si="1578"/>
        <v>0</v>
      </c>
      <c r="U1135" s="1">
        <f t="shared" si="1579"/>
        <v>0</v>
      </c>
      <c r="V1135" s="1">
        <f t="shared" si="1580"/>
        <v>2</v>
      </c>
      <c r="W1135" s="1">
        <f t="shared" si="1581"/>
        <v>1</v>
      </c>
      <c r="X1135" s="1">
        <f t="shared" si="1582"/>
        <v>1</v>
      </c>
      <c r="Y1135" s="1">
        <f t="shared" si="1583"/>
        <v>1</v>
      </c>
      <c r="Z1135" s="1">
        <f t="shared" si="1584"/>
        <v>1</v>
      </c>
      <c r="AA1135" s="1">
        <f t="shared" si="1599"/>
        <v>1</v>
      </c>
      <c r="AB1135" s="1">
        <f t="shared" si="1586"/>
        <v>0</v>
      </c>
      <c r="AC1135" s="1">
        <f t="shared" si="1587"/>
        <v>0</v>
      </c>
      <c r="AD1135" s="1">
        <f>ROUNDDOWN(I1135*(1+IF(F1135=3,0.05+方案参数!$Y$34+AA1135*0.12,IF(F1135=4,方案参数!$BZ$34*方案参数!$AS$34,0)))+IF(AND(X1135=1,F1135&lt;&gt;3),方案参数!$CC$34,0)+AC1135*方案参数!$CB$34,0)</f>
        <v>3298</v>
      </c>
      <c r="AE1135" s="1">
        <f>IF(OR(F1135=1,F1135=4),配置与结果!$B$24,配置与结果!$B$25)*MAX(0,1-INDEX(配置与结果!$I$15:$I$18,F1135))</f>
        <v>1000</v>
      </c>
      <c r="AF1135" s="1">
        <f>0</f>
        <v>0</v>
      </c>
      <c r="AG1135" s="1">
        <f>MAX(配置与结果!$B$32,1+INDEX(配置与结果!$F$15:$F$18,F1135)+0+Q1135*方案参数!$W$34+Y1135*(方案参数!$AN$34+MIN(方案参数!$AO$34,P1135*0.03))+AB1135*方案参数!$BZ$34*0.025-配置与结果!$B$28)</f>
        <v>0.995</v>
      </c>
      <c r="AH1135" s="1">
        <f>MAX(0,1+INDEX(配置与结果!$G$15:$G$18,F1135)+W1135*方案参数!$AG$34)</f>
        <v>1.3</v>
      </c>
      <c r="AI1135" s="1">
        <f>IF(OR(INDEX(配置与结果!$K$15:$K$18,F1135)=1,G1135="RHI_BERRY"),1+配置与结果!$B$33+P1135*方案参数!$AH$34,1)</f>
        <v>1</v>
      </c>
      <c r="AJ1135" s="1">
        <f>MIN(1,MAX(0,J1135+方案参数!$AB$34-配置与结果!$B$27))</f>
        <v>0.55499999999999994</v>
      </c>
      <c r="AK1135" s="1">
        <f>MAX(1,K1135+IF(F1135=2,0.15+方案参数!$CH$34,0)+BN1135*方案参数!$X$34+R1135*方案参数!$AA$34+0-配置与结果!$B$26+Z1135*(方案参数!$AP$34+MIN(方案参数!$AQ$34,P1135*0.03)))</f>
        <v>1.6300000000000001</v>
      </c>
      <c r="AL1135" s="7">
        <f>ROUNDDOWN(MAX(AD1135*配置与结果!$B$31,AD1135-AE1135)*AF1135*AG1135*AH1135*AI1135,0)</f>
        <v>0</v>
      </c>
      <c r="AM1135" s="7">
        <f>ROUNDDOWN(MAX(AD1135*配置与结果!$B$31,AD1135-AE1135)*AF1135*AG1135*AH1135*AI1135*AK1135,0)</f>
        <v>0</v>
      </c>
      <c r="AN1135" s="7">
        <f t="shared" si="1546"/>
        <v>0</v>
      </c>
      <c r="AO1135" s="7">
        <f>0</f>
        <v>0</v>
      </c>
      <c r="AP1135" s="7">
        <f>MAX(0,1+INDEX(配置与结果!$J$15:$J$18,F1135)+IF(T1135&gt;0,方案参数!$BY$34,0)-配置与结果!$B$30)</f>
        <v>1</v>
      </c>
      <c r="AQ1135" s="7">
        <f t="shared" si="1547"/>
        <v>0</v>
      </c>
      <c r="AR1135" s="7">
        <f t="shared" si="1548"/>
        <v>0</v>
      </c>
      <c r="AS1135" s="7">
        <f t="shared" si="1549"/>
        <v>0</v>
      </c>
      <c r="AT1135" s="7">
        <f>0</f>
        <v>0</v>
      </c>
      <c r="AU1135" s="7">
        <f t="shared" si="1550"/>
        <v>0</v>
      </c>
      <c r="AV1135" s="1">
        <f t="shared" si="1551"/>
        <v>2</v>
      </c>
      <c r="AW1135" s="1">
        <f t="shared" si="1601"/>
        <v>10</v>
      </c>
      <c r="AX1135" s="1">
        <f t="shared" si="1552"/>
        <v>2</v>
      </c>
      <c r="AY1135" s="1">
        <f t="shared" si="1595"/>
        <v>6</v>
      </c>
      <c r="AZ1135" s="1">
        <f t="shared" si="1553"/>
        <v>5</v>
      </c>
      <c r="BA1135" s="1">
        <f>MIN(6,Q1135+1)</f>
        <v>4</v>
      </c>
      <c r="BB1135" s="1">
        <f t="shared" si="1588"/>
        <v>5</v>
      </c>
      <c r="BC1135" s="1">
        <f t="shared" si="1602"/>
        <v>2</v>
      </c>
      <c r="BD1135" s="1">
        <f t="shared" si="1596"/>
        <v>0</v>
      </c>
      <c r="BE1135" s="1">
        <f t="shared" si="1589"/>
        <v>0</v>
      </c>
      <c r="BF1135" s="1">
        <f>MIN(4,V1135+0)</f>
        <v>2</v>
      </c>
      <c r="BG1135" s="1">
        <f>MAX(W1135,1)</f>
        <v>1</v>
      </c>
      <c r="BH1135" s="1">
        <f t="shared" si="1590"/>
        <v>1</v>
      </c>
      <c r="BI1135" s="1">
        <f>MAX(Y1135,1)</f>
        <v>1</v>
      </c>
      <c r="BJ1135" s="1">
        <f t="shared" si="1600"/>
        <v>1</v>
      </c>
      <c r="BK1135" s="1">
        <f t="shared" si="1600"/>
        <v>1</v>
      </c>
      <c r="BL1135" s="1">
        <f t="shared" si="1570"/>
        <v>0</v>
      </c>
      <c r="BM1135" s="1">
        <f t="shared" si="1568"/>
        <v>0</v>
      </c>
      <c r="BN1135" s="1">
        <f t="shared" si="1591"/>
        <v>1</v>
      </c>
      <c r="BO1135" s="1">
        <f t="shared" si="1592"/>
        <v>1</v>
      </c>
    </row>
    <row r="1136" spans="1:67" ht="30.95" customHeight="1">
      <c r="A1136" s="1">
        <f>31</f>
        <v>31</v>
      </c>
      <c r="B1136" s="1">
        <f>固定流程!A20</f>
        <v>15</v>
      </c>
      <c r="C1136" s="1">
        <f>34</f>
        <v>34</v>
      </c>
      <c r="D1136" s="1">
        <f>1</f>
        <v>1</v>
      </c>
      <c r="E1136" s="1">
        <f>固定流程!C20</f>
        <v>3</v>
      </c>
      <c r="F1136" s="1">
        <f>固定流程!G20</f>
        <v>3</v>
      </c>
      <c r="G1136" s="1" t="str">
        <f>固定流程!H20</f>
        <v>RHI_ATTACK</v>
      </c>
      <c r="H1136" s="1">
        <f>固定流程!F20</f>
        <v>1</v>
      </c>
      <c r="I1136" s="1">
        <f>INDEX(配置与结果!$B$15:$B$18,F1136)</f>
        <v>2597</v>
      </c>
      <c r="J1136" s="1">
        <f>INDEX(配置与结果!$D$15:$D$18,F1136)</f>
        <v>0.255</v>
      </c>
      <c r="K1136" s="1">
        <f>INDEX(配置与结果!$E$15:$E$18,F1136)</f>
        <v>1.55</v>
      </c>
      <c r="L1136" s="1">
        <f t="shared" ref="L1136:L1157" si="1603">AV1135</f>
        <v>2</v>
      </c>
      <c r="M1136" s="1">
        <f t="shared" ref="M1136:M1157" si="1604">AW1135</f>
        <v>10</v>
      </c>
      <c r="N1136" s="1">
        <f t="shared" ref="N1136:N1157" si="1605">AX1135</f>
        <v>2</v>
      </c>
      <c r="O1136" s="1">
        <f t="shared" si="1597"/>
        <v>6</v>
      </c>
      <c r="P1136" s="1">
        <f>MIN(方案参数!$AI$34,AZ1135+0+方案参数!$AK$34)</f>
        <v>5</v>
      </c>
      <c r="Q1136" s="1">
        <f t="shared" si="1575"/>
        <v>4</v>
      </c>
      <c r="R1136" s="1">
        <f t="shared" si="1576"/>
        <v>5</v>
      </c>
      <c r="S1136" s="1">
        <f t="shared" si="1577"/>
        <v>2</v>
      </c>
      <c r="T1136" s="1">
        <f t="shared" si="1578"/>
        <v>0</v>
      </c>
      <c r="U1136" s="1">
        <f t="shared" si="1579"/>
        <v>0</v>
      </c>
      <c r="V1136" s="1">
        <f t="shared" si="1580"/>
        <v>2</v>
      </c>
      <c r="W1136" s="1">
        <f t="shared" si="1581"/>
        <v>1</v>
      </c>
      <c r="X1136" s="1">
        <f t="shared" si="1582"/>
        <v>1</v>
      </c>
      <c r="Y1136" s="1">
        <f t="shared" si="1583"/>
        <v>1</v>
      </c>
      <c r="Z1136" s="1">
        <f t="shared" si="1584"/>
        <v>1</v>
      </c>
      <c r="AA1136" s="1">
        <f>MAX(BK1135,1)</f>
        <v>1</v>
      </c>
      <c r="AB1136" s="1">
        <f t="shared" si="1586"/>
        <v>0</v>
      </c>
      <c r="AC1136" s="1">
        <f t="shared" si="1587"/>
        <v>0</v>
      </c>
      <c r="AD1136" s="1">
        <f>ROUNDDOWN(I1136*(1+IF(F1136=3,0.05+方案参数!$Y$34+AA1136*0.12,IF(F1136=4,方案参数!$BZ$34*方案参数!$AS$34,0)))+IF(AND(X1136=1,F1136&lt;&gt;3),方案参数!$CC$34,0)+AC1136*方案参数!$CB$34,0)</f>
        <v>3298</v>
      </c>
      <c r="AE1136" s="1">
        <f>IF(OR(F1136=1,F1136=4),配置与结果!$B$24,配置与结果!$B$25)*MAX(0,1-INDEX(配置与结果!$I$15:$I$18,F1136))</f>
        <v>1000</v>
      </c>
      <c r="AF1136" s="1">
        <f>4</f>
        <v>4</v>
      </c>
      <c r="AG1136" s="1">
        <f>MAX(配置与结果!$B$32,1+INDEX(配置与结果!$F$15:$F$18,F1136)+0+Q1136*方案参数!$W$34+Y1136*(方案参数!$AN$34+MIN(方案参数!$AO$34,P1136*0.03))+AB1136*方案参数!$BZ$34*0.025-配置与结果!$B$28)</f>
        <v>1.0150000000000001</v>
      </c>
      <c r="AH1136" s="1">
        <f>MAX(0,1+INDEX(配置与结果!$G$15:$G$18,F1136)+W1136*方案参数!$AG$34)</f>
        <v>1.3</v>
      </c>
      <c r="AI1136" s="1">
        <f>IF(OR(INDEX(配置与结果!$K$15:$K$18,F1136)=1,G1136="RHI_BERRY"),1+配置与结果!$B$33+P1136*方案参数!$AH$34,1)</f>
        <v>1</v>
      </c>
      <c r="AJ1136" s="1">
        <f>MIN(1,MAX(0,J1136+方案参数!$AB$34-配置与结果!$B$27))</f>
        <v>0.55499999999999994</v>
      </c>
      <c r="AK1136" s="1">
        <f>MAX(1,K1136+IF(F1136=2,0.15+方案参数!$CH$34,0)+BN1136*方案参数!$X$34+R1136*方案参数!$AA$34+0-配置与结果!$B$26+Z1136*(方案参数!$AP$34+MIN(方案参数!$AQ$34,P1136*0.03)))</f>
        <v>1.6300000000000001</v>
      </c>
      <c r="AL1136" s="7">
        <f>ROUNDDOWN(MAX(AD1136*配置与结果!$B$31,AD1136-AE1136)*AF1136*AG1136*AH1136*AI1136,0)</f>
        <v>12128</v>
      </c>
      <c r="AM1136" s="7">
        <f>ROUNDDOWN(MAX(AD1136*配置与结果!$B$31,AD1136-AE1136)*AF1136*AG1136*AH1136*AI1136*AK1136,0)</f>
        <v>19770</v>
      </c>
      <c r="AN1136" s="7">
        <f t="shared" si="1546"/>
        <v>16369.31</v>
      </c>
      <c r="AO1136" s="7">
        <f>0</f>
        <v>0</v>
      </c>
      <c r="AP1136" s="7">
        <f>MAX(0,1+INDEX(配置与结果!$J$15:$J$18,F1136)+IF(T1136&gt;0,方案参数!$BY$34,0)-配置与结果!$B$30)</f>
        <v>1</v>
      </c>
      <c r="AQ1136" s="7">
        <f t="shared" si="1547"/>
        <v>0</v>
      </c>
      <c r="AR1136" s="7">
        <f t="shared" si="1548"/>
        <v>0</v>
      </c>
      <c r="AS1136" s="7">
        <f t="shared" si="1549"/>
        <v>0</v>
      </c>
      <c r="AT1136" s="7">
        <f>0</f>
        <v>0</v>
      </c>
      <c r="AU1136" s="7">
        <f t="shared" si="1550"/>
        <v>16369.31</v>
      </c>
      <c r="AV1136" s="1">
        <f t="shared" si="1551"/>
        <v>2</v>
      </c>
      <c r="AW1136" s="1">
        <f t="shared" si="1601"/>
        <v>10</v>
      </c>
      <c r="AX1136" s="1">
        <f t="shared" si="1552"/>
        <v>2</v>
      </c>
      <c r="AY1136" s="1">
        <f t="shared" si="1595"/>
        <v>6</v>
      </c>
      <c r="AZ1136" s="1">
        <f t="shared" si="1553"/>
        <v>5</v>
      </c>
      <c r="BA1136" s="1">
        <f>MIN(6,Q1136+1)</f>
        <v>5</v>
      </c>
      <c r="BB1136" s="1">
        <f t="shared" si="1588"/>
        <v>5</v>
      </c>
      <c r="BC1136" s="1">
        <f t="shared" si="1602"/>
        <v>2</v>
      </c>
      <c r="BD1136" s="1">
        <f t="shared" si="1596"/>
        <v>0</v>
      </c>
      <c r="BE1136" s="1">
        <f t="shared" si="1589"/>
        <v>0</v>
      </c>
      <c r="BF1136" s="1">
        <f>MIN(4,V1136+0)</f>
        <v>2</v>
      </c>
      <c r="BG1136" s="1">
        <f t="shared" ref="BG1136:BG1158" si="1606">MAX(W1136,0)</f>
        <v>1</v>
      </c>
      <c r="BH1136" s="1">
        <f t="shared" si="1590"/>
        <v>1</v>
      </c>
      <c r="BI1136" s="1">
        <f t="shared" ref="BI1136:BI1158" si="1607">MAX(Y1136,0)</f>
        <v>1</v>
      </c>
      <c r="BJ1136" s="1">
        <f>MAX(Z1136,1)</f>
        <v>1</v>
      </c>
      <c r="BK1136" s="1">
        <f>MAX(AA1136,1)</f>
        <v>1</v>
      </c>
      <c r="BL1136" s="1">
        <f t="shared" si="1570"/>
        <v>0</v>
      </c>
      <c r="BM1136" s="1">
        <f t="shared" si="1568"/>
        <v>0</v>
      </c>
      <c r="BN1136" s="1">
        <f t="shared" si="1591"/>
        <v>1</v>
      </c>
      <c r="BO1136" s="1">
        <f t="shared" si="1592"/>
        <v>1</v>
      </c>
    </row>
    <row r="1137" spans="1:67" ht="30.95" customHeight="1">
      <c r="A1137" s="1">
        <f>31</f>
        <v>31</v>
      </c>
      <c r="B1137" s="1">
        <f>固定流程!A21</f>
        <v>16</v>
      </c>
      <c r="C1137" s="1">
        <f>34</f>
        <v>34</v>
      </c>
      <c r="D1137" s="1">
        <f>1</f>
        <v>1</v>
      </c>
      <c r="E1137" s="1">
        <f>固定流程!C21</f>
        <v>3</v>
      </c>
      <c r="F1137" s="1">
        <f>固定流程!G21</f>
        <v>2</v>
      </c>
      <c r="G1137" s="1" t="str">
        <f>固定流程!H21</f>
        <v>37_ULT</v>
      </c>
      <c r="H1137" s="1">
        <f>固定流程!F21</f>
        <v>1</v>
      </c>
      <c r="I1137" s="1">
        <f>INDEX(配置与结果!$B$15:$B$18,F1137)</f>
        <v>2306</v>
      </c>
      <c r="J1137" s="1">
        <f>INDEX(配置与结果!$D$15:$D$18,F1137)</f>
        <v>0.46</v>
      </c>
      <c r="K1137" s="1">
        <f>INDEX(配置与结果!$E$15:$E$18,F1137)</f>
        <v>1.9279999999999999</v>
      </c>
      <c r="L1137" s="1">
        <f t="shared" si="1603"/>
        <v>2</v>
      </c>
      <c r="M1137" s="1">
        <f t="shared" si="1604"/>
        <v>10</v>
      </c>
      <c r="N1137" s="1">
        <f t="shared" si="1605"/>
        <v>2</v>
      </c>
      <c r="O1137" s="1">
        <f t="shared" si="1597"/>
        <v>6</v>
      </c>
      <c r="P1137" s="1">
        <f>MIN(方案参数!$AI$34,AZ1136+0+0)</f>
        <v>5</v>
      </c>
      <c r="Q1137" s="1">
        <f t="shared" si="1575"/>
        <v>5</v>
      </c>
      <c r="R1137" s="1">
        <f t="shared" si="1576"/>
        <v>5</v>
      </c>
      <c r="S1137" s="1">
        <f t="shared" si="1577"/>
        <v>2</v>
      </c>
      <c r="T1137" s="1">
        <f>BD1136+方案参数!$BX$34</f>
        <v>2</v>
      </c>
      <c r="U1137" s="1">
        <f t="shared" si="1579"/>
        <v>0</v>
      </c>
      <c r="V1137" s="1">
        <f t="shared" si="1580"/>
        <v>2</v>
      </c>
      <c r="W1137" s="1">
        <f t="shared" si="1581"/>
        <v>1</v>
      </c>
      <c r="X1137" s="1">
        <f t="shared" si="1582"/>
        <v>1</v>
      </c>
      <c r="Y1137" s="1">
        <f t="shared" si="1583"/>
        <v>1</v>
      </c>
      <c r="Z1137" s="1">
        <f t="shared" si="1584"/>
        <v>1</v>
      </c>
      <c r="AA1137" s="1">
        <f t="shared" ref="AA1137:AA1157" si="1608">MAX(BK1136,0)</f>
        <v>1</v>
      </c>
      <c r="AB1137" s="1">
        <f t="shared" si="1586"/>
        <v>0</v>
      </c>
      <c r="AC1137" s="1">
        <f>MAX(BM1136,1)</f>
        <v>1</v>
      </c>
      <c r="AD1137" s="1">
        <f>ROUNDDOWN(I1137*(1+IF(F1137=3,0.05+方案参数!$Y$34+AA1137*0.12,IF(F1137=4,方案参数!$BZ$34*方案参数!$AS$34,0)))+IF(AND(X1137=1,F1137&lt;&gt;3),方案参数!$CC$34,0)+AC1137*方案参数!$CB$34,0)</f>
        <v>3044</v>
      </c>
      <c r="AE1137" s="1">
        <f>IF(OR(F1137=1,F1137=4),配置与结果!$B$24,配置与结果!$B$25)*MAX(0,1-INDEX(配置与结果!$I$15:$I$18,F1137))</f>
        <v>1000</v>
      </c>
      <c r="AF1137" s="1">
        <f>0</f>
        <v>0</v>
      </c>
      <c r="AG1137" s="1">
        <f>MAX(配置与结果!$B$32,1+INDEX(配置与结果!$F$15:$F$18,F1137)+0+Q1137*方案参数!$W$34+Y1137*(方案参数!$AN$34+MIN(方案参数!$AO$34,P1137*0.03))+AB1137*方案参数!$BZ$34*0.025-配置与结果!$B$28)</f>
        <v>1.0049999999999999</v>
      </c>
      <c r="AH1137" s="1">
        <f>MAX(0,1+INDEX(配置与结果!$G$15:$G$18,F1137)+W1137*方案参数!$AG$34)</f>
        <v>1.3</v>
      </c>
      <c r="AI1137" s="1">
        <f>IF(OR(INDEX(配置与结果!$K$15:$K$18,F1137)=1,G1137="RHI_BERRY"),1+配置与结果!$B$33+P1137*方案参数!$AH$34,1)</f>
        <v>1</v>
      </c>
      <c r="AJ1137" s="1">
        <f>MIN(1,MAX(0,J1137+方案参数!$AB$34-配置与结果!$B$27))</f>
        <v>0.76</v>
      </c>
      <c r="AK1137" s="1">
        <f>MAX(1,K1137+IF(F1137=2,0.15+方案参数!$CH$34,0)+BN1137*方案参数!$X$34+R1137*方案参数!$AA$34+0-配置与结果!$B$26+Z1137*(方案参数!$AP$34+MIN(方案参数!$AQ$34,P1137*0.03)))</f>
        <v>2.278</v>
      </c>
      <c r="AL1137" s="7">
        <f>ROUNDDOWN(MAX(AD1137*配置与结果!$B$31,AD1137-AE1137)*AF1137*AG1137*AH1137*AI1137,0)</f>
        <v>0</v>
      </c>
      <c r="AM1137" s="7">
        <f>ROUNDDOWN(MAX(AD1137*配置与结果!$B$31,AD1137-AE1137)*AF1137*AG1137*AH1137*AI1137*AK1137,0)</f>
        <v>0</v>
      </c>
      <c r="AN1137" s="7">
        <f t="shared" si="1546"/>
        <v>0</v>
      </c>
      <c r="AO1137" s="7">
        <f>0</f>
        <v>0</v>
      </c>
      <c r="AP1137" s="7">
        <f>MAX(0,1+INDEX(配置与结果!$J$15:$J$18,F1137)+IF(T1137&gt;0,方案参数!$BY$34,0)-配置与结果!$B$30)</f>
        <v>2</v>
      </c>
      <c r="AQ1137" s="7">
        <f t="shared" si="1547"/>
        <v>0</v>
      </c>
      <c r="AR1137" s="7">
        <f t="shared" si="1548"/>
        <v>0</v>
      </c>
      <c r="AS1137" s="7">
        <f t="shared" si="1549"/>
        <v>0</v>
      </c>
      <c r="AT1137" s="7">
        <f>0</f>
        <v>0</v>
      </c>
      <c r="AU1137" s="7">
        <f t="shared" si="1550"/>
        <v>0</v>
      </c>
      <c r="AV1137" s="1">
        <f t="shared" si="1551"/>
        <v>2</v>
      </c>
      <c r="AW1137" s="1">
        <f t="shared" si="1601"/>
        <v>10</v>
      </c>
      <c r="AX1137" s="1">
        <f t="shared" si="1552"/>
        <v>2</v>
      </c>
      <c r="AY1137" s="1">
        <f t="shared" si="1595"/>
        <v>6</v>
      </c>
      <c r="AZ1137" s="1">
        <f t="shared" si="1553"/>
        <v>5</v>
      </c>
      <c r="BA1137" s="1">
        <f t="shared" ref="BA1137:BA1157" si="1609">MIN(6,Q1137+0)</f>
        <v>5</v>
      </c>
      <c r="BB1137" s="1">
        <f>MIN(30,R1137+5)</f>
        <v>10</v>
      </c>
      <c r="BC1137" s="1">
        <f t="shared" si="1602"/>
        <v>2</v>
      </c>
      <c r="BD1137" s="1">
        <f t="shared" si="1596"/>
        <v>2</v>
      </c>
      <c r="BE1137" s="1">
        <f t="shared" si="1589"/>
        <v>0</v>
      </c>
      <c r="BF1137" s="1">
        <f>MIN(4,V1137+0)</f>
        <v>2</v>
      </c>
      <c r="BG1137" s="1">
        <f t="shared" si="1606"/>
        <v>1</v>
      </c>
      <c r="BH1137" s="1">
        <f t="shared" si="1590"/>
        <v>1</v>
      </c>
      <c r="BI1137" s="1">
        <f t="shared" si="1607"/>
        <v>1</v>
      </c>
      <c r="BJ1137" s="1">
        <f t="shared" ref="BJ1137:BJ1164" si="1610">MAX(Z1137,0)</f>
        <v>1</v>
      </c>
      <c r="BK1137" s="1">
        <f t="shared" ref="BK1137:BK1164" si="1611">MAX(AA1137,0)</f>
        <v>1</v>
      </c>
      <c r="BL1137" s="1">
        <f t="shared" si="1570"/>
        <v>0</v>
      </c>
      <c r="BM1137" s="1">
        <f>MAX(AC1137,1)</f>
        <v>1</v>
      </c>
      <c r="BN1137" s="1">
        <f t="shared" si="1591"/>
        <v>1</v>
      </c>
      <c r="BO1137" s="1">
        <f t="shared" si="1592"/>
        <v>1</v>
      </c>
    </row>
    <row r="1138" spans="1:67" ht="30.95" customHeight="1">
      <c r="A1138" s="1">
        <f>31</f>
        <v>31</v>
      </c>
      <c r="B1138" s="1">
        <f>固定流程!A22</f>
        <v>17</v>
      </c>
      <c r="C1138" s="1">
        <f>34</f>
        <v>34</v>
      </c>
      <c r="D1138" s="1">
        <f>1</f>
        <v>1</v>
      </c>
      <c r="E1138" s="1">
        <f>固定流程!C22</f>
        <v>3</v>
      </c>
      <c r="F1138" s="1">
        <f>固定流程!G22</f>
        <v>2</v>
      </c>
      <c r="G1138" s="1" t="str">
        <f>固定流程!H22</f>
        <v>37_FOLLOW</v>
      </c>
      <c r="H1138" s="1">
        <f>固定流程!F22</f>
        <v>1</v>
      </c>
      <c r="I1138" s="1">
        <f>INDEX(配置与结果!$B$15:$B$18,F1138)</f>
        <v>2306</v>
      </c>
      <c r="J1138" s="1">
        <f>INDEX(配置与结果!$D$15:$D$18,F1138)</f>
        <v>0.46</v>
      </c>
      <c r="K1138" s="1">
        <f>INDEX(配置与结果!$E$15:$E$18,F1138)</f>
        <v>1.9279999999999999</v>
      </c>
      <c r="L1138" s="1">
        <f t="shared" si="1603"/>
        <v>2</v>
      </c>
      <c r="M1138" s="1">
        <f t="shared" si="1604"/>
        <v>10</v>
      </c>
      <c r="N1138" s="1">
        <f t="shared" si="1605"/>
        <v>2</v>
      </c>
      <c r="O1138" s="1">
        <f t="shared" si="1597"/>
        <v>6</v>
      </c>
      <c r="P1138" s="1">
        <f>MIN(方案参数!$AI$34,AZ1137+0+0)</f>
        <v>5</v>
      </c>
      <c r="Q1138" s="1">
        <f t="shared" si="1575"/>
        <v>5</v>
      </c>
      <c r="R1138" s="1">
        <f t="shared" si="1576"/>
        <v>10</v>
      </c>
      <c r="S1138" s="1">
        <f t="shared" si="1577"/>
        <v>2</v>
      </c>
      <c r="T1138" s="1">
        <f t="shared" ref="T1138:T1157" si="1612">BD1137+0</f>
        <v>2</v>
      </c>
      <c r="U1138" s="1">
        <f t="shared" si="1579"/>
        <v>0</v>
      </c>
      <c r="V1138" s="1">
        <f t="shared" si="1580"/>
        <v>2</v>
      </c>
      <c r="W1138" s="1">
        <f t="shared" si="1581"/>
        <v>1</v>
      </c>
      <c r="X1138" s="1">
        <f t="shared" si="1582"/>
        <v>1</v>
      </c>
      <c r="Y1138" s="1">
        <f t="shared" si="1583"/>
        <v>1</v>
      </c>
      <c r="Z1138" s="1">
        <f t="shared" si="1584"/>
        <v>1</v>
      </c>
      <c r="AA1138" s="1">
        <f t="shared" si="1608"/>
        <v>1</v>
      </c>
      <c r="AB1138" s="1">
        <f t="shared" si="1586"/>
        <v>0</v>
      </c>
      <c r="AC1138" s="1">
        <f t="shared" ref="AC1138:AC1157" si="1613">MAX(BM1137,0)</f>
        <v>1</v>
      </c>
      <c r="AD1138" s="1">
        <f>ROUNDDOWN(I1138*(1+IF(F1138=3,0.05+方案参数!$Y$34+AA1138*0.12,IF(F1138=4,方案参数!$BZ$34*方案参数!$AS$34,0)))+IF(AND(X1138=1,F1138&lt;&gt;3),方案参数!$CC$34,0)+AC1138*方案参数!$CB$34,0)</f>
        <v>3044</v>
      </c>
      <c r="AE1138" s="1">
        <f>IF(OR(F1138=1,F1138=4),配置与结果!$B$24,配置与结果!$B$25)*MAX(0,1-INDEX(配置与结果!$I$15:$I$18,F1138))</f>
        <v>1000</v>
      </c>
      <c r="AF1138" s="1">
        <f>方案参数!$BV$34</f>
        <v>3</v>
      </c>
      <c r="AG1138" s="1">
        <f>MAX(配置与结果!$B$32,1+INDEX(配置与结果!$F$15:$F$18,F1138)+0+Q1138*方案参数!$W$34+Y1138*(方案参数!$AN$34+MIN(方案参数!$AO$34,P1138*0.03))+AB1138*方案参数!$BZ$34*0.025-配置与结果!$B$28)</f>
        <v>1.0049999999999999</v>
      </c>
      <c r="AH1138" s="1">
        <f>MAX(0,1+INDEX(配置与结果!$G$15:$G$18,F1138)+W1138*方案参数!$AG$34)</f>
        <v>1.3</v>
      </c>
      <c r="AI1138" s="1">
        <f>IF(OR(INDEX(配置与结果!$K$15:$K$18,F1138)=1,G1138="RHI_BERRY"),1+配置与结果!$B$33+P1138*方案参数!$AH$34,1)</f>
        <v>1</v>
      </c>
      <c r="AJ1138" s="1">
        <f>MIN(1,MAX(0,J1138+方案参数!$AB$34-配置与结果!$B$27))</f>
        <v>0.76</v>
      </c>
      <c r="AK1138" s="1">
        <f>MAX(1,K1138+IF(F1138=2,0.15+方案参数!$CH$34,0)+BN1138*方案参数!$X$34+R1138*方案参数!$AA$34+0-配置与结果!$B$26+Z1138*(方案参数!$AP$34+MIN(方案参数!$AQ$34,P1138*0.03)))</f>
        <v>2.298</v>
      </c>
      <c r="AL1138" s="7">
        <f>ROUNDDOWN(MAX(AD1138*配置与结果!$B$31,AD1138-AE1138)*AF1138*AG1138*AH1138*AI1138,0)</f>
        <v>8011</v>
      </c>
      <c r="AM1138" s="7">
        <f>ROUNDDOWN(MAX(AD1138*配置与结果!$B$31,AD1138-AE1138)*AF1138*AG1138*AH1138*AI1138*AK1138,0)</f>
        <v>18410</v>
      </c>
      <c r="AN1138" s="7">
        <f t="shared" si="1546"/>
        <v>15914.24</v>
      </c>
      <c r="AO1138" s="7">
        <f>方案参数!$BW$34</f>
        <v>1</v>
      </c>
      <c r="AP1138" s="7">
        <f>MAX(0,1+INDEX(配置与结果!$J$15:$J$18,F1138)+IF(T1138&gt;0,方案参数!$BY$34,0)-配置与结果!$B$30)</f>
        <v>2</v>
      </c>
      <c r="AQ1138" s="7">
        <f t="shared" si="1547"/>
        <v>6088</v>
      </c>
      <c r="AR1138" s="7">
        <f t="shared" si="1548"/>
        <v>13990</v>
      </c>
      <c r="AS1138" s="7">
        <f t="shared" si="1549"/>
        <v>12093.52</v>
      </c>
      <c r="AT1138" s="7">
        <f>0</f>
        <v>0</v>
      </c>
      <c r="AU1138" s="7">
        <f t="shared" si="1550"/>
        <v>28007.760000000002</v>
      </c>
      <c r="AV1138" s="1">
        <f t="shared" si="1551"/>
        <v>2</v>
      </c>
      <c r="AW1138" s="1">
        <f t="shared" si="1601"/>
        <v>10</v>
      </c>
      <c r="AX1138" s="1">
        <f t="shared" si="1552"/>
        <v>2</v>
      </c>
      <c r="AY1138" s="1">
        <f t="shared" si="1595"/>
        <v>6</v>
      </c>
      <c r="AZ1138" s="1">
        <f t="shared" si="1553"/>
        <v>5</v>
      </c>
      <c r="BA1138" s="1">
        <f t="shared" si="1609"/>
        <v>5</v>
      </c>
      <c r="BB1138" s="1">
        <f>MIN(30,R1138+0)</f>
        <v>10</v>
      </c>
      <c r="BC1138" s="1">
        <f t="shared" si="1602"/>
        <v>2</v>
      </c>
      <c r="BD1138" s="1">
        <f t="shared" si="1596"/>
        <v>1</v>
      </c>
      <c r="BE1138" s="1">
        <f t="shared" si="1589"/>
        <v>0</v>
      </c>
      <c r="BF1138" s="1">
        <f>MIN(4,V1138+1)</f>
        <v>3</v>
      </c>
      <c r="BG1138" s="1">
        <f t="shared" si="1606"/>
        <v>1</v>
      </c>
      <c r="BH1138" s="1">
        <f t="shared" si="1590"/>
        <v>1</v>
      </c>
      <c r="BI1138" s="1">
        <f t="shared" si="1607"/>
        <v>1</v>
      </c>
      <c r="BJ1138" s="1">
        <f t="shared" si="1610"/>
        <v>1</v>
      </c>
      <c r="BK1138" s="1">
        <f t="shared" si="1611"/>
        <v>1</v>
      </c>
      <c r="BL1138" s="1">
        <f t="shared" si="1570"/>
        <v>0</v>
      </c>
      <c r="BM1138" s="1">
        <f t="shared" ref="BM1138:BM1172" si="1614">MAX(AC1138,0)</f>
        <v>1</v>
      </c>
      <c r="BN1138" s="1">
        <f t="shared" si="1591"/>
        <v>1</v>
      </c>
      <c r="BO1138" s="1">
        <f t="shared" si="1592"/>
        <v>1</v>
      </c>
    </row>
    <row r="1139" spans="1:67" ht="30.95" customHeight="1">
      <c r="A1139" s="1">
        <f>31</f>
        <v>31</v>
      </c>
      <c r="B1139" s="1">
        <f>固定流程!A23</f>
        <v>18</v>
      </c>
      <c r="C1139" s="1">
        <f>34</f>
        <v>34</v>
      </c>
      <c r="D1139" s="1">
        <f>1</f>
        <v>1</v>
      </c>
      <c r="E1139" s="1">
        <f>固定流程!C23</f>
        <v>3</v>
      </c>
      <c r="F1139" s="1">
        <f>固定流程!G23</f>
        <v>4</v>
      </c>
      <c r="G1139" s="1" t="str">
        <f>固定流程!H23</f>
        <v>J_HARD</v>
      </c>
      <c r="H1139" s="1">
        <f>固定流程!F23</f>
        <v>1</v>
      </c>
      <c r="I1139" s="1">
        <f>INDEX(配置与结果!$B$15:$B$18,F1139)</f>
        <v>1906</v>
      </c>
      <c r="J1139" s="1">
        <f>INDEX(配置与结果!$D$15:$D$18,F1139)</f>
        <v>0.36699999999999999</v>
      </c>
      <c r="K1139" s="1">
        <f>INDEX(配置与结果!$E$15:$E$18,F1139)</f>
        <v>1.7170000000000001</v>
      </c>
      <c r="L1139" s="1">
        <f t="shared" si="1603"/>
        <v>2</v>
      </c>
      <c r="M1139" s="1">
        <f t="shared" si="1604"/>
        <v>10</v>
      </c>
      <c r="N1139" s="1">
        <f t="shared" si="1605"/>
        <v>2</v>
      </c>
      <c r="O1139" s="1">
        <f t="shared" si="1597"/>
        <v>6</v>
      </c>
      <c r="P1139" s="1">
        <f>MIN(方案参数!$AI$34,AZ1138+0+0)</f>
        <v>5</v>
      </c>
      <c r="Q1139" s="1">
        <f t="shared" si="1575"/>
        <v>5</v>
      </c>
      <c r="R1139" s="1">
        <f t="shared" si="1576"/>
        <v>10</v>
      </c>
      <c r="S1139" s="1">
        <f t="shared" si="1577"/>
        <v>2</v>
      </c>
      <c r="T1139" s="1">
        <f t="shared" si="1612"/>
        <v>1</v>
      </c>
      <c r="U1139" s="1">
        <f t="shared" si="1579"/>
        <v>0</v>
      </c>
      <c r="V1139" s="1">
        <f t="shared" si="1580"/>
        <v>3</v>
      </c>
      <c r="W1139" s="1">
        <f t="shared" si="1581"/>
        <v>1</v>
      </c>
      <c r="X1139" s="1">
        <f t="shared" si="1582"/>
        <v>1</v>
      </c>
      <c r="Y1139" s="1">
        <f t="shared" si="1583"/>
        <v>1</v>
      </c>
      <c r="Z1139" s="1">
        <f t="shared" si="1584"/>
        <v>1</v>
      </c>
      <c r="AA1139" s="1">
        <f t="shared" si="1608"/>
        <v>1</v>
      </c>
      <c r="AB1139" s="1">
        <f t="shared" si="1586"/>
        <v>0</v>
      </c>
      <c r="AC1139" s="1">
        <f t="shared" si="1613"/>
        <v>1</v>
      </c>
      <c r="AD1139" s="1">
        <f>ROUNDDOWN(I1139*(1+IF(F1139=3,0.05+方案参数!$Y$34+AA1139*0.12,IF(F1139=4,方案参数!$BZ$34*方案参数!$AS$34,0)))+IF(AND(X1139=1,F1139&lt;&gt;3),方案参数!$CC$34,0)+AC1139*方案参数!$CB$34,0)</f>
        <v>3311</v>
      </c>
      <c r="AE1139" s="1">
        <f>IF(OR(F1139=1,F1139=4),配置与结果!$B$24,配置与结果!$B$25)*MAX(0,1-INDEX(配置与结果!$I$15:$I$18,F1139))</f>
        <v>1200</v>
      </c>
      <c r="AF1139" s="1">
        <f>3.6*IF(H1139=1,1,IF(H1139=2,1.5,2.5))</f>
        <v>3.6</v>
      </c>
      <c r="AG1139" s="1">
        <f>MAX(配置与结果!$B$32,1+INDEX(配置与结果!$F$15:$F$18,F1139)+0.08+Q1139*方案参数!$W$34+Y1139*(方案参数!$AN$34+MIN(方案参数!$AO$34,P1139*0.03))+AB1139*方案参数!$BZ$34*0.025+0.1+IF(方案参数!$BZ$34&gt;=30,方案参数!$BZ$34*0.01,0)-配置与结果!$B$28)</f>
        <v>1.5550000000000002</v>
      </c>
      <c r="AH1139" s="1">
        <f>MAX(0,1+INDEX(配置与结果!$G$15:$G$18,F1139)+W1139*方案参数!$AG$34)</f>
        <v>1.3</v>
      </c>
      <c r="AI1139" s="1">
        <f>IF(OR(INDEX(配置与结果!$K$15:$K$18,F1139)=1,G1139="RHI_BERRY"),1+配置与结果!$B$33+P1139*方案参数!$AH$34,1)</f>
        <v>1</v>
      </c>
      <c r="AJ1139" s="1">
        <f>MIN(1,MAX(0,J1139+方案参数!$AB$34-配置与结果!$B$27))</f>
        <v>0.66700000000000004</v>
      </c>
      <c r="AK1139" s="1">
        <f>MAX(1,K1139+IF(F1139=2,0.15+方案参数!$CH$34,0)+BN1139*方案参数!$X$34+R1139*方案参数!$AA$34+0-配置与结果!$B$26+Z1139*(方案参数!$AP$34+MIN(方案参数!$AQ$34,P1139*0.03)))</f>
        <v>1.8169999999999999</v>
      </c>
      <c r="AL1139" s="7">
        <f>ROUNDDOWN(MAX(AD1139*配置与结果!$B$31,AD1139-AE1139)*AF1139*AG1139*AH1139*AI1139,0)</f>
        <v>15362</v>
      </c>
      <c r="AM1139" s="7">
        <f>ROUNDDOWN(MAX(AD1139*配置与结果!$B$31,AD1139-AE1139)*AF1139*AG1139*AH1139*AI1139*AK1139,0)</f>
        <v>27913</v>
      </c>
      <c r="AN1139" s="7">
        <f t="shared" si="1546"/>
        <v>23733.517</v>
      </c>
      <c r="AO1139" s="7">
        <f>0</f>
        <v>0</v>
      </c>
      <c r="AP1139" s="7">
        <f>MAX(0,1+INDEX(配置与结果!$J$15:$J$18,F1139)+IF(T1139&gt;0,方案参数!$BY$34,0)-配置与结果!$B$30)</f>
        <v>2</v>
      </c>
      <c r="AQ1139" s="7">
        <f t="shared" si="1547"/>
        <v>0</v>
      </c>
      <c r="AR1139" s="7">
        <f t="shared" si="1548"/>
        <v>0</v>
      </c>
      <c r="AS1139" s="7">
        <f t="shared" si="1549"/>
        <v>0</v>
      </c>
      <c r="AT1139" s="7">
        <f>0</f>
        <v>0</v>
      </c>
      <c r="AU1139" s="7">
        <f t="shared" si="1550"/>
        <v>23733.517</v>
      </c>
      <c r="AV1139" s="1">
        <f t="shared" si="1551"/>
        <v>2</v>
      </c>
      <c r="AW1139" s="1">
        <f t="shared" si="1601"/>
        <v>10</v>
      </c>
      <c r="AX1139" s="1">
        <f t="shared" si="1552"/>
        <v>2</v>
      </c>
      <c r="AY1139" s="1">
        <f t="shared" si="1595"/>
        <v>6</v>
      </c>
      <c r="AZ1139" s="1">
        <f t="shared" si="1553"/>
        <v>5</v>
      </c>
      <c r="BA1139" s="1">
        <f t="shared" si="1609"/>
        <v>5</v>
      </c>
      <c r="BB1139" s="1">
        <f>MIN(30,R1139+0)</f>
        <v>10</v>
      </c>
      <c r="BC1139" s="1">
        <f>MIN(3,S1139+1)</f>
        <v>3</v>
      </c>
      <c r="BD1139" s="1">
        <f t="shared" si="1596"/>
        <v>1</v>
      </c>
      <c r="BE1139" s="1">
        <f t="shared" si="1589"/>
        <v>0</v>
      </c>
      <c r="BF1139" s="1">
        <f>MIN(4,V1139+0)</f>
        <v>3</v>
      </c>
      <c r="BG1139" s="1">
        <f t="shared" si="1606"/>
        <v>1</v>
      </c>
      <c r="BH1139" s="1">
        <f t="shared" si="1590"/>
        <v>1</v>
      </c>
      <c r="BI1139" s="1">
        <f t="shared" si="1607"/>
        <v>1</v>
      </c>
      <c r="BJ1139" s="1">
        <f t="shared" si="1610"/>
        <v>1</v>
      </c>
      <c r="BK1139" s="1">
        <f t="shared" si="1611"/>
        <v>1</v>
      </c>
      <c r="BL1139" s="1">
        <f t="shared" si="1570"/>
        <v>0</v>
      </c>
      <c r="BM1139" s="1">
        <f t="shared" si="1614"/>
        <v>1</v>
      </c>
      <c r="BN1139" s="1">
        <f t="shared" si="1591"/>
        <v>1</v>
      </c>
      <c r="BO1139" s="1">
        <f t="shared" si="1592"/>
        <v>1</v>
      </c>
    </row>
    <row r="1140" spans="1:67" ht="30.95" customHeight="1">
      <c r="A1140" s="1">
        <f>31</f>
        <v>31</v>
      </c>
      <c r="B1140" s="1">
        <f>固定流程!A24</f>
        <v>19</v>
      </c>
      <c r="C1140" s="1">
        <f>34</f>
        <v>34</v>
      </c>
      <c r="D1140" s="1">
        <f>1</f>
        <v>1</v>
      </c>
      <c r="E1140" s="1">
        <f>固定流程!C24</f>
        <v>3</v>
      </c>
      <c r="F1140" s="1">
        <f>固定流程!G24</f>
        <v>4</v>
      </c>
      <c r="G1140" s="1" t="str">
        <f>固定流程!H24</f>
        <v>J_ULT</v>
      </c>
      <c r="H1140" s="1">
        <f>固定流程!F24</f>
        <v>1</v>
      </c>
      <c r="I1140" s="1">
        <f>INDEX(配置与结果!$B$15:$B$18,F1140)</f>
        <v>1906</v>
      </c>
      <c r="J1140" s="1">
        <f>INDEX(配置与结果!$D$15:$D$18,F1140)</f>
        <v>0.36699999999999999</v>
      </c>
      <c r="K1140" s="1">
        <f>INDEX(配置与结果!$E$15:$E$18,F1140)</f>
        <v>1.7170000000000001</v>
      </c>
      <c r="L1140" s="1">
        <f t="shared" si="1603"/>
        <v>2</v>
      </c>
      <c r="M1140" s="1">
        <f t="shared" si="1604"/>
        <v>10</v>
      </c>
      <c r="N1140" s="1">
        <f t="shared" si="1605"/>
        <v>2</v>
      </c>
      <c r="O1140" s="1">
        <f t="shared" si="1597"/>
        <v>6</v>
      </c>
      <c r="P1140" s="1">
        <f>MIN(方案参数!$AI$34,AZ1139+0+0)</f>
        <v>5</v>
      </c>
      <c r="Q1140" s="1">
        <f t="shared" si="1575"/>
        <v>5</v>
      </c>
      <c r="R1140" s="1">
        <f t="shared" si="1576"/>
        <v>10</v>
      </c>
      <c r="S1140" s="1">
        <f t="shared" si="1577"/>
        <v>3</v>
      </c>
      <c r="T1140" s="1">
        <f t="shared" si="1612"/>
        <v>1</v>
      </c>
      <c r="U1140" s="1">
        <f t="shared" si="1579"/>
        <v>0</v>
      </c>
      <c r="V1140" s="1">
        <f t="shared" si="1580"/>
        <v>3</v>
      </c>
      <c r="W1140" s="1">
        <f t="shared" si="1581"/>
        <v>1</v>
      </c>
      <c r="X1140" s="1">
        <f t="shared" si="1582"/>
        <v>1</v>
      </c>
      <c r="Y1140" s="1">
        <f t="shared" si="1583"/>
        <v>1</v>
      </c>
      <c r="Z1140" s="1">
        <f t="shared" si="1584"/>
        <v>1</v>
      </c>
      <c r="AA1140" s="1">
        <f t="shared" si="1608"/>
        <v>1</v>
      </c>
      <c r="AB1140" s="1">
        <f t="shared" si="1586"/>
        <v>0</v>
      </c>
      <c r="AC1140" s="1">
        <f t="shared" si="1613"/>
        <v>1</v>
      </c>
      <c r="AD1140" s="1">
        <f>ROUNDDOWN(I1140*(1+IF(F1140=3,0.05+方案参数!$Y$34+AA1140*0.12,IF(F1140=4,方案参数!$BZ$34*方案参数!$AS$34,0)))+IF(AND(X1140=1,F1140&lt;&gt;3),方案参数!$CC$34,0)+AC1140*方案参数!$CB$34,0)</f>
        <v>3311</v>
      </c>
      <c r="AE1140" s="1">
        <f>IF(OR(F1140=1,F1140=4),配置与结果!$B$24,配置与结果!$B$25)*MAX(0,1-INDEX(配置与结果!$I$15:$I$18,F1140))</f>
        <v>1200</v>
      </c>
      <c r="AF1140" s="1">
        <f>方案参数!$AT$34+MAX(0,配置与结果!$H$26+方案参数!$BZ$34-30)*方案参数!$AU$34*配置与结果!$H$27</f>
        <v>42</v>
      </c>
      <c r="AG1140" s="1">
        <f>MAX(配置与结果!$B$32,1+INDEX(配置与结果!$F$15:$F$18,F1140)+0.08+Q1140*方案参数!$W$34+Y1140*(方案参数!$AN$34+MIN(方案参数!$AO$34,P1140*0.03))+AB1140*方案参数!$BZ$34*0.025-配置与结果!$B$28)</f>
        <v>1.105</v>
      </c>
      <c r="AH1140" s="1">
        <f>MAX(0,1+INDEX(配置与结果!$H$15:$H$18,F1140)+W1140*方案参数!$AG$34+S1140*方案参数!$Z$34)</f>
        <v>1.42</v>
      </c>
      <c r="AI1140" s="1">
        <f>IF(OR(INDEX(配置与结果!$K$15:$K$18,F1140)=1,G1140="RHI_BERRY"),1+配置与结果!$B$33+P1140*方案参数!$AH$34,1)</f>
        <v>1</v>
      </c>
      <c r="AJ1140" s="1">
        <f>MIN(1,MAX(0,J1140+方案参数!$AB$34-配置与结果!$B$27))</f>
        <v>0.66700000000000004</v>
      </c>
      <c r="AK1140" s="1">
        <f>MAX(1,K1140+IF(F1140=2,0.15+方案参数!$CH$34,0)+BN1140*方案参数!$X$34+R1140*方案参数!$AA$34+0-配置与结果!$B$26+Z1140*(方案参数!$AP$34+MIN(方案参数!$AQ$34,P1140*0.03)))</f>
        <v>1.8169999999999999</v>
      </c>
      <c r="AL1140" s="7">
        <f>ROUNDDOWN(MAX(AD1140*配置与结果!$B$31,AD1140-AE1140)*AF1140*AG1140*AH1140*AI1140,0)</f>
        <v>139119</v>
      </c>
      <c r="AM1140" s="7">
        <f>ROUNDDOWN(MAX(AD1140*配置与结果!$B$31,AD1140-AE1140)*AF1140*AG1140*AH1140*AI1140*AK1140,0)</f>
        <v>252780</v>
      </c>
      <c r="AN1140" s="7">
        <f t="shared" si="1546"/>
        <v>214930.88699999999</v>
      </c>
      <c r="AO1140" s="7">
        <f>0</f>
        <v>0</v>
      </c>
      <c r="AP1140" s="7">
        <f>MAX(0,1+INDEX(配置与结果!$J$15:$J$18,F1140)+IF(T1140&gt;0,方案参数!$BY$34,0)-配置与结果!$B$30)</f>
        <v>2</v>
      </c>
      <c r="AQ1140" s="7">
        <f t="shared" si="1547"/>
        <v>0</v>
      </c>
      <c r="AR1140" s="7">
        <f t="shared" si="1548"/>
        <v>0</v>
      </c>
      <c r="AS1140" s="7">
        <f t="shared" si="1549"/>
        <v>0</v>
      </c>
      <c r="AT1140" s="7">
        <f>0</f>
        <v>0</v>
      </c>
      <c r="AU1140" s="7">
        <f t="shared" si="1550"/>
        <v>214930.88699999999</v>
      </c>
      <c r="AV1140" s="1">
        <f t="shared" si="1551"/>
        <v>2</v>
      </c>
      <c r="AW1140" s="1">
        <f t="shared" si="1601"/>
        <v>10</v>
      </c>
      <c r="AX1140" s="1">
        <f t="shared" si="1552"/>
        <v>2</v>
      </c>
      <c r="AY1140" s="1">
        <f t="shared" si="1595"/>
        <v>6</v>
      </c>
      <c r="AZ1140" s="1">
        <f t="shared" si="1553"/>
        <v>5</v>
      </c>
      <c r="BA1140" s="1">
        <f t="shared" si="1609"/>
        <v>5</v>
      </c>
      <c r="BB1140" s="1">
        <f>MIN(30,R1140+5)</f>
        <v>15</v>
      </c>
      <c r="BC1140" s="1">
        <f t="shared" ref="BC1140:BC1163" si="1615">MIN(3,S1140+0)</f>
        <v>3</v>
      </c>
      <c r="BD1140" s="1">
        <f t="shared" si="1596"/>
        <v>1</v>
      </c>
      <c r="BE1140" s="1">
        <f t="shared" si="1589"/>
        <v>0</v>
      </c>
      <c r="BF1140" s="1">
        <f>MIN(4,V1140+0)</f>
        <v>3</v>
      </c>
      <c r="BG1140" s="1">
        <f t="shared" si="1606"/>
        <v>1</v>
      </c>
      <c r="BH1140" s="1">
        <f t="shared" si="1590"/>
        <v>1</v>
      </c>
      <c r="BI1140" s="1">
        <f t="shared" si="1607"/>
        <v>1</v>
      </c>
      <c r="BJ1140" s="1">
        <f t="shared" si="1610"/>
        <v>1</v>
      </c>
      <c r="BK1140" s="1">
        <f t="shared" si="1611"/>
        <v>1</v>
      </c>
      <c r="BL1140" s="1">
        <f>MAX(AB1140,1)</f>
        <v>1</v>
      </c>
      <c r="BM1140" s="1">
        <f t="shared" si="1614"/>
        <v>1</v>
      </c>
      <c r="BN1140" s="1">
        <f t="shared" si="1591"/>
        <v>1</v>
      </c>
      <c r="BO1140" s="1">
        <f t="shared" si="1592"/>
        <v>1</v>
      </c>
    </row>
    <row r="1141" spans="1:67" ht="30.95" customHeight="1">
      <c r="A1141" s="1">
        <f>31</f>
        <v>31</v>
      </c>
      <c r="B1141" s="1">
        <f>固定流程!A25</f>
        <v>20</v>
      </c>
      <c r="C1141" s="1">
        <f>34</f>
        <v>34</v>
      </c>
      <c r="D1141" s="1">
        <f>1</f>
        <v>1</v>
      </c>
      <c r="E1141" s="1">
        <f>固定流程!C25</f>
        <v>3</v>
      </c>
      <c r="F1141" s="1">
        <f>固定流程!G25</f>
        <v>1</v>
      </c>
      <c r="G1141" s="1" t="str">
        <f>固定流程!H25</f>
        <v>LILYA_ULT</v>
      </c>
      <c r="H1141" s="1">
        <f>固定流程!F25</f>
        <v>1</v>
      </c>
      <c r="I1141" s="1">
        <f>INDEX(配置与结果!$B$15:$B$18,F1141)</f>
        <v>2296</v>
      </c>
      <c r="J1141" s="1">
        <f>INDEX(配置与结果!$D$15:$D$18,F1141)</f>
        <v>0.7</v>
      </c>
      <c r="K1141" s="1">
        <f>INDEX(配置与结果!$E$15:$E$18,F1141)</f>
        <v>2.0249999999999999</v>
      </c>
      <c r="L1141" s="1">
        <f t="shared" si="1603"/>
        <v>2</v>
      </c>
      <c r="M1141" s="1">
        <f t="shared" si="1604"/>
        <v>10</v>
      </c>
      <c r="N1141" s="1">
        <f t="shared" si="1605"/>
        <v>2</v>
      </c>
      <c r="O1141" s="1">
        <f t="shared" si="1597"/>
        <v>6</v>
      </c>
      <c r="P1141" s="1">
        <f>MIN(方案参数!$AI$34,AZ1140+0+0)</f>
        <v>5</v>
      </c>
      <c r="Q1141" s="1">
        <f t="shared" si="1575"/>
        <v>5</v>
      </c>
      <c r="R1141" s="1">
        <f t="shared" si="1576"/>
        <v>15</v>
      </c>
      <c r="S1141" s="1">
        <f t="shared" si="1577"/>
        <v>3</v>
      </c>
      <c r="T1141" s="1">
        <f t="shared" si="1612"/>
        <v>1</v>
      </c>
      <c r="U1141" s="1">
        <f t="shared" si="1579"/>
        <v>0</v>
      </c>
      <c r="V1141" s="1">
        <f t="shared" si="1580"/>
        <v>3</v>
      </c>
      <c r="W1141" s="1">
        <f t="shared" si="1581"/>
        <v>1</v>
      </c>
      <c r="X1141" s="1">
        <f t="shared" si="1582"/>
        <v>1</v>
      </c>
      <c r="Y1141" s="1">
        <f t="shared" si="1583"/>
        <v>1</v>
      </c>
      <c r="Z1141" s="1">
        <f t="shared" si="1584"/>
        <v>1</v>
      </c>
      <c r="AA1141" s="1">
        <f t="shared" si="1608"/>
        <v>1</v>
      </c>
      <c r="AB1141" s="1">
        <f t="shared" si="1586"/>
        <v>1</v>
      </c>
      <c r="AC1141" s="1">
        <f t="shared" si="1613"/>
        <v>1</v>
      </c>
      <c r="AD1141" s="1">
        <f>ROUNDDOWN(I1141*(1+IF(F1141=3,0.05+方案参数!$Y$34+AA1141*0.12,IF(F1141=4,方案参数!$BZ$34*方案参数!$AS$34,0)))+IF(AND(X1141=1,F1141&lt;&gt;3),方案参数!$CC$34,0)+AC1141*方案参数!$CB$34,0)</f>
        <v>3034</v>
      </c>
      <c r="AE1141" s="1">
        <f>IF(OR(F1141=1,F1141=4),配置与结果!$B$24,配置与结果!$B$25)*MAX(0,1-INDEX(配置与结果!$I$15:$I$18,F1141)+IF(O1141&gt;=6,方案参数!$BK$34,0))</f>
        <v>1440</v>
      </c>
      <c r="AF1141" s="1">
        <f>方案参数!$BG$34+IF(O1141&gt;=6,方案参数!$BH$34,0)</f>
        <v>36</v>
      </c>
      <c r="AG1141" s="1">
        <f>MAX(配置与结果!$B$32,1+INDEX(配置与结果!$F$15:$F$18,F1141)+0.08+方案参数!$CD$34+Q1141*方案参数!$W$34+Y1141*(方案参数!$AN$34+MIN(方案参数!$AO$34,P1141*0.03))+AB1141*方案参数!$BZ$34*0.025-配置与结果!$B$28)</f>
        <v>2.2150000000000003</v>
      </c>
      <c r="AH1141" s="1">
        <f>MAX(0,1+INDEX(配置与结果!$H$15:$H$18,F1141)+W1141*方案参数!$AG$34+O1141*方案参数!$BF$34+IF(O1141&gt;=6,方案参数!$BI$34,0))</f>
        <v>2.4500000000000002</v>
      </c>
      <c r="AI1141" s="1">
        <f>IF(OR(INDEX(配置与结果!$K$15:$K$18,F1141)=1,G1141="RHI_BERRY"),1+配置与结果!$B$33+P1141*方案参数!$AH$34,1)</f>
        <v>1</v>
      </c>
      <c r="AJ1141" s="1">
        <f>MIN(1,MAX(0,J1141+方案参数!$AB$34-配置与结果!$B$27))</f>
        <v>1</v>
      </c>
      <c r="AK1141" s="1">
        <f>MAX(1,K1141+IF(F1141=2,0.15+方案参数!$CH$34,0)+BN1141*方案参数!$X$34+R1141*方案参数!$AA$34+IF(O1141&gt;=6,方案参数!$BJ$34,0)-配置与结果!$B$26+Z1141*(方案参数!$AP$34+MIN(方案参数!$AQ$34,P1141*0.03)))</f>
        <v>3.145</v>
      </c>
      <c r="AL1141" s="7">
        <f>ROUNDDOWN(MAX(AD1141*配置与结果!$B$31,AD1141-AE1141)*AF1141*AG1141*AH1141*AI1141,0)</f>
        <v>311408</v>
      </c>
      <c r="AM1141" s="7">
        <f>ROUNDDOWN(MAX(AD1141*配置与结果!$B$31,AD1141-AE1141)*AF1141*AG1141*AH1141*AI1141*AK1141,0)</f>
        <v>979380</v>
      </c>
      <c r="AN1141" s="7">
        <f t="shared" si="1546"/>
        <v>979380</v>
      </c>
      <c r="AO1141" s="7">
        <f>0</f>
        <v>0</v>
      </c>
      <c r="AP1141" s="7">
        <f>MAX(0,1+INDEX(配置与结果!$J$15:$J$18,F1141)+IF(T1141&gt;0,方案参数!$BY$34,0)-配置与结果!$B$30)</f>
        <v>2</v>
      </c>
      <c r="AQ1141" s="7">
        <f t="shared" si="1547"/>
        <v>0</v>
      </c>
      <c r="AR1141" s="7">
        <f t="shared" si="1548"/>
        <v>0</v>
      </c>
      <c r="AS1141" s="7">
        <f t="shared" si="1549"/>
        <v>0</v>
      </c>
      <c r="AT1141" s="7">
        <f>0</f>
        <v>0</v>
      </c>
      <c r="AU1141" s="7">
        <f t="shared" si="1550"/>
        <v>979380</v>
      </c>
      <c r="AV1141" s="1">
        <f t="shared" si="1551"/>
        <v>2</v>
      </c>
      <c r="AW1141" s="1">
        <f t="shared" si="1601"/>
        <v>10</v>
      </c>
      <c r="AX1141" s="1">
        <f t="shared" si="1552"/>
        <v>2</v>
      </c>
      <c r="AY1141" s="1">
        <f>MIN(20,MAX(0,O1141+0+0-IF(O1141&gt;=6,6,0)))</f>
        <v>0</v>
      </c>
      <c r="AZ1141" s="1">
        <f t="shared" si="1553"/>
        <v>5</v>
      </c>
      <c r="BA1141" s="1">
        <f t="shared" si="1609"/>
        <v>5</v>
      </c>
      <c r="BB1141" s="1">
        <f>MIN(30,R1141+5)</f>
        <v>20</v>
      </c>
      <c r="BC1141" s="1">
        <f t="shared" si="1615"/>
        <v>3</v>
      </c>
      <c r="BD1141" s="1">
        <f t="shared" si="1596"/>
        <v>1</v>
      </c>
      <c r="BE1141" s="1">
        <f t="shared" si="1589"/>
        <v>0</v>
      </c>
      <c r="BF1141" s="1">
        <f>MIN(4,V1141+0)</f>
        <v>3</v>
      </c>
      <c r="BG1141" s="1">
        <f t="shared" si="1606"/>
        <v>1</v>
      </c>
      <c r="BH1141" s="1">
        <f t="shared" si="1590"/>
        <v>1</v>
      </c>
      <c r="BI1141" s="1">
        <f t="shared" si="1607"/>
        <v>1</v>
      </c>
      <c r="BJ1141" s="1">
        <f t="shared" si="1610"/>
        <v>1</v>
      </c>
      <c r="BK1141" s="1">
        <f t="shared" si="1611"/>
        <v>1</v>
      </c>
      <c r="BL1141" s="1">
        <f t="shared" ref="BL1141:BL1175" si="1616">MAX(AB1141,0)</f>
        <v>1</v>
      </c>
      <c r="BM1141" s="1">
        <f t="shared" si="1614"/>
        <v>1</v>
      </c>
      <c r="BN1141" s="1">
        <f t="shared" si="1591"/>
        <v>1</v>
      </c>
      <c r="BO1141" s="1">
        <f t="shared" si="1592"/>
        <v>1</v>
      </c>
    </row>
    <row r="1142" spans="1:67" ht="30.95" customHeight="1">
      <c r="A1142" s="1">
        <f>31</f>
        <v>31</v>
      </c>
      <c r="B1142" s="1">
        <f>固定流程!A26</f>
        <v>21</v>
      </c>
      <c r="C1142" s="1">
        <f>34</f>
        <v>34</v>
      </c>
      <c r="D1142" s="1">
        <f>1</f>
        <v>1</v>
      </c>
      <c r="E1142" s="1">
        <f>固定流程!C26</f>
        <v>3</v>
      </c>
      <c r="F1142" s="1">
        <f>固定流程!G26</f>
        <v>1</v>
      </c>
      <c r="G1142" s="1" t="str">
        <f>固定流程!H26</f>
        <v>LILYA_DIVE</v>
      </c>
      <c r="H1142" s="1">
        <f>固定流程!F26</f>
        <v>3</v>
      </c>
      <c r="I1142" s="1">
        <f>INDEX(配置与结果!$B$15:$B$18,F1142)</f>
        <v>2296</v>
      </c>
      <c r="J1142" s="1">
        <f>INDEX(配置与结果!$D$15:$D$18,F1142)</f>
        <v>0.7</v>
      </c>
      <c r="K1142" s="1">
        <f>INDEX(配置与结果!$E$15:$E$18,F1142)</f>
        <v>2.0249999999999999</v>
      </c>
      <c r="L1142" s="1">
        <f t="shared" si="1603"/>
        <v>2</v>
      </c>
      <c r="M1142" s="1">
        <f t="shared" si="1604"/>
        <v>10</v>
      </c>
      <c r="N1142" s="1">
        <f t="shared" si="1605"/>
        <v>2</v>
      </c>
      <c r="O1142" s="1">
        <f t="shared" si="1597"/>
        <v>0</v>
      </c>
      <c r="P1142" s="1">
        <f>MIN(方案参数!$AI$34,AZ1141+0+0)</f>
        <v>5</v>
      </c>
      <c r="Q1142" s="1">
        <f t="shared" si="1575"/>
        <v>5</v>
      </c>
      <c r="R1142" s="1">
        <f t="shared" si="1576"/>
        <v>20</v>
      </c>
      <c r="S1142" s="1">
        <f t="shared" si="1577"/>
        <v>3</v>
      </c>
      <c r="T1142" s="1">
        <f t="shared" si="1612"/>
        <v>1</v>
      </c>
      <c r="U1142" s="1">
        <f t="shared" si="1579"/>
        <v>0</v>
      </c>
      <c r="V1142" s="1">
        <f t="shared" si="1580"/>
        <v>3</v>
      </c>
      <c r="W1142" s="1">
        <f t="shared" si="1581"/>
        <v>1</v>
      </c>
      <c r="X1142" s="1">
        <f t="shared" si="1582"/>
        <v>1</v>
      </c>
      <c r="Y1142" s="1">
        <f t="shared" si="1583"/>
        <v>1</v>
      </c>
      <c r="Z1142" s="1">
        <f t="shared" si="1584"/>
        <v>1</v>
      </c>
      <c r="AA1142" s="1">
        <f t="shared" si="1608"/>
        <v>1</v>
      </c>
      <c r="AB1142" s="1">
        <f t="shared" si="1586"/>
        <v>1</v>
      </c>
      <c r="AC1142" s="1">
        <f t="shared" si="1613"/>
        <v>1</v>
      </c>
      <c r="AD1142" s="1">
        <f>ROUNDDOWN(I1142*(1+IF(F1142=3,0.05+方案参数!$Y$34+AA1142*0.12,IF(F1142=4,方案参数!$BZ$34*方案参数!$AS$34,0)))+IF(AND(X1142=1,F1142&lt;&gt;3),方案参数!$CC$34,0)+AC1142*方案参数!$CB$34,0)</f>
        <v>3034</v>
      </c>
      <c r="AE1142" s="1">
        <f>IF(OR(F1142=1,F1142=4),配置与结果!$B$24,配置与结果!$B$25)*MAX(0,1-INDEX(配置与结果!$I$15:$I$18,F1142))</f>
        <v>1200</v>
      </c>
      <c r="AF1142" s="1">
        <f>(IF(L1142=1,方案参数!$AW$34,IF(L1142=2,方案参数!$AX$34,0))+方案参数!$AV$34)*H1142</f>
        <v>30</v>
      </c>
      <c r="AG1142" s="1">
        <f>MAX(配置与结果!$B$32,1+INDEX(配置与结果!$F$15:$F$18,F1142)+0.08+方案参数!$CD$34+Q1142*方案参数!$W$34+Y1142*(方案参数!$AN$34+MIN(方案参数!$AO$34,P1142*0.03))+AB1142*方案参数!$BZ$34*0.025+IF(L1142=1,方案参数!$AY$34+(H1142-1)*0.1,IF(L1142=2,方案参数!$AZ$34+(H1142-1)*0.2,0))-配置与结果!$B$28)</f>
        <v>2.8150000000000004</v>
      </c>
      <c r="AH1142" s="1">
        <f>MAX(0,1+INDEX(配置与结果!$G$15:$G$18,F1142)+W1142*方案参数!$AG$34+IF(L1142=1,方案参数!$BA$34,IF(L1142=2,方案参数!$BB$34,0))+M1142*方案参数!$BC$34)</f>
        <v>3.1</v>
      </c>
      <c r="AI1142" s="1">
        <f>IF(OR(INDEX(配置与结果!$K$15:$K$18,F1142)=1,G1142="RHI_BERRY"),1+配置与结果!$B$33+P1142*方案参数!$AH$34,1)</f>
        <v>1</v>
      </c>
      <c r="AJ1142" s="1">
        <f>MIN(1,MAX(0,J1142+方案参数!$AB$34-配置与结果!$B$27))</f>
        <v>1</v>
      </c>
      <c r="AK1142" s="1">
        <f>MAX(1,K1142+IF(F1142=2,0.15+方案参数!$CH$34,0)+BN1142*方案参数!$X$34+R1142*方案参数!$AA$34+0-配置与结果!$B$26+Z1142*(方案参数!$AP$34+MIN(方案参数!$AQ$34,P1142*0.03)))</f>
        <v>2.165</v>
      </c>
      <c r="AL1142" s="7">
        <f>ROUNDDOWN(MAX(AD1142*配置与结果!$B$31,AD1142-AE1142)*AF1142*AG1142*AH1142*AI1142,0)</f>
        <v>480132</v>
      </c>
      <c r="AM1142" s="7">
        <f>ROUNDDOWN(MAX(AD1142*配置与结果!$B$31,AD1142-AE1142)*AF1142*AG1142*AH1142*AI1142*AK1142,0)</f>
        <v>1039485</v>
      </c>
      <c r="AN1142" s="7">
        <f t="shared" si="1546"/>
        <v>1039485</v>
      </c>
      <c r="AO1142" s="7">
        <f>0</f>
        <v>0</v>
      </c>
      <c r="AP1142" s="7">
        <f>MAX(0,1+INDEX(配置与结果!$J$15:$J$18,F1142)+IF(T1142&gt;0,方案参数!$BY$34,0)-配置与结果!$B$30)</f>
        <v>2</v>
      </c>
      <c r="AQ1142" s="7">
        <f t="shared" si="1547"/>
        <v>0</v>
      </c>
      <c r="AR1142" s="7">
        <f t="shared" si="1548"/>
        <v>0</v>
      </c>
      <c r="AS1142" s="7">
        <f t="shared" si="1549"/>
        <v>0</v>
      </c>
      <c r="AT1142" s="7">
        <f>0</f>
        <v>0</v>
      </c>
      <c r="AU1142" s="7">
        <f t="shared" si="1550"/>
        <v>1039485</v>
      </c>
      <c r="AV1142" s="1">
        <f t="shared" si="1551"/>
        <v>2</v>
      </c>
      <c r="AW1142" s="1">
        <f>MIN(10,M1142+0+IF(L1142=1,方案参数!$BE$34,0))</f>
        <v>10</v>
      </c>
      <c r="AX1142" s="1">
        <f t="shared" si="1552"/>
        <v>2</v>
      </c>
      <c r="AY1142" s="1">
        <f>MIN(20,MAX(0,O1142+0+0-0))</f>
        <v>0</v>
      </c>
      <c r="AZ1142" s="1">
        <f t="shared" si="1553"/>
        <v>5</v>
      </c>
      <c r="BA1142" s="1">
        <f t="shared" si="1609"/>
        <v>5</v>
      </c>
      <c r="BB1142" s="1">
        <f t="shared" ref="BB1142:BB1157" si="1617">MIN(30,R1142+0)</f>
        <v>20</v>
      </c>
      <c r="BC1142" s="1">
        <f t="shared" si="1615"/>
        <v>3</v>
      </c>
      <c r="BD1142" s="1">
        <f t="shared" si="1596"/>
        <v>1</v>
      </c>
      <c r="BE1142" s="1">
        <f t="shared" si="1589"/>
        <v>0</v>
      </c>
      <c r="BF1142" s="1">
        <f>MIN(4,V1142+0)</f>
        <v>3</v>
      </c>
      <c r="BG1142" s="1">
        <f t="shared" si="1606"/>
        <v>1</v>
      </c>
      <c r="BH1142" s="1">
        <f t="shared" si="1590"/>
        <v>1</v>
      </c>
      <c r="BI1142" s="1">
        <f t="shared" si="1607"/>
        <v>1</v>
      </c>
      <c r="BJ1142" s="1">
        <f t="shared" si="1610"/>
        <v>1</v>
      </c>
      <c r="BK1142" s="1">
        <f t="shared" si="1611"/>
        <v>1</v>
      </c>
      <c r="BL1142" s="1">
        <f t="shared" si="1616"/>
        <v>1</v>
      </c>
      <c r="BM1142" s="1">
        <f t="shared" si="1614"/>
        <v>1</v>
      </c>
      <c r="BN1142" s="1">
        <f t="shared" si="1591"/>
        <v>1</v>
      </c>
      <c r="BO1142" s="1">
        <f t="shared" si="1592"/>
        <v>1</v>
      </c>
    </row>
    <row r="1143" spans="1:67" ht="30.95" customHeight="1">
      <c r="A1143" s="1">
        <f>31</f>
        <v>31</v>
      </c>
      <c r="B1143" s="1">
        <f>固定流程!A27</f>
        <v>22</v>
      </c>
      <c r="C1143" s="1">
        <f>34</f>
        <v>34</v>
      </c>
      <c r="D1143" s="1">
        <f>1</f>
        <v>1</v>
      </c>
      <c r="E1143" s="1">
        <f>固定流程!C27</f>
        <v>3</v>
      </c>
      <c r="F1143" s="1">
        <f>固定流程!G27</f>
        <v>3</v>
      </c>
      <c r="G1143" s="1" t="str">
        <f>固定流程!H27</f>
        <v>RHI_BERRY</v>
      </c>
      <c r="H1143" s="1">
        <f>固定流程!F27</f>
        <v>1</v>
      </c>
      <c r="I1143" s="1">
        <f>INDEX(配置与结果!$B$15:$B$18,F1143)</f>
        <v>2597</v>
      </c>
      <c r="J1143" s="1">
        <f>INDEX(配置与结果!$D$15:$D$18,F1143)</f>
        <v>0.255</v>
      </c>
      <c r="K1143" s="1">
        <f>INDEX(配置与结果!$E$15:$E$18,F1143)</f>
        <v>1.55</v>
      </c>
      <c r="L1143" s="1">
        <f t="shared" si="1603"/>
        <v>2</v>
      </c>
      <c r="M1143" s="1">
        <f t="shared" si="1604"/>
        <v>10</v>
      </c>
      <c r="N1143" s="1">
        <f t="shared" si="1605"/>
        <v>2</v>
      </c>
      <c r="O1143" s="1">
        <f t="shared" si="1597"/>
        <v>0</v>
      </c>
      <c r="P1143" s="1">
        <f>MIN(方案参数!$AI$34,AZ1142+0+0)</f>
        <v>5</v>
      </c>
      <c r="Q1143" s="1">
        <f t="shared" si="1575"/>
        <v>5</v>
      </c>
      <c r="R1143" s="1">
        <f t="shared" si="1576"/>
        <v>20</v>
      </c>
      <c r="S1143" s="1">
        <f t="shared" si="1577"/>
        <v>3</v>
      </c>
      <c r="T1143" s="1">
        <f t="shared" si="1612"/>
        <v>1</v>
      </c>
      <c r="U1143" s="1">
        <f t="shared" si="1579"/>
        <v>0</v>
      </c>
      <c r="V1143" s="1">
        <f t="shared" si="1580"/>
        <v>3</v>
      </c>
      <c r="W1143" s="1">
        <f t="shared" si="1581"/>
        <v>1</v>
      </c>
      <c r="X1143" s="1">
        <f t="shared" si="1582"/>
        <v>1</v>
      </c>
      <c r="Y1143" s="1">
        <f t="shared" si="1583"/>
        <v>1</v>
      </c>
      <c r="Z1143" s="1">
        <f t="shared" si="1584"/>
        <v>1</v>
      </c>
      <c r="AA1143" s="1">
        <f t="shared" si="1608"/>
        <v>1</v>
      </c>
      <c r="AB1143" s="1">
        <f t="shared" si="1586"/>
        <v>1</v>
      </c>
      <c r="AC1143" s="1">
        <f t="shared" si="1613"/>
        <v>1</v>
      </c>
      <c r="AD1143" s="1">
        <f>ROUNDDOWN(I1143*(1+IF(F1143=3,0.05+方案参数!$Y$34+AA1143*0.12,IF(F1143=4,方案参数!$BZ$34*方案参数!$AS$34,0)))+IF(AND(X1143=1,F1143&lt;&gt;3),方案参数!$CC$34,0)+AC1143*方案参数!$CB$34,0)</f>
        <v>3798</v>
      </c>
      <c r="AE1143" s="1">
        <f>IF(OR(F1143=1,F1143=4),配置与结果!$B$24,配置与结果!$B$25)*MAX(0,1-INDEX(配置与结果!$I$15:$I$18,F1143))</f>
        <v>1000</v>
      </c>
      <c r="AF1143" s="1">
        <f>方案参数!$CF$34+P1143*方案参数!$CG$34</f>
        <v>22.5</v>
      </c>
      <c r="AG1143" s="1">
        <f>MAX(配置与结果!$B$32,1+INDEX(配置与结果!$F$15:$F$18,F1143)+0+Q1143*方案参数!$W$34+Y1143*(方案参数!$AN$34+MIN(方案参数!$AO$34,P1143*0.03))+AB1143*方案参数!$BZ$34*0.025-配置与结果!$B$28)</f>
        <v>1.9100000000000001</v>
      </c>
      <c r="AH1143" s="1">
        <f>MAX(0,1+INDEX(配置与结果!$G$15:$G$18,F1143)+W1143*方案参数!$AG$34)</f>
        <v>1.3</v>
      </c>
      <c r="AI1143" s="1">
        <f>IF(OR(INDEX(配置与结果!$K$15:$K$18,F1143)=1,G1143="RHI_BERRY"),1+配置与结果!$B$33+P1143*方案参数!$AH$34,1)</f>
        <v>1.5</v>
      </c>
      <c r="AJ1143" s="1">
        <f>MIN(1,MAX(0,J1143+方案参数!$AB$34-配置与结果!$B$27))</f>
        <v>0.55499999999999994</v>
      </c>
      <c r="AK1143" s="1">
        <f>MAX(1,K1143+IF(F1143=2,0.15+方案参数!$CH$34,0)+BN1143*方案参数!$X$34+R1143*方案参数!$AA$34+0-配置与结果!$B$26+Z1143*(方案参数!$AP$34+MIN(方案参数!$AQ$34,P1143*0.03)))</f>
        <v>1.6900000000000002</v>
      </c>
      <c r="AL1143" s="7">
        <f>ROUNDDOWN(MAX(AD1143*配置与结果!$B$31,AD1143-AE1143)*AF1143*AG1143*AH1143*AI1143,0)</f>
        <v>234475</v>
      </c>
      <c r="AM1143" s="7">
        <f>ROUNDDOWN(MAX(AD1143*配置与结果!$B$31,AD1143-AE1143)*AF1143*AG1143*AH1143*AI1143*AK1143,0)</f>
        <v>396264</v>
      </c>
      <c r="AN1143" s="7">
        <f t="shared" si="1546"/>
        <v>324267.89500000002</v>
      </c>
      <c r="AO1143" s="7">
        <f>0</f>
        <v>0</v>
      </c>
      <c r="AP1143" s="7">
        <f>MAX(0,1+INDEX(配置与结果!$J$15:$J$18,F1143)+IF(T1143&gt;0,方案参数!$BY$34,0)-配置与结果!$B$30)</f>
        <v>2</v>
      </c>
      <c r="AQ1143" s="7">
        <f t="shared" si="1547"/>
        <v>0</v>
      </c>
      <c r="AR1143" s="7">
        <f t="shared" si="1548"/>
        <v>0</v>
      </c>
      <c r="AS1143" s="7">
        <f t="shared" si="1549"/>
        <v>0</v>
      </c>
      <c r="AT1143" s="7">
        <f>0</f>
        <v>0</v>
      </c>
      <c r="AU1143" s="7">
        <f t="shared" si="1550"/>
        <v>324267.89500000002</v>
      </c>
      <c r="AV1143" s="1">
        <f t="shared" si="1551"/>
        <v>2</v>
      </c>
      <c r="AW1143" s="1">
        <f t="shared" ref="AW1143:AW1159" si="1618">MIN(10,M1143+0+0)</f>
        <v>10</v>
      </c>
      <c r="AX1143" s="1">
        <f t="shared" si="1552"/>
        <v>2</v>
      </c>
      <c r="AY1143" s="1">
        <f>MIN(20,MAX(0,O1143+0+0-0))</f>
        <v>0</v>
      </c>
      <c r="AZ1143" s="1">
        <f t="shared" si="1553"/>
        <v>5</v>
      </c>
      <c r="BA1143" s="1">
        <f t="shared" si="1609"/>
        <v>5</v>
      </c>
      <c r="BB1143" s="1">
        <f t="shared" si="1617"/>
        <v>20</v>
      </c>
      <c r="BC1143" s="1">
        <f t="shared" si="1615"/>
        <v>3</v>
      </c>
      <c r="BD1143" s="1">
        <f t="shared" si="1596"/>
        <v>1</v>
      </c>
      <c r="BE1143" s="1">
        <f t="shared" si="1589"/>
        <v>0</v>
      </c>
      <c r="BF1143" s="1">
        <f>MIN(4,V1143+0)</f>
        <v>3</v>
      </c>
      <c r="BG1143" s="1">
        <f t="shared" si="1606"/>
        <v>1</v>
      </c>
      <c r="BH1143" s="1">
        <f t="shared" si="1590"/>
        <v>1</v>
      </c>
      <c r="BI1143" s="1">
        <f t="shared" si="1607"/>
        <v>1</v>
      </c>
      <c r="BJ1143" s="1">
        <f t="shared" si="1610"/>
        <v>1</v>
      </c>
      <c r="BK1143" s="1">
        <f t="shared" si="1611"/>
        <v>1</v>
      </c>
      <c r="BL1143" s="1">
        <f t="shared" si="1616"/>
        <v>1</v>
      </c>
      <c r="BM1143" s="1">
        <f t="shared" si="1614"/>
        <v>1</v>
      </c>
      <c r="BN1143" s="1">
        <f t="shared" si="1591"/>
        <v>1</v>
      </c>
      <c r="BO1143" s="1">
        <f t="shared" si="1592"/>
        <v>1</v>
      </c>
    </row>
    <row r="1144" spans="1:67" ht="30.95" customHeight="1">
      <c r="A1144" s="1">
        <f>31</f>
        <v>31</v>
      </c>
      <c r="B1144" s="1">
        <f>固定流程!A28</f>
        <v>23</v>
      </c>
      <c r="C1144" s="1">
        <f>34</f>
        <v>34</v>
      </c>
      <c r="D1144" s="1">
        <f>1</f>
        <v>1</v>
      </c>
      <c r="E1144" s="1">
        <f>固定流程!C28</f>
        <v>3</v>
      </c>
      <c r="F1144" s="1">
        <f>固定流程!G28</f>
        <v>2</v>
      </c>
      <c r="G1144" s="1" t="str">
        <f>固定流程!H28</f>
        <v>37_FOLLOW</v>
      </c>
      <c r="H1144" s="1">
        <f>固定流程!F28</f>
        <v>1</v>
      </c>
      <c r="I1144" s="1">
        <f>INDEX(配置与结果!$B$15:$B$18,F1144)</f>
        <v>2306</v>
      </c>
      <c r="J1144" s="1">
        <f>INDEX(配置与结果!$D$15:$D$18,F1144)</f>
        <v>0.46</v>
      </c>
      <c r="K1144" s="1">
        <f>INDEX(配置与结果!$E$15:$E$18,F1144)</f>
        <v>1.9279999999999999</v>
      </c>
      <c r="L1144" s="1">
        <f t="shared" si="1603"/>
        <v>2</v>
      </c>
      <c r="M1144" s="1">
        <f t="shared" si="1604"/>
        <v>10</v>
      </c>
      <c r="N1144" s="1">
        <f t="shared" si="1605"/>
        <v>2</v>
      </c>
      <c r="O1144" s="1">
        <f t="shared" si="1597"/>
        <v>0</v>
      </c>
      <c r="P1144" s="1">
        <f>MIN(方案参数!$AI$34,AZ1143+0+0)</f>
        <v>5</v>
      </c>
      <c r="Q1144" s="1">
        <f t="shared" si="1575"/>
        <v>5</v>
      </c>
      <c r="R1144" s="1">
        <f t="shared" si="1576"/>
        <v>20</v>
      </c>
      <c r="S1144" s="1">
        <f t="shared" si="1577"/>
        <v>3</v>
      </c>
      <c r="T1144" s="1">
        <f t="shared" si="1612"/>
        <v>1</v>
      </c>
      <c r="U1144" s="1">
        <f t="shared" si="1579"/>
        <v>0</v>
      </c>
      <c r="V1144" s="1">
        <f t="shared" si="1580"/>
        <v>3</v>
      </c>
      <c r="W1144" s="1">
        <f t="shared" si="1581"/>
        <v>1</v>
      </c>
      <c r="X1144" s="1">
        <f t="shared" si="1582"/>
        <v>1</v>
      </c>
      <c r="Y1144" s="1">
        <f t="shared" si="1583"/>
        <v>1</v>
      </c>
      <c r="Z1144" s="1">
        <f t="shared" si="1584"/>
        <v>1</v>
      </c>
      <c r="AA1144" s="1">
        <f t="shared" si="1608"/>
        <v>1</v>
      </c>
      <c r="AB1144" s="1">
        <f t="shared" si="1586"/>
        <v>1</v>
      </c>
      <c r="AC1144" s="1">
        <f t="shared" si="1613"/>
        <v>1</v>
      </c>
      <c r="AD1144" s="1">
        <f>ROUNDDOWN(I1144*(1+IF(F1144=3,0.05+方案参数!$Y$34+AA1144*0.12,IF(F1144=4,方案参数!$BZ$34*方案参数!$AS$34,0)))+IF(AND(X1144=1,F1144&lt;&gt;3),方案参数!$CC$34,0)+AC1144*方案参数!$CB$34,0)</f>
        <v>3044</v>
      </c>
      <c r="AE1144" s="1">
        <f>IF(OR(F1144=1,F1144=4),配置与结果!$B$24,配置与结果!$B$25)*MAX(0,1-INDEX(配置与结果!$I$15:$I$18,F1144))</f>
        <v>1000</v>
      </c>
      <c r="AF1144" s="1">
        <f>方案参数!$BV$34</f>
        <v>3</v>
      </c>
      <c r="AG1144" s="1">
        <f>MAX(配置与结果!$B$32,1+INDEX(配置与结果!$F$15:$F$18,F1144)+0+Q1144*方案参数!$W$34+Y1144*(方案参数!$AN$34+MIN(方案参数!$AO$34,P1144*0.03))+AB1144*方案参数!$BZ$34*0.025-配置与结果!$B$28)</f>
        <v>1.8800000000000003</v>
      </c>
      <c r="AH1144" s="1">
        <f>MAX(0,1+INDEX(配置与结果!$G$15:$G$18,F1144)+W1144*方案参数!$AG$34)</f>
        <v>1.3</v>
      </c>
      <c r="AI1144" s="1">
        <f>IF(OR(INDEX(配置与结果!$K$15:$K$18,F1144)=1,G1144="RHI_BERRY"),1+配置与结果!$B$33+P1144*方案参数!$AH$34,1)</f>
        <v>1</v>
      </c>
      <c r="AJ1144" s="1">
        <f>MIN(1,MAX(0,J1144+方案参数!$AB$34-配置与结果!$B$27))</f>
        <v>0.76</v>
      </c>
      <c r="AK1144" s="1">
        <f>MAX(1,K1144+IF(F1144=2,0.15+方案参数!$CH$34,0)+BN1144*方案参数!$X$34+R1144*方案参数!$AA$34+0-配置与结果!$B$26+Z1144*(方案参数!$AP$34+MIN(方案参数!$AQ$34,P1144*0.03)))</f>
        <v>2.3380000000000001</v>
      </c>
      <c r="AL1144" s="7">
        <f>ROUNDDOWN(MAX(AD1144*配置与结果!$B$31,AD1144-AE1144)*AF1144*AG1144*AH1144*AI1144,0)</f>
        <v>14986</v>
      </c>
      <c r="AM1144" s="7">
        <f>ROUNDDOWN(MAX(AD1144*配置与结果!$B$31,AD1144-AE1144)*AF1144*AG1144*AH1144*AI1144*AK1144,0)</f>
        <v>35038</v>
      </c>
      <c r="AN1144" s="7">
        <f t="shared" si="1546"/>
        <v>30225.52</v>
      </c>
      <c r="AO1144" s="7">
        <f>方案参数!$BW$34</f>
        <v>1</v>
      </c>
      <c r="AP1144" s="7">
        <f>MAX(0,1+INDEX(配置与结果!$J$15:$J$18,F1144)+IF(T1144&gt;0,方案参数!$BY$34,0)-配置与结果!$B$30)</f>
        <v>2</v>
      </c>
      <c r="AQ1144" s="7">
        <f t="shared" si="1547"/>
        <v>6088</v>
      </c>
      <c r="AR1144" s="7">
        <f t="shared" si="1548"/>
        <v>14233</v>
      </c>
      <c r="AS1144" s="7">
        <f t="shared" si="1549"/>
        <v>12278.2</v>
      </c>
      <c r="AT1144" s="7">
        <f>0</f>
        <v>0</v>
      </c>
      <c r="AU1144" s="7">
        <f t="shared" si="1550"/>
        <v>42503.72</v>
      </c>
      <c r="AV1144" s="1">
        <f t="shared" si="1551"/>
        <v>2</v>
      </c>
      <c r="AW1144" s="1">
        <f t="shared" si="1618"/>
        <v>10</v>
      </c>
      <c r="AX1144" s="1">
        <f t="shared" si="1552"/>
        <v>2</v>
      </c>
      <c r="AY1144" s="1">
        <f>MIN(20,MAX(0,O1144+0+0-0))</f>
        <v>0</v>
      </c>
      <c r="AZ1144" s="1">
        <f t="shared" si="1553"/>
        <v>5</v>
      </c>
      <c r="BA1144" s="1">
        <f t="shared" si="1609"/>
        <v>5</v>
      </c>
      <c r="BB1144" s="1">
        <f t="shared" si="1617"/>
        <v>20</v>
      </c>
      <c r="BC1144" s="1">
        <f t="shared" si="1615"/>
        <v>3</v>
      </c>
      <c r="BD1144" s="1">
        <f t="shared" si="1596"/>
        <v>0</v>
      </c>
      <c r="BE1144" s="1">
        <f t="shared" si="1589"/>
        <v>0</v>
      </c>
      <c r="BF1144" s="1">
        <f>MIN(4,V1144+1)</f>
        <v>4</v>
      </c>
      <c r="BG1144" s="1">
        <f t="shared" si="1606"/>
        <v>1</v>
      </c>
      <c r="BH1144" s="1">
        <f t="shared" si="1590"/>
        <v>1</v>
      </c>
      <c r="BI1144" s="1">
        <f t="shared" si="1607"/>
        <v>1</v>
      </c>
      <c r="BJ1144" s="1">
        <f t="shared" si="1610"/>
        <v>1</v>
      </c>
      <c r="BK1144" s="1">
        <f t="shared" si="1611"/>
        <v>1</v>
      </c>
      <c r="BL1144" s="1">
        <f t="shared" si="1616"/>
        <v>1</v>
      </c>
      <c r="BM1144" s="1">
        <f t="shared" si="1614"/>
        <v>1</v>
      </c>
      <c r="BN1144" s="1">
        <f t="shared" si="1591"/>
        <v>1</v>
      </c>
      <c r="BO1144" s="1">
        <f t="shared" si="1592"/>
        <v>1</v>
      </c>
    </row>
    <row r="1145" spans="1:67" ht="30.95" customHeight="1">
      <c r="A1145" s="1">
        <f>31</f>
        <v>31</v>
      </c>
      <c r="B1145" s="1">
        <f>固定流程!A29</f>
        <v>24</v>
      </c>
      <c r="C1145" s="1">
        <f>34</f>
        <v>34</v>
      </c>
      <c r="D1145" s="1">
        <f>2</f>
        <v>2</v>
      </c>
      <c r="E1145" s="1">
        <f>固定流程!C29</f>
        <v>3</v>
      </c>
      <c r="F1145" s="1">
        <f>固定流程!G29</f>
        <v>1</v>
      </c>
      <c r="G1145" s="1" t="str">
        <f>固定流程!H29</f>
        <v>LILYA_WEAK</v>
      </c>
      <c r="H1145" s="1">
        <f>固定流程!F29</f>
        <v>1</v>
      </c>
      <c r="I1145" s="1">
        <f>INDEX(配置与结果!$B$15:$B$18,F1145)</f>
        <v>2296</v>
      </c>
      <c r="J1145" s="1">
        <f>INDEX(配置与结果!$D$15:$D$18,F1145)</f>
        <v>0.7</v>
      </c>
      <c r="K1145" s="1">
        <f>INDEX(配置与结果!$E$15:$E$18,F1145)</f>
        <v>2.0249999999999999</v>
      </c>
      <c r="L1145" s="1">
        <f t="shared" si="1603"/>
        <v>2</v>
      </c>
      <c r="M1145" s="1">
        <f t="shared" si="1604"/>
        <v>10</v>
      </c>
      <c r="N1145" s="1">
        <f t="shared" si="1605"/>
        <v>2</v>
      </c>
      <c r="O1145" s="1">
        <f t="shared" si="1597"/>
        <v>0</v>
      </c>
      <c r="P1145" s="1">
        <f>MIN(方案参数!$AI$34,AZ1144+0+0)</f>
        <v>5</v>
      </c>
      <c r="Q1145" s="1">
        <f t="shared" si="1575"/>
        <v>5</v>
      </c>
      <c r="R1145" s="1">
        <f t="shared" si="1576"/>
        <v>20</v>
      </c>
      <c r="S1145" s="1">
        <f t="shared" si="1577"/>
        <v>3</v>
      </c>
      <c r="T1145" s="1">
        <f t="shared" si="1612"/>
        <v>0</v>
      </c>
      <c r="U1145" s="1">
        <f t="shared" si="1579"/>
        <v>0</v>
      </c>
      <c r="V1145" s="1">
        <f t="shared" si="1580"/>
        <v>4</v>
      </c>
      <c r="W1145" s="1">
        <f t="shared" si="1581"/>
        <v>1</v>
      </c>
      <c r="X1145" s="1">
        <f t="shared" si="1582"/>
        <v>1</v>
      </c>
      <c r="Y1145" s="1">
        <f t="shared" si="1583"/>
        <v>1</v>
      </c>
      <c r="Z1145" s="1">
        <f t="shared" si="1584"/>
        <v>1</v>
      </c>
      <c r="AA1145" s="1">
        <f t="shared" si="1608"/>
        <v>1</v>
      </c>
      <c r="AB1145" s="1">
        <f t="shared" si="1586"/>
        <v>1</v>
      </c>
      <c r="AC1145" s="1">
        <f t="shared" si="1613"/>
        <v>1</v>
      </c>
      <c r="AD1145" s="1">
        <f>ROUNDDOWN(I1145*(1+IF(F1145=3,0.05+方案参数!$Y$34+AA1145*0.12,IF(F1145=4,方案参数!$BZ$34*方案参数!$AS$34,0)))+IF(AND(X1145=1,F1145&lt;&gt;3),方案参数!$CC$34,0)+AC1145*方案参数!$CB$34,0)</f>
        <v>3034</v>
      </c>
      <c r="AE1145" s="1">
        <f>IF(OR(F1145=1,F1145=4),配置与结果!$B$24,配置与结果!$B$25)*MAX(0,1-INDEX(配置与结果!$I$15:$I$18,F1145))</f>
        <v>1200</v>
      </c>
      <c r="AF1145" s="1">
        <f>方案参数!$BL$34</f>
        <v>9</v>
      </c>
      <c r="AG1145" s="1">
        <f>MAX(配置与结果!$B$32,1+INDEX(配置与结果!$F$15:$F$18,F1145)+0.08+方案参数!$CD$34+Q1145*方案参数!$W$34+Y1145*(方案参数!$AN$34+MIN(方案参数!$AO$34,P1145*0.03))+AB1145*方案参数!$BZ$34*0.025-配置与结果!$B$28+方案参数!$AE$34)</f>
        <v>2.6150000000000002</v>
      </c>
      <c r="AH1145" s="1">
        <f>MAX(0,1+V1145*方案参数!$U$34+0*方案参数!$V$34+方案参数!$AE$34-配置与结果!$B$29)</f>
        <v>1.56</v>
      </c>
      <c r="AI1145" s="1">
        <f>IF(OR(INDEX(配置与结果!$K$15:$K$18,F1145)=1,G1145="RHI_BERRY"),1+配置与结果!$B$33+P1145*方案参数!$AH$34,1)</f>
        <v>1</v>
      </c>
      <c r="AJ1145" s="1">
        <f>MIN(1,MAX(0,J1145+方案参数!$AB$34-配置与结果!$B$27))</f>
        <v>1</v>
      </c>
      <c r="AK1145" s="1">
        <f>MAX(1,K1145+IF(F1145=2,0.15+方案参数!$CH$34,0)+BN1145*方案参数!$X$34+R1145*方案参数!$AA$34+方案参数!$BP$34-配置与结果!$B$26+Z1145*(方案参数!$AP$34+MIN(方案参数!$AQ$34,P1145*0.03)))</f>
        <v>2.7650000000000001</v>
      </c>
      <c r="AL1145" s="7">
        <f>ROUNDDOWN(MAX(AD1145*配置与结果!$B$31,AD1145-AE1145)*AF1145*AG1145*AH1145*AI1145,0)</f>
        <v>67334</v>
      </c>
      <c r="AM1145" s="7">
        <f>ROUNDDOWN(MAX(AD1145*配置与结果!$B$31,AD1145-AE1145)*AF1145*AG1145*AH1145*AI1145*AK1145,0)</f>
        <v>186180</v>
      </c>
      <c r="AN1145" s="7">
        <f t="shared" si="1546"/>
        <v>186180</v>
      </c>
      <c r="AO1145" s="7">
        <f>0</f>
        <v>0</v>
      </c>
      <c r="AP1145" s="7">
        <f>MAX(0,1+INDEX(配置与结果!$J$15:$J$18,F1145)+IF(T1145&gt;0,方案参数!$BY$34,0)-配置与结果!$B$30)</f>
        <v>1</v>
      </c>
      <c r="AQ1145" s="7">
        <f t="shared" si="1547"/>
        <v>0</v>
      </c>
      <c r="AR1145" s="7">
        <f t="shared" si="1548"/>
        <v>0</v>
      </c>
      <c r="AS1145" s="7">
        <f t="shared" si="1549"/>
        <v>0</v>
      </c>
      <c r="AT1145" s="7">
        <f>IF(U1145&gt;0,ROUNDDOWN(AL1145*方案参数!$AF$34,0)*(1-AJ1145)+ROUNDDOWN(AM1145*方案参数!$AF$34,0)*AJ1145,0)</f>
        <v>0</v>
      </c>
      <c r="AU1145" s="7">
        <f t="shared" si="1550"/>
        <v>186180</v>
      </c>
      <c r="AV1145" s="1">
        <f t="shared" si="1551"/>
        <v>2</v>
      </c>
      <c r="AW1145" s="1">
        <f t="shared" si="1618"/>
        <v>10</v>
      </c>
      <c r="AX1145" s="1">
        <f t="shared" si="1552"/>
        <v>2</v>
      </c>
      <c r="AY1145" s="1">
        <f>MIN(20,MAX(0,O1145+0+1-0))</f>
        <v>1</v>
      </c>
      <c r="AZ1145" s="1">
        <f t="shared" si="1553"/>
        <v>5</v>
      </c>
      <c r="BA1145" s="1">
        <f t="shared" si="1609"/>
        <v>5</v>
      </c>
      <c r="BB1145" s="1">
        <f t="shared" si="1617"/>
        <v>20</v>
      </c>
      <c r="BC1145" s="1">
        <f t="shared" si="1615"/>
        <v>3</v>
      </c>
      <c r="BD1145" s="1">
        <f t="shared" si="1596"/>
        <v>0</v>
      </c>
      <c r="BE1145" s="1">
        <f>MAX(0,U1145-IF(AF1145&gt;0,1,0))+0</f>
        <v>0</v>
      </c>
      <c r="BF1145" s="1">
        <f t="shared" ref="BF1145:BF1162" si="1619">MIN(4,V1145+0)</f>
        <v>4</v>
      </c>
      <c r="BG1145" s="1">
        <f t="shared" si="1606"/>
        <v>1</v>
      </c>
      <c r="BH1145" s="1">
        <f t="shared" si="1590"/>
        <v>1</v>
      </c>
      <c r="BI1145" s="1">
        <f t="shared" si="1607"/>
        <v>1</v>
      </c>
      <c r="BJ1145" s="1">
        <f t="shared" si="1610"/>
        <v>1</v>
      </c>
      <c r="BK1145" s="1">
        <f t="shared" si="1611"/>
        <v>1</v>
      </c>
      <c r="BL1145" s="1">
        <f t="shared" si="1616"/>
        <v>1</v>
      </c>
      <c r="BM1145" s="1">
        <f t="shared" si="1614"/>
        <v>1</v>
      </c>
      <c r="BN1145" s="1">
        <f t="shared" si="1591"/>
        <v>1</v>
      </c>
      <c r="BO1145" s="1">
        <f t="shared" si="1592"/>
        <v>1</v>
      </c>
    </row>
    <row r="1146" spans="1:67" ht="30.95" customHeight="1">
      <c r="A1146" s="1">
        <f>31</f>
        <v>31</v>
      </c>
      <c r="B1146" s="1">
        <f>固定流程!A30</f>
        <v>25</v>
      </c>
      <c r="C1146" s="1">
        <f>34</f>
        <v>34</v>
      </c>
      <c r="D1146" s="1">
        <f>2</f>
        <v>2</v>
      </c>
      <c r="E1146" s="1">
        <f>固定流程!C30</f>
        <v>3</v>
      </c>
      <c r="F1146" s="1">
        <f>固定流程!G30</f>
        <v>1</v>
      </c>
      <c r="G1146" s="1" t="str">
        <f>固定流程!H30</f>
        <v>LILYA_WEAK</v>
      </c>
      <c r="H1146" s="1">
        <f>固定流程!F30</f>
        <v>1</v>
      </c>
      <c r="I1146" s="1">
        <f>INDEX(配置与结果!$B$15:$B$18,F1146)</f>
        <v>2296</v>
      </c>
      <c r="J1146" s="1">
        <f>INDEX(配置与结果!$D$15:$D$18,F1146)</f>
        <v>0.7</v>
      </c>
      <c r="K1146" s="1">
        <f>INDEX(配置与结果!$E$15:$E$18,F1146)</f>
        <v>2.0249999999999999</v>
      </c>
      <c r="L1146" s="1">
        <f t="shared" si="1603"/>
        <v>2</v>
      </c>
      <c r="M1146" s="1">
        <f t="shared" si="1604"/>
        <v>10</v>
      </c>
      <c r="N1146" s="1">
        <f t="shared" si="1605"/>
        <v>2</v>
      </c>
      <c r="O1146" s="1">
        <f t="shared" si="1597"/>
        <v>1</v>
      </c>
      <c r="P1146" s="1">
        <f>MIN(方案参数!$AI$34,AZ1145+0+0)</f>
        <v>5</v>
      </c>
      <c r="Q1146" s="1">
        <f t="shared" si="1575"/>
        <v>5</v>
      </c>
      <c r="R1146" s="1">
        <f t="shared" si="1576"/>
        <v>20</v>
      </c>
      <c r="S1146" s="1">
        <f t="shared" si="1577"/>
        <v>3</v>
      </c>
      <c r="T1146" s="1">
        <f t="shared" si="1612"/>
        <v>0</v>
      </c>
      <c r="U1146" s="1">
        <f t="shared" si="1579"/>
        <v>0</v>
      </c>
      <c r="V1146" s="1">
        <f t="shared" si="1580"/>
        <v>4</v>
      </c>
      <c r="W1146" s="1">
        <f t="shared" si="1581"/>
        <v>1</v>
      </c>
      <c r="X1146" s="1">
        <f t="shared" si="1582"/>
        <v>1</v>
      </c>
      <c r="Y1146" s="1">
        <f t="shared" si="1583"/>
        <v>1</v>
      </c>
      <c r="Z1146" s="1">
        <f t="shared" si="1584"/>
        <v>1</v>
      </c>
      <c r="AA1146" s="1">
        <f t="shared" si="1608"/>
        <v>1</v>
      </c>
      <c r="AB1146" s="1">
        <f t="shared" si="1586"/>
        <v>1</v>
      </c>
      <c r="AC1146" s="1">
        <f t="shared" si="1613"/>
        <v>1</v>
      </c>
      <c r="AD1146" s="1">
        <f>ROUNDDOWN(I1146*(1+IF(F1146=3,0.05+方案参数!$Y$34+AA1146*0.12,IF(F1146=4,方案参数!$BZ$34*方案参数!$AS$34,0)))+IF(AND(X1146=1,F1146&lt;&gt;3),方案参数!$CC$34,0)+AC1146*方案参数!$CB$34,0)</f>
        <v>3034</v>
      </c>
      <c r="AE1146" s="1">
        <f>IF(OR(F1146=1,F1146=4),配置与结果!$B$24,配置与结果!$B$25)*MAX(0,1-INDEX(配置与结果!$I$15:$I$18,F1146))</f>
        <v>1200</v>
      </c>
      <c r="AF1146" s="1">
        <f>方案参数!$BL$34</f>
        <v>9</v>
      </c>
      <c r="AG1146" s="1">
        <f>MAX(配置与结果!$B$32,1+INDEX(配置与结果!$F$15:$F$18,F1146)+0.08+方案参数!$CD$34+Q1146*方案参数!$W$34+Y1146*(方案参数!$AN$34+MIN(方案参数!$AO$34,P1146*0.03))+AB1146*方案参数!$BZ$34*0.025-配置与结果!$B$28+方案参数!$AE$34)</f>
        <v>2.6150000000000002</v>
      </c>
      <c r="AH1146" s="1">
        <f>MAX(0,1+V1146*方案参数!$U$34+1*方案参数!$V$34+方案参数!$AE$34-配置与结果!$B$29)</f>
        <v>1.62</v>
      </c>
      <c r="AI1146" s="1">
        <f>IF(OR(INDEX(配置与结果!$K$15:$K$18,F1146)=1,G1146="RHI_BERRY"),1+配置与结果!$B$33+P1146*方案参数!$AH$34,1)</f>
        <v>1</v>
      </c>
      <c r="AJ1146" s="1">
        <f>MIN(1,MAX(0,J1146+方案参数!$AB$34-配置与结果!$B$27))</f>
        <v>1</v>
      </c>
      <c r="AK1146" s="1">
        <f>MAX(1,K1146+IF(F1146=2,0.15+方案参数!$CH$34,0)+BN1146*方案参数!$X$34+R1146*方案参数!$AA$34+方案参数!$BP$34-配置与结果!$B$26+Z1146*(方案参数!$AP$34+MIN(方案参数!$AQ$34,P1146*0.03)))</f>
        <v>2.7650000000000001</v>
      </c>
      <c r="AL1146" s="7">
        <f>ROUNDDOWN(MAX(AD1146*配置与结果!$B$31,AD1146-AE1146)*AF1146*AG1146*AH1146*AI1146,0)</f>
        <v>69924</v>
      </c>
      <c r="AM1146" s="7">
        <f>ROUNDDOWN(MAX(AD1146*配置与结果!$B$31,AD1146-AE1146)*AF1146*AG1146*AH1146*AI1146*AK1146,0)</f>
        <v>193340</v>
      </c>
      <c r="AN1146" s="7">
        <f t="shared" si="1546"/>
        <v>193340</v>
      </c>
      <c r="AO1146" s="7">
        <f>0</f>
        <v>0</v>
      </c>
      <c r="AP1146" s="7">
        <f>MAX(0,1+INDEX(配置与结果!$J$15:$J$18,F1146)+IF(T1146&gt;0,方案参数!$BY$34,0)-配置与结果!$B$30)</f>
        <v>1</v>
      </c>
      <c r="AQ1146" s="7">
        <f t="shared" si="1547"/>
        <v>0</v>
      </c>
      <c r="AR1146" s="7">
        <f t="shared" si="1548"/>
        <v>0</v>
      </c>
      <c r="AS1146" s="7">
        <f t="shared" si="1549"/>
        <v>0</v>
      </c>
      <c r="AT1146" s="7">
        <f>IF(U1146&gt;0,ROUNDDOWN(AL1146*方案参数!$AF$34,0)*(1-AJ1146)+ROUNDDOWN(AM1146*方案参数!$AF$34,0)*AJ1146,0)</f>
        <v>0</v>
      </c>
      <c r="AU1146" s="7">
        <f t="shared" si="1550"/>
        <v>193340</v>
      </c>
      <c r="AV1146" s="1">
        <f t="shared" si="1551"/>
        <v>2</v>
      </c>
      <c r="AW1146" s="1">
        <f t="shared" si="1618"/>
        <v>10</v>
      </c>
      <c r="AX1146" s="1">
        <f t="shared" si="1552"/>
        <v>2</v>
      </c>
      <c r="AY1146" s="1">
        <f>MIN(20,MAX(0,O1146+0+1-0))</f>
        <v>2</v>
      </c>
      <c r="AZ1146" s="1">
        <f t="shared" si="1553"/>
        <v>5</v>
      </c>
      <c r="BA1146" s="1">
        <f t="shared" si="1609"/>
        <v>5</v>
      </c>
      <c r="BB1146" s="1">
        <f t="shared" si="1617"/>
        <v>20</v>
      </c>
      <c r="BC1146" s="1">
        <f t="shared" si="1615"/>
        <v>3</v>
      </c>
      <c r="BD1146" s="1">
        <f t="shared" si="1596"/>
        <v>0</v>
      </c>
      <c r="BE1146" s="1">
        <f>MAX(0,U1146-IF(AF1146&gt;0,1,0))+0</f>
        <v>0</v>
      </c>
      <c r="BF1146" s="1">
        <f t="shared" si="1619"/>
        <v>4</v>
      </c>
      <c r="BG1146" s="1">
        <f t="shared" si="1606"/>
        <v>1</v>
      </c>
      <c r="BH1146" s="1">
        <f t="shared" si="1590"/>
        <v>1</v>
      </c>
      <c r="BI1146" s="1">
        <f t="shared" si="1607"/>
        <v>1</v>
      </c>
      <c r="BJ1146" s="1">
        <f t="shared" si="1610"/>
        <v>1</v>
      </c>
      <c r="BK1146" s="1">
        <f t="shared" si="1611"/>
        <v>1</v>
      </c>
      <c r="BL1146" s="1">
        <f t="shared" si="1616"/>
        <v>1</v>
      </c>
      <c r="BM1146" s="1">
        <f t="shared" si="1614"/>
        <v>1</v>
      </c>
      <c r="BN1146" s="1">
        <f t="shared" si="1591"/>
        <v>1</v>
      </c>
      <c r="BO1146" s="1">
        <f t="shared" si="1592"/>
        <v>1</v>
      </c>
    </row>
    <row r="1147" spans="1:67" ht="30.95" customHeight="1">
      <c r="A1147" s="1">
        <f>31</f>
        <v>31</v>
      </c>
      <c r="B1147" s="1">
        <f>固定流程!A31</f>
        <v>26</v>
      </c>
      <c r="C1147" s="1">
        <f>34</f>
        <v>34</v>
      </c>
      <c r="D1147" s="1">
        <f>2</f>
        <v>2</v>
      </c>
      <c r="E1147" s="1">
        <f>固定流程!C31</f>
        <v>3</v>
      </c>
      <c r="F1147" s="1">
        <f>固定流程!G31</f>
        <v>2</v>
      </c>
      <c r="G1147" s="1" t="str">
        <f>固定流程!H31</f>
        <v>37_WEAK</v>
      </c>
      <c r="H1147" s="1">
        <f>固定流程!F31</f>
        <v>1</v>
      </c>
      <c r="I1147" s="1">
        <f>INDEX(配置与结果!$B$15:$B$18,F1147)</f>
        <v>2306</v>
      </c>
      <c r="J1147" s="1">
        <f>INDEX(配置与结果!$D$15:$D$18,F1147)</f>
        <v>0.46</v>
      </c>
      <c r="K1147" s="1">
        <f>INDEX(配置与结果!$E$15:$E$18,F1147)</f>
        <v>1.9279999999999999</v>
      </c>
      <c r="L1147" s="1">
        <f t="shared" si="1603"/>
        <v>2</v>
      </c>
      <c r="M1147" s="1">
        <f t="shared" si="1604"/>
        <v>10</v>
      </c>
      <c r="N1147" s="1">
        <f t="shared" si="1605"/>
        <v>2</v>
      </c>
      <c r="O1147" s="1">
        <f t="shared" si="1597"/>
        <v>2</v>
      </c>
      <c r="P1147" s="1">
        <f>MIN(方案参数!$AI$34,AZ1146+0+0)</f>
        <v>5</v>
      </c>
      <c r="Q1147" s="1">
        <f t="shared" si="1575"/>
        <v>5</v>
      </c>
      <c r="R1147" s="1">
        <f t="shared" si="1576"/>
        <v>20</v>
      </c>
      <c r="S1147" s="1">
        <f t="shared" si="1577"/>
        <v>3</v>
      </c>
      <c r="T1147" s="1">
        <f t="shared" si="1612"/>
        <v>0</v>
      </c>
      <c r="U1147" s="1">
        <f t="shared" si="1579"/>
        <v>0</v>
      </c>
      <c r="V1147" s="1">
        <f t="shared" si="1580"/>
        <v>4</v>
      </c>
      <c r="W1147" s="1">
        <f t="shared" si="1581"/>
        <v>1</v>
      </c>
      <c r="X1147" s="1">
        <f t="shared" si="1582"/>
        <v>1</v>
      </c>
      <c r="Y1147" s="1">
        <f t="shared" si="1583"/>
        <v>1</v>
      </c>
      <c r="Z1147" s="1">
        <f t="shared" si="1584"/>
        <v>1</v>
      </c>
      <c r="AA1147" s="1">
        <f t="shared" si="1608"/>
        <v>1</v>
      </c>
      <c r="AB1147" s="1">
        <f t="shared" si="1586"/>
        <v>1</v>
      </c>
      <c r="AC1147" s="1">
        <f t="shared" si="1613"/>
        <v>1</v>
      </c>
      <c r="AD1147" s="1">
        <f>ROUNDDOWN(I1147*(1+IF(F1147=3,0.05+方案参数!$Y$34+AA1147*0.12,IF(F1147=4,方案参数!$BZ$34*方案参数!$AS$34,0)))+IF(AND(X1147=1,F1147&lt;&gt;3),方案参数!$CC$34,0)+AC1147*方案参数!$CB$34,0)</f>
        <v>3044</v>
      </c>
      <c r="AE1147" s="1">
        <f>IF(OR(F1147=1,F1147=4),配置与结果!$B$24,配置与结果!$B$25)*MAX(0,1-INDEX(配置与结果!$I$15:$I$18,F1147))</f>
        <v>1000</v>
      </c>
      <c r="AF1147" s="1">
        <f>方案参数!$CE$34</f>
        <v>8</v>
      </c>
      <c r="AG1147" s="1">
        <f>MAX(配置与结果!$B$32,1+INDEX(配置与结果!$F$15:$F$18,F1147)+0+Q1147*方案参数!$W$34+Y1147*(方案参数!$AN$34+MIN(方案参数!$AO$34,P1147*0.03))+AB1147*方案参数!$BZ$34*0.025-配置与结果!$B$28+方案参数!$AE$34)</f>
        <v>2.2800000000000002</v>
      </c>
      <c r="AH1147" s="1">
        <f>MAX(0,1+V1147*方案参数!$U$34+方案参数!$AE$34-配置与结果!$B$29)</f>
        <v>1.56</v>
      </c>
      <c r="AI1147" s="1">
        <f>IF(OR(INDEX(配置与结果!$K$15:$K$18,F1147)=1,G1147="RHI_BERRY"),1+配置与结果!$B$33+P1147*方案参数!$AH$34,1)</f>
        <v>1</v>
      </c>
      <c r="AJ1147" s="1">
        <f>MIN(1,MAX(0,J1147+方案参数!$AB$34-配置与结果!$B$27))</f>
        <v>0.76</v>
      </c>
      <c r="AK1147" s="1">
        <f>MAX(1,K1147+IF(F1147=2,0.15+方案参数!$CH$34,0)+BN1147*方案参数!$X$34+R1147*方案参数!$AA$34+0-配置与结果!$B$26+Z1147*(方案参数!$AP$34+MIN(方案参数!$AQ$34,P1147*0.03)))</f>
        <v>2.3380000000000001</v>
      </c>
      <c r="AL1147" s="7">
        <f>ROUNDDOWN(MAX(AD1147*配置与结果!$B$31,AD1147-AE1147)*AF1147*AG1147*AH1147*AI1147,0)</f>
        <v>58160</v>
      </c>
      <c r="AM1147" s="7">
        <f>ROUNDDOWN(MAX(AD1147*配置与结果!$B$31,AD1147-AE1147)*AF1147*AG1147*AH1147*AI1147*AK1147,0)</f>
        <v>135979</v>
      </c>
      <c r="AN1147" s="7">
        <f t="shared" si="1546"/>
        <v>117302.44</v>
      </c>
      <c r="AO1147" s="7">
        <f>0</f>
        <v>0</v>
      </c>
      <c r="AP1147" s="7">
        <f>MAX(0,1+INDEX(配置与结果!$J$15:$J$18,F1147)+IF(T1147&gt;0,方案参数!$BY$34,0)-配置与结果!$B$30)</f>
        <v>1</v>
      </c>
      <c r="AQ1147" s="7">
        <f t="shared" si="1547"/>
        <v>0</v>
      </c>
      <c r="AR1147" s="7">
        <f t="shared" si="1548"/>
        <v>0</v>
      </c>
      <c r="AS1147" s="7">
        <f t="shared" si="1549"/>
        <v>0</v>
      </c>
      <c r="AT1147" s="7">
        <f>IF(U1147&gt;0,ROUNDDOWN(AL1147*方案参数!$AF$34,0)*(1-AJ1147)+ROUNDDOWN(AM1147*方案参数!$AF$34,0)*AJ1147,0)</f>
        <v>0</v>
      </c>
      <c r="AU1147" s="7">
        <f t="shared" si="1550"/>
        <v>117302.44</v>
      </c>
      <c r="AV1147" s="1">
        <f t="shared" si="1551"/>
        <v>2</v>
      </c>
      <c r="AW1147" s="1">
        <f t="shared" si="1618"/>
        <v>10</v>
      </c>
      <c r="AX1147" s="1">
        <f t="shared" si="1552"/>
        <v>2</v>
      </c>
      <c r="AY1147" s="1">
        <f>MIN(20,MAX(0,O1147+0+0-0))</f>
        <v>2</v>
      </c>
      <c r="AZ1147" s="1">
        <f t="shared" si="1553"/>
        <v>5</v>
      </c>
      <c r="BA1147" s="1">
        <f t="shared" si="1609"/>
        <v>5</v>
      </c>
      <c r="BB1147" s="1">
        <f t="shared" si="1617"/>
        <v>20</v>
      </c>
      <c r="BC1147" s="1">
        <f t="shared" si="1615"/>
        <v>3</v>
      </c>
      <c r="BD1147" s="1">
        <f t="shared" si="1596"/>
        <v>0</v>
      </c>
      <c r="BE1147" s="1">
        <f>MAX(0,U1147-IF(AF1147&gt;0,1,0))+1</f>
        <v>1</v>
      </c>
      <c r="BF1147" s="1">
        <f t="shared" si="1619"/>
        <v>4</v>
      </c>
      <c r="BG1147" s="1">
        <f t="shared" si="1606"/>
        <v>1</v>
      </c>
      <c r="BH1147" s="1">
        <f t="shared" si="1590"/>
        <v>1</v>
      </c>
      <c r="BI1147" s="1">
        <f t="shared" si="1607"/>
        <v>1</v>
      </c>
      <c r="BJ1147" s="1">
        <f t="shared" si="1610"/>
        <v>1</v>
      </c>
      <c r="BK1147" s="1">
        <f t="shared" si="1611"/>
        <v>1</v>
      </c>
      <c r="BL1147" s="1">
        <f t="shared" si="1616"/>
        <v>1</v>
      </c>
      <c r="BM1147" s="1">
        <f t="shared" si="1614"/>
        <v>1</v>
      </c>
      <c r="BN1147" s="1">
        <f t="shared" si="1591"/>
        <v>1</v>
      </c>
      <c r="BO1147" s="1">
        <f t="shared" si="1592"/>
        <v>1</v>
      </c>
    </row>
    <row r="1148" spans="1:67" ht="30.95" customHeight="1">
      <c r="A1148" s="1">
        <f>31</f>
        <v>31</v>
      </c>
      <c r="B1148" s="1">
        <f>固定流程!A32</f>
        <v>27</v>
      </c>
      <c r="C1148" s="1">
        <f>34</f>
        <v>34</v>
      </c>
      <c r="D1148" s="1">
        <f>2</f>
        <v>2</v>
      </c>
      <c r="E1148" s="1">
        <f>固定流程!C32</f>
        <v>3</v>
      </c>
      <c r="F1148" s="1">
        <f>固定流程!G32</f>
        <v>1</v>
      </c>
      <c r="G1148" s="1" t="str">
        <f>固定流程!H32</f>
        <v>LILYA_THIRD</v>
      </c>
      <c r="H1148" s="1">
        <f>固定流程!F32</f>
        <v>1</v>
      </c>
      <c r="I1148" s="1">
        <f>INDEX(配置与结果!$B$15:$B$18,F1148)</f>
        <v>2296</v>
      </c>
      <c r="J1148" s="1">
        <f>INDEX(配置与结果!$D$15:$D$18,F1148)</f>
        <v>0.7</v>
      </c>
      <c r="K1148" s="1">
        <f>INDEX(配置与结果!$E$15:$E$18,F1148)</f>
        <v>2.0249999999999999</v>
      </c>
      <c r="L1148" s="1">
        <f t="shared" si="1603"/>
        <v>2</v>
      </c>
      <c r="M1148" s="1">
        <f t="shared" si="1604"/>
        <v>10</v>
      </c>
      <c r="N1148" s="1">
        <f t="shared" si="1605"/>
        <v>2</v>
      </c>
      <c r="O1148" s="1">
        <f t="shared" si="1597"/>
        <v>2</v>
      </c>
      <c r="P1148" s="1">
        <f>MIN(方案参数!$AI$34,AZ1147+0+0)</f>
        <v>5</v>
      </c>
      <c r="Q1148" s="1">
        <f t="shared" si="1575"/>
        <v>5</v>
      </c>
      <c r="R1148" s="1">
        <f t="shared" si="1576"/>
        <v>20</v>
      </c>
      <c r="S1148" s="1">
        <f t="shared" si="1577"/>
        <v>3</v>
      </c>
      <c r="T1148" s="1">
        <f t="shared" si="1612"/>
        <v>0</v>
      </c>
      <c r="U1148" s="1">
        <f t="shared" si="1579"/>
        <v>1</v>
      </c>
      <c r="V1148" s="1">
        <f t="shared" si="1580"/>
        <v>4</v>
      </c>
      <c r="W1148" s="1">
        <f t="shared" si="1581"/>
        <v>1</v>
      </c>
      <c r="X1148" s="1">
        <f t="shared" si="1582"/>
        <v>1</v>
      </c>
      <c r="Y1148" s="1">
        <f t="shared" si="1583"/>
        <v>1</v>
      </c>
      <c r="Z1148" s="1">
        <f t="shared" si="1584"/>
        <v>1</v>
      </c>
      <c r="AA1148" s="1">
        <f t="shared" si="1608"/>
        <v>1</v>
      </c>
      <c r="AB1148" s="1">
        <f t="shared" si="1586"/>
        <v>1</v>
      </c>
      <c r="AC1148" s="1">
        <f t="shared" si="1613"/>
        <v>1</v>
      </c>
      <c r="AD1148" s="1">
        <f>ROUNDDOWN(I1148*(1+IF(F1148=3,0.05+方案参数!$Y$34+AA1148*0.12,IF(F1148=4,方案参数!$BZ$34*方案参数!$AS$34,0)))+IF(AND(X1148=1,F1148&lt;&gt;3),方案参数!$CC$34,0)+AC1148*方案参数!$CB$34,0)</f>
        <v>3034</v>
      </c>
      <c r="AE1148" s="1">
        <f>IF(OR(F1148=1,F1148=4),配置与结果!$B$24,配置与结果!$B$25)*MAX(0,1-INDEX(配置与结果!$I$15:$I$18,F1148))</f>
        <v>1200</v>
      </c>
      <c r="AF1148" s="1">
        <f>方案参数!$BM$34</f>
        <v>20</v>
      </c>
      <c r="AG1148" s="1">
        <f>MAX(配置与结果!$B$32,1+INDEX(配置与结果!$F$15:$F$18,F1148)+0.08+方案参数!$CD$34+Q1148*方案参数!$W$34+Y1148*(方案参数!$AN$34+MIN(方案参数!$AO$34,P1148*0.03))+AB1148*方案参数!$BZ$34*0.025-配置与结果!$B$28+方案参数!$AE$34)</f>
        <v>2.6150000000000002</v>
      </c>
      <c r="AH1148" s="1">
        <f>MAX(0,1+V1148*方案参数!$U$34+3*方案参数!$V$34+方案参数!$AE$34-配置与结果!$B$29)</f>
        <v>1.7399999999999998</v>
      </c>
      <c r="AI1148" s="1">
        <f>IF(OR(INDEX(配置与结果!$K$15:$K$18,F1148)=1,G1148="RHI_BERRY"),1+配置与结果!$B$33+P1148*方案参数!$AH$34,1)</f>
        <v>1</v>
      </c>
      <c r="AJ1148" s="1">
        <f>MIN(1,MAX(0,J1148+方案参数!$AB$34-配置与结果!$B$27))</f>
        <v>1</v>
      </c>
      <c r="AK1148" s="1">
        <f>MAX(1,K1148+IF(F1148=2,0.15+方案参数!$CH$34,0)+BN1148*方案参数!$X$34+R1148*方案参数!$AA$34+方案参数!$BQ$34-配置与结果!$B$26+Z1148*(方案参数!$AP$34+MIN(方案参数!$AQ$34,P1148*0.03)))</f>
        <v>2.9650000000000003</v>
      </c>
      <c r="AL1148" s="7">
        <f>ROUNDDOWN(MAX(AD1148*配置与结果!$B$31,AD1148-AE1148)*AF1148*AG1148*AH1148*AI1148,0)</f>
        <v>166897</v>
      </c>
      <c r="AM1148" s="7">
        <f>ROUNDDOWN(MAX(AD1148*配置与结果!$B$31,AD1148-AE1148)*AF1148*AG1148*AH1148*AI1148*AK1148,0)</f>
        <v>494851</v>
      </c>
      <c r="AN1148" s="7">
        <f t="shared" si="1546"/>
        <v>494851</v>
      </c>
      <c r="AO1148" s="7">
        <f>0</f>
        <v>0</v>
      </c>
      <c r="AP1148" s="7">
        <f>MAX(0,1+INDEX(配置与结果!$J$15:$J$18,F1148)+IF(T1148&gt;0,方案参数!$BY$34,0)-配置与结果!$B$30)</f>
        <v>1</v>
      </c>
      <c r="AQ1148" s="7">
        <f t="shared" si="1547"/>
        <v>0</v>
      </c>
      <c r="AR1148" s="7">
        <f t="shared" si="1548"/>
        <v>0</v>
      </c>
      <c r="AS1148" s="7">
        <f t="shared" si="1549"/>
        <v>0</v>
      </c>
      <c r="AT1148" s="7">
        <f>IF(U1148&gt;0,ROUNDDOWN(AL1148*方案参数!$AF$34,0)*(1-AJ1148)+ROUNDDOWN(AM1148*方案参数!$AF$34,0)*AJ1148,0)</f>
        <v>197940</v>
      </c>
      <c r="AU1148" s="7">
        <f t="shared" si="1550"/>
        <v>692791</v>
      </c>
      <c r="AV1148" s="1">
        <f t="shared" si="1551"/>
        <v>2</v>
      </c>
      <c r="AW1148" s="1">
        <f t="shared" si="1618"/>
        <v>10</v>
      </c>
      <c r="AX1148" s="1">
        <f t="shared" si="1552"/>
        <v>2</v>
      </c>
      <c r="AY1148" s="1">
        <f>MIN(20,MAX(0,O1148+0+1-0))</f>
        <v>3</v>
      </c>
      <c r="AZ1148" s="1">
        <f t="shared" si="1553"/>
        <v>5</v>
      </c>
      <c r="BA1148" s="1">
        <f t="shared" si="1609"/>
        <v>5</v>
      </c>
      <c r="BB1148" s="1">
        <f t="shared" si="1617"/>
        <v>20</v>
      </c>
      <c r="BC1148" s="1">
        <f t="shared" si="1615"/>
        <v>3</v>
      </c>
      <c r="BD1148" s="1">
        <f t="shared" si="1596"/>
        <v>0</v>
      </c>
      <c r="BE1148" s="1">
        <f>MAX(0,U1148-IF(AF1148&gt;0,1,0))+0</f>
        <v>0</v>
      </c>
      <c r="BF1148" s="1">
        <f t="shared" si="1619"/>
        <v>4</v>
      </c>
      <c r="BG1148" s="1">
        <f t="shared" si="1606"/>
        <v>1</v>
      </c>
      <c r="BH1148" s="1">
        <f t="shared" si="1590"/>
        <v>1</v>
      </c>
      <c r="BI1148" s="1">
        <f t="shared" si="1607"/>
        <v>1</v>
      </c>
      <c r="BJ1148" s="1">
        <f t="shared" si="1610"/>
        <v>1</v>
      </c>
      <c r="BK1148" s="1">
        <f t="shared" si="1611"/>
        <v>1</v>
      </c>
      <c r="BL1148" s="1">
        <f t="shared" si="1616"/>
        <v>1</v>
      </c>
      <c r="BM1148" s="1">
        <f t="shared" si="1614"/>
        <v>1</v>
      </c>
      <c r="BN1148" s="1">
        <f t="shared" si="1591"/>
        <v>1</v>
      </c>
      <c r="BO1148" s="1">
        <f t="shared" si="1592"/>
        <v>1</v>
      </c>
    </row>
    <row r="1149" spans="1:67" ht="30.95" customHeight="1">
      <c r="A1149" s="1">
        <f>31</f>
        <v>31</v>
      </c>
      <c r="B1149" s="1">
        <f>固定流程!A33</f>
        <v>28</v>
      </c>
      <c r="C1149" s="1">
        <f>34</f>
        <v>34</v>
      </c>
      <c r="D1149" s="1">
        <f>2</f>
        <v>2</v>
      </c>
      <c r="E1149" s="1">
        <f>固定流程!C33</f>
        <v>3</v>
      </c>
      <c r="F1149" s="1">
        <f>固定流程!G33</f>
        <v>1</v>
      </c>
      <c r="G1149" s="1" t="str">
        <f>固定流程!H33</f>
        <v>LILYA_WEAK</v>
      </c>
      <c r="H1149" s="1">
        <f>固定流程!F33</f>
        <v>1</v>
      </c>
      <c r="I1149" s="1">
        <f>INDEX(配置与结果!$B$15:$B$18,F1149)</f>
        <v>2296</v>
      </c>
      <c r="J1149" s="1">
        <f>INDEX(配置与结果!$D$15:$D$18,F1149)</f>
        <v>0.7</v>
      </c>
      <c r="K1149" s="1">
        <f>INDEX(配置与结果!$E$15:$E$18,F1149)</f>
        <v>2.0249999999999999</v>
      </c>
      <c r="L1149" s="1">
        <f t="shared" si="1603"/>
        <v>2</v>
      </c>
      <c r="M1149" s="1">
        <f t="shared" si="1604"/>
        <v>10</v>
      </c>
      <c r="N1149" s="1">
        <f t="shared" si="1605"/>
        <v>2</v>
      </c>
      <c r="O1149" s="1">
        <f t="shared" si="1597"/>
        <v>3</v>
      </c>
      <c r="P1149" s="1">
        <f>MIN(方案参数!$AI$34,AZ1148+0+0)</f>
        <v>5</v>
      </c>
      <c r="Q1149" s="1">
        <f t="shared" si="1575"/>
        <v>5</v>
      </c>
      <c r="R1149" s="1">
        <f t="shared" si="1576"/>
        <v>20</v>
      </c>
      <c r="S1149" s="1">
        <f t="shared" si="1577"/>
        <v>3</v>
      </c>
      <c r="T1149" s="1">
        <f t="shared" si="1612"/>
        <v>0</v>
      </c>
      <c r="U1149" s="1">
        <f t="shared" si="1579"/>
        <v>0</v>
      </c>
      <c r="V1149" s="1">
        <f t="shared" si="1580"/>
        <v>4</v>
      </c>
      <c r="W1149" s="1">
        <f t="shared" si="1581"/>
        <v>1</v>
      </c>
      <c r="X1149" s="1">
        <f t="shared" si="1582"/>
        <v>1</v>
      </c>
      <c r="Y1149" s="1">
        <f t="shared" si="1583"/>
        <v>1</v>
      </c>
      <c r="Z1149" s="1">
        <f t="shared" si="1584"/>
        <v>1</v>
      </c>
      <c r="AA1149" s="1">
        <f t="shared" si="1608"/>
        <v>1</v>
      </c>
      <c r="AB1149" s="1">
        <f t="shared" si="1586"/>
        <v>1</v>
      </c>
      <c r="AC1149" s="1">
        <f t="shared" si="1613"/>
        <v>1</v>
      </c>
      <c r="AD1149" s="1">
        <f>ROUNDDOWN(I1149*(1+IF(F1149=3,0.05+方案参数!$Y$34+AA1149*0.12,IF(F1149=4,方案参数!$BZ$34*方案参数!$AS$34,0)))+IF(AND(X1149=1,F1149&lt;&gt;3),方案参数!$CC$34,0)+AC1149*方案参数!$CB$34,0)</f>
        <v>3034</v>
      </c>
      <c r="AE1149" s="1">
        <f>IF(OR(F1149=1,F1149=4),配置与结果!$B$24,配置与结果!$B$25)*MAX(0,1-INDEX(配置与结果!$I$15:$I$18,F1149))</f>
        <v>1200</v>
      </c>
      <c r="AF1149" s="1">
        <f>方案参数!$BL$34</f>
        <v>9</v>
      </c>
      <c r="AG1149" s="1">
        <f>MAX(配置与结果!$B$32,1+INDEX(配置与结果!$F$15:$F$18,F1149)+0.08+方案参数!$CD$34+Q1149*方案参数!$W$34+Y1149*(方案参数!$AN$34+MIN(方案参数!$AO$34,P1149*0.03))+AB1149*方案参数!$BZ$34*0.025-配置与结果!$B$28+方案参数!$AE$34)</f>
        <v>2.6150000000000002</v>
      </c>
      <c r="AH1149" s="1">
        <f>MAX(0,1+V1149*方案参数!$U$34+4*方案参数!$V$34+方案参数!$AE$34-配置与结果!$B$29)</f>
        <v>1.7999999999999998</v>
      </c>
      <c r="AI1149" s="1">
        <f>IF(OR(INDEX(配置与结果!$K$15:$K$18,F1149)=1,G1149="RHI_BERRY"),1+配置与结果!$B$33+P1149*方案参数!$AH$34,1)</f>
        <v>1</v>
      </c>
      <c r="AJ1149" s="1">
        <f>MIN(1,MAX(0,J1149+方案参数!$AB$34-配置与结果!$B$27))</f>
        <v>1</v>
      </c>
      <c r="AK1149" s="1">
        <f>MAX(1,K1149+IF(F1149=2,0.15+方案参数!$CH$34,0)+BN1149*方案参数!$X$34+R1149*方案参数!$AA$34+方案参数!$BP$34-配置与结果!$B$26+Z1149*(方案参数!$AP$34+MIN(方案参数!$AQ$34,P1149*0.03)))</f>
        <v>2.7650000000000001</v>
      </c>
      <c r="AL1149" s="7">
        <f>ROUNDDOWN(MAX(AD1149*配置与结果!$B$31,AD1149-AE1149)*AF1149*AG1149*AH1149*AI1149,0)</f>
        <v>77693</v>
      </c>
      <c r="AM1149" s="7">
        <f>ROUNDDOWN(MAX(AD1149*配置与结果!$B$31,AD1149-AE1149)*AF1149*AG1149*AH1149*AI1149*AK1149,0)</f>
        <v>214823</v>
      </c>
      <c r="AN1149" s="7">
        <f t="shared" si="1546"/>
        <v>214823</v>
      </c>
      <c r="AO1149" s="7">
        <f>0</f>
        <v>0</v>
      </c>
      <c r="AP1149" s="7">
        <f>MAX(0,1+INDEX(配置与结果!$J$15:$J$18,F1149)+IF(T1149&gt;0,方案参数!$BY$34,0)-配置与结果!$B$30)</f>
        <v>1</v>
      </c>
      <c r="AQ1149" s="7">
        <f t="shared" si="1547"/>
        <v>0</v>
      </c>
      <c r="AR1149" s="7">
        <f t="shared" si="1548"/>
        <v>0</v>
      </c>
      <c r="AS1149" s="7">
        <f t="shared" si="1549"/>
        <v>0</v>
      </c>
      <c r="AT1149" s="7">
        <f>IF(U1149&gt;0,ROUNDDOWN(AL1149*方案参数!$AF$34,0)*(1-AJ1149)+ROUNDDOWN(AM1149*方案参数!$AF$34,0)*AJ1149,0)</f>
        <v>0</v>
      </c>
      <c r="AU1149" s="7">
        <f t="shared" si="1550"/>
        <v>214823</v>
      </c>
      <c r="AV1149" s="1">
        <f t="shared" si="1551"/>
        <v>2</v>
      </c>
      <c r="AW1149" s="1">
        <f t="shared" si="1618"/>
        <v>10</v>
      </c>
      <c r="AX1149" s="1">
        <f t="shared" si="1552"/>
        <v>2</v>
      </c>
      <c r="AY1149" s="1">
        <f>MIN(20,MAX(0,O1149+0+1-0))</f>
        <v>4</v>
      </c>
      <c r="AZ1149" s="1">
        <f t="shared" si="1553"/>
        <v>5</v>
      </c>
      <c r="BA1149" s="1">
        <f t="shared" si="1609"/>
        <v>5</v>
      </c>
      <c r="BB1149" s="1">
        <f t="shared" si="1617"/>
        <v>20</v>
      </c>
      <c r="BC1149" s="1">
        <f t="shared" si="1615"/>
        <v>3</v>
      </c>
      <c r="BD1149" s="1">
        <f t="shared" si="1596"/>
        <v>0</v>
      </c>
      <c r="BE1149" s="1">
        <f>MAX(0,U1149-IF(AF1149&gt;0,1,0))+0</f>
        <v>0</v>
      </c>
      <c r="BF1149" s="1">
        <f t="shared" si="1619"/>
        <v>4</v>
      </c>
      <c r="BG1149" s="1">
        <f t="shared" si="1606"/>
        <v>1</v>
      </c>
      <c r="BH1149" s="1">
        <f t="shared" si="1590"/>
        <v>1</v>
      </c>
      <c r="BI1149" s="1">
        <f t="shared" si="1607"/>
        <v>1</v>
      </c>
      <c r="BJ1149" s="1">
        <f t="shared" si="1610"/>
        <v>1</v>
      </c>
      <c r="BK1149" s="1">
        <f t="shared" si="1611"/>
        <v>1</v>
      </c>
      <c r="BL1149" s="1">
        <f t="shared" si="1616"/>
        <v>1</v>
      </c>
      <c r="BM1149" s="1">
        <f t="shared" si="1614"/>
        <v>1</v>
      </c>
      <c r="BN1149" s="1">
        <f t="shared" si="1591"/>
        <v>1</v>
      </c>
      <c r="BO1149" s="1">
        <f t="shared" si="1592"/>
        <v>1</v>
      </c>
    </row>
    <row r="1150" spans="1:67" ht="30.95" customHeight="1">
      <c r="A1150" s="1">
        <f>31</f>
        <v>31</v>
      </c>
      <c r="B1150" s="1">
        <f>固定流程!A34</f>
        <v>29</v>
      </c>
      <c r="C1150" s="1">
        <f>34</f>
        <v>34</v>
      </c>
      <c r="D1150" s="1">
        <f>2</f>
        <v>2</v>
      </c>
      <c r="E1150" s="1">
        <f>固定流程!C34</f>
        <v>3</v>
      </c>
      <c r="F1150" s="1">
        <f>固定流程!G34</f>
        <v>1</v>
      </c>
      <c r="G1150" s="1" t="str">
        <f>固定流程!H34</f>
        <v>LILYA_WEAK</v>
      </c>
      <c r="H1150" s="1">
        <f>固定流程!F34</f>
        <v>1</v>
      </c>
      <c r="I1150" s="1">
        <f>INDEX(配置与结果!$B$15:$B$18,F1150)</f>
        <v>2296</v>
      </c>
      <c r="J1150" s="1">
        <f>INDEX(配置与结果!$D$15:$D$18,F1150)</f>
        <v>0.7</v>
      </c>
      <c r="K1150" s="1">
        <f>INDEX(配置与结果!$E$15:$E$18,F1150)</f>
        <v>2.0249999999999999</v>
      </c>
      <c r="L1150" s="1">
        <f t="shared" si="1603"/>
        <v>2</v>
      </c>
      <c r="M1150" s="1">
        <f t="shared" si="1604"/>
        <v>10</v>
      </c>
      <c r="N1150" s="1">
        <f t="shared" si="1605"/>
        <v>2</v>
      </c>
      <c r="O1150" s="1">
        <f t="shared" si="1597"/>
        <v>4</v>
      </c>
      <c r="P1150" s="1">
        <f>MIN(方案参数!$AI$34,AZ1149+0+0)</f>
        <v>5</v>
      </c>
      <c r="Q1150" s="1">
        <f t="shared" si="1575"/>
        <v>5</v>
      </c>
      <c r="R1150" s="1">
        <f t="shared" si="1576"/>
        <v>20</v>
      </c>
      <c r="S1150" s="1">
        <f t="shared" si="1577"/>
        <v>3</v>
      </c>
      <c r="T1150" s="1">
        <f t="shared" si="1612"/>
        <v>0</v>
      </c>
      <c r="U1150" s="1">
        <f t="shared" si="1579"/>
        <v>0</v>
      </c>
      <c r="V1150" s="1">
        <f t="shared" si="1580"/>
        <v>4</v>
      </c>
      <c r="W1150" s="1">
        <f t="shared" si="1581"/>
        <v>1</v>
      </c>
      <c r="X1150" s="1">
        <f t="shared" si="1582"/>
        <v>1</v>
      </c>
      <c r="Y1150" s="1">
        <f t="shared" si="1583"/>
        <v>1</v>
      </c>
      <c r="Z1150" s="1">
        <f t="shared" si="1584"/>
        <v>1</v>
      </c>
      <c r="AA1150" s="1">
        <f t="shared" si="1608"/>
        <v>1</v>
      </c>
      <c r="AB1150" s="1">
        <f t="shared" si="1586"/>
        <v>1</v>
      </c>
      <c r="AC1150" s="1">
        <f t="shared" si="1613"/>
        <v>1</v>
      </c>
      <c r="AD1150" s="1">
        <f>ROUNDDOWN(I1150*(1+IF(F1150=3,0.05+方案参数!$Y$34+AA1150*0.12,IF(F1150=4,方案参数!$BZ$34*方案参数!$AS$34,0)))+IF(AND(X1150=1,F1150&lt;&gt;3),方案参数!$CC$34,0)+AC1150*方案参数!$CB$34,0)</f>
        <v>3034</v>
      </c>
      <c r="AE1150" s="1">
        <f>IF(OR(F1150=1,F1150=4),配置与结果!$B$24,配置与结果!$B$25)*MAX(0,1-INDEX(配置与结果!$I$15:$I$18,F1150))</f>
        <v>1200</v>
      </c>
      <c r="AF1150" s="1">
        <f>方案参数!$BL$34</f>
        <v>9</v>
      </c>
      <c r="AG1150" s="1">
        <f>MAX(配置与结果!$B$32,1+INDEX(配置与结果!$F$15:$F$18,F1150)+0.08+方案参数!$CD$34+Q1150*方案参数!$W$34+Y1150*(方案参数!$AN$34+MIN(方案参数!$AO$34,P1150*0.03))+AB1150*方案参数!$BZ$34*0.025-配置与结果!$B$28+方案参数!$AE$34)</f>
        <v>2.6150000000000002</v>
      </c>
      <c r="AH1150" s="1">
        <f>MAX(0,1+V1150*方案参数!$U$34+5*方案参数!$V$34+方案参数!$AE$34-配置与结果!$B$29)</f>
        <v>1.8599999999999999</v>
      </c>
      <c r="AI1150" s="1">
        <f>IF(OR(INDEX(配置与结果!$K$15:$K$18,F1150)=1,G1150="RHI_BERRY"),1+配置与结果!$B$33+P1150*方案参数!$AH$34,1)</f>
        <v>1</v>
      </c>
      <c r="AJ1150" s="1">
        <f>MIN(1,MAX(0,J1150+方案参数!$AB$34-配置与结果!$B$27))</f>
        <v>1</v>
      </c>
      <c r="AK1150" s="1">
        <f>MAX(1,K1150+IF(F1150=2,0.15+方案参数!$CH$34,0)+BN1150*方案参数!$X$34+R1150*方案参数!$AA$34+方案参数!$BP$34-配置与结果!$B$26+Z1150*(方案参数!$AP$34+MIN(方案参数!$AQ$34,P1150*0.03)))</f>
        <v>2.7650000000000001</v>
      </c>
      <c r="AL1150" s="7">
        <f>ROUNDDOWN(MAX(AD1150*配置与结果!$B$31,AD1150-AE1150)*AF1150*AG1150*AH1150*AI1150,0)</f>
        <v>80283</v>
      </c>
      <c r="AM1150" s="7">
        <f>ROUNDDOWN(MAX(AD1150*配置与结果!$B$31,AD1150-AE1150)*AF1150*AG1150*AH1150*AI1150*AK1150,0)</f>
        <v>221983</v>
      </c>
      <c r="AN1150" s="7">
        <f t="shared" si="1546"/>
        <v>221983</v>
      </c>
      <c r="AO1150" s="7">
        <f>0</f>
        <v>0</v>
      </c>
      <c r="AP1150" s="7">
        <f>MAX(0,1+INDEX(配置与结果!$J$15:$J$18,F1150)+IF(T1150&gt;0,方案参数!$BY$34,0)-配置与结果!$B$30)</f>
        <v>1</v>
      </c>
      <c r="AQ1150" s="7">
        <f t="shared" si="1547"/>
        <v>0</v>
      </c>
      <c r="AR1150" s="7">
        <f t="shared" si="1548"/>
        <v>0</v>
      </c>
      <c r="AS1150" s="7">
        <f t="shared" si="1549"/>
        <v>0</v>
      </c>
      <c r="AT1150" s="7">
        <f>IF(U1150&gt;0,ROUNDDOWN(AL1150*方案参数!$AF$34,0)*(1-AJ1150)+ROUNDDOWN(AM1150*方案参数!$AF$34,0)*AJ1150,0)</f>
        <v>0</v>
      </c>
      <c r="AU1150" s="7">
        <f t="shared" si="1550"/>
        <v>221983</v>
      </c>
      <c r="AV1150" s="1">
        <f t="shared" si="1551"/>
        <v>2</v>
      </c>
      <c r="AW1150" s="1">
        <f t="shared" si="1618"/>
        <v>10</v>
      </c>
      <c r="AX1150" s="1">
        <f t="shared" si="1552"/>
        <v>2</v>
      </c>
      <c r="AY1150" s="1">
        <f>MIN(20,MAX(0,O1150+0+1-0))</f>
        <v>5</v>
      </c>
      <c r="AZ1150" s="1">
        <f t="shared" si="1553"/>
        <v>5</v>
      </c>
      <c r="BA1150" s="1">
        <f t="shared" si="1609"/>
        <v>5</v>
      </c>
      <c r="BB1150" s="1">
        <f t="shared" si="1617"/>
        <v>20</v>
      </c>
      <c r="BC1150" s="1">
        <f t="shared" si="1615"/>
        <v>3</v>
      </c>
      <c r="BD1150" s="1">
        <f t="shared" si="1596"/>
        <v>0</v>
      </c>
      <c r="BE1150" s="1">
        <f>MAX(0,U1150-IF(AF1150&gt;0,1,0))+0</f>
        <v>0</v>
      </c>
      <c r="BF1150" s="1">
        <f t="shared" si="1619"/>
        <v>4</v>
      </c>
      <c r="BG1150" s="1">
        <f t="shared" si="1606"/>
        <v>1</v>
      </c>
      <c r="BH1150" s="1">
        <f t="shared" si="1590"/>
        <v>1</v>
      </c>
      <c r="BI1150" s="1">
        <f t="shared" si="1607"/>
        <v>1</v>
      </c>
      <c r="BJ1150" s="1">
        <f t="shared" si="1610"/>
        <v>1</v>
      </c>
      <c r="BK1150" s="1">
        <f t="shared" si="1611"/>
        <v>1</v>
      </c>
      <c r="BL1150" s="1">
        <f t="shared" si="1616"/>
        <v>1</v>
      </c>
      <c r="BM1150" s="1">
        <f t="shared" si="1614"/>
        <v>1</v>
      </c>
      <c r="BN1150" s="1">
        <f t="shared" si="1591"/>
        <v>1</v>
      </c>
      <c r="BO1150" s="1">
        <f t="shared" si="1592"/>
        <v>1</v>
      </c>
    </row>
    <row r="1151" spans="1:67" ht="30.95" customHeight="1">
      <c r="A1151" s="1">
        <f>31</f>
        <v>31</v>
      </c>
      <c r="B1151" s="1">
        <f>固定流程!A35</f>
        <v>30</v>
      </c>
      <c r="C1151" s="1">
        <f>34</f>
        <v>34</v>
      </c>
      <c r="D1151" s="1">
        <f>2</f>
        <v>2</v>
      </c>
      <c r="E1151" s="1">
        <f>固定流程!C35</f>
        <v>3</v>
      </c>
      <c r="F1151" s="1">
        <f>固定流程!G35</f>
        <v>2</v>
      </c>
      <c r="G1151" s="1" t="str">
        <f>固定流程!H35</f>
        <v>37_WEAK</v>
      </c>
      <c r="H1151" s="1">
        <f>固定流程!F35</f>
        <v>1</v>
      </c>
      <c r="I1151" s="1">
        <f>INDEX(配置与结果!$B$15:$B$18,F1151)</f>
        <v>2306</v>
      </c>
      <c r="J1151" s="1">
        <f>INDEX(配置与结果!$D$15:$D$18,F1151)</f>
        <v>0.46</v>
      </c>
      <c r="K1151" s="1">
        <f>INDEX(配置与结果!$E$15:$E$18,F1151)</f>
        <v>1.9279999999999999</v>
      </c>
      <c r="L1151" s="1">
        <f t="shared" si="1603"/>
        <v>2</v>
      </c>
      <c r="M1151" s="1">
        <f t="shared" si="1604"/>
        <v>10</v>
      </c>
      <c r="N1151" s="1">
        <f t="shared" si="1605"/>
        <v>2</v>
      </c>
      <c r="O1151" s="1">
        <f t="shared" si="1597"/>
        <v>5</v>
      </c>
      <c r="P1151" s="1">
        <f>MIN(方案参数!$AI$34,AZ1150+0+0)</f>
        <v>5</v>
      </c>
      <c r="Q1151" s="1">
        <f t="shared" si="1575"/>
        <v>5</v>
      </c>
      <c r="R1151" s="1">
        <f t="shared" si="1576"/>
        <v>20</v>
      </c>
      <c r="S1151" s="1">
        <f t="shared" si="1577"/>
        <v>3</v>
      </c>
      <c r="T1151" s="1">
        <f t="shared" si="1612"/>
        <v>0</v>
      </c>
      <c r="U1151" s="1">
        <f t="shared" si="1579"/>
        <v>0</v>
      </c>
      <c r="V1151" s="1">
        <f t="shared" si="1580"/>
        <v>4</v>
      </c>
      <c r="W1151" s="1">
        <f t="shared" si="1581"/>
        <v>1</v>
      </c>
      <c r="X1151" s="1">
        <f t="shared" si="1582"/>
        <v>1</v>
      </c>
      <c r="Y1151" s="1">
        <f t="shared" si="1583"/>
        <v>1</v>
      </c>
      <c r="Z1151" s="1">
        <f t="shared" si="1584"/>
        <v>1</v>
      </c>
      <c r="AA1151" s="1">
        <f t="shared" si="1608"/>
        <v>1</v>
      </c>
      <c r="AB1151" s="1">
        <f t="shared" si="1586"/>
        <v>1</v>
      </c>
      <c r="AC1151" s="1">
        <f t="shared" si="1613"/>
        <v>1</v>
      </c>
      <c r="AD1151" s="1">
        <f>ROUNDDOWN(I1151*(1+IF(F1151=3,0.05+方案参数!$Y$34+AA1151*0.12,IF(F1151=4,方案参数!$BZ$34*方案参数!$AS$34,0)))+IF(AND(X1151=1,F1151&lt;&gt;3),方案参数!$CC$34,0)+AC1151*方案参数!$CB$34,0)</f>
        <v>3044</v>
      </c>
      <c r="AE1151" s="1">
        <f>IF(OR(F1151=1,F1151=4),配置与结果!$B$24,配置与结果!$B$25)*MAX(0,1-INDEX(配置与结果!$I$15:$I$18,F1151))</f>
        <v>1000</v>
      </c>
      <c r="AF1151" s="1">
        <f>方案参数!$CE$34</f>
        <v>8</v>
      </c>
      <c r="AG1151" s="1">
        <f>MAX(配置与结果!$B$32,1+INDEX(配置与结果!$F$15:$F$18,F1151)+0+Q1151*方案参数!$W$34+Y1151*(方案参数!$AN$34+MIN(方案参数!$AO$34,P1151*0.03))+AB1151*方案参数!$BZ$34*0.025-配置与结果!$B$28+方案参数!$AE$34)</f>
        <v>2.2800000000000002</v>
      </c>
      <c r="AH1151" s="1">
        <f>MAX(0,1+V1151*方案参数!$U$34+方案参数!$AE$34-配置与结果!$B$29)</f>
        <v>1.56</v>
      </c>
      <c r="AI1151" s="1">
        <f>IF(OR(INDEX(配置与结果!$K$15:$K$18,F1151)=1,G1151="RHI_BERRY"),1+配置与结果!$B$33+P1151*方案参数!$AH$34,1)</f>
        <v>1</v>
      </c>
      <c r="AJ1151" s="1">
        <f>MIN(1,MAX(0,J1151+方案参数!$AB$34-配置与结果!$B$27))</f>
        <v>0.76</v>
      </c>
      <c r="AK1151" s="1">
        <f>MAX(1,K1151+IF(F1151=2,0.15+方案参数!$CH$34,0)+BN1151*方案参数!$X$34+R1151*方案参数!$AA$34+0-配置与结果!$B$26+Z1151*(方案参数!$AP$34+MIN(方案参数!$AQ$34,P1151*0.03)))</f>
        <v>2.3380000000000001</v>
      </c>
      <c r="AL1151" s="7">
        <f>ROUNDDOWN(MAX(AD1151*配置与结果!$B$31,AD1151-AE1151)*AF1151*AG1151*AH1151*AI1151,0)</f>
        <v>58160</v>
      </c>
      <c r="AM1151" s="7">
        <f>ROUNDDOWN(MAX(AD1151*配置与结果!$B$31,AD1151-AE1151)*AF1151*AG1151*AH1151*AI1151*AK1151,0)</f>
        <v>135979</v>
      </c>
      <c r="AN1151" s="7">
        <f t="shared" si="1546"/>
        <v>117302.44</v>
      </c>
      <c r="AO1151" s="7">
        <f>0</f>
        <v>0</v>
      </c>
      <c r="AP1151" s="7">
        <f>MAX(0,1+INDEX(配置与结果!$J$15:$J$18,F1151)+IF(T1151&gt;0,方案参数!$BY$34,0)-配置与结果!$B$30)</f>
        <v>1</v>
      </c>
      <c r="AQ1151" s="7">
        <f t="shared" si="1547"/>
        <v>0</v>
      </c>
      <c r="AR1151" s="7">
        <f t="shared" si="1548"/>
        <v>0</v>
      </c>
      <c r="AS1151" s="7">
        <f t="shared" si="1549"/>
        <v>0</v>
      </c>
      <c r="AT1151" s="7">
        <f>IF(U1151&gt;0,ROUNDDOWN(AL1151*方案参数!$AF$34,0)*(1-AJ1151)+ROUNDDOWN(AM1151*方案参数!$AF$34,0)*AJ1151,0)</f>
        <v>0</v>
      </c>
      <c r="AU1151" s="7">
        <f t="shared" si="1550"/>
        <v>117302.44</v>
      </c>
      <c r="AV1151" s="1">
        <f t="shared" si="1551"/>
        <v>2</v>
      </c>
      <c r="AW1151" s="1">
        <f t="shared" si="1618"/>
        <v>10</v>
      </c>
      <c r="AX1151" s="1">
        <f t="shared" si="1552"/>
        <v>2</v>
      </c>
      <c r="AY1151" s="1">
        <f>MIN(20,MAX(0,O1151+0+0-0))</f>
        <v>5</v>
      </c>
      <c r="AZ1151" s="1">
        <f t="shared" si="1553"/>
        <v>5</v>
      </c>
      <c r="BA1151" s="1">
        <f t="shared" si="1609"/>
        <v>5</v>
      </c>
      <c r="BB1151" s="1">
        <f t="shared" si="1617"/>
        <v>20</v>
      </c>
      <c r="BC1151" s="1">
        <f t="shared" si="1615"/>
        <v>3</v>
      </c>
      <c r="BD1151" s="1">
        <f t="shared" si="1596"/>
        <v>0</v>
      </c>
      <c r="BE1151" s="1">
        <f>MAX(0,U1151-IF(AF1151&gt;0,1,0))+1</f>
        <v>1</v>
      </c>
      <c r="BF1151" s="1">
        <f t="shared" si="1619"/>
        <v>4</v>
      </c>
      <c r="BG1151" s="1">
        <f t="shared" si="1606"/>
        <v>1</v>
      </c>
      <c r="BH1151" s="1">
        <f t="shared" si="1590"/>
        <v>1</v>
      </c>
      <c r="BI1151" s="1">
        <f t="shared" si="1607"/>
        <v>1</v>
      </c>
      <c r="BJ1151" s="1">
        <f t="shared" si="1610"/>
        <v>1</v>
      </c>
      <c r="BK1151" s="1">
        <f t="shared" si="1611"/>
        <v>1</v>
      </c>
      <c r="BL1151" s="1">
        <f t="shared" si="1616"/>
        <v>1</v>
      </c>
      <c r="BM1151" s="1">
        <f t="shared" si="1614"/>
        <v>1</v>
      </c>
      <c r="BN1151" s="1">
        <f t="shared" si="1591"/>
        <v>1</v>
      </c>
      <c r="BO1151" s="1">
        <f t="shared" si="1592"/>
        <v>1</v>
      </c>
    </row>
    <row r="1152" spans="1:67" ht="30.95" customHeight="1">
      <c r="A1152" s="1">
        <f>31</f>
        <v>31</v>
      </c>
      <c r="B1152" s="1">
        <f>固定流程!A36</f>
        <v>31</v>
      </c>
      <c r="C1152" s="1">
        <f>34</f>
        <v>34</v>
      </c>
      <c r="D1152" s="1">
        <f>2</f>
        <v>2</v>
      </c>
      <c r="E1152" s="1">
        <f>固定流程!C36</f>
        <v>3</v>
      </c>
      <c r="F1152" s="1">
        <f>固定流程!G36</f>
        <v>1</v>
      </c>
      <c r="G1152" s="1" t="str">
        <f>固定流程!H36</f>
        <v>LILYA_THIRD</v>
      </c>
      <c r="H1152" s="1">
        <f>固定流程!F36</f>
        <v>1</v>
      </c>
      <c r="I1152" s="1">
        <f>INDEX(配置与结果!$B$15:$B$18,F1152)</f>
        <v>2296</v>
      </c>
      <c r="J1152" s="1">
        <f>INDEX(配置与结果!$D$15:$D$18,F1152)</f>
        <v>0.7</v>
      </c>
      <c r="K1152" s="1">
        <f>INDEX(配置与结果!$E$15:$E$18,F1152)</f>
        <v>2.0249999999999999</v>
      </c>
      <c r="L1152" s="1">
        <f t="shared" si="1603"/>
        <v>2</v>
      </c>
      <c r="M1152" s="1">
        <f t="shared" si="1604"/>
        <v>10</v>
      </c>
      <c r="N1152" s="1">
        <f t="shared" si="1605"/>
        <v>2</v>
      </c>
      <c r="O1152" s="1">
        <f t="shared" si="1597"/>
        <v>5</v>
      </c>
      <c r="P1152" s="1">
        <f>MIN(方案参数!$AI$34,AZ1151+0+0)</f>
        <v>5</v>
      </c>
      <c r="Q1152" s="1">
        <f t="shared" si="1575"/>
        <v>5</v>
      </c>
      <c r="R1152" s="1">
        <f t="shared" si="1576"/>
        <v>20</v>
      </c>
      <c r="S1152" s="1">
        <f t="shared" si="1577"/>
        <v>3</v>
      </c>
      <c r="T1152" s="1">
        <f t="shared" si="1612"/>
        <v>0</v>
      </c>
      <c r="U1152" s="1">
        <f t="shared" si="1579"/>
        <v>1</v>
      </c>
      <c r="V1152" s="1">
        <f t="shared" si="1580"/>
        <v>4</v>
      </c>
      <c r="W1152" s="1">
        <f t="shared" si="1581"/>
        <v>1</v>
      </c>
      <c r="X1152" s="1">
        <f t="shared" si="1582"/>
        <v>1</v>
      </c>
      <c r="Y1152" s="1">
        <f t="shared" si="1583"/>
        <v>1</v>
      </c>
      <c r="Z1152" s="1">
        <f t="shared" si="1584"/>
        <v>1</v>
      </c>
      <c r="AA1152" s="1">
        <f t="shared" si="1608"/>
        <v>1</v>
      </c>
      <c r="AB1152" s="1">
        <f t="shared" si="1586"/>
        <v>1</v>
      </c>
      <c r="AC1152" s="1">
        <f t="shared" si="1613"/>
        <v>1</v>
      </c>
      <c r="AD1152" s="1">
        <f>ROUNDDOWN(I1152*(1+IF(F1152=3,0.05+方案参数!$Y$34+AA1152*0.12,IF(F1152=4,方案参数!$BZ$34*方案参数!$AS$34,0)))+IF(AND(X1152=1,F1152&lt;&gt;3),方案参数!$CC$34,0)+AC1152*方案参数!$CB$34,0)</f>
        <v>3034</v>
      </c>
      <c r="AE1152" s="1">
        <f>IF(OR(F1152=1,F1152=4),配置与结果!$B$24,配置与结果!$B$25)*MAX(0,1-INDEX(配置与结果!$I$15:$I$18,F1152))</f>
        <v>1200</v>
      </c>
      <c r="AF1152" s="1">
        <f>方案参数!$BM$34</f>
        <v>20</v>
      </c>
      <c r="AG1152" s="1">
        <f>MAX(配置与结果!$B$32,1+INDEX(配置与结果!$F$15:$F$18,F1152)+0.08+方案参数!$CD$34+Q1152*方案参数!$W$34+Y1152*(方案参数!$AN$34+MIN(方案参数!$AO$34,P1152*0.03))+AB1152*方案参数!$BZ$34*0.025-配置与结果!$B$28+方案参数!$AE$34)</f>
        <v>2.6150000000000002</v>
      </c>
      <c r="AH1152" s="1">
        <f>MAX(0,1+V1152*方案参数!$U$34+7*方案参数!$V$34+方案参数!$AE$34-配置与结果!$B$29)</f>
        <v>1.98</v>
      </c>
      <c r="AI1152" s="1">
        <f>IF(OR(INDEX(配置与结果!$K$15:$K$18,F1152)=1,G1152="RHI_BERRY"),1+配置与结果!$B$33+P1152*方案参数!$AH$34,1)</f>
        <v>1</v>
      </c>
      <c r="AJ1152" s="1">
        <f>MIN(1,MAX(0,J1152+方案参数!$AB$34-配置与结果!$B$27))</f>
        <v>1</v>
      </c>
      <c r="AK1152" s="1">
        <f>MAX(1,K1152+IF(F1152=2,0.15+方案参数!$CH$34,0)+BN1152*方案参数!$X$34+R1152*方案参数!$AA$34+方案参数!$BQ$34-配置与结果!$B$26+Z1152*(方案参数!$AP$34+MIN(方案参数!$AQ$34,P1152*0.03)))</f>
        <v>2.9650000000000003</v>
      </c>
      <c r="AL1152" s="7">
        <f>ROUNDDOWN(MAX(AD1152*配置与结果!$B$31,AD1152-AE1152)*AF1152*AG1152*AH1152*AI1152,0)</f>
        <v>189918</v>
      </c>
      <c r="AM1152" s="7">
        <f>ROUNDDOWN(MAX(AD1152*配置与结果!$B$31,AD1152-AE1152)*AF1152*AG1152*AH1152*AI1152*AK1152,0)</f>
        <v>563106</v>
      </c>
      <c r="AN1152" s="7">
        <f t="shared" si="1546"/>
        <v>563106</v>
      </c>
      <c r="AO1152" s="7">
        <f>0</f>
        <v>0</v>
      </c>
      <c r="AP1152" s="7">
        <f>MAX(0,1+INDEX(配置与结果!$J$15:$J$18,F1152)+IF(T1152&gt;0,方案参数!$BY$34,0)-配置与结果!$B$30)</f>
        <v>1</v>
      </c>
      <c r="AQ1152" s="7">
        <f t="shared" si="1547"/>
        <v>0</v>
      </c>
      <c r="AR1152" s="7">
        <f t="shared" si="1548"/>
        <v>0</v>
      </c>
      <c r="AS1152" s="7">
        <f t="shared" si="1549"/>
        <v>0</v>
      </c>
      <c r="AT1152" s="7">
        <f>IF(U1152&gt;0,ROUNDDOWN(AL1152*方案参数!$AF$34,0)*(1-AJ1152)+ROUNDDOWN(AM1152*方案参数!$AF$34,0)*AJ1152,0)</f>
        <v>225242</v>
      </c>
      <c r="AU1152" s="7">
        <f t="shared" si="1550"/>
        <v>788348</v>
      </c>
      <c r="AV1152" s="1">
        <f t="shared" si="1551"/>
        <v>2</v>
      </c>
      <c r="AW1152" s="1">
        <f t="shared" si="1618"/>
        <v>10</v>
      </c>
      <c r="AX1152" s="1">
        <f t="shared" si="1552"/>
        <v>2</v>
      </c>
      <c r="AY1152" s="1">
        <f>MIN(20,MAX(0,O1152+0+1-0))</f>
        <v>6</v>
      </c>
      <c r="AZ1152" s="1">
        <f t="shared" si="1553"/>
        <v>5</v>
      </c>
      <c r="BA1152" s="1">
        <f t="shared" si="1609"/>
        <v>5</v>
      </c>
      <c r="BB1152" s="1">
        <f t="shared" si="1617"/>
        <v>20</v>
      </c>
      <c r="BC1152" s="1">
        <f t="shared" si="1615"/>
        <v>3</v>
      </c>
      <c r="BD1152" s="1">
        <f t="shared" si="1596"/>
        <v>0</v>
      </c>
      <c r="BE1152" s="1">
        <f>MAX(0,U1152-IF(AF1152&gt;0,1,0))+0</f>
        <v>0</v>
      </c>
      <c r="BF1152" s="1">
        <f t="shared" si="1619"/>
        <v>4</v>
      </c>
      <c r="BG1152" s="1">
        <f t="shared" si="1606"/>
        <v>1</v>
      </c>
      <c r="BH1152" s="1">
        <f t="shared" si="1590"/>
        <v>1</v>
      </c>
      <c r="BI1152" s="1">
        <f t="shared" si="1607"/>
        <v>1</v>
      </c>
      <c r="BJ1152" s="1">
        <f t="shared" si="1610"/>
        <v>1</v>
      </c>
      <c r="BK1152" s="1">
        <f t="shared" si="1611"/>
        <v>1</v>
      </c>
      <c r="BL1152" s="1">
        <f t="shared" si="1616"/>
        <v>1</v>
      </c>
      <c r="BM1152" s="1">
        <f t="shared" si="1614"/>
        <v>1</v>
      </c>
      <c r="BN1152" s="1">
        <f t="shared" si="1591"/>
        <v>1</v>
      </c>
      <c r="BO1152" s="1">
        <f t="shared" si="1592"/>
        <v>1</v>
      </c>
    </row>
    <row r="1153" spans="1:67" ht="30.95" customHeight="1">
      <c r="A1153" s="1">
        <f>31</f>
        <v>31</v>
      </c>
      <c r="B1153" s="1">
        <f>固定流程!A37</f>
        <v>32</v>
      </c>
      <c r="C1153" s="1">
        <f>34</f>
        <v>34</v>
      </c>
      <c r="D1153" s="1">
        <f>2</f>
        <v>2</v>
      </c>
      <c r="E1153" s="1">
        <f>固定流程!C37</f>
        <v>3</v>
      </c>
      <c r="F1153" s="1">
        <f>固定流程!G37</f>
        <v>1</v>
      </c>
      <c r="G1153" s="1" t="str">
        <f>固定流程!H37</f>
        <v>LILYA_WEAK</v>
      </c>
      <c r="H1153" s="1">
        <f>固定流程!F37</f>
        <v>1</v>
      </c>
      <c r="I1153" s="1">
        <f>INDEX(配置与结果!$B$15:$B$18,F1153)</f>
        <v>2296</v>
      </c>
      <c r="J1153" s="1">
        <f>INDEX(配置与结果!$D$15:$D$18,F1153)</f>
        <v>0.7</v>
      </c>
      <c r="K1153" s="1">
        <f>INDEX(配置与结果!$E$15:$E$18,F1153)</f>
        <v>2.0249999999999999</v>
      </c>
      <c r="L1153" s="1">
        <f t="shared" si="1603"/>
        <v>2</v>
      </c>
      <c r="M1153" s="1">
        <f t="shared" si="1604"/>
        <v>10</v>
      </c>
      <c r="N1153" s="1">
        <f t="shared" si="1605"/>
        <v>2</v>
      </c>
      <c r="O1153" s="1">
        <f t="shared" si="1597"/>
        <v>6</v>
      </c>
      <c r="P1153" s="1">
        <f>MIN(方案参数!$AI$34,AZ1152+0+0)</f>
        <v>5</v>
      </c>
      <c r="Q1153" s="1">
        <f t="shared" si="1575"/>
        <v>5</v>
      </c>
      <c r="R1153" s="1">
        <f t="shared" si="1576"/>
        <v>20</v>
      </c>
      <c r="S1153" s="1">
        <f t="shared" si="1577"/>
        <v>3</v>
      </c>
      <c r="T1153" s="1">
        <f t="shared" si="1612"/>
        <v>0</v>
      </c>
      <c r="U1153" s="1">
        <f t="shared" si="1579"/>
        <v>0</v>
      </c>
      <c r="V1153" s="1">
        <f t="shared" si="1580"/>
        <v>4</v>
      </c>
      <c r="W1153" s="1">
        <f t="shared" si="1581"/>
        <v>1</v>
      </c>
      <c r="X1153" s="1">
        <f t="shared" si="1582"/>
        <v>1</v>
      </c>
      <c r="Y1153" s="1">
        <f t="shared" si="1583"/>
        <v>1</v>
      </c>
      <c r="Z1153" s="1">
        <f t="shared" si="1584"/>
        <v>1</v>
      </c>
      <c r="AA1153" s="1">
        <f t="shared" si="1608"/>
        <v>1</v>
      </c>
      <c r="AB1153" s="1">
        <f t="shared" si="1586"/>
        <v>1</v>
      </c>
      <c r="AC1153" s="1">
        <f t="shared" si="1613"/>
        <v>1</v>
      </c>
      <c r="AD1153" s="1">
        <f>ROUNDDOWN(I1153*(1+IF(F1153=3,0.05+方案参数!$Y$34+AA1153*0.12,IF(F1153=4,方案参数!$BZ$34*方案参数!$AS$34,0)))+IF(AND(X1153=1,F1153&lt;&gt;3),方案参数!$CC$34,0)+AC1153*方案参数!$CB$34,0)</f>
        <v>3034</v>
      </c>
      <c r="AE1153" s="1">
        <f>IF(OR(F1153=1,F1153=4),配置与结果!$B$24,配置与结果!$B$25)*MAX(0,1-INDEX(配置与结果!$I$15:$I$18,F1153))</f>
        <v>1200</v>
      </c>
      <c r="AF1153" s="1">
        <f>方案参数!$BL$34</f>
        <v>9</v>
      </c>
      <c r="AG1153" s="1">
        <f>MAX(配置与结果!$B$32,1+INDEX(配置与结果!$F$15:$F$18,F1153)+0.08+方案参数!$CD$34+Q1153*方案参数!$W$34+Y1153*(方案参数!$AN$34+MIN(方案参数!$AO$34,P1153*0.03))+AB1153*方案参数!$BZ$34*0.025-配置与结果!$B$28+方案参数!$AE$34)</f>
        <v>2.6150000000000002</v>
      </c>
      <c r="AH1153" s="1">
        <f>MAX(0,1+V1153*方案参数!$U$34+8*方案参数!$V$34+方案参数!$AE$34-配置与结果!$B$29)</f>
        <v>2.04</v>
      </c>
      <c r="AI1153" s="1">
        <f>IF(OR(INDEX(配置与结果!$K$15:$K$18,F1153)=1,G1153="RHI_BERRY"),1+配置与结果!$B$33+P1153*方案参数!$AH$34,1)</f>
        <v>1</v>
      </c>
      <c r="AJ1153" s="1">
        <f>MIN(1,MAX(0,J1153+方案参数!$AB$34-配置与结果!$B$27))</f>
        <v>1</v>
      </c>
      <c r="AK1153" s="1">
        <f>MAX(1,K1153+IF(F1153=2,0.15+方案参数!$CH$34,0)+BN1153*方案参数!$X$34+R1153*方案参数!$AA$34+方案参数!$BP$34-配置与结果!$B$26+Z1153*(方案参数!$AP$34+MIN(方案参数!$AQ$34,P1153*0.03)))</f>
        <v>2.7650000000000001</v>
      </c>
      <c r="AL1153" s="7">
        <f>ROUNDDOWN(MAX(AD1153*配置与结果!$B$31,AD1153-AE1153)*AF1153*AG1153*AH1153*AI1153,0)</f>
        <v>88052</v>
      </c>
      <c r="AM1153" s="7">
        <f>ROUNDDOWN(MAX(AD1153*配置与结果!$B$31,AD1153-AE1153)*AF1153*AG1153*AH1153*AI1153*AK1153,0)</f>
        <v>243466</v>
      </c>
      <c r="AN1153" s="7">
        <f t="shared" si="1546"/>
        <v>243466</v>
      </c>
      <c r="AO1153" s="7">
        <f>0</f>
        <v>0</v>
      </c>
      <c r="AP1153" s="7">
        <f>MAX(0,1+INDEX(配置与结果!$J$15:$J$18,F1153)+IF(T1153&gt;0,方案参数!$BY$34,0)-配置与结果!$B$30)</f>
        <v>1</v>
      </c>
      <c r="AQ1153" s="7">
        <f t="shared" si="1547"/>
        <v>0</v>
      </c>
      <c r="AR1153" s="7">
        <f t="shared" si="1548"/>
        <v>0</v>
      </c>
      <c r="AS1153" s="7">
        <f t="shared" si="1549"/>
        <v>0</v>
      </c>
      <c r="AT1153" s="7">
        <f>IF(U1153&gt;0,ROUNDDOWN(AL1153*方案参数!$AF$34,0)*(1-AJ1153)+ROUNDDOWN(AM1153*方案参数!$AF$34,0)*AJ1153,0)</f>
        <v>0</v>
      </c>
      <c r="AU1153" s="7">
        <f t="shared" si="1550"/>
        <v>243466</v>
      </c>
      <c r="AV1153" s="1">
        <f t="shared" si="1551"/>
        <v>2</v>
      </c>
      <c r="AW1153" s="1">
        <f t="shared" si="1618"/>
        <v>10</v>
      </c>
      <c r="AX1153" s="1">
        <f t="shared" si="1552"/>
        <v>2</v>
      </c>
      <c r="AY1153" s="1">
        <f>MIN(20,MAX(0,O1153+0+1-0))</f>
        <v>7</v>
      </c>
      <c r="AZ1153" s="1">
        <f t="shared" si="1553"/>
        <v>5</v>
      </c>
      <c r="BA1153" s="1">
        <f t="shared" si="1609"/>
        <v>5</v>
      </c>
      <c r="BB1153" s="1">
        <f t="shared" si="1617"/>
        <v>20</v>
      </c>
      <c r="BC1153" s="1">
        <f t="shared" si="1615"/>
        <v>3</v>
      </c>
      <c r="BD1153" s="1">
        <f t="shared" si="1596"/>
        <v>0</v>
      </c>
      <c r="BE1153" s="1">
        <f>MAX(0,U1153-IF(AF1153&gt;0,1,0))+0</f>
        <v>0</v>
      </c>
      <c r="BF1153" s="1">
        <f t="shared" si="1619"/>
        <v>4</v>
      </c>
      <c r="BG1153" s="1">
        <f t="shared" si="1606"/>
        <v>1</v>
      </c>
      <c r="BH1153" s="1">
        <f t="shared" si="1590"/>
        <v>1</v>
      </c>
      <c r="BI1153" s="1">
        <f t="shared" si="1607"/>
        <v>1</v>
      </c>
      <c r="BJ1153" s="1">
        <f t="shared" si="1610"/>
        <v>1</v>
      </c>
      <c r="BK1153" s="1">
        <f t="shared" si="1611"/>
        <v>1</v>
      </c>
      <c r="BL1153" s="1">
        <f t="shared" si="1616"/>
        <v>1</v>
      </c>
      <c r="BM1153" s="1">
        <f t="shared" si="1614"/>
        <v>1</v>
      </c>
      <c r="BN1153" s="1">
        <f t="shared" si="1591"/>
        <v>1</v>
      </c>
      <c r="BO1153" s="1">
        <f t="shared" si="1592"/>
        <v>1</v>
      </c>
    </row>
    <row r="1154" spans="1:67" ht="30.95" customHeight="1">
      <c r="A1154" s="1">
        <f>31</f>
        <v>31</v>
      </c>
      <c r="B1154" s="1">
        <f>固定流程!A38</f>
        <v>33</v>
      </c>
      <c r="C1154" s="1">
        <f>34</f>
        <v>34</v>
      </c>
      <c r="D1154" s="1">
        <f>2</f>
        <v>2</v>
      </c>
      <c r="E1154" s="1">
        <f>固定流程!C38</f>
        <v>3</v>
      </c>
      <c r="F1154" s="1">
        <f>固定流程!G38</f>
        <v>1</v>
      </c>
      <c r="G1154" s="1" t="str">
        <f>固定流程!H38</f>
        <v>LILYA_WEAK</v>
      </c>
      <c r="H1154" s="1">
        <f>固定流程!F38</f>
        <v>1</v>
      </c>
      <c r="I1154" s="1">
        <f>INDEX(配置与结果!$B$15:$B$18,F1154)</f>
        <v>2296</v>
      </c>
      <c r="J1154" s="1">
        <f>INDEX(配置与结果!$D$15:$D$18,F1154)</f>
        <v>0.7</v>
      </c>
      <c r="K1154" s="1">
        <f>INDEX(配置与结果!$E$15:$E$18,F1154)</f>
        <v>2.0249999999999999</v>
      </c>
      <c r="L1154" s="1">
        <f t="shared" si="1603"/>
        <v>2</v>
      </c>
      <c r="M1154" s="1">
        <f t="shared" si="1604"/>
        <v>10</v>
      </c>
      <c r="N1154" s="1">
        <f t="shared" si="1605"/>
        <v>2</v>
      </c>
      <c r="O1154" s="1">
        <f t="shared" si="1597"/>
        <v>7</v>
      </c>
      <c r="P1154" s="1">
        <f>MIN(方案参数!$AI$34,AZ1153+0+0)</f>
        <v>5</v>
      </c>
      <c r="Q1154" s="1">
        <f t="shared" si="1575"/>
        <v>5</v>
      </c>
      <c r="R1154" s="1">
        <f t="shared" si="1576"/>
        <v>20</v>
      </c>
      <c r="S1154" s="1">
        <f t="shared" si="1577"/>
        <v>3</v>
      </c>
      <c r="T1154" s="1">
        <f t="shared" si="1612"/>
        <v>0</v>
      </c>
      <c r="U1154" s="1">
        <f t="shared" si="1579"/>
        <v>0</v>
      </c>
      <c r="V1154" s="1">
        <f t="shared" si="1580"/>
        <v>4</v>
      </c>
      <c r="W1154" s="1">
        <f t="shared" si="1581"/>
        <v>1</v>
      </c>
      <c r="X1154" s="1">
        <f t="shared" si="1582"/>
        <v>1</v>
      </c>
      <c r="Y1154" s="1">
        <f t="shared" si="1583"/>
        <v>1</v>
      </c>
      <c r="Z1154" s="1">
        <f t="shared" si="1584"/>
        <v>1</v>
      </c>
      <c r="AA1154" s="1">
        <f t="shared" si="1608"/>
        <v>1</v>
      </c>
      <c r="AB1154" s="1">
        <f t="shared" si="1586"/>
        <v>1</v>
      </c>
      <c r="AC1154" s="1">
        <f t="shared" si="1613"/>
        <v>1</v>
      </c>
      <c r="AD1154" s="1">
        <f>ROUNDDOWN(I1154*(1+IF(F1154=3,0.05+方案参数!$Y$34+AA1154*0.12,IF(F1154=4,方案参数!$BZ$34*方案参数!$AS$34,0)))+IF(AND(X1154=1,F1154&lt;&gt;3),方案参数!$CC$34,0)+AC1154*方案参数!$CB$34,0)</f>
        <v>3034</v>
      </c>
      <c r="AE1154" s="1">
        <f>IF(OR(F1154=1,F1154=4),配置与结果!$B$24,配置与结果!$B$25)*MAX(0,1-INDEX(配置与结果!$I$15:$I$18,F1154))</f>
        <v>1200</v>
      </c>
      <c r="AF1154" s="1">
        <f>方案参数!$BL$34</f>
        <v>9</v>
      </c>
      <c r="AG1154" s="1">
        <f>MAX(配置与结果!$B$32,1+INDEX(配置与结果!$F$15:$F$18,F1154)+0.08+方案参数!$CD$34+Q1154*方案参数!$W$34+Y1154*(方案参数!$AN$34+MIN(方案参数!$AO$34,P1154*0.03))+AB1154*方案参数!$BZ$34*0.025-配置与结果!$B$28+方案参数!$AE$34)</f>
        <v>2.6150000000000002</v>
      </c>
      <c r="AH1154" s="1">
        <f>MAX(0,1+V1154*方案参数!$U$34+9*方案参数!$V$34+方案参数!$AE$34-配置与结果!$B$29)</f>
        <v>2.1</v>
      </c>
      <c r="AI1154" s="1">
        <f>IF(OR(INDEX(配置与结果!$K$15:$K$18,F1154)=1,G1154="RHI_BERRY"),1+配置与结果!$B$33+P1154*方案参数!$AH$34,1)</f>
        <v>1</v>
      </c>
      <c r="AJ1154" s="1">
        <f>MIN(1,MAX(0,J1154+方案参数!$AB$34-配置与结果!$B$27))</f>
        <v>1</v>
      </c>
      <c r="AK1154" s="1">
        <f>MAX(1,K1154+IF(F1154=2,0.15+方案参数!$CH$34,0)+BN1154*方案参数!$X$34+R1154*方案参数!$AA$34+方案参数!$BP$34-配置与结果!$B$26+Z1154*(方案参数!$AP$34+MIN(方案参数!$AQ$34,P1154*0.03)))</f>
        <v>2.7650000000000001</v>
      </c>
      <c r="AL1154" s="7">
        <f>ROUNDDOWN(MAX(AD1154*配置与结果!$B$31,AD1154-AE1154)*AF1154*AG1154*AH1154*AI1154,0)</f>
        <v>90642</v>
      </c>
      <c r="AM1154" s="7">
        <f>ROUNDDOWN(MAX(AD1154*配置与结果!$B$31,AD1154-AE1154)*AF1154*AG1154*AH1154*AI1154*AK1154,0)</f>
        <v>250627</v>
      </c>
      <c r="AN1154" s="7">
        <f t="shared" si="1546"/>
        <v>250627</v>
      </c>
      <c r="AO1154" s="7">
        <f>0</f>
        <v>0</v>
      </c>
      <c r="AP1154" s="7">
        <f>MAX(0,1+INDEX(配置与结果!$J$15:$J$18,F1154)+IF(T1154&gt;0,方案参数!$BY$34,0)-配置与结果!$B$30)</f>
        <v>1</v>
      </c>
      <c r="AQ1154" s="7">
        <f t="shared" si="1547"/>
        <v>0</v>
      </c>
      <c r="AR1154" s="7">
        <f t="shared" si="1548"/>
        <v>0</v>
      </c>
      <c r="AS1154" s="7">
        <f t="shared" si="1549"/>
        <v>0</v>
      </c>
      <c r="AT1154" s="7">
        <f>IF(U1154&gt;0,ROUNDDOWN(AL1154*方案参数!$AF$34,0)*(1-AJ1154)+ROUNDDOWN(AM1154*方案参数!$AF$34,0)*AJ1154,0)</f>
        <v>0</v>
      </c>
      <c r="AU1154" s="7">
        <f t="shared" si="1550"/>
        <v>250627</v>
      </c>
      <c r="AV1154" s="1">
        <f t="shared" si="1551"/>
        <v>2</v>
      </c>
      <c r="AW1154" s="1">
        <f t="shared" si="1618"/>
        <v>10</v>
      </c>
      <c r="AX1154" s="1">
        <f t="shared" si="1552"/>
        <v>2</v>
      </c>
      <c r="AY1154" s="1">
        <f>MIN(20,MAX(0,O1154+0+1-0))</f>
        <v>8</v>
      </c>
      <c r="AZ1154" s="1">
        <f t="shared" si="1553"/>
        <v>5</v>
      </c>
      <c r="BA1154" s="1">
        <f t="shared" si="1609"/>
        <v>5</v>
      </c>
      <c r="BB1154" s="1">
        <f t="shared" si="1617"/>
        <v>20</v>
      </c>
      <c r="BC1154" s="1">
        <f t="shared" si="1615"/>
        <v>3</v>
      </c>
      <c r="BD1154" s="1">
        <f t="shared" si="1596"/>
        <v>0</v>
      </c>
      <c r="BE1154" s="1">
        <f>MAX(0,U1154-IF(AF1154&gt;0,1,0))+0</f>
        <v>0</v>
      </c>
      <c r="BF1154" s="1">
        <f t="shared" si="1619"/>
        <v>4</v>
      </c>
      <c r="BG1154" s="1">
        <f t="shared" si="1606"/>
        <v>1</v>
      </c>
      <c r="BH1154" s="1">
        <f t="shared" si="1590"/>
        <v>1</v>
      </c>
      <c r="BI1154" s="1">
        <f t="shared" si="1607"/>
        <v>1</v>
      </c>
      <c r="BJ1154" s="1">
        <f t="shared" si="1610"/>
        <v>1</v>
      </c>
      <c r="BK1154" s="1">
        <f t="shared" si="1611"/>
        <v>1</v>
      </c>
      <c r="BL1154" s="1">
        <f t="shared" si="1616"/>
        <v>1</v>
      </c>
      <c r="BM1154" s="1">
        <f t="shared" si="1614"/>
        <v>1</v>
      </c>
      <c r="BN1154" s="1">
        <f t="shared" si="1591"/>
        <v>1</v>
      </c>
      <c r="BO1154" s="1">
        <f t="shared" si="1592"/>
        <v>1</v>
      </c>
    </row>
    <row r="1155" spans="1:67" ht="30.95" customHeight="1">
      <c r="A1155" s="1">
        <f>31</f>
        <v>31</v>
      </c>
      <c r="B1155" s="1">
        <f>固定流程!A39</f>
        <v>34</v>
      </c>
      <c r="C1155" s="1">
        <f>34</f>
        <v>34</v>
      </c>
      <c r="D1155" s="1">
        <f>2</f>
        <v>2</v>
      </c>
      <c r="E1155" s="1">
        <f>固定流程!C39</f>
        <v>3</v>
      </c>
      <c r="F1155" s="1">
        <f>固定流程!G39</f>
        <v>2</v>
      </c>
      <c r="G1155" s="1" t="str">
        <f>固定流程!H39</f>
        <v>37_WEAK</v>
      </c>
      <c r="H1155" s="1">
        <f>固定流程!F39</f>
        <v>1</v>
      </c>
      <c r="I1155" s="1">
        <f>INDEX(配置与结果!$B$15:$B$18,F1155)</f>
        <v>2306</v>
      </c>
      <c r="J1155" s="1">
        <f>INDEX(配置与结果!$D$15:$D$18,F1155)</f>
        <v>0.46</v>
      </c>
      <c r="K1155" s="1">
        <f>INDEX(配置与结果!$E$15:$E$18,F1155)</f>
        <v>1.9279999999999999</v>
      </c>
      <c r="L1155" s="1">
        <f t="shared" si="1603"/>
        <v>2</v>
      </c>
      <c r="M1155" s="1">
        <f t="shared" si="1604"/>
        <v>10</v>
      </c>
      <c r="N1155" s="1">
        <f t="shared" si="1605"/>
        <v>2</v>
      </c>
      <c r="O1155" s="1">
        <f t="shared" si="1597"/>
        <v>8</v>
      </c>
      <c r="P1155" s="1">
        <f>MIN(方案参数!$AI$34,AZ1154+0+0)</f>
        <v>5</v>
      </c>
      <c r="Q1155" s="1">
        <f t="shared" si="1575"/>
        <v>5</v>
      </c>
      <c r="R1155" s="1">
        <f t="shared" si="1576"/>
        <v>20</v>
      </c>
      <c r="S1155" s="1">
        <f t="shared" si="1577"/>
        <v>3</v>
      </c>
      <c r="T1155" s="1">
        <f t="shared" si="1612"/>
        <v>0</v>
      </c>
      <c r="U1155" s="1">
        <f t="shared" si="1579"/>
        <v>0</v>
      </c>
      <c r="V1155" s="1">
        <f t="shared" si="1580"/>
        <v>4</v>
      </c>
      <c r="W1155" s="1">
        <f t="shared" si="1581"/>
        <v>1</v>
      </c>
      <c r="X1155" s="1">
        <f t="shared" si="1582"/>
        <v>1</v>
      </c>
      <c r="Y1155" s="1">
        <f t="shared" si="1583"/>
        <v>1</v>
      </c>
      <c r="Z1155" s="1">
        <f t="shared" si="1584"/>
        <v>1</v>
      </c>
      <c r="AA1155" s="1">
        <f t="shared" si="1608"/>
        <v>1</v>
      </c>
      <c r="AB1155" s="1">
        <f t="shared" si="1586"/>
        <v>1</v>
      </c>
      <c r="AC1155" s="1">
        <f t="shared" si="1613"/>
        <v>1</v>
      </c>
      <c r="AD1155" s="1">
        <f>ROUNDDOWN(I1155*(1+IF(F1155=3,0.05+方案参数!$Y$34+AA1155*0.12,IF(F1155=4,方案参数!$BZ$34*方案参数!$AS$34,0)))+IF(AND(X1155=1,F1155&lt;&gt;3),方案参数!$CC$34,0)+AC1155*方案参数!$CB$34,0)</f>
        <v>3044</v>
      </c>
      <c r="AE1155" s="1">
        <f>IF(OR(F1155=1,F1155=4),配置与结果!$B$24,配置与结果!$B$25)*MAX(0,1-INDEX(配置与结果!$I$15:$I$18,F1155))</f>
        <v>1000</v>
      </c>
      <c r="AF1155" s="1">
        <f>方案参数!$CE$34</f>
        <v>8</v>
      </c>
      <c r="AG1155" s="1">
        <f>MAX(配置与结果!$B$32,1+INDEX(配置与结果!$F$15:$F$18,F1155)+0+Q1155*方案参数!$W$34+Y1155*(方案参数!$AN$34+MIN(方案参数!$AO$34,P1155*0.03))+AB1155*方案参数!$BZ$34*0.025-配置与结果!$B$28+方案参数!$AE$34)</f>
        <v>2.2800000000000002</v>
      </c>
      <c r="AH1155" s="1">
        <f>MAX(0,1+V1155*方案参数!$U$34+方案参数!$AE$34-配置与结果!$B$29)</f>
        <v>1.56</v>
      </c>
      <c r="AI1155" s="1">
        <f>IF(OR(INDEX(配置与结果!$K$15:$K$18,F1155)=1,G1155="RHI_BERRY"),1+配置与结果!$B$33+P1155*方案参数!$AH$34,1)</f>
        <v>1</v>
      </c>
      <c r="AJ1155" s="1">
        <f>MIN(1,MAX(0,J1155+方案参数!$AB$34-配置与结果!$B$27))</f>
        <v>0.76</v>
      </c>
      <c r="AK1155" s="1">
        <f>MAX(1,K1155+IF(F1155=2,0.15+方案参数!$CH$34,0)+BN1155*方案参数!$X$34+R1155*方案参数!$AA$34+0-配置与结果!$B$26+Z1155*(方案参数!$AP$34+MIN(方案参数!$AQ$34,P1155*0.03)))</f>
        <v>2.3380000000000001</v>
      </c>
      <c r="AL1155" s="7">
        <f>ROUNDDOWN(MAX(AD1155*配置与结果!$B$31,AD1155-AE1155)*AF1155*AG1155*AH1155*AI1155,0)</f>
        <v>58160</v>
      </c>
      <c r="AM1155" s="7">
        <f>ROUNDDOWN(MAX(AD1155*配置与结果!$B$31,AD1155-AE1155)*AF1155*AG1155*AH1155*AI1155*AK1155,0)</f>
        <v>135979</v>
      </c>
      <c r="AN1155" s="7">
        <f t="shared" si="1546"/>
        <v>117302.44</v>
      </c>
      <c r="AO1155" s="7">
        <f>0</f>
        <v>0</v>
      </c>
      <c r="AP1155" s="7">
        <f>MAX(0,1+INDEX(配置与结果!$J$15:$J$18,F1155)+IF(T1155&gt;0,方案参数!$BY$34,0)-配置与结果!$B$30)</f>
        <v>1</v>
      </c>
      <c r="AQ1155" s="7">
        <f t="shared" si="1547"/>
        <v>0</v>
      </c>
      <c r="AR1155" s="7">
        <f t="shared" si="1548"/>
        <v>0</v>
      </c>
      <c r="AS1155" s="7">
        <f t="shared" si="1549"/>
        <v>0</v>
      </c>
      <c r="AT1155" s="7">
        <f>IF(U1155&gt;0,ROUNDDOWN(AL1155*方案参数!$AF$34,0)*(1-AJ1155)+ROUNDDOWN(AM1155*方案参数!$AF$34,0)*AJ1155,0)</f>
        <v>0</v>
      </c>
      <c r="AU1155" s="7">
        <f t="shared" si="1550"/>
        <v>117302.44</v>
      </c>
      <c r="AV1155" s="1">
        <f t="shared" si="1551"/>
        <v>2</v>
      </c>
      <c r="AW1155" s="1">
        <f t="shared" si="1618"/>
        <v>10</v>
      </c>
      <c r="AX1155" s="1">
        <f t="shared" si="1552"/>
        <v>2</v>
      </c>
      <c r="AY1155" s="1">
        <f>MIN(20,MAX(0,O1155+0+0-0))</f>
        <v>8</v>
      </c>
      <c r="AZ1155" s="1">
        <f t="shared" si="1553"/>
        <v>5</v>
      </c>
      <c r="BA1155" s="1">
        <f t="shared" si="1609"/>
        <v>5</v>
      </c>
      <c r="BB1155" s="1">
        <f t="shared" si="1617"/>
        <v>20</v>
      </c>
      <c r="BC1155" s="1">
        <f t="shared" si="1615"/>
        <v>3</v>
      </c>
      <c r="BD1155" s="1">
        <f t="shared" si="1596"/>
        <v>0</v>
      </c>
      <c r="BE1155" s="1">
        <f>MAX(0,U1155-IF(AF1155&gt;0,1,0))+1</f>
        <v>1</v>
      </c>
      <c r="BF1155" s="1">
        <f t="shared" si="1619"/>
        <v>4</v>
      </c>
      <c r="BG1155" s="1">
        <f t="shared" si="1606"/>
        <v>1</v>
      </c>
      <c r="BH1155" s="1">
        <f t="shared" si="1590"/>
        <v>1</v>
      </c>
      <c r="BI1155" s="1">
        <f t="shared" si="1607"/>
        <v>1</v>
      </c>
      <c r="BJ1155" s="1">
        <f t="shared" si="1610"/>
        <v>1</v>
      </c>
      <c r="BK1155" s="1">
        <f t="shared" si="1611"/>
        <v>1</v>
      </c>
      <c r="BL1155" s="1">
        <f t="shared" si="1616"/>
        <v>1</v>
      </c>
      <c r="BM1155" s="1">
        <f t="shared" si="1614"/>
        <v>1</v>
      </c>
      <c r="BN1155" s="1">
        <f t="shared" si="1591"/>
        <v>1</v>
      </c>
      <c r="BO1155" s="1">
        <f t="shared" si="1592"/>
        <v>1</v>
      </c>
    </row>
    <row r="1156" spans="1:67" ht="30.95" customHeight="1">
      <c r="A1156" s="1">
        <f>31</f>
        <v>31</v>
      </c>
      <c r="B1156" s="1">
        <f>固定流程!A40</f>
        <v>35</v>
      </c>
      <c r="C1156" s="1">
        <f>34</f>
        <v>34</v>
      </c>
      <c r="D1156" s="1">
        <f>2</f>
        <v>2</v>
      </c>
      <c r="E1156" s="1">
        <f>固定流程!C40</f>
        <v>3</v>
      </c>
      <c r="F1156" s="1">
        <f>固定流程!G40</f>
        <v>2</v>
      </c>
      <c r="G1156" s="1" t="str">
        <f>固定流程!H40</f>
        <v>37_WEAK</v>
      </c>
      <c r="H1156" s="1">
        <f>固定流程!F40</f>
        <v>1</v>
      </c>
      <c r="I1156" s="1">
        <f>INDEX(配置与结果!$B$15:$B$18,F1156)</f>
        <v>2306</v>
      </c>
      <c r="J1156" s="1">
        <f>INDEX(配置与结果!$D$15:$D$18,F1156)</f>
        <v>0.46</v>
      </c>
      <c r="K1156" s="1">
        <f>INDEX(配置与结果!$E$15:$E$18,F1156)</f>
        <v>1.9279999999999999</v>
      </c>
      <c r="L1156" s="1">
        <f t="shared" si="1603"/>
        <v>2</v>
      </c>
      <c r="M1156" s="1">
        <f t="shared" si="1604"/>
        <v>10</v>
      </c>
      <c r="N1156" s="1">
        <f t="shared" si="1605"/>
        <v>2</v>
      </c>
      <c r="O1156" s="1">
        <f t="shared" si="1597"/>
        <v>8</v>
      </c>
      <c r="P1156" s="1">
        <f>MIN(方案参数!$AI$34,AZ1155+0+0)</f>
        <v>5</v>
      </c>
      <c r="Q1156" s="1">
        <f t="shared" si="1575"/>
        <v>5</v>
      </c>
      <c r="R1156" s="1">
        <f t="shared" si="1576"/>
        <v>20</v>
      </c>
      <c r="S1156" s="1">
        <f t="shared" si="1577"/>
        <v>3</v>
      </c>
      <c r="T1156" s="1">
        <f t="shared" si="1612"/>
        <v>0</v>
      </c>
      <c r="U1156" s="1">
        <f t="shared" si="1579"/>
        <v>1</v>
      </c>
      <c r="V1156" s="1">
        <f t="shared" si="1580"/>
        <v>4</v>
      </c>
      <c r="W1156" s="1">
        <f t="shared" si="1581"/>
        <v>1</v>
      </c>
      <c r="X1156" s="1">
        <f t="shared" si="1582"/>
        <v>1</v>
      </c>
      <c r="Y1156" s="1">
        <f t="shared" si="1583"/>
        <v>1</v>
      </c>
      <c r="Z1156" s="1">
        <f t="shared" si="1584"/>
        <v>1</v>
      </c>
      <c r="AA1156" s="1">
        <f t="shared" si="1608"/>
        <v>1</v>
      </c>
      <c r="AB1156" s="1">
        <f t="shared" si="1586"/>
        <v>1</v>
      </c>
      <c r="AC1156" s="1">
        <f t="shared" si="1613"/>
        <v>1</v>
      </c>
      <c r="AD1156" s="1">
        <f>ROUNDDOWN(I1156*(1+IF(F1156=3,0.05+方案参数!$Y$34+AA1156*0.12,IF(F1156=4,方案参数!$BZ$34*方案参数!$AS$34,0)))+IF(AND(X1156=1,F1156&lt;&gt;3),方案参数!$CC$34,0)+AC1156*方案参数!$CB$34,0)</f>
        <v>3044</v>
      </c>
      <c r="AE1156" s="1">
        <f>IF(OR(F1156=1,F1156=4),配置与结果!$B$24,配置与结果!$B$25)*MAX(0,1-INDEX(配置与结果!$I$15:$I$18,F1156))</f>
        <v>1000</v>
      </c>
      <c r="AF1156" s="1">
        <f>方案参数!$CE$34</f>
        <v>8</v>
      </c>
      <c r="AG1156" s="1">
        <f>MAX(配置与结果!$B$32,1+INDEX(配置与结果!$F$15:$F$18,F1156)+0+Q1156*方案参数!$W$34+Y1156*(方案参数!$AN$34+MIN(方案参数!$AO$34,P1156*0.03))+AB1156*方案参数!$BZ$34*0.025-配置与结果!$B$28+方案参数!$AE$34)</f>
        <v>2.2800000000000002</v>
      </c>
      <c r="AH1156" s="1">
        <f>MAX(0,1+V1156*方案参数!$U$34+方案参数!$AE$34-配置与结果!$B$29)</f>
        <v>1.56</v>
      </c>
      <c r="AI1156" s="1">
        <f>IF(OR(INDEX(配置与结果!$K$15:$K$18,F1156)=1,G1156="RHI_BERRY"),1+配置与结果!$B$33+P1156*方案参数!$AH$34,1)</f>
        <v>1</v>
      </c>
      <c r="AJ1156" s="1">
        <f>MIN(1,MAX(0,J1156+方案参数!$AB$34-配置与结果!$B$27))</f>
        <v>0.76</v>
      </c>
      <c r="AK1156" s="1">
        <f>MAX(1,K1156+IF(F1156=2,0.15+方案参数!$CH$34,0)+BN1156*方案参数!$X$34+R1156*方案参数!$AA$34+0-配置与结果!$B$26+Z1156*(方案参数!$AP$34+MIN(方案参数!$AQ$34,P1156*0.03)))</f>
        <v>2.3380000000000001</v>
      </c>
      <c r="AL1156" s="7">
        <f>ROUNDDOWN(MAX(AD1156*配置与结果!$B$31,AD1156-AE1156)*AF1156*AG1156*AH1156*AI1156,0)</f>
        <v>58160</v>
      </c>
      <c r="AM1156" s="7">
        <f>ROUNDDOWN(MAX(AD1156*配置与结果!$B$31,AD1156-AE1156)*AF1156*AG1156*AH1156*AI1156*AK1156,0)</f>
        <v>135979</v>
      </c>
      <c r="AN1156" s="7">
        <f t="shared" si="1546"/>
        <v>117302.44</v>
      </c>
      <c r="AO1156" s="7">
        <f>0</f>
        <v>0</v>
      </c>
      <c r="AP1156" s="7">
        <f>MAX(0,1+INDEX(配置与结果!$J$15:$J$18,F1156)+IF(T1156&gt;0,方案参数!$BY$34,0)-配置与结果!$B$30)</f>
        <v>1</v>
      </c>
      <c r="AQ1156" s="7">
        <f t="shared" si="1547"/>
        <v>0</v>
      </c>
      <c r="AR1156" s="7">
        <f t="shared" si="1548"/>
        <v>0</v>
      </c>
      <c r="AS1156" s="7">
        <f t="shared" si="1549"/>
        <v>0</v>
      </c>
      <c r="AT1156" s="7">
        <f>IF(U1156&gt;0,ROUNDDOWN(AL1156*方案参数!$AF$34,0)*(1-AJ1156)+ROUNDDOWN(AM1156*方案参数!$AF$34,0)*AJ1156,0)</f>
        <v>46920.520000000004</v>
      </c>
      <c r="AU1156" s="7">
        <f t="shared" si="1550"/>
        <v>164222.96000000002</v>
      </c>
      <c r="AV1156" s="1">
        <f t="shared" si="1551"/>
        <v>2</v>
      </c>
      <c r="AW1156" s="1">
        <f t="shared" si="1618"/>
        <v>10</v>
      </c>
      <c r="AX1156" s="1">
        <f t="shared" si="1552"/>
        <v>2</v>
      </c>
      <c r="AY1156" s="1">
        <f>MIN(20,MAX(0,O1156+0+0-0))</f>
        <v>8</v>
      </c>
      <c r="AZ1156" s="1">
        <f t="shared" si="1553"/>
        <v>5</v>
      </c>
      <c r="BA1156" s="1">
        <f t="shared" si="1609"/>
        <v>5</v>
      </c>
      <c r="BB1156" s="1">
        <f t="shared" si="1617"/>
        <v>20</v>
      </c>
      <c r="BC1156" s="1">
        <f t="shared" si="1615"/>
        <v>3</v>
      </c>
      <c r="BD1156" s="1">
        <f t="shared" si="1596"/>
        <v>0</v>
      </c>
      <c r="BE1156" s="1">
        <f>MAX(0,U1156-IF(AF1156&gt;0,1,0))+1</f>
        <v>1</v>
      </c>
      <c r="BF1156" s="1">
        <f t="shared" si="1619"/>
        <v>4</v>
      </c>
      <c r="BG1156" s="1">
        <f t="shared" si="1606"/>
        <v>1</v>
      </c>
      <c r="BH1156" s="1">
        <f t="shared" si="1590"/>
        <v>1</v>
      </c>
      <c r="BI1156" s="1">
        <f t="shared" si="1607"/>
        <v>1</v>
      </c>
      <c r="BJ1156" s="1">
        <f t="shared" si="1610"/>
        <v>1</v>
      </c>
      <c r="BK1156" s="1">
        <f t="shared" si="1611"/>
        <v>1</v>
      </c>
      <c r="BL1156" s="1">
        <f t="shared" si="1616"/>
        <v>1</v>
      </c>
      <c r="BM1156" s="1">
        <f t="shared" si="1614"/>
        <v>1</v>
      </c>
      <c r="BN1156" s="1">
        <f t="shared" si="1591"/>
        <v>1</v>
      </c>
      <c r="BO1156" s="1">
        <f t="shared" si="1592"/>
        <v>1</v>
      </c>
    </row>
    <row r="1157" spans="1:67" ht="30.95" customHeight="1">
      <c r="A1157" s="1">
        <f>31</f>
        <v>31</v>
      </c>
      <c r="B1157" s="1">
        <f>固定流程!A41</f>
        <v>36</v>
      </c>
      <c r="C1157" s="1">
        <f>34</f>
        <v>34</v>
      </c>
      <c r="D1157" s="1">
        <f>2</f>
        <v>2</v>
      </c>
      <c r="E1157" s="1">
        <f>固定流程!C41</f>
        <v>3</v>
      </c>
      <c r="F1157" s="1">
        <f>固定流程!G41</f>
        <v>1</v>
      </c>
      <c r="G1157" s="1" t="str">
        <f>固定流程!H41</f>
        <v>LILYA_FINISH</v>
      </c>
      <c r="H1157" s="1">
        <f>固定流程!F41</f>
        <v>1</v>
      </c>
      <c r="I1157" s="1">
        <f>INDEX(配置与结果!$B$15:$B$18,F1157)</f>
        <v>2296</v>
      </c>
      <c r="J1157" s="1">
        <f>INDEX(配置与结果!$D$15:$D$18,F1157)</f>
        <v>0.7</v>
      </c>
      <c r="K1157" s="1">
        <f>INDEX(配置与结果!$E$15:$E$18,F1157)</f>
        <v>2.0249999999999999</v>
      </c>
      <c r="L1157" s="1">
        <f t="shared" si="1603"/>
        <v>2</v>
      </c>
      <c r="M1157" s="1">
        <f t="shared" si="1604"/>
        <v>10</v>
      </c>
      <c r="N1157" s="1">
        <f t="shared" si="1605"/>
        <v>2</v>
      </c>
      <c r="O1157" s="1">
        <f t="shared" si="1597"/>
        <v>8</v>
      </c>
      <c r="P1157" s="1">
        <f>MIN(方案参数!$AI$34,AZ1156+0+0)</f>
        <v>5</v>
      </c>
      <c r="Q1157" s="1">
        <f t="shared" si="1575"/>
        <v>5</v>
      </c>
      <c r="R1157" s="1">
        <f t="shared" si="1576"/>
        <v>20</v>
      </c>
      <c r="S1157" s="1">
        <f t="shared" si="1577"/>
        <v>3</v>
      </c>
      <c r="T1157" s="1">
        <f t="shared" si="1612"/>
        <v>0</v>
      </c>
      <c r="U1157" s="1">
        <f t="shared" si="1579"/>
        <v>1</v>
      </c>
      <c r="V1157" s="1">
        <f t="shared" si="1580"/>
        <v>4</v>
      </c>
      <c r="W1157" s="1">
        <f t="shared" si="1581"/>
        <v>1</v>
      </c>
      <c r="X1157" s="1">
        <f t="shared" si="1582"/>
        <v>1</v>
      </c>
      <c r="Y1157" s="1">
        <f t="shared" si="1583"/>
        <v>1</v>
      </c>
      <c r="Z1157" s="1">
        <f t="shared" si="1584"/>
        <v>1</v>
      </c>
      <c r="AA1157" s="1">
        <f t="shared" si="1608"/>
        <v>1</v>
      </c>
      <c r="AB1157" s="1">
        <f t="shared" si="1586"/>
        <v>1</v>
      </c>
      <c r="AC1157" s="1">
        <f t="shared" si="1613"/>
        <v>1</v>
      </c>
      <c r="AD1157" s="1">
        <f>ROUNDDOWN(I1157*(1+IF(F1157=3,0.05+方案参数!$Y$34+AA1157*0.12,IF(F1157=4,方案参数!$BZ$34*方案参数!$AS$34,0)))+IF(AND(X1157=1,F1157&lt;&gt;3),方案参数!$CC$34,0)+AC1157*方案参数!$CB$34,0)</f>
        <v>3034</v>
      </c>
      <c r="AE1157" s="1">
        <f>IF(OR(F1157=1,F1157=4),配置与结果!$B$24,配置与结果!$B$25)*MAX(0,1-INDEX(配置与结果!$I$15:$I$18,F1157))</f>
        <v>1200</v>
      </c>
      <c r="AF1157" s="1">
        <f>方案参数!$BN$34+12*方案参数!$BO$34</f>
        <v>48</v>
      </c>
      <c r="AG1157" s="1">
        <f>MAX(配置与结果!$B$32,1+INDEX(配置与结果!$F$15:$F$18,F1157)+0.08+方案参数!$CD$34+Q1157*方案参数!$W$34+Y1157*(方案参数!$AN$34+MIN(方案参数!$AO$34,P1157*0.03))+AB1157*方案参数!$BZ$34*0.025-配置与结果!$B$28+方案参数!$AE$34)</f>
        <v>2.6150000000000002</v>
      </c>
      <c r="AH1157" s="1">
        <f>MAX(0,1+V1157*方案参数!$U$34+12*方案参数!$V$34+方案参数!$AE$34-配置与结果!$B$29)</f>
        <v>2.2799999999999998</v>
      </c>
      <c r="AI1157" s="1">
        <f>IF(OR(INDEX(配置与结果!$K$15:$K$18,F1157)=1,G1157="RHI_BERRY"),1+配置与结果!$B$33+P1157*方案参数!$AH$34,1)</f>
        <v>1</v>
      </c>
      <c r="AJ1157" s="1">
        <f>MIN(1,MAX(0,J1157+方案参数!$AB$34-配置与结果!$B$27))</f>
        <v>1</v>
      </c>
      <c r="AK1157" s="1">
        <f>MAX(1,K1157+IF(F1157=2,0.15+方案参数!$CH$34,0)+BN1157*方案参数!$X$34+R1157*方案参数!$AA$34+方案参数!$BR$34-配置与结果!$B$26+Z1157*(方案参数!$AP$34+MIN(方案参数!$AQ$34,P1157*0.03)))</f>
        <v>3.165</v>
      </c>
      <c r="AL1157" s="7">
        <f>ROUNDDOWN(MAX(AD1157*配置与结果!$B$31,AD1157-AE1157)*AF1157*AG1157*AH1157*AI1157,0)</f>
        <v>524864</v>
      </c>
      <c r="AM1157" s="7">
        <f>ROUNDDOWN(MAX(AD1157*配置与结果!$B$31,AD1157-AE1157)*AF1157*AG1157*AH1157*AI1157*AK1157,0)</f>
        <v>1661195</v>
      </c>
      <c r="AN1157" s="7">
        <f t="shared" si="1546"/>
        <v>1661195</v>
      </c>
      <c r="AO1157" s="7">
        <f>0</f>
        <v>0</v>
      </c>
      <c r="AP1157" s="7">
        <f>MAX(0,1+INDEX(配置与结果!$J$15:$J$18,F1157)+IF(T1157&gt;0,方案参数!$BY$34,0)-配置与结果!$B$30)</f>
        <v>1</v>
      </c>
      <c r="AQ1157" s="7">
        <f t="shared" si="1547"/>
        <v>0</v>
      </c>
      <c r="AR1157" s="7">
        <f t="shared" si="1548"/>
        <v>0</v>
      </c>
      <c r="AS1157" s="7">
        <f t="shared" si="1549"/>
        <v>0</v>
      </c>
      <c r="AT1157" s="7">
        <f>IF(U1157&gt;0,ROUNDDOWN(AL1157*方案参数!$AF$34,0)*(1-AJ1157)+ROUNDDOWN(AM1157*方案参数!$AF$34,0)*AJ1157,0)</f>
        <v>664478</v>
      </c>
      <c r="AU1157" s="7">
        <f t="shared" si="1550"/>
        <v>2325673</v>
      </c>
      <c r="AV1157" s="1">
        <f t="shared" si="1551"/>
        <v>2</v>
      </c>
      <c r="AW1157" s="1">
        <f t="shared" si="1618"/>
        <v>10</v>
      </c>
      <c r="AX1157" s="1">
        <f t="shared" si="1552"/>
        <v>2</v>
      </c>
      <c r="AY1157" s="1">
        <f>MIN(20,MAX(0,O1157+0+1-0))</f>
        <v>9</v>
      </c>
      <c r="AZ1157" s="1">
        <f t="shared" si="1553"/>
        <v>5</v>
      </c>
      <c r="BA1157" s="1">
        <f t="shared" si="1609"/>
        <v>5</v>
      </c>
      <c r="BB1157" s="1">
        <f t="shared" si="1617"/>
        <v>20</v>
      </c>
      <c r="BC1157" s="1">
        <f t="shared" si="1615"/>
        <v>3</v>
      </c>
      <c r="BD1157" s="1">
        <f t="shared" si="1596"/>
        <v>0</v>
      </c>
      <c r="BE1157" s="1">
        <f>MAX(0,U1157-IF(AF1157&gt;0,1,0))+0</f>
        <v>0</v>
      </c>
      <c r="BF1157" s="1">
        <f t="shared" si="1619"/>
        <v>4</v>
      </c>
      <c r="BG1157" s="1">
        <f t="shared" si="1606"/>
        <v>1</v>
      </c>
      <c r="BH1157" s="1">
        <f t="shared" si="1590"/>
        <v>1</v>
      </c>
      <c r="BI1157" s="1">
        <f t="shared" si="1607"/>
        <v>1</v>
      </c>
      <c r="BJ1157" s="1">
        <f t="shared" si="1610"/>
        <v>1</v>
      </c>
      <c r="BK1157" s="1">
        <f t="shared" si="1611"/>
        <v>1</v>
      </c>
      <c r="BL1157" s="1">
        <f t="shared" si="1616"/>
        <v>1</v>
      </c>
      <c r="BM1157" s="1">
        <f t="shared" si="1614"/>
        <v>1</v>
      </c>
      <c r="BN1157" s="1">
        <f t="shared" si="1591"/>
        <v>1</v>
      </c>
      <c r="BO1157" s="1">
        <f t="shared" si="1592"/>
        <v>1</v>
      </c>
    </row>
    <row r="1158" spans="1:67" ht="30.95" customHeight="1">
      <c r="A1158" s="1">
        <f>32</f>
        <v>32</v>
      </c>
      <c r="B1158" s="1">
        <f>固定流程!A6</f>
        <v>1</v>
      </c>
      <c r="C1158" s="1">
        <f>35</f>
        <v>35</v>
      </c>
      <c r="D1158" s="1">
        <f>1</f>
        <v>1</v>
      </c>
      <c r="E1158" s="1">
        <f>固定流程!C6</f>
        <v>1</v>
      </c>
      <c r="F1158" s="1">
        <f>固定流程!G6</f>
        <v>3</v>
      </c>
      <c r="G1158" s="1" t="str">
        <f>固定流程!H6</f>
        <v>RHI_ULT</v>
      </c>
      <c r="H1158" s="1">
        <f>固定流程!F6</f>
        <v>1</v>
      </c>
      <c r="I1158" s="1">
        <f>INDEX(配置与结果!$B$15:$B$18,F1158)</f>
        <v>2597</v>
      </c>
      <c r="J1158" s="1">
        <f>INDEX(配置与结果!$D$15:$D$18,F1158)</f>
        <v>0.255</v>
      </c>
      <c r="K1158" s="1">
        <f>INDEX(配置与结果!$E$15:$E$18,F1158)</f>
        <v>1.55</v>
      </c>
      <c r="L1158" s="1">
        <f>0</f>
        <v>0</v>
      </c>
      <c r="M1158" s="1">
        <f>0</f>
        <v>0</v>
      </c>
      <c r="N1158" s="1">
        <f>0</f>
        <v>0</v>
      </c>
      <c r="O1158" s="1">
        <f>0</f>
        <v>0</v>
      </c>
      <c r="P1158" s="1">
        <f>MIN(方案参数!$AI$35,0+方案参数!$AJ$35+0)</f>
        <v>1</v>
      </c>
      <c r="Q1158" s="1">
        <f>0</f>
        <v>0</v>
      </c>
      <c r="R1158" s="1">
        <f>0</f>
        <v>0</v>
      </c>
      <c r="S1158" s="1">
        <f>0</f>
        <v>0</v>
      </c>
      <c r="T1158" s="1">
        <f>0+0</f>
        <v>0</v>
      </c>
      <c r="U1158" s="1">
        <f>0</f>
        <v>0</v>
      </c>
      <c r="V1158" s="1">
        <f>0</f>
        <v>0</v>
      </c>
      <c r="W1158" s="1">
        <f>0</f>
        <v>0</v>
      </c>
      <c r="X1158" s="1">
        <f>0</f>
        <v>0</v>
      </c>
      <c r="Y1158" s="1">
        <f>0</f>
        <v>0</v>
      </c>
      <c r="Z1158" s="1">
        <f>0</f>
        <v>0</v>
      </c>
      <c r="AA1158" s="1">
        <f>MAX(0,0)</f>
        <v>0</v>
      </c>
      <c r="AB1158" s="1">
        <f>0</f>
        <v>0</v>
      </c>
      <c r="AC1158" s="1">
        <f>MAX(0,0)</f>
        <v>0</v>
      </c>
      <c r="AD1158" s="1">
        <f>ROUNDDOWN(I1158*(1+IF(F1158=3,0.05+方案参数!$Y$35+AA1158*0.12,IF(F1158=4,方案参数!$BZ$35*方案参数!$AS$35,0)))+IF(AND(X1158=1,F1158&lt;&gt;3),方案参数!$CC$35,0)+AC1158*方案参数!$CB$35,0)</f>
        <v>2986</v>
      </c>
      <c r="AE1158" s="1">
        <f>IF(OR(F1158=1,F1158=4),配置与结果!$B$24,配置与结果!$B$25)*MAX(0,1-INDEX(配置与结果!$I$15:$I$18,F1158))</f>
        <v>1000</v>
      </c>
      <c r="AF1158" s="1">
        <f>0</f>
        <v>0</v>
      </c>
      <c r="AG1158" s="1">
        <f>MAX(配置与结果!$B$32,1+INDEX(配置与结果!$F$15:$F$18,F1158)+0+Q1158*方案参数!$W$35+Y1158*(方案参数!$AN$35+MIN(方案参数!$AO$35,P1158*0.03))+AB1158*方案参数!$BZ$35*0.025-配置与结果!$B$28)</f>
        <v>0.6349999999999999</v>
      </c>
      <c r="AH1158" s="1">
        <f>MAX(0,1+INDEX(配置与结果!$G$15:$G$18,F1158)+W1158*方案参数!$AG$35)</f>
        <v>1</v>
      </c>
      <c r="AI1158" s="1">
        <f>IF(OR(INDEX(配置与结果!$K$15:$K$18,F1158)=1,G1158="RHI_BERRY"),1+配置与结果!$B$33+P1158*方案参数!$AH$35,1)</f>
        <v>1</v>
      </c>
      <c r="AJ1158" s="1">
        <f>MIN(1,MAX(0,J1158+方案参数!$AB$35-配置与结果!$B$27))</f>
        <v>0.55499999999999994</v>
      </c>
      <c r="AK1158" s="1">
        <f>MAX(1,K1158+IF(F1158=2,0.15+方案参数!$CH$35,0)+BN1158*方案参数!$X$35+R1158*方案参数!$AA$35+0-配置与结果!$B$26+Z1158*(方案参数!$AP$35+MIN(方案参数!$AQ$35,P1158*0.03)))</f>
        <v>1.1499999999999999</v>
      </c>
      <c r="AL1158" s="7">
        <f>ROUNDDOWN(MAX(AD1158*配置与结果!$B$31,AD1158-AE1158)*AF1158*AG1158*AH1158*AI1158,0)</f>
        <v>0</v>
      </c>
      <c r="AM1158" s="7">
        <f>ROUNDDOWN(MAX(AD1158*配置与结果!$B$31,AD1158-AE1158)*AF1158*AG1158*AH1158*AI1158*AK1158,0)</f>
        <v>0</v>
      </c>
      <c r="AN1158" s="7">
        <f t="shared" ref="AN1158:AN1221" si="1620">AL1158*(1-AJ1158)+AM1158*AJ1158</f>
        <v>0</v>
      </c>
      <c r="AO1158" s="7">
        <f>0</f>
        <v>0</v>
      </c>
      <c r="AP1158" s="7">
        <f>MAX(0,1+INDEX(配置与结果!$J$15:$J$18,F1158)+IF(T1158&gt;0,方案参数!$BY$35,0)-配置与结果!$B$30)</f>
        <v>1</v>
      </c>
      <c r="AQ1158" s="7">
        <f t="shared" ref="AQ1158:AQ1221" si="1621">ROUNDDOWN(ROUNDDOWN(AD1158*AO1158,0)*AP1158,0)</f>
        <v>0</v>
      </c>
      <c r="AR1158" s="7">
        <f t="shared" ref="AR1158:AR1221" si="1622">ROUNDDOWN(ROUNDDOWN(AD1158*AO1158,0)*AP1158*AK1158,0)</f>
        <v>0</v>
      </c>
      <c r="AS1158" s="7">
        <f t="shared" ref="AS1158:AS1221" si="1623">AQ1158*(1-AJ1158)+AR1158*AJ1158</f>
        <v>0</v>
      </c>
      <c r="AT1158" s="7">
        <f>0</f>
        <v>0</v>
      </c>
      <c r="AU1158" s="7">
        <f t="shared" ref="AU1158:AU1221" si="1624">AN1158+AS1158+AT1158</f>
        <v>0</v>
      </c>
      <c r="AV1158" s="1">
        <f t="shared" ref="AV1158:AV1221" si="1625">IF(G1158="LILYA_COBRA",IF(L1158=0,1,L1158),L1158)</f>
        <v>0</v>
      </c>
      <c r="AW1158" s="1">
        <f t="shared" si="1618"/>
        <v>0</v>
      </c>
      <c r="AX1158" s="1">
        <f t="shared" ref="AX1158:AX1221" si="1626">N1158</f>
        <v>0</v>
      </c>
      <c r="AY1158" s="1">
        <f>MIN(20,MAX(0,O1158+0+0-0))</f>
        <v>0</v>
      </c>
      <c r="AZ1158" s="1">
        <f t="shared" ref="AZ1158:AZ1221" si="1627">P1158</f>
        <v>1</v>
      </c>
      <c r="BA1158" s="1">
        <f>MIN(6,Q1158+1)</f>
        <v>1</v>
      </c>
      <c r="BB1158" s="1">
        <f>MIN(30,R1158+5)</f>
        <v>5</v>
      </c>
      <c r="BC1158" s="1">
        <f t="shared" si="1615"/>
        <v>0</v>
      </c>
      <c r="BD1158" s="1">
        <f t="shared" si="1596"/>
        <v>0</v>
      </c>
      <c r="BE1158" s="1">
        <f>0</f>
        <v>0</v>
      </c>
      <c r="BF1158" s="1">
        <f t="shared" si="1619"/>
        <v>0</v>
      </c>
      <c r="BG1158" s="1">
        <f t="shared" si="1606"/>
        <v>0</v>
      </c>
      <c r="BH1158" s="1">
        <f>MAX(X1158,1)</f>
        <v>1</v>
      </c>
      <c r="BI1158" s="1">
        <f t="shared" si="1607"/>
        <v>0</v>
      </c>
      <c r="BJ1158" s="1">
        <f t="shared" si="1610"/>
        <v>0</v>
      </c>
      <c r="BK1158" s="1">
        <f t="shared" si="1611"/>
        <v>0</v>
      </c>
      <c r="BL1158" s="1">
        <f t="shared" si="1616"/>
        <v>0</v>
      </c>
      <c r="BM1158" s="1">
        <f t="shared" si="1614"/>
        <v>0</v>
      </c>
      <c r="BN1158" s="1">
        <f>0</f>
        <v>0</v>
      </c>
      <c r="BO1158" s="1">
        <f>MAX(BN1158,1)</f>
        <v>1</v>
      </c>
    </row>
    <row r="1159" spans="1:67" ht="30.95" customHeight="1">
      <c r="A1159" s="1">
        <f>32</f>
        <v>32</v>
      </c>
      <c r="B1159" s="1">
        <f>固定流程!A7</f>
        <v>2</v>
      </c>
      <c r="C1159" s="1">
        <f>35</f>
        <v>35</v>
      </c>
      <c r="D1159" s="1">
        <f>1</f>
        <v>1</v>
      </c>
      <c r="E1159" s="1">
        <f>固定流程!C7</f>
        <v>1</v>
      </c>
      <c r="F1159" s="1">
        <f>固定流程!G7</f>
        <v>3</v>
      </c>
      <c r="G1159" s="1" t="str">
        <f>固定流程!H7</f>
        <v>RHI_BUFF</v>
      </c>
      <c r="H1159" s="1">
        <f>固定流程!F7</f>
        <v>1</v>
      </c>
      <c r="I1159" s="1">
        <f>INDEX(配置与结果!$B$15:$B$18,F1159)</f>
        <v>2597</v>
      </c>
      <c r="J1159" s="1">
        <f>INDEX(配置与结果!$D$15:$D$18,F1159)</f>
        <v>0.255</v>
      </c>
      <c r="K1159" s="1">
        <f>INDEX(配置与结果!$E$15:$E$18,F1159)</f>
        <v>1.55</v>
      </c>
      <c r="L1159" s="1">
        <f t="shared" ref="L1159:O1164" si="1628">AV1158</f>
        <v>0</v>
      </c>
      <c r="M1159" s="1">
        <f t="shared" si="1628"/>
        <v>0</v>
      </c>
      <c r="N1159" s="1">
        <f t="shared" si="1628"/>
        <v>0</v>
      </c>
      <c r="O1159" s="1">
        <f t="shared" si="1628"/>
        <v>0</v>
      </c>
      <c r="P1159" s="1">
        <f>MIN(方案参数!$AI$35,AZ1158+0+方案参数!$AK$35)</f>
        <v>3</v>
      </c>
      <c r="Q1159" s="1">
        <f t="shared" ref="Q1159:Q1193" si="1629">BA1158</f>
        <v>1</v>
      </c>
      <c r="R1159" s="1">
        <f t="shared" ref="R1159:R1193" si="1630">BB1158</f>
        <v>5</v>
      </c>
      <c r="S1159" s="1">
        <f t="shared" ref="S1159:S1193" si="1631">BC1158</f>
        <v>0</v>
      </c>
      <c r="T1159" s="1">
        <f t="shared" ref="T1159:T1172" si="1632">BD1158+0</f>
        <v>0</v>
      </c>
      <c r="U1159" s="1">
        <f t="shared" ref="U1159:U1193" si="1633">BE1158</f>
        <v>0</v>
      </c>
      <c r="V1159" s="1">
        <f t="shared" ref="V1159:V1193" si="1634">BF1158</f>
        <v>0</v>
      </c>
      <c r="W1159" s="1">
        <f t="shared" ref="W1159:W1193" si="1635">BG1158</f>
        <v>0</v>
      </c>
      <c r="X1159" s="1">
        <f t="shared" ref="X1159:X1193" si="1636">BH1158</f>
        <v>1</v>
      </c>
      <c r="Y1159" s="1">
        <f t="shared" ref="Y1159:Y1193" si="1637">BI1158</f>
        <v>0</v>
      </c>
      <c r="Z1159" s="1">
        <f t="shared" ref="Z1159:Z1193" si="1638">BJ1158</f>
        <v>0</v>
      </c>
      <c r="AA1159" s="1">
        <f t="shared" ref="AA1159:AA1164" si="1639">MAX(BK1158,0)</f>
        <v>0</v>
      </c>
      <c r="AB1159" s="1">
        <f t="shared" ref="AB1159:AB1193" si="1640">BL1158</f>
        <v>0</v>
      </c>
      <c r="AC1159" s="1">
        <f t="shared" ref="AC1159:AC1172" si="1641">MAX(BM1158,0)</f>
        <v>0</v>
      </c>
      <c r="AD1159" s="1">
        <f>ROUNDDOWN(I1159*(1+IF(F1159=3,0.05+方案参数!$Y$35+AA1159*0.12,IF(F1159=4,方案参数!$BZ$35*方案参数!$AS$35,0)))+IF(AND(X1159=1,F1159&lt;&gt;3),方案参数!$CC$35,0)+AC1159*方案参数!$CB$35,0)</f>
        <v>2986</v>
      </c>
      <c r="AE1159" s="1">
        <f>IF(OR(F1159=1,F1159=4),配置与结果!$B$24,配置与结果!$B$25)*MAX(0,1-INDEX(配置与结果!$I$15:$I$18,F1159))</f>
        <v>1000</v>
      </c>
      <c r="AF1159" s="1">
        <f>0</f>
        <v>0</v>
      </c>
      <c r="AG1159" s="1">
        <f>MAX(配置与结果!$B$32,1+INDEX(配置与结果!$F$15:$F$18,F1159)+0+Q1159*方案参数!$W$35+Y1159*(方案参数!$AN$35+MIN(方案参数!$AO$35,P1159*0.03))+AB1159*方案参数!$BZ$35*0.025-配置与结果!$B$28)</f>
        <v>0.65499999999999992</v>
      </c>
      <c r="AH1159" s="1">
        <f>MAX(0,1+INDEX(配置与结果!$G$15:$G$18,F1159)+W1159*方案参数!$AG$35)</f>
        <v>1</v>
      </c>
      <c r="AI1159" s="1">
        <f>IF(OR(INDEX(配置与结果!$K$15:$K$18,F1159)=1,G1159="RHI_BERRY"),1+配置与结果!$B$33+P1159*方案参数!$AH$35,1)</f>
        <v>1</v>
      </c>
      <c r="AJ1159" s="1">
        <f>MIN(1,MAX(0,J1159+方案参数!$AB$35-配置与结果!$B$27))</f>
        <v>0.55499999999999994</v>
      </c>
      <c r="AK1159" s="1">
        <f>MAX(1,K1159+IF(F1159=2,0.15+方案参数!$CH$35,0)+BN1159*方案参数!$X$35+R1159*方案参数!$AA$35+0-配置与结果!$B$26+Z1159*(方案参数!$AP$35+MIN(方案参数!$AQ$35,P1159*0.03)))</f>
        <v>1.33</v>
      </c>
      <c r="AL1159" s="7">
        <f>ROUNDDOWN(MAX(AD1159*配置与结果!$B$31,AD1159-AE1159)*AF1159*AG1159*AH1159*AI1159,0)</f>
        <v>0</v>
      </c>
      <c r="AM1159" s="7">
        <f>ROUNDDOWN(MAX(AD1159*配置与结果!$B$31,AD1159-AE1159)*AF1159*AG1159*AH1159*AI1159*AK1159,0)</f>
        <v>0</v>
      </c>
      <c r="AN1159" s="7">
        <f t="shared" si="1620"/>
        <v>0</v>
      </c>
      <c r="AO1159" s="7">
        <f>0</f>
        <v>0</v>
      </c>
      <c r="AP1159" s="7">
        <f>MAX(0,1+INDEX(配置与结果!$J$15:$J$18,F1159)+IF(T1159&gt;0,方案参数!$BY$35,0)-配置与结果!$B$30)</f>
        <v>1</v>
      </c>
      <c r="AQ1159" s="7">
        <f t="shared" si="1621"/>
        <v>0</v>
      </c>
      <c r="AR1159" s="7">
        <f t="shared" si="1622"/>
        <v>0</v>
      </c>
      <c r="AS1159" s="7">
        <f t="shared" si="1623"/>
        <v>0</v>
      </c>
      <c r="AT1159" s="7">
        <f>0</f>
        <v>0</v>
      </c>
      <c r="AU1159" s="7">
        <f t="shared" si="1624"/>
        <v>0</v>
      </c>
      <c r="AV1159" s="1">
        <f t="shared" si="1625"/>
        <v>0</v>
      </c>
      <c r="AW1159" s="1">
        <f t="shared" si="1618"/>
        <v>0</v>
      </c>
      <c r="AX1159" s="1">
        <f t="shared" si="1626"/>
        <v>0</v>
      </c>
      <c r="AY1159" s="1">
        <f>MIN(20,MAX(0,O1159+0+0-0))</f>
        <v>0</v>
      </c>
      <c r="AZ1159" s="1">
        <f t="shared" si="1627"/>
        <v>3</v>
      </c>
      <c r="BA1159" s="1">
        <f>MIN(6,Q1159+1)</f>
        <v>2</v>
      </c>
      <c r="BB1159" s="1">
        <f t="shared" ref="BB1159:BB1172" si="1642">MIN(30,R1159+0)</f>
        <v>5</v>
      </c>
      <c r="BC1159" s="1">
        <f t="shared" si="1615"/>
        <v>0</v>
      </c>
      <c r="BD1159" s="1">
        <f t="shared" si="1596"/>
        <v>0</v>
      </c>
      <c r="BE1159" s="1">
        <f t="shared" ref="BE1159:BE1180" si="1643">BE1158</f>
        <v>0</v>
      </c>
      <c r="BF1159" s="1">
        <f t="shared" si="1619"/>
        <v>0</v>
      </c>
      <c r="BG1159" s="1">
        <f>MAX(W1159,1)</f>
        <v>1</v>
      </c>
      <c r="BH1159" s="1">
        <f t="shared" ref="BH1159:BH1193" si="1644">MAX(X1159,0)</f>
        <v>1</v>
      </c>
      <c r="BI1159" s="1">
        <f>MAX(Y1159,1)</f>
        <v>1</v>
      </c>
      <c r="BJ1159" s="1">
        <f t="shared" si="1610"/>
        <v>0</v>
      </c>
      <c r="BK1159" s="1">
        <f t="shared" si="1611"/>
        <v>0</v>
      </c>
      <c r="BL1159" s="1">
        <f t="shared" si="1616"/>
        <v>0</v>
      </c>
      <c r="BM1159" s="1">
        <f t="shared" si="1614"/>
        <v>0</v>
      </c>
      <c r="BN1159" s="1">
        <f t="shared" ref="BN1159:BN1193" si="1645">BO1158</f>
        <v>1</v>
      </c>
      <c r="BO1159" s="1">
        <f t="shared" ref="BO1159:BO1193" si="1646">MAX(BN1159,0)</f>
        <v>1</v>
      </c>
    </row>
    <row r="1160" spans="1:67" ht="30.95" customHeight="1">
      <c r="A1160" s="1">
        <f>32</f>
        <v>32</v>
      </c>
      <c r="B1160" s="1">
        <f>固定流程!A8</f>
        <v>3</v>
      </c>
      <c r="C1160" s="1">
        <f>35</f>
        <v>35</v>
      </c>
      <c r="D1160" s="1">
        <f>1</f>
        <v>1</v>
      </c>
      <c r="E1160" s="1">
        <f>固定流程!C8</f>
        <v>1</v>
      </c>
      <c r="F1160" s="1">
        <f>固定流程!G8</f>
        <v>1</v>
      </c>
      <c r="G1160" s="1" t="str">
        <f>固定流程!H8</f>
        <v>LILYA_COBRA</v>
      </c>
      <c r="H1160" s="1">
        <f>固定流程!F8</f>
        <v>1</v>
      </c>
      <c r="I1160" s="1">
        <f>INDEX(配置与结果!$B$15:$B$18,F1160)</f>
        <v>2296</v>
      </c>
      <c r="J1160" s="1">
        <f>INDEX(配置与结果!$D$15:$D$18,F1160)</f>
        <v>0.7</v>
      </c>
      <c r="K1160" s="1">
        <f>INDEX(配置与结果!$E$15:$E$18,F1160)</f>
        <v>2.0249999999999999</v>
      </c>
      <c r="L1160" s="1">
        <f t="shared" si="1628"/>
        <v>0</v>
      </c>
      <c r="M1160" s="1">
        <f t="shared" si="1628"/>
        <v>0</v>
      </c>
      <c r="N1160" s="1">
        <f t="shared" si="1628"/>
        <v>0</v>
      </c>
      <c r="O1160" s="1">
        <f t="shared" si="1628"/>
        <v>0</v>
      </c>
      <c r="P1160" s="1">
        <f>MIN(方案参数!$AI$35,AZ1159+0+0)</f>
        <v>3</v>
      </c>
      <c r="Q1160" s="1">
        <f t="shared" si="1629"/>
        <v>2</v>
      </c>
      <c r="R1160" s="1">
        <f t="shared" si="1630"/>
        <v>5</v>
      </c>
      <c r="S1160" s="1">
        <f t="shared" si="1631"/>
        <v>0</v>
      </c>
      <c r="T1160" s="1">
        <f t="shared" si="1632"/>
        <v>0</v>
      </c>
      <c r="U1160" s="1">
        <f t="shared" si="1633"/>
        <v>0</v>
      </c>
      <c r="V1160" s="1">
        <f t="shared" si="1634"/>
        <v>0</v>
      </c>
      <c r="W1160" s="1">
        <f t="shared" si="1635"/>
        <v>1</v>
      </c>
      <c r="X1160" s="1">
        <f t="shared" si="1636"/>
        <v>1</v>
      </c>
      <c r="Y1160" s="1">
        <f t="shared" si="1637"/>
        <v>1</v>
      </c>
      <c r="Z1160" s="1">
        <f t="shared" si="1638"/>
        <v>0</v>
      </c>
      <c r="AA1160" s="1">
        <f t="shared" si="1639"/>
        <v>0</v>
      </c>
      <c r="AB1160" s="1">
        <f t="shared" si="1640"/>
        <v>0</v>
      </c>
      <c r="AC1160" s="1">
        <f t="shared" si="1641"/>
        <v>0</v>
      </c>
      <c r="AD1160" s="1">
        <f>ROUNDDOWN(I1160*(1+IF(F1160=3,0.05+方案参数!$Y$35+AA1160*0.12,IF(F1160=4,方案参数!$BZ$35*方案参数!$AS$35,0)))+IF(AND(X1160=1,F1160&lt;&gt;3),方案参数!$CC$35,0)+AC1160*方案参数!$CB$35,0)</f>
        <v>2534</v>
      </c>
      <c r="AE1160" s="1">
        <f>IF(OR(F1160=1,F1160=4),配置与结果!$B$24,配置与结果!$B$25)*MAX(0,1-INDEX(配置与结果!$I$15:$I$18,F1160))</f>
        <v>1200</v>
      </c>
      <c r="AF1160" s="1">
        <f>0</f>
        <v>0</v>
      </c>
      <c r="AG1160" s="1">
        <f>MAX(配置与结果!$B$32,1+INDEX(配置与结果!$F$15:$F$18,F1160)+0.08+方案参数!$CD$35+Q1160*方案参数!$W$35+Y1160*(方案参数!$AN$35+MIN(方案参数!$AO$35,P1160*0.03))+AB1160*方案参数!$BZ$35*0.025-配置与结果!$B$28)</f>
        <v>1.2200000000000002</v>
      </c>
      <c r="AH1160" s="1">
        <f>MAX(0,1+INDEX(配置与结果!$G$15:$G$18,F1160)+W1160*方案参数!$AG$35)</f>
        <v>1.3</v>
      </c>
      <c r="AI1160" s="1">
        <f>IF(OR(INDEX(配置与结果!$K$15:$K$18,F1160)=1,G1160="RHI_BERRY"),1+配置与结果!$B$33+P1160*方案参数!$AH$35,1)</f>
        <v>1</v>
      </c>
      <c r="AJ1160" s="1">
        <f>MIN(1,MAX(0,J1160+方案参数!$AB$35-配置与结果!$B$27))</f>
        <v>1</v>
      </c>
      <c r="AK1160" s="1">
        <f>MAX(1,K1160+IF(F1160=2,0.15+方案参数!$CH$35,0)+BN1160*方案参数!$X$35+R1160*方案参数!$AA$35+0-配置与结果!$B$26+Z1160*(方案参数!$AP$35+MIN(方案参数!$AQ$35,P1160*0.03)))</f>
        <v>1.8050000000000002</v>
      </c>
      <c r="AL1160" s="7">
        <f>ROUNDDOWN(MAX(AD1160*配置与结果!$B$31,AD1160-AE1160)*AF1160*AG1160*AH1160*AI1160,0)</f>
        <v>0</v>
      </c>
      <c r="AM1160" s="7">
        <f>ROUNDDOWN(MAX(AD1160*配置与结果!$B$31,AD1160-AE1160)*AF1160*AG1160*AH1160*AI1160*AK1160,0)</f>
        <v>0</v>
      </c>
      <c r="AN1160" s="7">
        <f t="shared" si="1620"/>
        <v>0</v>
      </c>
      <c r="AO1160" s="7">
        <f>0</f>
        <v>0</v>
      </c>
      <c r="AP1160" s="7">
        <f>MAX(0,1+INDEX(配置与结果!$J$15:$J$18,F1160)+IF(T1160&gt;0,方案参数!$BY$35,0)-配置与结果!$B$30)</f>
        <v>1</v>
      </c>
      <c r="AQ1160" s="7">
        <f t="shared" si="1621"/>
        <v>0</v>
      </c>
      <c r="AR1160" s="7">
        <f t="shared" si="1622"/>
        <v>0</v>
      </c>
      <c r="AS1160" s="7">
        <f t="shared" si="1623"/>
        <v>0</v>
      </c>
      <c r="AT1160" s="7">
        <f>0</f>
        <v>0</v>
      </c>
      <c r="AU1160" s="7">
        <f t="shared" si="1624"/>
        <v>0</v>
      </c>
      <c r="AV1160" s="1">
        <f t="shared" si="1625"/>
        <v>1</v>
      </c>
      <c r="AW1160" s="1">
        <f>MIN(10,M1160+方案参数!$BD$35+0)</f>
        <v>3</v>
      </c>
      <c r="AX1160" s="1">
        <f t="shared" si="1626"/>
        <v>0</v>
      </c>
      <c r="AY1160" s="1">
        <f>MIN(20,MAX(0,O1160+6+0-0))</f>
        <v>6</v>
      </c>
      <c r="AZ1160" s="1">
        <f t="shared" si="1627"/>
        <v>3</v>
      </c>
      <c r="BA1160" s="1">
        <f>MIN(6,Q1160+0)</f>
        <v>2</v>
      </c>
      <c r="BB1160" s="1">
        <f t="shared" si="1642"/>
        <v>5</v>
      </c>
      <c r="BC1160" s="1">
        <f t="shared" si="1615"/>
        <v>0</v>
      </c>
      <c r="BD1160" s="1">
        <f t="shared" si="1596"/>
        <v>0</v>
      </c>
      <c r="BE1160" s="1">
        <f t="shared" si="1643"/>
        <v>0</v>
      </c>
      <c r="BF1160" s="1">
        <f t="shared" si="1619"/>
        <v>0</v>
      </c>
      <c r="BG1160" s="1">
        <f t="shared" ref="BG1160:BG1170" si="1647">MAX(W1160,0)</f>
        <v>1</v>
      </c>
      <c r="BH1160" s="1">
        <f t="shared" si="1644"/>
        <v>1</v>
      </c>
      <c r="BI1160" s="1">
        <f t="shared" ref="BI1160:BI1170" si="1648">MAX(Y1160,0)</f>
        <v>1</v>
      </c>
      <c r="BJ1160" s="1">
        <f t="shared" si="1610"/>
        <v>0</v>
      </c>
      <c r="BK1160" s="1">
        <f t="shared" si="1611"/>
        <v>0</v>
      </c>
      <c r="BL1160" s="1">
        <f t="shared" si="1616"/>
        <v>0</v>
      </c>
      <c r="BM1160" s="1">
        <f t="shared" si="1614"/>
        <v>0</v>
      </c>
      <c r="BN1160" s="1">
        <f t="shared" si="1645"/>
        <v>1</v>
      </c>
      <c r="BO1160" s="1">
        <f t="shared" si="1646"/>
        <v>1</v>
      </c>
    </row>
    <row r="1161" spans="1:67" ht="30.95" customHeight="1">
      <c r="A1161" s="1">
        <f>32</f>
        <v>32</v>
      </c>
      <c r="B1161" s="1">
        <f>固定流程!A9</f>
        <v>4</v>
      </c>
      <c r="C1161" s="1">
        <f>35</f>
        <v>35</v>
      </c>
      <c r="D1161" s="1">
        <f>1</f>
        <v>1</v>
      </c>
      <c r="E1161" s="1">
        <f>固定流程!C9</f>
        <v>1</v>
      </c>
      <c r="F1161" s="1">
        <f>固定流程!G9</f>
        <v>1</v>
      </c>
      <c r="G1161" s="1" t="str">
        <f>固定流程!H9</f>
        <v>LILYA_DIVE</v>
      </c>
      <c r="H1161" s="1">
        <f>固定流程!F9</f>
        <v>1</v>
      </c>
      <c r="I1161" s="1">
        <f>INDEX(配置与结果!$B$15:$B$18,F1161)</f>
        <v>2296</v>
      </c>
      <c r="J1161" s="1">
        <f>INDEX(配置与结果!$D$15:$D$18,F1161)</f>
        <v>0.7</v>
      </c>
      <c r="K1161" s="1">
        <f>INDEX(配置与结果!$E$15:$E$18,F1161)</f>
        <v>2.0249999999999999</v>
      </c>
      <c r="L1161" s="1">
        <f t="shared" si="1628"/>
        <v>1</v>
      </c>
      <c r="M1161" s="1">
        <f t="shared" si="1628"/>
        <v>3</v>
      </c>
      <c r="N1161" s="1">
        <f t="shared" si="1628"/>
        <v>0</v>
      </c>
      <c r="O1161" s="1">
        <f t="shared" si="1628"/>
        <v>6</v>
      </c>
      <c r="P1161" s="1">
        <f>MIN(方案参数!$AI$35,AZ1160+0+0)</f>
        <v>3</v>
      </c>
      <c r="Q1161" s="1">
        <f t="shared" si="1629"/>
        <v>2</v>
      </c>
      <c r="R1161" s="1">
        <f t="shared" si="1630"/>
        <v>5</v>
      </c>
      <c r="S1161" s="1">
        <f t="shared" si="1631"/>
        <v>0</v>
      </c>
      <c r="T1161" s="1">
        <f t="shared" si="1632"/>
        <v>0</v>
      </c>
      <c r="U1161" s="1">
        <f t="shared" si="1633"/>
        <v>0</v>
      </c>
      <c r="V1161" s="1">
        <f t="shared" si="1634"/>
        <v>0</v>
      </c>
      <c r="W1161" s="1">
        <f t="shared" si="1635"/>
        <v>1</v>
      </c>
      <c r="X1161" s="1">
        <f t="shared" si="1636"/>
        <v>1</v>
      </c>
      <c r="Y1161" s="1">
        <f t="shared" si="1637"/>
        <v>1</v>
      </c>
      <c r="Z1161" s="1">
        <f t="shared" si="1638"/>
        <v>0</v>
      </c>
      <c r="AA1161" s="1">
        <f t="shared" si="1639"/>
        <v>0</v>
      </c>
      <c r="AB1161" s="1">
        <f t="shared" si="1640"/>
        <v>0</v>
      </c>
      <c r="AC1161" s="1">
        <f t="shared" si="1641"/>
        <v>0</v>
      </c>
      <c r="AD1161" s="1">
        <f>ROUNDDOWN(I1161*(1+IF(F1161=3,0.05+方案参数!$Y$35+AA1161*0.12,IF(F1161=4,方案参数!$BZ$35*方案参数!$AS$35,0)))+IF(AND(X1161=1,F1161&lt;&gt;3),方案参数!$CC$35,0)+AC1161*方案参数!$CB$35,0)</f>
        <v>2534</v>
      </c>
      <c r="AE1161" s="1">
        <f>IF(OR(F1161=1,F1161=4),配置与结果!$B$24,配置与结果!$B$25)*MAX(0,1-INDEX(配置与结果!$I$15:$I$18,F1161))</f>
        <v>1200</v>
      </c>
      <c r="AF1161" s="1">
        <f>(IF(L1161=1,方案参数!$AW$35,IF(L1161=2,方案参数!$AX$35,0))+方案参数!$AV$35)*H1161</f>
        <v>6</v>
      </c>
      <c r="AG1161" s="1">
        <f>MAX(配置与结果!$B$32,1+INDEX(配置与结果!$F$15:$F$18,F1161)+0.08+方案参数!$CD$35+Q1161*方案参数!$W$35+Y1161*(方案参数!$AN$35+MIN(方案参数!$AO$35,P1161*0.03))+AB1161*方案参数!$BZ$35*0.025+IF(L1161=1,方案参数!$AY$35+(H1161-1)*0.1,IF(L1161=2,方案参数!$AZ$35+(H1161-1)*0.2,0))-配置与结果!$B$28)</f>
        <v>1.3200000000000003</v>
      </c>
      <c r="AH1161" s="1">
        <f>MAX(0,1+INDEX(配置与结果!$G$15:$G$18,F1161)+W1161*方案参数!$AG$35+IF(L1161=1,方案参数!$BA$35,IF(L1161=2,方案参数!$BB$35,0))+M1161*方案参数!$BC$35)</f>
        <v>2.08</v>
      </c>
      <c r="AI1161" s="1">
        <f>IF(OR(INDEX(配置与结果!$K$15:$K$18,F1161)=1,G1161="RHI_BERRY"),1+配置与结果!$B$33+P1161*方案参数!$AH$35,1)</f>
        <v>1</v>
      </c>
      <c r="AJ1161" s="1">
        <f>MIN(1,MAX(0,J1161+方案参数!$AB$35-配置与结果!$B$27))</f>
        <v>1</v>
      </c>
      <c r="AK1161" s="1">
        <f>MAX(1,K1161+IF(F1161=2,0.15+方案参数!$CH$35,0)+BN1161*方案参数!$X$35+R1161*方案参数!$AA$35+0-配置与结果!$B$26+Z1161*(方案参数!$AP$35+MIN(方案参数!$AQ$35,P1161*0.03)))</f>
        <v>1.8050000000000002</v>
      </c>
      <c r="AL1161" s="7">
        <f>ROUNDDOWN(MAX(AD1161*配置与结果!$B$31,AD1161-AE1161)*AF1161*AG1161*AH1161*AI1161,0)</f>
        <v>21975</v>
      </c>
      <c r="AM1161" s="7">
        <f>ROUNDDOWN(MAX(AD1161*配置与结果!$B$31,AD1161-AE1161)*AF1161*AG1161*AH1161*AI1161*AK1161,0)</f>
        <v>39666</v>
      </c>
      <c r="AN1161" s="7">
        <f t="shared" si="1620"/>
        <v>39666</v>
      </c>
      <c r="AO1161" s="7">
        <f>0</f>
        <v>0</v>
      </c>
      <c r="AP1161" s="7">
        <f>MAX(0,1+INDEX(配置与结果!$J$15:$J$18,F1161)+IF(T1161&gt;0,方案参数!$BY$35,0)-配置与结果!$B$30)</f>
        <v>1</v>
      </c>
      <c r="AQ1161" s="7">
        <f t="shared" si="1621"/>
        <v>0</v>
      </c>
      <c r="AR1161" s="7">
        <f t="shared" si="1622"/>
        <v>0</v>
      </c>
      <c r="AS1161" s="7">
        <f t="shared" si="1623"/>
        <v>0</v>
      </c>
      <c r="AT1161" s="7">
        <f>0</f>
        <v>0</v>
      </c>
      <c r="AU1161" s="7">
        <f t="shared" si="1624"/>
        <v>39666</v>
      </c>
      <c r="AV1161" s="1">
        <f t="shared" si="1625"/>
        <v>1</v>
      </c>
      <c r="AW1161" s="1">
        <f>MIN(10,M1161+0+IF(L1161=1,方案参数!$BE$35,0))</f>
        <v>4</v>
      </c>
      <c r="AX1161" s="1">
        <f t="shared" si="1626"/>
        <v>0</v>
      </c>
      <c r="AY1161" s="1">
        <f t="shared" ref="AY1161:AY1176" si="1649">MIN(20,MAX(0,O1161+0+0-0))</f>
        <v>6</v>
      </c>
      <c r="AZ1161" s="1">
        <f t="shared" si="1627"/>
        <v>3</v>
      </c>
      <c r="BA1161" s="1">
        <f>MIN(6,Q1161+0)</f>
        <v>2</v>
      </c>
      <c r="BB1161" s="1">
        <f t="shared" si="1642"/>
        <v>5</v>
      </c>
      <c r="BC1161" s="1">
        <f t="shared" si="1615"/>
        <v>0</v>
      </c>
      <c r="BD1161" s="1">
        <f t="shared" si="1596"/>
        <v>0</v>
      </c>
      <c r="BE1161" s="1">
        <f t="shared" si="1643"/>
        <v>0</v>
      </c>
      <c r="BF1161" s="1">
        <f t="shared" si="1619"/>
        <v>0</v>
      </c>
      <c r="BG1161" s="1">
        <f t="shared" si="1647"/>
        <v>1</v>
      </c>
      <c r="BH1161" s="1">
        <f t="shared" si="1644"/>
        <v>1</v>
      </c>
      <c r="BI1161" s="1">
        <f t="shared" si="1648"/>
        <v>1</v>
      </c>
      <c r="BJ1161" s="1">
        <f t="shared" si="1610"/>
        <v>0</v>
      </c>
      <c r="BK1161" s="1">
        <f t="shared" si="1611"/>
        <v>0</v>
      </c>
      <c r="BL1161" s="1">
        <f t="shared" si="1616"/>
        <v>0</v>
      </c>
      <c r="BM1161" s="1">
        <f t="shared" si="1614"/>
        <v>0</v>
      </c>
      <c r="BN1161" s="1">
        <f t="shared" si="1645"/>
        <v>1</v>
      </c>
      <c r="BO1161" s="1">
        <f t="shared" si="1646"/>
        <v>1</v>
      </c>
    </row>
    <row r="1162" spans="1:67" ht="30.95" customHeight="1">
      <c r="A1162" s="1">
        <f>32</f>
        <v>32</v>
      </c>
      <c r="B1162" s="1">
        <f>固定流程!A10</f>
        <v>5</v>
      </c>
      <c r="C1162" s="1">
        <f>35</f>
        <v>35</v>
      </c>
      <c r="D1162" s="1">
        <f>1</f>
        <v>1</v>
      </c>
      <c r="E1162" s="1">
        <f>固定流程!C10</f>
        <v>1</v>
      </c>
      <c r="F1162" s="1">
        <f>固定流程!G10</f>
        <v>2</v>
      </c>
      <c r="G1162" s="1" t="str">
        <f>固定流程!H10</f>
        <v>37_TRIANGLE</v>
      </c>
      <c r="H1162" s="1">
        <f>固定流程!F10</f>
        <v>1</v>
      </c>
      <c r="I1162" s="1">
        <f>INDEX(配置与结果!$B$15:$B$18,F1162)</f>
        <v>2306</v>
      </c>
      <c r="J1162" s="1">
        <f>INDEX(配置与结果!$D$15:$D$18,F1162)</f>
        <v>0.46</v>
      </c>
      <c r="K1162" s="1">
        <f>INDEX(配置与结果!$E$15:$E$18,F1162)</f>
        <v>1.9279999999999999</v>
      </c>
      <c r="L1162" s="1">
        <f t="shared" si="1628"/>
        <v>1</v>
      </c>
      <c r="M1162" s="1">
        <f t="shared" si="1628"/>
        <v>4</v>
      </c>
      <c r="N1162" s="1">
        <f t="shared" si="1628"/>
        <v>0</v>
      </c>
      <c r="O1162" s="1">
        <f t="shared" si="1628"/>
        <v>6</v>
      </c>
      <c r="P1162" s="1">
        <f>MIN(方案参数!$AI$35,AZ1161+0+0)</f>
        <v>3</v>
      </c>
      <c r="Q1162" s="1">
        <f t="shared" si="1629"/>
        <v>2</v>
      </c>
      <c r="R1162" s="1">
        <f t="shared" si="1630"/>
        <v>5</v>
      </c>
      <c r="S1162" s="1">
        <f t="shared" si="1631"/>
        <v>0</v>
      </c>
      <c r="T1162" s="1">
        <f t="shared" si="1632"/>
        <v>0</v>
      </c>
      <c r="U1162" s="1">
        <f t="shared" si="1633"/>
        <v>0</v>
      </c>
      <c r="V1162" s="1">
        <f t="shared" si="1634"/>
        <v>0</v>
      </c>
      <c r="W1162" s="1">
        <f t="shared" si="1635"/>
        <v>1</v>
      </c>
      <c r="X1162" s="1">
        <f t="shared" si="1636"/>
        <v>1</v>
      </c>
      <c r="Y1162" s="1">
        <f t="shared" si="1637"/>
        <v>1</v>
      </c>
      <c r="Z1162" s="1">
        <f t="shared" si="1638"/>
        <v>0</v>
      </c>
      <c r="AA1162" s="1">
        <f t="shared" si="1639"/>
        <v>0</v>
      </c>
      <c r="AB1162" s="1">
        <f t="shared" si="1640"/>
        <v>0</v>
      </c>
      <c r="AC1162" s="1">
        <f t="shared" si="1641"/>
        <v>0</v>
      </c>
      <c r="AD1162" s="1">
        <f>ROUNDDOWN(I1162*(1+IF(F1162=3,0.05+方案参数!$Y$35+AA1162*0.12,IF(F1162=4,方案参数!$BZ$35*方案参数!$AS$35,0)))+IF(AND(X1162=1,F1162&lt;&gt;3),方案参数!$CC$35,0)+AC1162*方案参数!$CB$35,0)</f>
        <v>2544</v>
      </c>
      <c r="AE1162" s="1">
        <f>IF(OR(F1162=1,F1162=4),配置与结果!$B$24,配置与结果!$B$25)*MAX(0,1-INDEX(配置与结果!$I$15:$I$18,F1162))</f>
        <v>1000</v>
      </c>
      <c r="AF1162" s="1">
        <f>方案参数!$BS$35*IF(H1162=1,1,IF(H1162=2,1.5,2.5))</f>
        <v>2.8</v>
      </c>
      <c r="AG1162" s="1">
        <f>MAX(配置与结果!$B$32,1+INDEX(配置与结果!$F$15:$F$18,F1162)+0+Q1162*方案参数!$W$35+Y1162*(方案参数!$AN$35+MIN(方案参数!$AO$35,P1162*0.03))+AB1162*方案参数!$BZ$35*0.025-配置与结果!$B$28)</f>
        <v>0.8849999999999999</v>
      </c>
      <c r="AH1162" s="1">
        <f>MAX(0,1+INDEX(配置与结果!$G$15:$G$18,F1162)+W1162*方案参数!$AG$35)</f>
        <v>1.3</v>
      </c>
      <c r="AI1162" s="1">
        <f>IF(OR(INDEX(配置与结果!$K$15:$K$18,F1162)=1,G1162="RHI_BERRY"),1+配置与结果!$B$33+P1162*方案参数!$AH$35,1)</f>
        <v>1</v>
      </c>
      <c r="AJ1162" s="1">
        <f>MIN(1,MAX(0,J1162+方案参数!$AB$35-配置与结果!$B$27))</f>
        <v>0.76</v>
      </c>
      <c r="AK1162" s="1">
        <f>MAX(1,K1162+IF(F1162=2,0.15+方案参数!$CH$35,0)+BN1162*方案参数!$X$35+R1162*方案参数!$AA$35+0-配置与结果!$B$26+Z1162*(方案参数!$AP$35+MIN(方案参数!$AQ$35,P1162*0.03)))</f>
        <v>2.008</v>
      </c>
      <c r="AL1162" s="7">
        <f>ROUNDDOWN(MAX(AD1162*配置与结果!$B$31,AD1162-AE1162)*AF1162*AG1162*AH1162*AI1162,0)</f>
        <v>4973</v>
      </c>
      <c r="AM1162" s="7">
        <f>ROUNDDOWN(MAX(AD1162*配置与结果!$B$31,AD1162-AE1162)*AF1162*AG1162*AH1162*AI1162*AK1162,0)</f>
        <v>9987</v>
      </c>
      <c r="AN1162" s="7">
        <f t="shared" si="1620"/>
        <v>8783.64</v>
      </c>
      <c r="AO1162" s="7">
        <f>方案参数!$BU$35*IF(H1162=1,1,IF(H1162=2,1.5,2.5))</f>
        <v>0.8</v>
      </c>
      <c r="AP1162" s="7">
        <f>MAX(0,1+INDEX(配置与结果!$J$15:$J$18,F1162)+IF(T1162&gt;0,方案参数!$BY$35,0)-配置与结果!$B$30)</f>
        <v>1</v>
      </c>
      <c r="AQ1162" s="7">
        <f t="shared" si="1621"/>
        <v>2035</v>
      </c>
      <c r="AR1162" s="7">
        <f t="shared" si="1622"/>
        <v>4086</v>
      </c>
      <c r="AS1162" s="7">
        <f t="shared" si="1623"/>
        <v>3593.76</v>
      </c>
      <c r="AT1162" s="7">
        <f>0</f>
        <v>0</v>
      </c>
      <c r="AU1162" s="7">
        <f t="shared" si="1624"/>
        <v>12377.4</v>
      </c>
      <c r="AV1162" s="1">
        <f t="shared" si="1625"/>
        <v>1</v>
      </c>
      <c r="AW1162" s="1">
        <f>MIN(10,M1162+0+0)</f>
        <v>4</v>
      </c>
      <c r="AX1162" s="1">
        <f t="shared" si="1626"/>
        <v>0</v>
      </c>
      <c r="AY1162" s="1">
        <f t="shared" si="1649"/>
        <v>6</v>
      </c>
      <c r="AZ1162" s="1">
        <f t="shared" si="1627"/>
        <v>3</v>
      </c>
      <c r="BA1162" s="1">
        <f>MIN(6,Q1162+0)</f>
        <v>2</v>
      </c>
      <c r="BB1162" s="1">
        <f t="shared" si="1642"/>
        <v>5</v>
      </c>
      <c r="BC1162" s="1">
        <f t="shared" si="1615"/>
        <v>0</v>
      </c>
      <c r="BD1162" s="1">
        <f>MAX(0,T1162-IF(AO1162&gt;0,1,0))+1</f>
        <v>1</v>
      </c>
      <c r="BE1162" s="1">
        <f t="shared" si="1643"/>
        <v>0</v>
      </c>
      <c r="BF1162" s="1">
        <f t="shared" si="1619"/>
        <v>0</v>
      </c>
      <c r="BG1162" s="1">
        <f t="shared" si="1647"/>
        <v>1</v>
      </c>
      <c r="BH1162" s="1">
        <f t="shared" si="1644"/>
        <v>1</v>
      </c>
      <c r="BI1162" s="1">
        <f t="shared" si="1648"/>
        <v>1</v>
      </c>
      <c r="BJ1162" s="1">
        <f t="shared" si="1610"/>
        <v>0</v>
      </c>
      <c r="BK1162" s="1">
        <f t="shared" si="1611"/>
        <v>0</v>
      </c>
      <c r="BL1162" s="1">
        <f t="shared" si="1616"/>
        <v>0</v>
      </c>
      <c r="BM1162" s="1">
        <f t="shared" si="1614"/>
        <v>0</v>
      </c>
      <c r="BN1162" s="1">
        <f t="shared" si="1645"/>
        <v>1</v>
      </c>
      <c r="BO1162" s="1">
        <f t="shared" si="1646"/>
        <v>1</v>
      </c>
    </row>
    <row r="1163" spans="1:67" ht="30.95" customHeight="1">
      <c r="A1163" s="1">
        <f>32</f>
        <v>32</v>
      </c>
      <c r="B1163" s="1">
        <f>固定流程!A11</f>
        <v>6</v>
      </c>
      <c r="C1163" s="1">
        <f>35</f>
        <v>35</v>
      </c>
      <c r="D1163" s="1">
        <f>1</f>
        <v>1</v>
      </c>
      <c r="E1163" s="1">
        <f>固定流程!C11</f>
        <v>1</v>
      </c>
      <c r="F1163" s="1">
        <f>固定流程!G11</f>
        <v>2</v>
      </c>
      <c r="G1163" s="1" t="str">
        <f>固定流程!H11</f>
        <v>37_FOLLOW</v>
      </c>
      <c r="H1163" s="1">
        <f>固定流程!F11</f>
        <v>1</v>
      </c>
      <c r="I1163" s="1">
        <f>INDEX(配置与结果!$B$15:$B$18,F1163)</f>
        <v>2306</v>
      </c>
      <c r="J1163" s="1">
        <f>INDEX(配置与结果!$D$15:$D$18,F1163)</f>
        <v>0.46</v>
      </c>
      <c r="K1163" s="1">
        <f>INDEX(配置与结果!$E$15:$E$18,F1163)</f>
        <v>1.9279999999999999</v>
      </c>
      <c r="L1163" s="1">
        <f t="shared" si="1628"/>
        <v>1</v>
      </c>
      <c r="M1163" s="1">
        <f t="shared" si="1628"/>
        <v>4</v>
      </c>
      <c r="N1163" s="1">
        <f t="shared" si="1628"/>
        <v>0</v>
      </c>
      <c r="O1163" s="1">
        <f t="shared" si="1628"/>
        <v>6</v>
      </c>
      <c r="P1163" s="1">
        <f>MIN(方案参数!$AI$35,AZ1162+0+0)</f>
        <v>3</v>
      </c>
      <c r="Q1163" s="1">
        <f t="shared" si="1629"/>
        <v>2</v>
      </c>
      <c r="R1163" s="1">
        <f t="shared" si="1630"/>
        <v>5</v>
      </c>
      <c r="S1163" s="1">
        <f t="shared" si="1631"/>
        <v>0</v>
      </c>
      <c r="T1163" s="1">
        <f t="shared" si="1632"/>
        <v>1</v>
      </c>
      <c r="U1163" s="1">
        <f t="shared" si="1633"/>
        <v>0</v>
      </c>
      <c r="V1163" s="1">
        <f t="shared" si="1634"/>
        <v>0</v>
      </c>
      <c r="W1163" s="1">
        <f t="shared" si="1635"/>
        <v>1</v>
      </c>
      <c r="X1163" s="1">
        <f t="shared" si="1636"/>
        <v>1</v>
      </c>
      <c r="Y1163" s="1">
        <f t="shared" si="1637"/>
        <v>1</v>
      </c>
      <c r="Z1163" s="1">
        <f t="shared" si="1638"/>
        <v>0</v>
      </c>
      <c r="AA1163" s="1">
        <f t="shared" si="1639"/>
        <v>0</v>
      </c>
      <c r="AB1163" s="1">
        <f t="shared" si="1640"/>
        <v>0</v>
      </c>
      <c r="AC1163" s="1">
        <f t="shared" si="1641"/>
        <v>0</v>
      </c>
      <c r="AD1163" s="1">
        <f>ROUNDDOWN(I1163*(1+IF(F1163=3,0.05+方案参数!$Y$35+AA1163*0.12,IF(F1163=4,方案参数!$BZ$35*方案参数!$AS$35,0)))+IF(AND(X1163=1,F1163&lt;&gt;3),方案参数!$CC$35,0)+AC1163*方案参数!$CB$35,0)</f>
        <v>2544</v>
      </c>
      <c r="AE1163" s="1">
        <f>IF(OR(F1163=1,F1163=4),配置与结果!$B$24,配置与结果!$B$25)*MAX(0,1-INDEX(配置与结果!$I$15:$I$18,F1163))</f>
        <v>1000</v>
      </c>
      <c r="AF1163" s="1">
        <f>方案参数!$BV$35</f>
        <v>3</v>
      </c>
      <c r="AG1163" s="1">
        <f>MAX(配置与结果!$B$32,1+INDEX(配置与结果!$F$15:$F$18,F1163)+0+Q1163*方案参数!$W$35+Y1163*(方案参数!$AN$35+MIN(方案参数!$AO$35,P1163*0.03))+AB1163*方案参数!$BZ$35*0.025-配置与结果!$B$28)</f>
        <v>0.8849999999999999</v>
      </c>
      <c r="AH1163" s="1">
        <f>MAX(0,1+INDEX(配置与结果!$G$15:$G$18,F1163)+W1163*方案参数!$AG$35)</f>
        <v>1.3</v>
      </c>
      <c r="AI1163" s="1">
        <f>IF(OR(INDEX(配置与结果!$K$15:$K$18,F1163)=1,G1163="RHI_BERRY"),1+配置与结果!$B$33+P1163*方案参数!$AH$35,1)</f>
        <v>1</v>
      </c>
      <c r="AJ1163" s="1">
        <f>MIN(1,MAX(0,J1163+方案参数!$AB$35-配置与结果!$B$27))</f>
        <v>0.76</v>
      </c>
      <c r="AK1163" s="1">
        <f>MAX(1,K1163+IF(F1163=2,0.15+方案参数!$CH$35,0)+BN1163*方案参数!$X$35+R1163*方案参数!$AA$35+0-配置与结果!$B$26+Z1163*(方案参数!$AP$35+MIN(方案参数!$AQ$35,P1163*0.03)))</f>
        <v>2.008</v>
      </c>
      <c r="AL1163" s="7">
        <f>ROUNDDOWN(MAX(AD1163*配置与结果!$B$31,AD1163-AE1163)*AF1163*AG1163*AH1163*AI1163,0)</f>
        <v>5329</v>
      </c>
      <c r="AM1163" s="7">
        <f>ROUNDDOWN(MAX(AD1163*配置与结果!$B$31,AD1163-AE1163)*AF1163*AG1163*AH1163*AI1163*AK1163,0)</f>
        <v>10700</v>
      </c>
      <c r="AN1163" s="7">
        <f t="shared" si="1620"/>
        <v>9410.9599999999991</v>
      </c>
      <c r="AO1163" s="7">
        <f>方案参数!$BW$35</f>
        <v>1</v>
      </c>
      <c r="AP1163" s="7">
        <f>MAX(0,1+INDEX(配置与结果!$J$15:$J$18,F1163)+IF(T1163&gt;0,方案参数!$BY$35,0)-配置与结果!$B$30)</f>
        <v>2</v>
      </c>
      <c r="AQ1163" s="7">
        <f t="shared" si="1621"/>
        <v>5088</v>
      </c>
      <c r="AR1163" s="7">
        <f t="shared" si="1622"/>
        <v>10216</v>
      </c>
      <c r="AS1163" s="7">
        <f t="shared" si="1623"/>
        <v>8985.2799999999988</v>
      </c>
      <c r="AT1163" s="7">
        <f>0</f>
        <v>0</v>
      </c>
      <c r="AU1163" s="7">
        <f t="shared" si="1624"/>
        <v>18396.239999999998</v>
      </c>
      <c r="AV1163" s="1">
        <f t="shared" si="1625"/>
        <v>1</v>
      </c>
      <c r="AW1163" s="1">
        <f>MIN(10,M1163+0+0)</f>
        <v>4</v>
      </c>
      <c r="AX1163" s="1">
        <f t="shared" si="1626"/>
        <v>0</v>
      </c>
      <c r="AY1163" s="1">
        <f t="shared" si="1649"/>
        <v>6</v>
      </c>
      <c r="AZ1163" s="1">
        <f t="shared" si="1627"/>
        <v>3</v>
      </c>
      <c r="BA1163" s="1">
        <f>MIN(6,Q1163+0)</f>
        <v>2</v>
      </c>
      <c r="BB1163" s="1">
        <f t="shared" si="1642"/>
        <v>5</v>
      </c>
      <c r="BC1163" s="1">
        <f t="shared" si="1615"/>
        <v>0</v>
      </c>
      <c r="BD1163" s="1">
        <f t="shared" ref="BD1163:BD1197" si="1650">MAX(0,T1163-IF(AO1163&gt;0,1,0))+0</f>
        <v>0</v>
      </c>
      <c r="BE1163" s="1">
        <f t="shared" si="1643"/>
        <v>0</v>
      </c>
      <c r="BF1163" s="1">
        <f>MIN(4,V1163+1)</f>
        <v>1</v>
      </c>
      <c r="BG1163" s="1">
        <f t="shared" si="1647"/>
        <v>1</v>
      </c>
      <c r="BH1163" s="1">
        <f t="shared" si="1644"/>
        <v>1</v>
      </c>
      <c r="BI1163" s="1">
        <f t="shared" si="1648"/>
        <v>1</v>
      </c>
      <c r="BJ1163" s="1">
        <f t="shared" si="1610"/>
        <v>0</v>
      </c>
      <c r="BK1163" s="1">
        <f t="shared" si="1611"/>
        <v>0</v>
      </c>
      <c r="BL1163" s="1">
        <f t="shared" si="1616"/>
        <v>0</v>
      </c>
      <c r="BM1163" s="1">
        <f t="shared" si="1614"/>
        <v>0</v>
      </c>
      <c r="BN1163" s="1">
        <f t="shared" si="1645"/>
        <v>1</v>
      </c>
      <c r="BO1163" s="1">
        <f t="shared" si="1646"/>
        <v>1</v>
      </c>
    </row>
    <row r="1164" spans="1:67" ht="30.95" customHeight="1">
      <c r="A1164" s="1">
        <f>32</f>
        <v>32</v>
      </c>
      <c r="B1164" s="1">
        <f>固定流程!A12</f>
        <v>7</v>
      </c>
      <c r="C1164" s="1">
        <f>35</f>
        <v>35</v>
      </c>
      <c r="D1164" s="1">
        <f>1</f>
        <v>1</v>
      </c>
      <c r="E1164" s="1">
        <f>固定流程!C12</f>
        <v>1</v>
      </c>
      <c r="F1164" s="1">
        <f>固定流程!G12</f>
        <v>4</v>
      </c>
      <c r="G1164" s="1" t="str">
        <f>固定流程!H12</f>
        <v>J_HARD</v>
      </c>
      <c r="H1164" s="1">
        <f>固定流程!F12</f>
        <v>1</v>
      </c>
      <c r="I1164" s="1">
        <f>INDEX(配置与结果!$B$15:$B$18,F1164)</f>
        <v>1906</v>
      </c>
      <c r="J1164" s="1">
        <f>INDEX(配置与结果!$D$15:$D$18,F1164)</f>
        <v>0.36699999999999999</v>
      </c>
      <c r="K1164" s="1">
        <f>INDEX(配置与结果!$E$15:$E$18,F1164)</f>
        <v>1.7170000000000001</v>
      </c>
      <c r="L1164" s="1">
        <f t="shared" si="1628"/>
        <v>1</v>
      </c>
      <c r="M1164" s="1">
        <f t="shared" si="1628"/>
        <v>4</v>
      </c>
      <c r="N1164" s="1">
        <f t="shared" si="1628"/>
        <v>0</v>
      </c>
      <c r="O1164" s="1">
        <f t="shared" si="1628"/>
        <v>6</v>
      </c>
      <c r="P1164" s="1">
        <f>MIN(方案参数!$AI$35,AZ1163+0+0)</f>
        <v>3</v>
      </c>
      <c r="Q1164" s="1">
        <f t="shared" si="1629"/>
        <v>2</v>
      </c>
      <c r="R1164" s="1">
        <f t="shared" si="1630"/>
        <v>5</v>
      </c>
      <c r="S1164" s="1">
        <f t="shared" si="1631"/>
        <v>0</v>
      </c>
      <c r="T1164" s="1">
        <f t="shared" si="1632"/>
        <v>0</v>
      </c>
      <c r="U1164" s="1">
        <f t="shared" si="1633"/>
        <v>0</v>
      </c>
      <c r="V1164" s="1">
        <f t="shared" si="1634"/>
        <v>1</v>
      </c>
      <c r="W1164" s="1">
        <f t="shared" si="1635"/>
        <v>1</v>
      </c>
      <c r="X1164" s="1">
        <f t="shared" si="1636"/>
        <v>1</v>
      </c>
      <c r="Y1164" s="1">
        <f t="shared" si="1637"/>
        <v>1</v>
      </c>
      <c r="Z1164" s="1">
        <f t="shared" si="1638"/>
        <v>0</v>
      </c>
      <c r="AA1164" s="1">
        <f t="shared" si="1639"/>
        <v>0</v>
      </c>
      <c r="AB1164" s="1">
        <f t="shared" si="1640"/>
        <v>0</v>
      </c>
      <c r="AC1164" s="1">
        <f t="shared" si="1641"/>
        <v>0</v>
      </c>
      <c r="AD1164" s="1">
        <f>ROUNDDOWN(I1164*(1+IF(F1164=3,0.05+方案参数!$Y$35+AA1164*0.12,IF(F1164=4,方案参数!$BZ$35*方案参数!$AS$35,0)))+IF(AND(X1164=1,F1164&lt;&gt;3),方案参数!$CC$35,0)+AC1164*方案参数!$CB$35,0)</f>
        <v>2811</v>
      </c>
      <c r="AE1164" s="1">
        <f>IF(OR(F1164=1,F1164=4),配置与结果!$B$24,配置与结果!$B$25)*MAX(0,1-INDEX(配置与结果!$I$15:$I$18,F1164))</f>
        <v>1200</v>
      </c>
      <c r="AF1164" s="1">
        <f>3.6*IF(H1164=1,1,IF(H1164=2,1.5,2.5))</f>
        <v>3.6</v>
      </c>
      <c r="AG1164" s="1">
        <f>MAX(配置与结果!$B$32,1+INDEX(配置与结果!$F$15:$F$18,F1164)+0.08+Q1164*方案参数!$W$35+Y1164*(方案参数!$AN$35+MIN(方案参数!$AO$35,P1164*0.03))+AB1164*方案参数!$BZ$35*0.025+0.1+IF(方案参数!$BZ$35&gt;=30,方案参数!$BZ$35*0.01,0)-配置与结果!$B$28)</f>
        <v>1.4350000000000001</v>
      </c>
      <c r="AH1164" s="1">
        <f>MAX(0,1+INDEX(配置与结果!$G$15:$G$18,F1164)+W1164*方案参数!$AG$35)</f>
        <v>1.3</v>
      </c>
      <c r="AI1164" s="1">
        <f>IF(OR(INDEX(配置与结果!$K$15:$K$18,F1164)=1,G1164="RHI_BERRY"),1+配置与结果!$B$33+P1164*方案参数!$AH$35,1)</f>
        <v>1</v>
      </c>
      <c r="AJ1164" s="1">
        <f>MIN(1,MAX(0,J1164+方案参数!$AB$35-配置与结果!$B$27))</f>
        <v>0.66700000000000004</v>
      </c>
      <c r="AK1164" s="1">
        <f>MAX(1,K1164+IF(F1164=2,0.15+方案参数!$CH$35,0)+BN1164*方案参数!$X$35+R1164*方案参数!$AA$35+0-配置与结果!$B$26+Z1164*(方案参数!$AP$35+MIN(方案参数!$AQ$35,P1164*0.03)))</f>
        <v>1.4969999999999999</v>
      </c>
      <c r="AL1164" s="7">
        <f>ROUNDDOWN(MAX(AD1164*配置与结果!$B$31,AD1164-AE1164)*AF1164*AG1164*AH1164*AI1164,0)</f>
        <v>10819</v>
      </c>
      <c r="AM1164" s="7">
        <f>ROUNDDOWN(MAX(AD1164*配置与结果!$B$31,AD1164-AE1164)*AF1164*AG1164*AH1164*AI1164*AK1164,0)</f>
        <v>16196</v>
      </c>
      <c r="AN1164" s="7">
        <f t="shared" si="1620"/>
        <v>14405.458999999999</v>
      </c>
      <c r="AO1164" s="7">
        <f>0</f>
        <v>0</v>
      </c>
      <c r="AP1164" s="7">
        <f>MAX(0,1+INDEX(配置与结果!$J$15:$J$18,F1164)+IF(T1164&gt;0,方案参数!$BY$35,0)-配置与结果!$B$30)</f>
        <v>1</v>
      </c>
      <c r="AQ1164" s="7">
        <f t="shared" si="1621"/>
        <v>0</v>
      </c>
      <c r="AR1164" s="7">
        <f t="shared" si="1622"/>
        <v>0</v>
      </c>
      <c r="AS1164" s="7">
        <f t="shared" si="1623"/>
        <v>0</v>
      </c>
      <c r="AT1164" s="7">
        <f>0</f>
        <v>0</v>
      </c>
      <c r="AU1164" s="7">
        <f t="shared" si="1624"/>
        <v>14405.458999999999</v>
      </c>
      <c r="AV1164" s="1">
        <f t="shared" si="1625"/>
        <v>1</v>
      </c>
      <c r="AW1164" s="1">
        <f>MIN(10,M1164+0+0)</f>
        <v>4</v>
      </c>
      <c r="AX1164" s="1">
        <f t="shared" si="1626"/>
        <v>0</v>
      </c>
      <c r="AY1164" s="1">
        <f t="shared" si="1649"/>
        <v>6</v>
      </c>
      <c r="AZ1164" s="1">
        <f t="shared" si="1627"/>
        <v>3</v>
      </c>
      <c r="BA1164" s="1">
        <f>MIN(6,Q1164+0)</f>
        <v>2</v>
      </c>
      <c r="BB1164" s="1">
        <f t="shared" si="1642"/>
        <v>5</v>
      </c>
      <c r="BC1164" s="1">
        <f>MIN(3,S1164+1)</f>
        <v>1</v>
      </c>
      <c r="BD1164" s="1">
        <f t="shared" si="1650"/>
        <v>0</v>
      </c>
      <c r="BE1164" s="1">
        <f t="shared" si="1643"/>
        <v>0</v>
      </c>
      <c r="BF1164" s="1">
        <f>MIN(4,V1164+0)</f>
        <v>1</v>
      </c>
      <c r="BG1164" s="1">
        <f t="shared" si="1647"/>
        <v>1</v>
      </c>
      <c r="BH1164" s="1">
        <f t="shared" si="1644"/>
        <v>1</v>
      </c>
      <c r="BI1164" s="1">
        <f t="shared" si="1648"/>
        <v>1</v>
      </c>
      <c r="BJ1164" s="1">
        <f t="shared" si="1610"/>
        <v>0</v>
      </c>
      <c r="BK1164" s="1">
        <f t="shared" si="1611"/>
        <v>0</v>
      </c>
      <c r="BL1164" s="1">
        <f t="shared" si="1616"/>
        <v>0</v>
      </c>
      <c r="BM1164" s="1">
        <f t="shared" si="1614"/>
        <v>0</v>
      </c>
      <c r="BN1164" s="1">
        <f t="shared" si="1645"/>
        <v>1</v>
      </c>
      <c r="BO1164" s="1">
        <f t="shared" si="1646"/>
        <v>1</v>
      </c>
    </row>
    <row r="1165" spans="1:67" ht="30.95" customHeight="1">
      <c r="A1165" s="1">
        <f>32</f>
        <v>32</v>
      </c>
      <c r="B1165" s="1">
        <f>固定流程!A13</f>
        <v>8</v>
      </c>
      <c r="C1165" s="1">
        <f>35</f>
        <v>35</v>
      </c>
      <c r="D1165" s="1">
        <f>1</f>
        <v>1</v>
      </c>
      <c r="E1165" s="1">
        <f>固定流程!C13</f>
        <v>2</v>
      </c>
      <c r="F1165" s="1">
        <f>固定流程!G13</f>
        <v>3</v>
      </c>
      <c r="G1165" s="1" t="str">
        <f>固定流程!H13</f>
        <v>RHI_ATTACK</v>
      </c>
      <c r="H1165" s="1">
        <f>固定流程!F13</f>
        <v>1</v>
      </c>
      <c r="I1165" s="1">
        <f>INDEX(配置与结果!$B$15:$B$18,F1165)</f>
        <v>2597</v>
      </c>
      <c r="J1165" s="1">
        <f>INDEX(配置与结果!$D$15:$D$18,F1165)</f>
        <v>0.255</v>
      </c>
      <c r="K1165" s="1">
        <f>INDEX(配置与结果!$E$15:$E$18,F1165)</f>
        <v>1.55</v>
      </c>
      <c r="L1165" s="1">
        <f>IF(AV1164=1,IF(M1165&gt;=10,2,1),IF(AV1164=2,IF(AX1164&lt;=1,0,2),0))</f>
        <v>1</v>
      </c>
      <c r="M1165" s="1">
        <f>IF(AND(AV1164=2,AX1164&lt;=1),0,MIN(10,AW1164+IF(AV1164=1,3,0)))</f>
        <v>7</v>
      </c>
      <c r="N1165" s="1">
        <f>IF(AND(AV1164=1,M1165&gt;=10),2,IF(AV1164=2,MAX(0,AX1164-1),0))</f>
        <v>0</v>
      </c>
      <c r="O1165" s="1">
        <f t="shared" ref="O1165:O1193" si="1651">AY1164</f>
        <v>6</v>
      </c>
      <c r="P1165" s="1">
        <f>MIN(方案参数!$AI$35,AZ1164+方案参数!$AJ$35+方案参数!$AK$35)</f>
        <v>5</v>
      </c>
      <c r="Q1165" s="1">
        <f t="shared" si="1629"/>
        <v>2</v>
      </c>
      <c r="R1165" s="1">
        <f t="shared" si="1630"/>
        <v>5</v>
      </c>
      <c r="S1165" s="1">
        <f t="shared" si="1631"/>
        <v>1</v>
      </c>
      <c r="T1165" s="1">
        <f t="shared" si="1632"/>
        <v>0</v>
      </c>
      <c r="U1165" s="1">
        <f t="shared" si="1633"/>
        <v>0</v>
      </c>
      <c r="V1165" s="1">
        <f t="shared" si="1634"/>
        <v>1</v>
      </c>
      <c r="W1165" s="1">
        <f t="shared" si="1635"/>
        <v>1</v>
      </c>
      <c r="X1165" s="1">
        <f t="shared" si="1636"/>
        <v>1</v>
      </c>
      <c r="Y1165" s="1">
        <f t="shared" si="1637"/>
        <v>1</v>
      </c>
      <c r="Z1165" s="1">
        <f t="shared" si="1638"/>
        <v>0</v>
      </c>
      <c r="AA1165" s="1">
        <f>MAX(BK1164,1)</f>
        <v>1</v>
      </c>
      <c r="AB1165" s="1">
        <f t="shared" si="1640"/>
        <v>0</v>
      </c>
      <c r="AC1165" s="1">
        <f t="shared" si="1641"/>
        <v>0</v>
      </c>
      <c r="AD1165" s="1">
        <f>ROUNDDOWN(I1165*(1+IF(F1165=3,0.05+方案参数!$Y$35+AA1165*0.12,IF(F1165=4,方案参数!$BZ$35*方案参数!$AS$35,0)))+IF(AND(X1165=1,F1165&lt;&gt;3),方案参数!$CC$35,0)+AC1165*方案参数!$CB$35,0)</f>
        <v>3298</v>
      </c>
      <c r="AE1165" s="1">
        <f>IF(OR(F1165=1,F1165=4),配置与结果!$B$24,配置与结果!$B$25)*MAX(0,1-INDEX(配置与结果!$I$15:$I$18,F1165))</f>
        <v>1000</v>
      </c>
      <c r="AF1165" s="1">
        <f>4</f>
        <v>4</v>
      </c>
      <c r="AG1165" s="1">
        <f>MAX(配置与结果!$B$32,1+INDEX(配置与结果!$F$15:$F$18,F1165)+0+Q1165*方案参数!$W$35+Y1165*(方案参数!$AN$35+MIN(方案参数!$AO$35,P1165*0.03))+AB1165*方案参数!$BZ$35*0.025-配置与结果!$B$28)</f>
        <v>0.97499999999999998</v>
      </c>
      <c r="AH1165" s="1">
        <f>MAX(0,1+INDEX(配置与结果!$G$15:$G$18,F1165)+W1165*方案参数!$AG$35)</f>
        <v>1.3</v>
      </c>
      <c r="AI1165" s="1">
        <f>IF(OR(INDEX(配置与结果!$K$15:$K$18,F1165)=1,G1165="RHI_BERRY"),1+配置与结果!$B$33+P1165*方案参数!$AH$35,1)</f>
        <v>1</v>
      </c>
      <c r="AJ1165" s="1">
        <f>MIN(1,MAX(0,J1165+方案参数!$AB$35-配置与结果!$B$27))</f>
        <v>0.55499999999999994</v>
      </c>
      <c r="AK1165" s="1">
        <f>MAX(1,K1165+IF(F1165=2,0.15+方案参数!$CH$35,0)+BN1165*方案参数!$X$35+R1165*方案参数!$AA$35+0-配置与结果!$B$26+Z1165*(方案参数!$AP$35+MIN(方案参数!$AQ$35,P1165*0.03)))</f>
        <v>1.33</v>
      </c>
      <c r="AL1165" s="7">
        <f>ROUNDDOWN(MAX(AD1165*配置与结果!$B$31,AD1165-AE1165)*AF1165*AG1165*AH1165*AI1165,0)</f>
        <v>11650</v>
      </c>
      <c r="AM1165" s="7">
        <f>ROUNDDOWN(MAX(AD1165*配置与结果!$B$31,AD1165-AE1165)*AF1165*AG1165*AH1165*AI1165*AK1165,0)</f>
        <v>15495</v>
      </c>
      <c r="AN1165" s="7">
        <f t="shared" si="1620"/>
        <v>13783.974999999999</v>
      </c>
      <c r="AO1165" s="7">
        <f>0</f>
        <v>0</v>
      </c>
      <c r="AP1165" s="7">
        <f>MAX(0,1+INDEX(配置与结果!$J$15:$J$18,F1165)+IF(T1165&gt;0,方案参数!$BY$35,0)-配置与结果!$B$30)</f>
        <v>1</v>
      </c>
      <c r="AQ1165" s="7">
        <f t="shared" si="1621"/>
        <v>0</v>
      </c>
      <c r="AR1165" s="7">
        <f t="shared" si="1622"/>
        <v>0</v>
      </c>
      <c r="AS1165" s="7">
        <f t="shared" si="1623"/>
        <v>0</v>
      </c>
      <c r="AT1165" s="7">
        <f>0</f>
        <v>0</v>
      </c>
      <c r="AU1165" s="7">
        <f t="shared" si="1624"/>
        <v>13783.974999999999</v>
      </c>
      <c r="AV1165" s="1">
        <f t="shared" si="1625"/>
        <v>1</v>
      </c>
      <c r="AW1165" s="1">
        <f>MIN(10,M1165+0+0)</f>
        <v>7</v>
      </c>
      <c r="AX1165" s="1">
        <f t="shared" si="1626"/>
        <v>0</v>
      </c>
      <c r="AY1165" s="1">
        <f t="shared" si="1649"/>
        <v>6</v>
      </c>
      <c r="AZ1165" s="1">
        <f t="shared" si="1627"/>
        <v>5</v>
      </c>
      <c r="BA1165" s="1">
        <f>MIN(6,Q1165+1)</f>
        <v>3</v>
      </c>
      <c r="BB1165" s="1">
        <f t="shared" si="1642"/>
        <v>5</v>
      </c>
      <c r="BC1165" s="1">
        <f>MIN(3,S1165+0)</f>
        <v>1</v>
      </c>
      <c r="BD1165" s="1">
        <f t="shared" si="1650"/>
        <v>0</v>
      </c>
      <c r="BE1165" s="1">
        <f t="shared" si="1643"/>
        <v>0</v>
      </c>
      <c r="BF1165" s="1">
        <f>MIN(4,V1165+0)</f>
        <v>1</v>
      </c>
      <c r="BG1165" s="1">
        <f t="shared" si="1647"/>
        <v>1</v>
      </c>
      <c r="BH1165" s="1">
        <f t="shared" si="1644"/>
        <v>1</v>
      </c>
      <c r="BI1165" s="1">
        <f t="shared" si="1648"/>
        <v>1</v>
      </c>
      <c r="BJ1165" s="1">
        <f>MAX(Z1165,1)</f>
        <v>1</v>
      </c>
      <c r="BK1165" s="1">
        <f>MAX(AA1165,1)</f>
        <v>1</v>
      </c>
      <c r="BL1165" s="1">
        <f t="shared" si="1616"/>
        <v>0</v>
      </c>
      <c r="BM1165" s="1">
        <f t="shared" si="1614"/>
        <v>0</v>
      </c>
      <c r="BN1165" s="1">
        <f t="shared" si="1645"/>
        <v>1</v>
      </c>
      <c r="BO1165" s="1">
        <f t="shared" si="1646"/>
        <v>1</v>
      </c>
    </row>
    <row r="1166" spans="1:67" ht="30.95" customHeight="1">
      <c r="A1166" s="1">
        <f>32</f>
        <v>32</v>
      </c>
      <c r="B1166" s="1">
        <f>固定流程!A14</f>
        <v>9</v>
      </c>
      <c r="C1166" s="1">
        <f>35</f>
        <v>35</v>
      </c>
      <c r="D1166" s="1">
        <f>1</f>
        <v>1</v>
      </c>
      <c r="E1166" s="1">
        <f>固定流程!C14</f>
        <v>2</v>
      </c>
      <c r="F1166" s="1">
        <f>固定流程!G14</f>
        <v>1</v>
      </c>
      <c r="G1166" s="1" t="str">
        <f>固定流程!H14</f>
        <v>LILYA_DIVE</v>
      </c>
      <c r="H1166" s="1">
        <f>固定流程!F14</f>
        <v>3</v>
      </c>
      <c r="I1166" s="1">
        <f>INDEX(配置与结果!$B$15:$B$18,F1166)</f>
        <v>2296</v>
      </c>
      <c r="J1166" s="1">
        <f>INDEX(配置与结果!$D$15:$D$18,F1166)</f>
        <v>0.7</v>
      </c>
      <c r="K1166" s="1">
        <f>INDEX(配置与结果!$E$15:$E$18,F1166)</f>
        <v>2.0249999999999999</v>
      </c>
      <c r="L1166" s="1">
        <f t="shared" ref="L1166:N1170" si="1652">AV1165</f>
        <v>1</v>
      </c>
      <c r="M1166" s="1">
        <f t="shared" si="1652"/>
        <v>7</v>
      </c>
      <c r="N1166" s="1">
        <f t="shared" si="1652"/>
        <v>0</v>
      </c>
      <c r="O1166" s="1">
        <f t="shared" si="1651"/>
        <v>6</v>
      </c>
      <c r="P1166" s="1">
        <f>MIN(方案参数!$AI$35,AZ1165+0+0)</f>
        <v>5</v>
      </c>
      <c r="Q1166" s="1">
        <f t="shared" si="1629"/>
        <v>3</v>
      </c>
      <c r="R1166" s="1">
        <f t="shared" si="1630"/>
        <v>5</v>
      </c>
      <c r="S1166" s="1">
        <f t="shared" si="1631"/>
        <v>1</v>
      </c>
      <c r="T1166" s="1">
        <f t="shared" si="1632"/>
        <v>0</v>
      </c>
      <c r="U1166" s="1">
        <f t="shared" si="1633"/>
        <v>0</v>
      </c>
      <c r="V1166" s="1">
        <f t="shared" si="1634"/>
        <v>1</v>
      </c>
      <c r="W1166" s="1">
        <f t="shared" si="1635"/>
        <v>1</v>
      </c>
      <c r="X1166" s="1">
        <f t="shared" si="1636"/>
        <v>1</v>
      </c>
      <c r="Y1166" s="1">
        <f t="shared" si="1637"/>
        <v>1</v>
      </c>
      <c r="Z1166" s="1">
        <f t="shared" si="1638"/>
        <v>1</v>
      </c>
      <c r="AA1166" s="1">
        <f t="shared" ref="AA1166:AA1171" si="1653">MAX(BK1165,0)</f>
        <v>1</v>
      </c>
      <c r="AB1166" s="1">
        <f t="shared" si="1640"/>
        <v>0</v>
      </c>
      <c r="AC1166" s="1">
        <f t="shared" si="1641"/>
        <v>0</v>
      </c>
      <c r="AD1166" s="1">
        <f>ROUNDDOWN(I1166*(1+IF(F1166=3,0.05+方案参数!$Y$35+AA1166*0.12,IF(F1166=4,方案参数!$BZ$35*方案参数!$AS$35,0)))+IF(AND(X1166=1,F1166&lt;&gt;3),方案参数!$CC$35,0)+AC1166*方案参数!$CB$35,0)</f>
        <v>2534</v>
      </c>
      <c r="AE1166" s="1">
        <f>IF(OR(F1166=1,F1166=4),配置与结果!$B$24,配置与结果!$B$25)*MAX(0,1-INDEX(配置与结果!$I$15:$I$18,F1166))</f>
        <v>1200</v>
      </c>
      <c r="AF1166" s="1">
        <f>(IF(L1166=1,方案参数!$AW$35,IF(L1166=2,方案参数!$AX$35,0))+方案参数!$AV$35)*H1166</f>
        <v>18</v>
      </c>
      <c r="AG1166" s="1">
        <f>MAX(配置与结果!$B$32,1+INDEX(配置与结果!$F$15:$F$18,F1166)+0.08+方案参数!$CD$35+Q1166*方案参数!$W$35+Y1166*(方案参数!$AN$35+MIN(方案参数!$AO$35,P1166*0.03))+AB1166*方案参数!$BZ$35*0.025+IF(L1166=1,方案参数!$AY$35+(H1166-1)*0.1,IF(L1166=2,方案参数!$AZ$35+(H1166-1)*0.2,0))-配置与结果!$B$28)</f>
        <v>1.6</v>
      </c>
      <c r="AH1166" s="1">
        <f>MAX(0,1+INDEX(配置与结果!$G$15:$G$18,F1166)+W1166*方案参数!$AG$35+IF(L1166=1,方案参数!$BA$35,IF(L1166=2,方案参数!$BB$35,0))+M1166*方案参数!$BC$35)</f>
        <v>2.3199999999999998</v>
      </c>
      <c r="AI1166" s="1">
        <f>IF(OR(INDEX(配置与结果!$K$15:$K$18,F1166)=1,G1166="RHI_BERRY"),1+配置与结果!$B$33+P1166*方案参数!$AH$35,1)</f>
        <v>1</v>
      </c>
      <c r="AJ1166" s="1">
        <f>MIN(1,MAX(0,J1166+方案参数!$AB$35-配置与结果!$B$27))</f>
        <v>1</v>
      </c>
      <c r="AK1166" s="1">
        <f>MAX(1,K1166+IF(F1166=2,0.15+方案参数!$CH$35,0)+BN1166*方案参数!$X$35+R1166*方案参数!$AA$35+0-配置与结果!$B$26+Z1166*(方案参数!$AP$35+MIN(方案参数!$AQ$35,P1166*0.03)))</f>
        <v>2.105</v>
      </c>
      <c r="AL1166" s="7">
        <f>ROUNDDOWN(MAX(AD1166*配置与结果!$B$31,AD1166-AE1166)*AF1166*AG1166*AH1166*AI1166,0)</f>
        <v>89132</v>
      </c>
      <c r="AM1166" s="7">
        <f>ROUNDDOWN(MAX(AD1166*配置与结果!$B$31,AD1166-AE1166)*AF1166*AG1166*AH1166*AI1166*AK1166,0)</f>
        <v>187624</v>
      </c>
      <c r="AN1166" s="7">
        <f t="shared" si="1620"/>
        <v>187624</v>
      </c>
      <c r="AO1166" s="7">
        <f>0</f>
        <v>0</v>
      </c>
      <c r="AP1166" s="7">
        <f>MAX(0,1+INDEX(配置与结果!$J$15:$J$18,F1166)+IF(T1166&gt;0,方案参数!$BY$35,0)-配置与结果!$B$30)</f>
        <v>1</v>
      </c>
      <c r="AQ1166" s="7">
        <f t="shared" si="1621"/>
        <v>0</v>
      </c>
      <c r="AR1166" s="7">
        <f t="shared" si="1622"/>
        <v>0</v>
      </c>
      <c r="AS1166" s="7">
        <f t="shared" si="1623"/>
        <v>0</v>
      </c>
      <c r="AT1166" s="7">
        <f>0</f>
        <v>0</v>
      </c>
      <c r="AU1166" s="7">
        <f t="shared" si="1624"/>
        <v>187624</v>
      </c>
      <c r="AV1166" s="1">
        <f t="shared" si="1625"/>
        <v>1</v>
      </c>
      <c r="AW1166" s="1">
        <f>MIN(10,M1166+0+IF(L1166=1,方案参数!$BE$35,0))</f>
        <v>8</v>
      </c>
      <c r="AX1166" s="1">
        <f t="shared" si="1626"/>
        <v>0</v>
      </c>
      <c r="AY1166" s="1">
        <f t="shared" si="1649"/>
        <v>6</v>
      </c>
      <c r="AZ1166" s="1">
        <f t="shared" si="1627"/>
        <v>5</v>
      </c>
      <c r="BA1166" s="1">
        <f>MIN(6,Q1166+0)</f>
        <v>3</v>
      </c>
      <c r="BB1166" s="1">
        <f t="shared" si="1642"/>
        <v>5</v>
      </c>
      <c r="BC1166" s="1">
        <f>MIN(3,S1166+0)</f>
        <v>1</v>
      </c>
      <c r="BD1166" s="1">
        <f t="shared" si="1650"/>
        <v>0</v>
      </c>
      <c r="BE1166" s="1">
        <f t="shared" si="1643"/>
        <v>0</v>
      </c>
      <c r="BF1166" s="1">
        <f>MIN(4,V1166+0)</f>
        <v>1</v>
      </c>
      <c r="BG1166" s="1">
        <f t="shared" si="1647"/>
        <v>1</v>
      </c>
      <c r="BH1166" s="1">
        <f t="shared" si="1644"/>
        <v>1</v>
      </c>
      <c r="BI1166" s="1">
        <f t="shared" si="1648"/>
        <v>1</v>
      </c>
      <c r="BJ1166" s="1">
        <f t="shared" ref="BJ1166:BK1171" si="1654">MAX(Z1166,0)</f>
        <v>1</v>
      </c>
      <c r="BK1166" s="1">
        <f t="shared" si="1654"/>
        <v>1</v>
      </c>
      <c r="BL1166" s="1">
        <f t="shared" si="1616"/>
        <v>0</v>
      </c>
      <c r="BM1166" s="1">
        <f t="shared" si="1614"/>
        <v>0</v>
      </c>
      <c r="BN1166" s="1">
        <f t="shared" si="1645"/>
        <v>1</v>
      </c>
      <c r="BO1166" s="1">
        <f t="shared" si="1646"/>
        <v>1</v>
      </c>
    </row>
    <row r="1167" spans="1:67" ht="30.95" customHeight="1">
      <c r="A1167" s="1">
        <f>32</f>
        <v>32</v>
      </c>
      <c r="B1167" s="1">
        <f>固定流程!A15</f>
        <v>10</v>
      </c>
      <c r="C1167" s="1">
        <f>35</f>
        <v>35</v>
      </c>
      <c r="D1167" s="1">
        <f>1</f>
        <v>1</v>
      </c>
      <c r="E1167" s="1">
        <f>固定流程!C15</f>
        <v>2</v>
      </c>
      <c r="F1167" s="1">
        <f>固定流程!G15</f>
        <v>4</v>
      </c>
      <c r="G1167" s="1" t="str">
        <f>固定流程!H15</f>
        <v>J_HARD</v>
      </c>
      <c r="H1167" s="1">
        <f>固定流程!F15</f>
        <v>1</v>
      </c>
      <c r="I1167" s="1">
        <f>INDEX(配置与结果!$B$15:$B$18,F1167)</f>
        <v>1906</v>
      </c>
      <c r="J1167" s="1">
        <f>INDEX(配置与结果!$D$15:$D$18,F1167)</f>
        <v>0.36699999999999999</v>
      </c>
      <c r="K1167" s="1">
        <f>INDEX(配置与结果!$E$15:$E$18,F1167)</f>
        <v>1.7170000000000001</v>
      </c>
      <c r="L1167" s="1">
        <f t="shared" si="1652"/>
        <v>1</v>
      </c>
      <c r="M1167" s="1">
        <f t="shared" si="1652"/>
        <v>8</v>
      </c>
      <c r="N1167" s="1">
        <f t="shared" si="1652"/>
        <v>0</v>
      </c>
      <c r="O1167" s="1">
        <f t="shared" si="1651"/>
        <v>6</v>
      </c>
      <c r="P1167" s="1">
        <f>MIN(方案参数!$AI$35,AZ1166+0+0)</f>
        <v>5</v>
      </c>
      <c r="Q1167" s="1">
        <f t="shared" si="1629"/>
        <v>3</v>
      </c>
      <c r="R1167" s="1">
        <f t="shared" si="1630"/>
        <v>5</v>
      </c>
      <c r="S1167" s="1">
        <f t="shared" si="1631"/>
        <v>1</v>
      </c>
      <c r="T1167" s="1">
        <f t="shared" si="1632"/>
        <v>0</v>
      </c>
      <c r="U1167" s="1">
        <f t="shared" si="1633"/>
        <v>0</v>
      </c>
      <c r="V1167" s="1">
        <f t="shared" si="1634"/>
        <v>1</v>
      </c>
      <c r="W1167" s="1">
        <f t="shared" si="1635"/>
        <v>1</v>
      </c>
      <c r="X1167" s="1">
        <f t="shared" si="1636"/>
        <v>1</v>
      </c>
      <c r="Y1167" s="1">
        <f t="shared" si="1637"/>
        <v>1</v>
      </c>
      <c r="Z1167" s="1">
        <f t="shared" si="1638"/>
        <v>1</v>
      </c>
      <c r="AA1167" s="1">
        <f t="shared" si="1653"/>
        <v>1</v>
      </c>
      <c r="AB1167" s="1">
        <f t="shared" si="1640"/>
        <v>0</v>
      </c>
      <c r="AC1167" s="1">
        <f t="shared" si="1641"/>
        <v>0</v>
      </c>
      <c r="AD1167" s="1">
        <f>ROUNDDOWN(I1167*(1+IF(F1167=3,0.05+方案参数!$Y$35+AA1167*0.12,IF(F1167=4,方案参数!$BZ$35*方案参数!$AS$35,0)))+IF(AND(X1167=1,F1167&lt;&gt;3),方案参数!$CC$35,0)+AC1167*方案参数!$CB$35,0)</f>
        <v>2811</v>
      </c>
      <c r="AE1167" s="1">
        <f>IF(OR(F1167=1,F1167=4),配置与结果!$B$24,配置与结果!$B$25)*MAX(0,1-INDEX(配置与结果!$I$15:$I$18,F1167))</f>
        <v>1200</v>
      </c>
      <c r="AF1167" s="1">
        <f>3.6*IF(H1167=1,1,IF(H1167=2,1.5,2.5))</f>
        <v>3.6</v>
      </c>
      <c r="AG1167" s="1">
        <f>MAX(配置与结果!$B$32,1+INDEX(配置与结果!$F$15:$F$18,F1167)+0.08+Q1167*方案参数!$W$35+Y1167*(方案参数!$AN$35+MIN(方案参数!$AO$35,P1167*0.03))+AB1167*方案参数!$BZ$35*0.025+0.1+IF(方案参数!$BZ$35&gt;=30,方案参数!$BZ$35*0.01,0)-配置与结果!$B$28)</f>
        <v>1.5150000000000001</v>
      </c>
      <c r="AH1167" s="1">
        <f>MAX(0,1+INDEX(配置与结果!$G$15:$G$18,F1167)+W1167*方案参数!$AG$35)</f>
        <v>1.3</v>
      </c>
      <c r="AI1167" s="1">
        <f>IF(OR(INDEX(配置与结果!$K$15:$K$18,F1167)=1,G1167="RHI_BERRY"),1+配置与结果!$B$33+P1167*方案参数!$AH$35,1)</f>
        <v>1</v>
      </c>
      <c r="AJ1167" s="1">
        <f>MIN(1,MAX(0,J1167+方案参数!$AB$35-配置与结果!$B$27))</f>
        <v>0.66700000000000004</v>
      </c>
      <c r="AK1167" s="1">
        <f>MAX(1,K1167+IF(F1167=2,0.15+方案参数!$CH$35,0)+BN1167*方案参数!$X$35+R1167*方案参数!$AA$35+0-配置与结果!$B$26+Z1167*(方案参数!$AP$35+MIN(方案参数!$AQ$35,P1167*0.03)))</f>
        <v>1.7969999999999999</v>
      </c>
      <c r="AL1167" s="7">
        <f>ROUNDDOWN(MAX(AD1167*配置与结果!$B$31,AD1167-AE1167)*AF1167*AG1167*AH1167*AI1167,0)</f>
        <v>11422</v>
      </c>
      <c r="AM1167" s="7">
        <f>ROUNDDOWN(MAX(AD1167*配置与结果!$B$31,AD1167-AE1167)*AF1167*AG1167*AH1167*AI1167*AK1167,0)</f>
        <v>20525</v>
      </c>
      <c r="AN1167" s="7">
        <f t="shared" si="1620"/>
        <v>17493.701000000001</v>
      </c>
      <c r="AO1167" s="7">
        <f>0</f>
        <v>0</v>
      </c>
      <c r="AP1167" s="7">
        <f>MAX(0,1+INDEX(配置与结果!$J$15:$J$18,F1167)+IF(T1167&gt;0,方案参数!$BY$35,0)-配置与结果!$B$30)</f>
        <v>1</v>
      </c>
      <c r="AQ1167" s="7">
        <f t="shared" si="1621"/>
        <v>0</v>
      </c>
      <c r="AR1167" s="7">
        <f t="shared" si="1622"/>
        <v>0</v>
      </c>
      <c r="AS1167" s="7">
        <f t="shared" si="1623"/>
        <v>0</v>
      </c>
      <c r="AT1167" s="7">
        <f>0</f>
        <v>0</v>
      </c>
      <c r="AU1167" s="7">
        <f t="shared" si="1624"/>
        <v>17493.701000000001</v>
      </c>
      <c r="AV1167" s="1">
        <f t="shared" si="1625"/>
        <v>1</v>
      </c>
      <c r="AW1167" s="1">
        <f t="shared" ref="AW1167:AW1177" si="1655">MIN(10,M1167+0+0)</f>
        <v>8</v>
      </c>
      <c r="AX1167" s="1">
        <f t="shared" si="1626"/>
        <v>0</v>
      </c>
      <c r="AY1167" s="1">
        <f t="shared" si="1649"/>
        <v>6</v>
      </c>
      <c r="AZ1167" s="1">
        <f t="shared" si="1627"/>
        <v>5</v>
      </c>
      <c r="BA1167" s="1">
        <f>MIN(6,Q1167+0)</f>
        <v>3</v>
      </c>
      <c r="BB1167" s="1">
        <f t="shared" si="1642"/>
        <v>5</v>
      </c>
      <c r="BC1167" s="1">
        <f>MIN(3,S1167+1)</f>
        <v>2</v>
      </c>
      <c r="BD1167" s="1">
        <f t="shared" si="1650"/>
        <v>0</v>
      </c>
      <c r="BE1167" s="1">
        <f t="shared" si="1643"/>
        <v>0</v>
      </c>
      <c r="BF1167" s="1">
        <f>MIN(4,V1167+0)</f>
        <v>1</v>
      </c>
      <c r="BG1167" s="1">
        <f t="shared" si="1647"/>
        <v>1</v>
      </c>
      <c r="BH1167" s="1">
        <f t="shared" si="1644"/>
        <v>1</v>
      </c>
      <c r="BI1167" s="1">
        <f t="shared" si="1648"/>
        <v>1</v>
      </c>
      <c r="BJ1167" s="1">
        <f t="shared" si="1654"/>
        <v>1</v>
      </c>
      <c r="BK1167" s="1">
        <f t="shared" si="1654"/>
        <v>1</v>
      </c>
      <c r="BL1167" s="1">
        <f t="shared" si="1616"/>
        <v>0</v>
      </c>
      <c r="BM1167" s="1">
        <f t="shared" si="1614"/>
        <v>0</v>
      </c>
      <c r="BN1167" s="1">
        <f t="shared" si="1645"/>
        <v>1</v>
      </c>
      <c r="BO1167" s="1">
        <f t="shared" si="1646"/>
        <v>1</v>
      </c>
    </row>
    <row r="1168" spans="1:67" ht="30.95" customHeight="1">
      <c r="A1168" s="1">
        <f>32</f>
        <v>32</v>
      </c>
      <c r="B1168" s="1">
        <f>固定流程!A16</f>
        <v>11</v>
      </c>
      <c r="C1168" s="1">
        <f>35</f>
        <v>35</v>
      </c>
      <c r="D1168" s="1">
        <f>1</f>
        <v>1</v>
      </c>
      <c r="E1168" s="1">
        <f>固定流程!C16</f>
        <v>2</v>
      </c>
      <c r="F1168" s="1">
        <f>固定流程!G16</f>
        <v>2</v>
      </c>
      <c r="G1168" s="1" t="str">
        <f>固定流程!H16</f>
        <v>37_CURVE</v>
      </c>
      <c r="H1168" s="1">
        <f>固定流程!F16</f>
        <v>1</v>
      </c>
      <c r="I1168" s="1">
        <f>INDEX(配置与结果!$B$15:$B$18,F1168)</f>
        <v>2306</v>
      </c>
      <c r="J1168" s="1">
        <f>INDEX(配置与结果!$D$15:$D$18,F1168)</f>
        <v>0.46</v>
      </c>
      <c r="K1168" s="1">
        <f>INDEX(配置与结果!$E$15:$E$18,F1168)</f>
        <v>1.9279999999999999</v>
      </c>
      <c r="L1168" s="1">
        <f t="shared" si="1652"/>
        <v>1</v>
      </c>
      <c r="M1168" s="1">
        <f t="shared" si="1652"/>
        <v>8</v>
      </c>
      <c r="N1168" s="1">
        <f t="shared" si="1652"/>
        <v>0</v>
      </c>
      <c r="O1168" s="1">
        <f t="shared" si="1651"/>
        <v>6</v>
      </c>
      <c r="P1168" s="1">
        <f>MIN(方案参数!$AI$35,AZ1167+0+0)</f>
        <v>5</v>
      </c>
      <c r="Q1168" s="1">
        <f t="shared" si="1629"/>
        <v>3</v>
      </c>
      <c r="R1168" s="1">
        <f t="shared" si="1630"/>
        <v>5</v>
      </c>
      <c r="S1168" s="1">
        <f t="shared" si="1631"/>
        <v>2</v>
      </c>
      <c r="T1168" s="1">
        <f t="shared" si="1632"/>
        <v>0</v>
      </c>
      <c r="U1168" s="1">
        <f t="shared" si="1633"/>
        <v>0</v>
      </c>
      <c r="V1168" s="1">
        <f t="shared" si="1634"/>
        <v>1</v>
      </c>
      <c r="W1168" s="1">
        <f t="shared" si="1635"/>
        <v>1</v>
      </c>
      <c r="X1168" s="1">
        <f t="shared" si="1636"/>
        <v>1</v>
      </c>
      <c r="Y1168" s="1">
        <f t="shared" si="1637"/>
        <v>1</v>
      </c>
      <c r="Z1168" s="1">
        <f t="shared" si="1638"/>
        <v>1</v>
      </c>
      <c r="AA1168" s="1">
        <f t="shared" si="1653"/>
        <v>1</v>
      </c>
      <c r="AB1168" s="1">
        <f t="shared" si="1640"/>
        <v>0</v>
      </c>
      <c r="AC1168" s="1">
        <f t="shared" si="1641"/>
        <v>0</v>
      </c>
      <c r="AD1168" s="1">
        <f>ROUNDDOWN(I1168*(1+IF(F1168=3,0.05+方案参数!$Y$35+AA1168*0.12,IF(F1168=4,方案参数!$BZ$35*方案参数!$AS$35,0)))+IF(AND(X1168=1,F1168&lt;&gt;3),方案参数!$CC$35,0)+AC1168*方案参数!$CB$35,0)</f>
        <v>2544</v>
      </c>
      <c r="AE1168" s="1">
        <f>IF(OR(F1168=1,F1168=4),配置与结果!$B$24,配置与结果!$B$25)*MAX(0,1-INDEX(配置与结果!$I$15:$I$18,F1168))</f>
        <v>1000</v>
      </c>
      <c r="AF1168" s="1">
        <f>方案参数!$BT$35*IF(H1168=1,1,IF(H1168=2,1.5,2.5))</f>
        <v>1.4</v>
      </c>
      <c r="AG1168" s="1">
        <f>MAX(配置与结果!$B$32,1+INDEX(配置与结果!$F$15:$F$18,F1168)+0+Q1168*方案参数!$W$35+Y1168*(方案参数!$AN$35+MIN(方案参数!$AO$35,P1168*0.03))+AB1168*方案参数!$BZ$35*0.025-配置与结果!$B$28)</f>
        <v>0.96499999999999997</v>
      </c>
      <c r="AH1168" s="1">
        <f>MAX(0,1+INDEX(配置与结果!$G$15:$G$18,F1168)+W1168*方案参数!$AG$35)</f>
        <v>1.3</v>
      </c>
      <c r="AI1168" s="1">
        <f>IF(OR(INDEX(配置与结果!$K$15:$K$18,F1168)=1,G1168="RHI_BERRY"),1+配置与结果!$B$33+P1168*方案参数!$AH$35,1)</f>
        <v>1</v>
      </c>
      <c r="AJ1168" s="1">
        <f>MIN(1,MAX(0,J1168+方案参数!$AB$35-配置与结果!$B$27))</f>
        <v>0.76</v>
      </c>
      <c r="AK1168" s="1">
        <f>MAX(1,K1168+IF(F1168=2,0.15+方案参数!$CH$35,0)+BN1168*方案参数!$X$35+R1168*方案参数!$AA$35+0-配置与结果!$B$26+Z1168*(方案参数!$AP$35+MIN(方案参数!$AQ$35,P1168*0.03)))</f>
        <v>2.3079999999999998</v>
      </c>
      <c r="AL1168" s="7">
        <f>ROUNDDOWN(MAX(AD1168*配置与结果!$B$31,AD1168-AE1168)*AF1168*AG1168*AH1168*AI1168,0)</f>
        <v>2711</v>
      </c>
      <c r="AM1168" s="7">
        <f>ROUNDDOWN(MAX(AD1168*配置与结果!$B$31,AD1168-AE1168)*AF1168*AG1168*AH1168*AI1168*AK1168,0)</f>
        <v>6258</v>
      </c>
      <c r="AN1168" s="7">
        <f t="shared" si="1620"/>
        <v>5406.72</v>
      </c>
      <c r="AO1168" s="7">
        <f>方案参数!$BU$35*IF(H1168=1,1,IF(H1168=2,1.5,2.5))</f>
        <v>0.8</v>
      </c>
      <c r="AP1168" s="7">
        <f>MAX(0,1+INDEX(配置与结果!$J$15:$J$18,F1168)+IF(T1168&gt;0,方案参数!$BY$35,0)-配置与结果!$B$30)</f>
        <v>1</v>
      </c>
      <c r="AQ1168" s="7">
        <f t="shared" si="1621"/>
        <v>2035</v>
      </c>
      <c r="AR1168" s="7">
        <f t="shared" si="1622"/>
        <v>4696</v>
      </c>
      <c r="AS1168" s="7">
        <f t="shared" si="1623"/>
        <v>4057.36</v>
      </c>
      <c r="AT1168" s="7">
        <f>0</f>
        <v>0</v>
      </c>
      <c r="AU1168" s="7">
        <f t="shared" si="1624"/>
        <v>9464.08</v>
      </c>
      <c r="AV1168" s="1">
        <f t="shared" si="1625"/>
        <v>1</v>
      </c>
      <c r="AW1168" s="1">
        <f t="shared" si="1655"/>
        <v>8</v>
      </c>
      <c r="AX1168" s="1">
        <f t="shared" si="1626"/>
        <v>0</v>
      </c>
      <c r="AY1168" s="1">
        <f t="shared" si="1649"/>
        <v>6</v>
      </c>
      <c r="AZ1168" s="1">
        <f t="shared" si="1627"/>
        <v>5</v>
      </c>
      <c r="BA1168" s="1">
        <f>MIN(6,Q1168+0)</f>
        <v>3</v>
      </c>
      <c r="BB1168" s="1">
        <f t="shared" si="1642"/>
        <v>5</v>
      </c>
      <c r="BC1168" s="1">
        <f t="shared" ref="BC1168:BC1174" si="1656">MIN(3,S1168+0)</f>
        <v>2</v>
      </c>
      <c r="BD1168" s="1">
        <f t="shared" si="1650"/>
        <v>0</v>
      </c>
      <c r="BE1168" s="1">
        <f t="shared" si="1643"/>
        <v>0</v>
      </c>
      <c r="BF1168" s="1">
        <f>MIN(4,V1168+0)</f>
        <v>1</v>
      </c>
      <c r="BG1168" s="1">
        <f t="shared" si="1647"/>
        <v>1</v>
      </c>
      <c r="BH1168" s="1">
        <f t="shared" si="1644"/>
        <v>1</v>
      </c>
      <c r="BI1168" s="1">
        <f t="shared" si="1648"/>
        <v>1</v>
      </c>
      <c r="BJ1168" s="1">
        <f t="shared" si="1654"/>
        <v>1</v>
      </c>
      <c r="BK1168" s="1">
        <f t="shared" si="1654"/>
        <v>1</v>
      </c>
      <c r="BL1168" s="1">
        <f t="shared" si="1616"/>
        <v>0</v>
      </c>
      <c r="BM1168" s="1">
        <f t="shared" si="1614"/>
        <v>0</v>
      </c>
      <c r="BN1168" s="1">
        <f t="shared" si="1645"/>
        <v>1</v>
      </c>
      <c r="BO1168" s="1">
        <f t="shared" si="1646"/>
        <v>1</v>
      </c>
    </row>
    <row r="1169" spans="1:67" ht="30.95" customHeight="1">
      <c r="A1169" s="1">
        <f>32</f>
        <v>32</v>
      </c>
      <c r="B1169" s="1">
        <f>固定流程!A17</f>
        <v>12</v>
      </c>
      <c r="C1169" s="1">
        <f>35</f>
        <v>35</v>
      </c>
      <c r="D1169" s="1">
        <f>1</f>
        <v>1</v>
      </c>
      <c r="E1169" s="1">
        <f>固定流程!C17</f>
        <v>2</v>
      </c>
      <c r="F1169" s="1">
        <f>固定流程!G17</f>
        <v>2</v>
      </c>
      <c r="G1169" s="1" t="str">
        <f>固定流程!H17</f>
        <v>37_FOLLOW</v>
      </c>
      <c r="H1169" s="1">
        <f>固定流程!F17</f>
        <v>1</v>
      </c>
      <c r="I1169" s="1">
        <f>INDEX(配置与结果!$B$15:$B$18,F1169)</f>
        <v>2306</v>
      </c>
      <c r="J1169" s="1">
        <f>INDEX(配置与结果!$D$15:$D$18,F1169)</f>
        <v>0.46</v>
      </c>
      <c r="K1169" s="1">
        <f>INDEX(配置与结果!$E$15:$E$18,F1169)</f>
        <v>1.9279999999999999</v>
      </c>
      <c r="L1169" s="1">
        <f t="shared" si="1652"/>
        <v>1</v>
      </c>
      <c r="M1169" s="1">
        <f t="shared" si="1652"/>
        <v>8</v>
      </c>
      <c r="N1169" s="1">
        <f t="shared" si="1652"/>
        <v>0</v>
      </c>
      <c r="O1169" s="1">
        <f t="shared" si="1651"/>
        <v>6</v>
      </c>
      <c r="P1169" s="1">
        <f>MIN(方案参数!$AI$35,AZ1168+0+0)</f>
        <v>5</v>
      </c>
      <c r="Q1169" s="1">
        <f t="shared" si="1629"/>
        <v>3</v>
      </c>
      <c r="R1169" s="1">
        <f t="shared" si="1630"/>
        <v>5</v>
      </c>
      <c r="S1169" s="1">
        <f t="shared" si="1631"/>
        <v>2</v>
      </c>
      <c r="T1169" s="1">
        <f t="shared" si="1632"/>
        <v>0</v>
      </c>
      <c r="U1169" s="1">
        <f t="shared" si="1633"/>
        <v>0</v>
      </c>
      <c r="V1169" s="1">
        <f t="shared" si="1634"/>
        <v>1</v>
      </c>
      <c r="W1169" s="1">
        <f t="shared" si="1635"/>
        <v>1</v>
      </c>
      <c r="X1169" s="1">
        <f t="shared" si="1636"/>
        <v>1</v>
      </c>
      <c r="Y1169" s="1">
        <f t="shared" si="1637"/>
        <v>1</v>
      </c>
      <c r="Z1169" s="1">
        <f t="shared" si="1638"/>
        <v>1</v>
      </c>
      <c r="AA1169" s="1">
        <f t="shared" si="1653"/>
        <v>1</v>
      </c>
      <c r="AB1169" s="1">
        <f t="shared" si="1640"/>
        <v>0</v>
      </c>
      <c r="AC1169" s="1">
        <f t="shared" si="1641"/>
        <v>0</v>
      </c>
      <c r="AD1169" s="1">
        <f>ROUNDDOWN(I1169*(1+IF(F1169=3,0.05+方案参数!$Y$35+AA1169*0.12,IF(F1169=4,方案参数!$BZ$35*方案参数!$AS$35,0)))+IF(AND(X1169=1,F1169&lt;&gt;3),方案参数!$CC$35,0)+AC1169*方案参数!$CB$35,0)</f>
        <v>2544</v>
      </c>
      <c r="AE1169" s="1">
        <f>IF(OR(F1169=1,F1169=4),配置与结果!$B$24,配置与结果!$B$25)*MAX(0,1-INDEX(配置与结果!$I$15:$I$18,F1169))</f>
        <v>1000</v>
      </c>
      <c r="AF1169" s="1">
        <f>方案参数!$BV$35</f>
        <v>3</v>
      </c>
      <c r="AG1169" s="1">
        <f>MAX(配置与结果!$B$32,1+INDEX(配置与结果!$F$15:$F$18,F1169)+0+Q1169*方案参数!$W$35+Y1169*(方案参数!$AN$35+MIN(方案参数!$AO$35,P1169*0.03))+AB1169*方案参数!$BZ$35*0.025-配置与结果!$B$28)</f>
        <v>0.96499999999999997</v>
      </c>
      <c r="AH1169" s="1">
        <f>MAX(0,1+INDEX(配置与结果!$G$15:$G$18,F1169)+W1169*方案参数!$AG$35)</f>
        <v>1.3</v>
      </c>
      <c r="AI1169" s="1">
        <f>IF(OR(INDEX(配置与结果!$K$15:$K$18,F1169)=1,G1169="RHI_BERRY"),1+配置与结果!$B$33+P1169*方案参数!$AH$35,1)</f>
        <v>1</v>
      </c>
      <c r="AJ1169" s="1">
        <f>MIN(1,MAX(0,J1169+方案参数!$AB$35-配置与结果!$B$27))</f>
        <v>0.76</v>
      </c>
      <c r="AK1169" s="1">
        <f>MAX(1,K1169+IF(F1169=2,0.15+方案参数!$CH$35,0)+BN1169*方案参数!$X$35+R1169*方案参数!$AA$35+0-配置与结果!$B$26+Z1169*(方案参数!$AP$35+MIN(方案参数!$AQ$35,P1169*0.03)))</f>
        <v>2.3079999999999998</v>
      </c>
      <c r="AL1169" s="7">
        <f>ROUNDDOWN(MAX(AD1169*配置与结果!$B$31,AD1169-AE1169)*AF1169*AG1169*AH1169*AI1169,0)</f>
        <v>5810</v>
      </c>
      <c r="AM1169" s="7">
        <f>ROUNDDOWN(MAX(AD1169*配置与结果!$B$31,AD1169-AE1169)*AF1169*AG1169*AH1169*AI1169*AK1169,0)</f>
        <v>13411</v>
      </c>
      <c r="AN1169" s="7">
        <f t="shared" si="1620"/>
        <v>11586.76</v>
      </c>
      <c r="AO1169" s="7">
        <f>方案参数!$BW$35</f>
        <v>1</v>
      </c>
      <c r="AP1169" s="7">
        <f>MAX(0,1+INDEX(配置与结果!$J$15:$J$18,F1169)+IF(T1169&gt;0,方案参数!$BY$35,0)-配置与结果!$B$30)</f>
        <v>1</v>
      </c>
      <c r="AQ1169" s="7">
        <f t="shared" si="1621"/>
        <v>2544</v>
      </c>
      <c r="AR1169" s="7">
        <f t="shared" si="1622"/>
        <v>5871</v>
      </c>
      <c r="AS1169" s="7">
        <f t="shared" si="1623"/>
        <v>5072.5200000000004</v>
      </c>
      <c r="AT1169" s="7">
        <f>0</f>
        <v>0</v>
      </c>
      <c r="AU1169" s="7">
        <f t="shared" si="1624"/>
        <v>16659.28</v>
      </c>
      <c r="AV1169" s="1">
        <f t="shared" si="1625"/>
        <v>1</v>
      </c>
      <c r="AW1169" s="1">
        <f t="shared" si="1655"/>
        <v>8</v>
      </c>
      <c r="AX1169" s="1">
        <f t="shared" si="1626"/>
        <v>0</v>
      </c>
      <c r="AY1169" s="1">
        <f t="shared" si="1649"/>
        <v>6</v>
      </c>
      <c r="AZ1169" s="1">
        <f t="shared" si="1627"/>
        <v>5</v>
      </c>
      <c r="BA1169" s="1">
        <f>MIN(6,Q1169+0)</f>
        <v>3</v>
      </c>
      <c r="BB1169" s="1">
        <f t="shared" si="1642"/>
        <v>5</v>
      </c>
      <c r="BC1169" s="1">
        <f t="shared" si="1656"/>
        <v>2</v>
      </c>
      <c r="BD1169" s="1">
        <f t="shared" si="1650"/>
        <v>0</v>
      </c>
      <c r="BE1169" s="1">
        <f t="shared" si="1643"/>
        <v>0</v>
      </c>
      <c r="BF1169" s="1">
        <f>MIN(4,V1169+1)</f>
        <v>2</v>
      </c>
      <c r="BG1169" s="1">
        <f t="shared" si="1647"/>
        <v>1</v>
      </c>
      <c r="BH1169" s="1">
        <f t="shared" si="1644"/>
        <v>1</v>
      </c>
      <c r="BI1169" s="1">
        <f t="shared" si="1648"/>
        <v>1</v>
      </c>
      <c r="BJ1169" s="1">
        <f t="shared" si="1654"/>
        <v>1</v>
      </c>
      <c r="BK1169" s="1">
        <f t="shared" si="1654"/>
        <v>1</v>
      </c>
      <c r="BL1169" s="1">
        <f t="shared" si="1616"/>
        <v>0</v>
      </c>
      <c r="BM1169" s="1">
        <f t="shared" si="1614"/>
        <v>0</v>
      </c>
      <c r="BN1169" s="1">
        <f t="shared" si="1645"/>
        <v>1</v>
      </c>
      <c r="BO1169" s="1">
        <f t="shared" si="1646"/>
        <v>1</v>
      </c>
    </row>
    <row r="1170" spans="1:67" ht="30.95" customHeight="1">
      <c r="A1170" s="1">
        <f>32</f>
        <v>32</v>
      </c>
      <c r="B1170" s="1">
        <f>固定流程!A18</f>
        <v>13</v>
      </c>
      <c r="C1170" s="1">
        <f>35</f>
        <v>35</v>
      </c>
      <c r="D1170" s="1">
        <f>1</f>
        <v>1</v>
      </c>
      <c r="E1170" s="1">
        <f>固定流程!C18</f>
        <v>2</v>
      </c>
      <c r="F1170" s="1">
        <f>固定流程!G18</f>
        <v>3</v>
      </c>
      <c r="G1170" s="1" t="str">
        <f>固定流程!H18</f>
        <v>RHI_BERRY</v>
      </c>
      <c r="H1170" s="1">
        <f>固定流程!F18</f>
        <v>1</v>
      </c>
      <c r="I1170" s="1">
        <f>INDEX(配置与结果!$B$15:$B$18,F1170)</f>
        <v>2597</v>
      </c>
      <c r="J1170" s="1">
        <f>INDEX(配置与结果!$D$15:$D$18,F1170)</f>
        <v>0.255</v>
      </c>
      <c r="K1170" s="1">
        <f>INDEX(配置与结果!$E$15:$E$18,F1170)</f>
        <v>1.55</v>
      </c>
      <c r="L1170" s="1">
        <f t="shared" si="1652"/>
        <v>1</v>
      </c>
      <c r="M1170" s="1">
        <f t="shared" si="1652"/>
        <v>8</v>
      </c>
      <c r="N1170" s="1">
        <f t="shared" si="1652"/>
        <v>0</v>
      </c>
      <c r="O1170" s="1">
        <f t="shared" si="1651"/>
        <v>6</v>
      </c>
      <c r="P1170" s="1">
        <f>MIN(方案参数!$AI$35,AZ1169+0+0)</f>
        <v>5</v>
      </c>
      <c r="Q1170" s="1">
        <f t="shared" si="1629"/>
        <v>3</v>
      </c>
      <c r="R1170" s="1">
        <f t="shared" si="1630"/>
        <v>5</v>
      </c>
      <c r="S1170" s="1">
        <f t="shared" si="1631"/>
        <v>2</v>
      </c>
      <c r="T1170" s="1">
        <f t="shared" si="1632"/>
        <v>0</v>
      </c>
      <c r="U1170" s="1">
        <f t="shared" si="1633"/>
        <v>0</v>
      </c>
      <c r="V1170" s="1">
        <f t="shared" si="1634"/>
        <v>2</v>
      </c>
      <c r="W1170" s="1">
        <f t="shared" si="1635"/>
        <v>1</v>
      </c>
      <c r="X1170" s="1">
        <f t="shared" si="1636"/>
        <v>1</v>
      </c>
      <c r="Y1170" s="1">
        <f t="shared" si="1637"/>
        <v>1</v>
      </c>
      <c r="Z1170" s="1">
        <f t="shared" si="1638"/>
        <v>1</v>
      </c>
      <c r="AA1170" s="1">
        <f t="shared" si="1653"/>
        <v>1</v>
      </c>
      <c r="AB1170" s="1">
        <f t="shared" si="1640"/>
        <v>0</v>
      </c>
      <c r="AC1170" s="1">
        <f t="shared" si="1641"/>
        <v>0</v>
      </c>
      <c r="AD1170" s="1">
        <f>ROUNDDOWN(I1170*(1+IF(F1170=3,0.05+方案参数!$Y$35+AA1170*0.12,IF(F1170=4,方案参数!$BZ$35*方案参数!$AS$35,0)))+IF(AND(X1170=1,F1170&lt;&gt;3),方案参数!$CC$35,0)+AC1170*方案参数!$CB$35,0)</f>
        <v>3298</v>
      </c>
      <c r="AE1170" s="1">
        <f>IF(OR(F1170=1,F1170=4),配置与结果!$B$24,配置与结果!$B$25)*MAX(0,1-INDEX(配置与结果!$I$15:$I$18,F1170))</f>
        <v>1000</v>
      </c>
      <c r="AF1170" s="1">
        <f>方案参数!$CF$35+P1170*方案参数!$CG$35</f>
        <v>22.5</v>
      </c>
      <c r="AG1170" s="1">
        <f>MAX(配置与结果!$B$32,1+INDEX(配置与结果!$F$15:$F$18,F1170)+0+Q1170*方案参数!$W$35+Y1170*(方案参数!$AN$35+MIN(方案参数!$AO$35,P1170*0.03))+AB1170*方案参数!$BZ$35*0.025-配置与结果!$B$28)</f>
        <v>0.995</v>
      </c>
      <c r="AH1170" s="1">
        <f>MAX(0,1+INDEX(配置与结果!$G$15:$G$18,F1170)+W1170*方案参数!$AG$35)</f>
        <v>1.3</v>
      </c>
      <c r="AI1170" s="1">
        <f>IF(OR(INDEX(配置与结果!$K$15:$K$18,F1170)=1,G1170="RHI_BERRY"),1+配置与结果!$B$33+P1170*方案参数!$AH$35,1)</f>
        <v>1.5</v>
      </c>
      <c r="AJ1170" s="1">
        <f>MIN(1,MAX(0,J1170+方案参数!$AB$35-配置与结果!$B$27))</f>
        <v>0.55499999999999994</v>
      </c>
      <c r="AK1170" s="1">
        <f>MAX(1,K1170+IF(F1170=2,0.15+方案参数!$CH$35,0)+BN1170*方案参数!$X$35+R1170*方案参数!$AA$35+0-配置与结果!$B$26+Z1170*(方案参数!$AP$35+MIN(方案参数!$AQ$35,P1170*0.03)))</f>
        <v>1.6300000000000001</v>
      </c>
      <c r="AL1170" s="7">
        <f>ROUNDDOWN(MAX(AD1170*配置与结果!$B$31,AD1170-AE1170)*AF1170*AG1170*AH1170*AI1170,0)</f>
        <v>100320</v>
      </c>
      <c r="AM1170" s="7">
        <f>ROUNDDOWN(MAX(AD1170*配置与结果!$B$31,AD1170-AE1170)*AF1170*AG1170*AH1170*AI1170*AK1170,0)</f>
        <v>163522</v>
      </c>
      <c r="AN1170" s="7">
        <f t="shared" si="1620"/>
        <v>135397.10999999999</v>
      </c>
      <c r="AO1170" s="7">
        <f>0</f>
        <v>0</v>
      </c>
      <c r="AP1170" s="7">
        <f>MAX(0,1+INDEX(配置与结果!$J$15:$J$18,F1170)+IF(T1170&gt;0,方案参数!$BY$35,0)-配置与结果!$B$30)</f>
        <v>1</v>
      </c>
      <c r="AQ1170" s="7">
        <f t="shared" si="1621"/>
        <v>0</v>
      </c>
      <c r="AR1170" s="7">
        <f t="shared" si="1622"/>
        <v>0</v>
      </c>
      <c r="AS1170" s="7">
        <f t="shared" si="1623"/>
        <v>0</v>
      </c>
      <c r="AT1170" s="7">
        <f>0</f>
        <v>0</v>
      </c>
      <c r="AU1170" s="7">
        <f t="shared" si="1624"/>
        <v>135397.10999999999</v>
      </c>
      <c r="AV1170" s="1">
        <f t="shared" si="1625"/>
        <v>1</v>
      </c>
      <c r="AW1170" s="1">
        <f t="shared" si="1655"/>
        <v>8</v>
      </c>
      <c r="AX1170" s="1">
        <f t="shared" si="1626"/>
        <v>0</v>
      </c>
      <c r="AY1170" s="1">
        <f t="shared" si="1649"/>
        <v>6</v>
      </c>
      <c r="AZ1170" s="1">
        <f t="shared" si="1627"/>
        <v>5</v>
      </c>
      <c r="BA1170" s="1">
        <f>MIN(6,Q1170+0)</f>
        <v>3</v>
      </c>
      <c r="BB1170" s="1">
        <f t="shared" si="1642"/>
        <v>5</v>
      </c>
      <c r="BC1170" s="1">
        <f t="shared" si="1656"/>
        <v>2</v>
      </c>
      <c r="BD1170" s="1">
        <f t="shared" si="1650"/>
        <v>0</v>
      </c>
      <c r="BE1170" s="1">
        <f t="shared" si="1643"/>
        <v>0</v>
      </c>
      <c r="BF1170" s="1">
        <f>MIN(4,V1170+0)</f>
        <v>2</v>
      </c>
      <c r="BG1170" s="1">
        <f t="shared" si="1647"/>
        <v>1</v>
      </c>
      <c r="BH1170" s="1">
        <f t="shared" si="1644"/>
        <v>1</v>
      </c>
      <c r="BI1170" s="1">
        <f t="shared" si="1648"/>
        <v>1</v>
      </c>
      <c r="BJ1170" s="1">
        <f t="shared" si="1654"/>
        <v>1</v>
      </c>
      <c r="BK1170" s="1">
        <f t="shared" si="1654"/>
        <v>1</v>
      </c>
      <c r="BL1170" s="1">
        <f t="shared" si="1616"/>
        <v>0</v>
      </c>
      <c r="BM1170" s="1">
        <f t="shared" si="1614"/>
        <v>0</v>
      </c>
      <c r="BN1170" s="1">
        <f t="shared" si="1645"/>
        <v>1</v>
      </c>
      <c r="BO1170" s="1">
        <f t="shared" si="1646"/>
        <v>1</v>
      </c>
    </row>
    <row r="1171" spans="1:67" ht="30.95" customHeight="1">
      <c r="A1171" s="1">
        <f>32</f>
        <v>32</v>
      </c>
      <c r="B1171" s="1">
        <f>固定流程!A19</f>
        <v>14</v>
      </c>
      <c r="C1171" s="1">
        <f>35</f>
        <v>35</v>
      </c>
      <c r="D1171" s="1">
        <f>1</f>
        <v>1</v>
      </c>
      <c r="E1171" s="1">
        <f>固定流程!C19</f>
        <v>3</v>
      </c>
      <c r="F1171" s="1">
        <f>固定流程!G19</f>
        <v>3</v>
      </c>
      <c r="G1171" s="1" t="str">
        <f>固定流程!H19</f>
        <v>RHI_BUFF</v>
      </c>
      <c r="H1171" s="1">
        <f>固定流程!F19</f>
        <v>1</v>
      </c>
      <c r="I1171" s="1">
        <f>INDEX(配置与结果!$B$15:$B$18,F1171)</f>
        <v>2597</v>
      </c>
      <c r="J1171" s="1">
        <f>INDEX(配置与结果!$D$15:$D$18,F1171)</f>
        <v>0.255</v>
      </c>
      <c r="K1171" s="1">
        <f>INDEX(配置与结果!$E$15:$E$18,F1171)</f>
        <v>1.55</v>
      </c>
      <c r="L1171" s="1">
        <f>IF(AV1170=1,IF(M1171&gt;=10,2,1),IF(AV1170=2,IF(AX1170&lt;=1,0,2),0))</f>
        <v>2</v>
      </c>
      <c r="M1171" s="1">
        <f>IF(AND(AV1170=2,AX1170&lt;=1),0,MIN(10,AW1170+IF(AV1170=1,3,0)))</f>
        <v>10</v>
      </c>
      <c r="N1171" s="1">
        <f>IF(AND(AV1170=1,M1171&gt;=10),2,IF(AV1170=2,MAX(0,AX1170-1),0))</f>
        <v>2</v>
      </c>
      <c r="O1171" s="1">
        <f t="shared" si="1651"/>
        <v>6</v>
      </c>
      <c r="P1171" s="1">
        <f>MIN(方案参数!$AI$35,AZ1170+方案参数!$AJ$35+方案参数!$AK$35)</f>
        <v>5</v>
      </c>
      <c r="Q1171" s="1">
        <f t="shared" si="1629"/>
        <v>3</v>
      </c>
      <c r="R1171" s="1">
        <f t="shared" si="1630"/>
        <v>5</v>
      </c>
      <c r="S1171" s="1">
        <f t="shared" si="1631"/>
        <v>2</v>
      </c>
      <c r="T1171" s="1">
        <f t="shared" si="1632"/>
        <v>0</v>
      </c>
      <c r="U1171" s="1">
        <f t="shared" si="1633"/>
        <v>0</v>
      </c>
      <c r="V1171" s="1">
        <f t="shared" si="1634"/>
        <v>2</v>
      </c>
      <c r="W1171" s="1">
        <f t="shared" si="1635"/>
        <v>1</v>
      </c>
      <c r="X1171" s="1">
        <f t="shared" si="1636"/>
        <v>1</v>
      </c>
      <c r="Y1171" s="1">
        <f t="shared" si="1637"/>
        <v>1</v>
      </c>
      <c r="Z1171" s="1">
        <f t="shared" si="1638"/>
        <v>1</v>
      </c>
      <c r="AA1171" s="1">
        <f t="shared" si="1653"/>
        <v>1</v>
      </c>
      <c r="AB1171" s="1">
        <f t="shared" si="1640"/>
        <v>0</v>
      </c>
      <c r="AC1171" s="1">
        <f t="shared" si="1641"/>
        <v>0</v>
      </c>
      <c r="AD1171" s="1">
        <f>ROUNDDOWN(I1171*(1+IF(F1171=3,0.05+方案参数!$Y$35+AA1171*0.12,IF(F1171=4,方案参数!$BZ$35*方案参数!$AS$35,0)))+IF(AND(X1171=1,F1171&lt;&gt;3),方案参数!$CC$35,0)+AC1171*方案参数!$CB$35,0)</f>
        <v>3298</v>
      </c>
      <c r="AE1171" s="1">
        <f>IF(OR(F1171=1,F1171=4),配置与结果!$B$24,配置与结果!$B$25)*MAX(0,1-INDEX(配置与结果!$I$15:$I$18,F1171))</f>
        <v>1000</v>
      </c>
      <c r="AF1171" s="1">
        <f>0</f>
        <v>0</v>
      </c>
      <c r="AG1171" s="1">
        <f>MAX(配置与结果!$B$32,1+INDEX(配置与结果!$F$15:$F$18,F1171)+0+Q1171*方案参数!$W$35+Y1171*(方案参数!$AN$35+MIN(方案参数!$AO$35,P1171*0.03))+AB1171*方案参数!$BZ$35*0.025-配置与结果!$B$28)</f>
        <v>0.995</v>
      </c>
      <c r="AH1171" s="1">
        <f>MAX(0,1+INDEX(配置与结果!$G$15:$G$18,F1171)+W1171*方案参数!$AG$35)</f>
        <v>1.3</v>
      </c>
      <c r="AI1171" s="1">
        <f>IF(OR(INDEX(配置与结果!$K$15:$K$18,F1171)=1,G1171="RHI_BERRY"),1+配置与结果!$B$33+P1171*方案参数!$AH$35,1)</f>
        <v>1</v>
      </c>
      <c r="AJ1171" s="1">
        <f>MIN(1,MAX(0,J1171+方案参数!$AB$35-配置与结果!$B$27))</f>
        <v>0.55499999999999994</v>
      </c>
      <c r="AK1171" s="1">
        <f>MAX(1,K1171+IF(F1171=2,0.15+方案参数!$CH$35,0)+BN1171*方案参数!$X$35+R1171*方案参数!$AA$35+0-配置与结果!$B$26+Z1171*(方案参数!$AP$35+MIN(方案参数!$AQ$35,P1171*0.03)))</f>
        <v>1.6300000000000001</v>
      </c>
      <c r="AL1171" s="7">
        <f>ROUNDDOWN(MAX(AD1171*配置与结果!$B$31,AD1171-AE1171)*AF1171*AG1171*AH1171*AI1171,0)</f>
        <v>0</v>
      </c>
      <c r="AM1171" s="7">
        <f>ROUNDDOWN(MAX(AD1171*配置与结果!$B$31,AD1171-AE1171)*AF1171*AG1171*AH1171*AI1171*AK1171,0)</f>
        <v>0</v>
      </c>
      <c r="AN1171" s="7">
        <f t="shared" si="1620"/>
        <v>0</v>
      </c>
      <c r="AO1171" s="7">
        <f>0</f>
        <v>0</v>
      </c>
      <c r="AP1171" s="7">
        <f>MAX(0,1+INDEX(配置与结果!$J$15:$J$18,F1171)+IF(T1171&gt;0,方案参数!$BY$35,0)-配置与结果!$B$30)</f>
        <v>1</v>
      </c>
      <c r="AQ1171" s="7">
        <f t="shared" si="1621"/>
        <v>0</v>
      </c>
      <c r="AR1171" s="7">
        <f t="shared" si="1622"/>
        <v>0</v>
      </c>
      <c r="AS1171" s="7">
        <f t="shared" si="1623"/>
        <v>0</v>
      </c>
      <c r="AT1171" s="7">
        <f>0</f>
        <v>0</v>
      </c>
      <c r="AU1171" s="7">
        <f t="shared" si="1624"/>
        <v>0</v>
      </c>
      <c r="AV1171" s="1">
        <f t="shared" si="1625"/>
        <v>2</v>
      </c>
      <c r="AW1171" s="1">
        <f t="shared" si="1655"/>
        <v>10</v>
      </c>
      <c r="AX1171" s="1">
        <f t="shared" si="1626"/>
        <v>2</v>
      </c>
      <c r="AY1171" s="1">
        <f t="shared" si="1649"/>
        <v>6</v>
      </c>
      <c r="AZ1171" s="1">
        <f t="shared" si="1627"/>
        <v>5</v>
      </c>
      <c r="BA1171" s="1">
        <f>MIN(6,Q1171+1)</f>
        <v>4</v>
      </c>
      <c r="BB1171" s="1">
        <f t="shared" si="1642"/>
        <v>5</v>
      </c>
      <c r="BC1171" s="1">
        <f t="shared" si="1656"/>
        <v>2</v>
      </c>
      <c r="BD1171" s="1">
        <f t="shared" si="1650"/>
        <v>0</v>
      </c>
      <c r="BE1171" s="1">
        <f t="shared" si="1643"/>
        <v>0</v>
      </c>
      <c r="BF1171" s="1">
        <f>MIN(4,V1171+0)</f>
        <v>2</v>
      </c>
      <c r="BG1171" s="1">
        <f>MAX(W1171,1)</f>
        <v>1</v>
      </c>
      <c r="BH1171" s="1">
        <f t="shared" si="1644"/>
        <v>1</v>
      </c>
      <c r="BI1171" s="1">
        <f>MAX(Y1171,1)</f>
        <v>1</v>
      </c>
      <c r="BJ1171" s="1">
        <f t="shared" si="1654"/>
        <v>1</v>
      </c>
      <c r="BK1171" s="1">
        <f t="shared" si="1654"/>
        <v>1</v>
      </c>
      <c r="BL1171" s="1">
        <f t="shared" si="1616"/>
        <v>0</v>
      </c>
      <c r="BM1171" s="1">
        <f t="shared" si="1614"/>
        <v>0</v>
      </c>
      <c r="BN1171" s="1">
        <f t="shared" si="1645"/>
        <v>1</v>
      </c>
      <c r="BO1171" s="1">
        <f t="shared" si="1646"/>
        <v>1</v>
      </c>
    </row>
    <row r="1172" spans="1:67" ht="30.95" customHeight="1">
      <c r="A1172" s="1">
        <f>32</f>
        <v>32</v>
      </c>
      <c r="B1172" s="1">
        <f>固定流程!A20</f>
        <v>15</v>
      </c>
      <c r="C1172" s="1">
        <f>35</f>
        <v>35</v>
      </c>
      <c r="D1172" s="1">
        <f>1</f>
        <v>1</v>
      </c>
      <c r="E1172" s="1">
        <f>固定流程!C20</f>
        <v>3</v>
      </c>
      <c r="F1172" s="1">
        <f>固定流程!G20</f>
        <v>3</v>
      </c>
      <c r="G1172" s="1" t="str">
        <f>固定流程!H20</f>
        <v>RHI_ATTACK</v>
      </c>
      <c r="H1172" s="1">
        <f>固定流程!F20</f>
        <v>1</v>
      </c>
      <c r="I1172" s="1">
        <f>INDEX(配置与结果!$B$15:$B$18,F1172)</f>
        <v>2597</v>
      </c>
      <c r="J1172" s="1">
        <f>INDEX(配置与结果!$D$15:$D$18,F1172)</f>
        <v>0.255</v>
      </c>
      <c r="K1172" s="1">
        <f>INDEX(配置与结果!$E$15:$E$18,F1172)</f>
        <v>1.55</v>
      </c>
      <c r="L1172" s="1">
        <f t="shared" ref="L1172:L1193" si="1657">AV1171</f>
        <v>2</v>
      </c>
      <c r="M1172" s="1">
        <f t="shared" ref="M1172:M1193" si="1658">AW1171</f>
        <v>10</v>
      </c>
      <c r="N1172" s="1">
        <f t="shared" ref="N1172:N1193" si="1659">AX1171</f>
        <v>2</v>
      </c>
      <c r="O1172" s="1">
        <f t="shared" si="1651"/>
        <v>6</v>
      </c>
      <c r="P1172" s="1">
        <f>MIN(方案参数!$AI$35,AZ1171+0+方案参数!$AK$35)</f>
        <v>5</v>
      </c>
      <c r="Q1172" s="1">
        <f t="shared" si="1629"/>
        <v>4</v>
      </c>
      <c r="R1172" s="1">
        <f t="shared" si="1630"/>
        <v>5</v>
      </c>
      <c r="S1172" s="1">
        <f t="shared" si="1631"/>
        <v>2</v>
      </c>
      <c r="T1172" s="1">
        <f t="shared" si="1632"/>
        <v>0</v>
      </c>
      <c r="U1172" s="1">
        <f t="shared" si="1633"/>
        <v>0</v>
      </c>
      <c r="V1172" s="1">
        <f t="shared" si="1634"/>
        <v>2</v>
      </c>
      <c r="W1172" s="1">
        <f t="shared" si="1635"/>
        <v>1</v>
      </c>
      <c r="X1172" s="1">
        <f t="shared" si="1636"/>
        <v>1</v>
      </c>
      <c r="Y1172" s="1">
        <f t="shared" si="1637"/>
        <v>1</v>
      </c>
      <c r="Z1172" s="1">
        <f t="shared" si="1638"/>
        <v>1</v>
      </c>
      <c r="AA1172" s="1">
        <f>MAX(BK1171,1)</f>
        <v>1</v>
      </c>
      <c r="AB1172" s="1">
        <f t="shared" si="1640"/>
        <v>0</v>
      </c>
      <c r="AC1172" s="1">
        <f t="shared" si="1641"/>
        <v>0</v>
      </c>
      <c r="AD1172" s="1">
        <f>ROUNDDOWN(I1172*(1+IF(F1172=3,0.05+方案参数!$Y$35+AA1172*0.12,IF(F1172=4,方案参数!$BZ$35*方案参数!$AS$35,0)))+IF(AND(X1172=1,F1172&lt;&gt;3),方案参数!$CC$35,0)+AC1172*方案参数!$CB$35,0)</f>
        <v>3298</v>
      </c>
      <c r="AE1172" s="1">
        <f>IF(OR(F1172=1,F1172=4),配置与结果!$B$24,配置与结果!$B$25)*MAX(0,1-INDEX(配置与结果!$I$15:$I$18,F1172))</f>
        <v>1000</v>
      </c>
      <c r="AF1172" s="1">
        <f>4</f>
        <v>4</v>
      </c>
      <c r="AG1172" s="1">
        <f>MAX(配置与结果!$B$32,1+INDEX(配置与结果!$F$15:$F$18,F1172)+0+Q1172*方案参数!$W$35+Y1172*(方案参数!$AN$35+MIN(方案参数!$AO$35,P1172*0.03))+AB1172*方案参数!$BZ$35*0.025-配置与结果!$B$28)</f>
        <v>1.0150000000000001</v>
      </c>
      <c r="AH1172" s="1">
        <f>MAX(0,1+INDEX(配置与结果!$G$15:$G$18,F1172)+W1172*方案参数!$AG$35)</f>
        <v>1.3</v>
      </c>
      <c r="AI1172" s="1">
        <f>IF(OR(INDEX(配置与结果!$K$15:$K$18,F1172)=1,G1172="RHI_BERRY"),1+配置与结果!$B$33+P1172*方案参数!$AH$35,1)</f>
        <v>1</v>
      </c>
      <c r="AJ1172" s="1">
        <f>MIN(1,MAX(0,J1172+方案参数!$AB$35-配置与结果!$B$27))</f>
        <v>0.55499999999999994</v>
      </c>
      <c r="AK1172" s="1">
        <f>MAX(1,K1172+IF(F1172=2,0.15+方案参数!$CH$35,0)+BN1172*方案参数!$X$35+R1172*方案参数!$AA$35+0-配置与结果!$B$26+Z1172*(方案参数!$AP$35+MIN(方案参数!$AQ$35,P1172*0.03)))</f>
        <v>1.6300000000000001</v>
      </c>
      <c r="AL1172" s="7">
        <f>ROUNDDOWN(MAX(AD1172*配置与结果!$B$31,AD1172-AE1172)*AF1172*AG1172*AH1172*AI1172,0)</f>
        <v>12128</v>
      </c>
      <c r="AM1172" s="7">
        <f>ROUNDDOWN(MAX(AD1172*配置与结果!$B$31,AD1172-AE1172)*AF1172*AG1172*AH1172*AI1172*AK1172,0)</f>
        <v>19770</v>
      </c>
      <c r="AN1172" s="7">
        <f t="shared" si="1620"/>
        <v>16369.31</v>
      </c>
      <c r="AO1172" s="7">
        <f>0</f>
        <v>0</v>
      </c>
      <c r="AP1172" s="7">
        <f>MAX(0,1+INDEX(配置与结果!$J$15:$J$18,F1172)+IF(T1172&gt;0,方案参数!$BY$35,0)-配置与结果!$B$30)</f>
        <v>1</v>
      </c>
      <c r="AQ1172" s="7">
        <f t="shared" si="1621"/>
        <v>0</v>
      </c>
      <c r="AR1172" s="7">
        <f t="shared" si="1622"/>
        <v>0</v>
      </c>
      <c r="AS1172" s="7">
        <f t="shared" si="1623"/>
        <v>0</v>
      </c>
      <c r="AT1172" s="7">
        <f>0</f>
        <v>0</v>
      </c>
      <c r="AU1172" s="7">
        <f t="shared" si="1624"/>
        <v>16369.31</v>
      </c>
      <c r="AV1172" s="1">
        <f t="shared" si="1625"/>
        <v>2</v>
      </c>
      <c r="AW1172" s="1">
        <f t="shared" si="1655"/>
        <v>10</v>
      </c>
      <c r="AX1172" s="1">
        <f t="shared" si="1626"/>
        <v>2</v>
      </c>
      <c r="AY1172" s="1">
        <f t="shared" si="1649"/>
        <v>6</v>
      </c>
      <c r="AZ1172" s="1">
        <f t="shared" si="1627"/>
        <v>5</v>
      </c>
      <c r="BA1172" s="1">
        <f>MIN(6,Q1172+1)</f>
        <v>5</v>
      </c>
      <c r="BB1172" s="1">
        <f t="shared" si="1642"/>
        <v>5</v>
      </c>
      <c r="BC1172" s="1">
        <f t="shared" si="1656"/>
        <v>2</v>
      </c>
      <c r="BD1172" s="1">
        <f t="shared" si="1650"/>
        <v>0</v>
      </c>
      <c r="BE1172" s="1">
        <f t="shared" si="1643"/>
        <v>0</v>
      </c>
      <c r="BF1172" s="1">
        <f>MIN(4,V1172+0)</f>
        <v>2</v>
      </c>
      <c r="BG1172" s="1">
        <f t="shared" ref="BG1172:BG1194" si="1660">MAX(W1172,0)</f>
        <v>1</v>
      </c>
      <c r="BH1172" s="1">
        <f t="shared" si="1644"/>
        <v>1</v>
      </c>
      <c r="BI1172" s="1">
        <f t="shared" ref="BI1172:BI1194" si="1661">MAX(Y1172,0)</f>
        <v>1</v>
      </c>
      <c r="BJ1172" s="1">
        <f>MAX(Z1172,1)</f>
        <v>1</v>
      </c>
      <c r="BK1172" s="1">
        <f>MAX(AA1172,1)</f>
        <v>1</v>
      </c>
      <c r="BL1172" s="1">
        <f t="shared" si="1616"/>
        <v>0</v>
      </c>
      <c r="BM1172" s="1">
        <f t="shared" si="1614"/>
        <v>0</v>
      </c>
      <c r="BN1172" s="1">
        <f t="shared" si="1645"/>
        <v>1</v>
      </c>
      <c r="BO1172" s="1">
        <f t="shared" si="1646"/>
        <v>1</v>
      </c>
    </row>
    <row r="1173" spans="1:67" ht="30.95" customHeight="1">
      <c r="A1173" s="1">
        <f>32</f>
        <v>32</v>
      </c>
      <c r="B1173" s="1">
        <f>固定流程!A21</f>
        <v>16</v>
      </c>
      <c r="C1173" s="1">
        <f>35</f>
        <v>35</v>
      </c>
      <c r="D1173" s="1">
        <f>1</f>
        <v>1</v>
      </c>
      <c r="E1173" s="1">
        <f>固定流程!C21</f>
        <v>3</v>
      </c>
      <c r="F1173" s="1">
        <f>固定流程!G21</f>
        <v>2</v>
      </c>
      <c r="G1173" s="1" t="str">
        <f>固定流程!H21</f>
        <v>37_ULT</v>
      </c>
      <c r="H1173" s="1">
        <f>固定流程!F21</f>
        <v>1</v>
      </c>
      <c r="I1173" s="1">
        <f>INDEX(配置与结果!$B$15:$B$18,F1173)</f>
        <v>2306</v>
      </c>
      <c r="J1173" s="1">
        <f>INDEX(配置与结果!$D$15:$D$18,F1173)</f>
        <v>0.46</v>
      </c>
      <c r="K1173" s="1">
        <f>INDEX(配置与结果!$E$15:$E$18,F1173)</f>
        <v>1.9279999999999999</v>
      </c>
      <c r="L1173" s="1">
        <f t="shared" si="1657"/>
        <v>2</v>
      </c>
      <c r="M1173" s="1">
        <f t="shared" si="1658"/>
        <v>10</v>
      </c>
      <c r="N1173" s="1">
        <f t="shared" si="1659"/>
        <v>2</v>
      </c>
      <c r="O1173" s="1">
        <f t="shared" si="1651"/>
        <v>6</v>
      </c>
      <c r="P1173" s="1">
        <f>MIN(方案参数!$AI$35,AZ1172+0+0)</f>
        <v>5</v>
      </c>
      <c r="Q1173" s="1">
        <f t="shared" si="1629"/>
        <v>5</v>
      </c>
      <c r="R1173" s="1">
        <f t="shared" si="1630"/>
        <v>5</v>
      </c>
      <c r="S1173" s="1">
        <f t="shared" si="1631"/>
        <v>2</v>
      </c>
      <c r="T1173" s="1">
        <f>BD1172+方案参数!$BX$35</f>
        <v>2</v>
      </c>
      <c r="U1173" s="1">
        <f t="shared" si="1633"/>
        <v>0</v>
      </c>
      <c r="V1173" s="1">
        <f t="shared" si="1634"/>
        <v>2</v>
      </c>
      <c r="W1173" s="1">
        <f t="shared" si="1635"/>
        <v>1</v>
      </c>
      <c r="X1173" s="1">
        <f t="shared" si="1636"/>
        <v>1</v>
      </c>
      <c r="Y1173" s="1">
        <f t="shared" si="1637"/>
        <v>1</v>
      </c>
      <c r="Z1173" s="1">
        <f t="shared" si="1638"/>
        <v>1</v>
      </c>
      <c r="AA1173" s="1">
        <f t="shared" ref="AA1173:AA1193" si="1662">MAX(BK1172,0)</f>
        <v>1</v>
      </c>
      <c r="AB1173" s="1">
        <f t="shared" si="1640"/>
        <v>0</v>
      </c>
      <c r="AC1173" s="1">
        <f>MAX(BM1172,1)</f>
        <v>1</v>
      </c>
      <c r="AD1173" s="1">
        <f>ROUNDDOWN(I1173*(1+IF(F1173=3,0.05+方案参数!$Y$35+AA1173*0.12,IF(F1173=4,方案参数!$BZ$35*方案参数!$AS$35,0)))+IF(AND(X1173=1,F1173&lt;&gt;3),方案参数!$CC$35,0)+AC1173*方案参数!$CB$35,0)</f>
        <v>3044</v>
      </c>
      <c r="AE1173" s="1">
        <f>IF(OR(F1173=1,F1173=4),配置与结果!$B$24,配置与结果!$B$25)*MAX(0,1-INDEX(配置与结果!$I$15:$I$18,F1173))</f>
        <v>1000</v>
      </c>
      <c r="AF1173" s="1">
        <f>0</f>
        <v>0</v>
      </c>
      <c r="AG1173" s="1">
        <f>MAX(配置与结果!$B$32,1+INDEX(配置与结果!$F$15:$F$18,F1173)+0+Q1173*方案参数!$W$35+Y1173*(方案参数!$AN$35+MIN(方案参数!$AO$35,P1173*0.03))+AB1173*方案参数!$BZ$35*0.025-配置与结果!$B$28)</f>
        <v>1.0049999999999999</v>
      </c>
      <c r="AH1173" s="1">
        <f>MAX(0,1+INDEX(配置与结果!$G$15:$G$18,F1173)+W1173*方案参数!$AG$35)</f>
        <v>1.3</v>
      </c>
      <c r="AI1173" s="1">
        <f>IF(OR(INDEX(配置与结果!$K$15:$K$18,F1173)=1,G1173="RHI_BERRY"),1+配置与结果!$B$33+P1173*方案参数!$AH$35,1)</f>
        <v>1</v>
      </c>
      <c r="AJ1173" s="1">
        <f>MIN(1,MAX(0,J1173+方案参数!$AB$35-配置与结果!$B$27))</f>
        <v>0.76</v>
      </c>
      <c r="AK1173" s="1">
        <f>MAX(1,K1173+IF(F1173=2,0.15+方案参数!$CH$35,0)+BN1173*方案参数!$X$35+R1173*方案参数!$AA$35+0-配置与结果!$B$26+Z1173*(方案参数!$AP$35+MIN(方案参数!$AQ$35,P1173*0.03)))</f>
        <v>2.3079999999999998</v>
      </c>
      <c r="AL1173" s="7">
        <f>ROUNDDOWN(MAX(AD1173*配置与结果!$B$31,AD1173-AE1173)*AF1173*AG1173*AH1173*AI1173,0)</f>
        <v>0</v>
      </c>
      <c r="AM1173" s="7">
        <f>ROUNDDOWN(MAX(AD1173*配置与结果!$B$31,AD1173-AE1173)*AF1173*AG1173*AH1173*AI1173*AK1173,0)</f>
        <v>0</v>
      </c>
      <c r="AN1173" s="7">
        <f t="shared" si="1620"/>
        <v>0</v>
      </c>
      <c r="AO1173" s="7">
        <f>0</f>
        <v>0</v>
      </c>
      <c r="AP1173" s="7">
        <f>MAX(0,1+INDEX(配置与结果!$J$15:$J$18,F1173)+IF(T1173&gt;0,方案参数!$BY$35,0)-配置与结果!$B$30)</f>
        <v>2</v>
      </c>
      <c r="AQ1173" s="7">
        <f t="shared" si="1621"/>
        <v>0</v>
      </c>
      <c r="AR1173" s="7">
        <f t="shared" si="1622"/>
        <v>0</v>
      </c>
      <c r="AS1173" s="7">
        <f t="shared" si="1623"/>
        <v>0</v>
      </c>
      <c r="AT1173" s="7">
        <f>0</f>
        <v>0</v>
      </c>
      <c r="AU1173" s="7">
        <f t="shared" si="1624"/>
        <v>0</v>
      </c>
      <c r="AV1173" s="1">
        <f t="shared" si="1625"/>
        <v>2</v>
      </c>
      <c r="AW1173" s="1">
        <f t="shared" si="1655"/>
        <v>10</v>
      </c>
      <c r="AX1173" s="1">
        <f t="shared" si="1626"/>
        <v>2</v>
      </c>
      <c r="AY1173" s="1">
        <f t="shared" si="1649"/>
        <v>6</v>
      </c>
      <c r="AZ1173" s="1">
        <f t="shared" si="1627"/>
        <v>5</v>
      </c>
      <c r="BA1173" s="1">
        <f t="shared" ref="BA1173:BA1193" si="1663">MIN(6,Q1173+0)</f>
        <v>5</v>
      </c>
      <c r="BB1173" s="1">
        <f>MIN(30,R1173+5)</f>
        <v>10</v>
      </c>
      <c r="BC1173" s="1">
        <f t="shared" si="1656"/>
        <v>2</v>
      </c>
      <c r="BD1173" s="1">
        <f t="shared" si="1650"/>
        <v>2</v>
      </c>
      <c r="BE1173" s="1">
        <f t="shared" si="1643"/>
        <v>0</v>
      </c>
      <c r="BF1173" s="1">
        <f>MIN(4,V1173+0)</f>
        <v>2</v>
      </c>
      <c r="BG1173" s="1">
        <f t="shared" si="1660"/>
        <v>1</v>
      </c>
      <c r="BH1173" s="1">
        <f t="shared" si="1644"/>
        <v>1</v>
      </c>
      <c r="BI1173" s="1">
        <f t="shared" si="1661"/>
        <v>1</v>
      </c>
      <c r="BJ1173" s="1">
        <f t="shared" ref="BJ1173:BJ1200" si="1664">MAX(Z1173,0)</f>
        <v>1</v>
      </c>
      <c r="BK1173" s="1">
        <f t="shared" ref="BK1173:BK1200" si="1665">MAX(AA1173,0)</f>
        <v>1</v>
      </c>
      <c r="BL1173" s="1">
        <f t="shared" si="1616"/>
        <v>0</v>
      </c>
      <c r="BM1173" s="1">
        <f>MAX(AC1173,1)</f>
        <v>1</v>
      </c>
      <c r="BN1173" s="1">
        <f t="shared" si="1645"/>
        <v>1</v>
      </c>
      <c r="BO1173" s="1">
        <f t="shared" si="1646"/>
        <v>1</v>
      </c>
    </row>
    <row r="1174" spans="1:67" ht="30.95" customHeight="1">
      <c r="A1174" s="1">
        <f>32</f>
        <v>32</v>
      </c>
      <c r="B1174" s="1">
        <f>固定流程!A22</f>
        <v>17</v>
      </c>
      <c r="C1174" s="1">
        <f>35</f>
        <v>35</v>
      </c>
      <c r="D1174" s="1">
        <f>1</f>
        <v>1</v>
      </c>
      <c r="E1174" s="1">
        <f>固定流程!C22</f>
        <v>3</v>
      </c>
      <c r="F1174" s="1">
        <f>固定流程!G22</f>
        <v>2</v>
      </c>
      <c r="G1174" s="1" t="str">
        <f>固定流程!H22</f>
        <v>37_FOLLOW</v>
      </c>
      <c r="H1174" s="1">
        <f>固定流程!F22</f>
        <v>1</v>
      </c>
      <c r="I1174" s="1">
        <f>INDEX(配置与结果!$B$15:$B$18,F1174)</f>
        <v>2306</v>
      </c>
      <c r="J1174" s="1">
        <f>INDEX(配置与结果!$D$15:$D$18,F1174)</f>
        <v>0.46</v>
      </c>
      <c r="K1174" s="1">
        <f>INDEX(配置与结果!$E$15:$E$18,F1174)</f>
        <v>1.9279999999999999</v>
      </c>
      <c r="L1174" s="1">
        <f t="shared" si="1657"/>
        <v>2</v>
      </c>
      <c r="M1174" s="1">
        <f t="shared" si="1658"/>
        <v>10</v>
      </c>
      <c r="N1174" s="1">
        <f t="shared" si="1659"/>
        <v>2</v>
      </c>
      <c r="O1174" s="1">
        <f t="shared" si="1651"/>
        <v>6</v>
      </c>
      <c r="P1174" s="1">
        <f>MIN(方案参数!$AI$35,AZ1173+0+0)</f>
        <v>5</v>
      </c>
      <c r="Q1174" s="1">
        <f t="shared" si="1629"/>
        <v>5</v>
      </c>
      <c r="R1174" s="1">
        <f t="shared" si="1630"/>
        <v>10</v>
      </c>
      <c r="S1174" s="1">
        <f t="shared" si="1631"/>
        <v>2</v>
      </c>
      <c r="T1174" s="1">
        <f t="shared" ref="T1174:T1193" si="1666">BD1173+0</f>
        <v>2</v>
      </c>
      <c r="U1174" s="1">
        <f t="shared" si="1633"/>
        <v>0</v>
      </c>
      <c r="V1174" s="1">
        <f t="shared" si="1634"/>
        <v>2</v>
      </c>
      <c r="W1174" s="1">
        <f t="shared" si="1635"/>
        <v>1</v>
      </c>
      <c r="X1174" s="1">
        <f t="shared" si="1636"/>
        <v>1</v>
      </c>
      <c r="Y1174" s="1">
        <f t="shared" si="1637"/>
        <v>1</v>
      </c>
      <c r="Z1174" s="1">
        <f t="shared" si="1638"/>
        <v>1</v>
      </c>
      <c r="AA1174" s="1">
        <f t="shared" si="1662"/>
        <v>1</v>
      </c>
      <c r="AB1174" s="1">
        <f t="shared" si="1640"/>
        <v>0</v>
      </c>
      <c r="AC1174" s="1">
        <f t="shared" ref="AC1174:AC1193" si="1667">MAX(BM1173,0)</f>
        <v>1</v>
      </c>
      <c r="AD1174" s="1">
        <f>ROUNDDOWN(I1174*(1+IF(F1174=3,0.05+方案参数!$Y$35+AA1174*0.12,IF(F1174=4,方案参数!$BZ$35*方案参数!$AS$35,0)))+IF(AND(X1174=1,F1174&lt;&gt;3),方案参数!$CC$35,0)+AC1174*方案参数!$CB$35,0)</f>
        <v>3044</v>
      </c>
      <c r="AE1174" s="1">
        <f>IF(OR(F1174=1,F1174=4),配置与结果!$B$24,配置与结果!$B$25)*MAX(0,1-INDEX(配置与结果!$I$15:$I$18,F1174))</f>
        <v>1000</v>
      </c>
      <c r="AF1174" s="1">
        <f>方案参数!$BV$35</f>
        <v>3</v>
      </c>
      <c r="AG1174" s="1">
        <f>MAX(配置与结果!$B$32,1+INDEX(配置与结果!$F$15:$F$18,F1174)+0+Q1174*方案参数!$W$35+Y1174*(方案参数!$AN$35+MIN(方案参数!$AO$35,P1174*0.03))+AB1174*方案参数!$BZ$35*0.025-配置与结果!$B$28)</f>
        <v>1.0049999999999999</v>
      </c>
      <c r="AH1174" s="1">
        <f>MAX(0,1+INDEX(配置与结果!$G$15:$G$18,F1174)+W1174*方案参数!$AG$35)</f>
        <v>1.3</v>
      </c>
      <c r="AI1174" s="1">
        <f>IF(OR(INDEX(配置与结果!$K$15:$K$18,F1174)=1,G1174="RHI_BERRY"),1+配置与结果!$B$33+P1174*方案参数!$AH$35,1)</f>
        <v>1</v>
      </c>
      <c r="AJ1174" s="1">
        <f>MIN(1,MAX(0,J1174+方案参数!$AB$35-配置与结果!$B$27))</f>
        <v>0.76</v>
      </c>
      <c r="AK1174" s="1">
        <f>MAX(1,K1174+IF(F1174=2,0.15+方案参数!$CH$35,0)+BN1174*方案参数!$X$35+R1174*方案参数!$AA$35+0-配置与结果!$B$26+Z1174*(方案参数!$AP$35+MIN(方案参数!$AQ$35,P1174*0.03)))</f>
        <v>2.3279999999999998</v>
      </c>
      <c r="AL1174" s="7">
        <f>ROUNDDOWN(MAX(AD1174*配置与结果!$B$31,AD1174-AE1174)*AF1174*AG1174*AH1174*AI1174,0)</f>
        <v>8011</v>
      </c>
      <c r="AM1174" s="7">
        <f>ROUNDDOWN(MAX(AD1174*配置与结果!$B$31,AD1174-AE1174)*AF1174*AG1174*AH1174*AI1174*AK1174,0)</f>
        <v>18650</v>
      </c>
      <c r="AN1174" s="7">
        <f t="shared" si="1620"/>
        <v>16096.64</v>
      </c>
      <c r="AO1174" s="7">
        <f>方案参数!$BW$35</f>
        <v>1</v>
      </c>
      <c r="AP1174" s="7">
        <f>MAX(0,1+INDEX(配置与结果!$J$15:$J$18,F1174)+IF(T1174&gt;0,方案参数!$BY$35,0)-配置与结果!$B$30)</f>
        <v>2</v>
      </c>
      <c r="AQ1174" s="7">
        <f t="shared" si="1621"/>
        <v>6088</v>
      </c>
      <c r="AR1174" s="7">
        <f t="shared" si="1622"/>
        <v>14172</v>
      </c>
      <c r="AS1174" s="7">
        <f t="shared" si="1623"/>
        <v>12231.84</v>
      </c>
      <c r="AT1174" s="7">
        <f>0</f>
        <v>0</v>
      </c>
      <c r="AU1174" s="7">
        <f t="shared" si="1624"/>
        <v>28328.48</v>
      </c>
      <c r="AV1174" s="1">
        <f t="shared" si="1625"/>
        <v>2</v>
      </c>
      <c r="AW1174" s="1">
        <f t="shared" si="1655"/>
        <v>10</v>
      </c>
      <c r="AX1174" s="1">
        <f t="shared" si="1626"/>
        <v>2</v>
      </c>
      <c r="AY1174" s="1">
        <f t="shared" si="1649"/>
        <v>6</v>
      </c>
      <c r="AZ1174" s="1">
        <f t="shared" si="1627"/>
        <v>5</v>
      </c>
      <c r="BA1174" s="1">
        <f t="shared" si="1663"/>
        <v>5</v>
      </c>
      <c r="BB1174" s="1">
        <f>MIN(30,R1174+0)</f>
        <v>10</v>
      </c>
      <c r="BC1174" s="1">
        <f t="shared" si="1656"/>
        <v>2</v>
      </c>
      <c r="BD1174" s="1">
        <f t="shared" si="1650"/>
        <v>1</v>
      </c>
      <c r="BE1174" s="1">
        <f t="shared" si="1643"/>
        <v>0</v>
      </c>
      <c r="BF1174" s="1">
        <f>MIN(4,V1174+1)</f>
        <v>3</v>
      </c>
      <c r="BG1174" s="1">
        <f t="shared" si="1660"/>
        <v>1</v>
      </c>
      <c r="BH1174" s="1">
        <f t="shared" si="1644"/>
        <v>1</v>
      </c>
      <c r="BI1174" s="1">
        <f t="shared" si="1661"/>
        <v>1</v>
      </c>
      <c r="BJ1174" s="1">
        <f t="shared" si="1664"/>
        <v>1</v>
      </c>
      <c r="BK1174" s="1">
        <f t="shared" si="1665"/>
        <v>1</v>
      </c>
      <c r="BL1174" s="1">
        <f t="shared" si="1616"/>
        <v>0</v>
      </c>
      <c r="BM1174" s="1">
        <f t="shared" ref="BM1174:BM1208" si="1668">MAX(AC1174,0)</f>
        <v>1</v>
      </c>
      <c r="BN1174" s="1">
        <f t="shared" si="1645"/>
        <v>1</v>
      </c>
      <c r="BO1174" s="1">
        <f t="shared" si="1646"/>
        <v>1</v>
      </c>
    </row>
    <row r="1175" spans="1:67" ht="30.95" customHeight="1">
      <c r="A1175" s="1">
        <f>32</f>
        <v>32</v>
      </c>
      <c r="B1175" s="1">
        <f>固定流程!A23</f>
        <v>18</v>
      </c>
      <c r="C1175" s="1">
        <f>35</f>
        <v>35</v>
      </c>
      <c r="D1175" s="1">
        <f>1</f>
        <v>1</v>
      </c>
      <c r="E1175" s="1">
        <f>固定流程!C23</f>
        <v>3</v>
      </c>
      <c r="F1175" s="1">
        <f>固定流程!G23</f>
        <v>4</v>
      </c>
      <c r="G1175" s="1" t="str">
        <f>固定流程!H23</f>
        <v>J_HARD</v>
      </c>
      <c r="H1175" s="1">
        <f>固定流程!F23</f>
        <v>1</v>
      </c>
      <c r="I1175" s="1">
        <f>INDEX(配置与结果!$B$15:$B$18,F1175)</f>
        <v>1906</v>
      </c>
      <c r="J1175" s="1">
        <f>INDEX(配置与结果!$D$15:$D$18,F1175)</f>
        <v>0.36699999999999999</v>
      </c>
      <c r="K1175" s="1">
        <f>INDEX(配置与结果!$E$15:$E$18,F1175)</f>
        <v>1.7170000000000001</v>
      </c>
      <c r="L1175" s="1">
        <f t="shared" si="1657"/>
        <v>2</v>
      </c>
      <c r="M1175" s="1">
        <f t="shared" si="1658"/>
        <v>10</v>
      </c>
      <c r="N1175" s="1">
        <f t="shared" si="1659"/>
        <v>2</v>
      </c>
      <c r="O1175" s="1">
        <f t="shared" si="1651"/>
        <v>6</v>
      </c>
      <c r="P1175" s="1">
        <f>MIN(方案参数!$AI$35,AZ1174+0+0)</f>
        <v>5</v>
      </c>
      <c r="Q1175" s="1">
        <f t="shared" si="1629"/>
        <v>5</v>
      </c>
      <c r="R1175" s="1">
        <f t="shared" si="1630"/>
        <v>10</v>
      </c>
      <c r="S1175" s="1">
        <f t="shared" si="1631"/>
        <v>2</v>
      </c>
      <c r="T1175" s="1">
        <f t="shared" si="1666"/>
        <v>1</v>
      </c>
      <c r="U1175" s="1">
        <f t="shared" si="1633"/>
        <v>0</v>
      </c>
      <c r="V1175" s="1">
        <f t="shared" si="1634"/>
        <v>3</v>
      </c>
      <c r="W1175" s="1">
        <f t="shared" si="1635"/>
        <v>1</v>
      </c>
      <c r="X1175" s="1">
        <f t="shared" si="1636"/>
        <v>1</v>
      </c>
      <c r="Y1175" s="1">
        <f t="shared" si="1637"/>
        <v>1</v>
      </c>
      <c r="Z1175" s="1">
        <f t="shared" si="1638"/>
        <v>1</v>
      </c>
      <c r="AA1175" s="1">
        <f t="shared" si="1662"/>
        <v>1</v>
      </c>
      <c r="AB1175" s="1">
        <f t="shared" si="1640"/>
        <v>0</v>
      </c>
      <c r="AC1175" s="1">
        <f t="shared" si="1667"/>
        <v>1</v>
      </c>
      <c r="AD1175" s="1">
        <f>ROUNDDOWN(I1175*(1+IF(F1175=3,0.05+方案参数!$Y$35+AA1175*0.12,IF(F1175=4,方案参数!$BZ$35*方案参数!$AS$35,0)))+IF(AND(X1175=1,F1175&lt;&gt;3),方案参数!$CC$35,0)+AC1175*方案参数!$CB$35,0)</f>
        <v>3311</v>
      </c>
      <c r="AE1175" s="1">
        <f>IF(OR(F1175=1,F1175=4),配置与结果!$B$24,配置与结果!$B$25)*MAX(0,1-INDEX(配置与结果!$I$15:$I$18,F1175))</f>
        <v>1200</v>
      </c>
      <c r="AF1175" s="1">
        <f>3.6*IF(H1175=1,1,IF(H1175=2,1.5,2.5))</f>
        <v>3.6</v>
      </c>
      <c r="AG1175" s="1">
        <f>MAX(配置与结果!$B$32,1+INDEX(配置与结果!$F$15:$F$18,F1175)+0.08+Q1175*方案参数!$W$35+Y1175*(方案参数!$AN$35+MIN(方案参数!$AO$35,P1175*0.03))+AB1175*方案参数!$BZ$35*0.025+0.1+IF(方案参数!$BZ$35&gt;=30,方案参数!$BZ$35*0.01,0)-配置与结果!$B$28)</f>
        <v>1.5550000000000002</v>
      </c>
      <c r="AH1175" s="1">
        <f>MAX(0,1+INDEX(配置与结果!$G$15:$G$18,F1175)+W1175*方案参数!$AG$35)</f>
        <v>1.3</v>
      </c>
      <c r="AI1175" s="1">
        <f>IF(OR(INDEX(配置与结果!$K$15:$K$18,F1175)=1,G1175="RHI_BERRY"),1+配置与结果!$B$33+P1175*方案参数!$AH$35,1)</f>
        <v>1</v>
      </c>
      <c r="AJ1175" s="1">
        <f>MIN(1,MAX(0,J1175+方案参数!$AB$35-配置与结果!$B$27))</f>
        <v>0.66700000000000004</v>
      </c>
      <c r="AK1175" s="1">
        <f>MAX(1,K1175+IF(F1175=2,0.15+方案参数!$CH$35,0)+BN1175*方案参数!$X$35+R1175*方案参数!$AA$35+0-配置与结果!$B$26+Z1175*(方案参数!$AP$35+MIN(方案参数!$AQ$35,P1175*0.03)))</f>
        <v>1.8169999999999999</v>
      </c>
      <c r="AL1175" s="7">
        <f>ROUNDDOWN(MAX(AD1175*配置与结果!$B$31,AD1175-AE1175)*AF1175*AG1175*AH1175*AI1175,0)</f>
        <v>15362</v>
      </c>
      <c r="AM1175" s="7">
        <f>ROUNDDOWN(MAX(AD1175*配置与结果!$B$31,AD1175-AE1175)*AF1175*AG1175*AH1175*AI1175*AK1175,0)</f>
        <v>27913</v>
      </c>
      <c r="AN1175" s="7">
        <f t="shared" si="1620"/>
        <v>23733.517</v>
      </c>
      <c r="AO1175" s="7">
        <f>0</f>
        <v>0</v>
      </c>
      <c r="AP1175" s="7">
        <f>MAX(0,1+INDEX(配置与结果!$J$15:$J$18,F1175)+IF(T1175&gt;0,方案参数!$BY$35,0)-配置与结果!$B$30)</f>
        <v>2</v>
      </c>
      <c r="AQ1175" s="7">
        <f t="shared" si="1621"/>
        <v>0</v>
      </c>
      <c r="AR1175" s="7">
        <f t="shared" si="1622"/>
        <v>0</v>
      </c>
      <c r="AS1175" s="7">
        <f t="shared" si="1623"/>
        <v>0</v>
      </c>
      <c r="AT1175" s="7">
        <f>0</f>
        <v>0</v>
      </c>
      <c r="AU1175" s="7">
        <f t="shared" si="1624"/>
        <v>23733.517</v>
      </c>
      <c r="AV1175" s="1">
        <f t="shared" si="1625"/>
        <v>2</v>
      </c>
      <c r="AW1175" s="1">
        <f t="shared" si="1655"/>
        <v>10</v>
      </c>
      <c r="AX1175" s="1">
        <f t="shared" si="1626"/>
        <v>2</v>
      </c>
      <c r="AY1175" s="1">
        <f t="shared" si="1649"/>
        <v>6</v>
      </c>
      <c r="AZ1175" s="1">
        <f t="shared" si="1627"/>
        <v>5</v>
      </c>
      <c r="BA1175" s="1">
        <f t="shared" si="1663"/>
        <v>5</v>
      </c>
      <c r="BB1175" s="1">
        <f>MIN(30,R1175+0)</f>
        <v>10</v>
      </c>
      <c r="BC1175" s="1">
        <f>MIN(3,S1175+1)</f>
        <v>3</v>
      </c>
      <c r="BD1175" s="1">
        <f t="shared" si="1650"/>
        <v>1</v>
      </c>
      <c r="BE1175" s="1">
        <f t="shared" si="1643"/>
        <v>0</v>
      </c>
      <c r="BF1175" s="1">
        <f>MIN(4,V1175+0)</f>
        <v>3</v>
      </c>
      <c r="BG1175" s="1">
        <f t="shared" si="1660"/>
        <v>1</v>
      </c>
      <c r="BH1175" s="1">
        <f t="shared" si="1644"/>
        <v>1</v>
      </c>
      <c r="BI1175" s="1">
        <f t="shared" si="1661"/>
        <v>1</v>
      </c>
      <c r="BJ1175" s="1">
        <f t="shared" si="1664"/>
        <v>1</v>
      </c>
      <c r="BK1175" s="1">
        <f t="shared" si="1665"/>
        <v>1</v>
      </c>
      <c r="BL1175" s="1">
        <f t="shared" si="1616"/>
        <v>0</v>
      </c>
      <c r="BM1175" s="1">
        <f t="shared" si="1668"/>
        <v>1</v>
      </c>
      <c r="BN1175" s="1">
        <f t="shared" si="1645"/>
        <v>1</v>
      </c>
      <c r="BO1175" s="1">
        <f t="shared" si="1646"/>
        <v>1</v>
      </c>
    </row>
    <row r="1176" spans="1:67" ht="30.95" customHeight="1">
      <c r="A1176" s="1">
        <f>32</f>
        <v>32</v>
      </c>
      <c r="B1176" s="1">
        <f>固定流程!A24</f>
        <v>19</v>
      </c>
      <c r="C1176" s="1">
        <f>35</f>
        <v>35</v>
      </c>
      <c r="D1176" s="1">
        <f>1</f>
        <v>1</v>
      </c>
      <c r="E1176" s="1">
        <f>固定流程!C24</f>
        <v>3</v>
      </c>
      <c r="F1176" s="1">
        <f>固定流程!G24</f>
        <v>4</v>
      </c>
      <c r="G1176" s="1" t="str">
        <f>固定流程!H24</f>
        <v>J_ULT</v>
      </c>
      <c r="H1176" s="1">
        <f>固定流程!F24</f>
        <v>1</v>
      </c>
      <c r="I1176" s="1">
        <f>INDEX(配置与结果!$B$15:$B$18,F1176)</f>
        <v>1906</v>
      </c>
      <c r="J1176" s="1">
        <f>INDEX(配置与结果!$D$15:$D$18,F1176)</f>
        <v>0.36699999999999999</v>
      </c>
      <c r="K1176" s="1">
        <f>INDEX(配置与结果!$E$15:$E$18,F1176)</f>
        <v>1.7170000000000001</v>
      </c>
      <c r="L1176" s="1">
        <f t="shared" si="1657"/>
        <v>2</v>
      </c>
      <c r="M1176" s="1">
        <f t="shared" si="1658"/>
        <v>10</v>
      </c>
      <c r="N1176" s="1">
        <f t="shared" si="1659"/>
        <v>2</v>
      </c>
      <c r="O1176" s="1">
        <f t="shared" si="1651"/>
        <v>6</v>
      </c>
      <c r="P1176" s="1">
        <f>MIN(方案参数!$AI$35,AZ1175+0+0)</f>
        <v>5</v>
      </c>
      <c r="Q1176" s="1">
        <f t="shared" si="1629"/>
        <v>5</v>
      </c>
      <c r="R1176" s="1">
        <f t="shared" si="1630"/>
        <v>10</v>
      </c>
      <c r="S1176" s="1">
        <f t="shared" si="1631"/>
        <v>3</v>
      </c>
      <c r="T1176" s="1">
        <f t="shared" si="1666"/>
        <v>1</v>
      </c>
      <c r="U1176" s="1">
        <f t="shared" si="1633"/>
        <v>0</v>
      </c>
      <c r="V1176" s="1">
        <f t="shared" si="1634"/>
        <v>3</v>
      </c>
      <c r="W1176" s="1">
        <f t="shared" si="1635"/>
        <v>1</v>
      </c>
      <c r="X1176" s="1">
        <f t="shared" si="1636"/>
        <v>1</v>
      </c>
      <c r="Y1176" s="1">
        <f t="shared" si="1637"/>
        <v>1</v>
      </c>
      <c r="Z1176" s="1">
        <f t="shared" si="1638"/>
        <v>1</v>
      </c>
      <c r="AA1176" s="1">
        <f t="shared" si="1662"/>
        <v>1</v>
      </c>
      <c r="AB1176" s="1">
        <f t="shared" si="1640"/>
        <v>0</v>
      </c>
      <c r="AC1176" s="1">
        <f t="shared" si="1667"/>
        <v>1</v>
      </c>
      <c r="AD1176" s="1">
        <f>ROUNDDOWN(I1176*(1+IF(F1176=3,0.05+方案参数!$Y$35+AA1176*0.12,IF(F1176=4,方案参数!$BZ$35*方案参数!$AS$35,0)))+IF(AND(X1176=1,F1176&lt;&gt;3),方案参数!$CC$35,0)+AC1176*方案参数!$CB$35,0)</f>
        <v>3311</v>
      </c>
      <c r="AE1176" s="1">
        <f>IF(OR(F1176=1,F1176=4),配置与结果!$B$24,配置与结果!$B$25)*MAX(0,1-INDEX(配置与结果!$I$15:$I$18,F1176))</f>
        <v>1200</v>
      </c>
      <c r="AF1176" s="1">
        <f>方案参数!$AT$35+MAX(0,配置与结果!$H$26+方案参数!$BZ$35-30)*方案参数!$AU$35*配置与结果!$H$27</f>
        <v>42</v>
      </c>
      <c r="AG1176" s="1">
        <f>MAX(配置与结果!$B$32,1+INDEX(配置与结果!$F$15:$F$18,F1176)+0.08+Q1176*方案参数!$W$35+Y1176*(方案参数!$AN$35+MIN(方案参数!$AO$35,P1176*0.03))+AB1176*方案参数!$BZ$35*0.025-配置与结果!$B$28)</f>
        <v>1.105</v>
      </c>
      <c r="AH1176" s="1">
        <f>MAX(0,1+INDEX(配置与结果!$H$15:$H$18,F1176)+W1176*方案参数!$AG$35+S1176*方案参数!$Z$35)</f>
        <v>1.42</v>
      </c>
      <c r="AI1176" s="1">
        <f>IF(OR(INDEX(配置与结果!$K$15:$K$18,F1176)=1,G1176="RHI_BERRY"),1+配置与结果!$B$33+P1176*方案参数!$AH$35,1)</f>
        <v>1</v>
      </c>
      <c r="AJ1176" s="1">
        <f>MIN(1,MAX(0,J1176+方案参数!$AB$35-配置与结果!$B$27))</f>
        <v>0.66700000000000004</v>
      </c>
      <c r="AK1176" s="1">
        <f>MAX(1,K1176+IF(F1176=2,0.15+方案参数!$CH$35,0)+BN1176*方案参数!$X$35+R1176*方案参数!$AA$35+0-配置与结果!$B$26+Z1176*(方案参数!$AP$35+MIN(方案参数!$AQ$35,P1176*0.03)))</f>
        <v>1.8169999999999999</v>
      </c>
      <c r="AL1176" s="7">
        <f>ROUNDDOWN(MAX(AD1176*配置与结果!$B$31,AD1176-AE1176)*AF1176*AG1176*AH1176*AI1176,0)</f>
        <v>139119</v>
      </c>
      <c r="AM1176" s="7">
        <f>ROUNDDOWN(MAX(AD1176*配置与结果!$B$31,AD1176-AE1176)*AF1176*AG1176*AH1176*AI1176*AK1176,0)</f>
        <v>252780</v>
      </c>
      <c r="AN1176" s="7">
        <f t="shared" si="1620"/>
        <v>214930.88699999999</v>
      </c>
      <c r="AO1176" s="7">
        <f>0</f>
        <v>0</v>
      </c>
      <c r="AP1176" s="7">
        <f>MAX(0,1+INDEX(配置与结果!$J$15:$J$18,F1176)+IF(T1176&gt;0,方案参数!$BY$35,0)-配置与结果!$B$30)</f>
        <v>2</v>
      </c>
      <c r="AQ1176" s="7">
        <f t="shared" si="1621"/>
        <v>0</v>
      </c>
      <c r="AR1176" s="7">
        <f t="shared" si="1622"/>
        <v>0</v>
      </c>
      <c r="AS1176" s="7">
        <f t="shared" si="1623"/>
        <v>0</v>
      </c>
      <c r="AT1176" s="7">
        <f>0</f>
        <v>0</v>
      </c>
      <c r="AU1176" s="7">
        <f t="shared" si="1624"/>
        <v>214930.88699999999</v>
      </c>
      <c r="AV1176" s="1">
        <f t="shared" si="1625"/>
        <v>2</v>
      </c>
      <c r="AW1176" s="1">
        <f t="shared" si="1655"/>
        <v>10</v>
      </c>
      <c r="AX1176" s="1">
        <f t="shared" si="1626"/>
        <v>2</v>
      </c>
      <c r="AY1176" s="1">
        <f t="shared" si="1649"/>
        <v>6</v>
      </c>
      <c r="AZ1176" s="1">
        <f t="shared" si="1627"/>
        <v>5</v>
      </c>
      <c r="BA1176" s="1">
        <f t="shared" si="1663"/>
        <v>5</v>
      </c>
      <c r="BB1176" s="1">
        <f>MIN(30,R1176+5)</f>
        <v>15</v>
      </c>
      <c r="BC1176" s="1">
        <f t="shared" ref="BC1176:BC1199" si="1669">MIN(3,S1176+0)</f>
        <v>3</v>
      </c>
      <c r="BD1176" s="1">
        <f t="shared" si="1650"/>
        <v>1</v>
      </c>
      <c r="BE1176" s="1">
        <f t="shared" si="1643"/>
        <v>0</v>
      </c>
      <c r="BF1176" s="1">
        <f>MIN(4,V1176+0)</f>
        <v>3</v>
      </c>
      <c r="BG1176" s="1">
        <f t="shared" si="1660"/>
        <v>1</v>
      </c>
      <c r="BH1176" s="1">
        <f t="shared" si="1644"/>
        <v>1</v>
      </c>
      <c r="BI1176" s="1">
        <f t="shared" si="1661"/>
        <v>1</v>
      </c>
      <c r="BJ1176" s="1">
        <f t="shared" si="1664"/>
        <v>1</v>
      </c>
      <c r="BK1176" s="1">
        <f t="shared" si="1665"/>
        <v>1</v>
      </c>
      <c r="BL1176" s="1">
        <f>MAX(AB1176,1)</f>
        <v>1</v>
      </c>
      <c r="BM1176" s="1">
        <f t="shared" si="1668"/>
        <v>1</v>
      </c>
      <c r="BN1176" s="1">
        <f t="shared" si="1645"/>
        <v>1</v>
      </c>
      <c r="BO1176" s="1">
        <f t="shared" si="1646"/>
        <v>1</v>
      </c>
    </row>
    <row r="1177" spans="1:67" ht="30.95" customHeight="1">
      <c r="A1177" s="1">
        <f>32</f>
        <v>32</v>
      </c>
      <c r="B1177" s="1">
        <f>固定流程!A25</f>
        <v>20</v>
      </c>
      <c r="C1177" s="1">
        <f>35</f>
        <v>35</v>
      </c>
      <c r="D1177" s="1">
        <f>1</f>
        <v>1</v>
      </c>
      <c r="E1177" s="1">
        <f>固定流程!C25</f>
        <v>3</v>
      </c>
      <c r="F1177" s="1">
        <f>固定流程!G25</f>
        <v>1</v>
      </c>
      <c r="G1177" s="1" t="str">
        <f>固定流程!H25</f>
        <v>LILYA_ULT</v>
      </c>
      <c r="H1177" s="1">
        <f>固定流程!F25</f>
        <v>1</v>
      </c>
      <c r="I1177" s="1">
        <f>INDEX(配置与结果!$B$15:$B$18,F1177)</f>
        <v>2296</v>
      </c>
      <c r="J1177" s="1">
        <f>INDEX(配置与结果!$D$15:$D$18,F1177)</f>
        <v>0.7</v>
      </c>
      <c r="K1177" s="1">
        <f>INDEX(配置与结果!$E$15:$E$18,F1177)</f>
        <v>2.0249999999999999</v>
      </c>
      <c r="L1177" s="1">
        <f t="shared" si="1657"/>
        <v>2</v>
      </c>
      <c r="M1177" s="1">
        <f t="shared" si="1658"/>
        <v>10</v>
      </c>
      <c r="N1177" s="1">
        <f t="shared" si="1659"/>
        <v>2</v>
      </c>
      <c r="O1177" s="1">
        <f t="shared" si="1651"/>
        <v>6</v>
      </c>
      <c r="P1177" s="1">
        <f>MIN(方案参数!$AI$35,AZ1176+0+0)</f>
        <v>5</v>
      </c>
      <c r="Q1177" s="1">
        <f t="shared" si="1629"/>
        <v>5</v>
      </c>
      <c r="R1177" s="1">
        <f t="shared" si="1630"/>
        <v>15</v>
      </c>
      <c r="S1177" s="1">
        <f t="shared" si="1631"/>
        <v>3</v>
      </c>
      <c r="T1177" s="1">
        <f t="shared" si="1666"/>
        <v>1</v>
      </c>
      <c r="U1177" s="1">
        <f t="shared" si="1633"/>
        <v>0</v>
      </c>
      <c r="V1177" s="1">
        <f t="shared" si="1634"/>
        <v>3</v>
      </c>
      <c r="W1177" s="1">
        <f t="shared" si="1635"/>
        <v>1</v>
      </c>
      <c r="X1177" s="1">
        <f t="shared" si="1636"/>
        <v>1</v>
      </c>
      <c r="Y1177" s="1">
        <f t="shared" si="1637"/>
        <v>1</v>
      </c>
      <c r="Z1177" s="1">
        <f t="shared" si="1638"/>
        <v>1</v>
      </c>
      <c r="AA1177" s="1">
        <f t="shared" si="1662"/>
        <v>1</v>
      </c>
      <c r="AB1177" s="1">
        <f t="shared" si="1640"/>
        <v>1</v>
      </c>
      <c r="AC1177" s="1">
        <f t="shared" si="1667"/>
        <v>1</v>
      </c>
      <c r="AD1177" s="1">
        <f>ROUNDDOWN(I1177*(1+IF(F1177=3,0.05+方案参数!$Y$35+AA1177*0.12,IF(F1177=4,方案参数!$BZ$35*方案参数!$AS$35,0)))+IF(AND(X1177=1,F1177&lt;&gt;3),方案参数!$CC$35,0)+AC1177*方案参数!$CB$35,0)</f>
        <v>3034</v>
      </c>
      <c r="AE1177" s="1">
        <f>IF(OR(F1177=1,F1177=4),配置与结果!$B$24,配置与结果!$B$25)*MAX(0,1-INDEX(配置与结果!$I$15:$I$18,F1177)+IF(O1177&gt;=6,方案参数!$BK$35,0))</f>
        <v>1440</v>
      </c>
      <c r="AF1177" s="1">
        <f>方案参数!$BG$35+IF(O1177&gt;=6,方案参数!$BH$35,0)</f>
        <v>36</v>
      </c>
      <c r="AG1177" s="1">
        <f>MAX(配置与结果!$B$32,1+INDEX(配置与结果!$F$15:$F$18,F1177)+0.08+方案参数!$CD$35+Q1177*方案参数!$W$35+Y1177*(方案参数!$AN$35+MIN(方案参数!$AO$35,P1177*0.03))+AB1177*方案参数!$BZ$35*0.025-配置与结果!$B$28)</f>
        <v>2.2150000000000003</v>
      </c>
      <c r="AH1177" s="1">
        <f>MAX(0,1+INDEX(配置与结果!$H$15:$H$18,F1177)+W1177*方案参数!$AG$35+O1177*方案参数!$BF$35+IF(O1177&gt;=6,方案参数!$BI$35,0))</f>
        <v>2.4500000000000002</v>
      </c>
      <c r="AI1177" s="1">
        <f>IF(OR(INDEX(配置与结果!$K$15:$K$18,F1177)=1,G1177="RHI_BERRY"),1+配置与结果!$B$33+P1177*方案参数!$AH$35,1)</f>
        <v>1</v>
      </c>
      <c r="AJ1177" s="1">
        <f>MIN(1,MAX(0,J1177+方案参数!$AB$35-配置与结果!$B$27))</f>
        <v>1</v>
      </c>
      <c r="AK1177" s="1">
        <f>MAX(1,K1177+IF(F1177=2,0.15+方案参数!$CH$35,0)+BN1177*方案参数!$X$35+R1177*方案参数!$AA$35+IF(O1177&gt;=6,方案参数!$BJ$35,0)-配置与结果!$B$26+Z1177*(方案参数!$AP$35+MIN(方案参数!$AQ$35,P1177*0.03)))</f>
        <v>3.145</v>
      </c>
      <c r="AL1177" s="7">
        <f>ROUNDDOWN(MAX(AD1177*配置与结果!$B$31,AD1177-AE1177)*AF1177*AG1177*AH1177*AI1177,0)</f>
        <v>311408</v>
      </c>
      <c r="AM1177" s="7">
        <f>ROUNDDOWN(MAX(AD1177*配置与结果!$B$31,AD1177-AE1177)*AF1177*AG1177*AH1177*AI1177*AK1177,0)</f>
        <v>979380</v>
      </c>
      <c r="AN1177" s="7">
        <f t="shared" si="1620"/>
        <v>979380</v>
      </c>
      <c r="AO1177" s="7">
        <f>0</f>
        <v>0</v>
      </c>
      <c r="AP1177" s="7">
        <f>MAX(0,1+INDEX(配置与结果!$J$15:$J$18,F1177)+IF(T1177&gt;0,方案参数!$BY$35,0)-配置与结果!$B$30)</f>
        <v>2</v>
      </c>
      <c r="AQ1177" s="7">
        <f t="shared" si="1621"/>
        <v>0</v>
      </c>
      <c r="AR1177" s="7">
        <f t="shared" si="1622"/>
        <v>0</v>
      </c>
      <c r="AS1177" s="7">
        <f t="shared" si="1623"/>
        <v>0</v>
      </c>
      <c r="AT1177" s="7">
        <f>0</f>
        <v>0</v>
      </c>
      <c r="AU1177" s="7">
        <f t="shared" si="1624"/>
        <v>979380</v>
      </c>
      <c r="AV1177" s="1">
        <f t="shared" si="1625"/>
        <v>2</v>
      </c>
      <c r="AW1177" s="1">
        <f t="shared" si="1655"/>
        <v>10</v>
      </c>
      <c r="AX1177" s="1">
        <f t="shared" si="1626"/>
        <v>2</v>
      </c>
      <c r="AY1177" s="1">
        <f>MIN(20,MAX(0,O1177+0+0-IF(O1177&gt;=6,6,0)))</f>
        <v>0</v>
      </c>
      <c r="AZ1177" s="1">
        <f t="shared" si="1627"/>
        <v>5</v>
      </c>
      <c r="BA1177" s="1">
        <f t="shared" si="1663"/>
        <v>5</v>
      </c>
      <c r="BB1177" s="1">
        <f>MIN(30,R1177+5)</f>
        <v>20</v>
      </c>
      <c r="BC1177" s="1">
        <f t="shared" si="1669"/>
        <v>3</v>
      </c>
      <c r="BD1177" s="1">
        <f t="shared" si="1650"/>
        <v>1</v>
      </c>
      <c r="BE1177" s="1">
        <f t="shared" si="1643"/>
        <v>0</v>
      </c>
      <c r="BF1177" s="1">
        <f>MIN(4,V1177+0)</f>
        <v>3</v>
      </c>
      <c r="BG1177" s="1">
        <f t="shared" si="1660"/>
        <v>1</v>
      </c>
      <c r="BH1177" s="1">
        <f t="shared" si="1644"/>
        <v>1</v>
      </c>
      <c r="BI1177" s="1">
        <f t="shared" si="1661"/>
        <v>1</v>
      </c>
      <c r="BJ1177" s="1">
        <f t="shared" si="1664"/>
        <v>1</v>
      </c>
      <c r="BK1177" s="1">
        <f t="shared" si="1665"/>
        <v>1</v>
      </c>
      <c r="BL1177" s="1">
        <f t="shared" ref="BL1177:BL1211" si="1670">MAX(AB1177,0)</f>
        <v>1</v>
      </c>
      <c r="BM1177" s="1">
        <f t="shared" si="1668"/>
        <v>1</v>
      </c>
      <c r="BN1177" s="1">
        <f t="shared" si="1645"/>
        <v>1</v>
      </c>
      <c r="BO1177" s="1">
        <f t="shared" si="1646"/>
        <v>1</v>
      </c>
    </row>
    <row r="1178" spans="1:67" ht="30.95" customHeight="1">
      <c r="A1178" s="1">
        <f>32</f>
        <v>32</v>
      </c>
      <c r="B1178" s="1">
        <f>固定流程!A26</f>
        <v>21</v>
      </c>
      <c r="C1178" s="1">
        <f>35</f>
        <v>35</v>
      </c>
      <c r="D1178" s="1">
        <f>1</f>
        <v>1</v>
      </c>
      <c r="E1178" s="1">
        <f>固定流程!C26</f>
        <v>3</v>
      </c>
      <c r="F1178" s="1">
        <f>固定流程!G26</f>
        <v>1</v>
      </c>
      <c r="G1178" s="1" t="str">
        <f>固定流程!H26</f>
        <v>LILYA_DIVE</v>
      </c>
      <c r="H1178" s="1">
        <f>固定流程!F26</f>
        <v>3</v>
      </c>
      <c r="I1178" s="1">
        <f>INDEX(配置与结果!$B$15:$B$18,F1178)</f>
        <v>2296</v>
      </c>
      <c r="J1178" s="1">
        <f>INDEX(配置与结果!$D$15:$D$18,F1178)</f>
        <v>0.7</v>
      </c>
      <c r="K1178" s="1">
        <f>INDEX(配置与结果!$E$15:$E$18,F1178)</f>
        <v>2.0249999999999999</v>
      </c>
      <c r="L1178" s="1">
        <f t="shared" si="1657"/>
        <v>2</v>
      </c>
      <c r="M1178" s="1">
        <f t="shared" si="1658"/>
        <v>10</v>
      </c>
      <c r="N1178" s="1">
        <f t="shared" si="1659"/>
        <v>2</v>
      </c>
      <c r="O1178" s="1">
        <f t="shared" si="1651"/>
        <v>0</v>
      </c>
      <c r="P1178" s="1">
        <f>MIN(方案参数!$AI$35,AZ1177+0+0)</f>
        <v>5</v>
      </c>
      <c r="Q1178" s="1">
        <f t="shared" si="1629"/>
        <v>5</v>
      </c>
      <c r="R1178" s="1">
        <f t="shared" si="1630"/>
        <v>20</v>
      </c>
      <c r="S1178" s="1">
        <f t="shared" si="1631"/>
        <v>3</v>
      </c>
      <c r="T1178" s="1">
        <f t="shared" si="1666"/>
        <v>1</v>
      </c>
      <c r="U1178" s="1">
        <f t="shared" si="1633"/>
        <v>0</v>
      </c>
      <c r="V1178" s="1">
        <f t="shared" si="1634"/>
        <v>3</v>
      </c>
      <c r="W1178" s="1">
        <f t="shared" si="1635"/>
        <v>1</v>
      </c>
      <c r="X1178" s="1">
        <f t="shared" si="1636"/>
        <v>1</v>
      </c>
      <c r="Y1178" s="1">
        <f t="shared" si="1637"/>
        <v>1</v>
      </c>
      <c r="Z1178" s="1">
        <f t="shared" si="1638"/>
        <v>1</v>
      </c>
      <c r="AA1178" s="1">
        <f t="shared" si="1662"/>
        <v>1</v>
      </c>
      <c r="AB1178" s="1">
        <f t="shared" si="1640"/>
        <v>1</v>
      </c>
      <c r="AC1178" s="1">
        <f t="shared" si="1667"/>
        <v>1</v>
      </c>
      <c r="AD1178" s="1">
        <f>ROUNDDOWN(I1178*(1+IF(F1178=3,0.05+方案参数!$Y$35+AA1178*0.12,IF(F1178=4,方案参数!$BZ$35*方案参数!$AS$35,0)))+IF(AND(X1178=1,F1178&lt;&gt;3),方案参数!$CC$35,0)+AC1178*方案参数!$CB$35,0)</f>
        <v>3034</v>
      </c>
      <c r="AE1178" s="1">
        <f>IF(OR(F1178=1,F1178=4),配置与结果!$B$24,配置与结果!$B$25)*MAX(0,1-INDEX(配置与结果!$I$15:$I$18,F1178))</f>
        <v>1200</v>
      </c>
      <c r="AF1178" s="1">
        <f>(IF(L1178=1,方案参数!$AW$35,IF(L1178=2,方案参数!$AX$35,0))+方案参数!$AV$35)*H1178</f>
        <v>30</v>
      </c>
      <c r="AG1178" s="1">
        <f>MAX(配置与结果!$B$32,1+INDEX(配置与结果!$F$15:$F$18,F1178)+0.08+方案参数!$CD$35+Q1178*方案参数!$W$35+Y1178*(方案参数!$AN$35+MIN(方案参数!$AO$35,P1178*0.03))+AB1178*方案参数!$BZ$35*0.025+IF(L1178=1,方案参数!$AY$35+(H1178-1)*0.1,IF(L1178=2,方案参数!$AZ$35+(H1178-1)*0.2,0))-配置与结果!$B$28)</f>
        <v>2.8150000000000004</v>
      </c>
      <c r="AH1178" s="1">
        <f>MAX(0,1+INDEX(配置与结果!$G$15:$G$18,F1178)+W1178*方案参数!$AG$35+IF(L1178=1,方案参数!$BA$35,IF(L1178=2,方案参数!$BB$35,0))+M1178*方案参数!$BC$35)</f>
        <v>3.1</v>
      </c>
      <c r="AI1178" s="1">
        <f>IF(OR(INDEX(配置与结果!$K$15:$K$18,F1178)=1,G1178="RHI_BERRY"),1+配置与结果!$B$33+P1178*方案参数!$AH$35,1)</f>
        <v>1</v>
      </c>
      <c r="AJ1178" s="1">
        <f>MIN(1,MAX(0,J1178+方案参数!$AB$35-配置与结果!$B$27))</f>
        <v>1</v>
      </c>
      <c r="AK1178" s="1">
        <f>MAX(1,K1178+IF(F1178=2,0.15+方案参数!$CH$35,0)+BN1178*方案参数!$X$35+R1178*方案参数!$AA$35+0-配置与结果!$B$26+Z1178*(方案参数!$AP$35+MIN(方案参数!$AQ$35,P1178*0.03)))</f>
        <v>2.165</v>
      </c>
      <c r="AL1178" s="7">
        <f>ROUNDDOWN(MAX(AD1178*配置与结果!$B$31,AD1178-AE1178)*AF1178*AG1178*AH1178*AI1178,0)</f>
        <v>480132</v>
      </c>
      <c r="AM1178" s="7">
        <f>ROUNDDOWN(MAX(AD1178*配置与结果!$B$31,AD1178-AE1178)*AF1178*AG1178*AH1178*AI1178*AK1178,0)</f>
        <v>1039485</v>
      </c>
      <c r="AN1178" s="7">
        <f t="shared" si="1620"/>
        <v>1039485</v>
      </c>
      <c r="AO1178" s="7">
        <f>0</f>
        <v>0</v>
      </c>
      <c r="AP1178" s="7">
        <f>MAX(0,1+INDEX(配置与结果!$J$15:$J$18,F1178)+IF(T1178&gt;0,方案参数!$BY$35,0)-配置与结果!$B$30)</f>
        <v>2</v>
      </c>
      <c r="AQ1178" s="7">
        <f t="shared" si="1621"/>
        <v>0</v>
      </c>
      <c r="AR1178" s="7">
        <f t="shared" si="1622"/>
        <v>0</v>
      </c>
      <c r="AS1178" s="7">
        <f t="shared" si="1623"/>
        <v>0</v>
      </c>
      <c r="AT1178" s="7">
        <f>0</f>
        <v>0</v>
      </c>
      <c r="AU1178" s="7">
        <f t="shared" si="1624"/>
        <v>1039485</v>
      </c>
      <c r="AV1178" s="1">
        <f t="shared" si="1625"/>
        <v>2</v>
      </c>
      <c r="AW1178" s="1">
        <f>MIN(10,M1178+0+IF(L1178=1,方案参数!$BE$35,0))</f>
        <v>10</v>
      </c>
      <c r="AX1178" s="1">
        <f t="shared" si="1626"/>
        <v>2</v>
      </c>
      <c r="AY1178" s="1">
        <f>MIN(20,MAX(0,O1178+0+0-0))</f>
        <v>0</v>
      </c>
      <c r="AZ1178" s="1">
        <f t="shared" si="1627"/>
        <v>5</v>
      </c>
      <c r="BA1178" s="1">
        <f t="shared" si="1663"/>
        <v>5</v>
      </c>
      <c r="BB1178" s="1">
        <f t="shared" ref="BB1178:BB1193" si="1671">MIN(30,R1178+0)</f>
        <v>20</v>
      </c>
      <c r="BC1178" s="1">
        <f t="shared" si="1669"/>
        <v>3</v>
      </c>
      <c r="BD1178" s="1">
        <f t="shared" si="1650"/>
        <v>1</v>
      </c>
      <c r="BE1178" s="1">
        <f t="shared" si="1643"/>
        <v>0</v>
      </c>
      <c r="BF1178" s="1">
        <f>MIN(4,V1178+0)</f>
        <v>3</v>
      </c>
      <c r="BG1178" s="1">
        <f t="shared" si="1660"/>
        <v>1</v>
      </c>
      <c r="BH1178" s="1">
        <f t="shared" si="1644"/>
        <v>1</v>
      </c>
      <c r="BI1178" s="1">
        <f t="shared" si="1661"/>
        <v>1</v>
      </c>
      <c r="BJ1178" s="1">
        <f t="shared" si="1664"/>
        <v>1</v>
      </c>
      <c r="BK1178" s="1">
        <f t="shared" si="1665"/>
        <v>1</v>
      </c>
      <c r="BL1178" s="1">
        <f t="shared" si="1670"/>
        <v>1</v>
      </c>
      <c r="BM1178" s="1">
        <f t="shared" si="1668"/>
        <v>1</v>
      </c>
      <c r="BN1178" s="1">
        <f t="shared" si="1645"/>
        <v>1</v>
      </c>
      <c r="BO1178" s="1">
        <f t="shared" si="1646"/>
        <v>1</v>
      </c>
    </row>
    <row r="1179" spans="1:67" ht="30.95" customHeight="1">
      <c r="A1179" s="1">
        <f>32</f>
        <v>32</v>
      </c>
      <c r="B1179" s="1">
        <f>固定流程!A27</f>
        <v>22</v>
      </c>
      <c r="C1179" s="1">
        <f>35</f>
        <v>35</v>
      </c>
      <c r="D1179" s="1">
        <f>1</f>
        <v>1</v>
      </c>
      <c r="E1179" s="1">
        <f>固定流程!C27</f>
        <v>3</v>
      </c>
      <c r="F1179" s="1">
        <f>固定流程!G27</f>
        <v>3</v>
      </c>
      <c r="G1179" s="1" t="str">
        <f>固定流程!H27</f>
        <v>RHI_BERRY</v>
      </c>
      <c r="H1179" s="1">
        <f>固定流程!F27</f>
        <v>1</v>
      </c>
      <c r="I1179" s="1">
        <f>INDEX(配置与结果!$B$15:$B$18,F1179)</f>
        <v>2597</v>
      </c>
      <c r="J1179" s="1">
        <f>INDEX(配置与结果!$D$15:$D$18,F1179)</f>
        <v>0.255</v>
      </c>
      <c r="K1179" s="1">
        <f>INDEX(配置与结果!$E$15:$E$18,F1179)</f>
        <v>1.55</v>
      </c>
      <c r="L1179" s="1">
        <f t="shared" si="1657"/>
        <v>2</v>
      </c>
      <c r="M1179" s="1">
        <f t="shared" si="1658"/>
        <v>10</v>
      </c>
      <c r="N1179" s="1">
        <f t="shared" si="1659"/>
        <v>2</v>
      </c>
      <c r="O1179" s="1">
        <f t="shared" si="1651"/>
        <v>0</v>
      </c>
      <c r="P1179" s="1">
        <f>MIN(方案参数!$AI$35,AZ1178+0+0)</f>
        <v>5</v>
      </c>
      <c r="Q1179" s="1">
        <f t="shared" si="1629"/>
        <v>5</v>
      </c>
      <c r="R1179" s="1">
        <f t="shared" si="1630"/>
        <v>20</v>
      </c>
      <c r="S1179" s="1">
        <f t="shared" si="1631"/>
        <v>3</v>
      </c>
      <c r="T1179" s="1">
        <f t="shared" si="1666"/>
        <v>1</v>
      </c>
      <c r="U1179" s="1">
        <f t="shared" si="1633"/>
        <v>0</v>
      </c>
      <c r="V1179" s="1">
        <f t="shared" si="1634"/>
        <v>3</v>
      </c>
      <c r="W1179" s="1">
        <f t="shared" si="1635"/>
        <v>1</v>
      </c>
      <c r="X1179" s="1">
        <f t="shared" si="1636"/>
        <v>1</v>
      </c>
      <c r="Y1179" s="1">
        <f t="shared" si="1637"/>
        <v>1</v>
      </c>
      <c r="Z1179" s="1">
        <f t="shared" si="1638"/>
        <v>1</v>
      </c>
      <c r="AA1179" s="1">
        <f t="shared" si="1662"/>
        <v>1</v>
      </c>
      <c r="AB1179" s="1">
        <f t="shared" si="1640"/>
        <v>1</v>
      </c>
      <c r="AC1179" s="1">
        <f t="shared" si="1667"/>
        <v>1</v>
      </c>
      <c r="AD1179" s="1">
        <f>ROUNDDOWN(I1179*(1+IF(F1179=3,0.05+方案参数!$Y$35+AA1179*0.12,IF(F1179=4,方案参数!$BZ$35*方案参数!$AS$35,0)))+IF(AND(X1179=1,F1179&lt;&gt;3),方案参数!$CC$35,0)+AC1179*方案参数!$CB$35,0)</f>
        <v>3798</v>
      </c>
      <c r="AE1179" s="1">
        <f>IF(OR(F1179=1,F1179=4),配置与结果!$B$24,配置与结果!$B$25)*MAX(0,1-INDEX(配置与结果!$I$15:$I$18,F1179))</f>
        <v>1000</v>
      </c>
      <c r="AF1179" s="1">
        <f>方案参数!$CF$35+P1179*方案参数!$CG$35</f>
        <v>22.5</v>
      </c>
      <c r="AG1179" s="1">
        <f>MAX(配置与结果!$B$32,1+INDEX(配置与结果!$F$15:$F$18,F1179)+0+Q1179*方案参数!$W$35+Y1179*(方案参数!$AN$35+MIN(方案参数!$AO$35,P1179*0.03))+AB1179*方案参数!$BZ$35*0.025-配置与结果!$B$28)</f>
        <v>1.9100000000000001</v>
      </c>
      <c r="AH1179" s="1">
        <f>MAX(0,1+INDEX(配置与结果!$G$15:$G$18,F1179)+W1179*方案参数!$AG$35)</f>
        <v>1.3</v>
      </c>
      <c r="AI1179" s="1">
        <f>IF(OR(INDEX(配置与结果!$K$15:$K$18,F1179)=1,G1179="RHI_BERRY"),1+配置与结果!$B$33+P1179*方案参数!$AH$35,1)</f>
        <v>1.5</v>
      </c>
      <c r="AJ1179" s="1">
        <f>MIN(1,MAX(0,J1179+方案参数!$AB$35-配置与结果!$B$27))</f>
        <v>0.55499999999999994</v>
      </c>
      <c r="AK1179" s="1">
        <f>MAX(1,K1179+IF(F1179=2,0.15+方案参数!$CH$35,0)+BN1179*方案参数!$X$35+R1179*方案参数!$AA$35+0-配置与结果!$B$26+Z1179*(方案参数!$AP$35+MIN(方案参数!$AQ$35,P1179*0.03)))</f>
        <v>1.6900000000000002</v>
      </c>
      <c r="AL1179" s="7">
        <f>ROUNDDOWN(MAX(AD1179*配置与结果!$B$31,AD1179-AE1179)*AF1179*AG1179*AH1179*AI1179,0)</f>
        <v>234475</v>
      </c>
      <c r="AM1179" s="7">
        <f>ROUNDDOWN(MAX(AD1179*配置与结果!$B$31,AD1179-AE1179)*AF1179*AG1179*AH1179*AI1179*AK1179,0)</f>
        <v>396264</v>
      </c>
      <c r="AN1179" s="7">
        <f t="shared" si="1620"/>
        <v>324267.89500000002</v>
      </c>
      <c r="AO1179" s="7">
        <f>0</f>
        <v>0</v>
      </c>
      <c r="AP1179" s="7">
        <f>MAX(0,1+INDEX(配置与结果!$J$15:$J$18,F1179)+IF(T1179&gt;0,方案参数!$BY$35,0)-配置与结果!$B$30)</f>
        <v>2</v>
      </c>
      <c r="AQ1179" s="7">
        <f t="shared" si="1621"/>
        <v>0</v>
      </c>
      <c r="AR1179" s="7">
        <f t="shared" si="1622"/>
        <v>0</v>
      </c>
      <c r="AS1179" s="7">
        <f t="shared" si="1623"/>
        <v>0</v>
      </c>
      <c r="AT1179" s="7">
        <f>0</f>
        <v>0</v>
      </c>
      <c r="AU1179" s="7">
        <f t="shared" si="1624"/>
        <v>324267.89500000002</v>
      </c>
      <c r="AV1179" s="1">
        <f t="shared" si="1625"/>
        <v>2</v>
      </c>
      <c r="AW1179" s="1">
        <f t="shared" ref="AW1179:AW1195" si="1672">MIN(10,M1179+0+0)</f>
        <v>10</v>
      </c>
      <c r="AX1179" s="1">
        <f t="shared" si="1626"/>
        <v>2</v>
      </c>
      <c r="AY1179" s="1">
        <f>MIN(20,MAX(0,O1179+0+0-0))</f>
        <v>0</v>
      </c>
      <c r="AZ1179" s="1">
        <f t="shared" si="1627"/>
        <v>5</v>
      </c>
      <c r="BA1179" s="1">
        <f t="shared" si="1663"/>
        <v>5</v>
      </c>
      <c r="BB1179" s="1">
        <f t="shared" si="1671"/>
        <v>20</v>
      </c>
      <c r="BC1179" s="1">
        <f t="shared" si="1669"/>
        <v>3</v>
      </c>
      <c r="BD1179" s="1">
        <f t="shared" si="1650"/>
        <v>1</v>
      </c>
      <c r="BE1179" s="1">
        <f t="shared" si="1643"/>
        <v>0</v>
      </c>
      <c r="BF1179" s="1">
        <f>MIN(4,V1179+0)</f>
        <v>3</v>
      </c>
      <c r="BG1179" s="1">
        <f t="shared" si="1660"/>
        <v>1</v>
      </c>
      <c r="BH1179" s="1">
        <f t="shared" si="1644"/>
        <v>1</v>
      </c>
      <c r="BI1179" s="1">
        <f t="shared" si="1661"/>
        <v>1</v>
      </c>
      <c r="BJ1179" s="1">
        <f t="shared" si="1664"/>
        <v>1</v>
      </c>
      <c r="BK1179" s="1">
        <f t="shared" si="1665"/>
        <v>1</v>
      </c>
      <c r="BL1179" s="1">
        <f t="shared" si="1670"/>
        <v>1</v>
      </c>
      <c r="BM1179" s="1">
        <f t="shared" si="1668"/>
        <v>1</v>
      </c>
      <c r="BN1179" s="1">
        <f t="shared" si="1645"/>
        <v>1</v>
      </c>
      <c r="BO1179" s="1">
        <f t="shared" si="1646"/>
        <v>1</v>
      </c>
    </row>
    <row r="1180" spans="1:67" ht="30.95" customHeight="1">
      <c r="A1180" s="1">
        <f>32</f>
        <v>32</v>
      </c>
      <c r="B1180" s="1">
        <f>固定流程!A28</f>
        <v>23</v>
      </c>
      <c r="C1180" s="1">
        <f>35</f>
        <v>35</v>
      </c>
      <c r="D1180" s="1">
        <f>1</f>
        <v>1</v>
      </c>
      <c r="E1180" s="1">
        <f>固定流程!C28</f>
        <v>3</v>
      </c>
      <c r="F1180" s="1">
        <f>固定流程!G28</f>
        <v>2</v>
      </c>
      <c r="G1180" s="1" t="str">
        <f>固定流程!H28</f>
        <v>37_FOLLOW</v>
      </c>
      <c r="H1180" s="1">
        <f>固定流程!F28</f>
        <v>1</v>
      </c>
      <c r="I1180" s="1">
        <f>INDEX(配置与结果!$B$15:$B$18,F1180)</f>
        <v>2306</v>
      </c>
      <c r="J1180" s="1">
        <f>INDEX(配置与结果!$D$15:$D$18,F1180)</f>
        <v>0.46</v>
      </c>
      <c r="K1180" s="1">
        <f>INDEX(配置与结果!$E$15:$E$18,F1180)</f>
        <v>1.9279999999999999</v>
      </c>
      <c r="L1180" s="1">
        <f t="shared" si="1657"/>
        <v>2</v>
      </c>
      <c r="M1180" s="1">
        <f t="shared" si="1658"/>
        <v>10</v>
      </c>
      <c r="N1180" s="1">
        <f t="shared" si="1659"/>
        <v>2</v>
      </c>
      <c r="O1180" s="1">
        <f t="shared" si="1651"/>
        <v>0</v>
      </c>
      <c r="P1180" s="1">
        <f>MIN(方案参数!$AI$35,AZ1179+0+0)</f>
        <v>5</v>
      </c>
      <c r="Q1180" s="1">
        <f t="shared" si="1629"/>
        <v>5</v>
      </c>
      <c r="R1180" s="1">
        <f t="shared" si="1630"/>
        <v>20</v>
      </c>
      <c r="S1180" s="1">
        <f t="shared" si="1631"/>
        <v>3</v>
      </c>
      <c r="T1180" s="1">
        <f t="shared" si="1666"/>
        <v>1</v>
      </c>
      <c r="U1180" s="1">
        <f t="shared" si="1633"/>
        <v>0</v>
      </c>
      <c r="V1180" s="1">
        <f t="shared" si="1634"/>
        <v>3</v>
      </c>
      <c r="W1180" s="1">
        <f t="shared" si="1635"/>
        <v>1</v>
      </c>
      <c r="X1180" s="1">
        <f t="shared" si="1636"/>
        <v>1</v>
      </c>
      <c r="Y1180" s="1">
        <f t="shared" si="1637"/>
        <v>1</v>
      </c>
      <c r="Z1180" s="1">
        <f t="shared" si="1638"/>
        <v>1</v>
      </c>
      <c r="AA1180" s="1">
        <f t="shared" si="1662"/>
        <v>1</v>
      </c>
      <c r="AB1180" s="1">
        <f t="shared" si="1640"/>
        <v>1</v>
      </c>
      <c r="AC1180" s="1">
        <f t="shared" si="1667"/>
        <v>1</v>
      </c>
      <c r="AD1180" s="1">
        <f>ROUNDDOWN(I1180*(1+IF(F1180=3,0.05+方案参数!$Y$35+AA1180*0.12,IF(F1180=4,方案参数!$BZ$35*方案参数!$AS$35,0)))+IF(AND(X1180=1,F1180&lt;&gt;3),方案参数!$CC$35,0)+AC1180*方案参数!$CB$35,0)</f>
        <v>3044</v>
      </c>
      <c r="AE1180" s="1">
        <f>IF(OR(F1180=1,F1180=4),配置与结果!$B$24,配置与结果!$B$25)*MAX(0,1-INDEX(配置与结果!$I$15:$I$18,F1180))</f>
        <v>1000</v>
      </c>
      <c r="AF1180" s="1">
        <f>方案参数!$BV$35</f>
        <v>3</v>
      </c>
      <c r="AG1180" s="1">
        <f>MAX(配置与结果!$B$32,1+INDEX(配置与结果!$F$15:$F$18,F1180)+0+Q1180*方案参数!$W$35+Y1180*(方案参数!$AN$35+MIN(方案参数!$AO$35,P1180*0.03))+AB1180*方案参数!$BZ$35*0.025-配置与结果!$B$28)</f>
        <v>1.8800000000000003</v>
      </c>
      <c r="AH1180" s="1">
        <f>MAX(0,1+INDEX(配置与结果!$G$15:$G$18,F1180)+W1180*方案参数!$AG$35)</f>
        <v>1.3</v>
      </c>
      <c r="AI1180" s="1">
        <f>IF(OR(INDEX(配置与结果!$K$15:$K$18,F1180)=1,G1180="RHI_BERRY"),1+配置与结果!$B$33+P1180*方案参数!$AH$35,1)</f>
        <v>1</v>
      </c>
      <c r="AJ1180" s="1">
        <f>MIN(1,MAX(0,J1180+方案参数!$AB$35-配置与结果!$B$27))</f>
        <v>0.76</v>
      </c>
      <c r="AK1180" s="1">
        <f>MAX(1,K1180+IF(F1180=2,0.15+方案参数!$CH$35,0)+BN1180*方案参数!$X$35+R1180*方案参数!$AA$35+0-配置与结果!$B$26+Z1180*(方案参数!$AP$35+MIN(方案参数!$AQ$35,P1180*0.03)))</f>
        <v>2.3679999999999999</v>
      </c>
      <c r="AL1180" s="7">
        <f>ROUNDDOWN(MAX(AD1180*配置与结果!$B$31,AD1180-AE1180)*AF1180*AG1180*AH1180*AI1180,0)</f>
        <v>14986</v>
      </c>
      <c r="AM1180" s="7">
        <f>ROUNDDOWN(MAX(AD1180*配置与结果!$B$31,AD1180-AE1180)*AF1180*AG1180*AH1180*AI1180*AK1180,0)</f>
        <v>35488</v>
      </c>
      <c r="AN1180" s="7">
        <f t="shared" si="1620"/>
        <v>30567.52</v>
      </c>
      <c r="AO1180" s="7">
        <f>方案参数!$BW$35</f>
        <v>1</v>
      </c>
      <c r="AP1180" s="7">
        <f>MAX(0,1+INDEX(配置与结果!$J$15:$J$18,F1180)+IF(T1180&gt;0,方案参数!$BY$35,0)-配置与结果!$B$30)</f>
        <v>2</v>
      </c>
      <c r="AQ1180" s="7">
        <f t="shared" si="1621"/>
        <v>6088</v>
      </c>
      <c r="AR1180" s="7">
        <f t="shared" si="1622"/>
        <v>14416</v>
      </c>
      <c r="AS1180" s="7">
        <f t="shared" si="1623"/>
        <v>12417.279999999999</v>
      </c>
      <c r="AT1180" s="7">
        <f>0</f>
        <v>0</v>
      </c>
      <c r="AU1180" s="7">
        <f t="shared" si="1624"/>
        <v>42984.800000000003</v>
      </c>
      <c r="AV1180" s="1">
        <f t="shared" si="1625"/>
        <v>2</v>
      </c>
      <c r="AW1180" s="1">
        <f t="shared" si="1672"/>
        <v>10</v>
      </c>
      <c r="AX1180" s="1">
        <f t="shared" si="1626"/>
        <v>2</v>
      </c>
      <c r="AY1180" s="1">
        <f>MIN(20,MAX(0,O1180+0+0-0))</f>
        <v>0</v>
      </c>
      <c r="AZ1180" s="1">
        <f t="shared" si="1627"/>
        <v>5</v>
      </c>
      <c r="BA1180" s="1">
        <f t="shared" si="1663"/>
        <v>5</v>
      </c>
      <c r="BB1180" s="1">
        <f t="shared" si="1671"/>
        <v>20</v>
      </c>
      <c r="BC1180" s="1">
        <f t="shared" si="1669"/>
        <v>3</v>
      </c>
      <c r="BD1180" s="1">
        <f t="shared" si="1650"/>
        <v>0</v>
      </c>
      <c r="BE1180" s="1">
        <f t="shared" si="1643"/>
        <v>0</v>
      </c>
      <c r="BF1180" s="1">
        <f>MIN(4,V1180+1)</f>
        <v>4</v>
      </c>
      <c r="BG1180" s="1">
        <f t="shared" si="1660"/>
        <v>1</v>
      </c>
      <c r="BH1180" s="1">
        <f t="shared" si="1644"/>
        <v>1</v>
      </c>
      <c r="BI1180" s="1">
        <f t="shared" si="1661"/>
        <v>1</v>
      </c>
      <c r="BJ1180" s="1">
        <f t="shared" si="1664"/>
        <v>1</v>
      </c>
      <c r="BK1180" s="1">
        <f t="shared" si="1665"/>
        <v>1</v>
      </c>
      <c r="BL1180" s="1">
        <f t="shared" si="1670"/>
        <v>1</v>
      </c>
      <c r="BM1180" s="1">
        <f t="shared" si="1668"/>
        <v>1</v>
      </c>
      <c r="BN1180" s="1">
        <f t="shared" si="1645"/>
        <v>1</v>
      </c>
      <c r="BO1180" s="1">
        <f t="shared" si="1646"/>
        <v>1</v>
      </c>
    </row>
    <row r="1181" spans="1:67" ht="30.95" customHeight="1">
      <c r="A1181" s="1">
        <f>32</f>
        <v>32</v>
      </c>
      <c r="B1181" s="1">
        <f>固定流程!A29</f>
        <v>24</v>
      </c>
      <c r="C1181" s="1">
        <f>35</f>
        <v>35</v>
      </c>
      <c r="D1181" s="1">
        <f>2</f>
        <v>2</v>
      </c>
      <c r="E1181" s="1">
        <f>固定流程!C29</f>
        <v>3</v>
      </c>
      <c r="F1181" s="1">
        <f>固定流程!G29</f>
        <v>1</v>
      </c>
      <c r="G1181" s="1" t="str">
        <f>固定流程!H29</f>
        <v>LILYA_WEAK</v>
      </c>
      <c r="H1181" s="1">
        <f>固定流程!F29</f>
        <v>1</v>
      </c>
      <c r="I1181" s="1">
        <f>INDEX(配置与结果!$B$15:$B$18,F1181)</f>
        <v>2296</v>
      </c>
      <c r="J1181" s="1">
        <f>INDEX(配置与结果!$D$15:$D$18,F1181)</f>
        <v>0.7</v>
      </c>
      <c r="K1181" s="1">
        <f>INDEX(配置与结果!$E$15:$E$18,F1181)</f>
        <v>2.0249999999999999</v>
      </c>
      <c r="L1181" s="1">
        <f t="shared" si="1657"/>
        <v>2</v>
      </c>
      <c r="M1181" s="1">
        <f t="shared" si="1658"/>
        <v>10</v>
      </c>
      <c r="N1181" s="1">
        <f t="shared" si="1659"/>
        <v>2</v>
      </c>
      <c r="O1181" s="1">
        <f t="shared" si="1651"/>
        <v>0</v>
      </c>
      <c r="P1181" s="1">
        <f>MIN(方案参数!$AI$35,AZ1180+0+0)</f>
        <v>5</v>
      </c>
      <c r="Q1181" s="1">
        <f t="shared" si="1629"/>
        <v>5</v>
      </c>
      <c r="R1181" s="1">
        <f t="shared" si="1630"/>
        <v>20</v>
      </c>
      <c r="S1181" s="1">
        <f t="shared" si="1631"/>
        <v>3</v>
      </c>
      <c r="T1181" s="1">
        <f t="shared" si="1666"/>
        <v>0</v>
      </c>
      <c r="U1181" s="1">
        <f t="shared" si="1633"/>
        <v>0</v>
      </c>
      <c r="V1181" s="1">
        <f t="shared" si="1634"/>
        <v>4</v>
      </c>
      <c r="W1181" s="1">
        <f t="shared" si="1635"/>
        <v>1</v>
      </c>
      <c r="X1181" s="1">
        <f t="shared" si="1636"/>
        <v>1</v>
      </c>
      <c r="Y1181" s="1">
        <f t="shared" si="1637"/>
        <v>1</v>
      </c>
      <c r="Z1181" s="1">
        <f t="shared" si="1638"/>
        <v>1</v>
      </c>
      <c r="AA1181" s="1">
        <f t="shared" si="1662"/>
        <v>1</v>
      </c>
      <c r="AB1181" s="1">
        <f t="shared" si="1640"/>
        <v>1</v>
      </c>
      <c r="AC1181" s="1">
        <f t="shared" si="1667"/>
        <v>1</v>
      </c>
      <c r="AD1181" s="1">
        <f>ROUNDDOWN(I1181*(1+IF(F1181=3,0.05+方案参数!$Y$35+AA1181*0.12,IF(F1181=4,方案参数!$BZ$35*方案参数!$AS$35,0)))+IF(AND(X1181=1,F1181&lt;&gt;3),方案参数!$CC$35,0)+AC1181*方案参数!$CB$35,0)</f>
        <v>3034</v>
      </c>
      <c r="AE1181" s="1">
        <f>IF(OR(F1181=1,F1181=4),配置与结果!$B$24,配置与结果!$B$25)*MAX(0,1-INDEX(配置与结果!$I$15:$I$18,F1181))</f>
        <v>1200</v>
      </c>
      <c r="AF1181" s="1">
        <f>方案参数!$BL$35</f>
        <v>9</v>
      </c>
      <c r="AG1181" s="1">
        <f>MAX(配置与结果!$B$32,1+INDEX(配置与结果!$F$15:$F$18,F1181)+0.08+方案参数!$CD$35+Q1181*方案参数!$W$35+Y1181*(方案参数!$AN$35+MIN(方案参数!$AO$35,P1181*0.03))+AB1181*方案参数!$BZ$35*0.025-配置与结果!$B$28+方案参数!$AE$35)</f>
        <v>2.6150000000000002</v>
      </c>
      <c r="AH1181" s="1">
        <f>MAX(0,1+V1181*方案参数!$U$35+0*方案参数!$V$35+方案参数!$AE$35-配置与结果!$B$29)</f>
        <v>1.6</v>
      </c>
      <c r="AI1181" s="1">
        <f>IF(OR(INDEX(配置与结果!$K$15:$K$18,F1181)=1,G1181="RHI_BERRY"),1+配置与结果!$B$33+P1181*方案参数!$AH$35,1)</f>
        <v>1</v>
      </c>
      <c r="AJ1181" s="1">
        <f>MIN(1,MAX(0,J1181+方案参数!$AB$35-配置与结果!$B$27))</f>
        <v>1</v>
      </c>
      <c r="AK1181" s="1">
        <f>MAX(1,K1181+IF(F1181=2,0.15+方案参数!$CH$35,0)+BN1181*方案参数!$X$35+R1181*方案参数!$AA$35+方案参数!$BP$35-配置与结果!$B$26+Z1181*(方案参数!$AP$35+MIN(方案参数!$AQ$35,P1181*0.03)))</f>
        <v>2.7650000000000001</v>
      </c>
      <c r="AL1181" s="7">
        <f>ROUNDDOWN(MAX(AD1181*配置与结果!$B$31,AD1181-AE1181)*AF1181*AG1181*AH1181*AI1181,0)</f>
        <v>69061</v>
      </c>
      <c r="AM1181" s="7">
        <f>ROUNDDOWN(MAX(AD1181*配置与结果!$B$31,AD1181-AE1181)*AF1181*AG1181*AH1181*AI1181*AK1181,0)</f>
        <v>190953</v>
      </c>
      <c r="AN1181" s="7">
        <f t="shared" si="1620"/>
        <v>190953</v>
      </c>
      <c r="AO1181" s="7">
        <f>0</f>
        <v>0</v>
      </c>
      <c r="AP1181" s="7">
        <f>MAX(0,1+INDEX(配置与结果!$J$15:$J$18,F1181)+IF(T1181&gt;0,方案参数!$BY$35,0)-配置与结果!$B$30)</f>
        <v>1</v>
      </c>
      <c r="AQ1181" s="7">
        <f t="shared" si="1621"/>
        <v>0</v>
      </c>
      <c r="AR1181" s="7">
        <f t="shared" si="1622"/>
        <v>0</v>
      </c>
      <c r="AS1181" s="7">
        <f t="shared" si="1623"/>
        <v>0</v>
      </c>
      <c r="AT1181" s="7">
        <f>IF(U1181&gt;0,ROUNDDOWN(AL1181*方案参数!$AF$35,0)*(1-AJ1181)+ROUNDDOWN(AM1181*方案参数!$AF$35,0)*AJ1181,0)</f>
        <v>0</v>
      </c>
      <c r="AU1181" s="7">
        <f t="shared" si="1624"/>
        <v>190953</v>
      </c>
      <c r="AV1181" s="1">
        <f t="shared" si="1625"/>
        <v>2</v>
      </c>
      <c r="AW1181" s="1">
        <f t="shared" si="1672"/>
        <v>10</v>
      </c>
      <c r="AX1181" s="1">
        <f t="shared" si="1626"/>
        <v>2</v>
      </c>
      <c r="AY1181" s="1">
        <f>MIN(20,MAX(0,O1181+0+1-0))</f>
        <v>1</v>
      </c>
      <c r="AZ1181" s="1">
        <f t="shared" si="1627"/>
        <v>5</v>
      </c>
      <c r="BA1181" s="1">
        <f t="shared" si="1663"/>
        <v>5</v>
      </c>
      <c r="BB1181" s="1">
        <f t="shared" si="1671"/>
        <v>20</v>
      </c>
      <c r="BC1181" s="1">
        <f t="shared" si="1669"/>
        <v>3</v>
      </c>
      <c r="BD1181" s="1">
        <f t="shared" si="1650"/>
        <v>0</v>
      </c>
      <c r="BE1181" s="1">
        <f>MAX(0,U1181-IF(AF1181&gt;0,1,0))+0</f>
        <v>0</v>
      </c>
      <c r="BF1181" s="1">
        <f t="shared" ref="BF1181:BF1198" si="1673">MIN(4,V1181+0)</f>
        <v>4</v>
      </c>
      <c r="BG1181" s="1">
        <f t="shared" si="1660"/>
        <v>1</v>
      </c>
      <c r="BH1181" s="1">
        <f t="shared" si="1644"/>
        <v>1</v>
      </c>
      <c r="BI1181" s="1">
        <f t="shared" si="1661"/>
        <v>1</v>
      </c>
      <c r="BJ1181" s="1">
        <f t="shared" si="1664"/>
        <v>1</v>
      </c>
      <c r="BK1181" s="1">
        <f t="shared" si="1665"/>
        <v>1</v>
      </c>
      <c r="BL1181" s="1">
        <f t="shared" si="1670"/>
        <v>1</v>
      </c>
      <c r="BM1181" s="1">
        <f t="shared" si="1668"/>
        <v>1</v>
      </c>
      <c r="BN1181" s="1">
        <f t="shared" si="1645"/>
        <v>1</v>
      </c>
      <c r="BO1181" s="1">
        <f t="shared" si="1646"/>
        <v>1</v>
      </c>
    </row>
    <row r="1182" spans="1:67" ht="30.95" customHeight="1">
      <c r="A1182" s="1">
        <f>32</f>
        <v>32</v>
      </c>
      <c r="B1182" s="1">
        <f>固定流程!A30</f>
        <v>25</v>
      </c>
      <c r="C1182" s="1">
        <f>35</f>
        <v>35</v>
      </c>
      <c r="D1182" s="1">
        <f>2</f>
        <v>2</v>
      </c>
      <c r="E1182" s="1">
        <f>固定流程!C30</f>
        <v>3</v>
      </c>
      <c r="F1182" s="1">
        <f>固定流程!G30</f>
        <v>1</v>
      </c>
      <c r="G1182" s="1" t="str">
        <f>固定流程!H30</f>
        <v>LILYA_WEAK</v>
      </c>
      <c r="H1182" s="1">
        <f>固定流程!F30</f>
        <v>1</v>
      </c>
      <c r="I1182" s="1">
        <f>INDEX(配置与结果!$B$15:$B$18,F1182)</f>
        <v>2296</v>
      </c>
      <c r="J1182" s="1">
        <f>INDEX(配置与结果!$D$15:$D$18,F1182)</f>
        <v>0.7</v>
      </c>
      <c r="K1182" s="1">
        <f>INDEX(配置与结果!$E$15:$E$18,F1182)</f>
        <v>2.0249999999999999</v>
      </c>
      <c r="L1182" s="1">
        <f t="shared" si="1657"/>
        <v>2</v>
      </c>
      <c r="M1182" s="1">
        <f t="shared" si="1658"/>
        <v>10</v>
      </c>
      <c r="N1182" s="1">
        <f t="shared" si="1659"/>
        <v>2</v>
      </c>
      <c r="O1182" s="1">
        <f t="shared" si="1651"/>
        <v>1</v>
      </c>
      <c r="P1182" s="1">
        <f>MIN(方案参数!$AI$35,AZ1181+0+0)</f>
        <v>5</v>
      </c>
      <c r="Q1182" s="1">
        <f t="shared" si="1629"/>
        <v>5</v>
      </c>
      <c r="R1182" s="1">
        <f t="shared" si="1630"/>
        <v>20</v>
      </c>
      <c r="S1182" s="1">
        <f t="shared" si="1631"/>
        <v>3</v>
      </c>
      <c r="T1182" s="1">
        <f t="shared" si="1666"/>
        <v>0</v>
      </c>
      <c r="U1182" s="1">
        <f t="shared" si="1633"/>
        <v>0</v>
      </c>
      <c r="V1182" s="1">
        <f t="shared" si="1634"/>
        <v>4</v>
      </c>
      <c r="W1182" s="1">
        <f t="shared" si="1635"/>
        <v>1</v>
      </c>
      <c r="X1182" s="1">
        <f t="shared" si="1636"/>
        <v>1</v>
      </c>
      <c r="Y1182" s="1">
        <f t="shared" si="1637"/>
        <v>1</v>
      </c>
      <c r="Z1182" s="1">
        <f t="shared" si="1638"/>
        <v>1</v>
      </c>
      <c r="AA1182" s="1">
        <f t="shared" si="1662"/>
        <v>1</v>
      </c>
      <c r="AB1182" s="1">
        <f t="shared" si="1640"/>
        <v>1</v>
      </c>
      <c r="AC1182" s="1">
        <f t="shared" si="1667"/>
        <v>1</v>
      </c>
      <c r="AD1182" s="1">
        <f>ROUNDDOWN(I1182*(1+IF(F1182=3,0.05+方案参数!$Y$35+AA1182*0.12,IF(F1182=4,方案参数!$BZ$35*方案参数!$AS$35,0)))+IF(AND(X1182=1,F1182&lt;&gt;3),方案参数!$CC$35,0)+AC1182*方案参数!$CB$35,0)</f>
        <v>3034</v>
      </c>
      <c r="AE1182" s="1">
        <f>IF(OR(F1182=1,F1182=4),配置与结果!$B$24,配置与结果!$B$25)*MAX(0,1-INDEX(配置与结果!$I$15:$I$18,F1182))</f>
        <v>1200</v>
      </c>
      <c r="AF1182" s="1">
        <f>方案参数!$BL$35</f>
        <v>9</v>
      </c>
      <c r="AG1182" s="1">
        <f>MAX(配置与结果!$B$32,1+INDEX(配置与结果!$F$15:$F$18,F1182)+0.08+方案参数!$CD$35+Q1182*方案参数!$W$35+Y1182*(方案参数!$AN$35+MIN(方案参数!$AO$35,P1182*0.03))+AB1182*方案参数!$BZ$35*0.025-配置与结果!$B$28+方案参数!$AE$35)</f>
        <v>2.6150000000000002</v>
      </c>
      <c r="AH1182" s="1">
        <f>MAX(0,1+V1182*方案参数!$U$35+1*方案参数!$V$35+方案参数!$AE$35-配置与结果!$B$29)</f>
        <v>1.6600000000000001</v>
      </c>
      <c r="AI1182" s="1">
        <f>IF(OR(INDEX(配置与结果!$K$15:$K$18,F1182)=1,G1182="RHI_BERRY"),1+配置与结果!$B$33+P1182*方案参数!$AH$35,1)</f>
        <v>1</v>
      </c>
      <c r="AJ1182" s="1">
        <f>MIN(1,MAX(0,J1182+方案参数!$AB$35-配置与结果!$B$27))</f>
        <v>1</v>
      </c>
      <c r="AK1182" s="1">
        <f>MAX(1,K1182+IF(F1182=2,0.15+方案参数!$CH$35,0)+BN1182*方案参数!$X$35+R1182*方案参数!$AA$35+方案参数!$BP$35-配置与结果!$B$26+Z1182*(方案参数!$AP$35+MIN(方案参数!$AQ$35,P1182*0.03)))</f>
        <v>2.7650000000000001</v>
      </c>
      <c r="AL1182" s="7">
        <f>ROUNDDOWN(MAX(AD1182*配置与结果!$B$31,AD1182-AE1182)*AF1182*AG1182*AH1182*AI1182,0)</f>
        <v>71650</v>
      </c>
      <c r="AM1182" s="7">
        <f>ROUNDDOWN(MAX(AD1182*配置与结果!$B$31,AD1182-AE1182)*AF1182*AG1182*AH1182*AI1182*AK1182,0)</f>
        <v>198114</v>
      </c>
      <c r="AN1182" s="7">
        <f t="shared" si="1620"/>
        <v>198114</v>
      </c>
      <c r="AO1182" s="7">
        <f>0</f>
        <v>0</v>
      </c>
      <c r="AP1182" s="7">
        <f>MAX(0,1+INDEX(配置与结果!$J$15:$J$18,F1182)+IF(T1182&gt;0,方案参数!$BY$35,0)-配置与结果!$B$30)</f>
        <v>1</v>
      </c>
      <c r="AQ1182" s="7">
        <f t="shared" si="1621"/>
        <v>0</v>
      </c>
      <c r="AR1182" s="7">
        <f t="shared" si="1622"/>
        <v>0</v>
      </c>
      <c r="AS1182" s="7">
        <f t="shared" si="1623"/>
        <v>0</v>
      </c>
      <c r="AT1182" s="7">
        <f>IF(U1182&gt;0,ROUNDDOWN(AL1182*方案参数!$AF$35,0)*(1-AJ1182)+ROUNDDOWN(AM1182*方案参数!$AF$35,0)*AJ1182,0)</f>
        <v>0</v>
      </c>
      <c r="AU1182" s="7">
        <f t="shared" si="1624"/>
        <v>198114</v>
      </c>
      <c r="AV1182" s="1">
        <f t="shared" si="1625"/>
        <v>2</v>
      </c>
      <c r="AW1182" s="1">
        <f t="shared" si="1672"/>
        <v>10</v>
      </c>
      <c r="AX1182" s="1">
        <f t="shared" si="1626"/>
        <v>2</v>
      </c>
      <c r="AY1182" s="1">
        <f>MIN(20,MAX(0,O1182+0+1-0))</f>
        <v>2</v>
      </c>
      <c r="AZ1182" s="1">
        <f t="shared" si="1627"/>
        <v>5</v>
      </c>
      <c r="BA1182" s="1">
        <f t="shared" si="1663"/>
        <v>5</v>
      </c>
      <c r="BB1182" s="1">
        <f t="shared" si="1671"/>
        <v>20</v>
      </c>
      <c r="BC1182" s="1">
        <f t="shared" si="1669"/>
        <v>3</v>
      </c>
      <c r="BD1182" s="1">
        <f t="shared" si="1650"/>
        <v>0</v>
      </c>
      <c r="BE1182" s="1">
        <f>MAX(0,U1182-IF(AF1182&gt;0,1,0))+0</f>
        <v>0</v>
      </c>
      <c r="BF1182" s="1">
        <f t="shared" si="1673"/>
        <v>4</v>
      </c>
      <c r="BG1182" s="1">
        <f t="shared" si="1660"/>
        <v>1</v>
      </c>
      <c r="BH1182" s="1">
        <f t="shared" si="1644"/>
        <v>1</v>
      </c>
      <c r="BI1182" s="1">
        <f t="shared" si="1661"/>
        <v>1</v>
      </c>
      <c r="BJ1182" s="1">
        <f t="shared" si="1664"/>
        <v>1</v>
      </c>
      <c r="BK1182" s="1">
        <f t="shared" si="1665"/>
        <v>1</v>
      </c>
      <c r="BL1182" s="1">
        <f t="shared" si="1670"/>
        <v>1</v>
      </c>
      <c r="BM1182" s="1">
        <f t="shared" si="1668"/>
        <v>1</v>
      </c>
      <c r="BN1182" s="1">
        <f t="shared" si="1645"/>
        <v>1</v>
      </c>
      <c r="BO1182" s="1">
        <f t="shared" si="1646"/>
        <v>1</v>
      </c>
    </row>
    <row r="1183" spans="1:67" ht="30.95" customHeight="1">
      <c r="A1183" s="1">
        <f>32</f>
        <v>32</v>
      </c>
      <c r="B1183" s="1">
        <f>固定流程!A31</f>
        <v>26</v>
      </c>
      <c r="C1183" s="1">
        <f>35</f>
        <v>35</v>
      </c>
      <c r="D1183" s="1">
        <f>2</f>
        <v>2</v>
      </c>
      <c r="E1183" s="1">
        <f>固定流程!C31</f>
        <v>3</v>
      </c>
      <c r="F1183" s="1">
        <f>固定流程!G31</f>
        <v>2</v>
      </c>
      <c r="G1183" s="1" t="str">
        <f>固定流程!H31</f>
        <v>37_WEAK</v>
      </c>
      <c r="H1183" s="1">
        <f>固定流程!F31</f>
        <v>1</v>
      </c>
      <c r="I1183" s="1">
        <f>INDEX(配置与结果!$B$15:$B$18,F1183)</f>
        <v>2306</v>
      </c>
      <c r="J1183" s="1">
        <f>INDEX(配置与结果!$D$15:$D$18,F1183)</f>
        <v>0.46</v>
      </c>
      <c r="K1183" s="1">
        <f>INDEX(配置与结果!$E$15:$E$18,F1183)</f>
        <v>1.9279999999999999</v>
      </c>
      <c r="L1183" s="1">
        <f t="shared" si="1657"/>
        <v>2</v>
      </c>
      <c r="M1183" s="1">
        <f t="shared" si="1658"/>
        <v>10</v>
      </c>
      <c r="N1183" s="1">
        <f t="shared" si="1659"/>
        <v>2</v>
      </c>
      <c r="O1183" s="1">
        <f t="shared" si="1651"/>
        <v>2</v>
      </c>
      <c r="P1183" s="1">
        <f>MIN(方案参数!$AI$35,AZ1182+0+0)</f>
        <v>5</v>
      </c>
      <c r="Q1183" s="1">
        <f t="shared" si="1629"/>
        <v>5</v>
      </c>
      <c r="R1183" s="1">
        <f t="shared" si="1630"/>
        <v>20</v>
      </c>
      <c r="S1183" s="1">
        <f t="shared" si="1631"/>
        <v>3</v>
      </c>
      <c r="T1183" s="1">
        <f t="shared" si="1666"/>
        <v>0</v>
      </c>
      <c r="U1183" s="1">
        <f t="shared" si="1633"/>
        <v>0</v>
      </c>
      <c r="V1183" s="1">
        <f t="shared" si="1634"/>
        <v>4</v>
      </c>
      <c r="W1183" s="1">
        <f t="shared" si="1635"/>
        <v>1</v>
      </c>
      <c r="X1183" s="1">
        <f t="shared" si="1636"/>
        <v>1</v>
      </c>
      <c r="Y1183" s="1">
        <f t="shared" si="1637"/>
        <v>1</v>
      </c>
      <c r="Z1183" s="1">
        <f t="shared" si="1638"/>
        <v>1</v>
      </c>
      <c r="AA1183" s="1">
        <f t="shared" si="1662"/>
        <v>1</v>
      </c>
      <c r="AB1183" s="1">
        <f t="shared" si="1640"/>
        <v>1</v>
      </c>
      <c r="AC1183" s="1">
        <f t="shared" si="1667"/>
        <v>1</v>
      </c>
      <c r="AD1183" s="1">
        <f>ROUNDDOWN(I1183*(1+IF(F1183=3,0.05+方案参数!$Y$35+AA1183*0.12,IF(F1183=4,方案参数!$BZ$35*方案参数!$AS$35,0)))+IF(AND(X1183=1,F1183&lt;&gt;3),方案参数!$CC$35,0)+AC1183*方案参数!$CB$35,0)</f>
        <v>3044</v>
      </c>
      <c r="AE1183" s="1">
        <f>IF(OR(F1183=1,F1183=4),配置与结果!$B$24,配置与结果!$B$25)*MAX(0,1-INDEX(配置与结果!$I$15:$I$18,F1183))</f>
        <v>1000</v>
      </c>
      <c r="AF1183" s="1">
        <f>方案参数!$CE$35</f>
        <v>8</v>
      </c>
      <c r="AG1183" s="1">
        <f>MAX(配置与结果!$B$32,1+INDEX(配置与结果!$F$15:$F$18,F1183)+0+Q1183*方案参数!$W$35+Y1183*(方案参数!$AN$35+MIN(方案参数!$AO$35,P1183*0.03))+AB1183*方案参数!$BZ$35*0.025-配置与结果!$B$28+方案参数!$AE$35)</f>
        <v>2.2800000000000002</v>
      </c>
      <c r="AH1183" s="1">
        <f>MAX(0,1+V1183*方案参数!$U$35+方案参数!$AE$35-配置与结果!$B$29)</f>
        <v>1.6</v>
      </c>
      <c r="AI1183" s="1">
        <f>IF(OR(INDEX(配置与结果!$K$15:$K$18,F1183)=1,G1183="RHI_BERRY"),1+配置与结果!$B$33+P1183*方案参数!$AH$35,1)</f>
        <v>1</v>
      </c>
      <c r="AJ1183" s="1">
        <f>MIN(1,MAX(0,J1183+方案参数!$AB$35-配置与结果!$B$27))</f>
        <v>0.76</v>
      </c>
      <c r="AK1183" s="1">
        <f>MAX(1,K1183+IF(F1183=2,0.15+方案参数!$CH$35,0)+BN1183*方案参数!$X$35+R1183*方案参数!$AA$35+0-配置与结果!$B$26+Z1183*(方案参数!$AP$35+MIN(方案参数!$AQ$35,P1183*0.03)))</f>
        <v>2.3679999999999999</v>
      </c>
      <c r="AL1183" s="7">
        <f>ROUNDDOWN(MAX(AD1183*配置与结果!$B$31,AD1183-AE1183)*AF1183*AG1183*AH1183*AI1183,0)</f>
        <v>59652</v>
      </c>
      <c r="AM1183" s="7">
        <f>ROUNDDOWN(MAX(AD1183*配置与结果!$B$31,AD1183-AE1183)*AF1183*AG1183*AH1183*AI1183*AK1183,0)</f>
        <v>141256</v>
      </c>
      <c r="AN1183" s="7">
        <f t="shared" si="1620"/>
        <v>121671.03999999999</v>
      </c>
      <c r="AO1183" s="7">
        <f>0</f>
        <v>0</v>
      </c>
      <c r="AP1183" s="7">
        <f>MAX(0,1+INDEX(配置与结果!$J$15:$J$18,F1183)+IF(T1183&gt;0,方案参数!$BY$35,0)-配置与结果!$B$30)</f>
        <v>1</v>
      </c>
      <c r="AQ1183" s="7">
        <f t="shared" si="1621"/>
        <v>0</v>
      </c>
      <c r="AR1183" s="7">
        <f t="shared" si="1622"/>
        <v>0</v>
      </c>
      <c r="AS1183" s="7">
        <f t="shared" si="1623"/>
        <v>0</v>
      </c>
      <c r="AT1183" s="7">
        <f>IF(U1183&gt;0,ROUNDDOWN(AL1183*方案参数!$AF$35,0)*(1-AJ1183)+ROUNDDOWN(AM1183*方案参数!$AF$35,0)*AJ1183,0)</f>
        <v>0</v>
      </c>
      <c r="AU1183" s="7">
        <f t="shared" si="1624"/>
        <v>121671.03999999999</v>
      </c>
      <c r="AV1183" s="1">
        <f t="shared" si="1625"/>
        <v>2</v>
      </c>
      <c r="AW1183" s="1">
        <f t="shared" si="1672"/>
        <v>10</v>
      </c>
      <c r="AX1183" s="1">
        <f t="shared" si="1626"/>
        <v>2</v>
      </c>
      <c r="AY1183" s="1">
        <f>MIN(20,MAX(0,O1183+0+0-0))</f>
        <v>2</v>
      </c>
      <c r="AZ1183" s="1">
        <f t="shared" si="1627"/>
        <v>5</v>
      </c>
      <c r="BA1183" s="1">
        <f t="shared" si="1663"/>
        <v>5</v>
      </c>
      <c r="BB1183" s="1">
        <f t="shared" si="1671"/>
        <v>20</v>
      </c>
      <c r="BC1183" s="1">
        <f t="shared" si="1669"/>
        <v>3</v>
      </c>
      <c r="BD1183" s="1">
        <f t="shared" si="1650"/>
        <v>0</v>
      </c>
      <c r="BE1183" s="1">
        <f>MAX(0,U1183-IF(AF1183&gt;0,1,0))+1</f>
        <v>1</v>
      </c>
      <c r="BF1183" s="1">
        <f t="shared" si="1673"/>
        <v>4</v>
      </c>
      <c r="BG1183" s="1">
        <f t="shared" si="1660"/>
        <v>1</v>
      </c>
      <c r="BH1183" s="1">
        <f t="shared" si="1644"/>
        <v>1</v>
      </c>
      <c r="BI1183" s="1">
        <f t="shared" si="1661"/>
        <v>1</v>
      </c>
      <c r="BJ1183" s="1">
        <f t="shared" si="1664"/>
        <v>1</v>
      </c>
      <c r="BK1183" s="1">
        <f t="shared" si="1665"/>
        <v>1</v>
      </c>
      <c r="BL1183" s="1">
        <f t="shared" si="1670"/>
        <v>1</v>
      </c>
      <c r="BM1183" s="1">
        <f t="shared" si="1668"/>
        <v>1</v>
      </c>
      <c r="BN1183" s="1">
        <f t="shared" si="1645"/>
        <v>1</v>
      </c>
      <c r="BO1183" s="1">
        <f t="shared" si="1646"/>
        <v>1</v>
      </c>
    </row>
    <row r="1184" spans="1:67" ht="30.95" customHeight="1">
      <c r="A1184" s="1">
        <f>32</f>
        <v>32</v>
      </c>
      <c r="B1184" s="1">
        <f>固定流程!A32</f>
        <v>27</v>
      </c>
      <c r="C1184" s="1">
        <f>35</f>
        <v>35</v>
      </c>
      <c r="D1184" s="1">
        <f>2</f>
        <v>2</v>
      </c>
      <c r="E1184" s="1">
        <f>固定流程!C32</f>
        <v>3</v>
      </c>
      <c r="F1184" s="1">
        <f>固定流程!G32</f>
        <v>1</v>
      </c>
      <c r="G1184" s="1" t="str">
        <f>固定流程!H32</f>
        <v>LILYA_THIRD</v>
      </c>
      <c r="H1184" s="1">
        <f>固定流程!F32</f>
        <v>1</v>
      </c>
      <c r="I1184" s="1">
        <f>INDEX(配置与结果!$B$15:$B$18,F1184)</f>
        <v>2296</v>
      </c>
      <c r="J1184" s="1">
        <f>INDEX(配置与结果!$D$15:$D$18,F1184)</f>
        <v>0.7</v>
      </c>
      <c r="K1184" s="1">
        <f>INDEX(配置与结果!$E$15:$E$18,F1184)</f>
        <v>2.0249999999999999</v>
      </c>
      <c r="L1184" s="1">
        <f t="shared" si="1657"/>
        <v>2</v>
      </c>
      <c r="M1184" s="1">
        <f t="shared" si="1658"/>
        <v>10</v>
      </c>
      <c r="N1184" s="1">
        <f t="shared" si="1659"/>
        <v>2</v>
      </c>
      <c r="O1184" s="1">
        <f t="shared" si="1651"/>
        <v>2</v>
      </c>
      <c r="P1184" s="1">
        <f>MIN(方案参数!$AI$35,AZ1183+0+0)</f>
        <v>5</v>
      </c>
      <c r="Q1184" s="1">
        <f t="shared" si="1629"/>
        <v>5</v>
      </c>
      <c r="R1184" s="1">
        <f t="shared" si="1630"/>
        <v>20</v>
      </c>
      <c r="S1184" s="1">
        <f t="shared" si="1631"/>
        <v>3</v>
      </c>
      <c r="T1184" s="1">
        <f t="shared" si="1666"/>
        <v>0</v>
      </c>
      <c r="U1184" s="1">
        <f t="shared" si="1633"/>
        <v>1</v>
      </c>
      <c r="V1184" s="1">
        <f t="shared" si="1634"/>
        <v>4</v>
      </c>
      <c r="W1184" s="1">
        <f t="shared" si="1635"/>
        <v>1</v>
      </c>
      <c r="X1184" s="1">
        <f t="shared" si="1636"/>
        <v>1</v>
      </c>
      <c r="Y1184" s="1">
        <f t="shared" si="1637"/>
        <v>1</v>
      </c>
      <c r="Z1184" s="1">
        <f t="shared" si="1638"/>
        <v>1</v>
      </c>
      <c r="AA1184" s="1">
        <f t="shared" si="1662"/>
        <v>1</v>
      </c>
      <c r="AB1184" s="1">
        <f t="shared" si="1640"/>
        <v>1</v>
      </c>
      <c r="AC1184" s="1">
        <f t="shared" si="1667"/>
        <v>1</v>
      </c>
      <c r="AD1184" s="1">
        <f>ROUNDDOWN(I1184*(1+IF(F1184=3,0.05+方案参数!$Y$35+AA1184*0.12,IF(F1184=4,方案参数!$BZ$35*方案参数!$AS$35,0)))+IF(AND(X1184=1,F1184&lt;&gt;3),方案参数!$CC$35,0)+AC1184*方案参数!$CB$35,0)</f>
        <v>3034</v>
      </c>
      <c r="AE1184" s="1">
        <f>IF(OR(F1184=1,F1184=4),配置与结果!$B$24,配置与结果!$B$25)*MAX(0,1-INDEX(配置与结果!$I$15:$I$18,F1184))</f>
        <v>1200</v>
      </c>
      <c r="AF1184" s="1">
        <f>方案参数!$BM$35</f>
        <v>20</v>
      </c>
      <c r="AG1184" s="1">
        <f>MAX(配置与结果!$B$32,1+INDEX(配置与结果!$F$15:$F$18,F1184)+0.08+方案参数!$CD$35+Q1184*方案参数!$W$35+Y1184*(方案参数!$AN$35+MIN(方案参数!$AO$35,P1184*0.03))+AB1184*方案参数!$BZ$35*0.025-配置与结果!$B$28+方案参数!$AE$35)</f>
        <v>2.6150000000000002</v>
      </c>
      <c r="AH1184" s="1">
        <f>MAX(0,1+V1184*方案参数!$U$35+3*方案参数!$V$35+方案参数!$AE$35-配置与结果!$B$29)</f>
        <v>1.7799999999999998</v>
      </c>
      <c r="AI1184" s="1">
        <f>IF(OR(INDEX(配置与结果!$K$15:$K$18,F1184)=1,G1184="RHI_BERRY"),1+配置与结果!$B$33+P1184*方案参数!$AH$35,1)</f>
        <v>1</v>
      </c>
      <c r="AJ1184" s="1">
        <f>MIN(1,MAX(0,J1184+方案参数!$AB$35-配置与结果!$B$27))</f>
        <v>1</v>
      </c>
      <c r="AK1184" s="1">
        <f>MAX(1,K1184+IF(F1184=2,0.15+方案参数!$CH$35,0)+BN1184*方案参数!$X$35+R1184*方案参数!$AA$35+方案参数!$BQ$35-配置与结果!$B$26+Z1184*(方案参数!$AP$35+MIN(方案参数!$AQ$35,P1184*0.03)))</f>
        <v>2.9650000000000003</v>
      </c>
      <c r="AL1184" s="7">
        <f>ROUNDDOWN(MAX(AD1184*配置与结果!$B$31,AD1184-AE1184)*AF1184*AG1184*AH1184*AI1184,0)</f>
        <v>170734</v>
      </c>
      <c r="AM1184" s="7">
        <f>ROUNDDOWN(MAX(AD1184*配置与结果!$B$31,AD1184-AE1184)*AF1184*AG1184*AH1184*AI1184*AK1184,0)</f>
        <v>506227</v>
      </c>
      <c r="AN1184" s="7">
        <f t="shared" si="1620"/>
        <v>506227</v>
      </c>
      <c r="AO1184" s="7">
        <f>0</f>
        <v>0</v>
      </c>
      <c r="AP1184" s="7">
        <f>MAX(0,1+INDEX(配置与结果!$J$15:$J$18,F1184)+IF(T1184&gt;0,方案参数!$BY$35,0)-配置与结果!$B$30)</f>
        <v>1</v>
      </c>
      <c r="AQ1184" s="7">
        <f t="shared" si="1621"/>
        <v>0</v>
      </c>
      <c r="AR1184" s="7">
        <f t="shared" si="1622"/>
        <v>0</v>
      </c>
      <c r="AS1184" s="7">
        <f t="shared" si="1623"/>
        <v>0</v>
      </c>
      <c r="AT1184" s="7">
        <f>IF(U1184&gt;0,ROUNDDOWN(AL1184*方案参数!$AF$35,0)*(1-AJ1184)+ROUNDDOWN(AM1184*方案参数!$AF$35,0)*AJ1184,0)</f>
        <v>202490</v>
      </c>
      <c r="AU1184" s="7">
        <f t="shared" si="1624"/>
        <v>708717</v>
      </c>
      <c r="AV1184" s="1">
        <f t="shared" si="1625"/>
        <v>2</v>
      </c>
      <c r="AW1184" s="1">
        <f t="shared" si="1672"/>
        <v>10</v>
      </c>
      <c r="AX1184" s="1">
        <f t="shared" si="1626"/>
        <v>2</v>
      </c>
      <c r="AY1184" s="1">
        <f>MIN(20,MAX(0,O1184+0+1-0))</f>
        <v>3</v>
      </c>
      <c r="AZ1184" s="1">
        <f t="shared" si="1627"/>
        <v>5</v>
      </c>
      <c r="BA1184" s="1">
        <f t="shared" si="1663"/>
        <v>5</v>
      </c>
      <c r="BB1184" s="1">
        <f t="shared" si="1671"/>
        <v>20</v>
      </c>
      <c r="BC1184" s="1">
        <f t="shared" si="1669"/>
        <v>3</v>
      </c>
      <c r="BD1184" s="1">
        <f t="shared" si="1650"/>
        <v>0</v>
      </c>
      <c r="BE1184" s="1">
        <f>MAX(0,U1184-IF(AF1184&gt;0,1,0))+0</f>
        <v>0</v>
      </c>
      <c r="BF1184" s="1">
        <f t="shared" si="1673"/>
        <v>4</v>
      </c>
      <c r="BG1184" s="1">
        <f t="shared" si="1660"/>
        <v>1</v>
      </c>
      <c r="BH1184" s="1">
        <f t="shared" si="1644"/>
        <v>1</v>
      </c>
      <c r="BI1184" s="1">
        <f t="shared" si="1661"/>
        <v>1</v>
      </c>
      <c r="BJ1184" s="1">
        <f t="shared" si="1664"/>
        <v>1</v>
      </c>
      <c r="BK1184" s="1">
        <f t="shared" si="1665"/>
        <v>1</v>
      </c>
      <c r="BL1184" s="1">
        <f t="shared" si="1670"/>
        <v>1</v>
      </c>
      <c r="BM1184" s="1">
        <f t="shared" si="1668"/>
        <v>1</v>
      </c>
      <c r="BN1184" s="1">
        <f t="shared" si="1645"/>
        <v>1</v>
      </c>
      <c r="BO1184" s="1">
        <f t="shared" si="1646"/>
        <v>1</v>
      </c>
    </row>
    <row r="1185" spans="1:67" ht="30.95" customHeight="1">
      <c r="A1185" s="1">
        <f>32</f>
        <v>32</v>
      </c>
      <c r="B1185" s="1">
        <f>固定流程!A33</f>
        <v>28</v>
      </c>
      <c r="C1185" s="1">
        <f>35</f>
        <v>35</v>
      </c>
      <c r="D1185" s="1">
        <f>2</f>
        <v>2</v>
      </c>
      <c r="E1185" s="1">
        <f>固定流程!C33</f>
        <v>3</v>
      </c>
      <c r="F1185" s="1">
        <f>固定流程!G33</f>
        <v>1</v>
      </c>
      <c r="G1185" s="1" t="str">
        <f>固定流程!H33</f>
        <v>LILYA_WEAK</v>
      </c>
      <c r="H1185" s="1">
        <f>固定流程!F33</f>
        <v>1</v>
      </c>
      <c r="I1185" s="1">
        <f>INDEX(配置与结果!$B$15:$B$18,F1185)</f>
        <v>2296</v>
      </c>
      <c r="J1185" s="1">
        <f>INDEX(配置与结果!$D$15:$D$18,F1185)</f>
        <v>0.7</v>
      </c>
      <c r="K1185" s="1">
        <f>INDEX(配置与结果!$E$15:$E$18,F1185)</f>
        <v>2.0249999999999999</v>
      </c>
      <c r="L1185" s="1">
        <f t="shared" si="1657"/>
        <v>2</v>
      </c>
      <c r="M1185" s="1">
        <f t="shared" si="1658"/>
        <v>10</v>
      </c>
      <c r="N1185" s="1">
        <f t="shared" si="1659"/>
        <v>2</v>
      </c>
      <c r="O1185" s="1">
        <f t="shared" si="1651"/>
        <v>3</v>
      </c>
      <c r="P1185" s="1">
        <f>MIN(方案参数!$AI$35,AZ1184+0+0)</f>
        <v>5</v>
      </c>
      <c r="Q1185" s="1">
        <f t="shared" si="1629"/>
        <v>5</v>
      </c>
      <c r="R1185" s="1">
        <f t="shared" si="1630"/>
        <v>20</v>
      </c>
      <c r="S1185" s="1">
        <f t="shared" si="1631"/>
        <v>3</v>
      </c>
      <c r="T1185" s="1">
        <f t="shared" si="1666"/>
        <v>0</v>
      </c>
      <c r="U1185" s="1">
        <f t="shared" si="1633"/>
        <v>0</v>
      </c>
      <c r="V1185" s="1">
        <f t="shared" si="1634"/>
        <v>4</v>
      </c>
      <c r="W1185" s="1">
        <f t="shared" si="1635"/>
        <v>1</v>
      </c>
      <c r="X1185" s="1">
        <f t="shared" si="1636"/>
        <v>1</v>
      </c>
      <c r="Y1185" s="1">
        <f t="shared" si="1637"/>
        <v>1</v>
      </c>
      <c r="Z1185" s="1">
        <f t="shared" si="1638"/>
        <v>1</v>
      </c>
      <c r="AA1185" s="1">
        <f t="shared" si="1662"/>
        <v>1</v>
      </c>
      <c r="AB1185" s="1">
        <f t="shared" si="1640"/>
        <v>1</v>
      </c>
      <c r="AC1185" s="1">
        <f t="shared" si="1667"/>
        <v>1</v>
      </c>
      <c r="AD1185" s="1">
        <f>ROUNDDOWN(I1185*(1+IF(F1185=3,0.05+方案参数!$Y$35+AA1185*0.12,IF(F1185=4,方案参数!$BZ$35*方案参数!$AS$35,0)))+IF(AND(X1185=1,F1185&lt;&gt;3),方案参数!$CC$35,0)+AC1185*方案参数!$CB$35,0)</f>
        <v>3034</v>
      </c>
      <c r="AE1185" s="1">
        <f>IF(OR(F1185=1,F1185=4),配置与结果!$B$24,配置与结果!$B$25)*MAX(0,1-INDEX(配置与结果!$I$15:$I$18,F1185))</f>
        <v>1200</v>
      </c>
      <c r="AF1185" s="1">
        <f>方案参数!$BL$35</f>
        <v>9</v>
      </c>
      <c r="AG1185" s="1">
        <f>MAX(配置与结果!$B$32,1+INDEX(配置与结果!$F$15:$F$18,F1185)+0.08+方案参数!$CD$35+Q1185*方案参数!$W$35+Y1185*(方案参数!$AN$35+MIN(方案参数!$AO$35,P1185*0.03))+AB1185*方案参数!$BZ$35*0.025-配置与结果!$B$28+方案参数!$AE$35)</f>
        <v>2.6150000000000002</v>
      </c>
      <c r="AH1185" s="1">
        <f>MAX(0,1+V1185*方案参数!$U$35+4*方案参数!$V$35+方案参数!$AE$35-配置与结果!$B$29)</f>
        <v>1.8399999999999999</v>
      </c>
      <c r="AI1185" s="1">
        <f>IF(OR(INDEX(配置与结果!$K$15:$K$18,F1185)=1,G1185="RHI_BERRY"),1+配置与结果!$B$33+P1185*方案参数!$AH$35,1)</f>
        <v>1</v>
      </c>
      <c r="AJ1185" s="1">
        <f>MIN(1,MAX(0,J1185+方案参数!$AB$35-配置与结果!$B$27))</f>
        <v>1</v>
      </c>
      <c r="AK1185" s="1">
        <f>MAX(1,K1185+IF(F1185=2,0.15+方案参数!$CH$35,0)+BN1185*方案参数!$X$35+R1185*方案参数!$AA$35+方案参数!$BP$35-配置与结果!$B$26+Z1185*(方案参数!$AP$35+MIN(方案参数!$AQ$35,P1185*0.03)))</f>
        <v>2.7650000000000001</v>
      </c>
      <c r="AL1185" s="7">
        <f>ROUNDDOWN(MAX(AD1185*配置与结果!$B$31,AD1185-AE1185)*AF1185*AG1185*AH1185*AI1185,0)</f>
        <v>79420</v>
      </c>
      <c r="AM1185" s="7">
        <f>ROUNDDOWN(MAX(AD1185*配置与结果!$B$31,AD1185-AE1185)*AF1185*AG1185*AH1185*AI1185*AK1185,0)</f>
        <v>219597</v>
      </c>
      <c r="AN1185" s="7">
        <f t="shared" si="1620"/>
        <v>219597</v>
      </c>
      <c r="AO1185" s="7">
        <f>0</f>
        <v>0</v>
      </c>
      <c r="AP1185" s="7">
        <f>MAX(0,1+INDEX(配置与结果!$J$15:$J$18,F1185)+IF(T1185&gt;0,方案参数!$BY$35,0)-配置与结果!$B$30)</f>
        <v>1</v>
      </c>
      <c r="AQ1185" s="7">
        <f t="shared" si="1621"/>
        <v>0</v>
      </c>
      <c r="AR1185" s="7">
        <f t="shared" si="1622"/>
        <v>0</v>
      </c>
      <c r="AS1185" s="7">
        <f t="shared" si="1623"/>
        <v>0</v>
      </c>
      <c r="AT1185" s="7">
        <f>IF(U1185&gt;0,ROUNDDOWN(AL1185*方案参数!$AF$35,0)*(1-AJ1185)+ROUNDDOWN(AM1185*方案参数!$AF$35,0)*AJ1185,0)</f>
        <v>0</v>
      </c>
      <c r="AU1185" s="7">
        <f t="shared" si="1624"/>
        <v>219597</v>
      </c>
      <c r="AV1185" s="1">
        <f t="shared" si="1625"/>
        <v>2</v>
      </c>
      <c r="AW1185" s="1">
        <f t="shared" si="1672"/>
        <v>10</v>
      </c>
      <c r="AX1185" s="1">
        <f t="shared" si="1626"/>
        <v>2</v>
      </c>
      <c r="AY1185" s="1">
        <f>MIN(20,MAX(0,O1185+0+1-0))</f>
        <v>4</v>
      </c>
      <c r="AZ1185" s="1">
        <f t="shared" si="1627"/>
        <v>5</v>
      </c>
      <c r="BA1185" s="1">
        <f t="shared" si="1663"/>
        <v>5</v>
      </c>
      <c r="BB1185" s="1">
        <f t="shared" si="1671"/>
        <v>20</v>
      </c>
      <c r="BC1185" s="1">
        <f t="shared" si="1669"/>
        <v>3</v>
      </c>
      <c r="BD1185" s="1">
        <f t="shared" si="1650"/>
        <v>0</v>
      </c>
      <c r="BE1185" s="1">
        <f>MAX(0,U1185-IF(AF1185&gt;0,1,0))+0</f>
        <v>0</v>
      </c>
      <c r="BF1185" s="1">
        <f t="shared" si="1673"/>
        <v>4</v>
      </c>
      <c r="BG1185" s="1">
        <f t="shared" si="1660"/>
        <v>1</v>
      </c>
      <c r="BH1185" s="1">
        <f t="shared" si="1644"/>
        <v>1</v>
      </c>
      <c r="BI1185" s="1">
        <f t="shared" si="1661"/>
        <v>1</v>
      </c>
      <c r="BJ1185" s="1">
        <f t="shared" si="1664"/>
        <v>1</v>
      </c>
      <c r="BK1185" s="1">
        <f t="shared" si="1665"/>
        <v>1</v>
      </c>
      <c r="BL1185" s="1">
        <f t="shared" si="1670"/>
        <v>1</v>
      </c>
      <c r="BM1185" s="1">
        <f t="shared" si="1668"/>
        <v>1</v>
      </c>
      <c r="BN1185" s="1">
        <f t="shared" si="1645"/>
        <v>1</v>
      </c>
      <c r="BO1185" s="1">
        <f t="shared" si="1646"/>
        <v>1</v>
      </c>
    </row>
    <row r="1186" spans="1:67" ht="30.95" customHeight="1">
      <c r="A1186" s="1">
        <f>32</f>
        <v>32</v>
      </c>
      <c r="B1186" s="1">
        <f>固定流程!A34</f>
        <v>29</v>
      </c>
      <c r="C1186" s="1">
        <f>35</f>
        <v>35</v>
      </c>
      <c r="D1186" s="1">
        <f>2</f>
        <v>2</v>
      </c>
      <c r="E1186" s="1">
        <f>固定流程!C34</f>
        <v>3</v>
      </c>
      <c r="F1186" s="1">
        <f>固定流程!G34</f>
        <v>1</v>
      </c>
      <c r="G1186" s="1" t="str">
        <f>固定流程!H34</f>
        <v>LILYA_WEAK</v>
      </c>
      <c r="H1186" s="1">
        <f>固定流程!F34</f>
        <v>1</v>
      </c>
      <c r="I1186" s="1">
        <f>INDEX(配置与结果!$B$15:$B$18,F1186)</f>
        <v>2296</v>
      </c>
      <c r="J1186" s="1">
        <f>INDEX(配置与结果!$D$15:$D$18,F1186)</f>
        <v>0.7</v>
      </c>
      <c r="K1186" s="1">
        <f>INDEX(配置与结果!$E$15:$E$18,F1186)</f>
        <v>2.0249999999999999</v>
      </c>
      <c r="L1186" s="1">
        <f t="shared" si="1657"/>
        <v>2</v>
      </c>
      <c r="M1186" s="1">
        <f t="shared" si="1658"/>
        <v>10</v>
      </c>
      <c r="N1186" s="1">
        <f t="shared" si="1659"/>
        <v>2</v>
      </c>
      <c r="O1186" s="1">
        <f t="shared" si="1651"/>
        <v>4</v>
      </c>
      <c r="P1186" s="1">
        <f>MIN(方案参数!$AI$35,AZ1185+0+0)</f>
        <v>5</v>
      </c>
      <c r="Q1186" s="1">
        <f t="shared" si="1629"/>
        <v>5</v>
      </c>
      <c r="R1186" s="1">
        <f t="shared" si="1630"/>
        <v>20</v>
      </c>
      <c r="S1186" s="1">
        <f t="shared" si="1631"/>
        <v>3</v>
      </c>
      <c r="T1186" s="1">
        <f t="shared" si="1666"/>
        <v>0</v>
      </c>
      <c r="U1186" s="1">
        <f t="shared" si="1633"/>
        <v>0</v>
      </c>
      <c r="V1186" s="1">
        <f t="shared" si="1634"/>
        <v>4</v>
      </c>
      <c r="W1186" s="1">
        <f t="shared" si="1635"/>
        <v>1</v>
      </c>
      <c r="X1186" s="1">
        <f t="shared" si="1636"/>
        <v>1</v>
      </c>
      <c r="Y1186" s="1">
        <f t="shared" si="1637"/>
        <v>1</v>
      </c>
      <c r="Z1186" s="1">
        <f t="shared" si="1638"/>
        <v>1</v>
      </c>
      <c r="AA1186" s="1">
        <f t="shared" si="1662"/>
        <v>1</v>
      </c>
      <c r="AB1186" s="1">
        <f t="shared" si="1640"/>
        <v>1</v>
      </c>
      <c r="AC1186" s="1">
        <f t="shared" si="1667"/>
        <v>1</v>
      </c>
      <c r="AD1186" s="1">
        <f>ROUNDDOWN(I1186*(1+IF(F1186=3,0.05+方案参数!$Y$35+AA1186*0.12,IF(F1186=4,方案参数!$BZ$35*方案参数!$AS$35,0)))+IF(AND(X1186=1,F1186&lt;&gt;3),方案参数!$CC$35,0)+AC1186*方案参数!$CB$35,0)</f>
        <v>3034</v>
      </c>
      <c r="AE1186" s="1">
        <f>IF(OR(F1186=1,F1186=4),配置与结果!$B$24,配置与结果!$B$25)*MAX(0,1-INDEX(配置与结果!$I$15:$I$18,F1186))</f>
        <v>1200</v>
      </c>
      <c r="AF1186" s="1">
        <f>方案参数!$BL$35</f>
        <v>9</v>
      </c>
      <c r="AG1186" s="1">
        <f>MAX(配置与结果!$B$32,1+INDEX(配置与结果!$F$15:$F$18,F1186)+0.08+方案参数!$CD$35+Q1186*方案参数!$W$35+Y1186*(方案参数!$AN$35+MIN(方案参数!$AO$35,P1186*0.03))+AB1186*方案参数!$BZ$35*0.025-配置与结果!$B$28+方案参数!$AE$35)</f>
        <v>2.6150000000000002</v>
      </c>
      <c r="AH1186" s="1">
        <f>MAX(0,1+V1186*方案参数!$U$35+5*方案参数!$V$35+方案参数!$AE$35-配置与结果!$B$29)</f>
        <v>1.9</v>
      </c>
      <c r="AI1186" s="1">
        <f>IF(OR(INDEX(配置与结果!$K$15:$K$18,F1186)=1,G1186="RHI_BERRY"),1+配置与结果!$B$33+P1186*方案参数!$AH$35,1)</f>
        <v>1</v>
      </c>
      <c r="AJ1186" s="1">
        <f>MIN(1,MAX(0,J1186+方案参数!$AB$35-配置与结果!$B$27))</f>
        <v>1</v>
      </c>
      <c r="AK1186" s="1">
        <f>MAX(1,K1186+IF(F1186=2,0.15+方案参数!$CH$35,0)+BN1186*方案参数!$X$35+R1186*方案参数!$AA$35+方案参数!$BP$35-配置与结果!$B$26+Z1186*(方案参数!$AP$35+MIN(方案参数!$AQ$35,P1186*0.03)))</f>
        <v>2.7650000000000001</v>
      </c>
      <c r="AL1186" s="7">
        <f>ROUNDDOWN(MAX(AD1186*配置与结果!$B$31,AD1186-AE1186)*AF1186*AG1186*AH1186*AI1186,0)</f>
        <v>82010</v>
      </c>
      <c r="AM1186" s="7">
        <f>ROUNDDOWN(MAX(AD1186*配置与结果!$B$31,AD1186-AE1186)*AF1186*AG1186*AH1186*AI1186*AK1186,0)</f>
        <v>226757</v>
      </c>
      <c r="AN1186" s="7">
        <f t="shared" si="1620"/>
        <v>226757</v>
      </c>
      <c r="AO1186" s="7">
        <f>0</f>
        <v>0</v>
      </c>
      <c r="AP1186" s="7">
        <f>MAX(0,1+INDEX(配置与结果!$J$15:$J$18,F1186)+IF(T1186&gt;0,方案参数!$BY$35,0)-配置与结果!$B$30)</f>
        <v>1</v>
      </c>
      <c r="AQ1186" s="7">
        <f t="shared" si="1621"/>
        <v>0</v>
      </c>
      <c r="AR1186" s="7">
        <f t="shared" si="1622"/>
        <v>0</v>
      </c>
      <c r="AS1186" s="7">
        <f t="shared" si="1623"/>
        <v>0</v>
      </c>
      <c r="AT1186" s="7">
        <f>IF(U1186&gt;0,ROUNDDOWN(AL1186*方案参数!$AF$35,0)*(1-AJ1186)+ROUNDDOWN(AM1186*方案参数!$AF$35,0)*AJ1186,0)</f>
        <v>0</v>
      </c>
      <c r="AU1186" s="7">
        <f t="shared" si="1624"/>
        <v>226757</v>
      </c>
      <c r="AV1186" s="1">
        <f t="shared" si="1625"/>
        <v>2</v>
      </c>
      <c r="AW1186" s="1">
        <f t="shared" si="1672"/>
        <v>10</v>
      </c>
      <c r="AX1186" s="1">
        <f t="shared" si="1626"/>
        <v>2</v>
      </c>
      <c r="AY1186" s="1">
        <f>MIN(20,MAX(0,O1186+0+1-0))</f>
        <v>5</v>
      </c>
      <c r="AZ1186" s="1">
        <f t="shared" si="1627"/>
        <v>5</v>
      </c>
      <c r="BA1186" s="1">
        <f t="shared" si="1663"/>
        <v>5</v>
      </c>
      <c r="BB1186" s="1">
        <f t="shared" si="1671"/>
        <v>20</v>
      </c>
      <c r="BC1186" s="1">
        <f t="shared" si="1669"/>
        <v>3</v>
      </c>
      <c r="BD1186" s="1">
        <f t="shared" si="1650"/>
        <v>0</v>
      </c>
      <c r="BE1186" s="1">
        <f>MAX(0,U1186-IF(AF1186&gt;0,1,0))+0</f>
        <v>0</v>
      </c>
      <c r="BF1186" s="1">
        <f t="shared" si="1673"/>
        <v>4</v>
      </c>
      <c r="BG1186" s="1">
        <f t="shared" si="1660"/>
        <v>1</v>
      </c>
      <c r="BH1186" s="1">
        <f t="shared" si="1644"/>
        <v>1</v>
      </c>
      <c r="BI1186" s="1">
        <f t="shared" si="1661"/>
        <v>1</v>
      </c>
      <c r="BJ1186" s="1">
        <f t="shared" si="1664"/>
        <v>1</v>
      </c>
      <c r="BK1186" s="1">
        <f t="shared" si="1665"/>
        <v>1</v>
      </c>
      <c r="BL1186" s="1">
        <f t="shared" si="1670"/>
        <v>1</v>
      </c>
      <c r="BM1186" s="1">
        <f t="shared" si="1668"/>
        <v>1</v>
      </c>
      <c r="BN1186" s="1">
        <f t="shared" si="1645"/>
        <v>1</v>
      </c>
      <c r="BO1186" s="1">
        <f t="shared" si="1646"/>
        <v>1</v>
      </c>
    </row>
    <row r="1187" spans="1:67" ht="30.95" customHeight="1">
      <c r="A1187" s="1">
        <f>32</f>
        <v>32</v>
      </c>
      <c r="B1187" s="1">
        <f>固定流程!A35</f>
        <v>30</v>
      </c>
      <c r="C1187" s="1">
        <f>35</f>
        <v>35</v>
      </c>
      <c r="D1187" s="1">
        <f>2</f>
        <v>2</v>
      </c>
      <c r="E1187" s="1">
        <f>固定流程!C35</f>
        <v>3</v>
      </c>
      <c r="F1187" s="1">
        <f>固定流程!G35</f>
        <v>2</v>
      </c>
      <c r="G1187" s="1" t="str">
        <f>固定流程!H35</f>
        <v>37_WEAK</v>
      </c>
      <c r="H1187" s="1">
        <f>固定流程!F35</f>
        <v>1</v>
      </c>
      <c r="I1187" s="1">
        <f>INDEX(配置与结果!$B$15:$B$18,F1187)</f>
        <v>2306</v>
      </c>
      <c r="J1187" s="1">
        <f>INDEX(配置与结果!$D$15:$D$18,F1187)</f>
        <v>0.46</v>
      </c>
      <c r="K1187" s="1">
        <f>INDEX(配置与结果!$E$15:$E$18,F1187)</f>
        <v>1.9279999999999999</v>
      </c>
      <c r="L1187" s="1">
        <f t="shared" si="1657"/>
        <v>2</v>
      </c>
      <c r="M1187" s="1">
        <f t="shared" si="1658"/>
        <v>10</v>
      </c>
      <c r="N1187" s="1">
        <f t="shared" si="1659"/>
        <v>2</v>
      </c>
      <c r="O1187" s="1">
        <f t="shared" si="1651"/>
        <v>5</v>
      </c>
      <c r="P1187" s="1">
        <f>MIN(方案参数!$AI$35,AZ1186+0+0)</f>
        <v>5</v>
      </c>
      <c r="Q1187" s="1">
        <f t="shared" si="1629"/>
        <v>5</v>
      </c>
      <c r="R1187" s="1">
        <f t="shared" si="1630"/>
        <v>20</v>
      </c>
      <c r="S1187" s="1">
        <f t="shared" si="1631"/>
        <v>3</v>
      </c>
      <c r="T1187" s="1">
        <f t="shared" si="1666"/>
        <v>0</v>
      </c>
      <c r="U1187" s="1">
        <f t="shared" si="1633"/>
        <v>0</v>
      </c>
      <c r="V1187" s="1">
        <f t="shared" si="1634"/>
        <v>4</v>
      </c>
      <c r="W1187" s="1">
        <f t="shared" si="1635"/>
        <v>1</v>
      </c>
      <c r="X1187" s="1">
        <f t="shared" si="1636"/>
        <v>1</v>
      </c>
      <c r="Y1187" s="1">
        <f t="shared" si="1637"/>
        <v>1</v>
      </c>
      <c r="Z1187" s="1">
        <f t="shared" si="1638"/>
        <v>1</v>
      </c>
      <c r="AA1187" s="1">
        <f t="shared" si="1662"/>
        <v>1</v>
      </c>
      <c r="AB1187" s="1">
        <f t="shared" si="1640"/>
        <v>1</v>
      </c>
      <c r="AC1187" s="1">
        <f t="shared" si="1667"/>
        <v>1</v>
      </c>
      <c r="AD1187" s="1">
        <f>ROUNDDOWN(I1187*(1+IF(F1187=3,0.05+方案参数!$Y$35+AA1187*0.12,IF(F1187=4,方案参数!$BZ$35*方案参数!$AS$35,0)))+IF(AND(X1187=1,F1187&lt;&gt;3),方案参数!$CC$35,0)+AC1187*方案参数!$CB$35,0)</f>
        <v>3044</v>
      </c>
      <c r="AE1187" s="1">
        <f>IF(OR(F1187=1,F1187=4),配置与结果!$B$24,配置与结果!$B$25)*MAX(0,1-INDEX(配置与结果!$I$15:$I$18,F1187))</f>
        <v>1000</v>
      </c>
      <c r="AF1187" s="1">
        <f>方案参数!$CE$35</f>
        <v>8</v>
      </c>
      <c r="AG1187" s="1">
        <f>MAX(配置与结果!$B$32,1+INDEX(配置与结果!$F$15:$F$18,F1187)+0+Q1187*方案参数!$W$35+Y1187*(方案参数!$AN$35+MIN(方案参数!$AO$35,P1187*0.03))+AB1187*方案参数!$BZ$35*0.025-配置与结果!$B$28+方案参数!$AE$35)</f>
        <v>2.2800000000000002</v>
      </c>
      <c r="AH1187" s="1">
        <f>MAX(0,1+V1187*方案参数!$U$35+方案参数!$AE$35-配置与结果!$B$29)</f>
        <v>1.6</v>
      </c>
      <c r="AI1187" s="1">
        <f>IF(OR(INDEX(配置与结果!$K$15:$K$18,F1187)=1,G1187="RHI_BERRY"),1+配置与结果!$B$33+P1187*方案参数!$AH$35,1)</f>
        <v>1</v>
      </c>
      <c r="AJ1187" s="1">
        <f>MIN(1,MAX(0,J1187+方案参数!$AB$35-配置与结果!$B$27))</f>
        <v>0.76</v>
      </c>
      <c r="AK1187" s="1">
        <f>MAX(1,K1187+IF(F1187=2,0.15+方案参数!$CH$35,0)+BN1187*方案参数!$X$35+R1187*方案参数!$AA$35+0-配置与结果!$B$26+Z1187*(方案参数!$AP$35+MIN(方案参数!$AQ$35,P1187*0.03)))</f>
        <v>2.3679999999999999</v>
      </c>
      <c r="AL1187" s="7">
        <f>ROUNDDOWN(MAX(AD1187*配置与结果!$B$31,AD1187-AE1187)*AF1187*AG1187*AH1187*AI1187,0)</f>
        <v>59652</v>
      </c>
      <c r="AM1187" s="7">
        <f>ROUNDDOWN(MAX(AD1187*配置与结果!$B$31,AD1187-AE1187)*AF1187*AG1187*AH1187*AI1187*AK1187,0)</f>
        <v>141256</v>
      </c>
      <c r="AN1187" s="7">
        <f t="shared" si="1620"/>
        <v>121671.03999999999</v>
      </c>
      <c r="AO1187" s="7">
        <f>0</f>
        <v>0</v>
      </c>
      <c r="AP1187" s="7">
        <f>MAX(0,1+INDEX(配置与结果!$J$15:$J$18,F1187)+IF(T1187&gt;0,方案参数!$BY$35,0)-配置与结果!$B$30)</f>
        <v>1</v>
      </c>
      <c r="AQ1187" s="7">
        <f t="shared" si="1621"/>
        <v>0</v>
      </c>
      <c r="AR1187" s="7">
        <f t="shared" si="1622"/>
        <v>0</v>
      </c>
      <c r="AS1187" s="7">
        <f t="shared" si="1623"/>
        <v>0</v>
      </c>
      <c r="AT1187" s="7">
        <f>IF(U1187&gt;0,ROUNDDOWN(AL1187*方案参数!$AF$35,0)*(1-AJ1187)+ROUNDDOWN(AM1187*方案参数!$AF$35,0)*AJ1187,0)</f>
        <v>0</v>
      </c>
      <c r="AU1187" s="7">
        <f t="shared" si="1624"/>
        <v>121671.03999999999</v>
      </c>
      <c r="AV1187" s="1">
        <f t="shared" si="1625"/>
        <v>2</v>
      </c>
      <c r="AW1187" s="1">
        <f t="shared" si="1672"/>
        <v>10</v>
      </c>
      <c r="AX1187" s="1">
        <f t="shared" si="1626"/>
        <v>2</v>
      </c>
      <c r="AY1187" s="1">
        <f>MIN(20,MAX(0,O1187+0+0-0))</f>
        <v>5</v>
      </c>
      <c r="AZ1187" s="1">
        <f t="shared" si="1627"/>
        <v>5</v>
      </c>
      <c r="BA1187" s="1">
        <f t="shared" si="1663"/>
        <v>5</v>
      </c>
      <c r="BB1187" s="1">
        <f t="shared" si="1671"/>
        <v>20</v>
      </c>
      <c r="BC1187" s="1">
        <f t="shared" si="1669"/>
        <v>3</v>
      </c>
      <c r="BD1187" s="1">
        <f t="shared" si="1650"/>
        <v>0</v>
      </c>
      <c r="BE1187" s="1">
        <f>MAX(0,U1187-IF(AF1187&gt;0,1,0))+1</f>
        <v>1</v>
      </c>
      <c r="BF1187" s="1">
        <f t="shared" si="1673"/>
        <v>4</v>
      </c>
      <c r="BG1187" s="1">
        <f t="shared" si="1660"/>
        <v>1</v>
      </c>
      <c r="BH1187" s="1">
        <f t="shared" si="1644"/>
        <v>1</v>
      </c>
      <c r="BI1187" s="1">
        <f t="shared" si="1661"/>
        <v>1</v>
      </c>
      <c r="BJ1187" s="1">
        <f t="shared" si="1664"/>
        <v>1</v>
      </c>
      <c r="BK1187" s="1">
        <f t="shared" si="1665"/>
        <v>1</v>
      </c>
      <c r="BL1187" s="1">
        <f t="shared" si="1670"/>
        <v>1</v>
      </c>
      <c r="BM1187" s="1">
        <f t="shared" si="1668"/>
        <v>1</v>
      </c>
      <c r="BN1187" s="1">
        <f t="shared" si="1645"/>
        <v>1</v>
      </c>
      <c r="BO1187" s="1">
        <f t="shared" si="1646"/>
        <v>1</v>
      </c>
    </row>
    <row r="1188" spans="1:67" ht="30.95" customHeight="1">
      <c r="A1188" s="1">
        <f>32</f>
        <v>32</v>
      </c>
      <c r="B1188" s="1">
        <f>固定流程!A36</f>
        <v>31</v>
      </c>
      <c r="C1188" s="1">
        <f>35</f>
        <v>35</v>
      </c>
      <c r="D1188" s="1">
        <f>2</f>
        <v>2</v>
      </c>
      <c r="E1188" s="1">
        <f>固定流程!C36</f>
        <v>3</v>
      </c>
      <c r="F1188" s="1">
        <f>固定流程!G36</f>
        <v>1</v>
      </c>
      <c r="G1188" s="1" t="str">
        <f>固定流程!H36</f>
        <v>LILYA_THIRD</v>
      </c>
      <c r="H1188" s="1">
        <f>固定流程!F36</f>
        <v>1</v>
      </c>
      <c r="I1188" s="1">
        <f>INDEX(配置与结果!$B$15:$B$18,F1188)</f>
        <v>2296</v>
      </c>
      <c r="J1188" s="1">
        <f>INDEX(配置与结果!$D$15:$D$18,F1188)</f>
        <v>0.7</v>
      </c>
      <c r="K1188" s="1">
        <f>INDEX(配置与结果!$E$15:$E$18,F1188)</f>
        <v>2.0249999999999999</v>
      </c>
      <c r="L1188" s="1">
        <f t="shared" si="1657"/>
        <v>2</v>
      </c>
      <c r="M1188" s="1">
        <f t="shared" si="1658"/>
        <v>10</v>
      </c>
      <c r="N1188" s="1">
        <f t="shared" si="1659"/>
        <v>2</v>
      </c>
      <c r="O1188" s="1">
        <f t="shared" si="1651"/>
        <v>5</v>
      </c>
      <c r="P1188" s="1">
        <f>MIN(方案参数!$AI$35,AZ1187+0+0)</f>
        <v>5</v>
      </c>
      <c r="Q1188" s="1">
        <f t="shared" si="1629"/>
        <v>5</v>
      </c>
      <c r="R1188" s="1">
        <f t="shared" si="1630"/>
        <v>20</v>
      </c>
      <c r="S1188" s="1">
        <f t="shared" si="1631"/>
        <v>3</v>
      </c>
      <c r="T1188" s="1">
        <f t="shared" si="1666"/>
        <v>0</v>
      </c>
      <c r="U1188" s="1">
        <f t="shared" si="1633"/>
        <v>1</v>
      </c>
      <c r="V1188" s="1">
        <f t="shared" si="1634"/>
        <v>4</v>
      </c>
      <c r="W1188" s="1">
        <f t="shared" si="1635"/>
        <v>1</v>
      </c>
      <c r="X1188" s="1">
        <f t="shared" si="1636"/>
        <v>1</v>
      </c>
      <c r="Y1188" s="1">
        <f t="shared" si="1637"/>
        <v>1</v>
      </c>
      <c r="Z1188" s="1">
        <f t="shared" si="1638"/>
        <v>1</v>
      </c>
      <c r="AA1188" s="1">
        <f t="shared" si="1662"/>
        <v>1</v>
      </c>
      <c r="AB1188" s="1">
        <f t="shared" si="1640"/>
        <v>1</v>
      </c>
      <c r="AC1188" s="1">
        <f t="shared" si="1667"/>
        <v>1</v>
      </c>
      <c r="AD1188" s="1">
        <f>ROUNDDOWN(I1188*(1+IF(F1188=3,0.05+方案参数!$Y$35+AA1188*0.12,IF(F1188=4,方案参数!$BZ$35*方案参数!$AS$35,0)))+IF(AND(X1188=1,F1188&lt;&gt;3),方案参数!$CC$35,0)+AC1188*方案参数!$CB$35,0)</f>
        <v>3034</v>
      </c>
      <c r="AE1188" s="1">
        <f>IF(OR(F1188=1,F1188=4),配置与结果!$B$24,配置与结果!$B$25)*MAX(0,1-INDEX(配置与结果!$I$15:$I$18,F1188))</f>
        <v>1200</v>
      </c>
      <c r="AF1188" s="1">
        <f>方案参数!$BM$35</f>
        <v>20</v>
      </c>
      <c r="AG1188" s="1">
        <f>MAX(配置与结果!$B$32,1+INDEX(配置与结果!$F$15:$F$18,F1188)+0.08+方案参数!$CD$35+Q1188*方案参数!$W$35+Y1188*(方案参数!$AN$35+MIN(方案参数!$AO$35,P1188*0.03))+AB1188*方案参数!$BZ$35*0.025-配置与结果!$B$28+方案参数!$AE$35)</f>
        <v>2.6150000000000002</v>
      </c>
      <c r="AH1188" s="1">
        <f>MAX(0,1+V1188*方案参数!$U$35+7*方案参数!$V$35+方案参数!$AE$35-配置与结果!$B$29)</f>
        <v>2.02</v>
      </c>
      <c r="AI1188" s="1">
        <f>IF(OR(INDEX(配置与结果!$K$15:$K$18,F1188)=1,G1188="RHI_BERRY"),1+配置与结果!$B$33+P1188*方案参数!$AH$35,1)</f>
        <v>1</v>
      </c>
      <c r="AJ1188" s="1">
        <f>MIN(1,MAX(0,J1188+方案参数!$AB$35-配置与结果!$B$27))</f>
        <v>1</v>
      </c>
      <c r="AK1188" s="1">
        <f>MAX(1,K1188+IF(F1188=2,0.15+方案参数!$CH$35,0)+BN1188*方案参数!$X$35+R1188*方案参数!$AA$35+方案参数!$BQ$35-配置与结果!$B$26+Z1188*(方案参数!$AP$35+MIN(方案参数!$AQ$35,P1188*0.03)))</f>
        <v>2.9650000000000003</v>
      </c>
      <c r="AL1188" s="7">
        <f>ROUNDDOWN(MAX(AD1188*配置与结果!$B$31,AD1188-AE1188)*AF1188*AG1188*AH1188*AI1188,0)</f>
        <v>193754</v>
      </c>
      <c r="AM1188" s="7">
        <f>ROUNDDOWN(MAX(AD1188*配置与结果!$B$31,AD1188-AE1188)*AF1188*AG1188*AH1188*AI1188*AK1188,0)</f>
        <v>574482</v>
      </c>
      <c r="AN1188" s="7">
        <f t="shared" si="1620"/>
        <v>574482</v>
      </c>
      <c r="AO1188" s="7">
        <f>0</f>
        <v>0</v>
      </c>
      <c r="AP1188" s="7">
        <f>MAX(0,1+INDEX(配置与结果!$J$15:$J$18,F1188)+IF(T1188&gt;0,方案参数!$BY$35,0)-配置与结果!$B$30)</f>
        <v>1</v>
      </c>
      <c r="AQ1188" s="7">
        <f t="shared" si="1621"/>
        <v>0</v>
      </c>
      <c r="AR1188" s="7">
        <f t="shared" si="1622"/>
        <v>0</v>
      </c>
      <c r="AS1188" s="7">
        <f t="shared" si="1623"/>
        <v>0</v>
      </c>
      <c r="AT1188" s="7">
        <f>IF(U1188&gt;0,ROUNDDOWN(AL1188*方案参数!$AF$35,0)*(1-AJ1188)+ROUNDDOWN(AM1188*方案参数!$AF$35,0)*AJ1188,0)</f>
        <v>229792</v>
      </c>
      <c r="AU1188" s="7">
        <f t="shared" si="1624"/>
        <v>804274</v>
      </c>
      <c r="AV1188" s="1">
        <f t="shared" si="1625"/>
        <v>2</v>
      </c>
      <c r="AW1188" s="1">
        <f t="shared" si="1672"/>
        <v>10</v>
      </c>
      <c r="AX1188" s="1">
        <f t="shared" si="1626"/>
        <v>2</v>
      </c>
      <c r="AY1188" s="1">
        <f>MIN(20,MAX(0,O1188+0+1-0))</f>
        <v>6</v>
      </c>
      <c r="AZ1188" s="1">
        <f t="shared" si="1627"/>
        <v>5</v>
      </c>
      <c r="BA1188" s="1">
        <f t="shared" si="1663"/>
        <v>5</v>
      </c>
      <c r="BB1188" s="1">
        <f t="shared" si="1671"/>
        <v>20</v>
      </c>
      <c r="BC1188" s="1">
        <f t="shared" si="1669"/>
        <v>3</v>
      </c>
      <c r="BD1188" s="1">
        <f t="shared" si="1650"/>
        <v>0</v>
      </c>
      <c r="BE1188" s="1">
        <f>MAX(0,U1188-IF(AF1188&gt;0,1,0))+0</f>
        <v>0</v>
      </c>
      <c r="BF1188" s="1">
        <f t="shared" si="1673"/>
        <v>4</v>
      </c>
      <c r="BG1188" s="1">
        <f t="shared" si="1660"/>
        <v>1</v>
      </c>
      <c r="BH1188" s="1">
        <f t="shared" si="1644"/>
        <v>1</v>
      </c>
      <c r="BI1188" s="1">
        <f t="shared" si="1661"/>
        <v>1</v>
      </c>
      <c r="BJ1188" s="1">
        <f t="shared" si="1664"/>
        <v>1</v>
      </c>
      <c r="BK1188" s="1">
        <f t="shared" si="1665"/>
        <v>1</v>
      </c>
      <c r="BL1188" s="1">
        <f t="shared" si="1670"/>
        <v>1</v>
      </c>
      <c r="BM1188" s="1">
        <f t="shared" si="1668"/>
        <v>1</v>
      </c>
      <c r="BN1188" s="1">
        <f t="shared" si="1645"/>
        <v>1</v>
      </c>
      <c r="BO1188" s="1">
        <f t="shared" si="1646"/>
        <v>1</v>
      </c>
    </row>
    <row r="1189" spans="1:67" ht="30.95" customHeight="1">
      <c r="A1189" s="1">
        <f>32</f>
        <v>32</v>
      </c>
      <c r="B1189" s="1">
        <f>固定流程!A37</f>
        <v>32</v>
      </c>
      <c r="C1189" s="1">
        <f>35</f>
        <v>35</v>
      </c>
      <c r="D1189" s="1">
        <f>2</f>
        <v>2</v>
      </c>
      <c r="E1189" s="1">
        <f>固定流程!C37</f>
        <v>3</v>
      </c>
      <c r="F1189" s="1">
        <f>固定流程!G37</f>
        <v>1</v>
      </c>
      <c r="G1189" s="1" t="str">
        <f>固定流程!H37</f>
        <v>LILYA_WEAK</v>
      </c>
      <c r="H1189" s="1">
        <f>固定流程!F37</f>
        <v>1</v>
      </c>
      <c r="I1189" s="1">
        <f>INDEX(配置与结果!$B$15:$B$18,F1189)</f>
        <v>2296</v>
      </c>
      <c r="J1189" s="1">
        <f>INDEX(配置与结果!$D$15:$D$18,F1189)</f>
        <v>0.7</v>
      </c>
      <c r="K1189" s="1">
        <f>INDEX(配置与结果!$E$15:$E$18,F1189)</f>
        <v>2.0249999999999999</v>
      </c>
      <c r="L1189" s="1">
        <f t="shared" si="1657"/>
        <v>2</v>
      </c>
      <c r="M1189" s="1">
        <f t="shared" si="1658"/>
        <v>10</v>
      </c>
      <c r="N1189" s="1">
        <f t="shared" si="1659"/>
        <v>2</v>
      </c>
      <c r="O1189" s="1">
        <f t="shared" si="1651"/>
        <v>6</v>
      </c>
      <c r="P1189" s="1">
        <f>MIN(方案参数!$AI$35,AZ1188+0+0)</f>
        <v>5</v>
      </c>
      <c r="Q1189" s="1">
        <f t="shared" si="1629"/>
        <v>5</v>
      </c>
      <c r="R1189" s="1">
        <f t="shared" si="1630"/>
        <v>20</v>
      </c>
      <c r="S1189" s="1">
        <f t="shared" si="1631"/>
        <v>3</v>
      </c>
      <c r="T1189" s="1">
        <f t="shared" si="1666"/>
        <v>0</v>
      </c>
      <c r="U1189" s="1">
        <f t="shared" si="1633"/>
        <v>0</v>
      </c>
      <c r="V1189" s="1">
        <f t="shared" si="1634"/>
        <v>4</v>
      </c>
      <c r="W1189" s="1">
        <f t="shared" si="1635"/>
        <v>1</v>
      </c>
      <c r="X1189" s="1">
        <f t="shared" si="1636"/>
        <v>1</v>
      </c>
      <c r="Y1189" s="1">
        <f t="shared" si="1637"/>
        <v>1</v>
      </c>
      <c r="Z1189" s="1">
        <f t="shared" si="1638"/>
        <v>1</v>
      </c>
      <c r="AA1189" s="1">
        <f t="shared" si="1662"/>
        <v>1</v>
      </c>
      <c r="AB1189" s="1">
        <f t="shared" si="1640"/>
        <v>1</v>
      </c>
      <c r="AC1189" s="1">
        <f t="shared" si="1667"/>
        <v>1</v>
      </c>
      <c r="AD1189" s="1">
        <f>ROUNDDOWN(I1189*(1+IF(F1189=3,0.05+方案参数!$Y$35+AA1189*0.12,IF(F1189=4,方案参数!$BZ$35*方案参数!$AS$35,0)))+IF(AND(X1189=1,F1189&lt;&gt;3),方案参数!$CC$35,0)+AC1189*方案参数!$CB$35,0)</f>
        <v>3034</v>
      </c>
      <c r="AE1189" s="1">
        <f>IF(OR(F1189=1,F1189=4),配置与结果!$B$24,配置与结果!$B$25)*MAX(0,1-INDEX(配置与结果!$I$15:$I$18,F1189))</f>
        <v>1200</v>
      </c>
      <c r="AF1189" s="1">
        <f>方案参数!$BL$35</f>
        <v>9</v>
      </c>
      <c r="AG1189" s="1">
        <f>MAX(配置与结果!$B$32,1+INDEX(配置与结果!$F$15:$F$18,F1189)+0.08+方案参数!$CD$35+Q1189*方案参数!$W$35+Y1189*(方案参数!$AN$35+MIN(方案参数!$AO$35,P1189*0.03))+AB1189*方案参数!$BZ$35*0.025-配置与结果!$B$28+方案参数!$AE$35)</f>
        <v>2.6150000000000002</v>
      </c>
      <c r="AH1189" s="1">
        <f>MAX(0,1+V1189*方案参数!$U$35+8*方案参数!$V$35+方案参数!$AE$35-配置与结果!$B$29)</f>
        <v>2.08</v>
      </c>
      <c r="AI1189" s="1">
        <f>IF(OR(INDEX(配置与结果!$K$15:$K$18,F1189)=1,G1189="RHI_BERRY"),1+配置与结果!$B$33+P1189*方案参数!$AH$35,1)</f>
        <v>1</v>
      </c>
      <c r="AJ1189" s="1">
        <f>MIN(1,MAX(0,J1189+方案参数!$AB$35-配置与结果!$B$27))</f>
        <v>1</v>
      </c>
      <c r="AK1189" s="1">
        <f>MAX(1,K1189+IF(F1189=2,0.15+方案参数!$CH$35,0)+BN1189*方案参数!$X$35+R1189*方案参数!$AA$35+方案参数!$BP$35-配置与结果!$B$26+Z1189*(方案参数!$AP$35+MIN(方案参数!$AQ$35,P1189*0.03)))</f>
        <v>2.7650000000000001</v>
      </c>
      <c r="AL1189" s="7">
        <f>ROUNDDOWN(MAX(AD1189*配置与结果!$B$31,AD1189-AE1189)*AF1189*AG1189*AH1189*AI1189,0)</f>
        <v>89779</v>
      </c>
      <c r="AM1189" s="7">
        <f>ROUNDDOWN(MAX(AD1189*配置与结果!$B$31,AD1189-AE1189)*AF1189*AG1189*AH1189*AI1189*AK1189,0)</f>
        <v>248240</v>
      </c>
      <c r="AN1189" s="7">
        <f t="shared" si="1620"/>
        <v>248240</v>
      </c>
      <c r="AO1189" s="7">
        <f>0</f>
        <v>0</v>
      </c>
      <c r="AP1189" s="7">
        <f>MAX(0,1+INDEX(配置与结果!$J$15:$J$18,F1189)+IF(T1189&gt;0,方案参数!$BY$35,0)-配置与结果!$B$30)</f>
        <v>1</v>
      </c>
      <c r="AQ1189" s="7">
        <f t="shared" si="1621"/>
        <v>0</v>
      </c>
      <c r="AR1189" s="7">
        <f t="shared" si="1622"/>
        <v>0</v>
      </c>
      <c r="AS1189" s="7">
        <f t="shared" si="1623"/>
        <v>0</v>
      </c>
      <c r="AT1189" s="7">
        <f>IF(U1189&gt;0,ROUNDDOWN(AL1189*方案参数!$AF$35,0)*(1-AJ1189)+ROUNDDOWN(AM1189*方案参数!$AF$35,0)*AJ1189,0)</f>
        <v>0</v>
      </c>
      <c r="AU1189" s="7">
        <f t="shared" si="1624"/>
        <v>248240</v>
      </c>
      <c r="AV1189" s="1">
        <f t="shared" si="1625"/>
        <v>2</v>
      </c>
      <c r="AW1189" s="1">
        <f t="shared" si="1672"/>
        <v>10</v>
      </c>
      <c r="AX1189" s="1">
        <f t="shared" si="1626"/>
        <v>2</v>
      </c>
      <c r="AY1189" s="1">
        <f>MIN(20,MAX(0,O1189+0+1-0))</f>
        <v>7</v>
      </c>
      <c r="AZ1189" s="1">
        <f t="shared" si="1627"/>
        <v>5</v>
      </c>
      <c r="BA1189" s="1">
        <f t="shared" si="1663"/>
        <v>5</v>
      </c>
      <c r="BB1189" s="1">
        <f t="shared" si="1671"/>
        <v>20</v>
      </c>
      <c r="BC1189" s="1">
        <f t="shared" si="1669"/>
        <v>3</v>
      </c>
      <c r="BD1189" s="1">
        <f t="shared" si="1650"/>
        <v>0</v>
      </c>
      <c r="BE1189" s="1">
        <f>MAX(0,U1189-IF(AF1189&gt;0,1,0))+0</f>
        <v>0</v>
      </c>
      <c r="BF1189" s="1">
        <f t="shared" si="1673"/>
        <v>4</v>
      </c>
      <c r="BG1189" s="1">
        <f t="shared" si="1660"/>
        <v>1</v>
      </c>
      <c r="BH1189" s="1">
        <f t="shared" si="1644"/>
        <v>1</v>
      </c>
      <c r="BI1189" s="1">
        <f t="shared" si="1661"/>
        <v>1</v>
      </c>
      <c r="BJ1189" s="1">
        <f t="shared" si="1664"/>
        <v>1</v>
      </c>
      <c r="BK1189" s="1">
        <f t="shared" si="1665"/>
        <v>1</v>
      </c>
      <c r="BL1189" s="1">
        <f t="shared" si="1670"/>
        <v>1</v>
      </c>
      <c r="BM1189" s="1">
        <f t="shared" si="1668"/>
        <v>1</v>
      </c>
      <c r="BN1189" s="1">
        <f t="shared" si="1645"/>
        <v>1</v>
      </c>
      <c r="BO1189" s="1">
        <f t="shared" si="1646"/>
        <v>1</v>
      </c>
    </row>
    <row r="1190" spans="1:67" ht="30.95" customHeight="1">
      <c r="A1190" s="1">
        <f>32</f>
        <v>32</v>
      </c>
      <c r="B1190" s="1">
        <f>固定流程!A38</f>
        <v>33</v>
      </c>
      <c r="C1190" s="1">
        <f>35</f>
        <v>35</v>
      </c>
      <c r="D1190" s="1">
        <f>2</f>
        <v>2</v>
      </c>
      <c r="E1190" s="1">
        <f>固定流程!C38</f>
        <v>3</v>
      </c>
      <c r="F1190" s="1">
        <f>固定流程!G38</f>
        <v>1</v>
      </c>
      <c r="G1190" s="1" t="str">
        <f>固定流程!H38</f>
        <v>LILYA_WEAK</v>
      </c>
      <c r="H1190" s="1">
        <f>固定流程!F38</f>
        <v>1</v>
      </c>
      <c r="I1190" s="1">
        <f>INDEX(配置与结果!$B$15:$B$18,F1190)</f>
        <v>2296</v>
      </c>
      <c r="J1190" s="1">
        <f>INDEX(配置与结果!$D$15:$D$18,F1190)</f>
        <v>0.7</v>
      </c>
      <c r="K1190" s="1">
        <f>INDEX(配置与结果!$E$15:$E$18,F1190)</f>
        <v>2.0249999999999999</v>
      </c>
      <c r="L1190" s="1">
        <f t="shared" si="1657"/>
        <v>2</v>
      </c>
      <c r="M1190" s="1">
        <f t="shared" si="1658"/>
        <v>10</v>
      </c>
      <c r="N1190" s="1">
        <f t="shared" si="1659"/>
        <v>2</v>
      </c>
      <c r="O1190" s="1">
        <f t="shared" si="1651"/>
        <v>7</v>
      </c>
      <c r="P1190" s="1">
        <f>MIN(方案参数!$AI$35,AZ1189+0+0)</f>
        <v>5</v>
      </c>
      <c r="Q1190" s="1">
        <f t="shared" si="1629"/>
        <v>5</v>
      </c>
      <c r="R1190" s="1">
        <f t="shared" si="1630"/>
        <v>20</v>
      </c>
      <c r="S1190" s="1">
        <f t="shared" si="1631"/>
        <v>3</v>
      </c>
      <c r="T1190" s="1">
        <f t="shared" si="1666"/>
        <v>0</v>
      </c>
      <c r="U1190" s="1">
        <f t="shared" si="1633"/>
        <v>0</v>
      </c>
      <c r="V1190" s="1">
        <f t="shared" si="1634"/>
        <v>4</v>
      </c>
      <c r="W1190" s="1">
        <f t="shared" si="1635"/>
        <v>1</v>
      </c>
      <c r="X1190" s="1">
        <f t="shared" si="1636"/>
        <v>1</v>
      </c>
      <c r="Y1190" s="1">
        <f t="shared" si="1637"/>
        <v>1</v>
      </c>
      <c r="Z1190" s="1">
        <f t="shared" si="1638"/>
        <v>1</v>
      </c>
      <c r="AA1190" s="1">
        <f t="shared" si="1662"/>
        <v>1</v>
      </c>
      <c r="AB1190" s="1">
        <f t="shared" si="1640"/>
        <v>1</v>
      </c>
      <c r="AC1190" s="1">
        <f t="shared" si="1667"/>
        <v>1</v>
      </c>
      <c r="AD1190" s="1">
        <f>ROUNDDOWN(I1190*(1+IF(F1190=3,0.05+方案参数!$Y$35+AA1190*0.12,IF(F1190=4,方案参数!$BZ$35*方案参数!$AS$35,0)))+IF(AND(X1190=1,F1190&lt;&gt;3),方案参数!$CC$35,0)+AC1190*方案参数!$CB$35,0)</f>
        <v>3034</v>
      </c>
      <c r="AE1190" s="1">
        <f>IF(OR(F1190=1,F1190=4),配置与结果!$B$24,配置与结果!$B$25)*MAX(0,1-INDEX(配置与结果!$I$15:$I$18,F1190))</f>
        <v>1200</v>
      </c>
      <c r="AF1190" s="1">
        <f>方案参数!$BL$35</f>
        <v>9</v>
      </c>
      <c r="AG1190" s="1">
        <f>MAX(配置与结果!$B$32,1+INDEX(配置与结果!$F$15:$F$18,F1190)+0.08+方案参数!$CD$35+Q1190*方案参数!$W$35+Y1190*(方案参数!$AN$35+MIN(方案参数!$AO$35,P1190*0.03))+AB1190*方案参数!$BZ$35*0.025-配置与结果!$B$28+方案参数!$AE$35)</f>
        <v>2.6150000000000002</v>
      </c>
      <c r="AH1190" s="1">
        <f>MAX(0,1+V1190*方案参数!$U$35+9*方案参数!$V$35+方案参数!$AE$35-配置与结果!$B$29)</f>
        <v>2.14</v>
      </c>
      <c r="AI1190" s="1">
        <f>IF(OR(INDEX(配置与结果!$K$15:$K$18,F1190)=1,G1190="RHI_BERRY"),1+配置与结果!$B$33+P1190*方案参数!$AH$35,1)</f>
        <v>1</v>
      </c>
      <c r="AJ1190" s="1">
        <f>MIN(1,MAX(0,J1190+方案参数!$AB$35-配置与结果!$B$27))</f>
        <v>1</v>
      </c>
      <c r="AK1190" s="1">
        <f>MAX(1,K1190+IF(F1190=2,0.15+方案参数!$CH$35,0)+BN1190*方案参数!$X$35+R1190*方案参数!$AA$35+方案参数!$BP$35-配置与结果!$B$26+Z1190*(方案参数!$AP$35+MIN(方案参数!$AQ$35,P1190*0.03)))</f>
        <v>2.7650000000000001</v>
      </c>
      <c r="AL1190" s="7">
        <f>ROUNDDOWN(MAX(AD1190*配置与结果!$B$31,AD1190-AE1190)*AF1190*AG1190*AH1190*AI1190,0)</f>
        <v>92369</v>
      </c>
      <c r="AM1190" s="7">
        <f>ROUNDDOWN(MAX(AD1190*配置与结果!$B$31,AD1190-AE1190)*AF1190*AG1190*AH1190*AI1190*AK1190,0)</f>
        <v>255400</v>
      </c>
      <c r="AN1190" s="7">
        <f t="shared" si="1620"/>
        <v>255400</v>
      </c>
      <c r="AO1190" s="7">
        <f>0</f>
        <v>0</v>
      </c>
      <c r="AP1190" s="7">
        <f>MAX(0,1+INDEX(配置与结果!$J$15:$J$18,F1190)+IF(T1190&gt;0,方案参数!$BY$35,0)-配置与结果!$B$30)</f>
        <v>1</v>
      </c>
      <c r="AQ1190" s="7">
        <f t="shared" si="1621"/>
        <v>0</v>
      </c>
      <c r="AR1190" s="7">
        <f t="shared" si="1622"/>
        <v>0</v>
      </c>
      <c r="AS1190" s="7">
        <f t="shared" si="1623"/>
        <v>0</v>
      </c>
      <c r="AT1190" s="7">
        <f>IF(U1190&gt;0,ROUNDDOWN(AL1190*方案参数!$AF$35,0)*(1-AJ1190)+ROUNDDOWN(AM1190*方案参数!$AF$35,0)*AJ1190,0)</f>
        <v>0</v>
      </c>
      <c r="AU1190" s="7">
        <f t="shared" si="1624"/>
        <v>255400</v>
      </c>
      <c r="AV1190" s="1">
        <f t="shared" si="1625"/>
        <v>2</v>
      </c>
      <c r="AW1190" s="1">
        <f t="shared" si="1672"/>
        <v>10</v>
      </c>
      <c r="AX1190" s="1">
        <f t="shared" si="1626"/>
        <v>2</v>
      </c>
      <c r="AY1190" s="1">
        <f>MIN(20,MAX(0,O1190+0+1-0))</f>
        <v>8</v>
      </c>
      <c r="AZ1190" s="1">
        <f t="shared" si="1627"/>
        <v>5</v>
      </c>
      <c r="BA1190" s="1">
        <f t="shared" si="1663"/>
        <v>5</v>
      </c>
      <c r="BB1190" s="1">
        <f t="shared" si="1671"/>
        <v>20</v>
      </c>
      <c r="BC1190" s="1">
        <f t="shared" si="1669"/>
        <v>3</v>
      </c>
      <c r="BD1190" s="1">
        <f t="shared" si="1650"/>
        <v>0</v>
      </c>
      <c r="BE1190" s="1">
        <f>MAX(0,U1190-IF(AF1190&gt;0,1,0))+0</f>
        <v>0</v>
      </c>
      <c r="BF1190" s="1">
        <f t="shared" si="1673"/>
        <v>4</v>
      </c>
      <c r="BG1190" s="1">
        <f t="shared" si="1660"/>
        <v>1</v>
      </c>
      <c r="BH1190" s="1">
        <f t="shared" si="1644"/>
        <v>1</v>
      </c>
      <c r="BI1190" s="1">
        <f t="shared" si="1661"/>
        <v>1</v>
      </c>
      <c r="BJ1190" s="1">
        <f t="shared" si="1664"/>
        <v>1</v>
      </c>
      <c r="BK1190" s="1">
        <f t="shared" si="1665"/>
        <v>1</v>
      </c>
      <c r="BL1190" s="1">
        <f t="shared" si="1670"/>
        <v>1</v>
      </c>
      <c r="BM1190" s="1">
        <f t="shared" si="1668"/>
        <v>1</v>
      </c>
      <c r="BN1190" s="1">
        <f t="shared" si="1645"/>
        <v>1</v>
      </c>
      <c r="BO1190" s="1">
        <f t="shared" si="1646"/>
        <v>1</v>
      </c>
    </row>
    <row r="1191" spans="1:67" ht="30.95" customHeight="1">
      <c r="A1191" s="1">
        <f>32</f>
        <v>32</v>
      </c>
      <c r="B1191" s="1">
        <f>固定流程!A39</f>
        <v>34</v>
      </c>
      <c r="C1191" s="1">
        <f>35</f>
        <v>35</v>
      </c>
      <c r="D1191" s="1">
        <f>2</f>
        <v>2</v>
      </c>
      <c r="E1191" s="1">
        <f>固定流程!C39</f>
        <v>3</v>
      </c>
      <c r="F1191" s="1">
        <f>固定流程!G39</f>
        <v>2</v>
      </c>
      <c r="G1191" s="1" t="str">
        <f>固定流程!H39</f>
        <v>37_WEAK</v>
      </c>
      <c r="H1191" s="1">
        <f>固定流程!F39</f>
        <v>1</v>
      </c>
      <c r="I1191" s="1">
        <f>INDEX(配置与结果!$B$15:$B$18,F1191)</f>
        <v>2306</v>
      </c>
      <c r="J1191" s="1">
        <f>INDEX(配置与结果!$D$15:$D$18,F1191)</f>
        <v>0.46</v>
      </c>
      <c r="K1191" s="1">
        <f>INDEX(配置与结果!$E$15:$E$18,F1191)</f>
        <v>1.9279999999999999</v>
      </c>
      <c r="L1191" s="1">
        <f t="shared" si="1657"/>
        <v>2</v>
      </c>
      <c r="M1191" s="1">
        <f t="shared" si="1658"/>
        <v>10</v>
      </c>
      <c r="N1191" s="1">
        <f t="shared" si="1659"/>
        <v>2</v>
      </c>
      <c r="O1191" s="1">
        <f t="shared" si="1651"/>
        <v>8</v>
      </c>
      <c r="P1191" s="1">
        <f>MIN(方案参数!$AI$35,AZ1190+0+0)</f>
        <v>5</v>
      </c>
      <c r="Q1191" s="1">
        <f t="shared" si="1629"/>
        <v>5</v>
      </c>
      <c r="R1191" s="1">
        <f t="shared" si="1630"/>
        <v>20</v>
      </c>
      <c r="S1191" s="1">
        <f t="shared" si="1631"/>
        <v>3</v>
      </c>
      <c r="T1191" s="1">
        <f t="shared" si="1666"/>
        <v>0</v>
      </c>
      <c r="U1191" s="1">
        <f t="shared" si="1633"/>
        <v>0</v>
      </c>
      <c r="V1191" s="1">
        <f t="shared" si="1634"/>
        <v>4</v>
      </c>
      <c r="W1191" s="1">
        <f t="shared" si="1635"/>
        <v>1</v>
      </c>
      <c r="X1191" s="1">
        <f t="shared" si="1636"/>
        <v>1</v>
      </c>
      <c r="Y1191" s="1">
        <f t="shared" si="1637"/>
        <v>1</v>
      </c>
      <c r="Z1191" s="1">
        <f t="shared" si="1638"/>
        <v>1</v>
      </c>
      <c r="AA1191" s="1">
        <f t="shared" si="1662"/>
        <v>1</v>
      </c>
      <c r="AB1191" s="1">
        <f t="shared" si="1640"/>
        <v>1</v>
      </c>
      <c r="AC1191" s="1">
        <f t="shared" si="1667"/>
        <v>1</v>
      </c>
      <c r="AD1191" s="1">
        <f>ROUNDDOWN(I1191*(1+IF(F1191=3,0.05+方案参数!$Y$35+AA1191*0.12,IF(F1191=4,方案参数!$BZ$35*方案参数!$AS$35,0)))+IF(AND(X1191=1,F1191&lt;&gt;3),方案参数!$CC$35,0)+AC1191*方案参数!$CB$35,0)</f>
        <v>3044</v>
      </c>
      <c r="AE1191" s="1">
        <f>IF(OR(F1191=1,F1191=4),配置与结果!$B$24,配置与结果!$B$25)*MAX(0,1-INDEX(配置与结果!$I$15:$I$18,F1191))</f>
        <v>1000</v>
      </c>
      <c r="AF1191" s="1">
        <f>方案参数!$CE$35</f>
        <v>8</v>
      </c>
      <c r="AG1191" s="1">
        <f>MAX(配置与结果!$B$32,1+INDEX(配置与结果!$F$15:$F$18,F1191)+0+Q1191*方案参数!$W$35+Y1191*(方案参数!$AN$35+MIN(方案参数!$AO$35,P1191*0.03))+AB1191*方案参数!$BZ$35*0.025-配置与结果!$B$28+方案参数!$AE$35)</f>
        <v>2.2800000000000002</v>
      </c>
      <c r="AH1191" s="1">
        <f>MAX(0,1+V1191*方案参数!$U$35+方案参数!$AE$35-配置与结果!$B$29)</f>
        <v>1.6</v>
      </c>
      <c r="AI1191" s="1">
        <f>IF(OR(INDEX(配置与结果!$K$15:$K$18,F1191)=1,G1191="RHI_BERRY"),1+配置与结果!$B$33+P1191*方案参数!$AH$35,1)</f>
        <v>1</v>
      </c>
      <c r="AJ1191" s="1">
        <f>MIN(1,MAX(0,J1191+方案参数!$AB$35-配置与结果!$B$27))</f>
        <v>0.76</v>
      </c>
      <c r="AK1191" s="1">
        <f>MAX(1,K1191+IF(F1191=2,0.15+方案参数!$CH$35,0)+BN1191*方案参数!$X$35+R1191*方案参数!$AA$35+0-配置与结果!$B$26+Z1191*(方案参数!$AP$35+MIN(方案参数!$AQ$35,P1191*0.03)))</f>
        <v>2.3679999999999999</v>
      </c>
      <c r="AL1191" s="7">
        <f>ROUNDDOWN(MAX(AD1191*配置与结果!$B$31,AD1191-AE1191)*AF1191*AG1191*AH1191*AI1191,0)</f>
        <v>59652</v>
      </c>
      <c r="AM1191" s="7">
        <f>ROUNDDOWN(MAX(AD1191*配置与结果!$B$31,AD1191-AE1191)*AF1191*AG1191*AH1191*AI1191*AK1191,0)</f>
        <v>141256</v>
      </c>
      <c r="AN1191" s="7">
        <f t="shared" si="1620"/>
        <v>121671.03999999999</v>
      </c>
      <c r="AO1191" s="7">
        <f>0</f>
        <v>0</v>
      </c>
      <c r="AP1191" s="7">
        <f>MAX(0,1+INDEX(配置与结果!$J$15:$J$18,F1191)+IF(T1191&gt;0,方案参数!$BY$35,0)-配置与结果!$B$30)</f>
        <v>1</v>
      </c>
      <c r="AQ1191" s="7">
        <f t="shared" si="1621"/>
        <v>0</v>
      </c>
      <c r="AR1191" s="7">
        <f t="shared" si="1622"/>
        <v>0</v>
      </c>
      <c r="AS1191" s="7">
        <f t="shared" si="1623"/>
        <v>0</v>
      </c>
      <c r="AT1191" s="7">
        <f>IF(U1191&gt;0,ROUNDDOWN(AL1191*方案参数!$AF$35,0)*(1-AJ1191)+ROUNDDOWN(AM1191*方案参数!$AF$35,0)*AJ1191,0)</f>
        <v>0</v>
      </c>
      <c r="AU1191" s="7">
        <f t="shared" si="1624"/>
        <v>121671.03999999999</v>
      </c>
      <c r="AV1191" s="1">
        <f t="shared" si="1625"/>
        <v>2</v>
      </c>
      <c r="AW1191" s="1">
        <f t="shared" si="1672"/>
        <v>10</v>
      </c>
      <c r="AX1191" s="1">
        <f t="shared" si="1626"/>
        <v>2</v>
      </c>
      <c r="AY1191" s="1">
        <f>MIN(20,MAX(0,O1191+0+0-0))</f>
        <v>8</v>
      </c>
      <c r="AZ1191" s="1">
        <f t="shared" si="1627"/>
        <v>5</v>
      </c>
      <c r="BA1191" s="1">
        <f t="shared" si="1663"/>
        <v>5</v>
      </c>
      <c r="BB1191" s="1">
        <f t="shared" si="1671"/>
        <v>20</v>
      </c>
      <c r="BC1191" s="1">
        <f t="shared" si="1669"/>
        <v>3</v>
      </c>
      <c r="BD1191" s="1">
        <f t="shared" si="1650"/>
        <v>0</v>
      </c>
      <c r="BE1191" s="1">
        <f>MAX(0,U1191-IF(AF1191&gt;0,1,0))+1</f>
        <v>1</v>
      </c>
      <c r="BF1191" s="1">
        <f t="shared" si="1673"/>
        <v>4</v>
      </c>
      <c r="BG1191" s="1">
        <f t="shared" si="1660"/>
        <v>1</v>
      </c>
      <c r="BH1191" s="1">
        <f t="shared" si="1644"/>
        <v>1</v>
      </c>
      <c r="BI1191" s="1">
        <f t="shared" si="1661"/>
        <v>1</v>
      </c>
      <c r="BJ1191" s="1">
        <f t="shared" si="1664"/>
        <v>1</v>
      </c>
      <c r="BK1191" s="1">
        <f t="shared" si="1665"/>
        <v>1</v>
      </c>
      <c r="BL1191" s="1">
        <f t="shared" si="1670"/>
        <v>1</v>
      </c>
      <c r="BM1191" s="1">
        <f t="shared" si="1668"/>
        <v>1</v>
      </c>
      <c r="BN1191" s="1">
        <f t="shared" si="1645"/>
        <v>1</v>
      </c>
      <c r="BO1191" s="1">
        <f t="shared" si="1646"/>
        <v>1</v>
      </c>
    </row>
    <row r="1192" spans="1:67" ht="30.95" customHeight="1">
      <c r="A1192" s="1">
        <f>32</f>
        <v>32</v>
      </c>
      <c r="B1192" s="1">
        <f>固定流程!A40</f>
        <v>35</v>
      </c>
      <c r="C1192" s="1">
        <f>35</f>
        <v>35</v>
      </c>
      <c r="D1192" s="1">
        <f>2</f>
        <v>2</v>
      </c>
      <c r="E1192" s="1">
        <f>固定流程!C40</f>
        <v>3</v>
      </c>
      <c r="F1192" s="1">
        <f>固定流程!G40</f>
        <v>2</v>
      </c>
      <c r="G1192" s="1" t="str">
        <f>固定流程!H40</f>
        <v>37_WEAK</v>
      </c>
      <c r="H1192" s="1">
        <f>固定流程!F40</f>
        <v>1</v>
      </c>
      <c r="I1192" s="1">
        <f>INDEX(配置与结果!$B$15:$B$18,F1192)</f>
        <v>2306</v>
      </c>
      <c r="J1192" s="1">
        <f>INDEX(配置与结果!$D$15:$D$18,F1192)</f>
        <v>0.46</v>
      </c>
      <c r="K1192" s="1">
        <f>INDEX(配置与结果!$E$15:$E$18,F1192)</f>
        <v>1.9279999999999999</v>
      </c>
      <c r="L1192" s="1">
        <f t="shared" si="1657"/>
        <v>2</v>
      </c>
      <c r="M1192" s="1">
        <f t="shared" si="1658"/>
        <v>10</v>
      </c>
      <c r="N1192" s="1">
        <f t="shared" si="1659"/>
        <v>2</v>
      </c>
      <c r="O1192" s="1">
        <f t="shared" si="1651"/>
        <v>8</v>
      </c>
      <c r="P1192" s="1">
        <f>MIN(方案参数!$AI$35,AZ1191+0+0)</f>
        <v>5</v>
      </c>
      <c r="Q1192" s="1">
        <f t="shared" si="1629"/>
        <v>5</v>
      </c>
      <c r="R1192" s="1">
        <f t="shared" si="1630"/>
        <v>20</v>
      </c>
      <c r="S1192" s="1">
        <f t="shared" si="1631"/>
        <v>3</v>
      </c>
      <c r="T1192" s="1">
        <f t="shared" si="1666"/>
        <v>0</v>
      </c>
      <c r="U1192" s="1">
        <f t="shared" si="1633"/>
        <v>1</v>
      </c>
      <c r="V1192" s="1">
        <f t="shared" si="1634"/>
        <v>4</v>
      </c>
      <c r="W1192" s="1">
        <f t="shared" si="1635"/>
        <v>1</v>
      </c>
      <c r="X1192" s="1">
        <f t="shared" si="1636"/>
        <v>1</v>
      </c>
      <c r="Y1192" s="1">
        <f t="shared" si="1637"/>
        <v>1</v>
      </c>
      <c r="Z1192" s="1">
        <f t="shared" si="1638"/>
        <v>1</v>
      </c>
      <c r="AA1192" s="1">
        <f t="shared" si="1662"/>
        <v>1</v>
      </c>
      <c r="AB1192" s="1">
        <f t="shared" si="1640"/>
        <v>1</v>
      </c>
      <c r="AC1192" s="1">
        <f t="shared" si="1667"/>
        <v>1</v>
      </c>
      <c r="AD1192" s="1">
        <f>ROUNDDOWN(I1192*(1+IF(F1192=3,0.05+方案参数!$Y$35+AA1192*0.12,IF(F1192=4,方案参数!$BZ$35*方案参数!$AS$35,0)))+IF(AND(X1192=1,F1192&lt;&gt;3),方案参数!$CC$35,0)+AC1192*方案参数!$CB$35,0)</f>
        <v>3044</v>
      </c>
      <c r="AE1192" s="1">
        <f>IF(OR(F1192=1,F1192=4),配置与结果!$B$24,配置与结果!$B$25)*MAX(0,1-INDEX(配置与结果!$I$15:$I$18,F1192))</f>
        <v>1000</v>
      </c>
      <c r="AF1192" s="1">
        <f>方案参数!$CE$35</f>
        <v>8</v>
      </c>
      <c r="AG1192" s="1">
        <f>MAX(配置与结果!$B$32,1+INDEX(配置与结果!$F$15:$F$18,F1192)+0+Q1192*方案参数!$W$35+Y1192*(方案参数!$AN$35+MIN(方案参数!$AO$35,P1192*0.03))+AB1192*方案参数!$BZ$35*0.025-配置与结果!$B$28+方案参数!$AE$35)</f>
        <v>2.2800000000000002</v>
      </c>
      <c r="AH1192" s="1">
        <f>MAX(0,1+V1192*方案参数!$U$35+方案参数!$AE$35-配置与结果!$B$29)</f>
        <v>1.6</v>
      </c>
      <c r="AI1192" s="1">
        <f>IF(OR(INDEX(配置与结果!$K$15:$K$18,F1192)=1,G1192="RHI_BERRY"),1+配置与结果!$B$33+P1192*方案参数!$AH$35,1)</f>
        <v>1</v>
      </c>
      <c r="AJ1192" s="1">
        <f>MIN(1,MAX(0,J1192+方案参数!$AB$35-配置与结果!$B$27))</f>
        <v>0.76</v>
      </c>
      <c r="AK1192" s="1">
        <f>MAX(1,K1192+IF(F1192=2,0.15+方案参数!$CH$35,0)+BN1192*方案参数!$X$35+R1192*方案参数!$AA$35+0-配置与结果!$B$26+Z1192*(方案参数!$AP$35+MIN(方案参数!$AQ$35,P1192*0.03)))</f>
        <v>2.3679999999999999</v>
      </c>
      <c r="AL1192" s="7">
        <f>ROUNDDOWN(MAX(AD1192*配置与结果!$B$31,AD1192-AE1192)*AF1192*AG1192*AH1192*AI1192,0)</f>
        <v>59652</v>
      </c>
      <c r="AM1192" s="7">
        <f>ROUNDDOWN(MAX(AD1192*配置与结果!$B$31,AD1192-AE1192)*AF1192*AG1192*AH1192*AI1192*AK1192,0)</f>
        <v>141256</v>
      </c>
      <c r="AN1192" s="7">
        <f t="shared" si="1620"/>
        <v>121671.03999999999</v>
      </c>
      <c r="AO1192" s="7">
        <f>0</f>
        <v>0</v>
      </c>
      <c r="AP1192" s="7">
        <f>MAX(0,1+INDEX(配置与结果!$J$15:$J$18,F1192)+IF(T1192&gt;0,方案参数!$BY$35,0)-配置与结果!$B$30)</f>
        <v>1</v>
      </c>
      <c r="AQ1192" s="7">
        <f t="shared" si="1621"/>
        <v>0</v>
      </c>
      <c r="AR1192" s="7">
        <f t="shared" si="1622"/>
        <v>0</v>
      </c>
      <c r="AS1192" s="7">
        <f t="shared" si="1623"/>
        <v>0</v>
      </c>
      <c r="AT1192" s="7">
        <f>IF(U1192&gt;0,ROUNDDOWN(AL1192*方案参数!$AF$35,0)*(1-AJ1192)+ROUNDDOWN(AM1192*方案参数!$AF$35,0)*AJ1192,0)</f>
        <v>48667.920000000006</v>
      </c>
      <c r="AU1192" s="7">
        <f t="shared" si="1624"/>
        <v>170338.96</v>
      </c>
      <c r="AV1192" s="1">
        <f t="shared" si="1625"/>
        <v>2</v>
      </c>
      <c r="AW1192" s="1">
        <f t="shared" si="1672"/>
        <v>10</v>
      </c>
      <c r="AX1192" s="1">
        <f t="shared" si="1626"/>
        <v>2</v>
      </c>
      <c r="AY1192" s="1">
        <f>MIN(20,MAX(0,O1192+0+0-0))</f>
        <v>8</v>
      </c>
      <c r="AZ1192" s="1">
        <f t="shared" si="1627"/>
        <v>5</v>
      </c>
      <c r="BA1192" s="1">
        <f t="shared" si="1663"/>
        <v>5</v>
      </c>
      <c r="BB1192" s="1">
        <f t="shared" si="1671"/>
        <v>20</v>
      </c>
      <c r="BC1192" s="1">
        <f t="shared" si="1669"/>
        <v>3</v>
      </c>
      <c r="BD1192" s="1">
        <f t="shared" si="1650"/>
        <v>0</v>
      </c>
      <c r="BE1192" s="1">
        <f>MAX(0,U1192-IF(AF1192&gt;0,1,0))+1</f>
        <v>1</v>
      </c>
      <c r="BF1192" s="1">
        <f t="shared" si="1673"/>
        <v>4</v>
      </c>
      <c r="BG1192" s="1">
        <f t="shared" si="1660"/>
        <v>1</v>
      </c>
      <c r="BH1192" s="1">
        <f t="shared" si="1644"/>
        <v>1</v>
      </c>
      <c r="BI1192" s="1">
        <f t="shared" si="1661"/>
        <v>1</v>
      </c>
      <c r="BJ1192" s="1">
        <f t="shared" si="1664"/>
        <v>1</v>
      </c>
      <c r="BK1192" s="1">
        <f t="shared" si="1665"/>
        <v>1</v>
      </c>
      <c r="BL1192" s="1">
        <f t="shared" si="1670"/>
        <v>1</v>
      </c>
      <c r="BM1192" s="1">
        <f t="shared" si="1668"/>
        <v>1</v>
      </c>
      <c r="BN1192" s="1">
        <f t="shared" si="1645"/>
        <v>1</v>
      </c>
      <c r="BO1192" s="1">
        <f t="shared" si="1646"/>
        <v>1</v>
      </c>
    </row>
    <row r="1193" spans="1:67" ht="30.95" customHeight="1">
      <c r="A1193" s="1">
        <f>32</f>
        <v>32</v>
      </c>
      <c r="B1193" s="1">
        <f>固定流程!A41</f>
        <v>36</v>
      </c>
      <c r="C1193" s="1">
        <f>35</f>
        <v>35</v>
      </c>
      <c r="D1193" s="1">
        <f>2</f>
        <v>2</v>
      </c>
      <c r="E1193" s="1">
        <f>固定流程!C41</f>
        <v>3</v>
      </c>
      <c r="F1193" s="1">
        <f>固定流程!G41</f>
        <v>1</v>
      </c>
      <c r="G1193" s="1" t="str">
        <f>固定流程!H41</f>
        <v>LILYA_FINISH</v>
      </c>
      <c r="H1193" s="1">
        <f>固定流程!F41</f>
        <v>1</v>
      </c>
      <c r="I1193" s="1">
        <f>INDEX(配置与结果!$B$15:$B$18,F1193)</f>
        <v>2296</v>
      </c>
      <c r="J1193" s="1">
        <f>INDEX(配置与结果!$D$15:$D$18,F1193)</f>
        <v>0.7</v>
      </c>
      <c r="K1193" s="1">
        <f>INDEX(配置与结果!$E$15:$E$18,F1193)</f>
        <v>2.0249999999999999</v>
      </c>
      <c r="L1193" s="1">
        <f t="shared" si="1657"/>
        <v>2</v>
      </c>
      <c r="M1193" s="1">
        <f t="shared" si="1658"/>
        <v>10</v>
      </c>
      <c r="N1193" s="1">
        <f t="shared" si="1659"/>
        <v>2</v>
      </c>
      <c r="O1193" s="1">
        <f t="shared" si="1651"/>
        <v>8</v>
      </c>
      <c r="P1193" s="1">
        <f>MIN(方案参数!$AI$35,AZ1192+0+0)</f>
        <v>5</v>
      </c>
      <c r="Q1193" s="1">
        <f t="shared" si="1629"/>
        <v>5</v>
      </c>
      <c r="R1193" s="1">
        <f t="shared" si="1630"/>
        <v>20</v>
      </c>
      <c r="S1193" s="1">
        <f t="shared" si="1631"/>
        <v>3</v>
      </c>
      <c r="T1193" s="1">
        <f t="shared" si="1666"/>
        <v>0</v>
      </c>
      <c r="U1193" s="1">
        <f t="shared" si="1633"/>
        <v>1</v>
      </c>
      <c r="V1193" s="1">
        <f t="shared" si="1634"/>
        <v>4</v>
      </c>
      <c r="W1193" s="1">
        <f t="shared" si="1635"/>
        <v>1</v>
      </c>
      <c r="X1193" s="1">
        <f t="shared" si="1636"/>
        <v>1</v>
      </c>
      <c r="Y1193" s="1">
        <f t="shared" si="1637"/>
        <v>1</v>
      </c>
      <c r="Z1193" s="1">
        <f t="shared" si="1638"/>
        <v>1</v>
      </c>
      <c r="AA1193" s="1">
        <f t="shared" si="1662"/>
        <v>1</v>
      </c>
      <c r="AB1193" s="1">
        <f t="shared" si="1640"/>
        <v>1</v>
      </c>
      <c r="AC1193" s="1">
        <f t="shared" si="1667"/>
        <v>1</v>
      </c>
      <c r="AD1193" s="1">
        <f>ROUNDDOWN(I1193*(1+IF(F1193=3,0.05+方案参数!$Y$35+AA1193*0.12,IF(F1193=4,方案参数!$BZ$35*方案参数!$AS$35,0)))+IF(AND(X1193=1,F1193&lt;&gt;3),方案参数!$CC$35,0)+AC1193*方案参数!$CB$35,0)</f>
        <v>3034</v>
      </c>
      <c r="AE1193" s="1">
        <f>IF(OR(F1193=1,F1193=4),配置与结果!$B$24,配置与结果!$B$25)*MAX(0,1-INDEX(配置与结果!$I$15:$I$18,F1193))</f>
        <v>1200</v>
      </c>
      <c r="AF1193" s="1">
        <f>方案参数!$BN$35+12*方案参数!$BO$35</f>
        <v>48</v>
      </c>
      <c r="AG1193" s="1">
        <f>MAX(配置与结果!$B$32,1+INDEX(配置与结果!$F$15:$F$18,F1193)+0.08+方案参数!$CD$35+Q1193*方案参数!$W$35+Y1193*(方案参数!$AN$35+MIN(方案参数!$AO$35,P1193*0.03))+AB1193*方案参数!$BZ$35*0.025-配置与结果!$B$28+方案参数!$AE$35)</f>
        <v>2.6150000000000002</v>
      </c>
      <c r="AH1193" s="1">
        <f>MAX(0,1+V1193*方案参数!$U$35+12*方案参数!$V$35+方案参数!$AE$35-配置与结果!$B$29)</f>
        <v>2.3199999999999998</v>
      </c>
      <c r="AI1193" s="1">
        <f>IF(OR(INDEX(配置与结果!$K$15:$K$18,F1193)=1,G1193="RHI_BERRY"),1+配置与结果!$B$33+P1193*方案参数!$AH$35,1)</f>
        <v>1</v>
      </c>
      <c r="AJ1193" s="1">
        <f>MIN(1,MAX(0,J1193+方案参数!$AB$35-配置与结果!$B$27))</f>
        <v>1</v>
      </c>
      <c r="AK1193" s="1">
        <f>MAX(1,K1193+IF(F1193=2,0.15+方案参数!$CH$35,0)+BN1193*方案参数!$X$35+R1193*方案参数!$AA$35+方案参数!$BR$35-配置与结果!$B$26+Z1193*(方案参数!$AP$35+MIN(方案参数!$AQ$35,P1193*0.03)))</f>
        <v>3.165</v>
      </c>
      <c r="AL1193" s="7">
        <f>ROUNDDOWN(MAX(AD1193*配置与结果!$B$31,AD1193-AE1193)*AF1193*AG1193*AH1193*AI1193,0)</f>
        <v>534072</v>
      </c>
      <c r="AM1193" s="7">
        <f>ROUNDDOWN(MAX(AD1193*配置与结果!$B$31,AD1193-AE1193)*AF1193*AG1193*AH1193*AI1193*AK1193,0)</f>
        <v>1690339</v>
      </c>
      <c r="AN1193" s="7">
        <f t="shared" si="1620"/>
        <v>1690339</v>
      </c>
      <c r="AO1193" s="7">
        <f>0</f>
        <v>0</v>
      </c>
      <c r="AP1193" s="7">
        <f>MAX(0,1+INDEX(配置与结果!$J$15:$J$18,F1193)+IF(T1193&gt;0,方案参数!$BY$35,0)-配置与结果!$B$30)</f>
        <v>1</v>
      </c>
      <c r="AQ1193" s="7">
        <f t="shared" si="1621"/>
        <v>0</v>
      </c>
      <c r="AR1193" s="7">
        <f t="shared" si="1622"/>
        <v>0</v>
      </c>
      <c r="AS1193" s="7">
        <f t="shared" si="1623"/>
        <v>0</v>
      </c>
      <c r="AT1193" s="7">
        <f>IF(U1193&gt;0,ROUNDDOWN(AL1193*方案参数!$AF$35,0)*(1-AJ1193)+ROUNDDOWN(AM1193*方案参数!$AF$35,0)*AJ1193,0)</f>
        <v>676135</v>
      </c>
      <c r="AU1193" s="7">
        <f t="shared" si="1624"/>
        <v>2366474</v>
      </c>
      <c r="AV1193" s="1">
        <f t="shared" si="1625"/>
        <v>2</v>
      </c>
      <c r="AW1193" s="1">
        <f t="shared" si="1672"/>
        <v>10</v>
      </c>
      <c r="AX1193" s="1">
        <f t="shared" si="1626"/>
        <v>2</v>
      </c>
      <c r="AY1193" s="1">
        <f>MIN(20,MAX(0,O1193+0+1-0))</f>
        <v>9</v>
      </c>
      <c r="AZ1193" s="1">
        <f t="shared" si="1627"/>
        <v>5</v>
      </c>
      <c r="BA1193" s="1">
        <f t="shared" si="1663"/>
        <v>5</v>
      </c>
      <c r="BB1193" s="1">
        <f t="shared" si="1671"/>
        <v>20</v>
      </c>
      <c r="BC1193" s="1">
        <f t="shared" si="1669"/>
        <v>3</v>
      </c>
      <c r="BD1193" s="1">
        <f t="shared" si="1650"/>
        <v>0</v>
      </c>
      <c r="BE1193" s="1">
        <f>MAX(0,U1193-IF(AF1193&gt;0,1,0))+0</f>
        <v>0</v>
      </c>
      <c r="BF1193" s="1">
        <f t="shared" si="1673"/>
        <v>4</v>
      </c>
      <c r="BG1193" s="1">
        <f t="shared" si="1660"/>
        <v>1</v>
      </c>
      <c r="BH1193" s="1">
        <f t="shared" si="1644"/>
        <v>1</v>
      </c>
      <c r="BI1193" s="1">
        <f t="shared" si="1661"/>
        <v>1</v>
      </c>
      <c r="BJ1193" s="1">
        <f t="shared" si="1664"/>
        <v>1</v>
      </c>
      <c r="BK1193" s="1">
        <f t="shared" si="1665"/>
        <v>1</v>
      </c>
      <c r="BL1193" s="1">
        <f t="shared" si="1670"/>
        <v>1</v>
      </c>
      <c r="BM1193" s="1">
        <f t="shared" si="1668"/>
        <v>1</v>
      </c>
      <c r="BN1193" s="1">
        <f t="shared" si="1645"/>
        <v>1</v>
      </c>
      <c r="BO1193" s="1">
        <f t="shared" si="1646"/>
        <v>1</v>
      </c>
    </row>
    <row r="1194" spans="1:67" ht="30.95" customHeight="1">
      <c r="A1194" s="1">
        <f>33</f>
        <v>33</v>
      </c>
      <c r="B1194" s="1">
        <f>固定流程!A6</f>
        <v>1</v>
      </c>
      <c r="C1194" s="1">
        <f>36</f>
        <v>36</v>
      </c>
      <c r="D1194" s="1">
        <f>1</f>
        <v>1</v>
      </c>
      <c r="E1194" s="1">
        <f>固定流程!C6</f>
        <v>1</v>
      </c>
      <c r="F1194" s="1">
        <f>固定流程!G6</f>
        <v>3</v>
      </c>
      <c r="G1194" s="1" t="str">
        <f>固定流程!H6</f>
        <v>RHI_ULT</v>
      </c>
      <c r="H1194" s="1">
        <f>固定流程!F6</f>
        <v>1</v>
      </c>
      <c r="I1194" s="1">
        <f>INDEX(配置与结果!$B$15:$B$18,F1194)</f>
        <v>2597</v>
      </c>
      <c r="J1194" s="1">
        <f>INDEX(配置与结果!$D$15:$D$18,F1194)</f>
        <v>0.255</v>
      </c>
      <c r="K1194" s="1">
        <f>INDEX(配置与结果!$E$15:$E$18,F1194)</f>
        <v>1.55</v>
      </c>
      <c r="L1194" s="1">
        <f>0</f>
        <v>0</v>
      </c>
      <c r="M1194" s="1">
        <f>0</f>
        <v>0</v>
      </c>
      <c r="N1194" s="1">
        <f>0</f>
        <v>0</v>
      </c>
      <c r="O1194" s="1">
        <f>0</f>
        <v>0</v>
      </c>
      <c r="P1194" s="1">
        <f>MIN(方案参数!$AI$36,0+方案参数!$AJ$36+0)</f>
        <v>1</v>
      </c>
      <c r="Q1194" s="1">
        <f>0</f>
        <v>0</v>
      </c>
      <c r="R1194" s="1">
        <f>0</f>
        <v>0</v>
      </c>
      <c r="S1194" s="1">
        <f>0</f>
        <v>0</v>
      </c>
      <c r="T1194" s="1">
        <f>0+0</f>
        <v>0</v>
      </c>
      <c r="U1194" s="1">
        <f>0</f>
        <v>0</v>
      </c>
      <c r="V1194" s="1">
        <f>0</f>
        <v>0</v>
      </c>
      <c r="W1194" s="1">
        <f>0</f>
        <v>0</v>
      </c>
      <c r="X1194" s="1">
        <f>0</f>
        <v>0</v>
      </c>
      <c r="Y1194" s="1">
        <f>0</f>
        <v>0</v>
      </c>
      <c r="Z1194" s="1">
        <f>0</f>
        <v>0</v>
      </c>
      <c r="AA1194" s="1">
        <f>MAX(0,0)</f>
        <v>0</v>
      </c>
      <c r="AB1194" s="1">
        <f>0</f>
        <v>0</v>
      </c>
      <c r="AC1194" s="1">
        <f>MAX(0,0)</f>
        <v>0</v>
      </c>
      <c r="AD1194" s="1">
        <f>ROUNDDOWN(I1194*(1+IF(F1194=3,0.05+方案参数!$Y$36+AA1194*0.12,IF(F1194=4,方案参数!$BZ$36*方案参数!$AS$36,0)))+IF(AND(X1194=1,F1194&lt;&gt;3),方案参数!$CC$36,0)+AC1194*方案参数!$CB$36,0)</f>
        <v>2986</v>
      </c>
      <c r="AE1194" s="1">
        <f>IF(OR(F1194=1,F1194=4),配置与结果!$B$24,配置与结果!$B$25)*MAX(0,1-INDEX(配置与结果!$I$15:$I$18,F1194))</f>
        <v>1000</v>
      </c>
      <c r="AF1194" s="1">
        <f>0</f>
        <v>0</v>
      </c>
      <c r="AG1194" s="1">
        <f>MAX(配置与结果!$B$32,1+INDEX(配置与结果!$F$15:$F$18,F1194)+0+Q1194*方案参数!$W$36+Y1194*(方案参数!$AN$36+MIN(方案参数!$AO$36,P1194*0.03))+AB1194*方案参数!$BZ$36*0.025-配置与结果!$B$28)</f>
        <v>0.6349999999999999</v>
      </c>
      <c r="AH1194" s="1">
        <f>MAX(0,1+INDEX(配置与结果!$G$15:$G$18,F1194)+W1194*方案参数!$AG$36)</f>
        <v>1</v>
      </c>
      <c r="AI1194" s="1">
        <f>IF(OR(INDEX(配置与结果!$K$15:$K$18,F1194)=1,G1194="RHI_BERRY"),1+配置与结果!$B$33+P1194*方案参数!$AH$36,1)</f>
        <v>1</v>
      </c>
      <c r="AJ1194" s="1">
        <f>MIN(1,MAX(0,J1194+方案参数!$AB$36-配置与结果!$B$27))</f>
        <v>0.55499999999999994</v>
      </c>
      <c r="AK1194" s="1">
        <f>MAX(1,K1194+IF(F1194=2,0.15+方案参数!$CH$36,0)+BN1194*方案参数!$X$36+R1194*方案参数!$AA$36+0-配置与结果!$B$26+Z1194*(方案参数!$AP$36+MIN(方案参数!$AQ$36,P1194*0.03)))</f>
        <v>1.1499999999999999</v>
      </c>
      <c r="AL1194" s="7">
        <f>ROUNDDOWN(MAX(AD1194*配置与结果!$B$31,AD1194-AE1194)*AF1194*AG1194*AH1194*AI1194,0)</f>
        <v>0</v>
      </c>
      <c r="AM1194" s="7">
        <f>ROUNDDOWN(MAX(AD1194*配置与结果!$B$31,AD1194-AE1194)*AF1194*AG1194*AH1194*AI1194*AK1194,0)</f>
        <v>0</v>
      </c>
      <c r="AN1194" s="7">
        <f t="shared" si="1620"/>
        <v>0</v>
      </c>
      <c r="AO1194" s="7">
        <f>0</f>
        <v>0</v>
      </c>
      <c r="AP1194" s="7">
        <f>MAX(0,1+INDEX(配置与结果!$J$15:$J$18,F1194)+IF(T1194&gt;0,方案参数!$BY$36,0)-配置与结果!$B$30)</f>
        <v>1</v>
      </c>
      <c r="AQ1194" s="7">
        <f t="shared" si="1621"/>
        <v>0</v>
      </c>
      <c r="AR1194" s="7">
        <f t="shared" si="1622"/>
        <v>0</v>
      </c>
      <c r="AS1194" s="7">
        <f t="shared" si="1623"/>
        <v>0</v>
      </c>
      <c r="AT1194" s="7">
        <f>0</f>
        <v>0</v>
      </c>
      <c r="AU1194" s="7">
        <f t="shared" si="1624"/>
        <v>0</v>
      </c>
      <c r="AV1194" s="1">
        <f t="shared" si="1625"/>
        <v>0</v>
      </c>
      <c r="AW1194" s="1">
        <f t="shared" si="1672"/>
        <v>0</v>
      </c>
      <c r="AX1194" s="1">
        <f t="shared" si="1626"/>
        <v>0</v>
      </c>
      <c r="AY1194" s="1">
        <f>MIN(20,MAX(0,O1194+0+0-0))</f>
        <v>0</v>
      </c>
      <c r="AZ1194" s="1">
        <f t="shared" si="1627"/>
        <v>1</v>
      </c>
      <c r="BA1194" s="1">
        <f>MIN(6,Q1194+1)</f>
        <v>1</v>
      </c>
      <c r="BB1194" s="1">
        <f>MIN(30,R1194+5)</f>
        <v>5</v>
      </c>
      <c r="BC1194" s="1">
        <f t="shared" si="1669"/>
        <v>0</v>
      </c>
      <c r="BD1194" s="1">
        <f t="shared" si="1650"/>
        <v>0</v>
      </c>
      <c r="BE1194" s="1">
        <f>0</f>
        <v>0</v>
      </c>
      <c r="BF1194" s="1">
        <f t="shared" si="1673"/>
        <v>0</v>
      </c>
      <c r="BG1194" s="1">
        <f t="shared" si="1660"/>
        <v>0</v>
      </c>
      <c r="BH1194" s="1">
        <f>MAX(X1194,1)</f>
        <v>1</v>
      </c>
      <c r="BI1194" s="1">
        <f t="shared" si="1661"/>
        <v>0</v>
      </c>
      <c r="BJ1194" s="1">
        <f t="shared" si="1664"/>
        <v>0</v>
      </c>
      <c r="BK1194" s="1">
        <f t="shared" si="1665"/>
        <v>0</v>
      </c>
      <c r="BL1194" s="1">
        <f t="shared" si="1670"/>
        <v>0</v>
      </c>
      <c r="BM1194" s="1">
        <f t="shared" si="1668"/>
        <v>0</v>
      </c>
      <c r="BN1194" s="1">
        <f>0</f>
        <v>0</v>
      </c>
      <c r="BO1194" s="1">
        <f>MAX(BN1194,1)</f>
        <v>1</v>
      </c>
    </row>
    <row r="1195" spans="1:67" ht="30.95" customHeight="1">
      <c r="A1195" s="1">
        <f>33</f>
        <v>33</v>
      </c>
      <c r="B1195" s="1">
        <f>固定流程!A7</f>
        <v>2</v>
      </c>
      <c r="C1195" s="1">
        <f>36</f>
        <v>36</v>
      </c>
      <c r="D1195" s="1">
        <f>1</f>
        <v>1</v>
      </c>
      <c r="E1195" s="1">
        <f>固定流程!C7</f>
        <v>1</v>
      </c>
      <c r="F1195" s="1">
        <f>固定流程!G7</f>
        <v>3</v>
      </c>
      <c r="G1195" s="1" t="str">
        <f>固定流程!H7</f>
        <v>RHI_BUFF</v>
      </c>
      <c r="H1195" s="1">
        <f>固定流程!F7</f>
        <v>1</v>
      </c>
      <c r="I1195" s="1">
        <f>INDEX(配置与结果!$B$15:$B$18,F1195)</f>
        <v>2597</v>
      </c>
      <c r="J1195" s="1">
        <f>INDEX(配置与结果!$D$15:$D$18,F1195)</f>
        <v>0.255</v>
      </c>
      <c r="K1195" s="1">
        <f>INDEX(配置与结果!$E$15:$E$18,F1195)</f>
        <v>1.55</v>
      </c>
      <c r="L1195" s="1">
        <f t="shared" ref="L1195:O1200" si="1674">AV1194</f>
        <v>0</v>
      </c>
      <c r="M1195" s="1">
        <f t="shared" si="1674"/>
        <v>0</v>
      </c>
      <c r="N1195" s="1">
        <f t="shared" si="1674"/>
        <v>0</v>
      </c>
      <c r="O1195" s="1">
        <f t="shared" si="1674"/>
        <v>0</v>
      </c>
      <c r="P1195" s="1">
        <f>MIN(方案参数!$AI$36,AZ1194+0+方案参数!$AK$36)</f>
        <v>3</v>
      </c>
      <c r="Q1195" s="1">
        <f t="shared" ref="Q1195:Q1229" si="1675">BA1194</f>
        <v>1</v>
      </c>
      <c r="R1195" s="1">
        <f t="shared" ref="R1195:R1229" si="1676">BB1194</f>
        <v>5</v>
      </c>
      <c r="S1195" s="1">
        <f t="shared" ref="S1195:S1229" si="1677">BC1194</f>
        <v>0</v>
      </c>
      <c r="T1195" s="1">
        <f t="shared" ref="T1195:T1208" si="1678">BD1194+0</f>
        <v>0</v>
      </c>
      <c r="U1195" s="1">
        <f t="shared" ref="U1195:U1229" si="1679">BE1194</f>
        <v>0</v>
      </c>
      <c r="V1195" s="1">
        <f t="shared" ref="V1195:V1229" si="1680">BF1194</f>
        <v>0</v>
      </c>
      <c r="W1195" s="1">
        <f t="shared" ref="W1195:W1229" si="1681">BG1194</f>
        <v>0</v>
      </c>
      <c r="X1195" s="1">
        <f t="shared" ref="X1195:X1229" si="1682">BH1194</f>
        <v>1</v>
      </c>
      <c r="Y1195" s="1">
        <f t="shared" ref="Y1195:Y1229" si="1683">BI1194</f>
        <v>0</v>
      </c>
      <c r="Z1195" s="1">
        <f t="shared" ref="Z1195:Z1229" si="1684">BJ1194</f>
        <v>0</v>
      </c>
      <c r="AA1195" s="1">
        <f t="shared" ref="AA1195:AA1200" si="1685">MAX(BK1194,0)</f>
        <v>0</v>
      </c>
      <c r="AB1195" s="1">
        <f t="shared" ref="AB1195:AB1229" si="1686">BL1194</f>
        <v>0</v>
      </c>
      <c r="AC1195" s="1">
        <f t="shared" ref="AC1195:AC1208" si="1687">MAX(BM1194,0)</f>
        <v>0</v>
      </c>
      <c r="AD1195" s="1">
        <f>ROUNDDOWN(I1195*(1+IF(F1195=3,0.05+方案参数!$Y$36+AA1195*0.12,IF(F1195=4,方案参数!$BZ$36*方案参数!$AS$36,0)))+IF(AND(X1195=1,F1195&lt;&gt;3),方案参数!$CC$36,0)+AC1195*方案参数!$CB$36,0)</f>
        <v>2986</v>
      </c>
      <c r="AE1195" s="1">
        <f>IF(OR(F1195=1,F1195=4),配置与结果!$B$24,配置与结果!$B$25)*MAX(0,1-INDEX(配置与结果!$I$15:$I$18,F1195))</f>
        <v>1000</v>
      </c>
      <c r="AF1195" s="1">
        <f>0</f>
        <v>0</v>
      </c>
      <c r="AG1195" s="1">
        <f>MAX(配置与结果!$B$32,1+INDEX(配置与结果!$F$15:$F$18,F1195)+0+Q1195*方案参数!$W$36+Y1195*(方案参数!$AN$36+MIN(方案参数!$AO$36,P1195*0.03))+AB1195*方案参数!$BZ$36*0.025-配置与结果!$B$28)</f>
        <v>0.65499999999999992</v>
      </c>
      <c r="AH1195" s="1">
        <f>MAX(0,1+INDEX(配置与结果!$G$15:$G$18,F1195)+W1195*方案参数!$AG$36)</f>
        <v>1</v>
      </c>
      <c r="AI1195" s="1">
        <f>IF(OR(INDEX(配置与结果!$K$15:$K$18,F1195)=1,G1195="RHI_BERRY"),1+配置与结果!$B$33+P1195*方案参数!$AH$36,1)</f>
        <v>1</v>
      </c>
      <c r="AJ1195" s="1">
        <f>MIN(1,MAX(0,J1195+方案参数!$AB$36-配置与结果!$B$27))</f>
        <v>0.55499999999999994</v>
      </c>
      <c r="AK1195" s="1">
        <f>MAX(1,K1195+IF(F1195=2,0.15+方案参数!$CH$36,0)+BN1195*方案参数!$X$36+R1195*方案参数!$AA$36+0-配置与结果!$B$26+Z1195*(方案参数!$AP$36+MIN(方案参数!$AQ$36,P1195*0.03)))</f>
        <v>1.33</v>
      </c>
      <c r="AL1195" s="7">
        <f>ROUNDDOWN(MAX(AD1195*配置与结果!$B$31,AD1195-AE1195)*AF1195*AG1195*AH1195*AI1195,0)</f>
        <v>0</v>
      </c>
      <c r="AM1195" s="7">
        <f>ROUNDDOWN(MAX(AD1195*配置与结果!$B$31,AD1195-AE1195)*AF1195*AG1195*AH1195*AI1195*AK1195,0)</f>
        <v>0</v>
      </c>
      <c r="AN1195" s="7">
        <f t="shared" si="1620"/>
        <v>0</v>
      </c>
      <c r="AO1195" s="7">
        <f>0</f>
        <v>0</v>
      </c>
      <c r="AP1195" s="7">
        <f>MAX(0,1+INDEX(配置与结果!$J$15:$J$18,F1195)+IF(T1195&gt;0,方案参数!$BY$36,0)-配置与结果!$B$30)</f>
        <v>1</v>
      </c>
      <c r="AQ1195" s="7">
        <f t="shared" si="1621"/>
        <v>0</v>
      </c>
      <c r="AR1195" s="7">
        <f t="shared" si="1622"/>
        <v>0</v>
      </c>
      <c r="AS1195" s="7">
        <f t="shared" si="1623"/>
        <v>0</v>
      </c>
      <c r="AT1195" s="7">
        <f>0</f>
        <v>0</v>
      </c>
      <c r="AU1195" s="7">
        <f t="shared" si="1624"/>
        <v>0</v>
      </c>
      <c r="AV1195" s="1">
        <f t="shared" si="1625"/>
        <v>0</v>
      </c>
      <c r="AW1195" s="1">
        <f t="shared" si="1672"/>
        <v>0</v>
      </c>
      <c r="AX1195" s="1">
        <f t="shared" si="1626"/>
        <v>0</v>
      </c>
      <c r="AY1195" s="1">
        <f>MIN(20,MAX(0,O1195+0+0-0))</f>
        <v>0</v>
      </c>
      <c r="AZ1195" s="1">
        <f t="shared" si="1627"/>
        <v>3</v>
      </c>
      <c r="BA1195" s="1">
        <f>MIN(6,Q1195+1)</f>
        <v>2</v>
      </c>
      <c r="BB1195" s="1">
        <f t="shared" ref="BB1195:BB1208" si="1688">MIN(30,R1195+0)</f>
        <v>5</v>
      </c>
      <c r="BC1195" s="1">
        <f t="shared" si="1669"/>
        <v>0</v>
      </c>
      <c r="BD1195" s="1">
        <f t="shared" si="1650"/>
        <v>0</v>
      </c>
      <c r="BE1195" s="1">
        <f t="shared" ref="BE1195:BE1216" si="1689">BE1194</f>
        <v>0</v>
      </c>
      <c r="BF1195" s="1">
        <f t="shared" si="1673"/>
        <v>0</v>
      </c>
      <c r="BG1195" s="1">
        <f>MAX(W1195,1)</f>
        <v>1</v>
      </c>
      <c r="BH1195" s="1">
        <f t="shared" ref="BH1195:BH1229" si="1690">MAX(X1195,0)</f>
        <v>1</v>
      </c>
      <c r="BI1195" s="1">
        <f>MAX(Y1195,1)</f>
        <v>1</v>
      </c>
      <c r="BJ1195" s="1">
        <f t="shared" si="1664"/>
        <v>0</v>
      </c>
      <c r="BK1195" s="1">
        <f t="shared" si="1665"/>
        <v>0</v>
      </c>
      <c r="BL1195" s="1">
        <f t="shared" si="1670"/>
        <v>0</v>
      </c>
      <c r="BM1195" s="1">
        <f t="shared" si="1668"/>
        <v>0</v>
      </c>
      <c r="BN1195" s="1">
        <f t="shared" ref="BN1195:BN1229" si="1691">BO1194</f>
        <v>1</v>
      </c>
      <c r="BO1195" s="1">
        <f t="shared" ref="BO1195:BO1229" si="1692">MAX(BN1195,0)</f>
        <v>1</v>
      </c>
    </row>
    <row r="1196" spans="1:67" ht="30.95" customHeight="1">
      <c r="A1196" s="1">
        <f>33</f>
        <v>33</v>
      </c>
      <c r="B1196" s="1">
        <f>固定流程!A8</f>
        <v>3</v>
      </c>
      <c r="C1196" s="1">
        <f>36</f>
        <v>36</v>
      </c>
      <c r="D1196" s="1">
        <f>1</f>
        <v>1</v>
      </c>
      <c r="E1196" s="1">
        <f>固定流程!C8</f>
        <v>1</v>
      </c>
      <c r="F1196" s="1">
        <f>固定流程!G8</f>
        <v>1</v>
      </c>
      <c r="G1196" s="1" t="str">
        <f>固定流程!H8</f>
        <v>LILYA_COBRA</v>
      </c>
      <c r="H1196" s="1">
        <f>固定流程!F8</f>
        <v>1</v>
      </c>
      <c r="I1196" s="1">
        <f>INDEX(配置与结果!$B$15:$B$18,F1196)</f>
        <v>2296</v>
      </c>
      <c r="J1196" s="1">
        <f>INDEX(配置与结果!$D$15:$D$18,F1196)</f>
        <v>0.7</v>
      </c>
      <c r="K1196" s="1">
        <f>INDEX(配置与结果!$E$15:$E$18,F1196)</f>
        <v>2.0249999999999999</v>
      </c>
      <c r="L1196" s="1">
        <f t="shared" si="1674"/>
        <v>0</v>
      </c>
      <c r="M1196" s="1">
        <f t="shared" si="1674"/>
        <v>0</v>
      </c>
      <c r="N1196" s="1">
        <f t="shared" si="1674"/>
        <v>0</v>
      </c>
      <c r="O1196" s="1">
        <f t="shared" si="1674"/>
        <v>0</v>
      </c>
      <c r="P1196" s="1">
        <f>MIN(方案参数!$AI$36,AZ1195+0+0)</f>
        <v>3</v>
      </c>
      <c r="Q1196" s="1">
        <f t="shared" si="1675"/>
        <v>2</v>
      </c>
      <c r="R1196" s="1">
        <f t="shared" si="1676"/>
        <v>5</v>
      </c>
      <c r="S1196" s="1">
        <f t="shared" si="1677"/>
        <v>0</v>
      </c>
      <c r="T1196" s="1">
        <f t="shared" si="1678"/>
        <v>0</v>
      </c>
      <c r="U1196" s="1">
        <f t="shared" si="1679"/>
        <v>0</v>
      </c>
      <c r="V1196" s="1">
        <f t="shared" si="1680"/>
        <v>0</v>
      </c>
      <c r="W1196" s="1">
        <f t="shared" si="1681"/>
        <v>1</v>
      </c>
      <c r="X1196" s="1">
        <f t="shared" si="1682"/>
        <v>1</v>
      </c>
      <c r="Y1196" s="1">
        <f t="shared" si="1683"/>
        <v>1</v>
      </c>
      <c r="Z1196" s="1">
        <f t="shared" si="1684"/>
        <v>0</v>
      </c>
      <c r="AA1196" s="1">
        <f t="shared" si="1685"/>
        <v>0</v>
      </c>
      <c r="AB1196" s="1">
        <f t="shared" si="1686"/>
        <v>0</v>
      </c>
      <c r="AC1196" s="1">
        <f t="shared" si="1687"/>
        <v>0</v>
      </c>
      <c r="AD1196" s="1">
        <f>ROUNDDOWN(I1196*(1+IF(F1196=3,0.05+方案参数!$Y$36+AA1196*0.12,IF(F1196=4,方案参数!$BZ$36*方案参数!$AS$36,0)))+IF(AND(X1196=1,F1196&lt;&gt;3),方案参数!$CC$36,0)+AC1196*方案参数!$CB$36,0)</f>
        <v>2534</v>
      </c>
      <c r="AE1196" s="1">
        <f>IF(OR(F1196=1,F1196=4),配置与结果!$B$24,配置与结果!$B$25)*MAX(0,1-INDEX(配置与结果!$I$15:$I$18,F1196))</f>
        <v>1200</v>
      </c>
      <c r="AF1196" s="1">
        <f>0</f>
        <v>0</v>
      </c>
      <c r="AG1196" s="1">
        <f>MAX(配置与结果!$B$32,1+INDEX(配置与结果!$F$15:$F$18,F1196)+0.08+方案参数!$CD$36+Q1196*方案参数!$W$36+Y1196*(方案参数!$AN$36+MIN(方案参数!$AO$36,P1196*0.03))+AB1196*方案参数!$BZ$36*0.025-配置与结果!$B$28)</f>
        <v>1.2200000000000002</v>
      </c>
      <c r="AH1196" s="1">
        <f>MAX(0,1+INDEX(配置与结果!$G$15:$G$18,F1196)+W1196*方案参数!$AG$36)</f>
        <v>1.3</v>
      </c>
      <c r="AI1196" s="1">
        <f>IF(OR(INDEX(配置与结果!$K$15:$K$18,F1196)=1,G1196="RHI_BERRY"),1+配置与结果!$B$33+P1196*方案参数!$AH$36,1)</f>
        <v>1</v>
      </c>
      <c r="AJ1196" s="1">
        <f>MIN(1,MAX(0,J1196+方案参数!$AB$36-配置与结果!$B$27))</f>
        <v>1</v>
      </c>
      <c r="AK1196" s="1">
        <f>MAX(1,K1196+IF(F1196=2,0.15+方案参数!$CH$36,0)+BN1196*方案参数!$X$36+R1196*方案参数!$AA$36+0-配置与结果!$B$26+Z1196*(方案参数!$AP$36+MIN(方案参数!$AQ$36,P1196*0.03)))</f>
        <v>1.8050000000000002</v>
      </c>
      <c r="AL1196" s="7">
        <f>ROUNDDOWN(MAX(AD1196*配置与结果!$B$31,AD1196-AE1196)*AF1196*AG1196*AH1196*AI1196,0)</f>
        <v>0</v>
      </c>
      <c r="AM1196" s="7">
        <f>ROUNDDOWN(MAX(AD1196*配置与结果!$B$31,AD1196-AE1196)*AF1196*AG1196*AH1196*AI1196*AK1196,0)</f>
        <v>0</v>
      </c>
      <c r="AN1196" s="7">
        <f t="shared" si="1620"/>
        <v>0</v>
      </c>
      <c r="AO1196" s="7">
        <f>0</f>
        <v>0</v>
      </c>
      <c r="AP1196" s="7">
        <f>MAX(0,1+INDEX(配置与结果!$J$15:$J$18,F1196)+IF(T1196&gt;0,方案参数!$BY$36,0)-配置与结果!$B$30)</f>
        <v>1</v>
      </c>
      <c r="AQ1196" s="7">
        <f t="shared" si="1621"/>
        <v>0</v>
      </c>
      <c r="AR1196" s="7">
        <f t="shared" si="1622"/>
        <v>0</v>
      </c>
      <c r="AS1196" s="7">
        <f t="shared" si="1623"/>
        <v>0</v>
      </c>
      <c r="AT1196" s="7">
        <f>0</f>
        <v>0</v>
      </c>
      <c r="AU1196" s="7">
        <f t="shared" si="1624"/>
        <v>0</v>
      </c>
      <c r="AV1196" s="1">
        <f t="shared" si="1625"/>
        <v>1</v>
      </c>
      <c r="AW1196" s="1">
        <f>MIN(10,M1196+方案参数!$BD$36+0)</f>
        <v>3</v>
      </c>
      <c r="AX1196" s="1">
        <f t="shared" si="1626"/>
        <v>0</v>
      </c>
      <c r="AY1196" s="1">
        <f>MIN(20,MAX(0,O1196+6+0-0))</f>
        <v>6</v>
      </c>
      <c r="AZ1196" s="1">
        <f t="shared" si="1627"/>
        <v>3</v>
      </c>
      <c r="BA1196" s="1">
        <f>MIN(6,Q1196+0)</f>
        <v>2</v>
      </c>
      <c r="BB1196" s="1">
        <f t="shared" si="1688"/>
        <v>5</v>
      </c>
      <c r="BC1196" s="1">
        <f t="shared" si="1669"/>
        <v>0</v>
      </c>
      <c r="BD1196" s="1">
        <f t="shared" si="1650"/>
        <v>0</v>
      </c>
      <c r="BE1196" s="1">
        <f t="shared" si="1689"/>
        <v>0</v>
      </c>
      <c r="BF1196" s="1">
        <f t="shared" si="1673"/>
        <v>0</v>
      </c>
      <c r="BG1196" s="1">
        <f t="shared" ref="BG1196:BG1206" si="1693">MAX(W1196,0)</f>
        <v>1</v>
      </c>
      <c r="BH1196" s="1">
        <f t="shared" si="1690"/>
        <v>1</v>
      </c>
      <c r="BI1196" s="1">
        <f t="shared" ref="BI1196:BI1206" si="1694">MAX(Y1196,0)</f>
        <v>1</v>
      </c>
      <c r="BJ1196" s="1">
        <f t="shared" si="1664"/>
        <v>0</v>
      </c>
      <c r="BK1196" s="1">
        <f t="shared" si="1665"/>
        <v>0</v>
      </c>
      <c r="BL1196" s="1">
        <f t="shared" si="1670"/>
        <v>0</v>
      </c>
      <c r="BM1196" s="1">
        <f t="shared" si="1668"/>
        <v>0</v>
      </c>
      <c r="BN1196" s="1">
        <f t="shared" si="1691"/>
        <v>1</v>
      </c>
      <c r="BO1196" s="1">
        <f t="shared" si="1692"/>
        <v>1</v>
      </c>
    </row>
    <row r="1197" spans="1:67" ht="30.95" customHeight="1">
      <c r="A1197" s="1">
        <f>33</f>
        <v>33</v>
      </c>
      <c r="B1197" s="1">
        <f>固定流程!A9</f>
        <v>4</v>
      </c>
      <c r="C1197" s="1">
        <f>36</f>
        <v>36</v>
      </c>
      <c r="D1197" s="1">
        <f>1</f>
        <v>1</v>
      </c>
      <c r="E1197" s="1">
        <f>固定流程!C9</f>
        <v>1</v>
      </c>
      <c r="F1197" s="1">
        <f>固定流程!G9</f>
        <v>1</v>
      </c>
      <c r="G1197" s="1" t="str">
        <f>固定流程!H9</f>
        <v>LILYA_DIVE</v>
      </c>
      <c r="H1197" s="1">
        <f>固定流程!F9</f>
        <v>1</v>
      </c>
      <c r="I1197" s="1">
        <f>INDEX(配置与结果!$B$15:$B$18,F1197)</f>
        <v>2296</v>
      </c>
      <c r="J1197" s="1">
        <f>INDEX(配置与结果!$D$15:$D$18,F1197)</f>
        <v>0.7</v>
      </c>
      <c r="K1197" s="1">
        <f>INDEX(配置与结果!$E$15:$E$18,F1197)</f>
        <v>2.0249999999999999</v>
      </c>
      <c r="L1197" s="1">
        <f t="shared" si="1674"/>
        <v>1</v>
      </c>
      <c r="M1197" s="1">
        <f t="shared" si="1674"/>
        <v>3</v>
      </c>
      <c r="N1197" s="1">
        <f t="shared" si="1674"/>
        <v>0</v>
      </c>
      <c r="O1197" s="1">
        <f t="shared" si="1674"/>
        <v>6</v>
      </c>
      <c r="P1197" s="1">
        <f>MIN(方案参数!$AI$36,AZ1196+0+0)</f>
        <v>3</v>
      </c>
      <c r="Q1197" s="1">
        <f t="shared" si="1675"/>
        <v>2</v>
      </c>
      <c r="R1197" s="1">
        <f t="shared" si="1676"/>
        <v>5</v>
      </c>
      <c r="S1197" s="1">
        <f t="shared" si="1677"/>
        <v>0</v>
      </c>
      <c r="T1197" s="1">
        <f t="shared" si="1678"/>
        <v>0</v>
      </c>
      <c r="U1197" s="1">
        <f t="shared" si="1679"/>
        <v>0</v>
      </c>
      <c r="V1197" s="1">
        <f t="shared" si="1680"/>
        <v>0</v>
      </c>
      <c r="W1197" s="1">
        <f t="shared" si="1681"/>
        <v>1</v>
      </c>
      <c r="X1197" s="1">
        <f t="shared" si="1682"/>
        <v>1</v>
      </c>
      <c r="Y1197" s="1">
        <f t="shared" si="1683"/>
        <v>1</v>
      </c>
      <c r="Z1197" s="1">
        <f t="shared" si="1684"/>
        <v>0</v>
      </c>
      <c r="AA1197" s="1">
        <f t="shared" si="1685"/>
        <v>0</v>
      </c>
      <c r="AB1197" s="1">
        <f t="shared" si="1686"/>
        <v>0</v>
      </c>
      <c r="AC1197" s="1">
        <f t="shared" si="1687"/>
        <v>0</v>
      </c>
      <c r="AD1197" s="1">
        <f>ROUNDDOWN(I1197*(1+IF(F1197=3,0.05+方案参数!$Y$36+AA1197*0.12,IF(F1197=4,方案参数!$BZ$36*方案参数!$AS$36,0)))+IF(AND(X1197=1,F1197&lt;&gt;3),方案参数!$CC$36,0)+AC1197*方案参数!$CB$36,0)</f>
        <v>2534</v>
      </c>
      <c r="AE1197" s="1">
        <f>IF(OR(F1197=1,F1197=4),配置与结果!$B$24,配置与结果!$B$25)*MAX(0,1-INDEX(配置与结果!$I$15:$I$18,F1197))</f>
        <v>1200</v>
      </c>
      <c r="AF1197" s="1">
        <f>(IF(L1197=1,方案参数!$AW$36,IF(L1197=2,方案参数!$AX$36,0))+方案参数!$AV$36)*H1197</f>
        <v>6</v>
      </c>
      <c r="AG1197" s="1">
        <f>MAX(配置与结果!$B$32,1+INDEX(配置与结果!$F$15:$F$18,F1197)+0.08+方案参数!$CD$36+Q1197*方案参数!$W$36+Y1197*(方案参数!$AN$36+MIN(方案参数!$AO$36,P1197*0.03))+AB1197*方案参数!$BZ$36*0.025+IF(L1197=1,方案参数!$AY$36+(H1197-1)*0.1,IF(L1197=2,方案参数!$AZ$36+(H1197-1)*0.2,0))-配置与结果!$B$28)</f>
        <v>1.3200000000000003</v>
      </c>
      <c r="AH1197" s="1">
        <f>MAX(0,1+INDEX(配置与结果!$G$15:$G$18,F1197)+W1197*方案参数!$AG$36+IF(L1197=1,方案参数!$BA$36,IF(L1197=2,方案参数!$BB$36,0))+M1197*方案参数!$BC$36)</f>
        <v>2.08</v>
      </c>
      <c r="AI1197" s="1">
        <f>IF(OR(INDEX(配置与结果!$K$15:$K$18,F1197)=1,G1197="RHI_BERRY"),1+配置与结果!$B$33+P1197*方案参数!$AH$36,1)</f>
        <v>1</v>
      </c>
      <c r="AJ1197" s="1">
        <f>MIN(1,MAX(0,J1197+方案参数!$AB$36-配置与结果!$B$27))</f>
        <v>1</v>
      </c>
      <c r="AK1197" s="1">
        <f>MAX(1,K1197+IF(F1197=2,0.15+方案参数!$CH$36,0)+BN1197*方案参数!$X$36+R1197*方案参数!$AA$36+0-配置与结果!$B$26+Z1197*(方案参数!$AP$36+MIN(方案参数!$AQ$36,P1197*0.03)))</f>
        <v>1.8050000000000002</v>
      </c>
      <c r="AL1197" s="7">
        <f>ROUNDDOWN(MAX(AD1197*配置与结果!$B$31,AD1197-AE1197)*AF1197*AG1197*AH1197*AI1197,0)</f>
        <v>21975</v>
      </c>
      <c r="AM1197" s="7">
        <f>ROUNDDOWN(MAX(AD1197*配置与结果!$B$31,AD1197-AE1197)*AF1197*AG1197*AH1197*AI1197*AK1197,0)</f>
        <v>39666</v>
      </c>
      <c r="AN1197" s="7">
        <f t="shared" si="1620"/>
        <v>39666</v>
      </c>
      <c r="AO1197" s="7">
        <f>0</f>
        <v>0</v>
      </c>
      <c r="AP1197" s="7">
        <f>MAX(0,1+INDEX(配置与结果!$J$15:$J$18,F1197)+IF(T1197&gt;0,方案参数!$BY$36,0)-配置与结果!$B$30)</f>
        <v>1</v>
      </c>
      <c r="AQ1197" s="7">
        <f t="shared" si="1621"/>
        <v>0</v>
      </c>
      <c r="AR1197" s="7">
        <f t="shared" si="1622"/>
        <v>0</v>
      </c>
      <c r="AS1197" s="7">
        <f t="shared" si="1623"/>
        <v>0</v>
      </c>
      <c r="AT1197" s="7">
        <f>0</f>
        <v>0</v>
      </c>
      <c r="AU1197" s="7">
        <f t="shared" si="1624"/>
        <v>39666</v>
      </c>
      <c r="AV1197" s="1">
        <f t="shared" si="1625"/>
        <v>1</v>
      </c>
      <c r="AW1197" s="1">
        <f>MIN(10,M1197+0+IF(L1197=1,方案参数!$BE$36,0))</f>
        <v>4</v>
      </c>
      <c r="AX1197" s="1">
        <f t="shared" si="1626"/>
        <v>0</v>
      </c>
      <c r="AY1197" s="1">
        <f t="shared" ref="AY1197:AY1212" si="1695">MIN(20,MAX(0,O1197+0+0-0))</f>
        <v>6</v>
      </c>
      <c r="AZ1197" s="1">
        <f t="shared" si="1627"/>
        <v>3</v>
      </c>
      <c r="BA1197" s="1">
        <f>MIN(6,Q1197+0)</f>
        <v>2</v>
      </c>
      <c r="BB1197" s="1">
        <f t="shared" si="1688"/>
        <v>5</v>
      </c>
      <c r="BC1197" s="1">
        <f t="shared" si="1669"/>
        <v>0</v>
      </c>
      <c r="BD1197" s="1">
        <f t="shared" si="1650"/>
        <v>0</v>
      </c>
      <c r="BE1197" s="1">
        <f t="shared" si="1689"/>
        <v>0</v>
      </c>
      <c r="BF1197" s="1">
        <f t="shared" si="1673"/>
        <v>0</v>
      </c>
      <c r="BG1197" s="1">
        <f t="shared" si="1693"/>
        <v>1</v>
      </c>
      <c r="BH1197" s="1">
        <f t="shared" si="1690"/>
        <v>1</v>
      </c>
      <c r="BI1197" s="1">
        <f t="shared" si="1694"/>
        <v>1</v>
      </c>
      <c r="BJ1197" s="1">
        <f t="shared" si="1664"/>
        <v>0</v>
      </c>
      <c r="BK1197" s="1">
        <f t="shared" si="1665"/>
        <v>0</v>
      </c>
      <c r="BL1197" s="1">
        <f t="shared" si="1670"/>
        <v>0</v>
      </c>
      <c r="BM1197" s="1">
        <f t="shared" si="1668"/>
        <v>0</v>
      </c>
      <c r="BN1197" s="1">
        <f t="shared" si="1691"/>
        <v>1</v>
      </c>
      <c r="BO1197" s="1">
        <f t="shared" si="1692"/>
        <v>1</v>
      </c>
    </row>
    <row r="1198" spans="1:67" ht="30.95" customHeight="1">
      <c r="A1198" s="1">
        <f>33</f>
        <v>33</v>
      </c>
      <c r="B1198" s="1">
        <f>固定流程!A10</f>
        <v>5</v>
      </c>
      <c r="C1198" s="1">
        <f>36</f>
        <v>36</v>
      </c>
      <c r="D1198" s="1">
        <f>1</f>
        <v>1</v>
      </c>
      <c r="E1198" s="1">
        <f>固定流程!C10</f>
        <v>1</v>
      </c>
      <c r="F1198" s="1">
        <f>固定流程!G10</f>
        <v>2</v>
      </c>
      <c r="G1198" s="1" t="str">
        <f>固定流程!H10</f>
        <v>37_TRIANGLE</v>
      </c>
      <c r="H1198" s="1">
        <f>固定流程!F10</f>
        <v>1</v>
      </c>
      <c r="I1198" s="1">
        <f>INDEX(配置与结果!$B$15:$B$18,F1198)</f>
        <v>2306</v>
      </c>
      <c r="J1198" s="1">
        <f>INDEX(配置与结果!$D$15:$D$18,F1198)</f>
        <v>0.46</v>
      </c>
      <c r="K1198" s="1">
        <f>INDEX(配置与结果!$E$15:$E$18,F1198)</f>
        <v>1.9279999999999999</v>
      </c>
      <c r="L1198" s="1">
        <f t="shared" si="1674"/>
        <v>1</v>
      </c>
      <c r="M1198" s="1">
        <f t="shared" si="1674"/>
        <v>4</v>
      </c>
      <c r="N1198" s="1">
        <f t="shared" si="1674"/>
        <v>0</v>
      </c>
      <c r="O1198" s="1">
        <f t="shared" si="1674"/>
        <v>6</v>
      </c>
      <c r="P1198" s="1">
        <f>MIN(方案参数!$AI$36,AZ1197+0+0)</f>
        <v>3</v>
      </c>
      <c r="Q1198" s="1">
        <f t="shared" si="1675"/>
        <v>2</v>
      </c>
      <c r="R1198" s="1">
        <f t="shared" si="1676"/>
        <v>5</v>
      </c>
      <c r="S1198" s="1">
        <f t="shared" si="1677"/>
        <v>0</v>
      </c>
      <c r="T1198" s="1">
        <f t="shared" si="1678"/>
        <v>0</v>
      </c>
      <c r="U1198" s="1">
        <f t="shared" si="1679"/>
        <v>0</v>
      </c>
      <c r="V1198" s="1">
        <f t="shared" si="1680"/>
        <v>0</v>
      </c>
      <c r="W1198" s="1">
        <f t="shared" si="1681"/>
        <v>1</v>
      </c>
      <c r="X1198" s="1">
        <f t="shared" si="1682"/>
        <v>1</v>
      </c>
      <c r="Y1198" s="1">
        <f t="shared" si="1683"/>
        <v>1</v>
      </c>
      <c r="Z1198" s="1">
        <f t="shared" si="1684"/>
        <v>0</v>
      </c>
      <c r="AA1198" s="1">
        <f t="shared" si="1685"/>
        <v>0</v>
      </c>
      <c r="AB1198" s="1">
        <f t="shared" si="1686"/>
        <v>0</v>
      </c>
      <c r="AC1198" s="1">
        <f t="shared" si="1687"/>
        <v>0</v>
      </c>
      <c r="AD1198" s="1">
        <f>ROUNDDOWN(I1198*(1+IF(F1198=3,0.05+方案参数!$Y$36+AA1198*0.12,IF(F1198=4,方案参数!$BZ$36*方案参数!$AS$36,0)))+IF(AND(X1198=1,F1198&lt;&gt;3),方案参数!$CC$36,0)+AC1198*方案参数!$CB$36,0)</f>
        <v>2544</v>
      </c>
      <c r="AE1198" s="1">
        <f>IF(OR(F1198=1,F1198=4),配置与结果!$B$24,配置与结果!$B$25)*MAX(0,1-INDEX(配置与结果!$I$15:$I$18,F1198))</f>
        <v>1000</v>
      </c>
      <c r="AF1198" s="1">
        <f>方案参数!$BS$36*IF(H1198=1,1,IF(H1198=2,1.5,2.5))</f>
        <v>2.8</v>
      </c>
      <c r="AG1198" s="1">
        <f>MAX(配置与结果!$B$32,1+INDEX(配置与结果!$F$15:$F$18,F1198)+0+Q1198*方案参数!$W$36+Y1198*(方案参数!$AN$36+MIN(方案参数!$AO$36,P1198*0.03))+AB1198*方案参数!$BZ$36*0.025-配置与结果!$B$28)</f>
        <v>0.8849999999999999</v>
      </c>
      <c r="AH1198" s="1">
        <f>MAX(0,1+INDEX(配置与结果!$G$15:$G$18,F1198)+W1198*方案参数!$AG$36)</f>
        <v>1.3</v>
      </c>
      <c r="AI1198" s="1">
        <f>IF(OR(INDEX(配置与结果!$K$15:$K$18,F1198)=1,G1198="RHI_BERRY"),1+配置与结果!$B$33+P1198*方案参数!$AH$36,1)</f>
        <v>1</v>
      </c>
      <c r="AJ1198" s="1">
        <f>MIN(1,MAX(0,J1198+方案参数!$AB$36-配置与结果!$B$27))</f>
        <v>0.76</v>
      </c>
      <c r="AK1198" s="1">
        <f>MAX(1,K1198+IF(F1198=2,0.15+方案参数!$CH$36,0)+BN1198*方案参数!$X$36+R1198*方案参数!$AA$36+0-配置与结果!$B$26+Z1198*(方案参数!$AP$36+MIN(方案参数!$AQ$36,P1198*0.03)))</f>
        <v>2.0380000000000003</v>
      </c>
      <c r="AL1198" s="7">
        <f>ROUNDDOWN(MAX(AD1198*配置与结果!$B$31,AD1198-AE1198)*AF1198*AG1198*AH1198*AI1198,0)</f>
        <v>4973</v>
      </c>
      <c r="AM1198" s="7">
        <f>ROUNDDOWN(MAX(AD1198*配置与结果!$B$31,AD1198-AE1198)*AF1198*AG1198*AH1198*AI1198*AK1198,0)</f>
        <v>10136</v>
      </c>
      <c r="AN1198" s="7">
        <f t="shared" si="1620"/>
        <v>8896.8799999999992</v>
      </c>
      <c r="AO1198" s="7">
        <f>方案参数!$BU$36*IF(H1198=1,1,IF(H1198=2,1.5,2.5))</f>
        <v>0.8</v>
      </c>
      <c r="AP1198" s="7">
        <f>MAX(0,1+INDEX(配置与结果!$J$15:$J$18,F1198)+IF(T1198&gt;0,方案参数!$BY$36,0)-配置与结果!$B$30)</f>
        <v>1</v>
      </c>
      <c r="AQ1198" s="7">
        <f t="shared" si="1621"/>
        <v>2035</v>
      </c>
      <c r="AR1198" s="7">
        <f t="shared" si="1622"/>
        <v>4147</v>
      </c>
      <c r="AS1198" s="7">
        <f t="shared" si="1623"/>
        <v>3640.1200000000003</v>
      </c>
      <c r="AT1198" s="7">
        <f>0</f>
        <v>0</v>
      </c>
      <c r="AU1198" s="7">
        <f t="shared" si="1624"/>
        <v>12537</v>
      </c>
      <c r="AV1198" s="1">
        <f t="shared" si="1625"/>
        <v>1</v>
      </c>
      <c r="AW1198" s="1">
        <f>MIN(10,M1198+0+0)</f>
        <v>4</v>
      </c>
      <c r="AX1198" s="1">
        <f t="shared" si="1626"/>
        <v>0</v>
      </c>
      <c r="AY1198" s="1">
        <f t="shared" si="1695"/>
        <v>6</v>
      </c>
      <c r="AZ1198" s="1">
        <f t="shared" si="1627"/>
        <v>3</v>
      </c>
      <c r="BA1198" s="1">
        <f>MIN(6,Q1198+0)</f>
        <v>2</v>
      </c>
      <c r="BB1198" s="1">
        <f t="shared" si="1688"/>
        <v>5</v>
      </c>
      <c r="BC1198" s="1">
        <f t="shared" si="1669"/>
        <v>0</v>
      </c>
      <c r="BD1198" s="1">
        <f>MAX(0,T1198-IF(AO1198&gt;0,1,0))+1</f>
        <v>1</v>
      </c>
      <c r="BE1198" s="1">
        <f t="shared" si="1689"/>
        <v>0</v>
      </c>
      <c r="BF1198" s="1">
        <f t="shared" si="1673"/>
        <v>0</v>
      </c>
      <c r="BG1198" s="1">
        <f t="shared" si="1693"/>
        <v>1</v>
      </c>
      <c r="BH1198" s="1">
        <f t="shared" si="1690"/>
        <v>1</v>
      </c>
      <c r="BI1198" s="1">
        <f t="shared" si="1694"/>
        <v>1</v>
      </c>
      <c r="BJ1198" s="1">
        <f t="shared" si="1664"/>
        <v>0</v>
      </c>
      <c r="BK1198" s="1">
        <f t="shared" si="1665"/>
        <v>0</v>
      </c>
      <c r="BL1198" s="1">
        <f t="shared" si="1670"/>
        <v>0</v>
      </c>
      <c r="BM1198" s="1">
        <f t="shared" si="1668"/>
        <v>0</v>
      </c>
      <c r="BN1198" s="1">
        <f t="shared" si="1691"/>
        <v>1</v>
      </c>
      <c r="BO1198" s="1">
        <f t="shared" si="1692"/>
        <v>1</v>
      </c>
    </row>
    <row r="1199" spans="1:67" ht="30.95" customHeight="1">
      <c r="A1199" s="1">
        <f>33</f>
        <v>33</v>
      </c>
      <c r="B1199" s="1">
        <f>固定流程!A11</f>
        <v>6</v>
      </c>
      <c r="C1199" s="1">
        <f>36</f>
        <v>36</v>
      </c>
      <c r="D1199" s="1">
        <f>1</f>
        <v>1</v>
      </c>
      <c r="E1199" s="1">
        <f>固定流程!C11</f>
        <v>1</v>
      </c>
      <c r="F1199" s="1">
        <f>固定流程!G11</f>
        <v>2</v>
      </c>
      <c r="G1199" s="1" t="str">
        <f>固定流程!H11</f>
        <v>37_FOLLOW</v>
      </c>
      <c r="H1199" s="1">
        <f>固定流程!F11</f>
        <v>1</v>
      </c>
      <c r="I1199" s="1">
        <f>INDEX(配置与结果!$B$15:$B$18,F1199)</f>
        <v>2306</v>
      </c>
      <c r="J1199" s="1">
        <f>INDEX(配置与结果!$D$15:$D$18,F1199)</f>
        <v>0.46</v>
      </c>
      <c r="K1199" s="1">
        <f>INDEX(配置与结果!$E$15:$E$18,F1199)</f>
        <v>1.9279999999999999</v>
      </c>
      <c r="L1199" s="1">
        <f t="shared" si="1674"/>
        <v>1</v>
      </c>
      <c r="M1199" s="1">
        <f t="shared" si="1674"/>
        <v>4</v>
      </c>
      <c r="N1199" s="1">
        <f t="shared" si="1674"/>
        <v>0</v>
      </c>
      <c r="O1199" s="1">
        <f t="shared" si="1674"/>
        <v>6</v>
      </c>
      <c r="P1199" s="1">
        <f>MIN(方案参数!$AI$36,AZ1198+0+0)</f>
        <v>3</v>
      </c>
      <c r="Q1199" s="1">
        <f t="shared" si="1675"/>
        <v>2</v>
      </c>
      <c r="R1199" s="1">
        <f t="shared" si="1676"/>
        <v>5</v>
      </c>
      <c r="S1199" s="1">
        <f t="shared" si="1677"/>
        <v>0</v>
      </c>
      <c r="T1199" s="1">
        <f t="shared" si="1678"/>
        <v>1</v>
      </c>
      <c r="U1199" s="1">
        <f t="shared" si="1679"/>
        <v>0</v>
      </c>
      <c r="V1199" s="1">
        <f t="shared" si="1680"/>
        <v>0</v>
      </c>
      <c r="W1199" s="1">
        <f t="shared" si="1681"/>
        <v>1</v>
      </c>
      <c r="X1199" s="1">
        <f t="shared" si="1682"/>
        <v>1</v>
      </c>
      <c r="Y1199" s="1">
        <f t="shared" si="1683"/>
        <v>1</v>
      </c>
      <c r="Z1199" s="1">
        <f t="shared" si="1684"/>
        <v>0</v>
      </c>
      <c r="AA1199" s="1">
        <f t="shared" si="1685"/>
        <v>0</v>
      </c>
      <c r="AB1199" s="1">
        <f t="shared" si="1686"/>
        <v>0</v>
      </c>
      <c r="AC1199" s="1">
        <f t="shared" si="1687"/>
        <v>0</v>
      </c>
      <c r="AD1199" s="1">
        <f>ROUNDDOWN(I1199*(1+IF(F1199=3,0.05+方案参数!$Y$36+AA1199*0.12,IF(F1199=4,方案参数!$BZ$36*方案参数!$AS$36,0)))+IF(AND(X1199=1,F1199&lt;&gt;3),方案参数!$CC$36,0)+AC1199*方案参数!$CB$36,0)</f>
        <v>2544</v>
      </c>
      <c r="AE1199" s="1">
        <f>IF(OR(F1199=1,F1199=4),配置与结果!$B$24,配置与结果!$B$25)*MAX(0,1-INDEX(配置与结果!$I$15:$I$18,F1199))</f>
        <v>1000</v>
      </c>
      <c r="AF1199" s="1">
        <f>方案参数!$BV$36</f>
        <v>3</v>
      </c>
      <c r="AG1199" s="1">
        <f>MAX(配置与结果!$B$32,1+INDEX(配置与结果!$F$15:$F$18,F1199)+0+Q1199*方案参数!$W$36+Y1199*(方案参数!$AN$36+MIN(方案参数!$AO$36,P1199*0.03))+AB1199*方案参数!$BZ$36*0.025-配置与结果!$B$28)</f>
        <v>0.8849999999999999</v>
      </c>
      <c r="AH1199" s="1">
        <f>MAX(0,1+INDEX(配置与结果!$G$15:$G$18,F1199)+W1199*方案参数!$AG$36)</f>
        <v>1.3</v>
      </c>
      <c r="AI1199" s="1">
        <f>IF(OR(INDEX(配置与结果!$K$15:$K$18,F1199)=1,G1199="RHI_BERRY"),1+配置与结果!$B$33+P1199*方案参数!$AH$36,1)</f>
        <v>1</v>
      </c>
      <c r="AJ1199" s="1">
        <f>MIN(1,MAX(0,J1199+方案参数!$AB$36-配置与结果!$B$27))</f>
        <v>0.76</v>
      </c>
      <c r="AK1199" s="1">
        <f>MAX(1,K1199+IF(F1199=2,0.15+方案参数!$CH$36,0)+BN1199*方案参数!$X$36+R1199*方案参数!$AA$36+0-配置与结果!$B$26+Z1199*(方案参数!$AP$36+MIN(方案参数!$AQ$36,P1199*0.03)))</f>
        <v>2.0380000000000003</v>
      </c>
      <c r="AL1199" s="7">
        <f>ROUNDDOWN(MAX(AD1199*配置与结果!$B$31,AD1199-AE1199)*AF1199*AG1199*AH1199*AI1199,0)</f>
        <v>5329</v>
      </c>
      <c r="AM1199" s="7">
        <f>ROUNDDOWN(MAX(AD1199*配置与结果!$B$31,AD1199-AE1199)*AF1199*AG1199*AH1199*AI1199*AK1199,0)</f>
        <v>10860</v>
      </c>
      <c r="AN1199" s="7">
        <f t="shared" si="1620"/>
        <v>9532.5600000000013</v>
      </c>
      <c r="AO1199" s="7">
        <f>方案参数!$BW$36</f>
        <v>1</v>
      </c>
      <c r="AP1199" s="7">
        <f>MAX(0,1+INDEX(配置与结果!$J$15:$J$18,F1199)+IF(T1199&gt;0,方案参数!$BY$36,0)-配置与结果!$B$30)</f>
        <v>2</v>
      </c>
      <c r="AQ1199" s="7">
        <f t="shared" si="1621"/>
        <v>5088</v>
      </c>
      <c r="AR1199" s="7">
        <f t="shared" si="1622"/>
        <v>10369</v>
      </c>
      <c r="AS1199" s="7">
        <f t="shared" si="1623"/>
        <v>9101.5600000000013</v>
      </c>
      <c r="AT1199" s="7">
        <f>0</f>
        <v>0</v>
      </c>
      <c r="AU1199" s="7">
        <f t="shared" si="1624"/>
        <v>18634.120000000003</v>
      </c>
      <c r="AV1199" s="1">
        <f t="shared" si="1625"/>
        <v>1</v>
      </c>
      <c r="AW1199" s="1">
        <f>MIN(10,M1199+0+0)</f>
        <v>4</v>
      </c>
      <c r="AX1199" s="1">
        <f t="shared" si="1626"/>
        <v>0</v>
      </c>
      <c r="AY1199" s="1">
        <f t="shared" si="1695"/>
        <v>6</v>
      </c>
      <c r="AZ1199" s="1">
        <f t="shared" si="1627"/>
        <v>3</v>
      </c>
      <c r="BA1199" s="1">
        <f>MIN(6,Q1199+0)</f>
        <v>2</v>
      </c>
      <c r="BB1199" s="1">
        <f t="shared" si="1688"/>
        <v>5</v>
      </c>
      <c r="BC1199" s="1">
        <f t="shared" si="1669"/>
        <v>0</v>
      </c>
      <c r="BD1199" s="1">
        <f t="shared" ref="BD1199:BD1233" si="1696">MAX(0,T1199-IF(AO1199&gt;0,1,0))+0</f>
        <v>0</v>
      </c>
      <c r="BE1199" s="1">
        <f t="shared" si="1689"/>
        <v>0</v>
      </c>
      <c r="BF1199" s="1">
        <f>MIN(4,V1199+1)</f>
        <v>1</v>
      </c>
      <c r="BG1199" s="1">
        <f t="shared" si="1693"/>
        <v>1</v>
      </c>
      <c r="BH1199" s="1">
        <f t="shared" si="1690"/>
        <v>1</v>
      </c>
      <c r="BI1199" s="1">
        <f t="shared" si="1694"/>
        <v>1</v>
      </c>
      <c r="BJ1199" s="1">
        <f t="shared" si="1664"/>
        <v>0</v>
      </c>
      <c r="BK1199" s="1">
        <f t="shared" si="1665"/>
        <v>0</v>
      </c>
      <c r="BL1199" s="1">
        <f t="shared" si="1670"/>
        <v>0</v>
      </c>
      <c r="BM1199" s="1">
        <f t="shared" si="1668"/>
        <v>0</v>
      </c>
      <c r="BN1199" s="1">
        <f t="shared" si="1691"/>
        <v>1</v>
      </c>
      <c r="BO1199" s="1">
        <f t="shared" si="1692"/>
        <v>1</v>
      </c>
    </row>
    <row r="1200" spans="1:67" ht="30.95" customHeight="1">
      <c r="A1200" s="1">
        <f>33</f>
        <v>33</v>
      </c>
      <c r="B1200" s="1">
        <f>固定流程!A12</f>
        <v>7</v>
      </c>
      <c r="C1200" s="1">
        <f>36</f>
        <v>36</v>
      </c>
      <c r="D1200" s="1">
        <f>1</f>
        <v>1</v>
      </c>
      <c r="E1200" s="1">
        <f>固定流程!C12</f>
        <v>1</v>
      </c>
      <c r="F1200" s="1">
        <f>固定流程!G12</f>
        <v>4</v>
      </c>
      <c r="G1200" s="1" t="str">
        <f>固定流程!H12</f>
        <v>J_HARD</v>
      </c>
      <c r="H1200" s="1">
        <f>固定流程!F12</f>
        <v>1</v>
      </c>
      <c r="I1200" s="1">
        <f>INDEX(配置与结果!$B$15:$B$18,F1200)</f>
        <v>1906</v>
      </c>
      <c r="J1200" s="1">
        <f>INDEX(配置与结果!$D$15:$D$18,F1200)</f>
        <v>0.36699999999999999</v>
      </c>
      <c r="K1200" s="1">
        <f>INDEX(配置与结果!$E$15:$E$18,F1200)</f>
        <v>1.7170000000000001</v>
      </c>
      <c r="L1200" s="1">
        <f t="shared" si="1674"/>
        <v>1</v>
      </c>
      <c r="M1200" s="1">
        <f t="shared" si="1674"/>
        <v>4</v>
      </c>
      <c r="N1200" s="1">
        <f t="shared" si="1674"/>
        <v>0</v>
      </c>
      <c r="O1200" s="1">
        <f t="shared" si="1674"/>
        <v>6</v>
      </c>
      <c r="P1200" s="1">
        <f>MIN(方案参数!$AI$36,AZ1199+0+0)</f>
        <v>3</v>
      </c>
      <c r="Q1200" s="1">
        <f t="shared" si="1675"/>
        <v>2</v>
      </c>
      <c r="R1200" s="1">
        <f t="shared" si="1676"/>
        <v>5</v>
      </c>
      <c r="S1200" s="1">
        <f t="shared" si="1677"/>
        <v>0</v>
      </c>
      <c r="T1200" s="1">
        <f t="shared" si="1678"/>
        <v>0</v>
      </c>
      <c r="U1200" s="1">
        <f t="shared" si="1679"/>
        <v>0</v>
      </c>
      <c r="V1200" s="1">
        <f t="shared" si="1680"/>
        <v>1</v>
      </c>
      <c r="W1200" s="1">
        <f t="shared" si="1681"/>
        <v>1</v>
      </c>
      <c r="X1200" s="1">
        <f t="shared" si="1682"/>
        <v>1</v>
      </c>
      <c r="Y1200" s="1">
        <f t="shared" si="1683"/>
        <v>1</v>
      </c>
      <c r="Z1200" s="1">
        <f t="shared" si="1684"/>
        <v>0</v>
      </c>
      <c r="AA1200" s="1">
        <f t="shared" si="1685"/>
        <v>0</v>
      </c>
      <c r="AB1200" s="1">
        <f t="shared" si="1686"/>
        <v>0</v>
      </c>
      <c r="AC1200" s="1">
        <f t="shared" si="1687"/>
        <v>0</v>
      </c>
      <c r="AD1200" s="1">
        <f>ROUNDDOWN(I1200*(1+IF(F1200=3,0.05+方案参数!$Y$36+AA1200*0.12,IF(F1200=4,方案参数!$BZ$36*方案参数!$AS$36,0)))+IF(AND(X1200=1,F1200&lt;&gt;3),方案参数!$CC$36,0)+AC1200*方案参数!$CB$36,0)</f>
        <v>2811</v>
      </c>
      <c r="AE1200" s="1">
        <f>IF(OR(F1200=1,F1200=4),配置与结果!$B$24,配置与结果!$B$25)*MAX(0,1-INDEX(配置与结果!$I$15:$I$18,F1200))</f>
        <v>1200</v>
      </c>
      <c r="AF1200" s="1">
        <f>3.6*IF(H1200=1,1,IF(H1200=2,1.5,2.5))</f>
        <v>3.6</v>
      </c>
      <c r="AG1200" s="1">
        <f>MAX(配置与结果!$B$32,1+INDEX(配置与结果!$F$15:$F$18,F1200)+0.08+Q1200*方案参数!$W$36+Y1200*(方案参数!$AN$36+MIN(方案参数!$AO$36,P1200*0.03))+AB1200*方案参数!$BZ$36*0.025+0.1+IF(方案参数!$BZ$36&gt;=30,方案参数!$BZ$36*0.01,0)-配置与结果!$B$28)</f>
        <v>1.4350000000000001</v>
      </c>
      <c r="AH1200" s="1">
        <f>MAX(0,1+INDEX(配置与结果!$G$15:$G$18,F1200)+W1200*方案参数!$AG$36)</f>
        <v>1.3</v>
      </c>
      <c r="AI1200" s="1">
        <f>IF(OR(INDEX(配置与结果!$K$15:$K$18,F1200)=1,G1200="RHI_BERRY"),1+配置与结果!$B$33+P1200*方案参数!$AH$36,1)</f>
        <v>1</v>
      </c>
      <c r="AJ1200" s="1">
        <f>MIN(1,MAX(0,J1200+方案参数!$AB$36-配置与结果!$B$27))</f>
        <v>0.66700000000000004</v>
      </c>
      <c r="AK1200" s="1">
        <f>MAX(1,K1200+IF(F1200=2,0.15+方案参数!$CH$36,0)+BN1200*方案参数!$X$36+R1200*方案参数!$AA$36+0-配置与结果!$B$26+Z1200*(方案参数!$AP$36+MIN(方案参数!$AQ$36,P1200*0.03)))</f>
        <v>1.4969999999999999</v>
      </c>
      <c r="AL1200" s="7">
        <f>ROUNDDOWN(MAX(AD1200*配置与结果!$B$31,AD1200-AE1200)*AF1200*AG1200*AH1200*AI1200,0)</f>
        <v>10819</v>
      </c>
      <c r="AM1200" s="7">
        <f>ROUNDDOWN(MAX(AD1200*配置与结果!$B$31,AD1200-AE1200)*AF1200*AG1200*AH1200*AI1200*AK1200,0)</f>
        <v>16196</v>
      </c>
      <c r="AN1200" s="7">
        <f t="shared" si="1620"/>
        <v>14405.458999999999</v>
      </c>
      <c r="AO1200" s="7">
        <f>0</f>
        <v>0</v>
      </c>
      <c r="AP1200" s="7">
        <f>MAX(0,1+INDEX(配置与结果!$J$15:$J$18,F1200)+IF(T1200&gt;0,方案参数!$BY$36,0)-配置与结果!$B$30)</f>
        <v>1</v>
      </c>
      <c r="AQ1200" s="7">
        <f t="shared" si="1621"/>
        <v>0</v>
      </c>
      <c r="AR1200" s="7">
        <f t="shared" si="1622"/>
        <v>0</v>
      </c>
      <c r="AS1200" s="7">
        <f t="shared" si="1623"/>
        <v>0</v>
      </c>
      <c r="AT1200" s="7">
        <f>0</f>
        <v>0</v>
      </c>
      <c r="AU1200" s="7">
        <f t="shared" si="1624"/>
        <v>14405.458999999999</v>
      </c>
      <c r="AV1200" s="1">
        <f t="shared" si="1625"/>
        <v>1</v>
      </c>
      <c r="AW1200" s="1">
        <f>MIN(10,M1200+0+0)</f>
        <v>4</v>
      </c>
      <c r="AX1200" s="1">
        <f t="shared" si="1626"/>
        <v>0</v>
      </c>
      <c r="AY1200" s="1">
        <f t="shared" si="1695"/>
        <v>6</v>
      </c>
      <c r="AZ1200" s="1">
        <f t="shared" si="1627"/>
        <v>3</v>
      </c>
      <c r="BA1200" s="1">
        <f>MIN(6,Q1200+0)</f>
        <v>2</v>
      </c>
      <c r="BB1200" s="1">
        <f t="shared" si="1688"/>
        <v>5</v>
      </c>
      <c r="BC1200" s="1">
        <f>MIN(3,S1200+1)</f>
        <v>1</v>
      </c>
      <c r="BD1200" s="1">
        <f t="shared" si="1696"/>
        <v>0</v>
      </c>
      <c r="BE1200" s="1">
        <f t="shared" si="1689"/>
        <v>0</v>
      </c>
      <c r="BF1200" s="1">
        <f>MIN(4,V1200+0)</f>
        <v>1</v>
      </c>
      <c r="BG1200" s="1">
        <f t="shared" si="1693"/>
        <v>1</v>
      </c>
      <c r="BH1200" s="1">
        <f t="shared" si="1690"/>
        <v>1</v>
      </c>
      <c r="BI1200" s="1">
        <f t="shared" si="1694"/>
        <v>1</v>
      </c>
      <c r="BJ1200" s="1">
        <f t="shared" si="1664"/>
        <v>0</v>
      </c>
      <c r="BK1200" s="1">
        <f t="shared" si="1665"/>
        <v>0</v>
      </c>
      <c r="BL1200" s="1">
        <f t="shared" si="1670"/>
        <v>0</v>
      </c>
      <c r="BM1200" s="1">
        <f t="shared" si="1668"/>
        <v>0</v>
      </c>
      <c r="BN1200" s="1">
        <f t="shared" si="1691"/>
        <v>1</v>
      </c>
      <c r="BO1200" s="1">
        <f t="shared" si="1692"/>
        <v>1</v>
      </c>
    </row>
    <row r="1201" spans="1:67" ht="30.95" customHeight="1">
      <c r="A1201" s="1">
        <f>33</f>
        <v>33</v>
      </c>
      <c r="B1201" s="1">
        <f>固定流程!A13</f>
        <v>8</v>
      </c>
      <c r="C1201" s="1">
        <f>36</f>
        <v>36</v>
      </c>
      <c r="D1201" s="1">
        <f>1</f>
        <v>1</v>
      </c>
      <c r="E1201" s="1">
        <f>固定流程!C13</f>
        <v>2</v>
      </c>
      <c r="F1201" s="1">
        <f>固定流程!G13</f>
        <v>3</v>
      </c>
      <c r="G1201" s="1" t="str">
        <f>固定流程!H13</f>
        <v>RHI_ATTACK</v>
      </c>
      <c r="H1201" s="1">
        <f>固定流程!F13</f>
        <v>1</v>
      </c>
      <c r="I1201" s="1">
        <f>INDEX(配置与结果!$B$15:$B$18,F1201)</f>
        <v>2597</v>
      </c>
      <c r="J1201" s="1">
        <f>INDEX(配置与结果!$D$15:$D$18,F1201)</f>
        <v>0.255</v>
      </c>
      <c r="K1201" s="1">
        <f>INDEX(配置与结果!$E$15:$E$18,F1201)</f>
        <v>1.55</v>
      </c>
      <c r="L1201" s="1">
        <f>IF(AV1200=1,IF(M1201&gt;=10,2,1),IF(AV1200=2,IF(AX1200&lt;=1,0,2),0))</f>
        <v>1</v>
      </c>
      <c r="M1201" s="1">
        <f>IF(AND(AV1200=2,AX1200&lt;=1),0,MIN(10,AW1200+IF(AV1200=1,3,0)))</f>
        <v>7</v>
      </c>
      <c r="N1201" s="1">
        <f>IF(AND(AV1200=1,M1201&gt;=10),2,IF(AV1200=2,MAX(0,AX1200-1),0))</f>
        <v>0</v>
      </c>
      <c r="O1201" s="1">
        <f t="shared" ref="O1201:O1229" si="1697">AY1200</f>
        <v>6</v>
      </c>
      <c r="P1201" s="1">
        <f>MIN(方案参数!$AI$36,AZ1200+方案参数!$AJ$36+方案参数!$AK$36)</f>
        <v>5</v>
      </c>
      <c r="Q1201" s="1">
        <f t="shared" si="1675"/>
        <v>2</v>
      </c>
      <c r="R1201" s="1">
        <f t="shared" si="1676"/>
        <v>5</v>
      </c>
      <c r="S1201" s="1">
        <f t="shared" si="1677"/>
        <v>1</v>
      </c>
      <c r="T1201" s="1">
        <f t="shared" si="1678"/>
        <v>0</v>
      </c>
      <c r="U1201" s="1">
        <f t="shared" si="1679"/>
        <v>0</v>
      </c>
      <c r="V1201" s="1">
        <f t="shared" si="1680"/>
        <v>1</v>
      </c>
      <c r="W1201" s="1">
        <f t="shared" si="1681"/>
        <v>1</v>
      </c>
      <c r="X1201" s="1">
        <f t="shared" si="1682"/>
        <v>1</v>
      </c>
      <c r="Y1201" s="1">
        <f t="shared" si="1683"/>
        <v>1</v>
      </c>
      <c r="Z1201" s="1">
        <f t="shared" si="1684"/>
        <v>0</v>
      </c>
      <c r="AA1201" s="1">
        <f>MAX(BK1200,1)</f>
        <v>1</v>
      </c>
      <c r="AB1201" s="1">
        <f t="shared" si="1686"/>
        <v>0</v>
      </c>
      <c r="AC1201" s="1">
        <f t="shared" si="1687"/>
        <v>0</v>
      </c>
      <c r="AD1201" s="1">
        <f>ROUNDDOWN(I1201*(1+IF(F1201=3,0.05+方案参数!$Y$36+AA1201*0.12,IF(F1201=4,方案参数!$BZ$36*方案参数!$AS$36,0)))+IF(AND(X1201=1,F1201&lt;&gt;3),方案参数!$CC$36,0)+AC1201*方案参数!$CB$36,0)</f>
        <v>3298</v>
      </c>
      <c r="AE1201" s="1">
        <f>IF(OR(F1201=1,F1201=4),配置与结果!$B$24,配置与结果!$B$25)*MAX(0,1-INDEX(配置与结果!$I$15:$I$18,F1201))</f>
        <v>1000</v>
      </c>
      <c r="AF1201" s="1">
        <f>4</f>
        <v>4</v>
      </c>
      <c r="AG1201" s="1">
        <f>MAX(配置与结果!$B$32,1+INDEX(配置与结果!$F$15:$F$18,F1201)+0+Q1201*方案参数!$W$36+Y1201*(方案参数!$AN$36+MIN(方案参数!$AO$36,P1201*0.03))+AB1201*方案参数!$BZ$36*0.025-配置与结果!$B$28)</f>
        <v>0.97499999999999998</v>
      </c>
      <c r="AH1201" s="1">
        <f>MAX(0,1+INDEX(配置与结果!$G$15:$G$18,F1201)+W1201*方案参数!$AG$36)</f>
        <v>1.3</v>
      </c>
      <c r="AI1201" s="1">
        <f>IF(OR(INDEX(配置与结果!$K$15:$K$18,F1201)=1,G1201="RHI_BERRY"),1+配置与结果!$B$33+P1201*方案参数!$AH$36,1)</f>
        <v>1</v>
      </c>
      <c r="AJ1201" s="1">
        <f>MIN(1,MAX(0,J1201+方案参数!$AB$36-配置与结果!$B$27))</f>
        <v>0.55499999999999994</v>
      </c>
      <c r="AK1201" s="1">
        <f>MAX(1,K1201+IF(F1201=2,0.15+方案参数!$CH$36,0)+BN1201*方案参数!$X$36+R1201*方案参数!$AA$36+0-配置与结果!$B$26+Z1201*(方案参数!$AP$36+MIN(方案参数!$AQ$36,P1201*0.03)))</f>
        <v>1.33</v>
      </c>
      <c r="AL1201" s="7">
        <f>ROUNDDOWN(MAX(AD1201*配置与结果!$B$31,AD1201-AE1201)*AF1201*AG1201*AH1201*AI1201,0)</f>
        <v>11650</v>
      </c>
      <c r="AM1201" s="7">
        <f>ROUNDDOWN(MAX(AD1201*配置与结果!$B$31,AD1201-AE1201)*AF1201*AG1201*AH1201*AI1201*AK1201,0)</f>
        <v>15495</v>
      </c>
      <c r="AN1201" s="7">
        <f t="shared" si="1620"/>
        <v>13783.974999999999</v>
      </c>
      <c r="AO1201" s="7">
        <f>0</f>
        <v>0</v>
      </c>
      <c r="AP1201" s="7">
        <f>MAX(0,1+INDEX(配置与结果!$J$15:$J$18,F1201)+IF(T1201&gt;0,方案参数!$BY$36,0)-配置与结果!$B$30)</f>
        <v>1</v>
      </c>
      <c r="AQ1201" s="7">
        <f t="shared" si="1621"/>
        <v>0</v>
      </c>
      <c r="AR1201" s="7">
        <f t="shared" si="1622"/>
        <v>0</v>
      </c>
      <c r="AS1201" s="7">
        <f t="shared" si="1623"/>
        <v>0</v>
      </c>
      <c r="AT1201" s="7">
        <f>0</f>
        <v>0</v>
      </c>
      <c r="AU1201" s="7">
        <f t="shared" si="1624"/>
        <v>13783.974999999999</v>
      </c>
      <c r="AV1201" s="1">
        <f t="shared" si="1625"/>
        <v>1</v>
      </c>
      <c r="AW1201" s="1">
        <f>MIN(10,M1201+0+0)</f>
        <v>7</v>
      </c>
      <c r="AX1201" s="1">
        <f t="shared" si="1626"/>
        <v>0</v>
      </c>
      <c r="AY1201" s="1">
        <f t="shared" si="1695"/>
        <v>6</v>
      </c>
      <c r="AZ1201" s="1">
        <f t="shared" si="1627"/>
        <v>5</v>
      </c>
      <c r="BA1201" s="1">
        <f>MIN(6,Q1201+1)</f>
        <v>3</v>
      </c>
      <c r="BB1201" s="1">
        <f t="shared" si="1688"/>
        <v>5</v>
      </c>
      <c r="BC1201" s="1">
        <f>MIN(3,S1201+0)</f>
        <v>1</v>
      </c>
      <c r="BD1201" s="1">
        <f t="shared" si="1696"/>
        <v>0</v>
      </c>
      <c r="BE1201" s="1">
        <f t="shared" si="1689"/>
        <v>0</v>
      </c>
      <c r="BF1201" s="1">
        <f>MIN(4,V1201+0)</f>
        <v>1</v>
      </c>
      <c r="BG1201" s="1">
        <f t="shared" si="1693"/>
        <v>1</v>
      </c>
      <c r="BH1201" s="1">
        <f t="shared" si="1690"/>
        <v>1</v>
      </c>
      <c r="BI1201" s="1">
        <f t="shared" si="1694"/>
        <v>1</v>
      </c>
      <c r="BJ1201" s="1">
        <f>MAX(Z1201,1)</f>
        <v>1</v>
      </c>
      <c r="BK1201" s="1">
        <f>MAX(AA1201,1)</f>
        <v>1</v>
      </c>
      <c r="BL1201" s="1">
        <f t="shared" si="1670"/>
        <v>0</v>
      </c>
      <c r="BM1201" s="1">
        <f t="shared" si="1668"/>
        <v>0</v>
      </c>
      <c r="BN1201" s="1">
        <f t="shared" si="1691"/>
        <v>1</v>
      </c>
      <c r="BO1201" s="1">
        <f t="shared" si="1692"/>
        <v>1</v>
      </c>
    </row>
    <row r="1202" spans="1:67" ht="30.95" customHeight="1">
      <c r="A1202" s="1">
        <f>33</f>
        <v>33</v>
      </c>
      <c r="B1202" s="1">
        <f>固定流程!A14</f>
        <v>9</v>
      </c>
      <c r="C1202" s="1">
        <f>36</f>
        <v>36</v>
      </c>
      <c r="D1202" s="1">
        <f>1</f>
        <v>1</v>
      </c>
      <c r="E1202" s="1">
        <f>固定流程!C14</f>
        <v>2</v>
      </c>
      <c r="F1202" s="1">
        <f>固定流程!G14</f>
        <v>1</v>
      </c>
      <c r="G1202" s="1" t="str">
        <f>固定流程!H14</f>
        <v>LILYA_DIVE</v>
      </c>
      <c r="H1202" s="1">
        <f>固定流程!F14</f>
        <v>3</v>
      </c>
      <c r="I1202" s="1">
        <f>INDEX(配置与结果!$B$15:$B$18,F1202)</f>
        <v>2296</v>
      </c>
      <c r="J1202" s="1">
        <f>INDEX(配置与结果!$D$15:$D$18,F1202)</f>
        <v>0.7</v>
      </c>
      <c r="K1202" s="1">
        <f>INDEX(配置与结果!$E$15:$E$18,F1202)</f>
        <v>2.0249999999999999</v>
      </c>
      <c r="L1202" s="1">
        <f t="shared" ref="L1202:N1206" si="1698">AV1201</f>
        <v>1</v>
      </c>
      <c r="M1202" s="1">
        <f t="shared" si="1698"/>
        <v>7</v>
      </c>
      <c r="N1202" s="1">
        <f t="shared" si="1698"/>
        <v>0</v>
      </c>
      <c r="O1202" s="1">
        <f t="shared" si="1697"/>
        <v>6</v>
      </c>
      <c r="P1202" s="1">
        <f>MIN(方案参数!$AI$36,AZ1201+0+0)</f>
        <v>5</v>
      </c>
      <c r="Q1202" s="1">
        <f t="shared" si="1675"/>
        <v>3</v>
      </c>
      <c r="R1202" s="1">
        <f t="shared" si="1676"/>
        <v>5</v>
      </c>
      <c r="S1202" s="1">
        <f t="shared" si="1677"/>
        <v>1</v>
      </c>
      <c r="T1202" s="1">
        <f t="shared" si="1678"/>
        <v>0</v>
      </c>
      <c r="U1202" s="1">
        <f t="shared" si="1679"/>
        <v>0</v>
      </c>
      <c r="V1202" s="1">
        <f t="shared" si="1680"/>
        <v>1</v>
      </c>
      <c r="W1202" s="1">
        <f t="shared" si="1681"/>
        <v>1</v>
      </c>
      <c r="X1202" s="1">
        <f t="shared" si="1682"/>
        <v>1</v>
      </c>
      <c r="Y1202" s="1">
        <f t="shared" si="1683"/>
        <v>1</v>
      </c>
      <c r="Z1202" s="1">
        <f t="shared" si="1684"/>
        <v>1</v>
      </c>
      <c r="AA1202" s="1">
        <f t="shared" ref="AA1202:AA1207" si="1699">MAX(BK1201,0)</f>
        <v>1</v>
      </c>
      <c r="AB1202" s="1">
        <f t="shared" si="1686"/>
        <v>0</v>
      </c>
      <c r="AC1202" s="1">
        <f t="shared" si="1687"/>
        <v>0</v>
      </c>
      <c r="AD1202" s="1">
        <f>ROUNDDOWN(I1202*(1+IF(F1202=3,0.05+方案参数!$Y$36+AA1202*0.12,IF(F1202=4,方案参数!$BZ$36*方案参数!$AS$36,0)))+IF(AND(X1202=1,F1202&lt;&gt;3),方案参数!$CC$36,0)+AC1202*方案参数!$CB$36,0)</f>
        <v>2534</v>
      </c>
      <c r="AE1202" s="1">
        <f>IF(OR(F1202=1,F1202=4),配置与结果!$B$24,配置与结果!$B$25)*MAX(0,1-INDEX(配置与结果!$I$15:$I$18,F1202))</f>
        <v>1200</v>
      </c>
      <c r="AF1202" s="1">
        <f>(IF(L1202=1,方案参数!$AW$36,IF(L1202=2,方案参数!$AX$36,0))+方案参数!$AV$36)*H1202</f>
        <v>18</v>
      </c>
      <c r="AG1202" s="1">
        <f>MAX(配置与结果!$B$32,1+INDEX(配置与结果!$F$15:$F$18,F1202)+0.08+方案参数!$CD$36+Q1202*方案参数!$W$36+Y1202*(方案参数!$AN$36+MIN(方案参数!$AO$36,P1202*0.03))+AB1202*方案参数!$BZ$36*0.025+IF(L1202=1,方案参数!$AY$36+(H1202-1)*0.1,IF(L1202=2,方案参数!$AZ$36+(H1202-1)*0.2,0))-配置与结果!$B$28)</f>
        <v>1.6</v>
      </c>
      <c r="AH1202" s="1">
        <f>MAX(0,1+INDEX(配置与结果!$G$15:$G$18,F1202)+W1202*方案参数!$AG$36+IF(L1202=1,方案参数!$BA$36,IF(L1202=2,方案参数!$BB$36,0))+M1202*方案参数!$BC$36)</f>
        <v>2.3199999999999998</v>
      </c>
      <c r="AI1202" s="1">
        <f>IF(OR(INDEX(配置与结果!$K$15:$K$18,F1202)=1,G1202="RHI_BERRY"),1+配置与结果!$B$33+P1202*方案参数!$AH$36,1)</f>
        <v>1</v>
      </c>
      <c r="AJ1202" s="1">
        <f>MIN(1,MAX(0,J1202+方案参数!$AB$36-配置与结果!$B$27))</f>
        <v>1</v>
      </c>
      <c r="AK1202" s="1">
        <f>MAX(1,K1202+IF(F1202=2,0.15+方案参数!$CH$36,0)+BN1202*方案参数!$X$36+R1202*方案参数!$AA$36+0-配置与结果!$B$26+Z1202*(方案参数!$AP$36+MIN(方案参数!$AQ$36,P1202*0.03)))</f>
        <v>2.105</v>
      </c>
      <c r="AL1202" s="7">
        <f>ROUNDDOWN(MAX(AD1202*配置与结果!$B$31,AD1202-AE1202)*AF1202*AG1202*AH1202*AI1202,0)</f>
        <v>89132</v>
      </c>
      <c r="AM1202" s="7">
        <f>ROUNDDOWN(MAX(AD1202*配置与结果!$B$31,AD1202-AE1202)*AF1202*AG1202*AH1202*AI1202*AK1202,0)</f>
        <v>187624</v>
      </c>
      <c r="AN1202" s="7">
        <f t="shared" si="1620"/>
        <v>187624</v>
      </c>
      <c r="AO1202" s="7">
        <f>0</f>
        <v>0</v>
      </c>
      <c r="AP1202" s="7">
        <f>MAX(0,1+INDEX(配置与结果!$J$15:$J$18,F1202)+IF(T1202&gt;0,方案参数!$BY$36,0)-配置与结果!$B$30)</f>
        <v>1</v>
      </c>
      <c r="AQ1202" s="7">
        <f t="shared" si="1621"/>
        <v>0</v>
      </c>
      <c r="AR1202" s="7">
        <f t="shared" si="1622"/>
        <v>0</v>
      </c>
      <c r="AS1202" s="7">
        <f t="shared" si="1623"/>
        <v>0</v>
      </c>
      <c r="AT1202" s="7">
        <f>0</f>
        <v>0</v>
      </c>
      <c r="AU1202" s="7">
        <f t="shared" si="1624"/>
        <v>187624</v>
      </c>
      <c r="AV1202" s="1">
        <f t="shared" si="1625"/>
        <v>1</v>
      </c>
      <c r="AW1202" s="1">
        <f>MIN(10,M1202+0+IF(L1202=1,方案参数!$BE$36,0))</f>
        <v>8</v>
      </c>
      <c r="AX1202" s="1">
        <f t="shared" si="1626"/>
        <v>0</v>
      </c>
      <c r="AY1202" s="1">
        <f t="shared" si="1695"/>
        <v>6</v>
      </c>
      <c r="AZ1202" s="1">
        <f t="shared" si="1627"/>
        <v>5</v>
      </c>
      <c r="BA1202" s="1">
        <f>MIN(6,Q1202+0)</f>
        <v>3</v>
      </c>
      <c r="BB1202" s="1">
        <f t="shared" si="1688"/>
        <v>5</v>
      </c>
      <c r="BC1202" s="1">
        <f>MIN(3,S1202+0)</f>
        <v>1</v>
      </c>
      <c r="BD1202" s="1">
        <f t="shared" si="1696"/>
        <v>0</v>
      </c>
      <c r="BE1202" s="1">
        <f t="shared" si="1689"/>
        <v>0</v>
      </c>
      <c r="BF1202" s="1">
        <f>MIN(4,V1202+0)</f>
        <v>1</v>
      </c>
      <c r="BG1202" s="1">
        <f t="shared" si="1693"/>
        <v>1</v>
      </c>
      <c r="BH1202" s="1">
        <f t="shared" si="1690"/>
        <v>1</v>
      </c>
      <c r="BI1202" s="1">
        <f t="shared" si="1694"/>
        <v>1</v>
      </c>
      <c r="BJ1202" s="1">
        <f t="shared" ref="BJ1202:BK1207" si="1700">MAX(Z1202,0)</f>
        <v>1</v>
      </c>
      <c r="BK1202" s="1">
        <f t="shared" si="1700"/>
        <v>1</v>
      </c>
      <c r="BL1202" s="1">
        <f t="shared" si="1670"/>
        <v>0</v>
      </c>
      <c r="BM1202" s="1">
        <f t="shared" si="1668"/>
        <v>0</v>
      </c>
      <c r="BN1202" s="1">
        <f t="shared" si="1691"/>
        <v>1</v>
      </c>
      <c r="BO1202" s="1">
        <f t="shared" si="1692"/>
        <v>1</v>
      </c>
    </row>
    <row r="1203" spans="1:67" ht="30.95" customHeight="1">
      <c r="A1203" s="1">
        <f>33</f>
        <v>33</v>
      </c>
      <c r="B1203" s="1">
        <f>固定流程!A15</f>
        <v>10</v>
      </c>
      <c r="C1203" s="1">
        <f>36</f>
        <v>36</v>
      </c>
      <c r="D1203" s="1">
        <f>1</f>
        <v>1</v>
      </c>
      <c r="E1203" s="1">
        <f>固定流程!C15</f>
        <v>2</v>
      </c>
      <c r="F1203" s="1">
        <f>固定流程!G15</f>
        <v>4</v>
      </c>
      <c r="G1203" s="1" t="str">
        <f>固定流程!H15</f>
        <v>J_HARD</v>
      </c>
      <c r="H1203" s="1">
        <f>固定流程!F15</f>
        <v>1</v>
      </c>
      <c r="I1203" s="1">
        <f>INDEX(配置与结果!$B$15:$B$18,F1203)</f>
        <v>1906</v>
      </c>
      <c r="J1203" s="1">
        <f>INDEX(配置与结果!$D$15:$D$18,F1203)</f>
        <v>0.36699999999999999</v>
      </c>
      <c r="K1203" s="1">
        <f>INDEX(配置与结果!$E$15:$E$18,F1203)</f>
        <v>1.7170000000000001</v>
      </c>
      <c r="L1203" s="1">
        <f t="shared" si="1698"/>
        <v>1</v>
      </c>
      <c r="M1203" s="1">
        <f t="shared" si="1698"/>
        <v>8</v>
      </c>
      <c r="N1203" s="1">
        <f t="shared" si="1698"/>
        <v>0</v>
      </c>
      <c r="O1203" s="1">
        <f t="shared" si="1697"/>
        <v>6</v>
      </c>
      <c r="P1203" s="1">
        <f>MIN(方案参数!$AI$36,AZ1202+0+0)</f>
        <v>5</v>
      </c>
      <c r="Q1203" s="1">
        <f t="shared" si="1675"/>
        <v>3</v>
      </c>
      <c r="R1203" s="1">
        <f t="shared" si="1676"/>
        <v>5</v>
      </c>
      <c r="S1203" s="1">
        <f t="shared" si="1677"/>
        <v>1</v>
      </c>
      <c r="T1203" s="1">
        <f t="shared" si="1678"/>
        <v>0</v>
      </c>
      <c r="U1203" s="1">
        <f t="shared" si="1679"/>
        <v>0</v>
      </c>
      <c r="V1203" s="1">
        <f t="shared" si="1680"/>
        <v>1</v>
      </c>
      <c r="W1203" s="1">
        <f t="shared" si="1681"/>
        <v>1</v>
      </c>
      <c r="X1203" s="1">
        <f t="shared" si="1682"/>
        <v>1</v>
      </c>
      <c r="Y1203" s="1">
        <f t="shared" si="1683"/>
        <v>1</v>
      </c>
      <c r="Z1203" s="1">
        <f t="shared" si="1684"/>
        <v>1</v>
      </c>
      <c r="AA1203" s="1">
        <f t="shared" si="1699"/>
        <v>1</v>
      </c>
      <c r="AB1203" s="1">
        <f t="shared" si="1686"/>
        <v>0</v>
      </c>
      <c r="AC1203" s="1">
        <f t="shared" si="1687"/>
        <v>0</v>
      </c>
      <c r="AD1203" s="1">
        <f>ROUNDDOWN(I1203*(1+IF(F1203=3,0.05+方案参数!$Y$36+AA1203*0.12,IF(F1203=4,方案参数!$BZ$36*方案参数!$AS$36,0)))+IF(AND(X1203=1,F1203&lt;&gt;3),方案参数!$CC$36,0)+AC1203*方案参数!$CB$36,0)</f>
        <v>2811</v>
      </c>
      <c r="AE1203" s="1">
        <f>IF(OR(F1203=1,F1203=4),配置与结果!$B$24,配置与结果!$B$25)*MAX(0,1-INDEX(配置与结果!$I$15:$I$18,F1203))</f>
        <v>1200</v>
      </c>
      <c r="AF1203" s="1">
        <f>3.6*IF(H1203=1,1,IF(H1203=2,1.5,2.5))</f>
        <v>3.6</v>
      </c>
      <c r="AG1203" s="1">
        <f>MAX(配置与结果!$B$32,1+INDEX(配置与结果!$F$15:$F$18,F1203)+0.08+Q1203*方案参数!$W$36+Y1203*(方案参数!$AN$36+MIN(方案参数!$AO$36,P1203*0.03))+AB1203*方案参数!$BZ$36*0.025+0.1+IF(方案参数!$BZ$36&gt;=30,方案参数!$BZ$36*0.01,0)-配置与结果!$B$28)</f>
        <v>1.5150000000000001</v>
      </c>
      <c r="AH1203" s="1">
        <f>MAX(0,1+INDEX(配置与结果!$G$15:$G$18,F1203)+W1203*方案参数!$AG$36)</f>
        <v>1.3</v>
      </c>
      <c r="AI1203" s="1">
        <f>IF(OR(INDEX(配置与结果!$K$15:$K$18,F1203)=1,G1203="RHI_BERRY"),1+配置与结果!$B$33+P1203*方案参数!$AH$36,1)</f>
        <v>1</v>
      </c>
      <c r="AJ1203" s="1">
        <f>MIN(1,MAX(0,J1203+方案参数!$AB$36-配置与结果!$B$27))</f>
        <v>0.66700000000000004</v>
      </c>
      <c r="AK1203" s="1">
        <f>MAX(1,K1203+IF(F1203=2,0.15+方案参数!$CH$36,0)+BN1203*方案参数!$X$36+R1203*方案参数!$AA$36+0-配置与结果!$B$26+Z1203*(方案参数!$AP$36+MIN(方案参数!$AQ$36,P1203*0.03)))</f>
        <v>1.7969999999999999</v>
      </c>
      <c r="AL1203" s="7">
        <f>ROUNDDOWN(MAX(AD1203*配置与结果!$B$31,AD1203-AE1203)*AF1203*AG1203*AH1203*AI1203,0)</f>
        <v>11422</v>
      </c>
      <c r="AM1203" s="7">
        <f>ROUNDDOWN(MAX(AD1203*配置与结果!$B$31,AD1203-AE1203)*AF1203*AG1203*AH1203*AI1203*AK1203,0)</f>
        <v>20525</v>
      </c>
      <c r="AN1203" s="7">
        <f t="shared" si="1620"/>
        <v>17493.701000000001</v>
      </c>
      <c r="AO1203" s="7">
        <f>0</f>
        <v>0</v>
      </c>
      <c r="AP1203" s="7">
        <f>MAX(0,1+INDEX(配置与结果!$J$15:$J$18,F1203)+IF(T1203&gt;0,方案参数!$BY$36,0)-配置与结果!$B$30)</f>
        <v>1</v>
      </c>
      <c r="AQ1203" s="7">
        <f t="shared" si="1621"/>
        <v>0</v>
      </c>
      <c r="AR1203" s="7">
        <f t="shared" si="1622"/>
        <v>0</v>
      </c>
      <c r="AS1203" s="7">
        <f t="shared" si="1623"/>
        <v>0</v>
      </c>
      <c r="AT1203" s="7">
        <f>0</f>
        <v>0</v>
      </c>
      <c r="AU1203" s="7">
        <f t="shared" si="1624"/>
        <v>17493.701000000001</v>
      </c>
      <c r="AV1203" s="1">
        <f t="shared" si="1625"/>
        <v>1</v>
      </c>
      <c r="AW1203" s="1">
        <f t="shared" ref="AW1203:AW1213" si="1701">MIN(10,M1203+0+0)</f>
        <v>8</v>
      </c>
      <c r="AX1203" s="1">
        <f t="shared" si="1626"/>
        <v>0</v>
      </c>
      <c r="AY1203" s="1">
        <f t="shared" si="1695"/>
        <v>6</v>
      </c>
      <c r="AZ1203" s="1">
        <f t="shared" si="1627"/>
        <v>5</v>
      </c>
      <c r="BA1203" s="1">
        <f>MIN(6,Q1203+0)</f>
        <v>3</v>
      </c>
      <c r="BB1203" s="1">
        <f t="shared" si="1688"/>
        <v>5</v>
      </c>
      <c r="BC1203" s="1">
        <f>MIN(3,S1203+1)</f>
        <v>2</v>
      </c>
      <c r="BD1203" s="1">
        <f t="shared" si="1696"/>
        <v>0</v>
      </c>
      <c r="BE1203" s="1">
        <f t="shared" si="1689"/>
        <v>0</v>
      </c>
      <c r="BF1203" s="1">
        <f>MIN(4,V1203+0)</f>
        <v>1</v>
      </c>
      <c r="BG1203" s="1">
        <f t="shared" si="1693"/>
        <v>1</v>
      </c>
      <c r="BH1203" s="1">
        <f t="shared" si="1690"/>
        <v>1</v>
      </c>
      <c r="BI1203" s="1">
        <f t="shared" si="1694"/>
        <v>1</v>
      </c>
      <c r="BJ1203" s="1">
        <f t="shared" si="1700"/>
        <v>1</v>
      </c>
      <c r="BK1203" s="1">
        <f t="shared" si="1700"/>
        <v>1</v>
      </c>
      <c r="BL1203" s="1">
        <f t="shared" si="1670"/>
        <v>0</v>
      </c>
      <c r="BM1203" s="1">
        <f t="shared" si="1668"/>
        <v>0</v>
      </c>
      <c r="BN1203" s="1">
        <f t="shared" si="1691"/>
        <v>1</v>
      </c>
      <c r="BO1203" s="1">
        <f t="shared" si="1692"/>
        <v>1</v>
      </c>
    </row>
    <row r="1204" spans="1:67" ht="30.95" customHeight="1">
      <c r="A1204" s="1">
        <f>33</f>
        <v>33</v>
      </c>
      <c r="B1204" s="1">
        <f>固定流程!A16</f>
        <v>11</v>
      </c>
      <c r="C1204" s="1">
        <f>36</f>
        <v>36</v>
      </c>
      <c r="D1204" s="1">
        <f>1</f>
        <v>1</v>
      </c>
      <c r="E1204" s="1">
        <f>固定流程!C16</f>
        <v>2</v>
      </c>
      <c r="F1204" s="1">
        <f>固定流程!G16</f>
        <v>2</v>
      </c>
      <c r="G1204" s="1" t="str">
        <f>固定流程!H16</f>
        <v>37_CURVE</v>
      </c>
      <c r="H1204" s="1">
        <f>固定流程!F16</f>
        <v>1</v>
      </c>
      <c r="I1204" s="1">
        <f>INDEX(配置与结果!$B$15:$B$18,F1204)</f>
        <v>2306</v>
      </c>
      <c r="J1204" s="1">
        <f>INDEX(配置与结果!$D$15:$D$18,F1204)</f>
        <v>0.46</v>
      </c>
      <c r="K1204" s="1">
        <f>INDEX(配置与结果!$E$15:$E$18,F1204)</f>
        <v>1.9279999999999999</v>
      </c>
      <c r="L1204" s="1">
        <f t="shared" si="1698"/>
        <v>1</v>
      </c>
      <c r="M1204" s="1">
        <f t="shared" si="1698"/>
        <v>8</v>
      </c>
      <c r="N1204" s="1">
        <f t="shared" si="1698"/>
        <v>0</v>
      </c>
      <c r="O1204" s="1">
        <f t="shared" si="1697"/>
        <v>6</v>
      </c>
      <c r="P1204" s="1">
        <f>MIN(方案参数!$AI$36,AZ1203+0+0)</f>
        <v>5</v>
      </c>
      <c r="Q1204" s="1">
        <f t="shared" si="1675"/>
        <v>3</v>
      </c>
      <c r="R1204" s="1">
        <f t="shared" si="1676"/>
        <v>5</v>
      </c>
      <c r="S1204" s="1">
        <f t="shared" si="1677"/>
        <v>2</v>
      </c>
      <c r="T1204" s="1">
        <f t="shared" si="1678"/>
        <v>0</v>
      </c>
      <c r="U1204" s="1">
        <f t="shared" si="1679"/>
        <v>0</v>
      </c>
      <c r="V1204" s="1">
        <f t="shared" si="1680"/>
        <v>1</v>
      </c>
      <c r="W1204" s="1">
        <f t="shared" si="1681"/>
        <v>1</v>
      </c>
      <c r="X1204" s="1">
        <f t="shared" si="1682"/>
        <v>1</v>
      </c>
      <c r="Y1204" s="1">
        <f t="shared" si="1683"/>
        <v>1</v>
      </c>
      <c r="Z1204" s="1">
        <f t="shared" si="1684"/>
        <v>1</v>
      </c>
      <c r="AA1204" s="1">
        <f t="shared" si="1699"/>
        <v>1</v>
      </c>
      <c r="AB1204" s="1">
        <f t="shared" si="1686"/>
        <v>0</v>
      </c>
      <c r="AC1204" s="1">
        <f t="shared" si="1687"/>
        <v>0</v>
      </c>
      <c r="AD1204" s="1">
        <f>ROUNDDOWN(I1204*(1+IF(F1204=3,0.05+方案参数!$Y$36+AA1204*0.12,IF(F1204=4,方案参数!$BZ$36*方案参数!$AS$36,0)))+IF(AND(X1204=1,F1204&lt;&gt;3),方案参数!$CC$36,0)+AC1204*方案参数!$CB$36,0)</f>
        <v>2544</v>
      </c>
      <c r="AE1204" s="1">
        <f>IF(OR(F1204=1,F1204=4),配置与结果!$B$24,配置与结果!$B$25)*MAX(0,1-INDEX(配置与结果!$I$15:$I$18,F1204))</f>
        <v>1000</v>
      </c>
      <c r="AF1204" s="1">
        <f>方案参数!$BT$36*IF(H1204=1,1,IF(H1204=2,1.5,2.5))</f>
        <v>1.4</v>
      </c>
      <c r="AG1204" s="1">
        <f>MAX(配置与结果!$B$32,1+INDEX(配置与结果!$F$15:$F$18,F1204)+0+Q1204*方案参数!$W$36+Y1204*(方案参数!$AN$36+MIN(方案参数!$AO$36,P1204*0.03))+AB1204*方案参数!$BZ$36*0.025-配置与结果!$B$28)</f>
        <v>0.96499999999999997</v>
      </c>
      <c r="AH1204" s="1">
        <f>MAX(0,1+INDEX(配置与结果!$G$15:$G$18,F1204)+W1204*方案参数!$AG$36)</f>
        <v>1.3</v>
      </c>
      <c r="AI1204" s="1">
        <f>IF(OR(INDEX(配置与结果!$K$15:$K$18,F1204)=1,G1204="RHI_BERRY"),1+配置与结果!$B$33+P1204*方案参数!$AH$36,1)</f>
        <v>1</v>
      </c>
      <c r="AJ1204" s="1">
        <f>MIN(1,MAX(0,J1204+方案参数!$AB$36-配置与结果!$B$27))</f>
        <v>0.76</v>
      </c>
      <c r="AK1204" s="1">
        <f>MAX(1,K1204+IF(F1204=2,0.15+方案参数!$CH$36,0)+BN1204*方案参数!$X$36+R1204*方案参数!$AA$36+0-配置与结果!$B$26+Z1204*(方案参数!$AP$36+MIN(方案参数!$AQ$36,P1204*0.03)))</f>
        <v>2.3380000000000001</v>
      </c>
      <c r="AL1204" s="7">
        <f>ROUNDDOWN(MAX(AD1204*配置与结果!$B$31,AD1204-AE1204)*AF1204*AG1204*AH1204*AI1204,0)</f>
        <v>2711</v>
      </c>
      <c r="AM1204" s="7">
        <f>ROUNDDOWN(MAX(AD1204*配置与结果!$B$31,AD1204-AE1204)*AF1204*AG1204*AH1204*AI1204*AK1204,0)</f>
        <v>6340</v>
      </c>
      <c r="AN1204" s="7">
        <f t="shared" si="1620"/>
        <v>5469.04</v>
      </c>
      <c r="AO1204" s="7">
        <f>方案参数!$BU$36*IF(H1204=1,1,IF(H1204=2,1.5,2.5))</f>
        <v>0.8</v>
      </c>
      <c r="AP1204" s="7">
        <f>MAX(0,1+INDEX(配置与结果!$J$15:$J$18,F1204)+IF(T1204&gt;0,方案参数!$BY$36,0)-配置与结果!$B$30)</f>
        <v>1</v>
      </c>
      <c r="AQ1204" s="7">
        <f t="shared" si="1621"/>
        <v>2035</v>
      </c>
      <c r="AR1204" s="7">
        <f t="shared" si="1622"/>
        <v>4757</v>
      </c>
      <c r="AS1204" s="7">
        <f t="shared" si="1623"/>
        <v>4103.72</v>
      </c>
      <c r="AT1204" s="7">
        <f>0</f>
        <v>0</v>
      </c>
      <c r="AU1204" s="7">
        <f t="shared" si="1624"/>
        <v>9572.76</v>
      </c>
      <c r="AV1204" s="1">
        <f t="shared" si="1625"/>
        <v>1</v>
      </c>
      <c r="AW1204" s="1">
        <f t="shared" si="1701"/>
        <v>8</v>
      </c>
      <c r="AX1204" s="1">
        <f t="shared" si="1626"/>
        <v>0</v>
      </c>
      <c r="AY1204" s="1">
        <f t="shared" si="1695"/>
        <v>6</v>
      </c>
      <c r="AZ1204" s="1">
        <f t="shared" si="1627"/>
        <v>5</v>
      </c>
      <c r="BA1204" s="1">
        <f>MIN(6,Q1204+0)</f>
        <v>3</v>
      </c>
      <c r="BB1204" s="1">
        <f t="shared" si="1688"/>
        <v>5</v>
      </c>
      <c r="BC1204" s="1">
        <f t="shared" ref="BC1204:BC1210" si="1702">MIN(3,S1204+0)</f>
        <v>2</v>
      </c>
      <c r="BD1204" s="1">
        <f t="shared" si="1696"/>
        <v>0</v>
      </c>
      <c r="BE1204" s="1">
        <f t="shared" si="1689"/>
        <v>0</v>
      </c>
      <c r="BF1204" s="1">
        <f>MIN(4,V1204+0)</f>
        <v>1</v>
      </c>
      <c r="BG1204" s="1">
        <f t="shared" si="1693"/>
        <v>1</v>
      </c>
      <c r="BH1204" s="1">
        <f t="shared" si="1690"/>
        <v>1</v>
      </c>
      <c r="BI1204" s="1">
        <f t="shared" si="1694"/>
        <v>1</v>
      </c>
      <c r="BJ1204" s="1">
        <f t="shared" si="1700"/>
        <v>1</v>
      </c>
      <c r="BK1204" s="1">
        <f t="shared" si="1700"/>
        <v>1</v>
      </c>
      <c r="BL1204" s="1">
        <f t="shared" si="1670"/>
        <v>0</v>
      </c>
      <c r="BM1204" s="1">
        <f t="shared" si="1668"/>
        <v>0</v>
      </c>
      <c r="BN1204" s="1">
        <f t="shared" si="1691"/>
        <v>1</v>
      </c>
      <c r="BO1204" s="1">
        <f t="shared" si="1692"/>
        <v>1</v>
      </c>
    </row>
    <row r="1205" spans="1:67" ht="30.95" customHeight="1">
      <c r="A1205" s="1">
        <f>33</f>
        <v>33</v>
      </c>
      <c r="B1205" s="1">
        <f>固定流程!A17</f>
        <v>12</v>
      </c>
      <c r="C1205" s="1">
        <f>36</f>
        <v>36</v>
      </c>
      <c r="D1205" s="1">
        <f>1</f>
        <v>1</v>
      </c>
      <c r="E1205" s="1">
        <f>固定流程!C17</f>
        <v>2</v>
      </c>
      <c r="F1205" s="1">
        <f>固定流程!G17</f>
        <v>2</v>
      </c>
      <c r="G1205" s="1" t="str">
        <f>固定流程!H17</f>
        <v>37_FOLLOW</v>
      </c>
      <c r="H1205" s="1">
        <f>固定流程!F17</f>
        <v>1</v>
      </c>
      <c r="I1205" s="1">
        <f>INDEX(配置与结果!$B$15:$B$18,F1205)</f>
        <v>2306</v>
      </c>
      <c r="J1205" s="1">
        <f>INDEX(配置与结果!$D$15:$D$18,F1205)</f>
        <v>0.46</v>
      </c>
      <c r="K1205" s="1">
        <f>INDEX(配置与结果!$E$15:$E$18,F1205)</f>
        <v>1.9279999999999999</v>
      </c>
      <c r="L1205" s="1">
        <f t="shared" si="1698"/>
        <v>1</v>
      </c>
      <c r="M1205" s="1">
        <f t="shared" si="1698"/>
        <v>8</v>
      </c>
      <c r="N1205" s="1">
        <f t="shared" si="1698"/>
        <v>0</v>
      </c>
      <c r="O1205" s="1">
        <f t="shared" si="1697"/>
        <v>6</v>
      </c>
      <c r="P1205" s="1">
        <f>MIN(方案参数!$AI$36,AZ1204+0+0)</f>
        <v>5</v>
      </c>
      <c r="Q1205" s="1">
        <f t="shared" si="1675"/>
        <v>3</v>
      </c>
      <c r="R1205" s="1">
        <f t="shared" si="1676"/>
        <v>5</v>
      </c>
      <c r="S1205" s="1">
        <f t="shared" si="1677"/>
        <v>2</v>
      </c>
      <c r="T1205" s="1">
        <f t="shared" si="1678"/>
        <v>0</v>
      </c>
      <c r="U1205" s="1">
        <f t="shared" si="1679"/>
        <v>0</v>
      </c>
      <c r="V1205" s="1">
        <f t="shared" si="1680"/>
        <v>1</v>
      </c>
      <c r="W1205" s="1">
        <f t="shared" si="1681"/>
        <v>1</v>
      </c>
      <c r="X1205" s="1">
        <f t="shared" si="1682"/>
        <v>1</v>
      </c>
      <c r="Y1205" s="1">
        <f t="shared" si="1683"/>
        <v>1</v>
      </c>
      <c r="Z1205" s="1">
        <f t="shared" si="1684"/>
        <v>1</v>
      </c>
      <c r="AA1205" s="1">
        <f t="shared" si="1699"/>
        <v>1</v>
      </c>
      <c r="AB1205" s="1">
        <f t="shared" si="1686"/>
        <v>0</v>
      </c>
      <c r="AC1205" s="1">
        <f t="shared" si="1687"/>
        <v>0</v>
      </c>
      <c r="AD1205" s="1">
        <f>ROUNDDOWN(I1205*(1+IF(F1205=3,0.05+方案参数!$Y$36+AA1205*0.12,IF(F1205=4,方案参数!$BZ$36*方案参数!$AS$36,0)))+IF(AND(X1205=1,F1205&lt;&gt;3),方案参数!$CC$36,0)+AC1205*方案参数!$CB$36,0)</f>
        <v>2544</v>
      </c>
      <c r="AE1205" s="1">
        <f>IF(OR(F1205=1,F1205=4),配置与结果!$B$24,配置与结果!$B$25)*MAX(0,1-INDEX(配置与结果!$I$15:$I$18,F1205))</f>
        <v>1000</v>
      </c>
      <c r="AF1205" s="1">
        <f>方案参数!$BV$36</f>
        <v>3</v>
      </c>
      <c r="AG1205" s="1">
        <f>MAX(配置与结果!$B$32,1+INDEX(配置与结果!$F$15:$F$18,F1205)+0+Q1205*方案参数!$W$36+Y1205*(方案参数!$AN$36+MIN(方案参数!$AO$36,P1205*0.03))+AB1205*方案参数!$BZ$36*0.025-配置与结果!$B$28)</f>
        <v>0.96499999999999997</v>
      </c>
      <c r="AH1205" s="1">
        <f>MAX(0,1+INDEX(配置与结果!$G$15:$G$18,F1205)+W1205*方案参数!$AG$36)</f>
        <v>1.3</v>
      </c>
      <c r="AI1205" s="1">
        <f>IF(OR(INDEX(配置与结果!$K$15:$K$18,F1205)=1,G1205="RHI_BERRY"),1+配置与结果!$B$33+P1205*方案参数!$AH$36,1)</f>
        <v>1</v>
      </c>
      <c r="AJ1205" s="1">
        <f>MIN(1,MAX(0,J1205+方案参数!$AB$36-配置与结果!$B$27))</f>
        <v>0.76</v>
      </c>
      <c r="AK1205" s="1">
        <f>MAX(1,K1205+IF(F1205=2,0.15+方案参数!$CH$36,0)+BN1205*方案参数!$X$36+R1205*方案参数!$AA$36+0-配置与结果!$B$26+Z1205*(方案参数!$AP$36+MIN(方案参数!$AQ$36,P1205*0.03)))</f>
        <v>2.3380000000000001</v>
      </c>
      <c r="AL1205" s="7">
        <f>ROUNDDOWN(MAX(AD1205*配置与结果!$B$31,AD1205-AE1205)*AF1205*AG1205*AH1205*AI1205,0)</f>
        <v>5810</v>
      </c>
      <c r="AM1205" s="7">
        <f>ROUNDDOWN(MAX(AD1205*配置与结果!$B$31,AD1205-AE1205)*AF1205*AG1205*AH1205*AI1205*AK1205,0)</f>
        <v>13585</v>
      </c>
      <c r="AN1205" s="7">
        <f t="shared" si="1620"/>
        <v>11719</v>
      </c>
      <c r="AO1205" s="7">
        <f>方案参数!$BW$36</f>
        <v>1</v>
      </c>
      <c r="AP1205" s="7">
        <f>MAX(0,1+INDEX(配置与结果!$J$15:$J$18,F1205)+IF(T1205&gt;0,方案参数!$BY$36,0)-配置与结果!$B$30)</f>
        <v>1</v>
      </c>
      <c r="AQ1205" s="7">
        <f t="shared" si="1621"/>
        <v>2544</v>
      </c>
      <c r="AR1205" s="7">
        <f t="shared" si="1622"/>
        <v>5947</v>
      </c>
      <c r="AS1205" s="7">
        <f t="shared" si="1623"/>
        <v>5130.2800000000007</v>
      </c>
      <c r="AT1205" s="7">
        <f>0</f>
        <v>0</v>
      </c>
      <c r="AU1205" s="7">
        <f t="shared" si="1624"/>
        <v>16849.28</v>
      </c>
      <c r="AV1205" s="1">
        <f t="shared" si="1625"/>
        <v>1</v>
      </c>
      <c r="AW1205" s="1">
        <f t="shared" si="1701"/>
        <v>8</v>
      </c>
      <c r="AX1205" s="1">
        <f t="shared" si="1626"/>
        <v>0</v>
      </c>
      <c r="AY1205" s="1">
        <f t="shared" si="1695"/>
        <v>6</v>
      </c>
      <c r="AZ1205" s="1">
        <f t="shared" si="1627"/>
        <v>5</v>
      </c>
      <c r="BA1205" s="1">
        <f>MIN(6,Q1205+0)</f>
        <v>3</v>
      </c>
      <c r="BB1205" s="1">
        <f t="shared" si="1688"/>
        <v>5</v>
      </c>
      <c r="BC1205" s="1">
        <f t="shared" si="1702"/>
        <v>2</v>
      </c>
      <c r="BD1205" s="1">
        <f t="shared" si="1696"/>
        <v>0</v>
      </c>
      <c r="BE1205" s="1">
        <f t="shared" si="1689"/>
        <v>0</v>
      </c>
      <c r="BF1205" s="1">
        <f>MIN(4,V1205+1)</f>
        <v>2</v>
      </c>
      <c r="BG1205" s="1">
        <f t="shared" si="1693"/>
        <v>1</v>
      </c>
      <c r="BH1205" s="1">
        <f t="shared" si="1690"/>
        <v>1</v>
      </c>
      <c r="BI1205" s="1">
        <f t="shared" si="1694"/>
        <v>1</v>
      </c>
      <c r="BJ1205" s="1">
        <f t="shared" si="1700"/>
        <v>1</v>
      </c>
      <c r="BK1205" s="1">
        <f t="shared" si="1700"/>
        <v>1</v>
      </c>
      <c r="BL1205" s="1">
        <f t="shared" si="1670"/>
        <v>0</v>
      </c>
      <c r="BM1205" s="1">
        <f t="shared" si="1668"/>
        <v>0</v>
      </c>
      <c r="BN1205" s="1">
        <f t="shared" si="1691"/>
        <v>1</v>
      </c>
      <c r="BO1205" s="1">
        <f t="shared" si="1692"/>
        <v>1</v>
      </c>
    </row>
    <row r="1206" spans="1:67" ht="30.95" customHeight="1">
      <c r="A1206" s="1">
        <f>33</f>
        <v>33</v>
      </c>
      <c r="B1206" s="1">
        <f>固定流程!A18</f>
        <v>13</v>
      </c>
      <c r="C1206" s="1">
        <f>36</f>
        <v>36</v>
      </c>
      <c r="D1206" s="1">
        <f>1</f>
        <v>1</v>
      </c>
      <c r="E1206" s="1">
        <f>固定流程!C18</f>
        <v>2</v>
      </c>
      <c r="F1206" s="1">
        <f>固定流程!G18</f>
        <v>3</v>
      </c>
      <c r="G1206" s="1" t="str">
        <f>固定流程!H18</f>
        <v>RHI_BERRY</v>
      </c>
      <c r="H1206" s="1">
        <f>固定流程!F18</f>
        <v>1</v>
      </c>
      <c r="I1206" s="1">
        <f>INDEX(配置与结果!$B$15:$B$18,F1206)</f>
        <v>2597</v>
      </c>
      <c r="J1206" s="1">
        <f>INDEX(配置与结果!$D$15:$D$18,F1206)</f>
        <v>0.255</v>
      </c>
      <c r="K1206" s="1">
        <f>INDEX(配置与结果!$E$15:$E$18,F1206)</f>
        <v>1.55</v>
      </c>
      <c r="L1206" s="1">
        <f t="shared" si="1698"/>
        <v>1</v>
      </c>
      <c r="M1206" s="1">
        <f t="shared" si="1698"/>
        <v>8</v>
      </c>
      <c r="N1206" s="1">
        <f t="shared" si="1698"/>
        <v>0</v>
      </c>
      <c r="O1206" s="1">
        <f t="shared" si="1697"/>
        <v>6</v>
      </c>
      <c r="P1206" s="1">
        <f>MIN(方案参数!$AI$36,AZ1205+0+0)</f>
        <v>5</v>
      </c>
      <c r="Q1206" s="1">
        <f t="shared" si="1675"/>
        <v>3</v>
      </c>
      <c r="R1206" s="1">
        <f t="shared" si="1676"/>
        <v>5</v>
      </c>
      <c r="S1206" s="1">
        <f t="shared" si="1677"/>
        <v>2</v>
      </c>
      <c r="T1206" s="1">
        <f t="shared" si="1678"/>
        <v>0</v>
      </c>
      <c r="U1206" s="1">
        <f t="shared" si="1679"/>
        <v>0</v>
      </c>
      <c r="V1206" s="1">
        <f t="shared" si="1680"/>
        <v>2</v>
      </c>
      <c r="W1206" s="1">
        <f t="shared" si="1681"/>
        <v>1</v>
      </c>
      <c r="X1206" s="1">
        <f t="shared" si="1682"/>
        <v>1</v>
      </c>
      <c r="Y1206" s="1">
        <f t="shared" si="1683"/>
        <v>1</v>
      </c>
      <c r="Z1206" s="1">
        <f t="shared" si="1684"/>
        <v>1</v>
      </c>
      <c r="AA1206" s="1">
        <f t="shared" si="1699"/>
        <v>1</v>
      </c>
      <c r="AB1206" s="1">
        <f t="shared" si="1686"/>
        <v>0</v>
      </c>
      <c r="AC1206" s="1">
        <f t="shared" si="1687"/>
        <v>0</v>
      </c>
      <c r="AD1206" s="1">
        <f>ROUNDDOWN(I1206*(1+IF(F1206=3,0.05+方案参数!$Y$36+AA1206*0.12,IF(F1206=4,方案参数!$BZ$36*方案参数!$AS$36,0)))+IF(AND(X1206=1,F1206&lt;&gt;3),方案参数!$CC$36,0)+AC1206*方案参数!$CB$36,0)</f>
        <v>3298</v>
      </c>
      <c r="AE1206" s="1">
        <f>IF(OR(F1206=1,F1206=4),配置与结果!$B$24,配置与结果!$B$25)*MAX(0,1-INDEX(配置与结果!$I$15:$I$18,F1206))</f>
        <v>1000</v>
      </c>
      <c r="AF1206" s="1">
        <f>方案参数!$CF$36+P1206*方案参数!$CG$36</f>
        <v>22.5</v>
      </c>
      <c r="AG1206" s="1">
        <f>MAX(配置与结果!$B$32,1+INDEX(配置与结果!$F$15:$F$18,F1206)+0+Q1206*方案参数!$W$36+Y1206*(方案参数!$AN$36+MIN(方案参数!$AO$36,P1206*0.03))+AB1206*方案参数!$BZ$36*0.025-配置与结果!$B$28)</f>
        <v>0.995</v>
      </c>
      <c r="AH1206" s="1">
        <f>MAX(0,1+INDEX(配置与结果!$G$15:$G$18,F1206)+W1206*方案参数!$AG$36)</f>
        <v>1.3</v>
      </c>
      <c r="AI1206" s="1">
        <f>IF(OR(INDEX(配置与结果!$K$15:$K$18,F1206)=1,G1206="RHI_BERRY"),1+配置与结果!$B$33+P1206*方案参数!$AH$36,1)</f>
        <v>1.5</v>
      </c>
      <c r="AJ1206" s="1">
        <f>MIN(1,MAX(0,J1206+方案参数!$AB$36-配置与结果!$B$27))</f>
        <v>0.55499999999999994</v>
      </c>
      <c r="AK1206" s="1">
        <f>MAX(1,K1206+IF(F1206=2,0.15+方案参数!$CH$36,0)+BN1206*方案参数!$X$36+R1206*方案参数!$AA$36+0-配置与结果!$B$26+Z1206*(方案参数!$AP$36+MIN(方案参数!$AQ$36,P1206*0.03)))</f>
        <v>1.6300000000000001</v>
      </c>
      <c r="AL1206" s="7">
        <f>ROUNDDOWN(MAX(AD1206*配置与结果!$B$31,AD1206-AE1206)*AF1206*AG1206*AH1206*AI1206,0)</f>
        <v>100320</v>
      </c>
      <c r="AM1206" s="7">
        <f>ROUNDDOWN(MAX(AD1206*配置与结果!$B$31,AD1206-AE1206)*AF1206*AG1206*AH1206*AI1206*AK1206,0)</f>
        <v>163522</v>
      </c>
      <c r="AN1206" s="7">
        <f t="shared" si="1620"/>
        <v>135397.10999999999</v>
      </c>
      <c r="AO1206" s="7">
        <f>0</f>
        <v>0</v>
      </c>
      <c r="AP1206" s="7">
        <f>MAX(0,1+INDEX(配置与结果!$J$15:$J$18,F1206)+IF(T1206&gt;0,方案参数!$BY$36,0)-配置与结果!$B$30)</f>
        <v>1</v>
      </c>
      <c r="AQ1206" s="7">
        <f t="shared" si="1621"/>
        <v>0</v>
      </c>
      <c r="AR1206" s="7">
        <f t="shared" si="1622"/>
        <v>0</v>
      </c>
      <c r="AS1206" s="7">
        <f t="shared" si="1623"/>
        <v>0</v>
      </c>
      <c r="AT1206" s="7">
        <f>0</f>
        <v>0</v>
      </c>
      <c r="AU1206" s="7">
        <f t="shared" si="1624"/>
        <v>135397.10999999999</v>
      </c>
      <c r="AV1206" s="1">
        <f t="shared" si="1625"/>
        <v>1</v>
      </c>
      <c r="AW1206" s="1">
        <f t="shared" si="1701"/>
        <v>8</v>
      </c>
      <c r="AX1206" s="1">
        <f t="shared" si="1626"/>
        <v>0</v>
      </c>
      <c r="AY1206" s="1">
        <f t="shared" si="1695"/>
        <v>6</v>
      </c>
      <c r="AZ1206" s="1">
        <f t="shared" si="1627"/>
        <v>5</v>
      </c>
      <c r="BA1206" s="1">
        <f>MIN(6,Q1206+0)</f>
        <v>3</v>
      </c>
      <c r="BB1206" s="1">
        <f t="shared" si="1688"/>
        <v>5</v>
      </c>
      <c r="BC1206" s="1">
        <f t="shared" si="1702"/>
        <v>2</v>
      </c>
      <c r="BD1206" s="1">
        <f t="shared" si="1696"/>
        <v>0</v>
      </c>
      <c r="BE1206" s="1">
        <f t="shared" si="1689"/>
        <v>0</v>
      </c>
      <c r="BF1206" s="1">
        <f>MIN(4,V1206+0)</f>
        <v>2</v>
      </c>
      <c r="BG1206" s="1">
        <f t="shared" si="1693"/>
        <v>1</v>
      </c>
      <c r="BH1206" s="1">
        <f t="shared" si="1690"/>
        <v>1</v>
      </c>
      <c r="BI1206" s="1">
        <f t="shared" si="1694"/>
        <v>1</v>
      </c>
      <c r="BJ1206" s="1">
        <f t="shared" si="1700"/>
        <v>1</v>
      </c>
      <c r="BK1206" s="1">
        <f t="shared" si="1700"/>
        <v>1</v>
      </c>
      <c r="BL1206" s="1">
        <f t="shared" si="1670"/>
        <v>0</v>
      </c>
      <c r="BM1206" s="1">
        <f t="shared" si="1668"/>
        <v>0</v>
      </c>
      <c r="BN1206" s="1">
        <f t="shared" si="1691"/>
        <v>1</v>
      </c>
      <c r="BO1206" s="1">
        <f t="shared" si="1692"/>
        <v>1</v>
      </c>
    </row>
    <row r="1207" spans="1:67" ht="30.95" customHeight="1">
      <c r="A1207" s="1">
        <f>33</f>
        <v>33</v>
      </c>
      <c r="B1207" s="1">
        <f>固定流程!A19</f>
        <v>14</v>
      </c>
      <c r="C1207" s="1">
        <f>36</f>
        <v>36</v>
      </c>
      <c r="D1207" s="1">
        <f>1</f>
        <v>1</v>
      </c>
      <c r="E1207" s="1">
        <f>固定流程!C19</f>
        <v>3</v>
      </c>
      <c r="F1207" s="1">
        <f>固定流程!G19</f>
        <v>3</v>
      </c>
      <c r="G1207" s="1" t="str">
        <f>固定流程!H19</f>
        <v>RHI_BUFF</v>
      </c>
      <c r="H1207" s="1">
        <f>固定流程!F19</f>
        <v>1</v>
      </c>
      <c r="I1207" s="1">
        <f>INDEX(配置与结果!$B$15:$B$18,F1207)</f>
        <v>2597</v>
      </c>
      <c r="J1207" s="1">
        <f>INDEX(配置与结果!$D$15:$D$18,F1207)</f>
        <v>0.255</v>
      </c>
      <c r="K1207" s="1">
        <f>INDEX(配置与结果!$E$15:$E$18,F1207)</f>
        <v>1.55</v>
      </c>
      <c r="L1207" s="1">
        <f>IF(AV1206=1,IF(M1207&gt;=10,2,1),IF(AV1206=2,IF(AX1206&lt;=1,0,2),0))</f>
        <v>2</v>
      </c>
      <c r="M1207" s="1">
        <f>IF(AND(AV1206=2,AX1206&lt;=1),0,MIN(10,AW1206+IF(AV1206=1,3,0)))</f>
        <v>10</v>
      </c>
      <c r="N1207" s="1">
        <f>IF(AND(AV1206=1,M1207&gt;=10),2,IF(AV1206=2,MAX(0,AX1206-1),0))</f>
        <v>2</v>
      </c>
      <c r="O1207" s="1">
        <f t="shared" si="1697"/>
        <v>6</v>
      </c>
      <c r="P1207" s="1">
        <f>MIN(方案参数!$AI$36,AZ1206+方案参数!$AJ$36+方案参数!$AK$36)</f>
        <v>5</v>
      </c>
      <c r="Q1207" s="1">
        <f t="shared" si="1675"/>
        <v>3</v>
      </c>
      <c r="R1207" s="1">
        <f t="shared" si="1676"/>
        <v>5</v>
      </c>
      <c r="S1207" s="1">
        <f t="shared" si="1677"/>
        <v>2</v>
      </c>
      <c r="T1207" s="1">
        <f t="shared" si="1678"/>
        <v>0</v>
      </c>
      <c r="U1207" s="1">
        <f t="shared" si="1679"/>
        <v>0</v>
      </c>
      <c r="V1207" s="1">
        <f t="shared" si="1680"/>
        <v>2</v>
      </c>
      <c r="W1207" s="1">
        <f t="shared" si="1681"/>
        <v>1</v>
      </c>
      <c r="X1207" s="1">
        <f t="shared" si="1682"/>
        <v>1</v>
      </c>
      <c r="Y1207" s="1">
        <f t="shared" si="1683"/>
        <v>1</v>
      </c>
      <c r="Z1207" s="1">
        <f t="shared" si="1684"/>
        <v>1</v>
      </c>
      <c r="AA1207" s="1">
        <f t="shared" si="1699"/>
        <v>1</v>
      </c>
      <c r="AB1207" s="1">
        <f t="shared" si="1686"/>
        <v>0</v>
      </c>
      <c r="AC1207" s="1">
        <f t="shared" si="1687"/>
        <v>0</v>
      </c>
      <c r="AD1207" s="1">
        <f>ROUNDDOWN(I1207*(1+IF(F1207=3,0.05+方案参数!$Y$36+AA1207*0.12,IF(F1207=4,方案参数!$BZ$36*方案参数!$AS$36,0)))+IF(AND(X1207=1,F1207&lt;&gt;3),方案参数!$CC$36,0)+AC1207*方案参数!$CB$36,0)</f>
        <v>3298</v>
      </c>
      <c r="AE1207" s="1">
        <f>IF(OR(F1207=1,F1207=4),配置与结果!$B$24,配置与结果!$B$25)*MAX(0,1-INDEX(配置与结果!$I$15:$I$18,F1207))</f>
        <v>1000</v>
      </c>
      <c r="AF1207" s="1">
        <f>0</f>
        <v>0</v>
      </c>
      <c r="AG1207" s="1">
        <f>MAX(配置与结果!$B$32,1+INDEX(配置与结果!$F$15:$F$18,F1207)+0+Q1207*方案参数!$W$36+Y1207*(方案参数!$AN$36+MIN(方案参数!$AO$36,P1207*0.03))+AB1207*方案参数!$BZ$36*0.025-配置与结果!$B$28)</f>
        <v>0.995</v>
      </c>
      <c r="AH1207" s="1">
        <f>MAX(0,1+INDEX(配置与结果!$G$15:$G$18,F1207)+W1207*方案参数!$AG$36)</f>
        <v>1.3</v>
      </c>
      <c r="AI1207" s="1">
        <f>IF(OR(INDEX(配置与结果!$K$15:$K$18,F1207)=1,G1207="RHI_BERRY"),1+配置与结果!$B$33+P1207*方案参数!$AH$36,1)</f>
        <v>1</v>
      </c>
      <c r="AJ1207" s="1">
        <f>MIN(1,MAX(0,J1207+方案参数!$AB$36-配置与结果!$B$27))</f>
        <v>0.55499999999999994</v>
      </c>
      <c r="AK1207" s="1">
        <f>MAX(1,K1207+IF(F1207=2,0.15+方案参数!$CH$36,0)+BN1207*方案参数!$X$36+R1207*方案参数!$AA$36+0-配置与结果!$B$26+Z1207*(方案参数!$AP$36+MIN(方案参数!$AQ$36,P1207*0.03)))</f>
        <v>1.6300000000000001</v>
      </c>
      <c r="AL1207" s="7">
        <f>ROUNDDOWN(MAX(AD1207*配置与结果!$B$31,AD1207-AE1207)*AF1207*AG1207*AH1207*AI1207,0)</f>
        <v>0</v>
      </c>
      <c r="AM1207" s="7">
        <f>ROUNDDOWN(MAX(AD1207*配置与结果!$B$31,AD1207-AE1207)*AF1207*AG1207*AH1207*AI1207*AK1207,0)</f>
        <v>0</v>
      </c>
      <c r="AN1207" s="7">
        <f t="shared" si="1620"/>
        <v>0</v>
      </c>
      <c r="AO1207" s="7">
        <f>0</f>
        <v>0</v>
      </c>
      <c r="AP1207" s="7">
        <f>MAX(0,1+INDEX(配置与结果!$J$15:$J$18,F1207)+IF(T1207&gt;0,方案参数!$BY$36,0)-配置与结果!$B$30)</f>
        <v>1</v>
      </c>
      <c r="AQ1207" s="7">
        <f t="shared" si="1621"/>
        <v>0</v>
      </c>
      <c r="AR1207" s="7">
        <f t="shared" si="1622"/>
        <v>0</v>
      </c>
      <c r="AS1207" s="7">
        <f t="shared" si="1623"/>
        <v>0</v>
      </c>
      <c r="AT1207" s="7">
        <f>0</f>
        <v>0</v>
      </c>
      <c r="AU1207" s="7">
        <f t="shared" si="1624"/>
        <v>0</v>
      </c>
      <c r="AV1207" s="1">
        <f t="shared" si="1625"/>
        <v>2</v>
      </c>
      <c r="AW1207" s="1">
        <f t="shared" si="1701"/>
        <v>10</v>
      </c>
      <c r="AX1207" s="1">
        <f t="shared" si="1626"/>
        <v>2</v>
      </c>
      <c r="AY1207" s="1">
        <f t="shared" si="1695"/>
        <v>6</v>
      </c>
      <c r="AZ1207" s="1">
        <f t="shared" si="1627"/>
        <v>5</v>
      </c>
      <c r="BA1207" s="1">
        <f>MIN(6,Q1207+1)</f>
        <v>4</v>
      </c>
      <c r="BB1207" s="1">
        <f t="shared" si="1688"/>
        <v>5</v>
      </c>
      <c r="BC1207" s="1">
        <f t="shared" si="1702"/>
        <v>2</v>
      </c>
      <c r="BD1207" s="1">
        <f t="shared" si="1696"/>
        <v>0</v>
      </c>
      <c r="BE1207" s="1">
        <f t="shared" si="1689"/>
        <v>0</v>
      </c>
      <c r="BF1207" s="1">
        <f>MIN(4,V1207+0)</f>
        <v>2</v>
      </c>
      <c r="BG1207" s="1">
        <f>MAX(W1207,1)</f>
        <v>1</v>
      </c>
      <c r="BH1207" s="1">
        <f t="shared" si="1690"/>
        <v>1</v>
      </c>
      <c r="BI1207" s="1">
        <f>MAX(Y1207,1)</f>
        <v>1</v>
      </c>
      <c r="BJ1207" s="1">
        <f t="shared" si="1700"/>
        <v>1</v>
      </c>
      <c r="BK1207" s="1">
        <f t="shared" si="1700"/>
        <v>1</v>
      </c>
      <c r="BL1207" s="1">
        <f t="shared" si="1670"/>
        <v>0</v>
      </c>
      <c r="BM1207" s="1">
        <f t="shared" si="1668"/>
        <v>0</v>
      </c>
      <c r="BN1207" s="1">
        <f t="shared" si="1691"/>
        <v>1</v>
      </c>
      <c r="BO1207" s="1">
        <f t="shared" si="1692"/>
        <v>1</v>
      </c>
    </row>
    <row r="1208" spans="1:67" ht="30.95" customHeight="1">
      <c r="A1208" s="1">
        <f>33</f>
        <v>33</v>
      </c>
      <c r="B1208" s="1">
        <f>固定流程!A20</f>
        <v>15</v>
      </c>
      <c r="C1208" s="1">
        <f>36</f>
        <v>36</v>
      </c>
      <c r="D1208" s="1">
        <f>1</f>
        <v>1</v>
      </c>
      <c r="E1208" s="1">
        <f>固定流程!C20</f>
        <v>3</v>
      </c>
      <c r="F1208" s="1">
        <f>固定流程!G20</f>
        <v>3</v>
      </c>
      <c r="G1208" s="1" t="str">
        <f>固定流程!H20</f>
        <v>RHI_ATTACK</v>
      </c>
      <c r="H1208" s="1">
        <f>固定流程!F20</f>
        <v>1</v>
      </c>
      <c r="I1208" s="1">
        <f>INDEX(配置与结果!$B$15:$B$18,F1208)</f>
        <v>2597</v>
      </c>
      <c r="J1208" s="1">
        <f>INDEX(配置与结果!$D$15:$D$18,F1208)</f>
        <v>0.255</v>
      </c>
      <c r="K1208" s="1">
        <f>INDEX(配置与结果!$E$15:$E$18,F1208)</f>
        <v>1.55</v>
      </c>
      <c r="L1208" s="1">
        <f t="shared" ref="L1208:L1229" si="1703">AV1207</f>
        <v>2</v>
      </c>
      <c r="M1208" s="1">
        <f t="shared" ref="M1208:M1229" si="1704">AW1207</f>
        <v>10</v>
      </c>
      <c r="N1208" s="1">
        <f t="shared" ref="N1208:N1229" si="1705">AX1207</f>
        <v>2</v>
      </c>
      <c r="O1208" s="1">
        <f t="shared" si="1697"/>
        <v>6</v>
      </c>
      <c r="P1208" s="1">
        <f>MIN(方案参数!$AI$36,AZ1207+0+方案参数!$AK$36)</f>
        <v>5</v>
      </c>
      <c r="Q1208" s="1">
        <f t="shared" si="1675"/>
        <v>4</v>
      </c>
      <c r="R1208" s="1">
        <f t="shared" si="1676"/>
        <v>5</v>
      </c>
      <c r="S1208" s="1">
        <f t="shared" si="1677"/>
        <v>2</v>
      </c>
      <c r="T1208" s="1">
        <f t="shared" si="1678"/>
        <v>0</v>
      </c>
      <c r="U1208" s="1">
        <f t="shared" si="1679"/>
        <v>0</v>
      </c>
      <c r="V1208" s="1">
        <f t="shared" si="1680"/>
        <v>2</v>
      </c>
      <c r="W1208" s="1">
        <f t="shared" si="1681"/>
        <v>1</v>
      </c>
      <c r="X1208" s="1">
        <f t="shared" si="1682"/>
        <v>1</v>
      </c>
      <c r="Y1208" s="1">
        <f t="shared" si="1683"/>
        <v>1</v>
      </c>
      <c r="Z1208" s="1">
        <f t="shared" si="1684"/>
        <v>1</v>
      </c>
      <c r="AA1208" s="1">
        <f>MAX(BK1207,1)</f>
        <v>1</v>
      </c>
      <c r="AB1208" s="1">
        <f t="shared" si="1686"/>
        <v>0</v>
      </c>
      <c r="AC1208" s="1">
        <f t="shared" si="1687"/>
        <v>0</v>
      </c>
      <c r="AD1208" s="1">
        <f>ROUNDDOWN(I1208*(1+IF(F1208=3,0.05+方案参数!$Y$36+AA1208*0.12,IF(F1208=4,方案参数!$BZ$36*方案参数!$AS$36,0)))+IF(AND(X1208=1,F1208&lt;&gt;3),方案参数!$CC$36,0)+AC1208*方案参数!$CB$36,0)</f>
        <v>3298</v>
      </c>
      <c r="AE1208" s="1">
        <f>IF(OR(F1208=1,F1208=4),配置与结果!$B$24,配置与结果!$B$25)*MAX(0,1-INDEX(配置与结果!$I$15:$I$18,F1208))</f>
        <v>1000</v>
      </c>
      <c r="AF1208" s="1">
        <f>4</f>
        <v>4</v>
      </c>
      <c r="AG1208" s="1">
        <f>MAX(配置与结果!$B$32,1+INDEX(配置与结果!$F$15:$F$18,F1208)+0+Q1208*方案参数!$W$36+Y1208*(方案参数!$AN$36+MIN(方案参数!$AO$36,P1208*0.03))+AB1208*方案参数!$BZ$36*0.025-配置与结果!$B$28)</f>
        <v>1.0150000000000001</v>
      </c>
      <c r="AH1208" s="1">
        <f>MAX(0,1+INDEX(配置与结果!$G$15:$G$18,F1208)+W1208*方案参数!$AG$36)</f>
        <v>1.3</v>
      </c>
      <c r="AI1208" s="1">
        <f>IF(OR(INDEX(配置与结果!$K$15:$K$18,F1208)=1,G1208="RHI_BERRY"),1+配置与结果!$B$33+P1208*方案参数!$AH$36,1)</f>
        <v>1</v>
      </c>
      <c r="AJ1208" s="1">
        <f>MIN(1,MAX(0,J1208+方案参数!$AB$36-配置与结果!$B$27))</f>
        <v>0.55499999999999994</v>
      </c>
      <c r="AK1208" s="1">
        <f>MAX(1,K1208+IF(F1208=2,0.15+方案参数!$CH$36,0)+BN1208*方案参数!$X$36+R1208*方案参数!$AA$36+0-配置与结果!$B$26+Z1208*(方案参数!$AP$36+MIN(方案参数!$AQ$36,P1208*0.03)))</f>
        <v>1.6300000000000001</v>
      </c>
      <c r="AL1208" s="7">
        <f>ROUNDDOWN(MAX(AD1208*配置与结果!$B$31,AD1208-AE1208)*AF1208*AG1208*AH1208*AI1208,0)</f>
        <v>12128</v>
      </c>
      <c r="AM1208" s="7">
        <f>ROUNDDOWN(MAX(AD1208*配置与结果!$B$31,AD1208-AE1208)*AF1208*AG1208*AH1208*AI1208*AK1208,0)</f>
        <v>19770</v>
      </c>
      <c r="AN1208" s="7">
        <f t="shared" si="1620"/>
        <v>16369.31</v>
      </c>
      <c r="AO1208" s="7">
        <f>0</f>
        <v>0</v>
      </c>
      <c r="AP1208" s="7">
        <f>MAX(0,1+INDEX(配置与结果!$J$15:$J$18,F1208)+IF(T1208&gt;0,方案参数!$BY$36,0)-配置与结果!$B$30)</f>
        <v>1</v>
      </c>
      <c r="AQ1208" s="7">
        <f t="shared" si="1621"/>
        <v>0</v>
      </c>
      <c r="AR1208" s="7">
        <f t="shared" si="1622"/>
        <v>0</v>
      </c>
      <c r="AS1208" s="7">
        <f t="shared" si="1623"/>
        <v>0</v>
      </c>
      <c r="AT1208" s="7">
        <f>0</f>
        <v>0</v>
      </c>
      <c r="AU1208" s="7">
        <f t="shared" si="1624"/>
        <v>16369.31</v>
      </c>
      <c r="AV1208" s="1">
        <f t="shared" si="1625"/>
        <v>2</v>
      </c>
      <c r="AW1208" s="1">
        <f t="shared" si="1701"/>
        <v>10</v>
      </c>
      <c r="AX1208" s="1">
        <f t="shared" si="1626"/>
        <v>2</v>
      </c>
      <c r="AY1208" s="1">
        <f t="shared" si="1695"/>
        <v>6</v>
      </c>
      <c r="AZ1208" s="1">
        <f t="shared" si="1627"/>
        <v>5</v>
      </c>
      <c r="BA1208" s="1">
        <f>MIN(6,Q1208+1)</f>
        <v>5</v>
      </c>
      <c r="BB1208" s="1">
        <f t="shared" si="1688"/>
        <v>5</v>
      </c>
      <c r="BC1208" s="1">
        <f t="shared" si="1702"/>
        <v>2</v>
      </c>
      <c r="BD1208" s="1">
        <f t="shared" si="1696"/>
        <v>0</v>
      </c>
      <c r="BE1208" s="1">
        <f t="shared" si="1689"/>
        <v>0</v>
      </c>
      <c r="BF1208" s="1">
        <f>MIN(4,V1208+0)</f>
        <v>2</v>
      </c>
      <c r="BG1208" s="1">
        <f t="shared" ref="BG1208:BG1230" si="1706">MAX(W1208,0)</f>
        <v>1</v>
      </c>
      <c r="BH1208" s="1">
        <f t="shared" si="1690"/>
        <v>1</v>
      </c>
      <c r="BI1208" s="1">
        <f t="shared" ref="BI1208:BI1230" si="1707">MAX(Y1208,0)</f>
        <v>1</v>
      </c>
      <c r="BJ1208" s="1">
        <f>MAX(Z1208,1)</f>
        <v>1</v>
      </c>
      <c r="BK1208" s="1">
        <f>MAX(AA1208,1)</f>
        <v>1</v>
      </c>
      <c r="BL1208" s="1">
        <f t="shared" si="1670"/>
        <v>0</v>
      </c>
      <c r="BM1208" s="1">
        <f t="shared" si="1668"/>
        <v>0</v>
      </c>
      <c r="BN1208" s="1">
        <f t="shared" si="1691"/>
        <v>1</v>
      </c>
      <c r="BO1208" s="1">
        <f t="shared" si="1692"/>
        <v>1</v>
      </c>
    </row>
    <row r="1209" spans="1:67" ht="30.95" customHeight="1">
      <c r="A1209" s="1">
        <f>33</f>
        <v>33</v>
      </c>
      <c r="B1209" s="1">
        <f>固定流程!A21</f>
        <v>16</v>
      </c>
      <c r="C1209" s="1">
        <f>36</f>
        <v>36</v>
      </c>
      <c r="D1209" s="1">
        <f>1</f>
        <v>1</v>
      </c>
      <c r="E1209" s="1">
        <f>固定流程!C21</f>
        <v>3</v>
      </c>
      <c r="F1209" s="1">
        <f>固定流程!G21</f>
        <v>2</v>
      </c>
      <c r="G1209" s="1" t="str">
        <f>固定流程!H21</f>
        <v>37_ULT</v>
      </c>
      <c r="H1209" s="1">
        <f>固定流程!F21</f>
        <v>1</v>
      </c>
      <c r="I1209" s="1">
        <f>INDEX(配置与结果!$B$15:$B$18,F1209)</f>
        <v>2306</v>
      </c>
      <c r="J1209" s="1">
        <f>INDEX(配置与结果!$D$15:$D$18,F1209)</f>
        <v>0.46</v>
      </c>
      <c r="K1209" s="1">
        <f>INDEX(配置与结果!$E$15:$E$18,F1209)</f>
        <v>1.9279999999999999</v>
      </c>
      <c r="L1209" s="1">
        <f t="shared" si="1703"/>
        <v>2</v>
      </c>
      <c r="M1209" s="1">
        <f t="shared" si="1704"/>
        <v>10</v>
      </c>
      <c r="N1209" s="1">
        <f t="shared" si="1705"/>
        <v>2</v>
      </c>
      <c r="O1209" s="1">
        <f t="shared" si="1697"/>
        <v>6</v>
      </c>
      <c r="P1209" s="1">
        <f>MIN(方案参数!$AI$36,AZ1208+0+0)</f>
        <v>5</v>
      </c>
      <c r="Q1209" s="1">
        <f t="shared" si="1675"/>
        <v>5</v>
      </c>
      <c r="R1209" s="1">
        <f t="shared" si="1676"/>
        <v>5</v>
      </c>
      <c r="S1209" s="1">
        <f t="shared" si="1677"/>
        <v>2</v>
      </c>
      <c r="T1209" s="1">
        <f>BD1208+方案参数!$BX$36</f>
        <v>2</v>
      </c>
      <c r="U1209" s="1">
        <f t="shared" si="1679"/>
        <v>0</v>
      </c>
      <c r="V1209" s="1">
        <f t="shared" si="1680"/>
        <v>2</v>
      </c>
      <c r="W1209" s="1">
        <f t="shared" si="1681"/>
        <v>1</v>
      </c>
      <c r="X1209" s="1">
        <f t="shared" si="1682"/>
        <v>1</v>
      </c>
      <c r="Y1209" s="1">
        <f t="shared" si="1683"/>
        <v>1</v>
      </c>
      <c r="Z1209" s="1">
        <f t="shared" si="1684"/>
        <v>1</v>
      </c>
      <c r="AA1209" s="1">
        <f t="shared" ref="AA1209:AA1229" si="1708">MAX(BK1208,0)</f>
        <v>1</v>
      </c>
      <c r="AB1209" s="1">
        <f t="shared" si="1686"/>
        <v>0</v>
      </c>
      <c r="AC1209" s="1">
        <f>MAX(BM1208,1)</f>
        <v>1</v>
      </c>
      <c r="AD1209" s="1">
        <f>ROUNDDOWN(I1209*(1+IF(F1209=3,0.05+方案参数!$Y$36+AA1209*0.12,IF(F1209=4,方案参数!$BZ$36*方案参数!$AS$36,0)))+IF(AND(X1209=1,F1209&lt;&gt;3),方案参数!$CC$36,0)+AC1209*方案参数!$CB$36,0)</f>
        <v>3044</v>
      </c>
      <c r="AE1209" s="1">
        <f>IF(OR(F1209=1,F1209=4),配置与结果!$B$24,配置与结果!$B$25)*MAX(0,1-INDEX(配置与结果!$I$15:$I$18,F1209))</f>
        <v>1000</v>
      </c>
      <c r="AF1209" s="1">
        <f>0</f>
        <v>0</v>
      </c>
      <c r="AG1209" s="1">
        <f>MAX(配置与结果!$B$32,1+INDEX(配置与结果!$F$15:$F$18,F1209)+0+Q1209*方案参数!$W$36+Y1209*(方案参数!$AN$36+MIN(方案参数!$AO$36,P1209*0.03))+AB1209*方案参数!$BZ$36*0.025-配置与结果!$B$28)</f>
        <v>1.0049999999999999</v>
      </c>
      <c r="AH1209" s="1">
        <f>MAX(0,1+INDEX(配置与结果!$G$15:$G$18,F1209)+W1209*方案参数!$AG$36)</f>
        <v>1.3</v>
      </c>
      <c r="AI1209" s="1">
        <f>IF(OR(INDEX(配置与结果!$K$15:$K$18,F1209)=1,G1209="RHI_BERRY"),1+配置与结果!$B$33+P1209*方案参数!$AH$36,1)</f>
        <v>1</v>
      </c>
      <c r="AJ1209" s="1">
        <f>MIN(1,MAX(0,J1209+方案参数!$AB$36-配置与结果!$B$27))</f>
        <v>0.76</v>
      </c>
      <c r="AK1209" s="1">
        <f>MAX(1,K1209+IF(F1209=2,0.15+方案参数!$CH$36,0)+BN1209*方案参数!$X$36+R1209*方案参数!$AA$36+0-配置与结果!$B$26+Z1209*(方案参数!$AP$36+MIN(方案参数!$AQ$36,P1209*0.03)))</f>
        <v>2.3380000000000001</v>
      </c>
      <c r="AL1209" s="7">
        <f>ROUNDDOWN(MAX(AD1209*配置与结果!$B$31,AD1209-AE1209)*AF1209*AG1209*AH1209*AI1209,0)</f>
        <v>0</v>
      </c>
      <c r="AM1209" s="7">
        <f>ROUNDDOWN(MAX(AD1209*配置与结果!$B$31,AD1209-AE1209)*AF1209*AG1209*AH1209*AI1209*AK1209,0)</f>
        <v>0</v>
      </c>
      <c r="AN1209" s="7">
        <f t="shared" si="1620"/>
        <v>0</v>
      </c>
      <c r="AO1209" s="7">
        <f>0</f>
        <v>0</v>
      </c>
      <c r="AP1209" s="7">
        <f>MAX(0,1+INDEX(配置与结果!$J$15:$J$18,F1209)+IF(T1209&gt;0,方案参数!$BY$36,0)-配置与结果!$B$30)</f>
        <v>2</v>
      </c>
      <c r="AQ1209" s="7">
        <f t="shared" si="1621"/>
        <v>0</v>
      </c>
      <c r="AR1209" s="7">
        <f t="shared" si="1622"/>
        <v>0</v>
      </c>
      <c r="AS1209" s="7">
        <f t="shared" si="1623"/>
        <v>0</v>
      </c>
      <c r="AT1209" s="7">
        <f>0</f>
        <v>0</v>
      </c>
      <c r="AU1209" s="7">
        <f t="shared" si="1624"/>
        <v>0</v>
      </c>
      <c r="AV1209" s="1">
        <f t="shared" si="1625"/>
        <v>2</v>
      </c>
      <c r="AW1209" s="1">
        <f t="shared" si="1701"/>
        <v>10</v>
      </c>
      <c r="AX1209" s="1">
        <f t="shared" si="1626"/>
        <v>2</v>
      </c>
      <c r="AY1209" s="1">
        <f t="shared" si="1695"/>
        <v>6</v>
      </c>
      <c r="AZ1209" s="1">
        <f t="shared" si="1627"/>
        <v>5</v>
      </c>
      <c r="BA1209" s="1">
        <f t="shared" ref="BA1209:BA1229" si="1709">MIN(6,Q1209+0)</f>
        <v>5</v>
      </c>
      <c r="BB1209" s="1">
        <f>MIN(30,R1209+5)</f>
        <v>10</v>
      </c>
      <c r="BC1209" s="1">
        <f t="shared" si="1702"/>
        <v>2</v>
      </c>
      <c r="BD1209" s="1">
        <f t="shared" si="1696"/>
        <v>2</v>
      </c>
      <c r="BE1209" s="1">
        <f t="shared" si="1689"/>
        <v>0</v>
      </c>
      <c r="BF1209" s="1">
        <f>MIN(4,V1209+0)</f>
        <v>2</v>
      </c>
      <c r="BG1209" s="1">
        <f t="shared" si="1706"/>
        <v>1</v>
      </c>
      <c r="BH1209" s="1">
        <f t="shared" si="1690"/>
        <v>1</v>
      </c>
      <c r="BI1209" s="1">
        <f t="shared" si="1707"/>
        <v>1</v>
      </c>
      <c r="BJ1209" s="1">
        <f t="shared" ref="BJ1209:BJ1236" si="1710">MAX(Z1209,0)</f>
        <v>1</v>
      </c>
      <c r="BK1209" s="1">
        <f t="shared" ref="BK1209:BK1236" si="1711">MAX(AA1209,0)</f>
        <v>1</v>
      </c>
      <c r="BL1209" s="1">
        <f t="shared" si="1670"/>
        <v>0</v>
      </c>
      <c r="BM1209" s="1">
        <f>MAX(AC1209,1)</f>
        <v>1</v>
      </c>
      <c r="BN1209" s="1">
        <f t="shared" si="1691"/>
        <v>1</v>
      </c>
      <c r="BO1209" s="1">
        <f t="shared" si="1692"/>
        <v>1</v>
      </c>
    </row>
    <row r="1210" spans="1:67" ht="30.95" customHeight="1">
      <c r="A1210" s="1">
        <f>33</f>
        <v>33</v>
      </c>
      <c r="B1210" s="1">
        <f>固定流程!A22</f>
        <v>17</v>
      </c>
      <c r="C1210" s="1">
        <f>36</f>
        <v>36</v>
      </c>
      <c r="D1210" s="1">
        <f>1</f>
        <v>1</v>
      </c>
      <c r="E1210" s="1">
        <f>固定流程!C22</f>
        <v>3</v>
      </c>
      <c r="F1210" s="1">
        <f>固定流程!G22</f>
        <v>2</v>
      </c>
      <c r="G1210" s="1" t="str">
        <f>固定流程!H22</f>
        <v>37_FOLLOW</v>
      </c>
      <c r="H1210" s="1">
        <f>固定流程!F22</f>
        <v>1</v>
      </c>
      <c r="I1210" s="1">
        <f>INDEX(配置与结果!$B$15:$B$18,F1210)</f>
        <v>2306</v>
      </c>
      <c r="J1210" s="1">
        <f>INDEX(配置与结果!$D$15:$D$18,F1210)</f>
        <v>0.46</v>
      </c>
      <c r="K1210" s="1">
        <f>INDEX(配置与结果!$E$15:$E$18,F1210)</f>
        <v>1.9279999999999999</v>
      </c>
      <c r="L1210" s="1">
        <f t="shared" si="1703"/>
        <v>2</v>
      </c>
      <c r="M1210" s="1">
        <f t="shared" si="1704"/>
        <v>10</v>
      </c>
      <c r="N1210" s="1">
        <f t="shared" si="1705"/>
        <v>2</v>
      </c>
      <c r="O1210" s="1">
        <f t="shared" si="1697"/>
        <v>6</v>
      </c>
      <c r="P1210" s="1">
        <f>MIN(方案参数!$AI$36,AZ1209+0+0)</f>
        <v>5</v>
      </c>
      <c r="Q1210" s="1">
        <f t="shared" si="1675"/>
        <v>5</v>
      </c>
      <c r="R1210" s="1">
        <f t="shared" si="1676"/>
        <v>10</v>
      </c>
      <c r="S1210" s="1">
        <f t="shared" si="1677"/>
        <v>2</v>
      </c>
      <c r="T1210" s="1">
        <f t="shared" ref="T1210:T1229" si="1712">BD1209+0</f>
        <v>2</v>
      </c>
      <c r="U1210" s="1">
        <f t="shared" si="1679"/>
        <v>0</v>
      </c>
      <c r="V1210" s="1">
        <f t="shared" si="1680"/>
        <v>2</v>
      </c>
      <c r="W1210" s="1">
        <f t="shared" si="1681"/>
        <v>1</v>
      </c>
      <c r="X1210" s="1">
        <f t="shared" si="1682"/>
        <v>1</v>
      </c>
      <c r="Y1210" s="1">
        <f t="shared" si="1683"/>
        <v>1</v>
      </c>
      <c r="Z1210" s="1">
        <f t="shared" si="1684"/>
        <v>1</v>
      </c>
      <c r="AA1210" s="1">
        <f t="shared" si="1708"/>
        <v>1</v>
      </c>
      <c r="AB1210" s="1">
        <f t="shared" si="1686"/>
        <v>0</v>
      </c>
      <c r="AC1210" s="1">
        <f t="shared" ref="AC1210:AC1229" si="1713">MAX(BM1209,0)</f>
        <v>1</v>
      </c>
      <c r="AD1210" s="1">
        <f>ROUNDDOWN(I1210*(1+IF(F1210=3,0.05+方案参数!$Y$36+AA1210*0.12,IF(F1210=4,方案参数!$BZ$36*方案参数!$AS$36,0)))+IF(AND(X1210=1,F1210&lt;&gt;3),方案参数!$CC$36,0)+AC1210*方案参数!$CB$36,0)</f>
        <v>3044</v>
      </c>
      <c r="AE1210" s="1">
        <f>IF(OR(F1210=1,F1210=4),配置与结果!$B$24,配置与结果!$B$25)*MAX(0,1-INDEX(配置与结果!$I$15:$I$18,F1210))</f>
        <v>1000</v>
      </c>
      <c r="AF1210" s="1">
        <f>方案参数!$BV$36</f>
        <v>3</v>
      </c>
      <c r="AG1210" s="1">
        <f>MAX(配置与结果!$B$32,1+INDEX(配置与结果!$F$15:$F$18,F1210)+0+Q1210*方案参数!$W$36+Y1210*(方案参数!$AN$36+MIN(方案参数!$AO$36,P1210*0.03))+AB1210*方案参数!$BZ$36*0.025-配置与结果!$B$28)</f>
        <v>1.0049999999999999</v>
      </c>
      <c r="AH1210" s="1">
        <f>MAX(0,1+INDEX(配置与结果!$G$15:$G$18,F1210)+W1210*方案参数!$AG$36)</f>
        <v>1.3</v>
      </c>
      <c r="AI1210" s="1">
        <f>IF(OR(INDEX(配置与结果!$K$15:$K$18,F1210)=1,G1210="RHI_BERRY"),1+配置与结果!$B$33+P1210*方案参数!$AH$36,1)</f>
        <v>1</v>
      </c>
      <c r="AJ1210" s="1">
        <f>MIN(1,MAX(0,J1210+方案参数!$AB$36-配置与结果!$B$27))</f>
        <v>0.76</v>
      </c>
      <c r="AK1210" s="1">
        <f>MAX(1,K1210+IF(F1210=2,0.15+方案参数!$CH$36,0)+BN1210*方案参数!$X$36+R1210*方案参数!$AA$36+0-配置与结果!$B$26+Z1210*(方案参数!$AP$36+MIN(方案参数!$AQ$36,P1210*0.03)))</f>
        <v>2.3580000000000001</v>
      </c>
      <c r="AL1210" s="7">
        <f>ROUNDDOWN(MAX(AD1210*配置与结果!$B$31,AD1210-AE1210)*AF1210*AG1210*AH1210*AI1210,0)</f>
        <v>8011</v>
      </c>
      <c r="AM1210" s="7">
        <f>ROUNDDOWN(MAX(AD1210*配置与结果!$B$31,AD1210-AE1210)*AF1210*AG1210*AH1210*AI1210*AK1210,0)</f>
        <v>18891</v>
      </c>
      <c r="AN1210" s="7">
        <f t="shared" si="1620"/>
        <v>16279.8</v>
      </c>
      <c r="AO1210" s="7">
        <f>方案参数!$BW$36</f>
        <v>1</v>
      </c>
      <c r="AP1210" s="7">
        <f>MAX(0,1+INDEX(配置与结果!$J$15:$J$18,F1210)+IF(T1210&gt;0,方案参数!$BY$36,0)-配置与结果!$B$30)</f>
        <v>2</v>
      </c>
      <c r="AQ1210" s="7">
        <f t="shared" si="1621"/>
        <v>6088</v>
      </c>
      <c r="AR1210" s="7">
        <f t="shared" si="1622"/>
        <v>14355</v>
      </c>
      <c r="AS1210" s="7">
        <f t="shared" si="1623"/>
        <v>12370.919999999998</v>
      </c>
      <c r="AT1210" s="7">
        <f>0</f>
        <v>0</v>
      </c>
      <c r="AU1210" s="7">
        <f t="shared" si="1624"/>
        <v>28650.719999999998</v>
      </c>
      <c r="AV1210" s="1">
        <f t="shared" si="1625"/>
        <v>2</v>
      </c>
      <c r="AW1210" s="1">
        <f t="shared" si="1701"/>
        <v>10</v>
      </c>
      <c r="AX1210" s="1">
        <f t="shared" si="1626"/>
        <v>2</v>
      </c>
      <c r="AY1210" s="1">
        <f t="shared" si="1695"/>
        <v>6</v>
      </c>
      <c r="AZ1210" s="1">
        <f t="shared" si="1627"/>
        <v>5</v>
      </c>
      <c r="BA1210" s="1">
        <f t="shared" si="1709"/>
        <v>5</v>
      </c>
      <c r="BB1210" s="1">
        <f>MIN(30,R1210+0)</f>
        <v>10</v>
      </c>
      <c r="BC1210" s="1">
        <f t="shared" si="1702"/>
        <v>2</v>
      </c>
      <c r="BD1210" s="1">
        <f t="shared" si="1696"/>
        <v>1</v>
      </c>
      <c r="BE1210" s="1">
        <f t="shared" si="1689"/>
        <v>0</v>
      </c>
      <c r="BF1210" s="1">
        <f>MIN(4,V1210+1)</f>
        <v>3</v>
      </c>
      <c r="BG1210" s="1">
        <f t="shared" si="1706"/>
        <v>1</v>
      </c>
      <c r="BH1210" s="1">
        <f t="shared" si="1690"/>
        <v>1</v>
      </c>
      <c r="BI1210" s="1">
        <f t="shared" si="1707"/>
        <v>1</v>
      </c>
      <c r="BJ1210" s="1">
        <f t="shared" si="1710"/>
        <v>1</v>
      </c>
      <c r="BK1210" s="1">
        <f t="shared" si="1711"/>
        <v>1</v>
      </c>
      <c r="BL1210" s="1">
        <f t="shared" si="1670"/>
        <v>0</v>
      </c>
      <c r="BM1210" s="1">
        <f t="shared" ref="BM1210:BM1244" si="1714">MAX(AC1210,0)</f>
        <v>1</v>
      </c>
      <c r="BN1210" s="1">
        <f t="shared" si="1691"/>
        <v>1</v>
      </c>
      <c r="BO1210" s="1">
        <f t="shared" si="1692"/>
        <v>1</v>
      </c>
    </row>
    <row r="1211" spans="1:67" ht="30.95" customHeight="1">
      <c r="A1211" s="1">
        <f>33</f>
        <v>33</v>
      </c>
      <c r="B1211" s="1">
        <f>固定流程!A23</f>
        <v>18</v>
      </c>
      <c r="C1211" s="1">
        <f>36</f>
        <v>36</v>
      </c>
      <c r="D1211" s="1">
        <f>1</f>
        <v>1</v>
      </c>
      <c r="E1211" s="1">
        <f>固定流程!C23</f>
        <v>3</v>
      </c>
      <c r="F1211" s="1">
        <f>固定流程!G23</f>
        <v>4</v>
      </c>
      <c r="G1211" s="1" t="str">
        <f>固定流程!H23</f>
        <v>J_HARD</v>
      </c>
      <c r="H1211" s="1">
        <f>固定流程!F23</f>
        <v>1</v>
      </c>
      <c r="I1211" s="1">
        <f>INDEX(配置与结果!$B$15:$B$18,F1211)</f>
        <v>1906</v>
      </c>
      <c r="J1211" s="1">
        <f>INDEX(配置与结果!$D$15:$D$18,F1211)</f>
        <v>0.36699999999999999</v>
      </c>
      <c r="K1211" s="1">
        <f>INDEX(配置与结果!$E$15:$E$18,F1211)</f>
        <v>1.7170000000000001</v>
      </c>
      <c r="L1211" s="1">
        <f t="shared" si="1703"/>
        <v>2</v>
      </c>
      <c r="M1211" s="1">
        <f t="shared" si="1704"/>
        <v>10</v>
      </c>
      <c r="N1211" s="1">
        <f t="shared" si="1705"/>
        <v>2</v>
      </c>
      <c r="O1211" s="1">
        <f t="shared" si="1697"/>
        <v>6</v>
      </c>
      <c r="P1211" s="1">
        <f>MIN(方案参数!$AI$36,AZ1210+0+0)</f>
        <v>5</v>
      </c>
      <c r="Q1211" s="1">
        <f t="shared" si="1675"/>
        <v>5</v>
      </c>
      <c r="R1211" s="1">
        <f t="shared" si="1676"/>
        <v>10</v>
      </c>
      <c r="S1211" s="1">
        <f t="shared" si="1677"/>
        <v>2</v>
      </c>
      <c r="T1211" s="1">
        <f t="shared" si="1712"/>
        <v>1</v>
      </c>
      <c r="U1211" s="1">
        <f t="shared" si="1679"/>
        <v>0</v>
      </c>
      <c r="V1211" s="1">
        <f t="shared" si="1680"/>
        <v>3</v>
      </c>
      <c r="W1211" s="1">
        <f t="shared" si="1681"/>
        <v>1</v>
      </c>
      <c r="X1211" s="1">
        <f t="shared" si="1682"/>
        <v>1</v>
      </c>
      <c r="Y1211" s="1">
        <f t="shared" si="1683"/>
        <v>1</v>
      </c>
      <c r="Z1211" s="1">
        <f t="shared" si="1684"/>
        <v>1</v>
      </c>
      <c r="AA1211" s="1">
        <f t="shared" si="1708"/>
        <v>1</v>
      </c>
      <c r="AB1211" s="1">
        <f t="shared" si="1686"/>
        <v>0</v>
      </c>
      <c r="AC1211" s="1">
        <f t="shared" si="1713"/>
        <v>1</v>
      </c>
      <c r="AD1211" s="1">
        <f>ROUNDDOWN(I1211*(1+IF(F1211=3,0.05+方案参数!$Y$36+AA1211*0.12,IF(F1211=4,方案参数!$BZ$36*方案参数!$AS$36,0)))+IF(AND(X1211=1,F1211&lt;&gt;3),方案参数!$CC$36,0)+AC1211*方案参数!$CB$36,0)</f>
        <v>3311</v>
      </c>
      <c r="AE1211" s="1">
        <f>IF(OR(F1211=1,F1211=4),配置与结果!$B$24,配置与结果!$B$25)*MAX(0,1-INDEX(配置与结果!$I$15:$I$18,F1211))</f>
        <v>1200</v>
      </c>
      <c r="AF1211" s="1">
        <f>3.6*IF(H1211=1,1,IF(H1211=2,1.5,2.5))</f>
        <v>3.6</v>
      </c>
      <c r="AG1211" s="1">
        <f>MAX(配置与结果!$B$32,1+INDEX(配置与结果!$F$15:$F$18,F1211)+0.08+Q1211*方案参数!$W$36+Y1211*(方案参数!$AN$36+MIN(方案参数!$AO$36,P1211*0.03))+AB1211*方案参数!$BZ$36*0.025+0.1+IF(方案参数!$BZ$36&gt;=30,方案参数!$BZ$36*0.01,0)-配置与结果!$B$28)</f>
        <v>1.5550000000000002</v>
      </c>
      <c r="AH1211" s="1">
        <f>MAX(0,1+INDEX(配置与结果!$G$15:$G$18,F1211)+W1211*方案参数!$AG$36)</f>
        <v>1.3</v>
      </c>
      <c r="AI1211" s="1">
        <f>IF(OR(INDEX(配置与结果!$K$15:$K$18,F1211)=1,G1211="RHI_BERRY"),1+配置与结果!$B$33+P1211*方案参数!$AH$36,1)</f>
        <v>1</v>
      </c>
      <c r="AJ1211" s="1">
        <f>MIN(1,MAX(0,J1211+方案参数!$AB$36-配置与结果!$B$27))</f>
        <v>0.66700000000000004</v>
      </c>
      <c r="AK1211" s="1">
        <f>MAX(1,K1211+IF(F1211=2,0.15+方案参数!$CH$36,0)+BN1211*方案参数!$X$36+R1211*方案参数!$AA$36+0-配置与结果!$B$26+Z1211*(方案参数!$AP$36+MIN(方案参数!$AQ$36,P1211*0.03)))</f>
        <v>1.8169999999999999</v>
      </c>
      <c r="AL1211" s="7">
        <f>ROUNDDOWN(MAX(AD1211*配置与结果!$B$31,AD1211-AE1211)*AF1211*AG1211*AH1211*AI1211,0)</f>
        <v>15362</v>
      </c>
      <c r="AM1211" s="7">
        <f>ROUNDDOWN(MAX(AD1211*配置与结果!$B$31,AD1211-AE1211)*AF1211*AG1211*AH1211*AI1211*AK1211,0)</f>
        <v>27913</v>
      </c>
      <c r="AN1211" s="7">
        <f t="shared" si="1620"/>
        <v>23733.517</v>
      </c>
      <c r="AO1211" s="7">
        <f>0</f>
        <v>0</v>
      </c>
      <c r="AP1211" s="7">
        <f>MAX(0,1+INDEX(配置与结果!$J$15:$J$18,F1211)+IF(T1211&gt;0,方案参数!$BY$36,0)-配置与结果!$B$30)</f>
        <v>2</v>
      </c>
      <c r="AQ1211" s="7">
        <f t="shared" si="1621"/>
        <v>0</v>
      </c>
      <c r="AR1211" s="7">
        <f t="shared" si="1622"/>
        <v>0</v>
      </c>
      <c r="AS1211" s="7">
        <f t="shared" si="1623"/>
        <v>0</v>
      </c>
      <c r="AT1211" s="7">
        <f>0</f>
        <v>0</v>
      </c>
      <c r="AU1211" s="7">
        <f t="shared" si="1624"/>
        <v>23733.517</v>
      </c>
      <c r="AV1211" s="1">
        <f t="shared" si="1625"/>
        <v>2</v>
      </c>
      <c r="AW1211" s="1">
        <f t="shared" si="1701"/>
        <v>10</v>
      </c>
      <c r="AX1211" s="1">
        <f t="shared" si="1626"/>
        <v>2</v>
      </c>
      <c r="AY1211" s="1">
        <f t="shared" si="1695"/>
        <v>6</v>
      </c>
      <c r="AZ1211" s="1">
        <f t="shared" si="1627"/>
        <v>5</v>
      </c>
      <c r="BA1211" s="1">
        <f t="shared" si="1709"/>
        <v>5</v>
      </c>
      <c r="BB1211" s="1">
        <f>MIN(30,R1211+0)</f>
        <v>10</v>
      </c>
      <c r="BC1211" s="1">
        <f>MIN(3,S1211+1)</f>
        <v>3</v>
      </c>
      <c r="BD1211" s="1">
        <f t="shared" si="1696"/>
        <v>1</v>
      </c>
      <c r="BE1211" s="1">
        <f t="shared" si="1689"/>
        <v>0</v>
      </c>
      <c r="BF1211" s="1">
        <f>MIN(4,V1211+0)</f>
        <v>3</v>
      </c>
      <c r="BG1211" s="1">
        <f t="shared" si="1706"/>
        <v>1</v>
      </c>
      <c r="BH1211" s="1">
        <f t="shared" si="1690"/>
        <v>1</v>
      </c>
      <c r="BI1211" s="1">
        <f t="shared" si="1707"/>
        <v>1</v>
      </c>
      <c r="BJ1211" s="1">
        <f t="shared" si="1710"/>
        <v>1</v>
      </c>
      <c r="BK1211" s="1">
        <f t="shared" si="1711"/>
        <v>1</v>
      </c>
      <c r="BL1211" s="1">
        <f t="shared" si="1670"/>
        <v>0</v>
      </c>
      <c r="BM1211" s="1">
        <f t="shared" si="1714"/>
        <v>1</v>
      </c>
      <c r="BN1211" s="1">
        <f t="shared" si="1691"/>
        <v>1</v>
      </c>
      <c r="BO1211" s="1">
        <f t="shared" si="1692"/>
        <v>1</v>
      </c>
    </row>
    <row r="1212" spans="1:67" ht="30.95" customHeight="1">
      <c r="A1212" s="1">
        <f>33</f>
        <v>33</v>
      </c>
      <c r="B1212" s="1">
        <f>固定流程!A24</f>
        <v>19</v>
      </c>
      <c r="C1212" s="1">
        <f>36</f>
        <v>36</v>
      </c>
      <c r="D1212" s="1">
        <f>1</f>
        <v>1</v>
      </c>
      <c r="E1212" s="1">
        <f>固定流程!C24</f>
        <v>3</v>
      </c>
      <c r="F1212" s="1">
        <f>固定流程!G24</f>
        <v>4</v>
      </c>
      <c r="G1212" s="1" t="str">
        <f>固定流程!H24</f>
        <v>J_ULT</v>
      </c>
      <c r="H1212" s="1">
        <f>固定流程!F24</f>
        <v>1</v>
      </c>
      <c r="I1212" s="1">
        <f>INDEX(配置与结果!$B$15:$B$18,F1212)</f>
        <v>1906</v>
      </c>
      <c r="J1212" s="1">
        <f>INDEX(配置与结果!$D$15:$D$18,F1212)</f>
        <v>0.36699999999999999</v>
      </c>
      <c r="K1212" s="1">
        <f>INDEX(配置与结果!$E$15:$E$18,F1212)</f>
        <v>1.7170000000000001</v>
      </c>
      <c r="L1212" s="1">
        <f t="shared" si="1703"/>
        <v>2</v>
      </c>
      <c r="M1212" s="1">
        <f t="shared" si="1704"/>
        <v>10</v>
      </c>
      <c r="N1212" s="1">
        <f t="shared" si="1705"/>
        <v>2</v>
      </c>
      <c r="O1212" s="1">
        <f t="shared" si="1697"/>
        <v>6</v>
      </c>
      <c r="P1212" s="1">
        <f>MIN(方案参数!$AI$36,AZ1211+0+0)</f>
        <v>5</v>
      </c>
      <c r="Q1212" s="1">
        <f t="shared" si="1675"/>
        <v>5</v>
      </c>
      <c r="R1212" s="1">
        <f t="shared" si="1676"/>
        <v>10</v>
      </c>
      <c r="S1212" s="1">
        <f t="shared" si="1677"/>
        <v>3</v>
      </c>
      <c r="T1212" s="1">
        <f t="shared" si="1712"/>
        <v>1</v>
      </c>
      <c r="U1212" s="1">
        <f t="shared" si="1679"/>
        <v>0</v>
      </c>
      <c r="V1212" s="1">
        <f t="shared" si="1680"/>
        <v>3</v>
      </c>
      <c r="W1212" s="1">
        <f t="shared" si="1681"/>
        <v>1</v>
      </c>
      <c r="X1212" s="1">
        <f t="shared" si="1682"/>
        <v>1</v>
      </c>
      <c r="Y1212" s="1">
        <f t="shared" si="1683"/>
        <v>1</v>
      </c>
      <c r="Z1212" s="1">
        <f t="shared" si="1684"/>
        <v>1</v>
      </c>
      <c r="AA1212" s="1">
        <f t="shared" si="1708"/>
        <v>1</v>
      </c>
      <c r="AB1212" s="1">
        <f t="shared" si="1686"/>
        <v>0</v>
      </c>
      <c r="AC1212" s="1">
        <f t="shared" si="1713"/>
        <v>1</v>
      </c>
      <c r="AD1212" s="1">
        <f>ROUNDDOWN(I1212*(1+IF(F1212=3,0.05+方案参数!$Y$36+AA1212*0.12,IF(F1212=4,方案参数!$BZ$36*方案参数!$AS$36,0)))+IF(AND(X1212=1,F1212&lt;&gt;3),方案参数!$CC$36,0)+AC1212*方案参数!$CB$36,0)</f>
        <v>3311</v>
      </c>
      <c r="AE1212" s="1">
        <f>IF(OR(F1212=1,F1212=4),配置与结果!$B$24,配置与结果!$B$25)*MAX(0,1-INDEX(配置与结果!$I$15:$I$18,F1212))</f>
        <v>1200</v>
      </c>
      <c r="AF1212" s="1">
        <f>方案参数!$AT$36+MAX(0,配置与结果!$H$26+方案参数!$BZ$36-30)*方案参数!$AU$36*配置与结果!$H$27</f>
        <v>42</v>
      </c>
      <c r="AG1212" s="1">
        <f>MAX(配置与结果!$B$32,1+INDEX(配置与结果!$F$15:$F$18,F1212)+0.08+Q1212*方案参数!$W$36+Y1212*(方案参数!$AN$36+MIN(方案参数!$AO$36,P1212*0.03))+AB1212*方案参数!$BZ$36*0.025-配置与结果!$B$28)</f>
        <v>1.105</v>
      </c>
      <c r="AH1212" s="1">
        <f>MAX(0,1+INDEX(配置与结果!$H$15:$H$18,F1212)+W1212*方案参数!$AG$36+S1212*方案参数!$Z$36)</f>
        <v>1.42</v>
      </c>
      <c r="AI1212" s="1">
        <f>IF(OR(INDEX(配置与结果!$K$15:$K$18,F1212)=1,G1212="RHI_BERRY"),1+配置与结果!$B$33+P1212*方案参数!$AH$36,1)</f>
        <v>1</v>
      </c>
      <c r="AJ1212" s="1">
        <f>MIN(1,MAX(0,J1212+方案参数!$AB$36-配置与结果!$B$27))</f>
        <v>0.66700000000000004</v>
      </c>
      <c r="AK1212" s="1">
        <f>MAX(1,K1212+IF(F1212=2,0.15+方案参数!$CH$36,0)+BN1212*方案参数!$X$36+R1212*方案参数!$AA$36+0-配置与结果!$B$26+Z1212*(方案参数!$AP$36+MIN(方案参数!$AQ$36,P1212*0.03)))</f>
        <v>1.8169999999999999</v>
      </c>
      <c r="AL1212" s="7">
        <f>ROUNDDOWN(MAX(AD1212*配置与结果!$B$31,AD1212-AE1212)*AF1212*AG1212*AH1212*AI1212,0)</f>
        <v>139119</v>
      </c>
      <c r="AM1212" s="7">
        <f>ROUNDDOWN(MAX(AD1212*配置与结果!$B$31,AD1212-AE1212)*AF1212*AG1212*AH1212*AI1212*AK1212,0)</f>
        <v>252780</v>
      </c>
      <c r="AN1212" s="7">
        <f t="shared" si="1620"/>
        <v>214930.88699999999</v>
      </c>
      <c r="AO1212" s="7">
        <f>0</f>
        <v>0</v>
      </c>
      <c r="AP1212" s="7">
        <f>MAX(0,1+INDEX(配置与结果!$J$15:$J$18,F1212)+IF(T1212&gt;0,方案参数!$BY$36,0)-配置与结果!$B$30)</f>
        <v>2</v>
      </c>
      <c r="AQ1212" s="7">
        <f t="shared" si="1621"/>
        <v>0</v>
      </c>
      <c r="AR1212" s="7">
        <f t="shared" si="1622"/>
        <v>0</v>
      </c>
      <c r="AS1212" s="7">
        <f t="shared" si="1623"/>
        <v>0</v>
      </c>
      <c r="AT1212" s="7">
        <f>0</f>
        <v>0</v>
      </c>
      <c r="AU1212" s="7">
        <f t="shared" si="1624"/>
        <v>214930.88699999999</v>
      </c>
      <c r="AV1212" s="1">
        <f t="shared" si="1625"/>
        <v>2</v>
      </c>
      <c r="AW1212" s="1">
        <f t="shared" si="1701"/>
        <v>10</v>
      </c>
      <c r="AX1212" s="1">
        <f t="shared" si="1626"/>
        <v>2</v>
      </c>
      <c r="AY1212" s="1">
        <f t="shared" si="1695"/>
        <v>6</v>
      </c>
      <c r="AZ1212" s="1">
        <f t="shared" si="1627"/>
        <v>5</v>
      </c>
      <c r="BA1212" s="1">
        <f t="shared" si="1709"/>
        <v>5</v>
      </c>
      <c r="BB1212" s="1">
        <f>MIN(30,R1212+5)</f>
        <v>15</v>
      </c>
      <c r="BC1212" s="1">
        <f t="shared" ref="BC1212:BC1235" si="1715">MIN(3,S1212+0)</f>
        <v>3</v>
      </c>
      <c r="BD1212" s="1">
        <f t="shared" si="1696"/>
        <v>1</v>
      </c>
      <c r="BE1212" s="1">
        <f t="shared" si="1689"/>
        <v>0</v>
      </c>
      <c r="BF1212" s="1">
        <f>MIN(4,V1212+0)</f>
        <v>3</v>
      </c>
      <c r="BG1212" s="1">
        <f t="shared" si="1706"/>
        <v>1</v>
      </c>
      <c r="BH1212" s="1">
        <f t="shared" si="1690"/>
        <v>1</v>
      </c>
      <c r="BI1212" s="1">
        <f t="shared" si="1707"/>
        <v>1</v>
      </c>
      <c r="BJ1212" s="1">
        <f t="shared" si="1710"/>
        <v>1</v>
      </c>
      <c r="BK1212" s="1">
        <f t="shared" si="1711"/>
        <v>1</v>
      </c>
      <c r="BL1212" s="1">
        <f>MAX(AB1212,1)</f>
        <v>1</v>
      </c>
      <c r="BM1212" s="1">
        <f t="shared" si="1714"/>
        <v>1</v>
      </c>
      <c r="BN1212" s="1">
        <f t="shared" si="1691"/>
        <v>1</v>
      </c>
      <c r="BO1212" s="1">
        <f t="shared" si="1692"/>
        <v>1</v>
      </c>
    </row>
    <row r="1213" spans="1:67" ht="30.95" customHeight="1">
      <c r="A1213" s="1">
        <f>33</f>
        <v>33</v>
      </c>
      <c r="B1213" s="1">
        <f>固定流程!A25</f>
        <v>20</v>
      </c>
      <c r="C1213" s="1">
        <f>36</f>
        <v>36</v>
      </c>
      <c r="D1213" s="1">
        <f>1</f>
        <v>1</v>
      </c>
      <c r="E1213" s="1">
        <f>固定流程!C25</f>
        <v>3</v>
      </c>
      <c r="F1213" s="1">
        <f>固定流程!G25</f>
        <v>1</v>
      </c>
      <c r="G1213" s="1" t="str">
        <f>固定流程!H25</f>
        <v>LILYA_ULT</v>
      </c>
      <c r="H1213" s="1">
        <f>固定流程!F25</f>
        <v>1</v>
      </c>
      <c r="I1213" s="1">
        <f>INDEX(配置与结果!$B$15:$B$18,F1213)</f>
        <v>2296</v>
      </c>
      <c r="J1213" s="1">
        <f>INDEX(配置与结果!$D$15:$D$18,F1213)</f>
        <v>0.7</v>
      </c>
      <c r="K1213" s="1">
        <f>INDEX(配置与结果!$E$15:$E$18,F1213)</f>
        <v>2.0249999999999999</v>
      </c>
      <c r="L1213" s="1">
        <f t="shared" si="1703"/>
        <v>2</v>
      </c>
      <c r="M1213" s="1">
        <f t="shared" si="1704"/>
        <v>10</v>
      </c>
      <c r="N1213" s="1">
        <f t="shared" si="1705"/>
        <v>2</v>
      </c>
      <c r="O1213" s="1">
        <f t="shared" si="1697"/>
        <v>6</v>
      </c>
      <c r="P1213" s="1">
        <f>MIN(方案参数!$AI$36,AZ1212+0+0)</f>
        <v>5</v>
      </c>
      <c r="Q1213" s="1">
        <f t="shared" si="1675"/>
        <v>5</v>
      </c>
      <c r="R1213" s="1">
        <f t="shared" si="1676"/>
        <v>15</v>
      </c>
      <c r="S1213" s="1">
        <f t="shared" si="1677"/>
        <v>3</v>
      </c>
      <c r="T1213" s="1">
        <f t="shared" si="1712"/>
        <v>1</v>
      </c>
      <c r="U1213" s="1">
        <f t="shared" si="1679"/>
        <v>0</v>
      </c>
      <c r="V1213" s="1">
        <f t="shared" si="1680"/>
        <v>3</v>
      </c>
      <c r="W1213" s="1">
        <f t="shared" si="1681"/>
        <v>1</v>
      </c>
      <c r="X1213" s="1">
        <f t="shared" si="1682"/>
        <v>1</v>
      </c>
      <c r="Y1213" s="1">
        <f t="shared" si="1683"/>
        <v>1</v>
      </c>
      <c r="Z1213" s="1">
        <f t="shared" si="1684"/>
        <v>1</v>
      </c>
      <c r="AA1213" s="1">
        <f t="shared" si="1708"/>
        <v>1</v>
      </c>
      <c r="AB1213" s="1">
        <f t="shared" si="1686"/>
        <v>1</v>
      </c>
      <c r="AC1213" s="1">
        <f t="shared" si="1713"/>
        <v>1</v>
      </c>
      <c r="AD1213" s="1">
        <f>ROUNDDOWN(I1213*(1+IF(F1213=3,0.05+方案参数!$Y$36+AA1213*0.12,IF(F1213=4,方案参数!$BZ$36*方案参数!$AS$36,0)))+IF(AND(X1213=1,F1213&lt;&gt;3),方案参数!$CC$36,0)+AC1213*方案参数!$CB$36,0)</f>
        <v>3034</v>
      </c>
      <c r="AE1213" s="1">
        <f>IF(OR(F1213=1,F1213=4),配置与结果!$B$24,配置与结果!$B$25)*MAX(0,1-INDEX(配置与结果!$I$15:$I$18,F1213)+IF(O1213&gt;=6,方案参数!$BK$36,0))</f>
        <v>1440</v>
      </c>
      <c r="AF1213" s="1">
        <f>方案参数!$BG$36+IF(O1213&gt;=6,方案参数!$BH$36,0)</f>
        <v>36</v>
      </c>
      <c r="AG1213" s="1">
        <f>MAX(配置与结果!$B$32,1+INDEX(配置与结果!$F$15:$F$18,F1213)+0.08+方案参数!$CD$36+Q1213*方案参数!$W$36+Y1213*(方案参数!$AN$36+MIN(方案参数!$AO$36,P1213*0.03))+AB1213*方案参数!$BZ$36*0.025-配置与结果!$B$28)</f>
        <v>2.2150000000000003</v>
      </c>
      <c r="AH1213" s="1">
        <f>MAX(0,1+INDEX(配置与结果!$H$15:$H$18,F1213)+W1213*方案参数!$AG$36+O1213*方案参数!$BF$36+IF(O1213&gt;=6,方案参数!$BI$36,0))</f>
        <v>2.4500000000000002</v>
      </c>
      <c r="AI1213" s="1">
        <f>IF(OR(INDEX(配置与结果!$K$15:$K$18,F1213)=1,G1213="RHI_BERRY"),1+配置与结果!$B$33+P1213*方案参数!$AH$36,1)</f>
        <v>1</v>
      </c>
      <c r="AJ1213" s="1">
        <f>MIN(1,MAX(0,J1213+方案参数!$AB$36-配置与结果!$B$27))</f>
        <v>1</v>
      </c>
      <c r="AK1213" s="1">
        <f>MAX(1,K1213+IF(F1213=2,0.15+方案参数!$CH$36,0)+BN1213*方案参数!$X$36+R1213*方案参数!$AA$36+IF(O1213&gt;=6,方案参数!$BJ$36,0)-配置与结果!$B$26+Z1213*(方案参数!$AP$36+MIN(方案参数!$AQ$36,P1213*0.03)))</f>
        <v>3.145</v>
      </c>
      <c r="AL1213" s="7">
        <f>ROUNDDOWN(MAX(AD1213*配置与结果!$B$31,AD1213-AE1213)*AF1213*AG1213*AH1213*AI1213,0)</f>
        <v>311408</v>
      </c>
      <c r="AM1213" s="7">
        <f>ROUNDDOWN(MAX(AD1213*配置与结果!$B$31,AD1213-AE1213)*AF1213*AG1213*AH1213*AI1213*AK1213,0)</f>
        <v>979380</v>
      </c>
      <c r="AN1213" s="7">
        <f t="shared" si="1620"/>
        <v>979380</v>
      </c>
      <c r="AO1213" s="7">
        <f>0</f>
        <v>0</v>
      </c>
      <c r="AP1213" s="7">
        <f>MAX(0,1+INDEX(配置与结果!$J$15:$J$18,F1213)+IF(T1213&gt;0,方案参数!$BY$36,0)-配置与结果!$B$30)</f>
        <v>2</v>
      </c>
      <c r="AQ1213" s="7">
        <f t="shared" si="1621"/>
        <v>0</v>
      </c>
      <c r="AR1213" s="7">
        <f t="shared" si="1622"/>
        <v>0</v>
      </c>
      <c r="AS1213" s="7">
        <f t="shared" si="1623"/>
        <v>0</v>
      </c>
      <c r="AT1213" s="7">
        <f>0</f>
        <v>0</v>
      </c>
      <c r="AU1213" s="7">
        <f t="shared" si="1624"/>
        <v>979380</v>
      </c>
      <c r="AV1213" s="1">
        <f t="shared" si="1625"/>
        <v>2</v>
      </c>
      <c r="AW1213" s="1">
        <f t="shared" si="1701"/>
        <v>10</v>
      </c>
      <c r="AX1213" s="1">
        <f t="shared" si="1626"/>
        <v>2</v>
      </c>
      <c r="AY1213" s="1">
        <f>MIN(20,MAX(0,O1213+0+0-IF(O1213&gt;=6,6,0)))</f>
        <v>0</v>
      </c>
      <c r="AZ1213" s="1">
        <f t="shared" si="1627"/>
        <v>5</v>
      </c>
      <c r="BA1213" s="1">
        <f t="shared" si="1709"/>
        <v>5</v>
      </c>
      <c r="BB1213" s="1">
        <f>MIN(30,R1213+5)</f>
        <v>20</v>
      </c>
      <c r="BC1213" s="1">
        <f t="shared" si="1715"/>
        <v>3</v>
      </c>
      <c r="BD1213" s="1">
        <f t="shared" si="1696"/>
        <v>1</v>
      </c>
      <c r="BE1213" s="1">
        <f t="shared" si="1689"/>
        <v>0</v>
      </c>
      <c r="BF1213" s="1">
        <f>MIN(4,V1213+0)</f>
        <v>3</v>
      </c>
      <c r="BG1213" s="1">
        <f t="shared" si="1706"/>
        <v>1</v>
      </c>
      <c r="BH1213" s="1">
        <f t="shared" si="1690"/>
        <v>1</v>
      </c>
      <c r="BI1213" s="1">
        <f t="shared" si="1707"/>
        <v>1</v>
      </c>
      <c r="BJ1213" s="1">
        <f t="shared" si="1710"/>
        <v>1</v>
      </c>
      <c r="BK1213" s="1">
        <f t="shared" si="1711"/>
        <v>1</v>
      </c>
      <c r="BL1213" s="1">
        <f t="shared" ref="BL1213:BL1247" si="1716">MAX(AB1213,0)</f>
        <v>1</v>
      </c>
      <c r="BM1213" s="1">
        <f t="shared" si="1714"/>
        <v>1</v>
      </c>
      <c r="BN1213" s="1">
        <f t="shared" si="1691"/>
        <v>1</v>
      </c>
      <c r="BO1213" s="1">
        <f t="shared" si="1692"/>
        <v>1</v>
      </c>
    </row>
    <row r="1214" spans="1:67" ht="30.95" customHeight="1">
      <c r="A1214" s="1">
        <f>33</f>
        <v>33</v>
      </c>
      <c r="B1214" s="1">
        <f>固定流程!A26</f>
        <v>21</v>
      </c>
      <c r="C1214" s="1">
        <f>36</f>
        <v>36</v>
      </c>
      <c r="D1214" s="1">
        <f>1</f>
        <v>1</v>
      </c>
      <c r="E1214" s="1">
        <f>固定流程!C26</f>
        <v>3</v>
      </c>
      <c r="F1214" s="1">
        <f>固定流程!G26</f>
        <v>1</v>
      </c>
      <c r="G1214" s="1" t="str">
        <f>固定流程!H26</f>
        <v>LILYA_DIVE</v>
      </c>
      <c r="H1214" s="1">
        <f>固定流程!F26</f>
        <v>3</v>
      </c>
      <c r="I1214" s="1">
        <f>INDEX(配置与结果!$B$15:$B$18,F1214)</f>
        <v>2296</v>
      </c>
      <c r="J1214" s="1">
        <f>INDEX(配置与结果!$D$15:$D$18,F1214)</f>
        <v>0.7</v>
      </c>
      <c r="K1214" s="1">
        <f>INDEX(配置与结果!$E$15:$E$18,F1214)</f>
        <v>2.0249999999999999</v>
      </c>
      <c r="L1214" s="1">
        <f t="shared" si="1703"/>
        <v>2</v>
      </c>
      <c r="M1214" s="1">
        <f t="shared" si="1704"/>
        <v>10</v>
      </c>
      <c r="N1214" s="1">
        <f t="shared" si="1705"/>
        <v>2</v>
      </c>
      <c r="O1214" s="1">
        <f t="shared" si="1697"/>
        <v>0</v>
      </c>
      <c r="P1214" s="1">
        <f>MIN(方案参数!$AI$36,AZ1213+0+0)</f>
        <v>5</v>
      </c>
      <c r="Q1214" s="1">
        <f t="shared" si="1675"/>
        <v>5</v>
      </c>
      <c r="R1214" s="1">
        <f t="shared" si="1676"/>
        <v>20</v>
      </c>
      <c r="S1214" s="1">
        <f t="shared" si="1677"/>
        <v>3</v>
      </c>
      <c r="T1214" s="1">
        <f t="shared" si="1712"/>
        <v>1</v>
      </c>
      <c r="U1214" s="1">
        <f t="shared" si="1679"/>
        <v>0</v>
      </c>
      <c r="V1214" s="1">
        <f t="shared" si="1680"/>
        <v>3</v>
      </c>
      <c r="W1214" s="1">
        <f t="shared" si="1681"/>
        <v>1</v>
      </c>
      <c r="X1214" s="1">
        <f t="shared" si="1682"/>
        <v>1</v>
      </c>
      <c r="Y1214" s="1">
        <f t="shared" si="1683"/>
        <v>1</v>
      </c>
      <c r="Z1214" s="1">
        <f t="shared" si="1684"/>
        <v>1</v>
      </c>
      <c r="AA1214" s="1">
        <f t="shared" si="1708"/>
        <v>1</v>
      </c>
      <c r="AB1214" s="1">
        <f t="shared" si="1686"/>
        <v>1</v>
      </c>
      <c r="AC1214" s="1">
        <f t="shared" si="1713"/>
        <v>1</v>
      </c>
      <c r="AD1214" s="1">
        <f>ROUNDDOWN(I1214*(1+IF(F1214=3,0.05+方案参数!$Y$36+AA1214*0.12,IF(F1214=4,方案参数!$BZ$36*方案参数!$AS$36,0)))+IF(AND(X1214=1,F1214&lt;&gt;3),方案参数!$CC$36,0)+AC1214*方案参数!$CB$36,0)</f>
        <v>3034</v>
      </c>
      <c r="AE1214" s="1">
        <f>IF(OR(F1214=1,F1214=4),配置与结果!$B$24,配置与结果!$B$25)*MAX(0,1-INDEX(配置与结果!$I$15:$I$18,F1214))</f>
        <v>1200</v>
      </c>
      <c r="AF1214" s="1">
        <f>(IF(L1214=1,方案参数!$AW$36,IF(L1214=2,方案参数!$AX$36,0))+方案参数!$AV$36)*H1214</f>
        <v>30</v>
      </c>
      <c r="AG1214" s="1">
        <f>MAX(配置与结果!$B$32,1+INDEX(配置与结果!$F$15:$F$18,F1214)+0.08+方案参数!$CD$36+Q1214*方案参数!$W$36+Y1214*(方案参数!$AN$36+MIN(方案参数!$AO$36,P1214*0.03))+AB1214*方案参数!$BZ$36*0.025+IF(L1214=1,方案参数!$AY$36+(H1214-1)*0.1,IF(L1214=2,方案参数!$AZ$36+(H1214-1)*0.2,0))-配置与结果!$B$28)</f>
        <v>2.8150000000000004</v>
      </c>
      <c r="AH1214" s="1">
        <f>MAX(0,1+INDEX(配置与结果!$G$15:$G$18,F1214)+W1214*方案参数!$AG$36+IF(L1214=1,方案参数!$BA$36,IF(L1214=2,方案参数!$BB$36,0))+M1214*方案参数!$BC$36)</f>
        <v>3.1</v>
      </c>
      <c r="AI1214" s="1">
        <f>IF(OR(INDEX(配置与结果!$K$15:$K$18,F1214)=1,G1214="RHI_BERRY"),1+配置与结果!$B$33+P1214*方案参数!$AH$36,1)</f>
        <v>1</v>
      </c>
      <c r="AJ1214" s="1">
        <f>MIN(1,MAX(0,J1214+方案参数!$AB$36-配置与结果!$B$27))</f>
        <v>1</v>
      </c>
      <c r="AK1214" s="1">
        <f>MAX(1,K1214+IF(F1214=2,0.15+方案参数!$CH$36,0)+BN1214*方案参数!$X$36+R1214*方案参数!$AA$36+0-配置与结果!$B$26+Z1214*(方案参数!$AP$36+MIN(方案参数!$AQ$36,P1214*0.03)))</f>
        <v>2.165</v>
      </c>
      <c r="AL1214" s="7">
        <f>ROUNDDOWN(MAX(AD1214*配置与结果!$B$31,AD1214-AE1214)*AF1214*AG1214*AH1214*AI1214,0)</f>
        <v>480132</v>
      </c>
      <c r="AM1214" s="7">
        <f>ROUNDDOWN(MAX(AD1214*配置与结果!$B$31,AD1214-AE1214)*AF1214*AG1214*AH1214*AI1214*AK1214,0)</f>
        <v>1039485</v>
      </c>
      <c r="AN1214" s="7">
        <f t="shared" si="1620"/>
        <v>1039485</v>
      </c>
      <c r="AO1214" s="7">
        <f>0</f>
        <v>0</v>
      </c>
      <c r="AP1214" s="7">
        <f>MAX(0,1+INDEX(配置与结果!$J$15:$J$18,F1214)+IF(T1214&gt;0,方案参数!$BY$36,0)-配置与结果!$B$30)</f>
        <v>2</v>
      </c>
      <c r="AQ1214" s="7">
        <f t="shared" si="1621"/>
        <v>0</v>
      </c>
      <c r="AR1214" s="7">
        <f t="shared" si="1622"/>
        <v>0</v>
      </c>
      <c r="AS1214" s="7">
        <f t="shared" si="1623"/>
        <v>0</v>
      </c>
      <c r="AT1214" s="7">
        <f>0</f>
        <v>0</v>
      </c>
      <c r="AU1214" s="7">
        <f t="shared" si="1624"/>
        <v>1039485</v>
      </c>
      <c r="AV1214" s="1">
        <f t="shared" si="1625"/>
        <v>2</v>
      </c>
      <c r="AW1214" s="1">
        <f>MIN(10,M1214+0+IF(L1214=1,方案参数!$BE$36,0))</f>
        <v>10</v>
      </c>
      <c r="AX1214" s="1">
        <f t="shared" si="1626"/>
        <v>2</v>
      </c>
      <c r="AY1214" s="1">
        <f>MIN(20,MAX(0,O1214+0+0-0))</f>
        <v>0</v>
      </c>
      <c r="AZ1214" s="1">
        <f t="shared" si="1627"/>
        <v>5</v>
      </c>
      <c r="BA1214" s="1">
        <f t="shared" si="1709"/>
        <v>5</v>
      </c>
      <c r="BB1214" s="1">
        <f t="shared" ref="BB1214:BB1229" si="1717">MIN(30,R1214+0)</f>
        <v>20</v>
      </c>
      <c r="BC1214" s="1">
        <f t="shared" si="1715"/>
        <v>3</v>
      </c>
      <c r="BD1214" s="1">
        <f t="shared" si="1696"/>
        <v>1</v>
      </c>
      <c r="BE1214" s="1">
        <f t="shared" si="1689"/>
        <v>0</v>
      </c>
      <c r="BF1214" s="1">
        <f>MIN(4,V1214+0)</f>
        <v>3</v>
      </c>
      <c r="BG1214" s="1">
        <f t="shared" si="1706"/>
        <v>1</v>
      </c>
      <c r="BH1214" s="1">
        <f t="shared" si="1690"/>
        <v>1</v>
      </c>
      <c r="BI1214" s="1">
        <f t="shared" si="1707"/>
        <v>1</v>
      </c>
      <c r="BJ1214" s="1">
        <f t="shared" si="1710"/>
        <v>1</v>
      </c>
      <c r="BK1214" s="1">
        <f t="shared" si="1711"/>
        <v>1</v>
      </c>
      <c r="BL1214" s="1">
        <f t="shared" si="1716"/>
        <v>1</v>
      </c>
      <c r="BM1214" s="1">
        <f t="shared" si="1714"/>
        <v>1</v>
      </c>
      <c r="BN1214" s="1">
        <f t="shared" si="1691"/>
        <v>1</v>
      </c>
      <c r="BO1214" s="1">
        <f t="shared" si="1692"/>
        <v>1</v>
      </c>
    </row>
    <row r="1215" spans="1:67" ht="30.95" customHeight="1">
      <c r="A1215" s="1">
        <f>33</f>
        <v>33</v>
      </c>
      <c r="B1215" s="1">
        <f>固定流程!A27</f>
        <v>22</v>
      </c>
      <c r="C1215" s="1">
        <f>36</f>
        <v>36</v>
      </c>
      <c r="D1215" s="1">
        <f>1</f>
        <v>1</v>
      </c>
      <c r="E1215" s="1">
        <f>固定流程!C27</f>
        <v>3</v>
      </c>
      <c r="F1215" s="1">
        <f>固定流程!G27</f>
        <v>3</v>
      </c>
      <c r="G1215" s="1" t="str">
        <f>固定流程!H27</f>
        <v>RHI_BERRY</v>
      </c>
      <c r="H1215" s="1">
        <f>固定流程!F27</f>
        <v>1</v>
      </c>
      <c r="I1215" s="1">
        <f>INDEX(配置与结果!$B$15:$B$18,F1215)</f>
        <v>2597</v>
      </c>
      <c r="J1215" s="1">
        <f>INDEX(配置与结果!$D$15:$D$18,F1215)</f>
        <v>0.255</v>
      </c>
      <c r="K1215" s="1">
        <f>INDEX(配置与结果!$E$15:$E$18,F1215)</f>
        <v>1.55</v>
      </c>
      <c r="L1215" s="1">
        <f t="shared" si="1703"/>
        <v>2</v>
      </c>
      <c r="M1215" s="1">
        <f t="shared" si="1704"/>
        <v>10</v>
      </c>
      <c r="N1215" s="1">
        <f t="shared" si="1705"/>
        <v>2</v>
      </c>
      <c r="O1215" s="1">
        <f t="shared" si="1697"/>
        <v>0</v>
      </c>
      <c r="P1215" s="1">
        <f>MIN(方案参数!$AI$36,AZ1214+0+0)</f>
        <v>5</v>
      </c>
      <c r="Q1215" s="1">
        <f t="shared" si="1675"/>
        <v>5</v>
      </c>
      <c r="R1215" s="1">
        <f t="shared" si="1676"/>
        <v>20</v>
      </c>
      <c r="S1215" s="1">
        <f t="shared" si="1677"/>
        <v>3</v>
      </c>
      <c r="T1215" s="1">
        <f t="shared" si="1712"/>
        <v>1</v>
      </c>
      <c r="U1215" s="1">
        <f t="shared" si="1679"/>
        <v>0</v>
      </c>
      <c r="V1215" s="1">
        <f t="shared" si="1680"/>
        <v>3</v>
      </c>
      <c r="W1215" s="1">
        <f t="shared" si="1681"/>
        <v>1</v>
      </c>
      <c r="X1215" s="1">
        <f t="shared" si="1682"/>
        <v>1</v>
      </c>
      <c r="Y1215" s="1">
        <f t="shared" si="1683"/>
        <v>1</v>
      </c>
      <c r="Z1215" s="1">
        <f t="shared" si="1684"/>
        <v>1</v>
      </c>
      <c r="AA1215" s="1">
        <f t="shared" si="1708"/>
        <v>1</v>
      </c>
      <c r="AB1215" s="1">
        <f t="shared" si="1686"/>
        <v>1</v>
      </c>
      <c r="AC1215" s="1">
        <f t="shared" si="1713"/>
        <v>1</v>
      </c>
      <c r="AD1215" s="1">
        <f>ROUNDDOWN(I1215*(1+IF(F1215=3,0.05+方案参数!$Y$36+AA1215*0.12,IF(F1215=4,方案参数!$BZ$36*方案参数!$AS$36,0)))+IF(AND(X1215=1,F1215&lt;&gt;3),方案参数!$CC$36,0)+AC1215*方案参数!$CB$36,0)</f>
        <v>3798</v>
      </c>
      <c r="AE1215" s="1">
        <f>IF(OR(F1215=1,F1215=4),配置与结果!$B$24,配置与结果!$B$25)*MAX(0,1-INDEX(配置与结果!$I$15:$I$18,F1215))</f>
        <v>1000</v>
      </c>
      <c r="AF1215" s="1">
        <f>方案参数!$CF$36+P1215*方案参数!$CG$36</f>
        <v>22.5</v>
      </c>
      <c r="AG1215" s="1">
        <f>MAX(配置与结果!$B$32,1+INDEX(配置与结果!$F$15:$F$18,F1215)+0+Q1215*方案参数!$W$36+Y1215*(方案参数!$AN$36+MIN(方案参数!$AO$36,P1215*0.03))+AB1215*方案参数!$BZ$36*0.025-配置与结果!$B$28)</f>
        <v>1.9100000000000001</v>
      </c>
      <c r="AH1215" s="1">
        <f>MAX(0,1+INDEX(配置与结果!$G$15:$G$18,F1215)+W1215*方案参数!$AG$36)</f>
        <v>1.3</v>
      </c>
      <c r="AI1215" s="1">
        <f>IF(OR(INDEX(配置与结果!$K$15:$K$18,F1215)=1,G1215="RHI_BERRY"),1+配置与结果!$B$33+P1215*方案参数!$AH$36,1)</f>
        <v>1.5</v>
      </c>
      <c r="AJ1215" s="1">
        <f>MIN(1,MAX(0,J1215+方案参数!$AB$36-配置与结果!$B$27))</f>
        <v>0.55499999999999994</v>
      </c>
      <c r="AK1215" s="1">
        <f>MAX(1,K1215+IF(F1215=2,0.15+方案参数!$CH$36,0)+BN1215*方案参数!$X$36+R1215*方案参数!$AA$36+0-配置与结果!$B$26+Z1215*(方案参数!$AP$36+MIN(方案参数!$AQ$36,P1215*0.03)))</f>
        <v>1.6900000000000002</v>
      </c>
      <c r="AL1215" s="7">
        <f>ROUNDDOWN(MAX(AD1215*配置与结果!$B$31,AD1215-AE1215)*AF1215*AG1215*AH1215*AI1215,0)</f>
        <v>234475</v>
      </c>
      <c r="AM1215" s="7">
        <f>ROUNDDOWN(MAX(AD1215*配置与结果!$B$31,AD1215-AE1215)*AF1215*AG1215*AH1215*AI1215*AK1215,0)</f>
        <v>396264</v>
      </c>
      <c r="AN1215" s="7">
        <f t="shared" si="1620"/>
        <v>324267.89500000002</v>
      </c>
      <c r="AO1215" s="7">
        <f>0</f>
        <v>0</v>
      </c>
      <c r="AP1215" s="7">
        <f>MAX(0,1+INDEX(配置与结果!$J$15:$J$18,F1215)+IF(T1215&gt;0,方案参数!$BY$36,0)-配置与结果!$B$30)</f>
        <v>2</v>
      </c>
      <c r="AQ1215" s="7">
        <f t="shared" si="1621"/>
        <v>0</v>
      </c>
      <c r="AR1215" s="7">
        <f t="shared" si="1622"/>
        <v>0</v>
      </c>
      <c r="AS1215" s="7">
        <f t="shared" si="1623"/>
        <v>0</v>
      </c>
      <c r="AT1215" s="7">
        <f>0</f>
        <v>0</v>
      </c>
      <c r="AU1215" s="7">
        <f t="shared" si="1624"/>
        <v>324267.89500000002</v>
      </c>
      <c r="AV1215" s="1">
        <f t="shared" si="1625"/>
        <v>2</v>
      </c>
      <c r="AW1215" s="1">
        <f t="shared" ref="AW1215:AW1231" si="1718">MIN(10,M1215+0+0)</f>
        <v>10</v>
      </c>
      <c r="AX1215" s="1">
        <f t="shared" si="1626"/>
        <v>2</v>
      </c>
      <c r="AY1215" s="1">
        <f>MIN(20,MAX(0,O1215+0+0-0))</f>
        <v>0</v>
      </c>
      <c r="AZ1215" s="1">
        <f t="shared" si="1627"/>
        <v>5</v>
      </c>
      <c r="BA1215" s="1">
        <f t="shared" si="1709"/>
        <v>5</v>
      </c>
      <c r="BB1215" s="1">
        <f t="shared" si="1717"/>
        <v>20</v>
      </c>
      <c r="BC1215" s="1">
        <f t="shared" si="1715"/>
        <v>3</v>
      </c>
      <c r="BD1215" s="1">
        <f t="shared" si="1696"/>
        <v>1</v>
      </c>
      <c r="BE1215" s="1">
        <f t="shared" si="1689"/>
        <v>0</v>
      </c>
      <c r="BF1215" s="1">
        <f>MIN(4,V1215+0)</f>
        <v>3</v>
      </c>
      <c r="BG1215" s="1">
        <f t="shared" si="1706"/>
        <v>1</v>
      </c>
      <c r="BH1215" s="1">
        <f t="shared" si="1690"/>
        <v>1</v>
      </c>
      <c r="BI1215" s="1">
        <f t="shared" si="1707"/>
        <v>1</v>
      </c>
      <c r="BJ1215" s="1">
        <f t="shared" si="1710"/>
        <v>1</v>
      </c>
      <c r="BK1215" s="1">
        <f t="shared" si="1711"/>
        <v>1</v>
      </c>
      <c r="BL1215" s="1">
        <f t="shared" si="1716"/>
        <v>1</v>
      </c>
      <c r="BM1215" s="1">
        <f t="shared" si="1714"/>
        <v>1</v>
      </c>
      <c r="BN1215" s="1">
        <f t="shared" si="1691"/>
        <v>1</v>
      </c>
      <c r="BO1215" s="1">
        <f t="shared" si="1692"/>
        <v>1</v>
      </c>
    </row>
    <row r="1216" spans="1:67" ht="30.95" customHeight="1">
      <c r="A1216" s="1">
        <f>33</f>
        <v>33</v>
      </c>
      <c r="B1216" s="1">
        <f>固定流程!A28</f>
        <v>23</v>
      </c>
      <c r="C1216" s="1">
        <f>36</f>
        <v>36</v>
      </c>
      <c r="D1216" s="1">
        <f>1</f>
        <v>1</v>
      </c>
      <c r="E1216" s="1">
        <f>固定流程!C28</f>
        <v>3</v>
      </c>
      <c r="F1216" s="1">
        <f>固定流程!G28</f>
        <v>2</v>
      </c>
      <c r="G1216" s="1" t="str">
        <f>固定流程!H28</f>
        <v>37_FOLLOW</v>
      </c>
      <c r="H1216" s="1">
        <f>固定流程!F28</f>
        <v>1</v>
      </c>
      <c r="I1216" s="1">
        <f>INDEX(配置与结果!$B$15:$B$18,F1216)</f>
        <v>2306</v>
      </c>
      <c r="J1216" s="1">
        <f>INDEX(配置与结果!$D$15:$D$18,F1216)</f>
        <v>0.46</v>
      </c>
      <c r="K1216" s="1">
        <f>INDEX(配置与结果!$E$15:$E$18,F1216)</f>
        <v>1.9279999999999999</v>
      </c>
      <c r="L1216" s="1">
        <f t="shared" si="1703"/>
        <v>2</v>
      </c>
      <c r="M1216" s="1">
        <f t="shared" si="1704"/>
        <v>10</v>
      </c>
      <c r="N1216" s="1">
        <f t="shared" si="1705"/>
        <v>2</v>
      </c>
      <c r="O1216" s="1">
        <f t="shared" si="1697"/>
        <v>0</v>
      </c>
      <c r="P1216" s="1">
        <f>MIN(方案参数!$AI$36,AZ1215+0+0)</f>
        <v>5</v>
      </c>
      <c r="Q1216" s="1">
        <f t="shared" si="1675"/>
        <v>5</v>
      </c>
      <c r="R1216" s="1">
        <f t="shared" si="1676"/>
        <v>20</v>
      </c>
      <c r="S1216" s="1">
        <f t="shared" si="1677"/>
        <v>3</v>
      </c>
      <c r="T1216" s="1">
        <f t="shared" si="1712"/>
        <v>1</v>
      </c>
      <c r="U1216" s="1">
        <f t="shared" si="1679"/>
        <v>0</v>
      </c>
      <c r="V1216" s="1">
        <f t="shared" si="1680"/>
        <v>3</v>
      </c>
      <c r="W1216" s="1">
        <f t="shared" si="1681"/>
        <v>1</v>
      </c>
      <c r="X1216" s="1">
        <f t="shared" si="1682"/>
        <v>1</v>
      </c>
      <c r="Y1216" s="1">
        <f t="shared" si="1683"/>
        <v>1</v>
      </c>
      <c r="Z1216" s="1">
        <f t="shared" si="1684"/>
        <v>1</v>
      </c>
      <c r="AA1216" s="1">
        <f t="shared" si="1708"/>
        <v>1</v>
      </c>
      <c r="AB1216" s="1">
        <f t="shared" si="1686"/>
        <v>1</v>
      </c>
      <c r="AC1216" s="1">
        <f t="shared" si="1713"/>
        <v>1</v>
      </c>
      <c r="AD1216" s="1">
        <f>ROUNDDOWN(I1216*(1+IF(F1216=3,0.05+方案参数!$Y$36+AA1216*0.12,IF(F1216=4,方案参数!$BZ$36*方案参数!$AS$36,0)))+IF(AND(X1216=1,F1216&lt;&gt;3),方案参数!$CC$36,0)+AC1216*方案参数!$CB$36,0)</f>
        <v>3044</v>
      </c>
      <c r="AE1216" s="1">
        <f>IF(OR(F1216=1,F1216=4),配置与结果!$B$24,配置与结果!$B$25)*MAX(0,1-INDEX(配置与结果!$I$15:$I$18,F1216))</f>
        <v>1000</v>
      </c>
      <c r="AF1216" s="1">
        <f>方案参数!$BV$36</f>
        <v>3</v>
      </c>
      <c r="AG1216" s="1">
        <f>MAX(配置与结果!$B$32,1+INDEX(配置与结果!$F$15:$F$18,F1216)+0+Q1216*方案参数!$W$36+Y1216*(方案参数!$AN$36+MIN(方案参数!$AO$36,P1216*0.03))+AB1216*方案参数!$BZ$36*0.025-配置与结果!$B$28)</f>
        <v>1.8800000000000003</v>
      </c>
      <c r="AH1216" s="1">
        <f>MAX(0,1+INDEX(配置与结果!$G$15:$G$18,F1216)+W1216*方案参数!$AG$36)</f>
        <v>1.3</v>
      </c>
      <c r="AI1216" s="1">
        <f>IF(OR(INDEX(配置与结果!$K$15:$K$18,F1216)=1,G1216="RHI_BERRY"),1+配置与结果!$B$33+P1216*方案参数!$AH$36,1)</f>
        <v>1</v>
      </c>
      <c r="AJ1216" s="1">
        <f>MIN(1,MAX(0,J1216+方案参数!$AB$36-配置与结果!$B$27))</f>
        <v>0.76</v>
      </c>
      <c r="AK1216" s="1">
        <f>MAX(1,K1216+IF(F1216=2,0.15+方案参数!$CH$36,0)+BN1216*方案参数!$X$36+R1216*方案参数!$AA$36+0-配置与结果!$B$26+Z1216*(方案参数!$AP$36+MIN(方案参数!$AQ$36,P1216*0.03)))</f>
        <v>2.3980000000000001</v>
      </c>
      <c r="AL1216" s="7">
        <f>ROUNDDOWN(MAX(AD1216*配置与结果!$B$31,AD1216-AE1216)*AF1216*AG1216*AH1216*AI1216,0)</f>
        <v>14986</v>
      </c>
      <c r="AM1216" s="7">
        <f>ROUNDDOWN(MAX(AD1216*配置与结果!$B$31,AD1216-AE1216)*AF1216*AG1216*AH1216*AI1216*AK1216,0)</f>
        <v>35937</v>
      </c>
      <c r="AN1216" s="7">
        <f t="shared" si="1620"/>
        <v>30908.76</v>
      </c>
      <c r="AO1216" s="7">
        <f>方案参数!$BW$36</f>
        <v>1</v>
      </c>
      <c r="AP1216" s="7">
        <f>MAX(0,1+INDEX(配置与结果!$J$15:$J$18,F1216)+IF(T1216&gt;0,方案参数!$BY$36,0)-配置与结果!$B$30)</f>
        <v>2</v>
      </c>
      <c r="AQ1216" s="7">
        <f t="shared" si="1621"/>
        <v>6088</v>
      </c>
      <c r="AR1216" s="7">
        <f t="shared" si="1622"/>
        <v>14599</v>
      </c>
      <c r="AS1216" s="7">
        <f t="shared" si="1623"/>
        <v>12556.36</v>
      </c>
      <c r="AT1216" s="7">
        <f>0</f>
        <v>0</v>
      </c>
      <c r="AU1216" s="7">
        <f t="shared" si="1624"/>
        <v>43465.119999999995</v>
      </c>
      <c r="AV1216" s="1">
        <f t="shared" si="1625"/>
        <v>2</v>
      </c>
      <c r="AW1216" s="1">
        <f t="shared" si="1718"/>
        <v>10</v>
      </c>
      <c r="AX1216" s="1">
        <f t="shared" si="1626"/>
        <v>2</v>
      </c>
      <c r="AY1216" s="1">
        <f>MIN(20,MAX(0,O1216+0+0-0))</f>
        <v>0</v>
      </c>
      <c r="AZ1216" s="1">
        <f t="shared" si="1627"/>
        <v>5</v>
      </c>
      <c r="BA1216" s="1">
        <f t="shared" si="1709"/>
        <v>5</v>
      </c>
      <c r="BB1216" s="1">
        <f t="shared" si="1717"/>
        <v>20</v>
      </c>
      <c r="BC1216" s="1">
        <f t="shared" si="1715"/>
        <v>3</v>
      </c>
      <c r="BD1216" s="1">
        <f t="shared" si="1696"/>
        <v>0</v>
      </c>
      <c r="BE1216" s="1">
        <f t="shared" si="1689"/>
        <v>0</v>
      </c>
      <c r="BF1216" s="1">
        <f>MIN(4,V1216+1)</f>
        <v>4</v>
      </c>
      <c r="BG1216" s="1">
        <f t="shared" si="1706"/>
        <v>1</v>
      </c>
      <c r="BH1216" s="1">
        <f t="shared" si="1690"/>
        <v>1</v>
      </c>
      <c r="BI1216" s="1">
        <f t="shared" si="1707"/>
        <v>1</v>
      </c>
      <c r="BJ1216" s="1">
        <f t="shared" si="1710"/>
        <v>1</v>
      </c>
      <c r="BK1216" s="1">
        <f t="shared" si="1711"/>
        <v>1</v>
      </c>
      <c r="BL1216" s="1">
        <f t="shared" si="1716"/>
        <v>1</v>
      </c>
      <c r="BM1216" s="1">
        <f t="shared" si="1714"/>
        <v>1</v>
      </c>
      <c r="BN1216" s="1">
        <f t="shared" si="1691"/>
        <v>1</v>
      </c>
      <c r="BO1216" s="1">
        <f t="shared" si="1692"/>
        <v>1</v>
      </c>
    </row>
    <row r="1217" spans="1:67" ht="30.95" customHeight="1">
      <c r="A1217" s="1">
        <f>33</f>
        <v>33</v>
      </c>
      <c r="B1217" s="1">
        <f>固定流程!A29</f>
        <v>24</v>
      </c>
      <c r="C1217" s="1">
        <f>36</f>
        <v>36</v>
      </c>
      <c r="D1217" s="1">
        <f>2</f>
        <v>2</v>
      </c>
      <c r="E1217" s="1">
        <f>固定流程!C29</f>
        <v>3</v>
      </c>
      <c r="F1217" s="1">
        <f>固定流程!G29</f>
        <v>1</v>
      </c>
      <c r="G1217" s="1" t="str">
        <f>固定流程!H29</f>
        <v>LILYA_WEAK</v>
      </c>
      <c r="H1217" s="1">
        <f>固定流程!F29</f>
        <v>1</v>
      </c>
      <c r="I1217" s="1">
        <f>INDEX(配置与结果!$B$15:$B$18,F1217)</f>
        <v>2296</v>
      </c>
      <c r="J1217" s="1">
        <f>INDEX(配置与结果!$D$15:$D$18,F1217)</f>
        <v>0.7</v>
      </c>
      <c r="K1217" s="1">
        <f>INDEX(配置与结果!$E$15:$E$18,F1217)</f>
        <v>2.0249999999999999</v>
      </c>
      <c r="L1217" s="1">
        <f t="shared" si="1703"/>
        <v>2</v>
      </c>
      <c r="M1217" s="1">
        <f t="shared" si="1704"/>
        <v>10</v>
      </c>
      <c r="N1217" s="1">
        <f t="shared" si="1705"/>
        <v>2</v>
      </c>
      <c r="O1217" s="1">
        <f t="shared" si="1697"/>
        <v>0</v>
      </c>
      <c r="P1217" s="1">
        <f>MIN(方案参数!$AI$36,AZ1216+0+0)</f>
        <v>5</v>
      </c>
      <c r="Q1217" s="1">
        <f t="shared" si="1675"/>
        <v>5</v>
      </c>
      <c r="R1217" s="1">
        <f t="shared" si="1676"/>
        <v>20</v>
      </c>
      <c r="S1217" s="1">
        <f t="shared" si="1677"/>
        <v>3</v>
      </c>
      <c r="T1217" s="1">
        <f t="shared" si="1712"/>
        <v>0</v>
      </c>
      <c r="U1217" s="1">
        <f t="shared" si="1679"/>
        <v>0</v>
      </c>
      <c r="V1217" s="1">
        <f t="shared" si="1680"/>
        <v>4</v>
      </c>
      <c r="W1217" s="1">
        <f t="shared" si="1681"/>
        <v>1</v>
      </c>
      <c r="X1217" s="1">
        <f t="shared" si="1682"/>
        <v>1</v>
      </c>
      <c r="Y1217" s="1">
        <f t="shared" si="1683"/>
        <v>1</v>
      </c>
      <c r="Z1217" s="1">
        <f t="shared" si="1684"/>
        <v>1</v>
      </c>
      <c r="AA1217" s="1">
        <f t="shared" si="1708"/>
        <v>1</v>
      </c>
      <c r="AB1217" s="1">
        <f t="shared" si="1686"/>
        <v>1</v>
      </c>
      <c r="AC1217" s="1">
        <f t="shared" si="1713"/>
        <v>1</v>
      </c>
      <c r="AD1217" s="1">
        <f>ROUNDDOWN(I1217*(1+IF(F1217=3,0.05+方案参数!$Y$36+AA1217*0.12,IF(F1217=4,方案参数!$BZ$36*方案参数!$AS$36,0)))+IF(AND(X1217=1,F1217&lt;&gt;3),方案参数!$CC$36,0)+AC1217*方案参数!$CB$36,0)</f>
        <v>3034</v>
      </c>
      <c r="AE1217" s="1">
        <f>IF(OR(F1217=1,F1217=4),配置与结果!$B$24,配置与结果!$B$25)*MAX(0,1-INDEX(配置与结果!$I$15:$I$18,F1217))</f>
        <v>1200</v>
      </c>
      <c r="AF1217" s="1">
        <f>方案参数!$BL$36</f>
        <v>9</v>
      </c>
      <c r="AG1217" s="1">
        <f>MAX(配置与结果!$B$32,1+INDEX(配置与结果!$F$15:$F$18,F1217)+0.08+方案参数!$CD$36+Q1217*方案参数!$W$36+Y1217*(方案参数!$AN$36+MIN(方案参数!$AO$36,P1217*0.03))+AB1217*方案参数!$BZ$36*0.025-配置与结果!$B$28+方案参数!$AE$36)</f>
        <v>2.6150000000000002</v>
      </c>
      <c r="AH1217" s="1">
        <f>MAX(0,1+V1217*方案参数!$U$36+0*方案参数!$V$36+方案参数!$AE$36-配置与结果!$B$29)</f>
        <v>1.6400000000000001</v>
      </c>
      <c r="AI1217" s="1">
        <f>IF(OR(INDEX(配置与结果!$K$15:$K$18,F1217)=1,G1217="RHI_BERRY"),1+配置与结果!$B$33+P1217*方案参数!$AH$36,1)</f>
        <v>1</v>
      </c>
      <c r="AJ1217" s="1">
        <f>MIN(1,MAX(0,J1217+方案参数!$AB$36-配置与结果!$B$27))</f>
        <v>1</v>
      </c>
      <c r="AK1217" s="1">
        <f>MAX(1,K1217+IF(F1217=2,0.15+方案参数!$CH$36,0)+BN1217*方案参数!$X$36+R1217*方案参数!$AA$36+方案参数!$BP$36-配置与结果!$B$26+Z1217*(方案参数!$AP$36+MIN(方案参数!$AQ$36,P1217*0.03)))</f>
        <v>2.7650000000000001</v>
      </c>
      <c r="AL1217" s="7">
        <f>ROUNDDOWN(MAX(AD1217*配置与结果!$B$31,AD1217-AE1217)*AF1217*AG1217*AH1217*AI1217,0)</f>
        <v>70787</v>
      </c>
      <c r="AM1217" s="7">
        <f>ROUNDDOWN(MAX(AD1217*配置与结果!$B$31,AD1217-AE1217)*AF1217*AG1217*AH1217*AI1217*AK1217,0)</f>
        <v>195727</v>
      </c>
      <c r="AN1217" s="7">
        <f t="shared" si="1620"/>
        <v>195727</v>
      </c>
      <c r="AO1217" s="7">
        <f>0</f>
        <v>0</v>
      </c>
      <c r="AP1217" s="7">
        <f>MAX(0,1+INDEX(配置与结果!$J$15:$J$18,F1217)+IF(T1217&gt;0,方案参数!$BY$36,0)-配置与结果!$B$30)</f>
        <v>1</v>
      </c>
      <c r="AQ1217" s="7">
        <f t="shared" si="1621"/>
        <v>0</v>
      </c>
      <c r="AR1217" s="7">
        <f t="shared" si="1622"/>
        <v>0</v>
      </c>
      <c r="AS1217" s="7">
        <f t="shared" si="1623"/>
        <v>0</v>
      </c>
      <c r="AT1217" s="7">
        <f>IF(U1217&gt;0,ROUNDDOWN(AL1217*方案参数!$AF$36,0)*(1-AJ1217)+ROUNDDOWN(AM1217*方案参数!$AF$36,0)*AJ1217,0)</f>
        <v>0</v>
      </c>
      <c r="AU1217" s="7">
        <f t="shared" si="1624"/>
        <v>195727</v>
      </c>
      <c r="AV1217" s="1">
        <f t="shared" si="1625"/>
        <v>2</v>
      </c>
      <c r="AW1217" s="1">
        <f t="shared" si="1718"/>
        <v>10</v>
      </c>
      <c r="AX1217" s="1">
        <f t="shared" si="1626"/>
        <v>2</v>
      </c>
      <c r="AY1217" s="1">
        <f>MIN(20,MAX(0,O1217+0+1-0))</f>
        <v>1</v>
      </c>
      <c r="AZ1217" s="1">
        <f t="shared" si="1627"/>
        <v>5</v>
      </c>
      <c r="BA1217" s="1">
        <f t="shared" si="1709"/>
        <v>5</v>
      </c>
      <c r="BB1217" s="1">
        <f t="shared" si="1717"/>
        <v>20</v>
      </c>
      <c r="BC1217" s="1">
        <f t="shared" si="1715"/>
        <v>3</v>
      </c>
      <c r="BD1217" s="1">
        <f t="shared" si="1696"/>
        <v>0</v>
      </c>
      <c r="BE1217" s="1">
        <f>MAX(0,U1217-IF(AF1217&gt;0,1,0))+0</f>
        <v>0</v>
      </c>
      <c r="BF1217" s="1">
        <f t="shared" ref="BF1217:BF1234" si="1719">MIN(4,V1217+0)</f>
        <v>4</v>
      </c>
      <c r="BG1217" s="1">
        <f t="shared" si="1706"/>
        <v>1</v>
      </c>
      <c r="BH1217" s="1">
        <f t="shared" si="1690"/>
        <v>1</v>
      </c>
      <c r="BI1217" s="1">
        <f t="shared" si="1707"/>
        <v>1</v>
      </c>
      <c r="BJ1217" s="1">
        <f t="shared" si="1710"/>
        <v>1</v>
      </c>
      <c r="BK1217" s="1">
        <f t="shared" si="1711"/>
        <v>1</v>
      </c>
      <c r="BL1217" s="1">
        <f t="shared" si="1716"/>
        <v>1</v>
      </c>
      <c r="BM1217" s="1">
        <f t="shared" si="1714"/>
        <v>1</v>
      </c>
      <c r="BN1217" s="1">
        <f t="shared" si="1691"/>
        <v>1</v>
      </c>
      <c r="BO1217" s="1">
        <f t="shared" si="1692"/>
        <v>1</v>
      </c>
    </row>
    <row r="1218" spans="1:67" ht="30.95" customHeight="1">
      <c r="A1218" s="1">
        <f>33</f>
        <v>33</v>
      </c>
      <c r="B1218" s="1">
        <f>固定流程!A30</f>
        <v>25</v>
      </c>
      <c r="C1218" s="1">
        <f>36</f>
        <v>36</v>
      </c>
      <c r="D1218" s="1">
        <f>2</f>
        <v>2</v>
      </c>
      <c r="E1218" s="1">
        <f>固定流程!C30</f>
        <v>3</v>
      </c>
      <c r="F1218" s="1">
        <f>固定流程!G30</f>
        <v>1</v>
      </c>
      <c r="G1218" s="1" t="str">
        <f>固定流程!H30</f>
        <v>LILYA_WEAK</v>
      </c>
      <c r="H1218" s="1">
        <f>固定流程!F30</f>
        <v>1</v>
      </c>
      <c r="I1218" s="1">
        <f>INDEX(配置与结果!$B$15:$B$18,F1218)</f>
        <v>2296</v>
      </c>
      <c r="J1218" s="1">
        <f>INDEX(配置与结果!$D$15:$D$18,F1218)</f>
        <v>0.7</v>
      </c>
      <c r="K1218" s="1">
        <f>INDEX(配置与结果!$E$15:$E$18,F1218)</f>
        <v>2.0249999999999999</v>
      </c>
      <c r="L1218" s="1">
        <f t="shared" si="1703"/>
        <v>2</v>
      </c>
      <c r="M1218" s="1">
        <f t="shared" si="1704"/>
        <v>10</v>
      </c>
      <c r="N1218" s="1">
        <f t="shared" si="1705"/>
        <v>2</v>
      </c>
      <c r="O1218" s="1">
        <f t="shared" si="1697"/>
        <v>1</v>
      </c>
      <c r="P1218" s="1">
        <f>MIN(方案参数!$AI$36,AZ1217+0+0)</f>
        <v>5</v>
      </c>
      <c r="Q1218" s="1">
        <f t="shared" si="1675"/>
        <v>5</v>
      </c>
      <c r="R1218" s="1">
        <f t="shared" si="1676"/>
        <v>20</v>
      </c>
      <c r="S1218" s="1">
        <f t="shared" si="1677"/>
        <v>3</v>
      </c>
      <c r="T1218" s="1">
        <f t="shared" si="1712"/>
        <v>0</v>
      </c>
      <c r="U1218" s="1">
        <f t="shared" si="1679"/>
        <v>0</v>
      </c>
      <c r="V1218" s="1">
        <f t="shared" si="1680"/>
        <v>4</v>
      </c>
      <c r="W1218" s="1">
        <f t="shared" si="1681"/>
        <v>1</v>
      </c>
      <c r="X1218" s="1">
        <f t="shared" si="1682"/>
        <v>1</v>
      </c>
      <c r="Y1218" s="1">
        <f t="shared" si="1683"/>
        <v>1</v>
      </c>
      <c r="Z1218" s="1">
        <f t="shared" si="1684"/>
        <v>1</v>
      </c>
      <c r="AA1218" s="1">
        <f t="shared" si="1708"/>
        <v>1</v>
      </c>
      <c r="AB1218" s="1">
        <f t="shared" si="1686"/>
        <v>1</v>
      </c>
      <c r="AC1218" s="1">
        <f t="shared" si="1713"/>
        <v>1</v>
      </c>
      <c r="AD1218" s="1">
        <f>ROUNDDOWN(I1218*(1+IF(F1218=3,0.05+方案参数!$Y$36+AA1218*0.12,IF(F1218=4,方案参数!$BZ$36*方案参数!$AS$36,0)))+IF(AND(X1218=1,F1218&lt;&gt;3),方案参数!$CC$36,0)+AC1218*方案参数!$CB$36,0)</f>
        <v>3034</v>
      </c>
      <c r="AE1218" s="1">
        <f>IF(OR(F1218=1,F1218=4),配置与结果!$B$24,配置与结果!$B$25)*MAX(0,1-INDEX(配置与结果!$I$15:$I$18,F1218))</f>
        <v>1200</v>
      </c>
      <c r="AF1218" s="1">
        <f>方案参数!$BL$36</f>
        <v>9</v>
      </c>
      <c r="AG1218" s="1">
        <f>MAX(配置与结果!$B$32,1+INDEX(配置与结果!$F$15:$F$18,F1218)+0.08+方案参数!$CD$36+Q1218*方案参数!$W$36+Y1218*(方案参数!$AN$36+MIN(方案参数!$AO$36,P1218*0.03))+AB1218*方案参数!$BZ$36*0.025-配置与结果!$B$28+方案参数!$AE$36)</f>
        <v>2.6150000000000002</v>
      </c>
      <c r="AH1218" s="1">
        <f>MAX(0,1+V1218*方案参数!$U$36+1*方案参数!$V$36+方案参数!$AE$36-配置与结果!$B$29)</f>
        <v>1.7000000000000002</v>
      </c>
      <c r="AI1218" s="1">
        <f>IF(OR(INDEX(配置与结果!$K$15:$K$18,F1218)=1,G1218="RHI_BERRY"),1+配置与结果!$B$33+P1218*方案参数!$AH$36,1)</f>
        <v>1</v>
      </c>
      <c r="AJ1218" s="1">
        <f>MIN(1,MAX(0,J1218+方案参数!$AB$36-配置与结果!$B$27))</f>
        <v>1</v>
      </c>
      <c r="AK1218" s="1">
        <f>MAX(1,K1218+IF(F1218=2,0.15+方案参数!$CH$36,0)+BN1218*方案参数!$X$36+R1218*方案参数!$AA$36+方案参数!$BP$36-配置与结果!$B$26+Z1218*(方案参数!$AP$36+MIN(方案参数!$AQ$36,P1218*0.03)))</f>
        <v>2.7650000000000001</v>
      </c>
      <c r="AL1218" s="7">
        <f>ROUNDDOWN(MAX(AD1218*配置与结果!$B$31,AD1218-AE1218)*AF1218*AG1218*AH1218*AI1218,0)</f>
        <v>73377</v>
      </c>
      <c r="AM1218" s="7">
        <f>ROUNDDOWN(MAX(AD1218*配置与结果!$B$31,AD1218-AE1218)*AF1218*AG1218*AH1218*AI1218*AK1218,0)</f>
        <v>202888</v>
      </c>
      <c r="AN1218" s="7">
        <f t="shared" si="1620"/>
        <v>202888</v>
      </c>
      <c r="AO1218" s="7">
        <f>0</f>
        <v>0</v>
      </c>
      <c r="AP1218" s="7">
        <f>MAX(0,1+INDEX(配置与结果!$J$15:$J$18,F1218)+IF(T1218&gt;0,方案参数!$BY$36,0)-配置与结果!$B$30)</f>
        <v>1</v>
      </c>
      <c r="AQ1218" s="7">
        <f t="shared" si="1621"/>
        <v>0</v>
      </c>
      <c r="AR1218" s="7">
        <f t="shared" si="1622"/>
        <v>0</v>
      </c>
      <c r="AS1218" s="7">
        <f t="shared" si="1623"/>
        <v>0</v>
      </c>
      <c r="AT1218" s="7">
        <f>IF(U1218&gt;0,ROUNDDOWN(AL1218*方案参数!$AF$36,0)*(1-AJ1218)+ROUNDDOWN(AM1218*方案参数!$AF$36,0)*AJ1218,0)</f>
        <v>0</v>
      </c>
      <c r="AU1218" s="7">
        <f t="shared" si="1624"/>
        <v>202888</v>
      </c>
      <c r="AV1218" s="1">
        <f t="shared" si="1625"/>
        <v>2</v>
      </c>
      <c r="AW1218" s="1">
        <f t="shared" si="1718"/>
        <v>10</v>
      </c>
      <c r="AX1218" s="1">
        <f t="shared" si="1626"/>
        <v>2</v>
      </c>
      <c r="AY1218" s="1">
        <f>MIN(20,MAX(0,O1218+0+1-0))</f>
        <v>2</v>
      </c>
      <c r="AZ1218" s="1">
        <f t="shared" si="1627"/>
        <v>5</v>
      </c>
      <c r="BA1218" s="1">
        <f t="shared" si="1709"/>
        <v>5</v>
      </c>
      <c r="BB1218" s="1">
        <f t="shared" si="1717"/>
        <v>20</v>
      </c>
      <c r="BC1218" s="1">
        <f t="shared" si="1715"/>
        <v>3</v>
      </c>
      <c r="BD1218" s="1">
        <f t="shared" si="1696"/>
        <v>0</v>
      </c>
      <c r="BE1218" s="1">
        <f>MAX(0,U1218-IF(AF1218&gt;0,1,0))+0</f>
        <v>0</v>
      </c>
      <c r="BF1218" s="1">
        <f t="shared" si="1719"/>
        <v>4</v>
      </c>
      <c r="BG1218" s="1">
        <f t="shared" si="1706"/>
        <v>1</v>
      </c>
      <c r="BH1218" s="1">
        <f t="shared" si="1690"/>
        <v>1</v>
      </c>
      <c r="BI1218" s="1">
        <f t="shared" si="1707"/>
        <v>1</v>
      </c>
      <c r="BJ1218" s="1">
        <f t="shared" si="1710"/>
        <v>1</v>
      </c>
      <c r="BK1218" s="1">
        <f t="shared" si="1711"/>
        <v>1</v>
      </c>
      <c r="BL1218" s="1">
        <f t="shared" si="1716"/>
        <v>1</v>
      </c>
      <c r="BM1218" s="1">
        <f t="shared" si="1714"/>
        <v>1</v>
      </c>
      <c r="BN1218" s="1">
        <f t="shared" si="1691"/>
        <v>1</v>
      </c>
      <c r="BO1218" s="1">
        <f t="shared" si="1692"/>
        <v>1</v>
      </c>
    </row>
    <row r="1219" spans="1:67" ht="30.95" customHeight="1">
      <c r="A1219" s="1">
        <f>33</f>
        <v>33</v>
      </c>
      <c r="B1219" s="1">
        <f>固定流程!A31</f>
        <v>26</v>
      </c>
      <c r="C1219" s="1">
        <f>36</f>
        <v>36</v>
      </c>
      <c r="D1219" s="1">
        <f>2</f>
        <v>2</v>
      </c>
      <c r="E1219" s="1">
        <f>固定流程!C31</f>
        <v>3</v>
      </c>
      <c r="F1219" s="1">
        <f>固定流程!G31</f>
        <v>2</v>
      </c>
      <c r="G1219" s="1" t="str">
        <f>固定流程!H31</f>
        <v>37_WEAK</v>
      </c>
      <c r="H1219" s="1">
        <f>固定流程!F31</f>
        <v>1</v>
      </c>
      <c r="I1219" s="1">
        <f>INDEX(配置与结果!$B$15:$B$18,F1219)</f>
        <v>2306</v>
      </c>
      <c r="J1219" s="1">
        <f>INDEX(配置与结果!$D$15:$D$18,F1219)</f>
        <v>0.46</v>
      </c>
      <c r="K1219" s="1">
        <f>INDEX(配置与结果!$E$15:$E$18,F1219)</f>
        <v>1.9279999999999999</v>
      </c>
      <c r="L1219" s="1">
        <f t="shared" si="1703"/>
        <v>2</v>
      </c>
      <c r="M1219" s="1">
        <f t="shared" si="1704"/>
        <v>10</v>
      </c>
      <c r="N1219" s="1">
        <f t="shared" si="1705"/>
        <v>2</v>
      </c>
      <c r="O1219" s="1">
        <f t="shared" si="1697"/>
        <v>2</v>
      </c>
      <c r="P1219" s="1">
        <f>MIN(方案参数!$AI$36,AZ1218+0+0)</f>
        <v>5</v>
      </c>
      <c r="Q1219" s="1">
        <f t="shared" si="1675"/>
        <v>5</v>
      </c>
      <c r="R1219" s="1">
        <f t="shared" si="1676"/>
        <v>20</v>
      </c>
      <c r="S1219" s="1">
        <f t="shared" si="1677"/>
        <v>3</v>
      </c>
      <c r="T1219" s="1">
        <f t="shared" si="1712"/>
        <v>0</v>
      </c>
      <c r="U1219" s="1">
        <f t="shared" si="1679"/>
        <v>0</v>
      </c>
      <c r="V1219" s="1">
        <f t="shared" si="1680"/>
        <v>4</v>
      </c>
      <c r="W1219" s="1">
        <f t="shared" si="1681"/>
        <v>1</v>
      </c>
      <c r="X1219" s="1">
        <f t="shared" si="1682"/>
        <v>1</v>
      </c>
      <c r="Y1219" s="1">
        <f t="shared" si="1683"/>
        <v>1</v>
      </c>
      <c r="Z1219" s="1">
        <f t="shared" si="1684"/>
        <v>1</v>
      </c>
      <c r="AA1219" s="1">
        <f t="shared" si="1708"/>
        <v>1</v>
      </c>
      <c r="AB1219" s="1">
        <f t="shared" si="1686"/>
        <v>1</v>
      </c>
      <c r="AC1219" s="1">
        <f t="shared" si="1713"/>
        <v>1</v>
      </c>
      <c r="AD1219" s="1">
        <f>ROUNDDOWN(I1219*(1+IF(F1219=3,0.05+方案参数!$Y$36+AA1219*0.12,IF(F1219=4,方案参数!$BZ$36*方案参数!$AS$36,0)))+IF(AND(X1219=1,F1219&lt;&gt;3),方案参数!$CC$36,0)+AC1219*方案参数!$CB$36,0)</f>
        <v>3044</v>
      </c>
      <c r="AE1219" s="1">
        <f>IF(OR(F1219=1,F1219=4),配置与结果!$B$24,配置与结果!$B$25)*MAX(0,1-INDEX(配置与结果!$I$15:$I$18,F1219))</f>
        <v>1000</v>
      </c>
      <c r="AF1219" s="1">
        <f>方案参数!$CE$36</f>
        <v>8</v>
      </c>
      <c r="AG1219" s="1">
        <f>MAX(配置与结果!$B$32,1+INDEX(配置与结果!$F$15:$F$18,F1219)+0+Q1219*方案参数!$W$36+Y1219*(方案参数!$AN$36+MIN(方案参数!$AO$36,P1219*0.03))+AB1219*方案参数!$BZ$36*0.025-配置与结果!$B$28+方案参数!$AE$36)</f>
        <v>2.2800000000000002</v>
      </c>
      <c r="AH1219" s="1">
        <f>MAX(0,1+V1219*方案参数!$U$36+方案参数!$AE$36-配置与结果!$B$29)</f>
        <v>1.6400000000000001</v>
      </c>
      <c r="AI1219" s="1">
        <f>IF(OR(INDEX(配置与结果!$K$15:$K$18,F1219)=1,G1219="RHI_BERRY"),1+配置与结果!$B$33+P1219*方案参数!$AH$36,1)</f>
        <v>1</v>
      </c>
      <c r="AJ1219" s="1">
        <f>MIN(1,MAX(0,J1219+方案参数!$AB$36-配置与结果!$B$27))</f>
        <v>0.76</v>
      </c>
      <c r="AK1219" s="1">
        <f>MAX(1,K1219+IF(F1219=2,0.15+方案参数!$CH$36,0)+BN1219*方案参数!$X$36+R1219*方案参数!$AA$36+0-配置与结果!$B$26+Z1219*(方案参数!$AP$36+MIN(方案参数!$AQ$36,P1219*0.03)))</f>
        <v>2.3980000000000001</v>
      </c>
      <c r="AL1219" s="7">
        <f>ROUNDDOWN(MAX(AD1219*配置与结果!$B$31,AD1219-AE1219)*AF1219*AG1219*AH1219*AI1219,0)</f>
        <v>61143</v>
      </c>
      <c r="AM1219" s="7">
        <f>ROUNDDOWN(MAX(AD1219*配置与结果!$B$31,AD1219-AE1219)*AF1219*AG1219*AH1219*AI1219*AK1219,0)</f>
        <v>146621</v>
      </c>
      <c r="AN1219" s="7">
        <f t="shared" si="1620"/>
        <v>126106.28</v>
      </c>
      <c r="AO1219" s="7">
        <f>0</f>
        <v>0</v>
      </c>
      <c r="AP1219" s="7">
        <f>MAX(0,1+INDEX(配置与结果!$J$15:$J$18,F1219)+IF(T1219&gt;0,方案参数!$BY$36,0)-配置与结果!$B$30)</f>
        <v>1</v>
      </c>
      <c r="AQ1219" s="7">
        <f t="shared" si="1621"/>
        <v>0</v>
      </c>
      <c r="AR1219" s="7">
        <f t="shared" si="1622"/>
        <v>0</v>
      </c>
      <c r="AS1219" s="7">
        <f t="shared" si="1623"/>
        <v>0</v>
      </c>
      <c r="AT1219" s="7">
        <f>IF(U1219&gt;0,ROUNDDOWN(AL1219*方案参数!$AF$36,0)*(1-AJ1219)+ROUNDDOWN(AM1219*方案参数!$AF$36,0)*AJ1219,0)</f>
        <v>0</v>
      </c>
      <c r="AU1219" s="7">
        <f t="shared" si="1624"/>
        <v>126106.28</v>
      </c>
      <c r="AV1219" s="1">
        <f t="shared" si="1625"/>
        <v>2</v>
      </c>
      <c r="AW1219" s="1">
        <f t="shared" si="1718"/>
        <v>10</v>
      </c>
      <c r="AX1219" s="1">
        <f t="shared" si="1626"/>
        <v>2</v>
      </c>
      <c r="AY1219" s="1">
        <f>MIN(20,MAX(0,O1219+0+0-0))</f>
        <v>2</v>
      </c>
      <c r="AZ1219" s="1">
        <f t="shared" si="1627"/>
        <v>5</v>
      </c>
      <c r="BA1219" s="1">
        <f t="shared" si="1709"/>
        <v>5</v>
      </c>
      <c r="BB1219" s="1">
        <f t="shared" si="1717"/>
        <v>20</v>
      </c>
      <c r="BC1219" s="1">
        <f t="shared" si="1715"/>
        <v>3</v>
      </c>
      <c r="BD1219" s="1">
        <f t="shared" si="1696"/>
        <v>0</v>
      </c>
      <c r="BE1219" s="1">
        <f>MAX(0,U1219-IF(AF1219&gt;0,1,0))+1</f>
        <v>1</v>
      </c>
      <c r="BF1219" s="1">
        <f t="shared" si="1719"/>
        <v>4</v>
      </c>
      <c r="BG1219" s="1">
        <f t="shared" si="1706"/>
        <v>1</v>
      </c>
      <c r="BH1219" s="1">
        <f t="shared" si="1690"/>
        <v>1</v>
      </c>
      <c r="BI1219" s="1">
        <f t="shared" si="1707"/>
        <v>1</v>
      </c>
      <c r="BJ1219" s="1">
        <f t="shared" si="1710"/>
        <v>1</v>
      </c>
      <c r="BK1219" s="1">
        <f t="shared" si="1711"/>
        <v>1</v>
      </c>
      <c r="BL1219" s="1">
        <f t="shared" si="1716"/>
        <v>1</v>
      </c>
      <c r="BM1219" s="1">
        <f t="shared" si="1714"/>
        <v>1</v>
      </c>
      <c r="BN1219" s="1">
        <f t="shared" si="1691"/>
        <v>1</v>
      </c>
      <c r="BO1219" s="1">
        <f t="shared" si="1692"/>
        <v>1</v>
      </c>
    </row>
    <row r="1220" spans="1:67" ht="30.95" customHeight="1">
      <c r="A1220" s="1">
        <f>33</f>
        <v>33</v>
      </c>
      <c r="B1220" s="1">
        <f>固定流程!A32</f>
        <v>27</v>
      </c>
      <c r="C1220" s="1">
        <f>36</f>
        <v>36</v>
      </c>
      <c r="D1220" s="1">
        <f>2</f>
        <v>2</v>
      </c>
      <c r="E1220" s="1">
        <f>固定流程!C32</f>
        <v>3</v>
      </c>
      <c r="F1220" s="1">
        <f>固定流程!G32</f>
        <v>1</v>
      </c>
      <c r="G1220" s="1" t="str">
        <f>固定流程!H32</f>
        <v>LILYA_THIRD</v>
      </c>
      <c r="H1220" s="1">
        <f>固定流程!F32</f>
        <v>1</v>
      </c>
      <c r="I1220" s="1">
        <f>INDEX(配置与结果!$B$15:$B$18,F1220)</f>
        <v>2296</v>
      </c>
      <c r="J1220" s="1">
        <f>INDEX(配置与结果!$D$15:$D$18,F1220)</f>
        <v>0.7</v>
      </c>
      <c r="K1220" s="1">
        <f>INDEX(配置与结果!$E$15:$E$18,F1220)</f>
        <v>2.0249999999999999</v>
      </c>
      <c r="L1220" s="1">
        <f t="shared" si="1703"/>
        <v>2</v>
      </c>
      <c r="M1220" s="1">
        <f t="shared" si="1704"/>
        <v>10</v>
      </c>
      <c r="N1220" s="1">
        <f t="shared" si="1705"/>
        <v>2</v>
      </c>
      <c r="O1220" s="1">
        <f t="shared" si="1697"/>
        <v>2</v>
      </c>
      <c r="P1220" s="1">
        <f>MIN(方案参数!$AI$36,AZ1219+0+0)</f>
        <v>5</v>
      </c>
      <c r="Q1220" s="1">
        <f t="shared" si="1675"/>
        <v>5</v>
      </c>
      <c r="R1220" s="1">
        <f t="shared" si="1676"/>
        <v>20</v>
      </c>
      <c r="S1220" s="1">
        <f t="shared" si="1677"/>
        <v>3</v>
      </c>
      <c r="T1220" s="1">
        <f t="shared" si="1712"/>
        <v>0</v>
      </c>
      <c r="U1220" s="1">
        <f t="shared" si="1679"/>
        <v>1</v>
      </c>
      <c r="V1220" s="1">
        <f t="shared" si="1680"/>
        <v>4</v>
      </c>
      <c r="W1220" s="1">
        <f t="shared" si="1681"/>
        <v>1</v>
      </c>
      <c r="X1220" s="1">
        <f t="shared" si="1682"/>
        <v>1</v>
      </c>
      <c r="Y1220" s="1">
        <f t="shared" si="1683"/>
        <v>1</v>
      </c>
      <c r="Z1220" s="1">
        <f t="shared" si="1684"/>
        <v>1</v>
      </c>
      <c r="AA1220" s="1">
        <f t="shared" si="1708"/>
        <v>1</v>
      </c>
      <c r="AB1220" s="1">
        <f t="shared" si="1686"/>
        <v>1</v>
      </c>
      <c r="AC1220" s="1">
        <f t="shared" si="1713"/>
        <v>1</v>
      </c>
      <c r="AD1220" s="1">
        <f>ROUNDDOWN(I1220*(1+IF(F1220=3,0.05+方案参数!$Y$36+AA1220*0.12,IF(F1220=4,方案参数!$BZ$36*方案参数!$AS$36,0)))+IF(AND(X1220=1,F1220&lt;&gt;3),方案参数!$CC$36,0)+AC1220*方案参数!$CB$36,0)</f>
        <v>3034</v>
      </c>
      <c r="AE1220" s="1">
        <f>IF(OR(F1220=1,F1220=4),配置与结果!$B$24,配置与结果!$B$25)*MAX(0,1-INDEX(配置与结果!$I$15:$I$18,F1220))</f>
        <v>1200</v>
      </c>
      <c r="AF1220" s="1">
        <f>方案参数!$BM$36</f>
        <v>20</v>
      </c>
      <c r="AG1220" s="1">
        <f>MAX(配置与结果!$B$32,1+INDEX(配置与结果!$F$15:$F$18,F1220)+0.08+方案参数!$CD$36+Q1220*方案参数!$W$36+Y1220*(方案参数!$AN$36+MIN(方案参数!$AO$36,P1220*0.03))+AB1220*方案参数!$BZ$36*0.025-配置与结果!$B$28+方案参数!$AE$36)</f>
        <v>2.6150000000000002</v>
      </c>
      <c r="AH1220" s="1">
        <f>MAX(0,1+V1220*方案参数!$U$36+3*方案参数!$V$36+方案参数!$AE$36-配置与结果!$B$29)</f>
        <v>1.8199999999999998</v>
      </c>
      <c r="AI1220" s="1">
        <f>IF(OR(INDEX(配置与结果!$K$15:$K$18,F1220)=1,G1220="RHI_BERRY"),1+配置与结果!$B$33+P1220*方案参数!$AH$36,1)</f>
        <v>1</v>
      </c>
      <c r="AJ1220" s="1">
        <f>MIN(1,MAX(0,J1220+方案参数!$AB$36-配置与结果!$B$27))</f>
        <v>1</v>
      </c>
      <c r="AK1220" s="1">
        <f>MAX(1,K1220+IF(F1220=2,0.15+方案参数!$CH$36,0)+BN1220*方案参数!$X$36+R1220*方案参数!$AA$36+方案参数!$BQ$36-配置与结果!$B$26+Z1220*(方案参数!$AP$36+MIN(方案参数!$AQ$36,P1220*0.03)))</f>
        <v>2.9650000000000003</v>
      </c>
      <c r="AL1220" s="7">
        <f>ROUNDDOWN(MAX(AD1220*配置与结果!$B$31,AD1220-AE1220)*AF1220*AG1220*AH1220*AI1220,0)</f>
        <v>174571</v>
      </c>
      <c r="AM1220" s="7">
        <f>ROUNDDOWN(MAX(AD1220*配置与结果!$B$31,AD1220-AE1220)*AF1220*AG1220*AH1220*AI1220*AK1220,0)</f>
        <v>517603</v>
      </c>
      <c r="AN1220" s="7">
        <f t="shared" si="1620"/>
        <v>517603</v>
      </c>
      <c r="AO1220" s="7">
        <f>0</f>
        <v>0</v>
      </c>
      <c r="AP1220" s="7">
        <f>MAX(0,1+INDEX(配置与结果!$J$15:$J$18,F1220)+IF(T1220&gt;0,方案参数!$BY$36,0)-配置与结果!$B$30)</f>
        <v>1</v>
      </c>
      <c r="AQ1220" s="7">
        <f t="shared" si="1621"/>
        <v>0</v>
      </c>
      <c r="AR1220" s="7">
        <f t="shared" si="1622"/>
        <v>0</v>
      </c>
      <c r="AS1220" s="7">
        <f t="shared" si="1623"/>
        <v>0</v>
      </c>
      <c r="AT1220" s="7">
        <f>IF(U1220&gt;0,ROUNDDOWN(AL1220*方案参数!$AF$36,0)*(1-AJ1220)+ROUNDDOWN(AM1220*方案参数!$AF$36,0)*AJ1220,0)</f>
        <v>207041</v>
      </c>
      <c r="AU1220" s="7">
        <f t="shared" si="1624"/>
        <v>724644</v>
      </c>
      <c r="AV1220" s="1">
        <f t="shared" si="1625"/>
        <v>2</v>
      </c>
      <c r="AW1220" s="1">
        <f t="shared" si="1718"/>
        <v>10</v>
      </c>
      <c r="AX1220" s="1">
        <f t="shared" si="1626"/>
        <v>2</v>
      </c>
      <c r="AY1220" s="1">
        <f>MIN(20,MAX(0,O1220+0+1-0))</f>
        <v>3</v>
      </c>
      <c r="AZ1220" s="1">
        <f t="shared" si="1627"/>
        <v>5</v>
      </c>
      <c r="BA1220" s="1">
        <f t="shared" si="1709"/>
        <v>5</v>
      </c>
      <c r="BB1220" s="1">
        <f t="shared" si="1717"/>
        <v>20</v>
      </c>
      <c r="BC1220" s="1">
        <f t="shared" si="1715"/>
        <v>3</v>
      </c>
      <c r="BD1220" s="1">
        <f t="shared" si="1696"/>
        <v>0</v>
      </c>
      <c r="BE1220" s="1">
        <f>MAX(0,U1220-IF(AF1220&gt;0,1,0))+0</f>
        <v>0</v>
      </c>
      <c r="BF1220" s="1">
        <f t="shared" si="1719"/>
        <v>4</v>
      </c>
      <c r="BG1220" s="1">
        <f t="shared" si="1706"/>
        <v>1</v>
      </c>
      <c r="BH1220" s="1">
        <f t="shared" si="1690"/>
        <v>1</v>
      </c>
      <c r="BI1220" s="1">
        <f t="shared" si="1707"/>
        <v>1</v>
      </c>
      <c r="BJ1220" s="1">
        <f t="shared" si="1710"/>
        <v>1</v>
      </c>
      <c r="BK1220" s="1">
        <f t="shared" si="1711"/>
        <v>1</v>
      </c>
      <c r="BL1220" s="1">
        <f t="shared" si="1716"/>
        <v>1</v>
      </c>
      <c r="BM1220" s="1">
        <f t="shared" si="1714"/>
        <v>1</v>
      </c>
      <c r="BN1220" s="1">
        <f t="shared" si="1691"/>
        <v>1</v>
      </c>
      <c r="BO1220" s="1">
        <f t="shared" si="1692"/>
        <v>1</v>
      </c>
    </row>
    <row r="1221" spans="1:67" ht="30.95" customHeight="1">
      <c r="A1221" s="1">
        <f>33</f>
        <v>33</v>
      </c>
      <c r="B1221" s="1">
        <f>固定流程!A33</f>
        <v>28</v>
      </c>
      <c r="C1221" s="1">
        <f>36</f>
        <v>36</v>
      </c>
      <c r="D1221" s="1">
        <f>2</f>
        <v>2</v>
      </c>
      <c r="E1221" s="1">
        <f>固定流程!C33</f>
        <v>3</v>
      </c>
      <c r="F1221" s="1">
        <f>固定流程!G33</f>
        <v>1</v>
      </c>
      <c r="G1221" s="1" t="str">
        <f>固定流程!H33</f>
        <v>LILYA_WEAK</v>
      </c>
      <c r="H1221" s="1">
        <f>固定流程!F33</f>
        <v>1</v>
      </c>
      <c r="I1221" s="1">
        <f>INDEX(配置与结果!$B$15:$B$18,F1221)</f>
        <v>2296</v>
      </c>
      <c r="J1221" s="1">
        <f>INDEX(配置与结果!$D$15:$D$18,F1221)</f>
        <v>0.7</v>
      </c>
      <c r="K1221" s="1">
        <f>INDEX(配置与结果!$E$15:$E$18,F1221)</f>
        <v>2.0249999999999999</v>
      </c>
      <c r="L1221" s="1">
        <f t="shared" si="1703"/>
        <v>2</v>
      </c>
      <c r="M1221" s="1">
        <f t="shared" si="1704"/>
        <v>10</v>
      </c>
      <c r="N1221" s="1">
        <f t="shared" si="1705"/>
        <v>2</v>
      </c>
      <c r="O1221" s="1">
        <f t="shared" si="1697"/>
        <v>3</v>
      </c>
      <c r="P1221" s="1">
        <f>MIN(方案参数!$AI$36,AZ1220+0+0)</f>
        <v>5</v>
      </c>
      <c r="Q1221" s="1">
        <f t="shared" si="1675"/>
        <v>5</v>
      </c>
      <c r="R1221" s="1">
        <f t="shared" si="1676"/>
        <v>20</v>
      </c>
      <c r="S1221" s="1">
        <f t="shared" si="1677"/>
        <v>3</v>
      </c>
      <c r="T1221" s="1">
        <f t="shared" si="1712"/>
        <v>0</v>
      </c>
      <c r="U1221" s="1">
        <f t="shared" si="1679"/>
        <v>0</v>
      </c>
      <c r="V1221" s="1">
        <f t="shared" si="1680"/>
        <v>4</v>
      </c>
      <c r="W1221" s="1">
        <f t="shared" si="1681"/>
        <v>1</v>
      </c>
      <c r="X1221" s="1">
        <f t="shared" si="1682"/>
        <v>1</v>
      </c>
      <c r="Y1221" s="1">
        <f t="shared" si="1683"/>
        <v>1</v>
      </c>
      <c r="Z1221" s="1">
        <f t="shared" si="1684"/>
        <v>1</v>
      </c>
      <c r="AA1221" s="1">
        <f t="shared" si="1708"/>
        <v>1</v>
      </c>
      <c r="AB1221" s="1">
        <f t="shared" si="1686"/>
        <v>1</v>
      </c>
      <c r="AC1221" s="1">
        <f t="shared" si="1713"/>
        <v>1</v>
      </c>
      <c r="AD1221" s="1">
        <f>ROUNDDOWN(I1221*(1+IF(F1221=3,0.05+方案参数!$Y$36+AA1221*0.12,IF(F1221=4,方案参数!$BZ$36*方案参数!$AS$36,0)))+IF(AND(X1221=1,F1221&lt;&gt;3),方案参数!$CC$36,0)+AC1221*方案参数!$CB$36,0)</f>
        <v>3034</v>
      </c>
      <c r="AE1221" s="1">
        <f>IF(OR(F1221=1,F1221=4),配置与结果!$B$24,配置与结果!$B$25)*MAX(0,1-INDEX(配置与结果!$I$15:$I$18,F1221))</f>
        <v>1200</v>
      </c>
      <c r="AF1221" s="1">
        <f>方案参数!$BL$36</f>
        <v>9</v>
      </c>
      <c r="AG1221" s="1">
        <f>MAX(配置与结果!$B$32,1+INDEX(配置与结果!$F$15:$F$18,F1221)+0.08+方案参数!$CD$36+Q1221*方案参数!$W$36+Y1221*(方案参数!$AN$36+MIN(方案参数!$AO$36,P1221*0.03))+AB1221*方案参数!$BZ$36*0.025-配置与结果!$B$28+方案参数!$AE$36)</f>
        <v>2.6150000000000002</v>
      </c>
      <c r="AH1221" s="1">
        <f>MAX(0,1+V1221*方案参数!$U$36+4*方案参数!$V$36+方案参数!$AE$36-配置与结果!$B$29)</f>
        <v>1.88</v>
      </c>
      <c r="AI1221" s="1">
        <f>IF(OR(INDEX(配置与结果!$K$15:$K$18,F1221)=1,G1221="RHI_BERRY"),1+配置与结果!$B$33+P1221*方案参数!$AH$36,1)</f>
        <v>1</v>
      </c>
      <c r="AJ1221" s="1">
        <f>MIN(1,MAX(0,J1221+方案参数!$AB$36-配置与结果!$B$27))</f>
        <v>1</v>
      </c>
      <c r="AK1221" s="1">
        <f>MAX(1,K1221+IF(F1221=2,0.15+方案参数!$CH$36,0)+BN1221*方案参数!$X$36+R1221*方案参数!$AA$36+方案参数!$BP$36-配置与结果!$B$26+Z1221*(方案参数!$AP$36+MIN(方案参数!$AQ$36,P1221*0.03)))</f>
        <v>2.7650000000000001</v>
      </c>
      <c r="AL1221" s="7">
        <f>ROUNDDOWN(MAX(AD1221*配置与结果!$B$31,AD1221-AE1221)*AF1221*AG1221*AH1221*AI1221,0)</f>
        <v>81146</v>
      </c>
      <c r="AM1221" s="7">
        <f>ROUNDDOWN(MAX(AD1221*配置与结果!$B$31,AD1221-AE1221)*AF1221*AG1221*AH1221*AI1221*AK1221,0)</f>
        <v>224370</v>
      </c>
      <c r="AN1221" s="7">
        <f t="shared" si="1620"/>
        <v>224370</v>
      </c>
      <c r="AO1221" s="7">
        <f>0</f>
        <v>0</v>
      </c>
      <c r="AP1221" s="7">
        <f>MAX(0,1+INDEX(配置与结果!$J$15:$J$18,F1221)+IF(T1221&gt;0,方案参数!$BY$36,0)-配置与结果!$B$30)</f>
        <v>1</v>
      </c>
      <c r="AQ1221" s="7">
        <f t="shared" si="1621"/>
        <v>0</v>
      </c>
      <c r="AR1221" s="7">
        <f t="shared" si="1622"/>
        <v>0</v>
      </c>
      <c r="AS1221" s="7">
        <f t="shared" si="1623"/>
        <v>0</v>
      </c>
      <c r="AT1221" s="7">
        <f>IF(U1221&gt;0,ROUNDDOWN(AL1221*方案参数!$AF$36,0)*(1-AJ1221)+ROUNDDOWN(AM1221*方案参数!$AF$36,0)*AJ1221,0)</f>
        <v>0</v>
      </c>
      <c r="AU1221" s="7">
        <f t="shared" si="1624"/>
        <v>224370</v>
      </c>
      <c r="AV1221" s="1">
        <f t="shared" si="1625"/>
        <v>2</v>
      </c>
      <c r="AW1221" s="1">
        <f t="shared" si="1718"/>
        <v>10</v>
      </c>
      <c r="AX1221" s="1">
        <f t="shared" si="1626"/>
        <v>2</v>
      </c>
      <c r="AY1221" s="1">
        <f>MIN(20,MAX(0,O1221+0+1-0))</f>
        <v>4</v>
      </c>
      <c r="AZ1221" s="1">
        <f t="shared" si="1627"/>
        <v>5</v>
      </c>
      <c r="BA1221" s="1">
        <f t="shared" si="1709"/>
        <v>5</v>
      </c>
      <c r="BB1221" s="1">
        <f t="shared" si="1717"/>
        <v>20</v>
      </c>
      <c r="BC1221" s="1">
        <f t="shared" si="1715"/>
        <v>3</v>
      </c>
      <c r="BD1221" s="1">
        <f t="shared" si="1696"/>
        <v>0</v>
      </c>
      <c r="BE1221" s="1">
        <f>MAX(0,U1221-IF(AF1221&gt;0,1,0))+0</f>
        <v>0</v>
      </c>
      <c r="BF1221" s="1">
        <f t="shared" si="1719"/>
        <v>4</v>
      </c>
      <c r="BG1221" s="1">
        <f t="shared" si="1706"/>
        <v>1</v>
      </c>
      <c r="BH1221" s="1">
        <f t="shared" si="1690"/>
        <v>1</v>
      </c>
      <c r="BI1221" s="1">
        <f t="shared" si="1707"/>
        <v>1</v>
      </c>
      <c r="BJ1221" s="1">
        <f t="shared" si="1710"/>
        <v>1</v>
      </c>
      <c r="BK1221" s="1">
        <f t="shared" si="1711"/>
        <v>1</v>
      </c>
      <c r="BL1221" s="1">
        <f t="shared" si="1716"/>
        <v>1</v>
      </c>
      <c r="BM1221" s="1">
        <f t="shared" si="1714"/>
        <v>1</v>
      </c>
      <c r="BN1221" s="1">
        <f t="shared" si="1691"/>
        <v>1</v>
      </c>
      <c r="BO1221" s="1">
        <f t="shared" si="1692"/>
        <v>1</v>
      </c>
    </row>
    <row r="1222" spans="1:67" ht="30.95" customHeight="1">
      <c r="A1222" s="1">
        <f>33</f>
        <v>33</v>
      </c>
      <c r="B1222" s="1">
        <f>固定流程!A34</f>
        <v>29</v>
      </c>
      <c r="C1222" s="1">
        <f>36</f>
        <v>36</v>
      </c>
      <c r="D1222" s="1">
        <f>2</f>
        <v>2</v>
      </c>
      <c r="E1222" s="1">
        <f>固定流程!C34</f>
        <v>3</v>
      </c>
      <c r="F1222" s="1">
        <f>固定流程!G34</f>
        <v>1</v>
      </c>
      <c r="G1222" s="1" t="str">
        <f>固定流程!H34</f>
        <v>LILYA_WEAK</v>
      </c>
      <c r="H1222" s="1">
        <f>固定流程!F34</f>
        <v>1</v>
      </c>
      <c r="I1222" s="1">
        <f>INDEX(配置与结果!$B$15:$B$18,F1222)</f>
        <v>2296</v>
      </c>
      <c r="J1222" s="1">
        <f>INDEX(配置与结果!$D$15:$D$18,F1222)</f>
        <v>0.7</v>
      </c>
      <c r="K1222" s="1">
        <f>INDEX(配置与结果!$E$15:$E$18,F1222)</f>
        <v>2.0249999999999999</v>
      </c>
      <c r="L1222" s="1">
        <f t="shared" si="1703"/>
        <v>2</v>
      </c>
      <c r="M1222" s="1">
        <f t="shared" si="1704"/>
        <v>10</v>
      </c>
      <c r="N1222" s="1">
        <f t="shared" si="1705"/>
        <v>2</v>
      </c>
      <c r="O1222" s="1">
        <f t="shared" si="1697"/>
        <v>4</v>
      </c>
      <c r="P1222" s="1">
        <f>MIN(方案参数!$AI$36,AZ1221+0+0)</f>
        <v>5</v>
      </c>
      <c r="Q1222" s="1">
        <f t="shared" si="1675"/>
        <v>5</v>
      </c>
      <c r="R1222" s="1">
        <f t="shared" si="1676"/>
        <v>20</v>
      </c>
      <c r="S1222" s="1">
        <f t="shared" si="1677"/>
        <v>3</v>
      </c>
      <c r="T1222" s="1">
        <f t="shared" si="1712"/>
        <v>0</v>
      </c>
      <c r="U1222" s="1">
        <f t="shared" si="1679"/>
        <v>0</v>
      </c>
      <c r="V1222" s="1">
        <f t="shared" si="1680"/>
        <v>4</v>
      </c>
      <c r="W1222" s="1">
        <f t="shared" si="1681"/>
        <v>1</v>
      </c>
      <c r="X1222" s="1">
        <f t="shared" si="1682"/>
        <v>1</v>
      </c>
      <c r="Y1222" s="1">
        <f t="shared" si="1683"/>
        <v>1</v>
      </c>
      <c r="Z1222" s="1">
        <f t="shared" si="1684"/>
        <v>1</v>
      </c>
      <c r="AA1222" s="1">
        <f t="shared" si="1708"/>
        <v>1</v>
      </c>
      <c r="AB1222" s="1">
        <f t="shared" si="1686"/>
        <v>1</v>
      </c>
      <c r="AC1222" s="1">
        <f t="shared" si="1713"/>
        <v>1</v>
      </c>
      <c r="AD1222" s="1">
        <f>ROUNDDOWN(I1222*(1+IF(F1222=3,0.05+方案参数!$Y$36+AA1222*0.12,IF(F1222=4,方案参数!$BZ$36*方案参数!$AS$36,0)))+IF(AND(X1222=1,F1222&lt;&gt;3),方案参数!$CC$36,0)+AC1222*方案参数!$CB$36,0)</f>
        <v>3034</v>
      </c>
      <c r="AE1222" s="1">
        <f>IF(OR(F1222=1,F1222=4),配置与结果!$B$24,配置与结果!$B$25)*MAX(0,1-INDEX(配置与结果!$I$15:$I$18,F1222))</f>
        <v>1200</v>
      </c>
      <c r="AF1222" s="1">
        <f>方案参数!$BL$36</f>
        <v>9</v>
      </c>
      <c r="AG1222" s="1">
        <f>MAX(配置与结果!$B$32,1+INDEX(配置与结果!$F$15:$F$18,F1222)+0.08+方案参数!$CD$36+Q1222*方案参数!$W$36+Y1222*(方案参数!$AN$36+MIN(方案参数!$AO$36,P1222*0.03))+AB1222*方案参数!$BZ$36*0.025-配置与结果!$B$28+方案参数!$AE$36)</f>
        <v>2.6150000000000002</v>
      </c>
      <c r="AH1222" s="1">
        <f>MAX(0,1+V1222*方案参数!$U$36+5*方案参数!$V$36+方案参数!$AE$36-配置与结果!$B$29)</f>
        <v>1.94</v>
      </c>
      <c r="AI1222" s="1">
        <f>IF(OR(INDEX(配置与结果!$K$15:$K$18,F1222)=1,G1222="RHI_BERRY"),1+配置与结果!$B$33+P1222*方案参数!$AH$36,1)</f>
        <v>1</v>
      </c>
      <c r="AJ1222" s="1">
        <f>MIN(1,MAX(0,J1222+方案参数!$AB$36-配置与结果!$B$27))</f>
        <v>1</v>
      </c>
      <c r="AK1222" s="1">
        <f>MAX(1,K1222+IF(F1222=2,0.15+方案参数!$CH$36,0)+BN1222*方案参数!$X$36+R1222*方案参数!$AA$36+方案参数!$BP$36-配置与结果!$B$26+Z1222*(方案参数!$AP$36+MIN(方案参数!$AQ$36,P1222*0.03)))</f>
        <v>2.7650000000000001</v>
      </c>
      <c r="AL1222" s="7">
        <f>ROUNDDOWN(MAX(AD1222*配置与结果!$B$31,AD1222-AE1222)*AF1222*AG1222*AH1222*AI1222,0)</f>
        <v>83736</v>
      </c>
      <c r="AM1222" s="7">
        <f>ROUNDDOWN(MAX(AD1222*配置与结果!$B$31,AD1222-AE1222)*AF1222*AG1222*AH1222*AI1222*AK1222,0)</f>
        <v>231531</v>
      </c>
      <c r="AN1222" s="7">
        <f t="shared" ref="AN1222:AN1285" si="1720">AL1222*(1-AJ1222)+AM1222*AJ1222</f>
        <v>231531</v>
      </c>
      <c r="AO1222" s="7">
        <f>0</f>
        <v>0</v>
      </c>
      <c r="AP1222" s="7">
        <f>MAX(0,1+INDEX(配置与结果!$J$15:$J$18,F1222)+IF(T1222&gt;0,方案参数!$BY$36,0)-配置与结果!$B$30)</f>
        <v>1</v>
      </c>
      <c r="AQ1222" s="7">
        <f t="shared" ref="AQ1222:AQ1285" si="1721">ROUNDDOWN(ROUNDDOWN(AD1222*AO1222,0)*AP1222,0)</f>
        <v>0</v>
      </c>
      <c r="AR1222" s="7">
        <f t="shared" ref="AR1222:AR1285" si="1722">ROUNDDOWN(ROUNDDOWN(AD1222*AO1222,0)*AP1222*AK1222,0)</f>
        <v>0</v>
      </c>
      <c r="AS1222" s="7">
        <f t="shared" ref="AS1222:AS1285" si="1723">AQ1222*(1-AJ1222)+AR1222*AJ1222</f>
        <v>0</v>
      </c>
      <c r="AT1222" s="7">
        <f>IF(U1222&gt;0,ROUNDDOWN(AL1222*方案参数!$AF$36,0)*(1-AJ1222)+ROUNDDOWN(AM1222*方案参数!$AF$36,0)*AJ1222,0)</f>
        <v>0</v>
      </c>
      <c r="AU1222" s="7">
        <f t="shared" ref="AU1222:AU1285" si="1724">AN1222+AS1222+AT1222</f>
        <v>231531</v>
      </c>
      <c r="AV1222" s="1">
        <f t="shared" ref="AV1222:AV1285" si="1725">IF(G1222="LILYA_COBRA",IF(L1222=0,1,L1222),L1222)</f>
        <v>2</v>
      </c>
      <c r="AW1222" s="1">
        <f t="shared" si="1718"/>
        <v>10</v>
      </c>
      <c r="AX1222" s="1">
        <f t="shared" ref="AX1222:AX1285" si="1726">N1222</f>
        <v>2</v>
      </c>
      <c r="AY1222" s="1">
        <f>MIN(20,MAX(0,O1222+0+1-0))</f>
        <v>5</v>
      </c>
      <c r="AZ1222" s="1">
        <f t="shared" ref="AZ1222:AZ1285" si="1727">P1222</f>
        <v>5</v>
      </c>
      <c r="BA1222" s="1">
        <f t="shared" si="1709"/>
        <v>5</v>
      </c>
      <c r="BB1222" s="1">
        <f t="shared" si="1717"/>
        <v>20</v>
      </c>
      <c r="BC1222" s="1">
        <f t="shared" si="1715"/>
        <v>3</v>
      </c>
      <c r="BD1222" s="1">
        <f t="shared" si="1696"/>
        <v>0</v>
      </c>
      <c r="BE1222" s="1">
        <f>MAX(0,U1222-IF(AF1222&gt;0,1,0))+0</f>
        <v>0</v>
      </c>
      <c r="BF1222" s="1">
        <f t="shared" si="1719"/>
        <v>4</v>
      </c>
      <c r="BG1222" s="1">
        <f t="shared" si="1706"/>
        <v>1</v>
      </c>
      <c r="BH1222" s="1">
        <f t="shared" si="1690"/>
        <v>1</v>
      </c>
      <c r="BI1222" s="1">
        <f t="shared" si="1707"/>
        <v>1</v>
      </c>
      <c r="BJ1222" s="1">
        <f t="shared" si="1710"/>
        <v>1</v>
      </c>
      <c r="BK1222" s="1">
        <f t="shared" si="1711"/>
        <v>1</v>
      </c>
      <c r="BL1222" s="1">
        <f t="shared" si="1716"/>
        <v>1</v>
      </c>
      <c r="BM1222" s="1">
        <f t="shared" si="1714"/>
        <v>1</v>
      </c>
      <c r="BN1222" s="1">
        <f t="shared" si="1691"/>
        <v>1</v>
      </c>
      <c r="BO1222" s="1">
        <f t="shared" si="1692"/>
        <v>1</v>
      </c>
    </row>
    <row r="1223" spans="1:67" ht="30.95" customHeight="1">
      <c r="A1223" s="1">
        <f>33</f>
        <v>33</v>
      </c>
      <c r="B1223" s="1">
        <f>固定流程!A35</f>
        <v>30</v>
      </c>
      <c r="C1223" s="1">
        <f>36</f>
        <v>36</v>
      </c>
      <c r="D1223" s="1">
        <f>2</f>
        <v>2</v>
      </c>
      <c r="E1223" s="1">
        <f>固定流程!C35</f>
        <v>3</v>
      </c>
      <c r="F1223" s="1">
        <f>固定流程!G35</f>
        <v>2</v>
      </c>
      <c r="G1223" s="1" t="str">
        <f>固定流程!H35</f>
        <v>37_WEAK</v>
      </c>
      <c r="H1223" s="1">
        <f>固定流程!F35</f>
        <v>1</v>
      </c>
      <c r="I1223" s="1">
        <f>INDEX(配置与结果!$B$15:$B$18,F1223)</f>
        <v>2306</v>
      </c>
      <c r="J1223" s="1">
        <f>INDEX(配置与结果!$D$15:$D$18,F1223)</f>
        <v>0.46</v>
      </c>
      <c r="K1223" s="1">
        <f>INDEX(配置与结果!$E$15:$E$18,F1223)</f>
        <v>1.9279999999999999</v>
      </c>
      <c r="L1223" s="1">
        <f t="shared" si="1703"/>
        <v>2</v>
      </c>
      <c r="M1223" s="1">
        <f t="shared" si="1704"/>
        <v>10</v>
      </c>
      <c r="N1223" s="1">
        <f t="shared" si="1705"/>
        <v>2</v>
      </c>
      <c r="O1223" s="1">
        <f t="shared" si="1697"/>
        <v>5</v>
      </c>
      <c r="P1223" s="1">
        <f>MIN(方案参数!$AI$36,AZ1222+0+0)</f>
        <v>5</v>
      </c>
      <c r="Q1223" s="1">
        <f t="shared" si="1675"/>
        <v>5</v>
      </c>
      <c r="R1223" s="1">
        <f t="shared" si="1676"/>
        <v>20</v>
      </c>
      <c r="S1223" s="1">
        <f t="shared" si="1677"/>
        <v>3</v>
      </c>
      <c r="T1223" s="1">
        <f t="shared" si="1712"/>
        <v>0</v>
      </c>
      <c r="U1223" s="1">
        <f t="shared" si="1679"/>
        <v>0</v>
      </c>
      <c r="V1223" s="1">
        <f t="shared" si="1680"/>
        <v>4</v>
      </c>
      <c r="W1223" s="1">
        <f t="shared" si="1681"/>
        <v>1</v>
      </c>
      <c r="X1223" s="1">
        <f t="shared" si="1682"/>
        <v>1</v>
      </c>
      <c r="Y1223" s="1">
        <f t="shared" si="1683"/>
        <v>1</v>
      </c>
      <c r="Z1223" s="1">
        <f t="shared" si="1684"/>
        <v>1</v>
      </c>
      <c r="AA1223" s="1">
        <f t="shared" si="1708"/>
        <v>1</v>
      </c>
      <c r="AB1223" s="1">
        <f t="shared" si="1686"/>
        <v>1</v>
      </c>
      <c r="AC1223" s="1">
        <f t="shared" si="1713"/>
        <v>1</v>
      </c>
      <c r="AD1223" s="1">
        <f>ROUNDDOWN(I1223*(1+IF(F1223=3,0.05+方案参数!$Y$36+AA1223*0.12,IF(F1223=4,方案参数!$BZ$36*方案参数!$AS$36,0)))+IF(AND(X1223=1,F1223&lt;&gt;3),方案参数!$CC$36,0)+AC1223*方案参数!$CB$36,0)</f>
        <v>3044</v>
      </c>
      <c r="AE1223" s="1">
        <f>IF(OR(F1223=1,F1223=4),配置与结果!$B$24,配置与结果!$B$25)*MAX(0,1-INDEX(配置与结果!$I$15:$I$18,F1223))</f>
        <v>1000</v>
      </c>
      <c r="AF1223" s="1">
        <f>方案参数!$CE$36</f>
        <v>8</v>
      </c>
      <c r="AG1223" s="1">
        <f>MAX(配置与结果!$B$32,1+INDEX(配置与结果!$F$15:$F$18,F1223)+0+Q1223*方案参数!$W$36+Y1223*(方案参数!$AN$36+MIN(方案参数!$AO$36,P1223*0.03))+AB1223*方案参数!$BZ$36*0.025-配置与结果!$B$28+方案参数!$AE$36)</f>
        <v>2.2800000000000002</v>
      </c>
      <c r="AH1223" s="1">
        <f>MAX(0,1+V1223*方案参数!$U$36+方案参数!$AE$36-配置与结果!$B$29)</f>
        <v>1.6400000000000001</v>
      </c>
      <c r="AI1223" s="1">
        <f>IF(OR(INDEX(配置与结果!$K$15:$K$18,F1223)=1,G1223="RHI_BERRY"),1+配置与结果!$B$33+P1223*方案参数!$AH$36,1)</f>
        <v>1</v>
      </c>
      <c r="AJ1223" s="1">
        <f>MIN(1,MAX(0,J1223+方案参数!$AB$36-配置与结果!$B$27))</f>
        <v>0.76</v>
      </c>
      <c r="AK1223" s="1">
        <f>MAX(1,K1223+IF(F1223=2,0.15+方案参数!$CH$36,0)+BN1223*方案参数!$X$36+R1223*方案参数!$AA$36+0-配置与结果!$B$26+Z1223*(方案参数!$AP$36+MIN(方案参数!$AQ$36,P1223*0.03)))</f>
        <v>2.3980000000000001</v>
      </c>
      <c r="AL1223" s="7">
        <f>ROUNDDOWN(MAX(AD1223*配置与结果!$B$31,AD1223-AE1223)*AF1223*AG1223*AH1223*AI1223,0)</f>
        <v>61143</v>
      </c>
      <c r="AM1223" s="7">
        <f>ROUNDDOWN(MAX(AD1223*配置与结果!$B$31,AD1223-AE1223)*AF1223*AG1223*AH1223*AI1223*AK1223,0)</f>
        <v>146621</v>
      </c>
      <c r="AN1223" s="7">
        <f t="shared" si="1720"/>
        <v>126106.28</v>
      </c>
      <c r="AO1223" s="7">
        <f>0</f>
        <v>0</v>
      </c>
      <c r="AP1223" s="7">
        <f>MAX(0,1+INDEX(配置与结果!$J$15:$J$18,F1223)+IF(T1223&gt;0,方案参数!$BY$36,0)-配置与结果!$B$30)</f>
        <v>1</v>
      </c>
      <c r="AQ1223" s="7">
        <f t="shared" si="1721"/>
        <v>0</v>
      </c>
      <c r="AR1223" s="7">
        <f t="shared" si="1722"/>
        <v>0</v>
      </c>
      <c r="AS1223" s="7">
        <f t="shared" si="1723"/>
        <v>0</v>
      </c>
      <c r="AT1223" s="7">
        <f>IF(U1223&gt;0,ROUNDDOWN(AL1223*方案参数!$AF$36,0)*(1-AJ1223)+ROUNDDOWN(AM1223*方案参数!$AF$36,0)*AJ1223,0)</f>
        <v>0</v>
      </c>
      <c r="AU1223" s="7">
        <f t="shared" si="1724"/>
        <v>126106.28</v>
      </c>
      <c r="AV1223" s="1">
        <f t="shared" si="1725"/>
        <v>2</v>
      </c>
      <c r="AW1223" s="1">
        <f t="shared" si="1718"/>
        <v>10</v>
      </c>
      <c r="AX1223" s="1">
        <f t="shared" si="1726"/>
        <v>2</v>
      </c>
      <c r="AY1223" s="1">
        <f>MIN(20,MAX(0,O1223+0+0-0))</f>
        <v>5</v>
      </c>
      <c r="AZ1223" s="1">
        <f t="shared" si="1727"/>
        <v>5</v>
      </c>
      <c r="BA1223" s="1">
        <f t="shared" si="1709"/>
        <v>5</v>
      </c>
      <c r="BB1223" s="1">
        <f t="shared" si="1717"/>
        <v>20</v>
      </c>
      <c r="BC1223" s="1">
        <f t="shared" si="1715"/>
        <v>3</v>
      </c>
      <c r="BD1223" s="1">
        <f t="shared" si="1696"/>
        <v>0</v>
      </c>
      <c r="BE1223" s="1">
        <f>MAX(0,U1223-IF(AF1223&gt;0,1,0))+1</f>
        <v>1</v>
      </c>
      <c r="BF1223" s="1">
        <f t="shared" si="1719"/>
        <v>4</v>
      </c>
      <c r="BG1223" s="1">
        <f t="shared" si="1706"/>
        <v>1</v>
      </c>
      <c r="BH1223" s="1">
        <f t="shared" si="1690"/>
        <v>1</v>
      </c>
      <c r="BI1223" s="1">
        <f t="shared" si="1707"/>
        <v>1</v>
      </c>
      <c r="BJ1223" s="1">
        <f t="shared" si="1710"/>
        <v>1</v>
      </c>
      <c r="BK1223" s="1">
        <f t="shared" si="1711"/>
        <v>1</v>
      </c>
      <c r="BL1223" s="1">
        <f t="shared" si="1716"/>
        <v>1</v>
      </c>
      <c r="BM1223" s="1">
        <f t="shared" si="1714"/>
        <v>1</v>
      </c>
      <c r="BN1223" s="1">
        <f t="shared" si="1691"/>
        <v>1</v>
      </c>
      <c r="BO1223" s="1">
        <f t="shared" si="1692"/>
        <v>1</v>
      </c>
    </row>
    <row r="1224" spans="1:67" ht="30.95" customHeight="1">
      <c r="A1224" s="1">
        <f>33</f>
        <v>33</v>
      </c>
      <c r="B1224" s="1">
        <f>固定流程!A36</f>
        <v>31</v>
      </c>
      <c r="C1224" s="1">
        <f>36</f>
        <v>36</v>
      </c>
      <c r="D1224" s="1">
        <f>2</f>
        <v>2</v>
      </c>
      <c r="E1224" s="1">
        <f>固定流程!C36</f>
        <v>3</v>
      </c>
      <c r="F1224" s="1">
        <f>固定流程!G36</f>
        <v>1</v>
      </c>
      <c r="G1224" s="1" t="str">
        <f>固定流程!H36</f>
        <v>LILYA_THIRD</v>
      </c>
      <c r="H1224" s="1">
        <f>固定流程!F36</f>
        <v>1</v>
      </c>
      <c r="I1224" s="1">
        <f>INDEX(配置与结果!$B$15:$B$18,F1224)</f>
        <v>2296</v>
      </c>
      <c r="J1224" s="1">
        <f>INDEX(配置与结果!$D$15:$D$18,F1224)</f>
        <v>0.7</v>
      </c>
      <c r="K1224" s="1">
        <f>INDEX(配置与结果!$E$15:$E$18,F1224)</f>
        <v>2.0249999999999999</v>
      </c>
      <c r="L1224" s="1">
        <f t="shared" si="1703"/>
        <v>2</v>
      </c>
      <c r="M1224" s="1">
        <f t="shared" si="1704"/>
        <v>10</v>
      </c>
      <c r="N1224" s="1">
        <f t="shared" si="1705"/>
        <v>2</v>
      </c>
      <c r="O1224" s="1">
        <f t="shared" si="1697"/>
        <v>5</v>
      </c>
      <c r="P1224" s="1">
        <f>MIN(方案参数!$AI$36,AZ1223+0+0)</f>
        <v>5</v>
      </c>
      <c r="Q1224" s="1">
        <f t="shared" si="1675"/>
        <v>5</v>
      </c>
      <c r="R1224" s="1">
        <f t="shared" si="1676"/>
        <v>20</v>
      </c>
      <c r="S1224" s="1">
        <f t="shared" si="1677"/>
        <v>3</v>
      </c>
      <c r="T1224" s="1">
        <f t="shared" si="1712"/>
        <v>0</v>
      </c>
      <c r="U1224" s="1">
        <f t="shared" si="1679"/>
        <v>1</v>
      </c>
      <c r="V1224" s="1">
        <f t="shared" si="1680"/>
        <v>4</v>
      </c>
      <c r="W1224" s="1">
        <f t="shared" si="1681"/>
        <v>1</v>
      </c>
      <c r="X1224" s="1">
        <f t="shared" si="1682"/>
        <v>1</v>
      </c>
      <c r="Y1224" s="1">
        <f t="shared" si="1683"/>
        <v>1</v>
      </c>
      <c r="Z1224" s="1">
        <f t="shared" si="1684"/>
        <v>1</v>
      </c>
      <c r="AA1224" s="1">
        <f t="shared" si="1708"/>
        <v>1</v>
      </c>
      <c r="AB1224" s="1">
        <f t="shared" si="1686"/>
        <v>1</v>
      </c>
      <c r="AC1224" s="1">
        <f t="shared" si="1713"/>
        <v>1</v>
      </c>
      <c r="AD1224" s="1">
        <f>ROUNDDOWN(I1224*(1+IF(F1224=3,0.05+方案参数!$Y$36+AA1224*0.12,IF(F1224=4,方案参数!$BZ$36*方案参数!$AS$36,0)))+IF(AND(X1224=1,F1224&lt;&gt;3),方案参数!$CC$36,0)+AC1224*方案参数!$CB$36,0)</f>
        <v>3034</v>
      </c>
      <c r="AE1224" s="1">
        <f>IF(OR(F1224=1,F1224=4),配置与结果!$B$24,配置与结果!$B$25)*MAX(0,1-INDEX(配置与结果!$I$15:$I$18,F1224))</f>
        <v>1200</v>
      </c>
      <c r="AF1224" s="1">
        <f>方案参数!$BM$36</f>
        <v>20</v>
      </c>
      <c r="AG1224" s="1">
        <f>MAX(配置与结果!$B$32,1+INDEX(配置与结果!$F$15:$F$18,F1224)+0.08+方案参数!$CD$36+Q1224*方案参数!$W$36+Y1224*(方案参数!$AN$36+MIN(方案参数!$AO$36,P1224*0.03))+AB1224*方案参数!$BZ$36*0.025-配置与结果!$B$28+方案参数!$AE$36)</f>
        <v>2.6150000000000002</v>
      </c>
      <c r="AH1224" s="1">
        <f>MAX(0,1+V1224*方案参数!$U$36+7*方案参数!$V$36+方案参数!$AE$36-配置与结果!$B$29)</f>
        <v>2.06</v>
      </c>
      <c r="AI1224" s="1">
        <f>IF(OR(INDEX(配置与结果!$K$15:$K$18,F1224)=1,G1224="RHI_BERRY"),1+配置与结果!$B$33+P1224*方案参数!$AH$36,1)</f>
        <v>1</v>
      </c>
      <c r="AJ1224" s="1">
        <f>MIN(1,MAX(0,J1224+方案参数!$AB$36-配置与结果!$B$27))</f>
        <v>1</v>
      </c>
      <c r="AK1224" s="1">
        <f>MAX(1,K1224+IF(F1224=2,0.15+方案参数!$CH$36,0)+BN1224*方案参数!$X$36+R1224*方案参数!$AA$36+方案参数!$BQ$36-配置与结果!$B$26+Z1224*(方案参数!$AP$36+MIN(方案参数!$AQ$36,P1224*0.03)))</f>
        <v>2.9650000000000003</v>
      </c>
      <c r="AL1224" s="7">
        <f>ROUNDDOWN(MAX(AD1224*配置与结果!$B$31,AD1224-AE1224)*AF1224*AG1224*AH1224*AI1224,0)</f>
        <v>197591</v>
      </c>
      <c r="AM1224" s="7">
        <f>ROUNDDOWN(MAX(AD1224*配置与结果!$B$31,AD1224-AE1224)*AF1224*AG1224*AH1224*AI1224*AK1224,0)</f>
        <v>585858</v>
      </c>
      <c r="AN1224" s="7">
        <f t="shared" si="1720"/>
        <v>585858</v>
      </c>
      <c r="AO1224" s="7">
        <f>0</f>
        <v>0</v>
      </c>
      <c r="AP1224" s="7">
        <f>MAX(0,1+INDEX(配置与结果!$J$15:$J$18,F1224)+IF(T1224&gt;0,方案参数!$BY$36,0)-配置与结果!$B$30)</f>
        <v>1</v>
      </c>
      <c r="AQ1224" s="7">
        <f t="shared" si="1721"/>
        <v>0</v>
      </c>
      <c r="AR1224" s="7">
        <f t="shared" si="1722"/>
        <v>0</v>
      </c>
      <c r="AS1224" s="7">
        <f t="shared" si="1723"/>
        <v>0</v>
      </c>
      <c r="AT1224" s="7">
        <f>IF(U1224&gt;0,ROUNDDOWN(AL1224*方案参数!$AF$36,0)*(1-AJ1224)+ROUNDDOWN(AM1224*方案参数!$AF$36,0)*AJ1224,0)</f>
        <v>234343</v>
      </c>
      <c r="AU1224" s="7">
        <f t="shared" si="1724"/>
        <v>820201</v>
      </c>
      <c r="AV1224" s="1">
        <f t="shared" si="1725"/>
        <v>2</v>
      </c>
      <c r="AW1224" s="1">
        <f t="shared" si="1718"/>
        <v>10</v>
      </c>
      <c r="AX1224" s="1">
        <f t="shared" si="1726"/>
        <v>2</v>
      </c>
      <c r="AY1224" s="1">
        <f>MIN(20,MAX(0,O1224+0+1-0))</f>
        <v>6</v>
      </c>
      <c r="AZ1224" s="1">
        <f t="shared" si="1727"/>
        <v>5</v>
      </c>
      <c r="BA1224" s="1">
        <f t="shared" si="1709"/>
        <v>5</v>
      </c>
      <c r="BB1224" s="1">
        <f t="shared" si="1717"/>
        <v>20</v>
      </c>
      <c r="BC1224" s="1">
        <f t="shared" si="1715"/>
        <v>3</v>
      </c>
      <c r="BD1224" s="1">
        <f t="shared" si="1696"/>
        <v>0</v>
      </c>
      <c r="BE1224" s="1">
        <f>MAX(0,U1224-IF(AF1224&gt;0,1,0))+0</f>
        <v>0</v>
      </c>
      <c r="BF1224" s="1">
        <f t="shared" si="1719"/>
        <v>4</v>
      </c>
      <c r="BG1224" s="1">
        <f t="shared" si="1706"/>
        <v>1</v>
      </c>
      <c r="BH1224" s="1">
        <f t="shared" si="1690"/>
        <v>1</v>
      </c>
      <c r="BI1224" s="1">
        <f t="shared" si="1707"/>
        <v>1</v>
      </c>
      <c r="BJ1224" s="1">
        <f t="shared" si="1710"/>
        <v>1</v>
      </c>
      <c r="BK1224" s="1">
        <f t="shared" si="1711"/>
        <v>1</v>
      </c>
      <c r="BL1224" s="1">
        <f t="shared" si="1716"/>
        <v>1</v>
      </c>
      <c r="BM1224" s="1">
        <f t="shared" si="1714"/>
        <v>1</v>
      </c>
      <c r="BN1224" s="1">
        <f t="shared" si="1691"/>
        <v>1</v>
      </c>
      <c r="BO1224" s="1">
        <f t="shared" si="1692"/>
        <v>1</v>
      </c>
    </row>
    <row r="1225" spans="1:67" ht="30.95" customHeight="1">
      <c r="A1225" s="1">
        <f>33</f>
        <v>33</v>
      </c>
      <c r="B1225" s="1">
        <f>固定流程!A37</f>
        <v>32</v>
      </c>
      <c r="C1225" s="1">
        <f>36</f>
        <v>36</v>
      </c>
      <c r="D1225" s="1">
        <f>2</f>
        <v>2</v>
      </c>
      <c r="E1225" s="1">
        <f>固定流程!C37</f>
        <v>3</v>
      </c>
      <c r="F1225" s="1">
        <f>固定流程!G37</f>
        <v>1</v>
      </c>
      <c r="G1225" s="1" t="str">
        <f>固定流程!H37</f>
        <v>LILYA_WEAK</v>
      </c>
      <c r="H1225" s="1">
        <f>固定流程!F37</f>
        <v>1</v>
      </c>
      <c r="I1225" s="1">
        <f>INDEX(配置与结果!$B$15:$B$18,F1225)</f>
        <v>2296</v>
      </c>
      <c r="J1225" s="1">
        <f>INDEX(配置与结果!$D$15:$D$18,F1225)</f>
        <v>0.7</v>
      </c>
      <c r="K1225" s="1">
        <f>INDEX(配置与结果!$E$15:$E$18,F1225)</f>
        <v>2.0249999999999999</v>
      </c>
      <c r="L1225" s="1">
        <f t="shared" si="1703"/>
        <v>2</v>
      </c>
      <c r="M1225" s="1">
        <f t="shared" si="1704"/>
        <v>10</v>
      </c>
      <c r="N1225" s="1">
        <f t="shared" si="1705"/>
        <v>2</v>
      </c>
      <c r="O1225" s="1">
        <f t="shared" si="1697"/>
        <v>6</v>
      </c>
      <c r="P1225" s="1">
        <f>MIN(方案参数!$AI$36,AZ1224+0+0)</f>
        <v>5</v>
      </c>
      <c r="Q1225" s="1">
        <f t="shared" si="1675"/>
        <v>5</v>
      </c>
      <c r="R1225" s="1">
        <f t="shared" si="1676"/>
        <v>20</v>
      </c>
      <c r="S1225" s="1">
        <f t="shared" si="1677"/>
        <v>3</v>
      </c>
      <c r="T1225" s="1">
        <f t="shared" si="1712"/>
        <v>0</v>
      </c>
      <c r="U1225" s="1">
        <f t="shared" si="1679"/>
        <v>0</v>
      </c>
      <c r="V1225" s="1">
        <f t="shared" si="1680"/>
        <v>4</v>
      </c>
      <c r="W1225" s="1">
        <f t="shared" si="1681"/>
        <v>1</v>
      </c>
      <c r="X1225" s="1">
        <f t="shared" si="1682"/>
        <v>1</v>
      </c>
      <c r="Y1225" s="1">
        <f t="shared" si="1683"/>
        <v>1</v>
      </c>
      <c r="Z1225" s="1">
        <f t="shared" si="1684"/>
        <v>1</v>
      </c>
      <c r="AA1225" s="1">
        <f t="shared" si="1708"/>
        <v>1</v>
      </c>
      <c r="AB1225" s="1">
        <f t="shared" si="1686"/>
        <v>1</v>
      </c>
      <c r="AC1225" s="1">
        <f t="shared" si="1713"/>
        <v>1</v>
      </c>
      <c r="AD1225" s="1">
        <f>ROUNDDOWN(I1225*(1+IF(F1225=3,0.05+方案参数!$Y$36+AA1225*0.12,IF(F1225=4,方案参数!$BZ$36*方案参数!$AS$36,0)))+IF(AND(X1225=1,F1225&lt;&gt;3),方案参数!$CC$36,0)+AC1225*方案参数!$CB$36,0)</f>
        <v>3034</v>
      </c>
      <c r="AE1225" s="1">
        <f>IF(OR(F1225=1,F1225=4),配置与结果!$B$24,配置与结果!$B$25)*MAX(0,1-INDEX(配置与结果!$I$15:$I$18,F1225))</f>
        <v>1200</v>
      </c>
      <c r="AF1225" s="1">
        <f>方案参数!$BL$36</f>
        <v>9</v>
      </c>
      <c r="AG1225" s="1">
        <f>MAX(配置与结果!$B$32,1+INDEX(配置与结果!$F$15:$F$18,F1225)+0.08+方案参数!$CD$36+Q1225*方案参数!$W$36+Y1225*(方案参数!$AN$36+MIN(方案参数!$AO$36,P1225*0.03))+AB1225*方案参数!$BZ$36*0.025-配置与结果!$B$28+方案参数!$AE$36)</f>
        <v>2.6150000000000002</v>
      </c>
      <c r="AH1225" s="1">
        <f>MAX(0,1+V1225*方案参数!$U$36+8*方案参数!$V$36+方案参数!$AE$36-配置与结果!$B$29)</f>
        <v>2.12</v>
      </c>
      <c r="AI1225" s="1">
        <f>IF(OR(INDEX(配置与结果!$K$15:$K$18,F1225)=1,G1225="RHI_BERRY"),1+配置与结果!$B$33+P1225*方案参数!$AH$36,1)</f>
        <v>1</v>
      </c>
      <c r="AJ1225" s="1">
        <f>MIN(1,MAX(0,J1225+方案参数!$AB$36-配置与结果!$B$27))</f>
        <v>1</v>
      </c>
      <c r="AK1225" s="1">
        <f>MAX(1,K1225+IF(F1225=2,0.15+方案参数!$CH$36,0)+BN1225*方案参数!$X$36+R1225*方案参数!$AA$36+方案参数!$BP$36-配置与结果!$B$26+Z1225*(方案参数!$AP$36+MIN(方案参数!$AQ$36,P1225*0.03)))</f>
        <v>2.7650000000000001</v>
      </c>
      <c r="AL1225" s="7">
        <f>ROUNDDOWN(MAX(AD1225*配置与结果!$B$31,AD1225-AE1225)*AF1225*AG1225*AH1225*AI1225,0)</f>
        <v>91505</v>
      </c>
      <c r="AM1225" s="7">
        <f>ROUNDDOWN(MAX(AD1225*配置与结果!$B$31,AD1225-AE1225)*AF1225*AG1225*AH1225*AI1225*AK1225,0)</f>
        <v>253013</v>
      </c>
      <c r="AN1225" s="7">
        <f t="shared" si="1720"/>
        <v>253013</v>
      </c>
      <c r="AO1225" s="7">
        <f>0</f>
        <v>0</v>
      </c>
      <c r="AP1225" s="7">
        <f>MAX(0,1+INDEX(配置与结果!$J$15:$J$18,F1225)+IF(T1225&gt;0,方案参数!$BY$36,0)-配置与结果!$B$30)</f>
        <v>1</v>
      </c>
      <c r="AQ1225" s="7">
        <f t="shared" si="1721"/>
        <v>0</v>
      </c>
      <c r="AR1225" s="7">
        <f t="shared" si="1722"/>
        <v>0</v>
      </c>
      <c r="AS1225" s="7">
        <f t="shared" si="1723"/>
        <v>0</v>
      </c>
      <c r="AT1225" s="7">
        <f>IF(U1225&gt;0,ROUNDDOWN(AL1225*方案参数!$AF$36,0)*(1-AJ1225)+ROUNDDOWN(AM1225*方案参数!$AF$36,0)*AJ1225,0)</f>
        <v>0</v>
      </c>
      <c r="AU1225" s="7">
        <f t="shared" si="1724"/>
        <v>253013</v>
      </c>
      <c r="AV1225" s="1">
        <f t="shared" si="1725"/>
        <v>2</v>
      </c>
      <c r="AW1225" s="1">
        <f t="shared" si="1718"/>
        <v>10</v>
      </c>
      <c r="AX1225" s="1">
        <f t="shared" si="1726"/>
        <v>2</v>
      </c>
      <c r="AY1225" s="1">
        <f>MIN(20,MAX(0,O1225+0+1-0))</f>
        <v>7</v>
      </c>
      <c r="AZ1225" s="1">
        <f t="shared" si="1727"/>
        <v>5</v>
      </c>
      <c r="BA1225" s="1">
        <f t="shared" si="1709"/>
        <v>5</v>
      </c>
      <c r="BB1225" s="1">
        <f t="shared" si="1717"/>
        <v>20</v>
      </c>
      <c r="BC1225" s="1">
        <f t="shared" si="1715"/>
        <v>3</v>
      </c>
      <c r="BD1225" s="1">
        <f t="shared" si="1696"/>
        <v>0</v>
      </c>
      <c r="BE1225" s="1">
        <f>MAX(0,U1225-IF(AF1225&gt;0,1,0))+0</f>
        <v>0</v>
      </c>
      <c r="BF1225" s="1">
        <f t="shared" si="1719"/>
        <v>4</v>
      </c>
      <c r="BG1225" s="1">
        <f t="shared" si="1706"/>
        <v>1</v>
      </c>
      <c r="BH1225" s="1">
        <f t="shared" si="1690"/>
        <v>1</v>
      </c>
      <c r="BI1225" s="1">
        <f t="shared" si="1707"/>
        <v>1</v>
      </c>
      <c r="BJ1225" s="1">
        <f t="shared" si="1710"/>
        <v>1</v>
      </c>
      <c r="BK1225" s="1">
        <f t="shared" si="1711"/>
        <v>1</v>
      </c>
      <c r="BL1225" s="1">
        <f t="shared" si="1716"/>
        <v>1</v>
      </c>
      <c r="BM1225" s="1">
        <f t="shared" si="1714"/>
        <v>1</v>
      </c>
      <c r="BN1225" s="1">
        <f t="shared" si="1691"/>
        <v>1</v>
      </c>
      <c r="BO1225" s="1">
        <f t="shared" si="1692"/>
        <v>1</v>
      </c>
    </row>
    <row r="1226" spans="1:67" ht="30.95" customHeight="1">
      <c r="A1226" s="1">
        <f>33</f>
        <v>33</v>
      </c>
      <c r="B1226" s="1">
        <f>固定流程!A38</f>
        <v>33</v>
      </c>
      <c r="C1226" s="1">
        <f>36</f>
        <v>36</v>
      </c>
      <c r="D1226" s="1">
        <f>2</f>
        <v>2</v>
      </c>
      <c r="E1226" s="1">
        <f>固定流程!C38</f>
        <v>3</v>
      </c>
      <c r="F1226" s="1">
        <f>固定流程!G38</f>
        <v>1</v>
      </c>
      <c r="G1226" s="1" t="str">
        <f>固定流程!H38</f>
        <v>LILYA_WEAK</v>
      </c>
      <c r="H1226" s="1">
        <f>固定流程!F38</f>
        <v>1</v>
      </c>
      <c r="I1226" s="1">
        <f>INDEX(配置与结果!$B$15:$B$18,F1226)</f>
        <v>2296</v>
      </c>
      <c r="J1226" s="1">
        <f>INDEX(配置与结果!$D$15:$D$18,F1226)</f>
        <v>0.7</v>
      </c>
      <c r="K1226" s="1">
        <f>INDEX(配置与结果!$E$15:$E$18,F1226)</f>
        <v>2.0249999999999999</v>
      </c>
      <c r="L1226" s="1">
        <f t="shared" si="1703"/>
        <v>2</v>
      </c>
      <c r="M1226" s="1">
        <f t="shared" si="1704"/>
        <v>10</v>
      </c>
      <c r="N1226" s="1">
        <f t="shared" si="1705"/>
        <v>2</v>
      </c>
      <c r="O1226" s="1">
        <f t="shared" si="1697"/>
        <v>7</v>
      </c>
      <c r="P1226" s="1">
        <f>MIN(方案参数!$AI$36,AZ1225+0+0)</f>
        <v>5</v>
      </c>
      <c r="Q1226" s="1">
        <f t="shared" si="1675"/>
        <v>5</v>
      </c>
      <c r="R1226" s="1">
        <f t="shared" si="1676"/>
        <v>20</v>
      </c>
      <c r="S1226" s="1">
        <f t="shared" si="1677"/>
        <v>3</v>
      </c>
      <c r="T1226" s="1">
        <f t="shared" si="1712"/>
        <v>0</v>
      </c>
      <c r="U1226" s="1">
        <f t="shared" si="1679"/>
        <v>0</v>
      </c>
      <c r="V1226" s="1">
        <f t="shared" si="1680"/>
        <v>4</v>
      </c>
      <c r="W1226" s="1">
        <f t="shared" si="1681"/>
        <v>1</v>
      </c>
      <c r="X1226" s="1">
        <f t="shared" si="1682"/>
        <v>1</v>
      </c>
      <c r="Y1226" s="1">
        <f t="shared" si="1683"/>
        <v>1</v>
      </c>
      <c r="Z1226" s="1">
        <f t="shared" si="1684"/>
        <v>1</v>
      </c>
      <c r="AA1226" s="1">
        <f t="shared" si="1708"/>
        <v>1</v>
      </c>
      <c r="AB1226" s="1">
        <f t="shared" si="1686"/>
        <v>1</v>
      </c>
      <c r="AC1226" s="1">
        <f t="shared" si="1713"/>
        <v>1</v>
      </c>
      <c r="AD1226" s="1">
        <f>ROUNDDOWN(I1226*(1+IF(F1226=3,0.05+方案参数!$Y$36+AA1226*0.12,IF(F1226=4,方案参数!$BZ$36*方案参数!$AS$36,0)))+IF(AND(X1226=1,F1226&lt;&gt;3),方案参数!$CC$36,0)+AC1226*方案参数!$CB$36,0)</f>
        <v>3034</v>
      </c>
      <c r="AE1226" s="1">
        <f>IF(OR(F1226=1,F1226=4),配置与结果!$B$24,配置与结果!$B$25)*MAX(0,1-INDEX(配置与结果!$I$15:$I$18,F1226))</f>
        <v>1200</v>
      </c>
      <c r="AF1226" s="1">
        <f>方案参数!$BL$36</f>
        <v>9</v>
      </c>
      <c r="AG1226" s="1">
        <f>MAX(配置与结果!$B$32,1+INDEX(配置与结果!$F$15:$F$18,F1226)+0.08+方案参数!$CD$36+Q1226*方案参数!$W$36+Y1226*(方案参数!$AN$36+MIN(方案参数!$AO$36,P1226*0.03))+AB1226*方案参数!$BZ$36*0.025-配置与结果!$B$28+方案参数!$AE$36)</f>
        <v>2.6150000000000002</v>
      </c>
      <c r="AH1226" s="1">
        <f>MAX(0,1+V1226*方案参数!$U$36+9*方案参数!$V$36+方案参数!$AE$36-配置与结果!$B$29)</f>
        <v>2.1800000000000002</v>
      </c>
      <c r="AI1226" s="1">
        <f>IF(OR(INDEX(配置与结果!$K$15:$K$18,F1226)=1,G1226="RHI_BERRY"),1+配置与结果!$B$33+P1226*方案参数!$AH$36,1)</f>
        <v>1</v>
      </c>
      <c r="AJ1226" s="1">
        <f>MIN(1,MAX(0,J1226+方案参数!$AB$36-配置与结果!$B$27))</f>
        <v>1</v>
      </c>
      <c r="AK1226" s="1">
        <f>MAX(1,K1226+IF(F1226=2,0.15+方案参数!$CH$36,0)+BN1226*方案参数!$X$36+R1226*方案参数!$AA$36+方案参数!$BP$36-配置与结果!$B$26+Z1226*(方案参数!$AP$36+MIN(方案参数!$AQ$36,P1226*0.03)))</f>
        <v>2.7650000000000001</v>
      </c>
      <c r="AL1226" s="7">
        <f>ROUNDDOWN(MAX(AD1226*配置与结果!$B$31,AD1226-AE1226)*AF1226*AG1226*AH1226*AI1226,0)</f>
        <v>94095</v>
      </c>
      <c r="AM1226" s="7">
        <f>ROUNDDOWN(MAX(AD1226*配置与结果!$B$31,AD1226-AE1226)*AF1226*AG1226*AH1226*AI1226*AK1226,0)</f>
        <v>260174</v>
      </c>
      <c r="AN1226" s="7">
        <f t="shared" si="1720"/>
        <v>260174</v>
      </c>
      <c r="AO1226" s="7">
        <f>0</f>
        <v>0</v>
      </c>
      <c r="AP1226" s="7">
        <f>MAX(0,1+INDEX(配置与结果!$J$15:$J$18,F1226)+IF(T1226&gt;0,方案参数!$BY$36,0)-配置与结果!$B$30)</f>
        <v>1</v>
      </c>
      <c r="AQ1226" s="7">
        <f t="shared" si="1721"/>
        <v>0</v>
      </c>
      <c r="AR1226" s="7">
        <f t="shared" si="1722"/>
        <v>0</v>
      </c>
      <c r="AS1226" s="7">
        <f t="shared" si="1723"/>
        <v>0</v>
      </c>
      <c r="AT1226" s="7">
        <f>IF(U1226&gt;0,ROUNDDOWN(AL1226*方案参数!$AF$36,0)*(1-AJ1226)+ROUNDDOWN(AM1226*方案参数!$AF$36,0)*AJ1226,0)</f>
        <v>0</v>
      </c>
      <c r="AU1226" s="7">
        <f t="shared" si="1724"/>
        <v>260174</v>
      </c>
      <c r="AV1226" s="1">
        <f t="shared" si="1725"/>
        <v>2</v>
      </c>
      <c r="AW1226" s="1">
        <f t="shared" si="1718"/>
        <v>10</v>
      </c>
      <c r="AX1226" s="1">
        <f t="shared" si="1726"/>
        <v>2</v>
      </c>
      <c r="AY1226" s="1">
        <f>MIN(20,MAX(0,O1226+0+1-0))</f>
        <v>8</v>
      </c>
      <c r="AZ1226" s="1">
        <f t="shared" si="1727"/>
        <v>5</v>
      </c>
      <c r="BA1226" s="1">
        <f t="shared" si="1709"/>
        <v>5</v>
      </c>
      <c r="BB1226" s="1">
        <f t="shared" si="1717"/>
        <v>20</v>
      </c>
      <c r="BC1226" s="1">
        <f t="shared" si="1715"/>
        <v>3</v>
      </c>
      <c r="BD1226" s="1">
        <f t="shared" si="1696"/>
        <v>0</v>
      </c>
      <c r="BE1226" s="1">
        <f>MAX(0,U1226-IF(AF1226&gt;0,1,0))+0</f>
        <v>0</v>
      </c>
      <c r="BF1226" s="1">
        <f t="shared" si="1719"/>
        <v>4</v>
      </c>
      <c r="BG1226" s="1">
        <f t="shared" si="1706"/>
        <v>1</v>
      </c>
      <c r="BH1226" s="1">
        <f t="shared" si="1690"/>
        <v>1</v>
      </c>
      <c r="BI1226" s="1">
        <f t="shared" si="1707"/>
        <v>1</v>
      </c>
      <c r="BJ1226" s="1">
        <f t="shared" si="1710"/>
        <v>1</v>
      </c>
      <c r="BK1226" s="1">
        <f t="shared" si="1711"/>
        <v>1</v>
      </c>
      <c r="BL1226" s="1">
        <f t="shared" si="1716"/>
        <v>1</v>
      </c>
      <c r="BM1226" s="1">
        <f t="shared" si="1714"/>
        <v>1</v>
      </c>
      <c r="BN1226" s="1">
        <f t="shared" si="1691"/>
        <v>1</v>
      </c>
      <c r="BO1226" s="1">
        <f t="shared" si="1692"/>
        <v>1</v>
      </c>
    </row>
    <row r="1227" spans="1:67" ht="30.95" customHeight="1">
      <c r="A1227" s="1">
        <f>33</f>
        <v>33</v>
      </c>
      <c r="B1227" s="1">
        <f>固定流程!A39</f>
        <v>34</v>
      </c>
      <c r="C1227" s="1">
        <f>36</f>
        <v>36</v>
      </c>
      <c r="D1227" s="1">
        <f>2</f>
        <v>2</v>
      </c>
      <c r="E1227" s="1">
        <f>固定流程!C39</f>
        <v>3</v>
      </c>
      <c r="F1227" s="1">
        <f>固定流程!G39</f>
        <v>2</v>
      </c>
      <c r="G1227" s="1" t="str">
        <f>固定流程!H39</f>
        <v>37_WEAK</v>
      </c>
      <c r="H1227" s="1">
        <f>固定流程!F39</f>
        <v>1</v>
      </c>
      <c r="I1227" s="1">
        <f>INDEX(配置与结果!$B$15:$B$18,F1227)</f>
        <v>2306</v>
      </c>
      <c r="J1227" s="1">
        <f>INDEX(配置与结果!$D$15:$D$18,F1227)</f>
        <v>0.46</v>
      </c>
      <c r="K1227" s="1">
        <f>INDEX(配置与结果!$E$15:$E$18,F1227)</f>
        <v>1.9279999999999999</v>
      </c>
      <c r="L1227" s="1">
        <f t="shared" si="1703"/>
        <v>2</v>
      </c>
      <c r="M1227" s="1">
        <f t="shared" si="1704"/>
        <v>10</v>
      </c>
      <c r="N1227" s="1">
        <f t="shared" si="1705"/>
        <v>2</v>
      </c>
      <c r="O1227" s="1">
        <f t="shared" si="1697"/>
        <v>8</v>
      </c>
      <c r="P1227" s="1">
        <f>MIN(方案参数!$AI$36,AZ1226+0+0)</f>
        <v>5</v>
      </c>
      <c r="Q1227" s="1">
        <f t="shared" si="1675"/>
        <v>5</v>
      </c>
      <c r="R1227" s="1">
        <f t="shared" si="1676"/>
        <v>20</v>
      </c>
      <c r="S1227" s="1">
        <f t="shared" si="1677"/>
        <v>3</v>
      </c>
      <c r="T1227" s="1">
        <f t="shared" si="1712"/>
        <v>0</v>
      </c>
      <c r="U1227" s="1">
        <f t="shared" si="1679"/>
        <v>0</v>
      </c>
      <c r="V1227" s="1">
        <f t="shared" si="1680"/>
        <v>4</v>
      </c>
      <c r="W1227" s="1">
        <f t="shared" si="1681"/>
        <v>1</v>
      </c>
      <c r="X1227" s="1">
        <f t="shared" si="1682"/>
        <v>1</v>
      </c>
      <c r="Y1227" s="1">
        <f t="shared" si="1683"/>
        <v>1</v>
      </c>
      <c r="Z1227" s="1">
        <f t="shared" si="1684"/>
        <v>1</v>
      </c>
      <c r="AA1227" s="1">
        <f t="shared" si="1708"/>
        <v>1</v>
      </c>
      <c r="AB1227" s="1">
        <f t="shared" si="1686"/>
        <v>1</v>
      </c>
      <c r="AC1227" s="1">
        <f t="shared" si="1713"/>
        <v>1</v>
      </c>
      <c r="AD1227" s="1">
        <f>ROUNDDOWN(I1227*(1+IF(F1227=3,0.05+方案参数!$Y$36+AA1227*0.12,IF(F1227=4,方案参数!$BZ$36*方案参数!$AS$36,0)))+IF(AND(X1227=1,F1227&lt;&gt;3),方案参数!$CC$36,0)+AC1227*方案参数!$CB$36,0)</f>
        <v>3044</v>
      </c>
      <c r="AE1227" s="1">
        <f>IF(OR(F1227=1,F1227=4),配置与结果!$B$24,配置与结果!$B$25)*MAX(0,1-INDEX(配置与结果!$I$15:$I$18,F1227))</f>
        <v>1000</v>
      </c>
      <c r="AF1227" s="1">
        <f>方案参数!$CE$36</f>
        <v>8</v>
      </c>
      <c r="AG1227" s="1">
        <f>MAX(配置与结果!$B$32,1+INDEX(配置与结果!$F$15:$F$18,F1227)+0+Q1227*方案参数!$W$36+Y1227*(方案参数!$AN$36+MIN(方案参数!$AO$36,P1227*0.03))+AB1227*方案参数!$BZ$36*0.025-配置与结果!$B$28+方案参数!$AE$36)</f>
        <v>2.2800000000000002</v>
      </c>
      <c r="AH1227" s="1">
        <f>MAX(0,1+V1227*方案参数!$U$36+方案参数!$AE$36-配置与结果!$B$29)</f>
        <v>1.6400000000000001</v>
      </c>
      <c r="AI1227" s="1">
        <f>IF(OR(INDEX(配置与结果!$K$15:$K$18,F1227)=1,G1227="RHI_BERRY"),1+配置与结果!$B$33+P1227*方案参数!$AH$36,1)</f>
        <v>1</v>
      </c>
      <c r="AJ1227" s="1">
        <f>MIN(1,MAX(0,J1227+方案参数!$AB$36-配置与结果!$B$27))</f>
        <v>0.76</v>
      </c>
      <c r="AK1227" s="1">
        <f>MAX(1,K1227+IF(F1227=2,0.15+方案参数!$CH$36,0)+BN1227*方案参数!$X$36+R1227*方案参数!$AA$36+0-配置与结果!$B$26+Z1227*(方案参数!$AP$36+MIN(方案参数!$AQ$36,P1227*0.03)))</f>
        <v>2.3980000000000001</v>
      </c>
      <c r="AL1227" s="7">
        <f>ROUNDDOWN(MAX(AD1227*配置与结果!$B$31,AD1227-AE1227)*AF1227*AG1227*AH1227*AI1227,0)</f>
        <v>61143</v>
      </c>
      <c r="AM1227" s="7">
        <f>ROUNDDOWN(MAX(AD1227*配置与结果!$B$31,AD1227-AE1227)*AF1227*AG1227*AH1227*AI1227*AK1227,0)</f>
        <v>146621</v>
      </c>
      <c r="AN1227" s="7">
        <f t="shared" si="1720"/>
        <v>126106.28</v>
      </c>
      <c r="AO1227" s="7">
        <f>0</f>
        <v>0</v>
      </c>
      <c r="AP1227" s="7">
        <f>MAX(0,1+INDEX(配置与结果!$J$15:$J$18,F1227)+IF(T1227&gt;0,方案参数!$BY$36,0)-配置与结果!$B$30)</f>
        <v>1</v>
      </c>
      <c r="AQ1227" s="7">
        <f t="shared" si="1721"/>
        <v>0</v>
      </c>
      <c r="AR1227" s="7">
        <f t="shared" si="1722"/>
        <v>0</v>
      </c>
      <c r="AS1227" s="7">
        <f t="shared" si="1723"/>
        <v>0</v>
      </c>
      <c r="AT1227" s="7">
        <f>IF(U1227&gt;0,ROUNDDOWN(AL1227*方案参数!$AF$36,0)*(1-AJ1227)+ROUNDDOWN(AM1227*方案参数!$AF$36,0)*AJ1227,0)</f>
        <v>0</v>
      </c>
      <c r="AU1227" s="7">
        <f t="shared" si="1724"/>
        <v>126106.28</v>
      </c>
      <c r="AV1227" s="1">
        <f t="shared" si="1725"/>
        <v>2</v>
      </c>
      <c r="AW1227" s="1">
        <f t="shared" si="1718"/>
        <v>10</v>
      </c>
      <c r="AX1227" s="1">
        <f t="shared" si="1726"/>
        <v>2</v>
      </c>
      <c r="AY1227" s="1">
        <f>MIN(20,MAX(0,O1227+0+0-0))</f>
        <v>8</v>
      </c>
      <c r="AZ1227" s="1">
        <f t="shared" si="1727"/>
        <v>5</v>
      </c>
      <c r="BA1227" s="1">
        <f t="shared" si="1709"/>
        <v>5</v>
      </c>
      <c r="BB1227" s="1">
        <f t="shared" si="1717"/>
        <v>20</v>
      </c>
      <c r="BC1227" s="1">
        <f t="shared" si="1715"/>
        <v>3</v>
      </c>
      <c r="BD1227" s="1">
        <f t="shared" si="1696"/>
        <v>0</v>
      </c>
      <c r="BE1227" s="1">
        <f>MAX(0,U1227-IF(AF1227&gt;0,1,0))+1</f>
        <v>1</v>
      </c>
      <c r="BF1227" s="1">
        <f t="shared" si="1719"/>
        <v>4</v>
      </c>
      <c r="BG1227" s="1">
        <f t="shared" si="1706"/>
        <v>1</v>
      </c>
      <c r="BH1227" s="1">
        <f t="shared" si="1690"/>
        <v>1</v>
      </c>
      <c r="BI1227" s="1">
        <f t="shared" si="1707"/>
        <v>1</v>
      </c>
      <c r="BJ1227" s="1">
        <f t="shared" si="1710"/>
        <v>1</v>
      </c>
      <c r="BK1227" s="1">
        <f t="shared" si="1711"/>
        <v>1</v>
      </c>
      <c r="BL1227" s="1">
        <f t="shared" si="1716"/>
        <v>1</v>
      </c>
      <c r="BM1227" s="1">
        <f t="shared" si="1714"/>
        <v>1</v>
      </c>
      <c r="BN1227" s="1">
        <f t="shared" si="1691"/>
        <v>1</v>
      </c>
      <c r="BO1227" s="1">
        <f t="shared" si="1692"/>
        <v>1</v>
      </c>
    </row>
    <row r="1228" spans="1:67" ht="30.95" customHeight="1">
      <c r="A1228" s="1">
        <f>33</f>
        <v>33</v>
      </c>
      <c r="B1228" s="1">
        <f>固定流程!A40</f>
        <v>35</v>
      </c>
      <c r="C1228" s="1">
        <f>36</f>
        <v>36</v>
      </c>
      <c r="D1228" s="1">
        <f>2</f>
        <v>2</v>
      </c>
      <c r="E1228" s="1">
        <f>固定流程!C40</f>
        <v>3</v>
      </c>
      <c r="F1228" s="1">
        <f>固定流程!G40</f>
        <v>2</v>
      </c>
      <c r="G1228" s="1" t="str">
        <f>固定流程!H40</f>
        <v>37_WEAK</v>
      </c>
      <c r="H1228" s="1">
        <f>固定流程!F40</f>
        <v>1</v>
      </c>
      <c r="I1228" s="1">
        <f>INDEX(配置与结果!$B$15:$B$18,F1228)</f>
        <v>2306</v>
      </c>
      <c r="J1228" s="1">
        <f>INDEX(配置与结果!$D$15:$D$18,F1228)</f>
        <v>0.46</v>
      </c>
      <c r="K1228" s="1">
        <f>INDEX(配置与结果!$E$15:$E$18,F1228)</f>
        <v>1.9279999999999999</v>
      </c>
      <c r="L1228" s="1">
        <f t="shared" si="1703"/>
        <v>2</v>
      </c>
      <c r="M1228" s="1">
        <f t="shared" si="1704"/>
        <v>10</v>
      </c>
      <c r="N1228" s="1">
        <f t="shared" si="1705"/>
        <v>2</v>
      </c>
      <c r="O1228" s="1">
        <f t="shared" si="1697"/>
        <v>8</v>
      </c>
      <c r="P1228" s="1">
        <f>MIN(方案参数!$AI$36,AZ1227+0+0)</f>
        <v>5</v>
      </c>
      <c r="Q1228" s="1">
        <f t="shared" si="1675"/>
        <v>5</v>
      </c>
      <c r="R1228" s="1">
        <f t="shared" si="1676"/>
        <v>20</v>
      </c>
      <c r="S1228" s="1">
        <f t="shared" si="1677"/>
        <v>3</v>
      </c>
      <c r="T1228" s="1">
        <f t="shared" si="1712"/>
        <v>0</v>
      </c>
      <c r="U1228" s="1">
        <f t="shared" si="1679"/>
        <v>1</v>
      </c>
      <c r="V1228" s="1">
        <f t="shared" si="1680"/>
        <v>4</v>
      </c>
      <c r="W1228" s="1">
        <f t="shared" si="1681"/>
        <v>1</v>
      </c>
      <c r="X1228" s="1">
        <f t="shared" si="1682"/>
        <v>1</v>
      </c>
      <c r="Y1228" s="1">
        <f t="shared" si="1683"/>
        <v>1</v>
      </c>
      <c r="Z1228" s="1">
        <f t="shared" si="1684"/>
        <v>1</v>
      </c>
      <c r="AA1228" s="1">
        <f t="shared" si="1708"/>
        <v>1</v>
      </c>
      <c r="AB1228" s="1">
        <f t="shared" si="1686"/>
        <v>1</v>
      </c>
      <c r="AC1228" s="1">
        <f t="shared" si="1713"/>
        <v>1</v>
      </c>
      <c r="AD1228" s="1">
        <f>ROUNDDOWN(I1228*(1+IF(F1228=3,0.05+方案参数!$Y$36+AA1228*0.12,IF(F1228=4,方案参数!$BZ$36*方案参数!$AS$36,0)))+IF(AND(X1228=1,F1228&lt;&gt;3),方案参数!$CC$36,0)+AC1228*方案参数!$CB$36,0)</f>
        <v>3044</v>
      </c>
      <c r="AE1228" s="1">
        <f>IF(OR(F1228=1,F1228=4),配置与结果!$B$24,配置与结果!$B$25)*MAX(0,1-INDEX(配置与结果!$I$15:$I$18,F1228))</f>
        <v>1000</v>
      </c>
      <c r="AF1228" s="1">
        <f>方案参数!$CE$36</f>
        <v>8</v>
      </c>
      <c r="AG1228" s="1">
        <f>MAX(配置与结果!$B$32,1+INDEX(配置与结果!$F$15:$F$18,F1228)+0+Q1228*方案参数!$W$36+Y1228*(方案参数!$AN$36+MIN(方案参数!$AO$36,P1228*0.03))+AB1228*方案参数!$BZ$36*0.025-配置与结果!$B$28+方案参数!$AE$36)</f>
        <v>2.2800000000000002</v>
      </c>
      <c r="AH1228" s="1">
        <f>MAX(0,1+V1228*方案参数!$U$36+方案参数!$AE$36-配置与结果!$B$29)</f>
        <v>1.6400000000000001</v>
      </c>
      <c r="AI1228" s="1">
        <f>IF(OR(INDEX(配置与结果!$K$15:$K$18,F1228)=1,G1228="RHI_BERRY"),1+配置与结果!$B$33+P1228*方案参数!$AH$36,1)</f>
        <v>1</v>
      </c>
      <c r="AJ1228" s="1">
        <f>MIN(1,MAX(0,J1228+方案参数!$AB$36-配置与结果!$B$27))</f>
        <v>0.76</v>
      </c>
      <c r="AK1228" s="1">
        <f>MAX(1,K1228+IF(F1228=2,0.15+方案参数!$CH$36,0)+BN1228*方案参数!$X$36+R1228*方案参数!$AA$36+0-配置与结果!$B$26+Z1228*(方案参数!$AP$36+MIN(方案参数!$AQ$36,P1228*0.03)))</f>
        <v>2.3980000000000001</v>
      </c>
      <c r="AL1228" s="7">
        <f>ROUNDDOWN(MAX(AD1228*配置与结果!$B$31,AD1228-AE1228)*AF1228*AG1228*AH1228*AI1228,0)</f>
        <v>61143</v>
      </c>
      <c r="AM1228" s="7">
        <f>ROUNDDOWN(MAX(AD1228*配置与结果!$B$31,AD1228-AE1228)*AF1228*AG1228*AH1228*AI1228*AK1228,0)</f>
        <v>146621</v>
      </c>
      <c r="AN1228" s="7">
        <f t="shared" si="1720"/>
        <v>126106.28</v>
      </c>
      <c r="AO1228" s="7">
        <f>0</f>
        <v>0</v>
      </c>
      <c r="AP1228" s="7">
        <f>MAX(0,1+INDEX(配置与结果!$J$15:$J$18,F1228)+IF(T1228&gt;0,方案参数!$BY$36,0)-配置与结果!$B$30)</f>
        <v>1</v>
      </c>
      <c r="AQ1228" s="7">
        <f t="shared" si="1721"/>
        <v>0</v>
      </c>
      <c r="AR1228" s="7">
        <f t="shared" si="1722"/>
        <v>0</v>
      </c>
      <c r="AS1228" s="7">
        <f t="shared" si="1723"/>
        <v>0</v>
      </c>
      <c r="AT1228" s="7">
        <f>IF(U1228&gt;0,ROUNDDOWN(AL1228*方案参数!$AF$36,0)*(1-AJ1228)+ROUNDDOWN(AM1228*方案参数!$AF$36,0)*AJ1228,0)</f>
        <v>50442.16</v>
      </c>
      <c r="AU1228" s="7">
        <f t="shared" si="1724"/>
        <v>176548.44</v>
      </c>
      <c r="AV1228" s="1">
        <f t="shared" si="1725"/>
        <v>2</v>
      </c>
      <c r="AW1228" s="1">
        <f t="shared" si="1718"/>
        <v>10</v>
      </c>
      <c r="AX1228" s="1">
        <f t="shared" si="1726"/>
        <v>2</v>
      </c>
      <c r="AY1228" s="1">
        <f>MIN(20,MAX(0,O1228+0+0-0))</f>
        <v>8</v>
      </c>
      <c r="AZ1228" s="1">
        <f t="shared" si="1727"/>
        <v>5</v>
      </c>
      <c r="BA1228" s="1">
        <f t="shared" si="1709"/>
        <v>5</v>
      </c>
      <c r="BB1228" s="1">
        <f t="shared" si="1717"/>
        <v>20</v>
      </c>
      <c r="BC1228" s="1">
        <f t="shared" si="1715"/>
        <v>3</v>
      </c>
      <c r="BD1228" s="1">
        <f t="shared" si="1696"/>
        <v>0</v>
      </c>
      <c r="BE1228" s="1">
        <f>MAX(0,U1228-IF(AF1228&gt;0,1,0))+1</f>
        <v>1</v>
      </c>
      <c r="BF1228" s="1">
        <f t="shared" si="1719"/>
        <v>4</v>
      </c>
      <c r="BG1228" s="1">
        <f t="shared" si="1706"/>
        <v>1</v>
      </c>
      <c r="BH1228" s="1">
        <f t="shared" si="1690"/>
        <v>1</v>
      </c>
      <c r="BI1228" s="1">
        <f t="shared" si="1707"/>
        <v>1</v>
      </c>
      <c r="BJ1228" s="1">
        <f t="shared" si="1710"/>
        <v>1</v>
      </c>
      <c r="BK1228" s="1">
        <f t="shared" si="1711"/>
        <v>1</v>
      </c>
      <c r="BL1228" s="1">
        <f t="shared" si="1716"/>
        <v>1</v>
      </c>
      <c r="BM1228" s="1">
        <f t="shared" si="1714"/>
        <v>1</v>
      </c>
      <c r="BN1228" s="1">
        <f t="shared" si="1691"/>
        <v>1</v>
      </c>
      <c r="BO1228" s="1">
        <f t="shared" si="1692"/>
        <v>1</v>
      </c>
    </row>
    <row r="1229" spans="1:67" ht="30.95" customHeight="1">
      <c r="A1229" s="1">
        <f>33</f>
        <v>33</v>
      </c>
      <c r="B1229" s="1">
        <f>固定流程!A41</f>
        <v>36</v>
      </c>
      <c r="C1229" s="1">
        <f>36</f>
        <v>36</v>
      </c>
      <c r="D1229" s="1">
        <f>2</f>
        <v>2</v>
      </c>
      <c r="E1229" s="1">
        <f>固定流程!C41</f>
        <v>3</v>
      </c>
      <c r="F1229" s="1">
        <f>固定流程!G41</f>
        <v>1</v>
      </c>
      <c r="G1229" s="1" t="str">
        <f>固定流程!H41</f>
        <v>LILYA_FINISH</v>
      </c>
      <c r="H1229" s="1">
        <f>固定流程!F41</f>
        <v>1</v>
      </c>
      <c r="I1229" s="1">
        <f>INDEX(配置与结果!$B$15:$B$18,F1229)</f>
        <v>2296</v>
      </c>
      <c r="J1229" s="1">
        <f>INDEX(配置与结果!$D$15:$D$18,F1229)</f>
        <v>0.7</v>
      </c>
      <c r="K1229" s="1">
        <f>INDEX(配置与结果!$E$15:$E$18,F1229)</f>
        <v>2.0249999999999999</v>
      </c>
      <c r="L1229" s="1">
        <f t="shared" si="1703"/>
        <v>2</v>
      </c>
      <c r="M1229" s="1">
        <f t="shared" si="1704"/>
        <v>10</v>
      </c>
      <c r="N1229" s="1">
        <f t="shared" si="1705"/>
        <v>2</v>
      </c>
      <c r="O1229" s="1">
        <f t="shared" si="1697"/>
        <v>8</v>
      </c>
      <c r="P1229" s="1">
        <f>MIN(方案参数!$AI$36,AZ1228+0+0)</f>
        <v>5</v>
      </c>
      <c r="Q1229" s="1">
        <f t="shared" si="1675"/>
        <v>5</v>
      </c>
      <c r="R1229" s="1">
        <f t="shared" si="1676"/>
        <v>20</v>
      </c>
      <c r="S1229" s="1">
        <f t="shared" si="1677"/>
        <v>3</v>
      </c>
      <c r="T1229" s="1">
        <f t="shared" si="1712"/>
        <v>0</v>
      </c>
      <c r="U1229" s="1">
        <f t="shared" si="1679"/>
        <v>1</v>
      </c>
      <c r="V1229" s="1">
        <f t="shared" si="1680"/>
        <v>4</v>
      </c>
      <c r="W1229" s="1">
        <f t="shared" si="1681"/>
        <v>1</v>
      </c>
      <c r="X1229" s="1">
        <f t="shared" si="1682"/>
        <v>1</v>
      </c>
      <c r="Y1229" s="1">
        <f t="shared" si="1683"/>
        <v>1</v>
      </c>
      <c r="Z1229" s="1">
        <f t="shared" si="1684"/>
        <v>1</v>
      </c>
      <c r="AA1229" s="1">
        <f t="shared" si="1708"/>
        <v>1</v>
      </c>
      <c r="AB1229" s="1">
        <f t="shared" si="1686"/>
        <v>1</v>
      </c>
      <c r="AC1229" s="1">
        <f t="shared" si="1713"/>
        <v>1</v>
      </c>
      <c r="AD1229" s="1">
        <f>ROUNDDOWN(I1229*(1+IF(F1229=3,0.05+方案参数!$Y$36+AA1229*0.12,IF(F1229=4,方案参数!$BZ$36*方案参数!$AS$36,0)))+IF(AND(X1229=1,F1229&lt;&gt;3),方案参数!$CC$36,0)+AC1229*方案参数!$CB$36,0)</f>
        <v>3034</v>
      </c>
      <c r="AE1229" s="1">
        <f>IF(OR(F1229=1,F1229=4),配置与结果!$B$24,配置与结果!$B$25)*MAX(0,1-INDEX(配置与结果!$I$15:$I$18,F1229))</f>
        <v>1200</v>
      </c>
      <c r="AF1229" s="1">
        <f>方案参数!$BN$36+12*方案参数!$BO$36</f>
        <v>48</v>
      </c>
      <c r="AG1229" s="1">
        <f>MAX(配置与结果!$B$32,1+INDEX(配置与结果!$F$15:$F$18,F1229)+0.08+方案参数!$CD$36+Q1229*方案参数!$W$36+Y1229*(方案参数!$AN$36+MIN(方案参数!$AO$36,P1229*0.03))+AB1229*方案参数!$BZ$36*0.025-配置与结果!$B$28+方案参数!$AE$36)</f>
        <v>2.6150000000000002</v>
      </c>
      <c r="AH1229" s="1">
        <f>MAX(0,1+V1229*方案参数!$U$36+12*方案参数!$V$36+方案参数!$AE$36-配置与结果!$B$29)</f>
        <v>2.36</v>
      </c>
      <c r="AI1229" s="1">
        <f>IF(OR(INDEX(配置与结果!$K$15:$K$18,F1229)=1,G1229="RHI_BERRY"),1+配置与结果!$B$33+P1229*方案参数!$AH$36,1)</f>
        <v>1</v>
      </c>
      <c r="AJ1229" s="1">
        <f>MIN(1,MAX(0,J1229+方案参数!$AB$36-配置与结果!$B$27))</f>
        <v>1</v>
      </c>
      <c r="AK1229" s="1">
        <f>MAX(1,K1229+IF(F1229=2,0.15+方案参数!$CH$36,0)+BN1229*方案参数!$X$36+R1229*方案参数!$AA$36+方案参数!$BR$36-配置与结果!$B$26+Z1229*(方案参数!$AP$36+MIN(方案参数!$AQ$36,P1229*0.03)))</f>
        <v>3.165</v>
      </c>
      <c r="AL1229" s="7">
        <f>ROUNDDOWN(MAX(AD1229*配置与结果!$B$31,AD1229-AE1229)*AF1229*AG1229*AH1229*AI1229,0)</f>
        <v>543280</v>
      </c>
      <c r="AM1229" s="7">
        <f>ROUNDDOWN(MAX(AD1229*配置与结果!$B$31,AD1229-AE1229)*AF1229*AG1229*AH1229*AI1229*AK1229,0)</f>
        <v>1719483</v>
      </c>
      <c r="AN1229" s="7">
        <f t="shared" si="1720"/>
        <v>1719483</v>
      </c>
      <c r="AO1229" s="7">
        <f>0</f>
        <v>0</v>
      </c>
      <c r="AP1229" s="7">
        <f>MAX(0,1+INDEX(配置与结果!$J$15:$J$18,F1229)+IF(T1229&gt;0,方案参数!$BY$36,0)-配置与结果!$B$30)</f>
        <v>1</v>
      </c>
      <c r="AQ1229" s="7">
        <f t="shared" si="1721"/>
        <v>0</v>
      </c>
      <c r="AR1229" s="7">
        <f t="shared" si="1722"/>
        <v>0</v>
      </c>
      <c r="AS1229" s="7">
        <f t="shared" si="1723"/>
        <v>0</v>
      </c>
      <c r="AT1229" s="7">
        <f>IF(U1229&gt;0,ROUNDDOWN(AL1229*方案参数!$AF$36,0)*(1-AJ1229)+ROUNDDOWN(AM1229*方案参数!$AF$36,0)*AJ1229,0)</f>
        <v>687793</v>
      </c>
      <c r="AU1229" s="7">
        <f t="shared" si="1724"/>
        <v>2407276</v>
      </c>
      <c r="AV1229" s="1">
        <f t="shared" si="1725"/>
        <v>2</v>
      </c>
      <c r="AW1229" s="1">
        <f t="shared" si="1718"/>
        <v>10</v>
      </c>
      <c r="AX1229" s="1">
        <f t="shared" si="1726"/>
        <v>2</v>
      </c>
      <c r="AY1229" s="1">
        <f>MIN(20,MAX(0,O1229+0+1-0))</f>
        <v>9</v>
      </c>
      <c r="AZ1229" s="1">
        <f t="shared" si="1727"/>
        <v>5</v>
      </c>
      <c r="BA1229" s="1">
        <f t="shared" si="1709"/>
        <v>5</v>
      </c>
      <c r="BB1229" s="1">
        <f t="shared" si="1717"/>
        <v>20</v>
      </c>
      <c r="BC1229" s="1">
        <f t="shared" si="1715"/>
        <v>3</v>
      </c>
      <c r="BD1229" s="1">
        <f t="shared" si="1696"/>
        <v>0</v>
      </c>
      <c r="BE1229" s="1">
        <f>MAX(0,U1229-IF(AF1229&gt;0,1,0))+0</f>
        <v>0</v>
      </c>
      <c r="BF1229" s="1">
        <f t="shared" si="1719"/>
        <v>4</v>
      </c>
      <c r="BG1229" s="1">
        <f t="shared" si="1706"/>
        <v>1</v>
      </c>
      <c r="BH1229" s="1">
        <f t="shared" si="1690"/>
        <v>1</v>
      </c>
      <c r="BI1229" s="1">
        <f t="shared" si="1707"/>
        <v>1</v>
      </c>
      <c r="BJ1229" s="1">
        <f t="shared" si="1710"/>
        <v>1</v>
      </c>
      <c r="BK1229" s="1">
        <f t="shared" si="1711"/>
        <v>1</v>
      </c>
      <c r="BL1229" s="1">
        <f t="shared" si="1716"/>
        <v>1</v>
      </c>
      <c r="BM1229" s="1">
        <f t="shared" si="1714"/>
        <v>1</v>
      </c>
      <c r="BN1229" s="1">
        <f t="shared" si="1691"/>
        <v>1</v>
      </c>
      <c r="BO1229" s="1">
        <f t="shared" si="1692"/>
        <v>1</v>
      </c>
    </row>
    <row r="1230" spans="1:67" ht="30.95" customHeight="1">
      <c r="A1230" s="1">
        <f>34</f>
        <v>34</v>
      </c>
      <c r="B1230" s="1">
        <f>固定流程!A6</f>
        <v>1</v>
      </c>
      <c r="C1230" s="1">
        <f>37</f>
        <v>37</v>
      </c>
      <c r="D1230" s="1">
        <f>1</f>
        <v>1</v>
      </c>
      <c r="E1230" s="1">
        <f>固定流程!C6</f>
        <v>1</v>
      </c>
      <c r="F1230" s="1">
        <f>固定流程!G6</f>
        <v>3</v>
      </c>
      <c r="G1230" s="1" t="str">
        <f>固定流程!H6</f>
        <v>RHI_ULT</v>
      </c>
      <c r="H1230" s="1">
        <f>固定流程!F6</f>
        <v>1</v>
      </c>
      <c r="I1230" s="1">
        <f>INDEX(配置与结果!$B$15:$B$18,F1230)</f>
        <v>2597</v>
      </c>
      <c r="J1230" s="1">
        <f>INDEX(配置与结果!$D$15:$D$18,F1230)</f>
        <v>0.255</v>
      </c>
      <c r="K1230" s="1">
        <f>INDEX(配置与结果!$E$15:$E$18,F1230)</f>
        <v>1.55</v>
      </c>
      <c r="L1230" s="1">
        <f>0</f>
        <v>0</v>
      </c>
      <c r="M1230" s="1">
        <f>0</f>
        <v>0</v>
      </c>
      <c r="N1230" s="1">
        <f>0</f>
        <v>0</v>
      </c>
      <c r="O1230" s="1">
        <f>0</f>
        <v>0</v>
      </c>
      <c r="P1230" s="1">
        <f>MIN(方案参数!$AI$37,0+方案参数!$AJ$37+0)</f>
        <v>1</v>
      </c>
      <c r="Q1230" s="1">
        <f>0</f>
        <v>0</v>
      </c>
      <c r="R1230" s="1">
        <f>0</f>
        <v>0</v>
      </c>
      <c r="S1230" s="1">
        <f>0</f>
        <v>0</v>
      </c>
      <c r="T1230" s="1">
        <f>0+0</f>
        <v>0</v>
      </c>
      <c r="U1230" s="1">
        <f>0</f>
        <v>0</v>
      </c>
      <c r="V1230" s="1">
        <f>0</f>
        <v>0</v>
      </c>
      <c r="W1230" s="1">
        <f>0</f>
        <v>0</v>
      </c>
      <c r="X1230" s="1">
        <f>0</f>
        <v>0</v>
      </c>
      <c r="Y1230" s="1">
        <f>0</f>
        <v>0</v>
      </c>
      <c r="Z1230" s="1">
        <f>0</f>
        <v>0</v>
      </c>
      <c r="AA1230" s="1">
        <f>MAX(0,0)</f>
        <v>0</v>
      </c>
      <c r="AB1230" s="1">
        <f>0</f>
        <v>0</v>
      </c>
      <c r="AC1230" s="1">
        <f>MAX(0,0)</f>
        <v>0</v>
      </c>
      <c r="AD1230" s="1">
        <f>ROUNDDOWN(I1230*(1+IF(F1230=3,0.05+方案参数!$Y$37+AA1230*0.12,IF(F1230=4,方案参数!$BZ$37*方案参数!$AS$37,0)))+IF(AND(X1230=1,F1230&lt;&gt;3),方案参数!$CC$37,0)+AC1230*方案参数!$CB$37,0)</f>
        <v>2986</v>
      </c>
      <c r="AE1230" s="1">
        <f>IF(OR(F1230=1,F1230=4),配置与结果!$B$24,配置与结果!$B$25)*MAX(0,1-INDEX(配置与结果!$I$15:$I$18,F1230))</f>
        <v>1000</v>
      </c>
      <c r="AF1230" s="1">
        <f>0</f>
        <v>0</v>
      </c>
      <c r="AG1230" s="1">
        <f>MAX(配置与结果!$B$32,1+INDEX(配置与结果!$F$15:$F$18,F1230)+0+Q1230*方案参数!$W$37+Y1230*(方案参数!$AN$37+MIN(方案参数!$AO$37,P1230*0.03))+AB1230*方案参数!$BZ$37*0.025-配置与结果!$B$28)</f>
        <v>0.6349999999999999</v>
      </c>
      <c r="AH1230" s="1">
        <f>MAX(0,1+INDEX(配置与结果!$G$15:$G$18,F1230)+W1230*方案参数!$AG$37)</f>
        <v>1</v>
      </c>
      <c r="AI1230" s="1">
        <f>IF(OR(INDEX(配置与结果!$K$15:$K$18,F1230)=1,G1230="RHI_BERRY"),1+配置与结果!$B$33+P1230*方案参数!$AH$37,1)</f>
        <v>1</v>
      </c>
      <c r="AJ1230" s="1">
        <f>MIN(1,MAX(0,J1230+方案参数!$AB$37-配置与结果!$B$27))</f>
        <v>0.55499999999999994</v>
      </c>
      <c r="AK1230" s="1">
        <f>MAX(1,K1230+IF(F1230=2,0.15+方案参数!$CH$37,0)+BN1230*方案参数!$X$37+R1230*方案参数!$AA$37+0-配置与结果!$B$26+Z1230*(方案参数!$AP$37+MIN(方案参数!$AQ$37,P1230*0.03)))</f>
        <v>1.1499999999999999</v>
      </c>
      <c r="AL1230" s="7">
        <f>ROUNDDOWN(MAX(AD1230*配置与结果!$B$31,AD1230-AE1230)*AF1230*AG1230*AH1230*AI1230,0)</f>
        <v>0</v>
      </c>
      <c r="AM1230" s="7">
        <f>ROUNDDOWN(MAX(AD1230*配置与结果!$B$31,AD1230-AE1230)*AF1230*AG1230*AH1230*AI1230*AK1230,0)</f>
        <v>0</v>
      </c>
      <c r="AN1230" s="7">
        <f t="shared" si="1720"/>
        <v>0</v>
      </c>
      <c r="AO1230" s="7">
        <f>0</f>
        <v>0</v>
      </c>
      <c r="AP1230" s="7">
        <f>MAX(0,1+INDEX(配置与结果!$J$15:$J$18,F1230)+IF(T1230&gt;0,方案参数!$BY$37,0)-配置与结果!$B$30)</f>
        <v>1</v>
      </c>
      <c r="AQ1230" s="7">
        <f t="shared" si="1721"/>
        <v>0</v>
      </c>
      <c r="AR1230" s="7">
        <f t="shared" si="1722"/>
        <v>0</v>
      </c>
      <c r="AS1230" s="7">
        <f t="shared" si="1723"/>
        <v>0</v>
      </c>
      <c r="AT1230" s="7">
        <f>0</f>
        <v>0</v>
      </c>
      <c r="AU1230" s="7">
        <f t="shared" si="1724"/>
        <v>0</v>
      </c>
      <c r="AV1230" s="1">
        <f t="shared" si="1725"/>
        <v>0</v>
      </c>
      <c r="AW1230" s="1">
        <f t="shared" si="1718"/>
        <v>0</v>
      </c>
      <c r="AX1230" s="1">
        <f t="shared" si="1726"/>
        <v>0</v>
      </c>
      <c r="AY1230" s="1">
        <f>MIN(20,MAX(0,O1230+0+0-0))</f>
        <v>0</v>
      </c>
      <c r="AZ1230" s="1">
        <f t="shared" si="1727"/>
        <v>1</v>
      </c>
      <c r="BA1230" s="1">
        <f>MIN(6,Q1230+1)</f>
        <v>1</v>
      </c>
      <c r="BB1230" s="1">
        <f>MIN(30,R1230+5)</f>
        <v>5</v>
      </c>
      <c r="BC1230" s="1">
        <f t="shared" si="1715"/>
        <v>0</v>
      </c>
      <c r="BD1230" s="1">
        <f t="shared" si="1696"/>
        <v>0</v>
      </c>
      <c r="BE1230" s="1">
        <f>0</f>
        <v>0</v>
      </c>
      <c r="BF1230" s="1">
        <f t="shared" si="1719"/>
        <v>0</v>
      </c>
      <c r="BG1230" s="1">
        <f t="shared" si="1706"/>
        <v>0</v>
      </c>
      <c r="BH1230" s="1">
        <f>MAX(X1230,1)</f>
        <v>1</v>
      </c>
      <c r="BI1230" s="1">
        <f t="shared" si="1707"/>
        <v>0</v>
      </c>
      <c r="BJ1230" s="1">
        <f t="shared" si="1710"/>
        <v>0</v>
      </c>
      <c r="BK1230" s="1">
        <f t="shared" si="1711"/>
        <v>0</v>
      </c>
      <c r="BL1230" s="1">
        <f t="shared" si="1716"/>
        <v>0</v>
      </c>
      <c r="BM1230" s="1">
        <f t="shared" si="1714"/>
        <v>0</v>
      </c>
      <c r="BN1230" s="1">
        <f>0</f>
        <v>0</v>
      </c>
      <c r="BO1230" s="1">
        <f>MAX(BN1230,1)</f>
        <v>1</v>
      </c>
    </row>
    <row r="1231" spans="1:67" ht="30.95" customHeight="1">
      <c r="A1231" s="1">
        <f>34</f>
        <v>34</v>
      </c>
      <c r="B1231" s="1">
        <f>固定流程!A7</f>
        <v>2</v>
      </c>
      <c r="C1231" s="1">
        <f>37</f>
        <v>37</v>
      </c>
      <c r="D1231" s="1">
        <f>1</f>
        <v>1</v>
      </c>
      <c r="E1231" s="1">
        <f>固定流程!C7</f>
        <v>1</v>
      </c>
      <c r="F1231" s="1">
        <f>固定流程!G7</f>
        <v>3</v>
      </c>
      <c r="G1231" s="1" t="str">
        <f>固定流程!H7</f>
        <v>RHI_BUFF</v>
      </c>
      <c r="H1231" s="1">
        <f>固定流程!F7</f>
        <v>1</v>
      </c>
      <c r="I1231" s="1">
        <f>INDEX(配置与结果!$B$15:$B$18,F1231)</f>
        <v>2597</v>
      </c>
      <c r="J1231" s="1">
        <f>INDEX(配置与结果!$D$15:$D$18,F1231)</f>
        <v>0.255</v>
      </c>
      <c r="K1231" s="1">
        <f>INDEX(配置与结果!$E$15:$E$18,F1231)</f>
        <v>1.55</v>
      </c>
      <c r="L1231" s="1">
        <f t="shared" ref="L1231:O1236" si="1728">AV1230</f>
        <v>0</v>
      </c>
      <c r="M1231" s="1">
        <f t="shared" si="1728"/>
        <v>0</v>
      </c>
      <c r="N1231" s="1">
        <f t="shared" si="1728"/>
        <v>0</v>
      </c>
      <c r="O1231" s="1">
        <f t="shared" si="1728"/>
        <v>0</v>
      </c>
      <c r="P1231" s="1">
        <f>MIN(方案参数!$AI$37,AZ1230+0+方案参数!$AK$37)</f>
        <v>3</v>
      </c>
      <c r="Q1231" s="1">
        <f t="shared" ref="Q1231:Q1265" si="1729">BA1230</f>
        <v>1</v>
      </c>
      <c r="R1231" s="1">
        <f t="shared" ref="R1231:R1265" si="1730">BB1230</f>
        <v>5</v>
      </c>
      <c r="S1231" s="1">
        <f t="shared" ref="S1231:S1265" si="1731">BC1230</f>
        <v>0</v>
      </c>
      <c r="T1231" s="1">
        <f t="shared" ref="T1231:T1244" si="1732">BD1230+0</f>
        <v>0</v>
      </c>
      <c r="U1231" s="1">
        <f t="shared" ref="U1231:U1265" si="1733">BE1230</f>
        <v>0</v>
      </c>
      <c r="V1231" s="1">
        <f t="shared" ref="V1231:V1265" si="1734">BF1230</f>
        <v>0</v>
      </c>
      <c r="W1231" s="1">
        <f t="shared" ref="W1231:W1265" si="1735">BG1230</f>
        <v>0</v>
      </c>
      <c r="X1231" s="1">
        <f t="shared" ref="X1231:X1265" si="1736">BH1230</f>
        <v>1</v>
      </c>
      <c r="Y1231" s="1">
        <f t="shared" ref="Y1231:Y1265" si="1737">BI1230</f>
        <v>0</v>
      </c>
      <c r="Z1231" s="1">
        <f t="shared" ref="Z1231:Z1265" si="1738">BJ1230</f>
        <v>0</v>
      </c>
      <c r="AA1231" s="1">
        <f t="shared" ref="AA1231:AA1236" si="1739">MAX(BK1230,0)</f>
        <v>0</v>
      </c>
      <c r="AB1231" s="1">
        <f t="shared" ref="AB1231:AB1265" si="1740">BL1230</f>
        <v>0</v>
      </c>
      <c r="AC1231" s="1">
        <f t="shared" ref="AC1231:AC1244" si="1741">MAX(BM1230,0)</f>
        <v>0</v>
      </c>
      <c r="AD1231" s="1">
        <f>ROUNDDOWN(I1231*(1+IF(F1231=3,0.05+方案参数!$Y$37+AA1231*0.12,IF(F1231=4,方案参数!$BZ$37*方案参数!$AS$37,0)))+IF(AND(X1231=1,F1231&lt;&gt;3),方案参数!$CC$37,0)+AC1231*方案参数!$CB$37,0)</f>
        <v>2986</v>
      </c>
      <c r="AE1231" s="1">
        <f>IF(OR(F1231=1,F1231=4),配置与结果!$B$24,配置与结果!$B$25)*MAX(0,1-INDEX(配置与结果!$I$15:$I$18,F1231))</f>
        <v>1000</v>
      </c>
      <c r="AF1231" s="1">
        <f>0</f>
        <v>0</v>
      </c>
      <c r="AG1231" s="1">
        <f>MAX(配置与结果!$B$32,1+INDEX(配置与结果!$F$15:$F$18,F1231)+0+Q1231*方案参数!$W$37+Y1231*(方案参数!$AN$37+MIN(方案参数!$AO$37,P1231*0.03))+AB1231*方案参数!$BZ$37*0.025-配置与结果!$B$28)</f>
        <v>0.65499999999999992</v>
      </c>
      <c r="AH1231" s="1">
        <f>MAX(0,1+INDEX(配置与结果!$G$15:$G$18,F1231)+W1231*方案参数!$AG$37)</f>
        <v>1</v>
      </c>
      <c r="AI1231" s="1">
        <f>IF(OR(INDEX(配置与结果!$K$15:$K$18,F1231)=1,G1231="RHI_BERRY"),1+配置与结果!$B$33+P1231*方案参数!$AH$37,1)</f>
        <v>1</v>
      </c>
      <c r="AJ1231" s="1">
        <f>MIN(1,MAX(0,J1231+方案参数!$AB$37-配置与结果!$B$27))</f>
        <v>0.55499999999999994</v>
      </c>
      <c r="AK1231" s="1">
        <f>MAX(1,K1231+IF(F1231=2,0.15+方案参数!$CH$37,0)+BN1231*方案参数!$X$37+R1231*方案参数!$AA$37+0-配置与结果!$B$26+Z1231*(方案参数!$AP$37+MIN(方案参数!$AQ$37,P1231*0.03)))</f>
        <v>1.33</v>
      </c>
      <c r="AL1231" s="7">
        <f>ROUNDDOWN(MAX(AD1231*配置与结果!$B$31,AD1231-AE1231)*AF1231*AG1231*AH1231*AI1231,0)</f>
        <v>0</v>
      </c>
      <c r="AM1231" s="7">
        <f>ROUNDDOWN(MAX(AD1231*配置与结果!$B$31,AD1231-AE1231)*AF1231*AG1231*AH1231*AI1231*AK1231,0)</f>
        <v>0</v>
      </c>
      <c r="AN1231" s="7">
        <f t="shared" si="1720"/>
        <v>0</v>
      </c>
      <c r="AO1231" s="7">
        <f>0</f>
        <v>0</v>
      </c>
      <c r="AP1231" s="7">
        <f>MAX(0,1+INDEX(配置与结果!$J$15:$J$18,F1231)+IF(T1231&gt;0,方案参数!$BY$37,0)-配置与结果!$B$30)</f>
        <v>1</v>
      </c>
      <c r="AQ1231" s="7">
        <f t="shared" si="1721"/>
        <v>0</v>
      </c>
      <c r="AR1231" s="7">
        <f t="shared" si="1722"/>
        <v>0</v>
      </c>
      <c r="AS1231" s="7">
        <f t="shared" si="1723"/>
        <v>0</v>
      </c>
      <c r="AT1231" s="7">
        <f>0</f>
        <v>0</v>
      </c>
      <c r="AU1231" s="7">
        <f t="shared" si="1724"/>
        <v>0</v>
      </c>
      <c r="AV1231" s="1">
        <f t="shared" si="1725"/>
        <v>0</v>
      </c>
      <c r="AW1231" s="1">
        <f t="shared" si="1718"/>
        <v>0</v>
      </c>
      <c r="AX1231" s="1">
        <f t="shared" si="1726"/>
        <v>0</v>
      </c>
      <c r="AY1231" s="1">
        <f>MIN(20,MAX(0,O1231+0+0-0))</f>
        <v>0</v>
      </c>
      <c r="AZ1231" s="1">
        <f t="shared" si="1727"/>
        <v>3</v>
      </c>
      <c r="BA1231" s="1">
        <f>MIN(6,Q1231+1)</f>
        <v>2</v>
      </c>
      <c r="BB1231" s="1">
        <f t="shared" ref="BB1231:BB1244" si="1742">MIN(30,R1231+0)</f>
        <v>5</v>
      </c>
      <c r="BC1231" s="1">
        <f t="shared" si="1715"/>
        <v>0</v>
      </c>
      <c r="BD1231" s="1">
        <f t="shared" si="1696"/>
        <v>0</v>
      </c>
      <c r="BE1231" s="1">
        <f t="shared" ref="BE1231:BE1252" si="1743">BE1230</f>
        <v>0</v>
      </c>
      <c r="BF1231" s="1">
        <f t="shared" si="1719"/>
        <v>0</v>
      </c>
      <c r="BG1231" s="1">
        <f>MAX(W1231,1)</f>
        <v>1</v>
      </c>
      <c r="BH1231" s="1">
        <f t="shared" ref="BH1231:BH1265" si="1744">MAX(X1231,0)</f>
        <v>1</v>
      </c>
      <c r="BI1231" s="1">
        <f>MAX(Y1231,1)</f>
        <v>1</v>
      </c>
      <c r="BJ1231" s="1">
        <f t="shared" si="1710"/>
        <v>0</v>
      </c>
      <c r="BK1231" s="1">
        <f t="shared" si="1711"/>
        <v>0</v>
      </c>
      <c r="BL1231" s="1">
        <f t="shared" si="1716"/>
        <v>0</v>
      </c>
      <c r="BM1231" s="1">
        <f t="shared" si="1714"/>
        <v>0</v>
      </c>
      <c r="BN1231" s="1">
        <f t="shared" ref="BN1231:BN1265" si="1745">BO1230</f>
        <v>1</v>
      </c>
      <c r="BO1231" s="1">
        <f t="shared" ref="BO1231:BO1265" si="1746">MAX(BN1231,0)</f>
        <v>1</v>
      </c>
    </row>
    <row r="1232" spans="1:67" ht="30.95" customHeight="1">
      <c r="A1232" s="1">
        <f>34</f>
        <v>34</v>
      </c>
      <c r="B1232" s="1">
        <f>固定流程!A8</f>
        <v>3</v>
      </c>
      <c r="C1232" s="1">
        <f>37</f>
        <v>37</v>
      </c>
      <c r="D1232" s="1">
        <f>1</f>
        <v>1</v>
      </c>
      <c r="E1232" s="1">
        <f>固定流程!C8</f>
        <v>1</v>
      </c>
      <c r="F1232" s="1">
        <f>固定流程!G8</f>
        <v>1</v>
      </c>
      <c r="G1232" s="1" t="str">
        <f>固定流程!H8</f>
        <v>LILYA_COBRA</v>
      </c>
      <c r="H1232" s="1">
        <f>固定流程!F8</f>
        <v>1</v>
      </c>
      <c r="I1232" s="1">
        <f>INDEX(配置与结果!$B$15:$B$18,F1232)</f>
        <v>2296</v>
      </c>
      <c r="J1232" s="1">
        <f>INDEX(配置与结果!$D$15:$D$18,F1232)</f>
        <v>0.7</v>
      </c>
      <c r="K1232" s="1">
        <f>INDEX(配置与结果!$E$15:$E$18,F1232)</f>
        <v>2.0249999999999999</v>
      </c>
      <c r="L1232" s="1">
        <f t="shared" si="1728"/>
        <v>0</v>
      </c>
      <c r="M1232" s="1">
        <f t="shared" si="1728"/>
        <v>0</v>
      </c>
      <c r="N1232" s="1">
        <f t="shared" si="1728"/>
        <v>0</v>
      </c>
      <c r="O1232" s="1">
        <f t="shared" si="1728"/>
        <v>0</v>
      </c>
      <c r="P1232" s="1">
        <f>MIN(方案参数!$AI$37,AZ1231+0+0)</f>
        <v>3</v>
      </c>
      <c r="Q1232" s="1">
        <f t="shared" si="1729"/>
        <v>2</v>
      </c>
      <c r="R1232" s="1">
        <f t="shared" si="1730"/>
        <v>5</v>
      </c>
      <c r="S1232" s="1">
        <f t="shared" si="1731"/>
        <v>0</v>
      </c>
      <c r="T1232" s="1">
        <f t="shared" si="1732"/>
        <v>0</v>
      </c>
      <c r="U1232" s="1">
        <f t="shared" si="1733"/>
        <v>0</v>
      </c>
      <c r="V1232" s="1">
        <f t="shared" si="1734"/>
        <v>0</v>
      </c>
      <c r="W1232" s="1">
        <f t="shared" si="1735"/>
        <v>1</v>
      </c>
      <c r="X1232" s="1">
        <f t="shared" si="1736"/>
        <v>1</v>
      </c>
      <c r="Y1232" s="1">
        <f t="shared" si="1737"/>
        <v>1</v>
      </c>
      <c r="Z1232" s="1">
        <f t="shared" si="1738"/>
        <v>0</v>
      </c>
      <c r="AA1232" s="1">
        <f t="shared" si="1739"/>
        <v>0</v>
      </c>
      <c r="AB1232" s="1">
        <f t="shared" si="1740"/>
        <v>0</v>
      </c>
      <c r="AC1232" s="1">
        <f t="shared" si="1741"/>
        <v>0</v>
      </c>
      <c r="AD1232" s="1">
        <f>ROUNDDOWN(I1232*(1+IF(F1232=3,0.05+方案参数!$Y$37+AA1232*0.12,IF(F1232=4,方案参数!$BZ$37*方案参数!$AS$37,0)))+IF(AND(X1232=1,F1232&lt;&gt;3),方案参数!$CC$37,0)+AC1232*方案参数!$CB$37,0)</f>
        <v>2534</v>
      </c>
      <c r="AE1232" s="1">
        <f>IF(OR(F1232=1,F1232=4),配置与结果!$B$24,配置与结果!$B$25)*MAX(0,1-INDEX(配置与结果!$I$15:$I$18,F1232))</f>
        <v>1200</v>
      </c>
      <c r="AF1232" s="1">
        <f>0</f>
        <v>0</v>
      </c>
      <c r="AG1232" s="1">
        <f>MAX(配置与结果!$B$32,1+INDEX(配置与结果!$F$15:$F$18,F1232)+0.08+方案参数!$CD$37+Q1232*方案参数!$W$37+Y1232*(方案参数!$AN$37+MIN(方案参数!$AO$37,P1232*0.03))+AB1232*方案参数!$BZ$37*0.025-配置与结果!$B$28)</f>
        <v>1.2200000000000002</v>
      </c>
      <c r="AH1232" s="1">
        <f>MAX(0,1+INDEX(配置与结果!$G$15:$G$18,F1232)+W1232*方案参数!$AG$37)</f>
        <v>1.3</v>
      </c>
      <c r="AI1232" s="1">
        <f>IF(OR(INDEX(配置与结果!$K$15:$K$18,F1232)=1,G1232="RHI_BERRY"),1+配置与结果!$B$33+P1232*方案参数!$AH$37,1)</f>
        <v>1</v>
      </c>
      <c r="AJ1232" s="1">
        <f>MIN(1,MAX(0,J1232+方案参数!$AB$37-配置与结果!$B$27))</f>
        <v>1</v>
      </c>
      <c r="AK1232" s="1">
        <f>MAX(1,K1232+IF(F1232=2,0.15+方案参数!$CH$37,0)+BN1232*方案参数!$X$37+R1232*方案参数!$AA$37+0-配置与结果!$B$26+Z1232*(方案参数!$AP$37+MIN(方案参数!$AQ$37,P1232*0.03)))</f>
        <v>1.8050000000000002</v>
      </c>
      <c r="AL1232" s="7">
        <f>ROUNDDOWN(MAX(AD1232*配置与结果!$B$31,AD1232-AE1232)*AF1232*AG1232*AH1232*AI1232,0)</f>
        <v>0</v>
      </c>
      <c r="AM1232" s="7">
        <f>ROUNDDOWN(MAX(AD1232*配置与结果!$B$31,AD1232-AE1232)*AF1232*AG1232*AH1232*AI1232*AK1232,0)</f>
        <v>0</v>
      </c>
      <c r="AN1232" s="7">
        <f t="shared" si="1720"/>
        <v>0</v>
      </c>
      <c r="AO1232" s="7">
        <f>0</f>
        <v>0</v>
      </c>
      <c r="AP1232" s="7">
        <f>MAX(0,1+INDEX(配置与结果!$J$15:$J$18,F1232)+IF(T1232&gt;0,方案参数!$BY$37,0)-配置与结果!$B$30)</f>
        <v>1</v>
      </c>
      <c r="AQ1232" s="7">
        <f t="shared" si="1721"/>
        <v>0</v>
      </c>
      <c r="AR1232" s="7">
        <f t="shared" si="1722"/>
        <v>0</v>
      </c>
      <c r="AS1232" s="7">
        <f t="shared" si="1723"/>
        <v>0</v>
      </c>
      <c r="AT1232" s="7">
        <f>0</f>
        <v>0</v>
      </c>
      <c r="AU1232" s="7">
        <f t="shared" si="1724"/>
        <v>0</v>
      </c>
      <c r="AV1232" s="1">
        <f t="shared" si="1725"/>
        <v>1</v>
      </c>
      <c r="AW1232" s="1">
        <f>MIN(10,M1232+方案参数!$BD$37+0)</f>
        <v>3</v>
      </c>
      <c r="AX1232" s="1">
        <f t="shared" si="1726"/>
        <v>0</v>
      </c>
      <c r="AY1232" s="1">
        <f>MIN(20,MAX(0,O1232+6+0-0))</f>
        <v>6</v>
      </c>
      <c r="AZ1232" s="1">
        <f t="shared" si="1727"/>
        <v>3</v>
      </c>
      <c r="BA1232" s="1">
        <f>MIN(6,Q1232+0)</f>
        <v>2</v>
      </c>
      <c r="BB1232" s="1">
        <f t="shared" si="1742"/>
        <v>5</v>
      </c>
      <c r="BC1232" s="1">
        <f t="shared" si="1715"/>
        <v>0</v>
      </c>
      <c r="BD1232" s="1">
        <f t="shared" si="1696"/>
        <v>0</v>
      </c>
      <c r="BE1232" s="1">
        <f t="shared" si="1743"/>
        <v>0</v>
      </c>
      <c r="BF1232" s="1">
        <f t="shared" si="1719"/>
        <v>0</v>
      </c>
      <c r="BG1232" s="1">
        <f t="shared" ref="BG1232:BG1242" si="1747">MAX(W1232,0)</f>
        <v>1</v>
      </c>
      <c r="BH1232" s="1">
        <f t="shared" si="1744"/>
        <v>1</v>
      </c>
      <c r="BI1232" s="1">
        <f t="shared" ref="BI1232:BI1242" si="1748">MAX(Y1232,0)</f>
        <v>1</v>
      </c>
      <c r="BJ1232" s="1">
        <f t="shared" si="1710"/>
        <v>0</v>
      </c>
      <c r="BK1232" s="1">
        <f t="shared" si="1711"/>
        <v>0</v>
      </c>
      <c r="BL1232" s="1">
        <f t="shared" si="1716"/>
        <v>0</v>
      </c>
      <c r="BM1232" s="1">
        <f t="shared" si="1714"/>
        <v>0</v>
      </c>
      <c r="BN1232" s="1">
        <f t="shared" si="1745"/>
        <v>1</v>
      </c>
      <c r="BO1232" s="1">
        <f t="shared" si="1746"/>
        <v>1</v>
      </c>
    </row>
    <row r="1233" spans="1:67" ht="30.95" customHeight="1">
      <c r="A1233" s="1">
        <f>34</f>
        <v>34</v>
      </c>
      <c r="B1233" s="1">
        <f>固定流程!A9</f>
        <v>4</v>
      </c>
      <c r="C1233" s="1">
        <f>37</f>
        <v>37</v>
      </c>
      <c r="D1233" s="1">
        <f>1</f>
        <v>1</v>
      </c>
      <c r="E1233" s="1">
        <f>固定流程!C9</f>
        <v>1</v>
      </c>
      <c r="F1233" s="1">
        <f>固定流程!G9</f>
        <v>1</v>
      </c>
      <c r="G1233" s="1" t="str">
        <f>固定流程!H9</f>
        <v>LILYA_DIVE</v>
      </c>
      <c r="H1233" s="1">
        <f>固定流程!F9</f>
        <v>1</v>
      </c>
      <c r="I1233" s="1">
        <f>INDEX(配置与结果!$B$15:$B$18,F1233)</f>
        <v>2296</v>
      </c>
      <c r="J1233" s="1">
        <f>INDEX(配置与结果!$D$15:$D$18,F1233)</f>
        <v>0.7</v>
      </c>
      <c r="K1233" s="1">
        <f>INDEX(配置与结果!$E$15:$E$18,F1233)</f>
        <v>2.0249999999999999</v>
      </c>
      <c r="L1233" s="1">
        <f t="shared" si="1728"/>
        <v>1</v>
      </c>
      <c r="M1233" s="1">
        <f t="shared" si="1728"/>
        <v>3</v>
      </c>
      <c r="N1233" s="1">
        <f t="shared" si="1728"/>
        <v>0</v>
      </c>
      <c r="O1233" s="1">
        <f t="shared" si="1728"/>
        <v>6</v>
      </c>
      <c r="P1233" s="1">
        <f>MIN(方案参数!$AI$37,AZ1232+0+0)</f>
        <v>3</v>
      </c>
      <c r="Q1233" s="1">
        <f t="shared" si="1729"/>
        <v>2</v>
      </c>
      <c r="R1233" s="1">
        <f t="shared" si="1730"/>
        <v>5</v>
      </c>
      <c r="S1233" s="1">
        <f t="shared" si="1731"/>
        <v>0</v>
      </c>
      <c r="T1233" s="1">
        <f t="shared" si="1732"/>
        <v>0</v>
      </c>
      <c r="U1233" s="1">
        <f t="shared" si="1733"/>
        <v>0</v>
      </c>
      <c r="V1233" s="1">
        <f t="shared" si="1734"/>
        <v>0</v>
      </c>
      <c r="W1233" s="1">
        <f t="shared" si="1735"/>
        <v>1</v>
      </c>
      <c r="X1233" s="1">
        <f t="shared" si="1736"/>
        <v>1</v>
      </c>
      <c r="Y1233" s="1">
        <f t="shared" si="1737"/>
        <v>1</v>
      </c>
      <c r="Z1233" s="1">
        <f t="shared" si="1738"/>
        <v>0</v>
      </c>
      <c r="AA1233" s="1">
        <f t="shared" si="1739"/>
        <v>0</v>
      </c>
      <c r="AB1233" s="1">
        <f t="shared" si="1740"/>
        <v>0</v>
      </c>
      <c r="AC1233" s="1">
        <f t="shared" si="1741"/>
        <v>0</v>
      </c>
      <c r="AD1233" s="1">
        <f>ROUNDDOWN(I1233*(1+IF(F1233=3,0.05+方案参数!$Y$37+AA1233*0.12,IF(F1233=4,方案参数!$BZ$37*方案参数!$AS$37,0)))+IF(AND(X1233=1,F1233&lt;&gt;3),方案参数!$CC$37,0)+AC1233*方案参数!$CB$37,0)</f>
        <v>2534</v>
      </c>
      <c r="AE1233" s="1">
        <f>IF(OR(F1233=1,F1233=4),配置与结果!$B$24,配置与结果!$B$25)*MAX(0,1-INDEX(配置与结果!$I$15:$I$18,F1233))</f>
        <v>1200</v>
      </c>
      <c r="AF1233" s="1">
        <f>(IF(L1233=1,方案参数!$AW$37,IF(L1233=2,方案参数!$AX$37,0))+方案参数!$AV$37)*H1233</f>
        <v>6</v>
      </c>
      <c r="AG1233" s="1">
        <f>MAX(配置与结果!$B$32,1+INDEX(配置与结果!$F$15:$F$18,F1233)+0.08+方案参数!$CD$37+Q1233*方案参数!$W$37+Y1233*(方案参数!$AN$37+MIN(方案参数!$AO$37,P1233*0.03))+AB1233*方案参数!$BZ$37*0.025+IF(L1233=1,方案参数!$AY$37+(H1233-1)*0.1,IF(L1233=2,方案参数!$AZ$37+(H1233-1)*0.2,0))-配置与结果!$B$28)</f>
        <v>1.3200000000000003</v>
      </c>
      <c r="AH1233" s="1">
        <f>MAX(0,1+INDEX(配置与结果!$G$15:$G$18,F1233)+W1233*方案参数!$AG$37+IF(L1233=1,方案参数!$BA$37,IF(L1233=2,方案参数!$BB$37,0))+M1233*方案参数!$BC$37)</f>
        <v>2.08</v>
      </c>
      <c r="AI1233" s="1">
        <f>IF(OR(INDEX(配置与结果!$K$15:$K$18,F1233)=1,G1233="RHI_BERRY"),1+配置与结果!$B$33+P1233*方案参数!$AH$37,1)</f>
        <v>1</v>
      </c>
      <c r="AJ1233" s="1">
        <f>MIN(1,MAX(0,J1233+方案参数!$AB$37-配置与结果!$B$27))</f>
        <v>1</v>
      </c>
      <c r="AK1233" s="1">
        <f>MAX(1,K1233+IF(F1233=2,0.15+方案参数!$CH$37,0)+BN1233*方案参数!$X$37+R1233*方案参数!$AA$37+0-配置与结果!$B$26+Z1233*(方案参数!$AP$37+MIN(方案参数!$AQ$37,P1233*0.03)))</f>
        <v>1.8050000000000002</v>
      </c>
      <c r="AL1233" s="7">
        <f>ROUNDDOWN(MAX(AD1233*配置与结果!$B$31,AD1233-AE1233)*AF1233*AG1233*AH1233*AI1233,0)</f>
        <v>21975</v>
      </c>
      <c r="AM1233" s="7">
        <f>ROUNDDOWN(MAX(AD1233*配置与结果!$B$31,AD1233-AE1233)*AF1233*AG1233*AH1233*AI1233*AK1233,0)</f>
        <v>39666</v>
      </c>
      <c r="AN1233" s="7">
        <f t="shared" si="1720"/>
        <v>39666</v>
      </c>
      <c r="AO1233" s="7">
        <f>0</f>
        <v>0</v>
      </c>
      <c r="AP1233" s="7">
        <f>MAX(0,1+INDEX(配置与结果!$J$15:$J$18,F1233)+IF(T1233&gt;0,方案参数!$BY$37,0)-配置与结果!$B$30)</f>
        <v>1</v>
      </c>
      <c r="AQ1233" s="7">
        <f t="shared" si="1721"/>
        <v>0</v>
      </c>
      <c r="AR1233" s="7">
        <f t="shared" si="1722"/>
        <v>0</v>
      </c>
      <c r="AS1233" s="7">
        <f t="shared" si="1723"/>
        <v>0</v>
      </c>
      <c r="AT1233" s="7">
        <f>0</f>
        <v>0</v>
      </c>
      <c r="AU1233" s="7">
        <f t="shared" si="1724"/>
        <v>39666</v>
      </c>
      <c r="AV1233" s="1">
        <f t="shared" si="1725"/>
        <v>1</v>
      </c>
      <c r="AW1233" s="1">
        <f>MIN(10,M1233+0+IF(L1233=1,方案参数!$BE$37,0))</f>
        <v>4</v>
      </c>
      <c r="AX1233" s="1">
        <f t="shared" si="1726"/>
        <v>0</v>
      </c>
      <c r="AY1233" s="1">
        <f t="shared" ref="AY1233:AY1248" si="1749">MIN(20,MAX(0,O1233+0+0-0))</f>
        <v>6</v>
      </c>
      <c r="AZ1233" s="1">
        <f t="shared" si="1727"/>
        <v>3</v>
      </c>
      <c r="BA1233" s="1">
        <f>MIN(6,Q1233+0)</f>
        <v>2</v>
      </c>
      <c r="BB1233" s="1">
        <f t="shared" si="1742"/>
        <v>5</v>
      </c>
      <c r="BC1233" s="1">
        <f t="shared" si="1715"/>
        <v>0</v>
      </c>
      <c r="BD1233" s="1">
        <f t="shared" si="1696"/>
        <v>0</v>
      </c>
      <c r="BE1233" s="1">
        <f t="shared" si="1743"/>
        <v>0</v>
      </c>
      <c r="BF1233" s="1">
        <f t="shared" si="1719"/>
        <v>0</v>
      </c>
      <c r="BG1233" s="1">
        <f t="shared" si="1747"/>
        <v>1</v>
      </c>
      <c r="BH1233" s="1">
        <f t="shared" si="1744"/>
        <v>1</v>
      </c>
      <c r="BI1233" s="1">
        <f t="shared" si="1748"/>
        <v>1</v>
      </c>
      <c r="BJ1233" s="1">
        <f t="shared" si="1710"/>
        <v>0</v>
      </c>
      <c r="BK1233" s="1">
        <f t="shared" si="1711"/>
        <v>0</v>
      </c>
      <c r="BL1233" s="1">
        <f t="shared" si="1716"/>
        <v>0</v>
      </c>
      <c r="BM1233" s="1">
        <f t="shared" si="1714"/>
        <v>0</v>
      </c>
      <c r="BN1233" s="1">
        <f t="shared" si="1745"/>
        <v>1</v>
      </c>
      <c r="BO1233" s="1">
        <f t="shared" si="1746"/>
        <v>1</v>
      </c>
    </row>
    <row r="1234" spans="1:67" ht="30.95" customHeight="1">
      <c r="A1234" s="1">
        <f>34</f>
        <v>34</v>
      </c>
      <c r="B1234" s="1">
        <f>固定流程!A10</f>
        <v>5</v>
      </c>
      <c r="C1234" s="1">
        <f>37</f>
        <v>37</v>
      </c>
      <c r="D1234" s="1">
        <f>1</f>
        <v>1</v>
      </c>
      <c r="E1234" s="1">
        <f>固定流程!C10</f>
        <v>1</v>
      </c>
      <c r="F1234" s="1">
        <f>固定流程!G10</f>
        <v>2</v>
      </c>
      <c r="G1234" s="1" t="str">
        <f>固定流程!H10</f>
        <v>37_TRIANGLE</v>
      </c>
      <c r="H1234" s="1">
        <f>固定流程!F10</f>
        <v>1</v>
      </c>
      <c r="I1234" s="1">
        <f>INDEX(配置与结果!$B$15:$B$18,F1234)</f>
        <v>2306</v>
      </c>
      <c r="J1234" s="1">
        <f>INDEX(配置与结果!$D$15:$D$18,F1234)</f>
        <v>0.46</v>
      </c>
      <c r="K1234" s="1">
        <f>INDEX(配置与结果!$E$15:$E$18,F1234)</f>
        <v>1.9279999999999999</v>
      </c>
      <c r="L1234" s="1">
        <f t="shared" si="1728"/>
        <v>1</v>
      </c>
      <c r="M1234" s="1">
        <f t="shared" si="1728"/>
        <v>4</v>
      </c>
      <c r="N1234" s="1">
        <f t="shared" si="1728"/>
        <v>0</v>
      </c>
      <c r="O1234" s="1">
        <f t="shared" si="1728"/>
        <v>6</v>
      </c>
      <c r="P1234" s="1">
        <f>MIN(方案参数!$AI$37,AZ1233+0+0)</f>
        <v>3</v>
      </c>
      <c r="Q1234" s="1">
        <f t="shared" si="1729"/>
        <v>2</v>
      </c>
      <c r="R1234" s="1">
        <f t="shared" si="1730"/>
        <v>5</v>
      </c>
      <c r="S1234" s="1">
        <f t="shared" si="1731"/>
        <v>0</v>
      </c>
      <c r="T1234" s="1">
        <f t="shared" si="1732"/>
        <v>0</v>
      </c>
      <c r="U1234" s="1">
        <f t="shared" si="1733"/>
        <v>0</v>
      </c>
      <c r="V1234" s="1">
        <f t="shared" si="1734"/>
        <v>0</v>
      </c>
      <c r="W1234" s="1">
        <f t="shared" si="1735"/>
        <v>1</v>
      </c>
      <c r="X1234" s="1">
        <f t="shared" si="1736"/>
        <v>1</v>
      </c>
      <c r="Y1234" s="1">
        <f t="shared" si="1737"/>
        <v>1</v>
      </c>
      <c r="Z1234" s="1">
        <f t="shared" si="1738"/>
        <v>0</v>
      </c>
      <c r="AA1234" s="1">
        <f t="shared" si="1739"/>
        <v>0</v>
      </c>
      <c r="AB1234" s="1">
        <f t="shared" si="1740"/>
        <v>0</v>
      </c>
      <c r="AC1234" s="1">
        <f t="shared" si="1741"/>
        <v>0</v>
      </c>
      <c r="AD1234" s="1">
        <f>ROUNDDOWN(I1234*(1+IF(F1234=3,0.05+方案参数!$Y$37+AA1234*0.12,IF(F1234=4,方案参数!$BZ$37*方案参数!$AS$37,0)))+IF(AND(X1234=1,F1234&lt;&gt;3),方案参数!$CC$37,0)+AC1234*方案参数!$CB$37,0)</f>
        <v>2544</v>
      </c>
      <c r="AE1234" s="1">
        <f>IF(OR(F1234=1,F1234=4),配置与结果!$B$24,配置与结果!$B$25)*MAX(0,1-INDEX(配置与结果!$I$15:$I$18,F1234))</f>
        <v>1000</v>
      </c>
      <c r="AF1234" s="1">
        <f>方案参数!$BS$37*IF(H1234=1,1,IF(H1234=2,1.5,2.5))</f>
        <v>2.8</v>
      </c>
      <c r="AG1234" s="1">
        <f>MAX(配置与结果!$B$32,1+INDEX(配置与结果!$F$15:$F$18,F1234)+0+Q1234*方案参数!$W$37+Y1234*(方案参数!$AN$37+MIN(方案参数!$AO$37,P1234*0.03))+AB1234*方案参数!$BZ$37*0.025-配置与结果!$B$28)</f>
        <v>0.8849999999999999</v>
      </c>
      <c r="AH1234" s="1">
        <f>MAX(0,1+INDEX(配置与结果!$G$15:$G$18,F1234)+W1234*方案参数!$AG$37)</f>
        <v>1.3</v>
      </c>
      <c r="AI1234" s="1">
        <f>IF(OR(INDEX(配置与结果!$K$15:$K$18,F1234)=1,G1234="RHI_BERRY"),1+配置与结果!$B$33+P1234*方案参数!$AH$37,1)</f>
        <v>1</v>
      </c>
      <c r="AJ1234" s="1">
        <f>MIN(1,MAX(0,J1234+方案参数!$AB$37-配置与结果!$B$27))</f>
        <v>0.76</v>
      </c>
      <c r="AK1234" s="1">
        <f>MAX(1,K1234+IF(F1234=2,0.15+方案参数!$CH$37,0)+BN1234*方案参数!$X$37+R1234*方案参数!$AA$37+0-配置与结果!$B$26+Z1234*(方案参数!$AP$37+MIN(方案参数!$AQ$37,P1234*0.03)))</f>
        <v>2.0680000000000001</v>
      </c>
      <c r="AL1234" s="7">
        <f>ROUNDDOWN(MAX(AD1234*配置与结果!$B$31,AD1234-AE1234)*AF1234*AG1234*AH1234*AI1234,0)</f>
        <v>4973</v>
      </c>
      <c r="AM1234" s="7">
        <f>ROUNDDOWN(MAX(AD1234*配置与结果!$B$31,AD1234-AE1234)*AF1234*AG1234*AH1234*AI1234*AK1234,0)</f>
        <v>10285</v>
      </c>
      <c r="AN1234" s="7">
        <f t="shared" si="1720"/>
        <v>9010.1200000000008</v>
      </c>
      <c r="AO1234" s="7">
        <f>方案参数!$BU$37*IF(H1234=1,1,IF(H1234=2,1.5,2.5))</f>
        <v>0.8</v>
      </c>
      <c r="AP1234" s="7">
        <f>MAX(0,1+INDEX(配置与结果!$J$15:$J$18,F1234)+IF(T1234&gt;0,方案参数!$BY$37,0)-配置与结果!$B$30)</f>
        <v>1</v>
      </c>
      <c r="AQ1234" s="7">
        <f t="shared" si="1721"/>
        <v>2035</v>
      </c>
      <c r="AR1234" s="7">
        <f t="shared" si="1722"/>
        <v>4208</v>
      </c>
      <c r="AS1234" s="7">
        <f t="shared" si="1723"/>
        <v>3686.48</v>
      </c>
      <c r="AT1234" s="7">
        <f>0</f>
        <v>0</v>
      </c>
      <c r="AU1234" s="7">
        <f t="shared" si="1724"/>
        <v>12696.6</v>
      </c>
      <c r="AV1234" s="1">
        <f t="shared" si="1725"/>
        <v>1</v>
      </c>
      <c r="AW1234" s="1">
        <f>MIN(10,M1234+0+0)</f>
        <v>4</v>
      </c>
      <c r="AX1234" s="1">
        <f t="shared" si="1726"/>
        <v>0</v>
      </c>
      <c r="AY1234" s="1">
        <f t="shared" si="1749"/>
        <v>6</v>
      </c>
      <c r="AZ1234" s="1">
        <f t="shared" si="1727"/>
        <v>3</v>
      </c>
      <c r="BA1234" s="1">
        <f>MIN(6,Q1234+0)</f>
        <v>2</v>
      </c>
      <c r="BB1234" s="1">
        <f t="shared" si="1742"/>
        <v>5</v>
      </c>
      <c r="BC1234" s="1">
        <f t="shared" si="1715"/>
        <v>0</v>
      </c>
      <c r="BD1234" s="1">
        <f>MAX(0,T1234-IF(AO1234&gt;0,1,0))+1</f>
        <v>1</v>
      </c>
      <c r="BE1234" s="1">
        <f t="shared" si="1743"/>
        <v>0</v>
      </c>
      <c r="BF1234" s="1">
        <f t="shared" si="1719"/>
        <v>0</v>
      </c>
      <c r="BG1234" s="1">
        <f t="shared" si="1747"/>
        <v>1</v>
      </c>
      <c r="BH1234" s="1">
        <f t="shared" si="1744"/>
        <v>1</v>
      </c>
      <c r="BI1234" s="1">
        <f t="shared" si="1748"/>
        <v>1</v>
      </c>
      <c r="BJ1234" s="1">
        <f t="shared" si="1710"/>
        <v>0</v>
      </c>
      <c r="BK1234" s="1">
        <f t="shared" si="1711"/>
        <v>0</v>
      </c>
      <c r="BL1234" s="1">
        <f t="shared" si="1716"/>
        <v>0</v>
      </c>
      <c r="BM1234" s="1">
        <f t="shared" si="1714"/>
        <v>0</v>
      </c>
      <c r="BN1234" s="1">
        <f t="shared" si="1745"/>
        <v>1</v>
      </c>
      <c r="BO1234" s="1">
        <f t="shared" si="1746"/>
        <v>1</v>
      </c>
    </row>
    <row r="1235" spans="1:67" ht="30.95" customHeight="1">
      <c r="A1235" s="1">
        <f>34</f>
        <v>34</v>
      </c>
      <c r="B1235" s="1">
        <f>固定流程!A11</f>
        <v>6</v>
      </c>
      <c r="C1235" s="1">
        <f>37</f>
        <v>37</v>
      </c>
      <c r="D1235" s="1">
        <f>1</f>
        <v>1</v>
      </c>
      <c r="E1235" s="1">
        <f>固定流程!C11</f>
        <v>1</v>
      </c>
      <c r="F1235" s="1">
        <f>固定流程!G11</f>
        <v>2</v>
      </c>
      <c r="G1235" s="1" t="str">
        <f>固定流程!H11</f>
        <v>37_FOLLOW</v>
      </c>
      <c r="H1235" s="1">
        <f>固定流程!F11</f>
        <v>1</v>
      </c>
      <c r="I1235" s="1">
        <f>INDEX(配置与结果!$B$15:$B$18,F1235)</f>
        <v>2306</v>
      </c>
      <c r="J1235" s="1">
        <f>INDEX(配置与结果!$D$15:$D$18,F1235)</f>
        <v>0.46</v>
      </c>
      <c r="K1235" s="1">
        <f>INDEX(配置与结果!$E$15:$E$18,F1235)</f>
        <v>1.9279999999999999</v>
      </c>
      <c r="L1235" s="1">
        <f t="shared" si="1728"/>
        <v>1</v>
      </c>
      <c r="M1235" s="1">
        <f t="shared" si="1728"/>
        <v>4</v>
      </c>
      <c r="N1235" s="1">
        <f t="shared" si="1728"/>
        <v>0</v>
      </c>
      <c r="O1235" s="1">
        <f t="shared" si="1728"/>
        <v>6</v>
      </c>
      <c r="P1235" s="1">
        <f>MIN(方案参数!$AI$37,AZ1234+0+0)</f>
        <v>3</v>
      </c>
      <c r="Q1235" s="1">
        <f t="shared" si="1729"/>
        <v>2</v>
      </c>
      <c r="R1235" s="1">
        <f t="shared" si="1730"/>
        <v>5</v>
      </c>
      <c r="S1235" s="1">
        <f t="shared" si="1731"/>
        <v>0</v>
      </c>
      <c r="T1235" s="1">
        <f t="shared" si="1732"/>
        <v>1</v>
      </c>
      <c r="U1235" s="1">
        <f t="shared" si="1733"/>
        <v>0</v>
      </c>
      <c r="V1235" s="1">
        <f t="shared" si="1734"/>
        <v>0</v>
      </c>
      <c r="W1235" s="1">
        <f t="shared" si="1735"/>
        <v>1</v>
      </c>
      <c r="X1235" s="1">
        <f t="shared" si="1736"/>
        <v>1</v>
      </c>
      <c r="Y1235" s="1">
        <f t="shared" si="1737"/>
        <v>1</v>
      </c>
      <c r="Z1235" s="1">
        <f t="shared" si="1738"/>
        <v>0</v>
      </c>
      <c r="AA1235" s="1">
        <f t="shared" si="1739"/>
        <v>0</v>
      </c>
      <c r="AB1235" s="1">
        <f t="shared" si="1740"/>
        <v>0</v>
      </c>
      <c r="AC1235" s="1">
        <f t="shared" si="1741"/>
        <v>0</v>
      </c>
      <c r="AD1235" s="1">
        <f>ROUNDDOWN(I1235*(1+IF(F1235=3,0.05+方案参数!$Y$37+AA1235*0.12,IF(F1235=4,方案参数!$BZ$37*方案参数!$AS$37,0)))+IF(AND(X1235=1,F1235&lt;&gt;3),方案参数!$CC$37,0)+AC1235*方案参数!$CB$37,0)</f>
        <v>2544</v>
      </c>
      <c r="AE1235" s="1">
        <f>IF(OR(F1235=1,F1235=4),配置与结果!$B$24,配置与结果!$B$25)*MAX(0,1-INDEX(配置与结果!$I$15:$I$18,F1235))</f>
        <v>1000</v>
      </c>
      <c r="AF1235" s="1">
        <f>方案参数!$BV$37</f>
        <v>3</v>
      </c>
      <c r="AG1235" s="1">
        <f>MAX(配置与结果!$B$32,1+INDEX(配置与结果!$F$15:$F$18,F1235)+0+Q1235*方案参数!$W$37+Y1235*(方案参数!$AN$37+MIN(方案参数!$AO$37,P1235*0.03))+AB1235*方案参数!$BZ$37*0.025-配置与结果!$B$28)</f>
        <v>0.8849999999999999</v>
      </c>
      <c r="AH1235" s="1">
        <f>MAX(0,1+INDEX(配置与结果!$G$15:$G$18,F1235)+W1235*方案参数!$AG$37)</f>
        <v>1.3</v>
      </c>
      <c r="AI1235" s="1">
        <f>IF(OR(INDEX(配置与结果!$K$15:$K$18,F1235)=1,G1235="RHI_BERRY"),1+配置与结果!$B$33+P1235*方案参数!$AH$37,1)</f>
        <v>1</v>
      </c>
      <c r="AJ1235" s="1">
        <f>MIN(1,MAX(0,J1235+方案参数!$AB$37-配置与结果!$B$27))</f>
        <v>0.76</v>
      </c>
      <c r="AK1235" s="1">
        <f>MAX(1,K1235+IF(F1235=2,0.15+方案参数!$CH$37,0)+BN1235*方案参数!$X$37+R1235*方案参数!$AA$37+0-配置与结果!$B$26+Z1235*(方案参数!$AP$37+MIN(方案参数!$AQ$37,P1235*0.03)))</f>
        <v>2.0680000000000001</v>
      </c>
      <c r="AL1235" s="7">
        <f>ROUNDDOWN(MAX(AD1235*配置与结果!$B$31,AD1235-AE1235)*AF1235*AG1235*AH1235*AI1235,0)</f>
        <v>5329</v>
      </c>
      <c r="AM1235" s="7">
        <f>ROUNDDOWN(MAX(AD1235*配置与结果!$B$31,AD1235-AE1235)*AF1235*AG1235*AH1235*AI1235*AK1235,0)</f>
        <v>11020</v>
      </c>
      <c r="AN1235" s="7">
        <f t="shared" si="1720"/>
        <v>9654.16</v>
      </c>
      <c r="AO1235" s="7">
        <f>方案参数!$BW$37</f>
        <v>1</v>
      </c>
      <c r="AP1235" s="7">
        <f>MAX(0,1+INDEX(配置与结果!$J$15:$J$18,F1235)+IF(T1235&gt;0,方案参数!$BY$37,0)-配置与结果!$B$30)</f>
        <v>2</v>
      </c>
      <c r="AQ1235" s="7">
        <f t="shared" si="1721"/>
        <v>5088</v>
      </c>
      <c r="AR1235" s="7">
        <f t="shared" si="1722"/>
        <v>10521</v>
      </c>
      <c r="AS1235" s="7">
        <f t="shared" si="1723"/>
        <v>9217.08</v>
      </c>
      <c r="AT1235" s="7">
        <f>0</f>
        <v>0</v>
      </c>
      <c r="AU1235" s="7">
        <f t="shared" si="1724"/>
        <v>18871.239999999998</v>
      </c>
      <c r="AV1235" s="1">
        <f t="shared" si="1725"/>
        <v>1</v>
      </c>
      <c r="AW1235" s="1">
        <f>MIN(10,M1235+0+0)</f>
        <v>4</v>
      </c>
      <c r="AX1235" s="1">
        <f t="shared" si="1726"/>
        <v>0</v>
      </c>
      <c r="AY1235" s="1">
        <f t="shared" si="1749"/>
        <v>6</v>
      </c>
      <c r="AZ1235" s="1">
        <f t="shared" si="1727"/>
        <v>3</v>
      </c>
      <c r="BA1235" s="1">
        <f>MIN(6,Q1235+0)</f>
        <v>2</v>
      </c>
      <c r="BB1235" s="1">
        <f t="shared" si="1742"/>
        <v>5</v>
      </c>
      <c r="BC1235" s="1">
        <f t="shared" si="1715"/>
        <v>0</v>
      </c>
      <c r="BD1235" s="1">
        <f t="shared" ref="BD1235:BD1269" si="1750">MAX(0,T1235-IF(AO1235&gt;0,1,0))+0</f>
        <v>0</v>
      </c>
      <c r="BE1235" s="1">
        <f t="shared" si="1743"/>
        <v>0</v>
      </c>
      <c r="BF1235" s="1">
        <f>MIN(4,V1235+1)</f>
        <v>1</v>
      </c>
      <c r="BG1235" s="1">
        <f t="shared" si="1747"/>
        <v>1</v>
      </c>
      <c r="BH1235" s="1">
        <f t="shared" si="1744"/>
        <v>1</v>
      </c>
      <c r="BI1235" s="1">
        <f t="shared" si="1748"/>
        <v>1</v>
      </c>
      <c r="BJ1235" s="1">
        <f t="shared" si="1710"/>
        <v>0</v>
      </c>
      <c r="BK1235" s="1">
        <f t="shared" si="1711"/>
        <v>0</v>
      </c>
      <c r="BL1235" s="1">
        <f t="shared" si="1716"/>
        <v>0</v>
      </c>
      <c r="BM1235" s="1">
        <f t="shared" si="1714"/>
        <v>0</v>
      </c>
      <c r="BN1235" s="1">
        <f t="shared" si="1745"/>
        <v>1</v>
      </c>
      <c r="BO1235" s="1">
        <f t="shared" si="1746"/>
        <v>1</v>
      </c>
    </row>
    <row r="1236" spans="1:67" ht="30.95" customHeight="1">
      <c r="A1236" s="1">
        <f>34</f>
        <v>34</v>
      </c>
      <c r="B1236" s="1">
        <f>固定流程!A12</f>
        <v>7</v>
      </c>
      <c r="C1236" s="1">
        <f>37</f>
        <v>37</v>
      </c>
      <c r="D1236" s="1">
        <f>1</f>
        <v>1</v>
      </c>
      <c r="E1236" s="1">
        <f>固定流程!C12</f>
        <v>1</v>
      </c>
      <c r="F1236" s="1">
        <f>固定流程!G12</f>
        <v>4</v>
      </c>
      <c r="G1236" s="1" t="str">
        <f>固定流程!H12</f>
        <v>J_HARD</v>
      </c>
      <c r="H1236" s="1">
        <f>固定流程!F12</f>
        <v>1</v>
      </c>
      <c r="I1236" s="1">
        <f>INDEX(配置与结果!$B$15:$B$18,F1236)</f>
        <v>1906</v>
      </c>
      <c r="J1236" s="1">
        <f>INDEX(配置与结果!$D$15:$D$18,F1236)</f>
        <v>0.36699999999999999</v>
      </c>
      <c r="K1236" s="1">
        <f>INDEX(配置与结果!$E$15:$E$18,F1236)</f>
        <v>1.7170000000000001</v>
      </c>
      <c r="L1236" s="1">
        <f t="shared" si="1728"/>
        <v>1</v>
      </c>
      <c r="M1236" s="1">
        <f t="shared" si="1728"/>
        <v>4</v>
      </c>
      <c r="N1236" s="1">
        <f t="shared" si="1728"/>
        <v>0</v>
      </c>
      <c r="O1236" s="1">
        <f t="shared" si="1728"/>
        <v>6</v>
      </c>
      <c r="P1236" s="1">
        <f>MIN(方案参数!$AI$37,AZ1235+0+0)</f>
        <v>3</v>
      </c>
      <c r="Q1236" s="1">
        <f t="shared" si="1729"/>
        <v>2</v>
      </c>
      <c r="R1236" s="1">
        <f t="shared" si="1730"/>
        <v>5</v>
      </c>
      <c r="S1236" s="1">
        <f t="shared" si="1731"/>
        <v>0</v>
      </c>
      <c r="T1236" s="1">
        <f t="shared" si="1732"/>
        <v>0</v>
      </c>
      <c r="U1236" s="1">
        <f t="shared" si="1733"/>
        <v>0</v>
      </c>
      <c r="V1236" s="1">
        <f t="shared" si="1734"/>
        <v>1</v>
      </c>
      <c r="W1236" s="1">
        <f t="shared" si="1735"/>
        <v>1</v>
      </c>
      <c r="X1236" s="1">
        <f t="shared" si="1736"/>
        <v>1</v>
      </c>
      <c r="Y1236" s="1">
        <f t="shared" si="1737"/>
        <v>1</v>
      </c>
      <c r="Z1236" s="1">
        <f t="shared" si="1738"/>
        <v>0</v>
      </c>
      <c r="AA1236" s="1">
        <f t="shared" si="1739"/>
        <v>0</v>
      </c>
      <c r="AB1236" s="1">
        <f t="shared" si="1740"/>
        <v>0</v>
      </c>
      <c r="AC1236" s="1">
        <f t="shared" si="1741"/>
        <v>0</v>
      </c>
      <c r="AD1236" s="1">
        <f>ROUNDDOWN(I1236*(1+IF(F1236=3,0.05+方案参数!$Y$37+AA1236*0.12,IF(F1236=4,方案参数!$BZ$37*方案参数!$AS$37,0)))+IF(AND(X1236=1,F1236&lt;&gt;3),方案参数!$CC$37,0)+AC1236*方案参数!$CB$37,0)</f>
        <v>2811</v>
      </c>
      <c r="AE1236" s="1">
        <f>IF(OR(F1236=1,F1236=4),配置与结果!$B$24,配置与结果!$B$25)*MAX(0,1-INDEX(配置与结果!$I$15:$I$18,F1236))</f>
        <v>1200</v>
      </c>
      <c r="AF1236" s="1">
        <f>3.6*IF(H1236=1,1,IF(H1236=2,1.5,2.5))</f>
        <v>3.6</v>
      </c>
      <c r="AG1236" s="1">
        <f>MAX(配置与结果!$B$32,1+INDEX(配置与结果!$F$15:$F$18,F1236)+0.08+Q1236*方案参数!$W$37+Y1236*(方案参数!$AN$37+MIN(方案参数!$AO$37,P1236*0.03))+AB1236*方案参数!$BZ$37*0.025+0.1+IF(方案参数!$BZ$37&gt;=30,方案参数!$BZ$37*0.01,0)-配置与结果!$B$28)</f>
        <v>1.4350000000000001</v>
      </c>
      <c r="AH1236" s="1">
        <f>MAX(0,1+INDEX(配置与结果!$G$15:$G$18,F1236)+W1236*方案参数!$AG$37)</f>
        <v>1.3</v>
      </c>
      <c r="AI1236" s="1">
        <f>IF(OR(INDEX(配置与结果!$K$15:$K$18,F1236)=1,G1236="RHI_BERRY"),1+配置与结果!$B$33+P1236*方案参数!$AH$37,1)</f>
        <v>1</v>
      </c>
      <c r="AJ1236" s="1">
        <f>MIN(1,MAX(0,J1236+方案参数!$AB$37-配置与结果!$B$27))</f>
        <v>0.66700000000000004</v>
      </c>
      <c r="AK1236" s="1">
        <f>MAX(1,K1236+IF(F1236=2,0.15+方案参数!$CH$37,0)+BN1236*方案参数!$X$37+R1236*方案参数!$AA$37+0-配置与结果!$B$26+Z1236*(方案参数!$AP$37+MIN(方案参数!$AQ$37,P1236*0.03)))</f>
        <v>1.4969999999999999</v>
      </c>
      <c r="AL1236" s="7">
        <f>ROUNDDOWN(MAX(AD1236*配置与结果!$B$31,AD1236-AE1236)*AF1236*AG1236*AH1236*AI1236,0)</f>
        <v>10819</v>
      </c>
      <c r="AM1236" s="7">
        <f>ROUNDDOWN(MAX(AD1236*配置与结果!$B$31,AD1236-AE1236)*AF1236*AG1236*AH1236*AI1236*AK1236,0)</f>
        <v>16196</v>
      </c>
      <c r="AN1236" s="7">
        <f t="shared" si="1720"/>
        <v>14405.458999999999</v>
      </c>
      <c r="AO1236" s="7">
        <f>0</f>
        <v>0</v>
      </c>
      <c r="AP1236" s="7">
        <f>MAX(0,1+INDEX(配置与结果!$J$15:$J$18,F1236)+IF(T1236&gt;0,方案参数!$BY$37,0)-配置与结果!$B$30)</f>
        <v>1</v>
      </c>
      <c r="AQ1236" s="7">
        <f t="shared" si="1721"/>
        <v>0</v>
      </c>
      <c r="AR1236" s="7">
        <f t="shared" si="1722"/>
        <v>0</v>
      </c>
      <c r="AS1236" s="7">
        <f t="shared" si="1723"/>
        <v>0</v>
      </c>
      <c r="AT1236" s="7">
        <f>0</f>
        <v>0</v>
      </c>
      <c r="AU1236" s="7">
        <f t="shared" si="1724"/>
        <v>14405.458999999999</v>
      </c>
      <c r="AV1236" s="1">
        <f t="shared" si="1725"/>
        <v>1</v>
      </c>
      <c r="AW1236" s="1">
        <f>MIN(10,M1236+0+0)</f>
        <v>4</v>
      </c>
      <c r="AX1236" s="1">
        <f t="shared" si="1726"/>
        <v>0</v>
      </c>
      <c r="AY1236" s="1">
        <f t="shared" si="1749"/>
        <v>6</v>
      </c>
      <c r="AZ1236" s="1">
        <f t="shared" si="1727"/>
        <v>3</v>
      </c>
      <c r="BA1236" s="1">
        <f>MIN(6,Q1236+0)</f>
        <v>2</v>
      </c>
      <c r="BB1236" s="1">
        <f t="shared" si="1742"/>
        <v>5</v>
      </c>
      <c r="BC1236" s="1">
        <f>MIN(3,S1236+1)</f>
        <v>1</v>
      </c>
      <c r="BD1236" s="1">
        <f t="shared" si="1750"/>
        <v>0</v>
      </c>
      <c r="BE1236" s="1">
        <f t="shared" si="1743"/>
        <v>0</v>
      </c>
      <c r="BF1236" s="1">
        <f>MIN(4,V1236+0)</f>
        <v>1</v>
      </c>
      <c r="BG1236" s="1">
        <f t="shared" si="1747"/>
        <v>1</v>
      </c>
      <c r="BH1236" s="1">
        <f t="shared" si="1744"/>
        <v>1</v>
      </c>
      <c r="BI1236" s="1">
        <f t="shared" si="1748"/>
        <v>1</v>
      </c>
      <c r="BJ1236" s="1">
        <f t="shared" si="1710"/>
        <v>0</v>
      </c>
      <c r="BK1236" s="1">
        <f t="shared" si="1711"/>
        <v>0</v>
      </c>
      <c r="BL1236" s="1">
        <f t="shared" si="1716"/>
        <v>0</v>
      </c>
      <c r="BM1236" s="1">
        <f t="shared" si="1714"/>
        <v>0</v>
      </c>
      <c r="BN1236" s="1">
        <f t="shared" si="1745"/>
        <v>1</v>
      </c>
      <c r="BO1236" s="1">
        <f t="shared" si="1746"/>
        <v>1</v>
      </c>
    </row>
    <row r="1237" spans="1:67" ht="30.95" customHeight="1">
      <c r="A1237" s="1">
        <f>34</f>
        <v>34</v>
      </c>
      <c r="B1237" s="1">
        <f>固定流程!A13</f>
        <v>8</v>
      </c>
      <c r="C1237" s="1">
        <f>37</f>
        <v>37</v>
      </c>
      <c r="D1237" s="1">
        <f>1</f>
        <v>1</v>
      </c>
      <c r="E1237" s="1">
        <f>固定流程!C13</f>
        <v>2</v>
      </c>
      <c r="F1237" s="1">
        <f>固定流程!G13</f>
        <v>3</v>
      </c>
      <c r="G1237" s="1" t="str">
        <f>固定流程!H13</f>
        <v>RHI_ATTACK</v>
      </c>
      <c r="H1237" s="1">
        <f>固定流程!F13</f>
        <v>1</v>
      </c>
      <c r="I1237" s="1">
        <f>INDEX(配置与结果!$B$15:$B$18,F1237)</f>
        <v>2597</v>
      </c>
      <c r="J1237" s="1">
        <f>INDEX(配置与结果!$D$15:$D$18,F1237)</f>
        <v>0.255</v>
      </c>
      <c r="K1237" s="1">
        <f>INDEX(配置与结果!$E$15:$E$18,F1237)</f>
        <v>1.55</v>
      </c>
      <c r="L1237" s="1">
        <f>IF(AV1236=1,IF(M1237&gt;=10,2,1),IF(AV1236=2,IF(AX1236&lt;=1,0,2),0))</f>
        <v>1</v>
      </c>
      <c r="M1237" s="1">
        <f>IF(AND(AV1236=2,AX1236&lt;=1),0,MIN(10,AW1236+IF(AV1236=1,3,0)))</f>
        <v>7</v>
      </c>
      <c r="N1237" s="1">
        <f>IF(AND(AV1236=1,M1237&gt;=10),2,IF(AV1236=2,MAX(0,AX1236-1),0))</f>
        <v>0</v>
      </c>
      <c r="O1237" s="1">
        <f t="shared" ref="O1237:O1265" si="1751">AY1236</f>
        <v>6</v>
      </c>
      <c r="P1237" s="1">
        <f>MIN(方案参数!$AI$37,AZ1236+方案参数!$AJ$37+方案参数!$AK$37)</f>
        <v>5</v>
      </c>
      <c r="Q1237" s="1">
        <f t="shared" si="1729"/>
        <v>2</v>
      </c>
      <c r="R1237" s="1">
        <f t="shared" si="1730"/>
        <v>5</v>
      </c>
      <c r="S1237" s="1">
        <f t="shared" si="1731"/>
        <v>1</v>
      </c>
      <c r="T1237" s="1">
        <f t="shared" si="1732"/>
        <v>0</v>
      </c>
      <c r="U1237" s="1">
        <f t="shared" si="1733"/>
        <v>0</v>
      </c>
      <c r="V1237" s="1">
        <f t="shared" si="1734"/>
        <v>1</v>
      </c>
      <c r="W1237" s="1">
        <f t="shared" si="1735"/>
        <v>1</v>
      </c>
      <c r="X1237" s="1">
        <f t="shared" si="1736"/>
        <v>1</v>
      </c>
      <c r="Y1237" s="1">
        <f t="shared" si="1737"/>
        <v>1</v>
      </c>
      <c r="Z1237" s="1">
        <f t="shared" si="1738"/>
        <v>0</v>
      </c>
      <c r="AA1237" s="1">
        <f>MAX(BK1236,1)</f>
        <v>1</v>
      </c>
      <c r="AB1237" s="1">
        <f t="shared" si="1740"/>
        <v>0</v>
      </c>
      <c r="AC1237" s="1">
        <f t="shared" si="1741"/>
        <v>0</v>
      </c>
      <c r="AD1237" s="1">
        <f>ROUNDDOWN(I1237*(1+IF(F1237=3,0.05+方案参数!$Y$37+AA1237*0.12,IF(F1237=4,方案参数!$BZ$37*方案参数!$AS$37,0)))+IF(AND(X1237=1,F1237&lt;&gt;3),方案参数!$CC$37,0)+AC1237*方案参数!$CB$37,0)</f>
        <v>3298</v>
      </c>
      <c r="AE1237" s="1">
        <f>IF(OR(F1237=1,F1237=4),配置与结果!$B$24,配置与结果!$B$25)*MAX(0,1-INDEX(配置与结果!$I$15:$I$18,F1237))</f>
        <v>1000</v>
      </c>
      <c r="AF1237" s="1">
        <f>4</f>
        <v>4</v>
      </c>
      <c r="AG1237" s="1">
        <f>MAX(配置与结果!$B$32,1+INDEX(配置与结果!$F$15:$F$18,F1237)+0+Q1237*方案参数!$W$37+Y1237*(方案参数!$AN$37+MIN(方案参数!$AO$37,P1237*0.03))+AB1237*方案参数!$BZ$37*0.025-配置与结果!$B$28)</f>
        <v>0.97499999999999998</v>
      </c>
      <c r="AH1237" s="1">
        <f>MAX(0,1+INDEX(配置与结果!$G$15:$G$18,F1237)+W1237*方案参数!$AG$37)</f>
        <v>1.3</v>
      </c>
      <c r="AI1237" s="1">
        <f>IF(OR(INDEX(配置与结果!$K$15:$K$18,F1237)=1,G1237="RHI_BERRY"),1+配置与结果!$B$33+P1237*方案参数!$AH$37,1)</f>
        <v>1</v>
      </c>
      <c r="AJ1237" s="1">
        <f>MIN(1,MAX(0,J1237+方案参数!$AB$37-配置与结果!$B$27))</f>
        <v>0.55499999999999994</v>
      </c>
      <c r="AK1237" s="1">
        <f>MAX(1,K1237+IF(F1237=2,0.15+方案参数!$CH$37,0)+BN1237*方案参数!$X$37+R1237*方案参数!$AA$37+0-配置与结果!$B$26+Z1237*(方案参数!$AP$37+MIN(方案参数!$AQ$37,P1237*0.03)))</f>
        <v>1.33</v>
      </c>
      <c r="AL1237" s="7">
        <f>ROUNDDOWN(MAX(AD1237*配置与结果!$B$31,AD1237-AE1237)*AF1237*AG1237*AH1237*AI1237,0)</f>
        <v>11650</v>
      </c>
      <c r="AM1237" s="7">
        <f>ROUNDDOWN(MAX(AD1237*配置与结果!$B$31,AD1237-AE1237)*AF1237*AG1237*AH1237*AI1237*AK1237,0)</f>
        <v>15495</v>
      </c>
      <c r="AN1237" s="7">
        <f t="shared" si="1720"/>
        <v>13783.974999999999</v>
      </c>
      <c r="AO1237" s="7">
        <f>0</f>
        <v>0</v>
      </c>
      <c r="AP1237" s="7">
        <f>MAX(0,1+INDEX(配置与结果!$J$15:$J$18,F1237)+IF(T1237&gt;0,方案参数!$BY$37,0)-配置与结果!$B$30)</f>
        <v>1</v>
      </c>
      <c r="AQ1237" s="7">
        <f t="shared" si="1721"/>
        <v>0</v>
      </c>
      <c r="AR1237" s="7">
        <f t="shared" si="1722"/>
        <v>0</v>
      </c>
      <c r="AS1237" s="7">
        <f t="shared" si="1723"/>
        <v>0</v>
      </c>
      <c r="AT1237" s="7">
        <f>0</f>
        <v>0</v>
      </c>
      <c r="AU1237" s="7">
        <f t="shared" si="1724"/>
        <v>13783.974999999999</v>
      </c>
      <c r="AV1237" s="1">
        <f t="shared" si="1725"/>
        <v>1</v>
      </c>
      <c r="AW1237" s="1">
        <f>MIN(10,M1237+0+0)</f>
        <v>7</v>
      </c>
      <c r="AX1237" s="1">
        <f t="shared" si="1726"/>
        <v>0</v>
      </c>
      <c r="AY1237" s="1">
        <f t="shared" si="1749"/>
        <v>6</v>
      </c>
      <c r="AZ1237" s="1">
        <f t="shared" si="1727"/>
        <v>5</v>
      </c>
      <c r="BA1237" s="1">
        <f>MIN(6,Q1237+1)</f>
        <v>3</v>
      </c>
      <c r="BB1237" s="1">
        <f t="shared" si="1742"/>
        <v>5</v>
      </c>
      <c r="BC1237" s="1">
        <f>MIN(3,S1237+0)</f>
        <v>1</v>
      </c>
      <c r="BD1237" s="1">
        <f t="shared" si="1750"/>
        <v>0</v>
      </c>
      <c r="BE1237" s="1">
        <f t="shared" si="1743"/>
        <v>0</v>
      </c>
      <c r="BF1237" s="1">
        <f>MIN(4,V1237+0)</f>
        <v>1</v>
      </c>
      <c r="BG1237" s="1">
        <f t="shared" si="1747"/>
        <v>1</v>
      </c>
      <c r="BH1237" s="1">
        <f t="shared" si="1744"/>
        <v>1</v>
      </c>
      <c r="BI1237" s="1">
        <f t="shared" si="1748"/>
        <v>1</v>
      </c>
      <c r="BJ1237" s="1">
        <f>MAX(Z1237,1)</f>
        <v>1</v>
      </c>
      <c r="BK1237" s="1">
        <f>MAX(AA1237,1)</f>
        <v>1</v>
      </c>
      <c r="BL1237" s="1">
        <f t="shared" si="1716"/>
        <v>0</v>
      </c>
      <c r="BM1237" s="1">
        <f t="shared" si="1714"/>
        <v>0</v>
      </c>
      <c r="BN1237" s="1">
        <f t="shared" si="1745"/>
        <v>1</v>
      </c>
      <c r="BO1237" s="1">
        <f t="shared" si="1746"/>
        <v>1</v>
      </c>
    </row>
    <row r="1238" spans="1:67" ht="30.95" customHeight="1">
      <c r="A1238" s="1">
        <f>34</f>
        <v>34</v>
      </c>
      <c r="B1238" s="1">
        <f>固定流程!A14</f>
        <v>9</v>
      </c>
      <c r="C1238" s="1">
        <f>37</f>
        <v>37</v>
      </c>
      <c r="D1238" s="1">
        <f>1</f>
        <v>1</v>
      </c>
      <c r="E1238" s="1">
        <f>固定流程!C14</f>
        <v>2</v>
      </c>
      <c r="F1238" s="1">
        <f>固定流程!G14</f>
        <v>1</v>
      </c>
      <c r="G1238" s="1" t="str">
        <f>固定流程!H14</f>
        <v>LILYA_DIVE</v>
      </c>
      <c r="H1238" s="1">
        <f>固定流程!F14</f>
        <v>3</v>
      </c>
      <c r="I1238" s="1">
        <f>INDEX(配置与结果!$B$15:$B$18,F1238)</f>
        <v>2296</v>
      </c>
      <c r="J1238" s="1">
        <f>INDEX(配置与结果!$D$15:$D$18,F1238)</f>
        <v>0.7</v>
      </c>
      <c r="K1238" s="1">
        <f>INDEX(配置与结果!$E$15:$E$18,F1238)</f>
        <v>2.0249999999999999</v>
      </c>
      <c r="L1238" s="1">
        <f t="shared" ref="L1238:N1242" si="1752">AV1237</f>
        <v>1</v>
      </c>
      <c r="M1238" s="1">
        <f t="shared" si="1752"/>
        <v>7</v>
      </c>
      <c r="N1238" s="1">
        <f t="shared" si="1752"/>
        <v>0</v>
      </c>
      <c r="O1238" s="1">
        <f t="shared" si="1751"/>
        <v>6</v>
      </c>
      <c r="P1238" s="1">
        <f>MIN(方案参数!$AI$37,AZ1237+0+0)</f>
        <v>5</v>
      </c>
      <c r="Q1238" s="1">
        <f t="shared" si="1729"/>
        <v>3</v>
      </c>
      <c r="R1238" s="1">
        <f t="shared" si="1730"/>
        <v>5</v>
      </c>
      <c r="S1238" s="1">
        <f t="shared" si="1731"/>
        <v>1</v>
      </c>
      <c r="T1238" s="1">
        <f t="shared" si="1732"/>
        <v>0</v>
      </c>
      <c r="U1238" s="1">
        <f t="shared" si="1733"/>
        <v>0</v>
      </c>
      <c r="V1238" s="1">
        <f t="shared" si="1734"/>
        <v>1</v>
      </c>
      <c r="W1238" s="1">
        <f t="shared" si="1735"/>
        <v>1</v>
      </c>
      <c r="X1238" s="1">
        <f t="shared" si="1736"/>
        <v>1</v>
      </c>
      <c r="Y1238" s="1">
        <f t="shared" si="1737"/>
        <v>1</v>
      </c>
      <c r="Z1238" s="1">
        <f t="shared" si="1738"/>
        <v>1</v>
      </c>
      <c r="AA1238" s="1">
        <f t="shared" ref="AA1238:AA1243" si="1753">MAX(BK1237,0)</f>
        <v>1</v>
      </c>
      <c r="AB1238" s="1">
        <f t="shared" si="1740"/>
        <v>0</v>
      </c>
      <c r="AC1238" s="1">
        <f t="shared" si="1741"/>
        <v>0</v>
      </c>
      <c r="AD1238" s="1">
        <f>ROUNDDOWN(I1238*(1+IF(F1238=3,0.05+方案参数!$Y$37+AA1238*0.12,IF(F1238=4,方案参数!$BZ$37*方案参数!$AS$37,0)))+IF(AND(X1238=1,F1238&lt;&gt;3),方案参数!$CC$37,0)+AC1238*方案参数!$CB$37,0)</f>
        <v>2534</v>
      </c>
      <c r="AE1238" s="1">
        <f>IF(OR(F1238=1,F1238=4),配置与结果!$B$24,配置与结果!$B$25)*MAX(0,1-INDEX(配置与结果!$I$15:$I$18,F1238))</f>
        <v>1200</v>
      </c>
      <c r="AF1238" s="1">
        <f>(IF(L1238=1,方案参数!$AW$37,IF(L1238=2,方案参数!$AX$37,0))+方案参数!$AV$37)*H1238</f>
        <v>18</v>
      </c>
      <c r="AG1238" s="1">
        <f>MAX(配置与结果!$B$32,1+INDEX(配置与结果!$F$15:$F$18,F1238)+0.08+方案参数!$CD$37+Q1238*方案参数!$W$37+Y1238*(方案参数!$AN$37+MIN(方案参数!$AO$37,P1238*0.03))+AB1238*方案参数!$BZ$37*0.025+IF(L1238=1,方案参数!$AY$37+(H1238-1)*0.1,IF(L1238=2,方案参数!$AZ$37+(H1238-1)*0.2,0))-配置与结果!$B$28)</f>
        <v>1.6</v>
      </c>
      <c r="AH1238" s="1">
        <f>MAX(0,1+INDEX(配置与结果!$G$15:$G$18,F1238)+W1238*方案参数!$AG$37+IF(L1238=1,方案参数!$BA$37,IF(L1238=2,方案参数!$BB$37,0))+M1238*方案参数!$BC$37)</f>
        <v>2.3199999999999998</v>
      </c>
      <c r="AI1238" s="1">
        <f>IF(OR(INDEX(配置与结果!$K$15:$K$18,F1238)=1,G1238="RHI_BERRY"),1+配置与结果!$B$33+P1238*方案参数!$AH$37,1)</f>
        <v>1</v>
      </c>
      <c r="AJ1238" s="1">
        <f>MIN(1,MAX(0,J1238+方案参数!$AB$37-配置与结果!$B$27))</f>
        <v>1</v>
      </c>
      <c r="AK1238" s="1">
        <f>MAX(1,K1238+IF(F1238=2,0.15+方案参数!$CH$37,0)+BN1238*方案参数!$X$37+R1238*方案参数!$AA$37+0-配置与结果!$B$26+Z1238*(方案参数!$AP$37+MIN(方案参数!$AQ$37,P1238*0.03)))</f>
        <v>2.105</v>
      </c>
      <c r="AL1238" s="7">
        <f>ROUNDDOWN(MAX(AD1238*配置与结果!$B$31,AD1238-AE1238)*AF1238*AG1238*AH1238*AI1238,0)</f>
        <v>89132</v>
      </c>
      <c r="AM1238" s="7">
        <f>ROUNDDOWN(MAX(AD1238*配置与结果!$B$31,AD1238-AE1238)*AF1238*AG1238*AH1238*AI1238*AK1238,0)</f>
        <v>187624</v>
      </c>
      <c r="AN1238" s="7">
        <f t="shared" si="1720"/>
        <v>187624</v>
      </c>
      <c r="AO1238" s="7">
        <f>0</f>
        <v>0</v>
      </c>
      <c r="AP1238" s="7">
        <f>MAX(0,1+INDEX(配置与结果!$J$15:$J$18,F1238)+IF(T1238&gt;0,方案参数!$BY$37,0)-配置与结果!$B$30)</f>
        <v>1</v>
      </c>
      <c r="AQ1238" s="7">
        <f t="shared" si="1721"/>
        <v>0</v>
      </c>
      <c r="AR1238" s="7">
        <f t="shared" si="1722"/>
        <v>0</v>
      </c>
      <c r="AS1238" s="7">
        <f t="shared" si="1723"/>
        <v>0</v>
      </c>
      <c r="AT1238" s="7">
        <f>0</f>
        <v>0</v>
      </c>
      <c r="AU1238" s="7">
        <f t="shared" si="1724"/>
        <v>187624</v>
      </c>
      <c r="AV1238" s="1">
        <f t="shared" si="1725"/>
        <v>1</v>
      </c>
      <c r="AW1238" s="1">
        <f>MIN(10,M1238+0+IF(L1238=1,方案参数!$BE$37,0))</f>
        <v>8</v>
      </c>
      <c r="AX1238" s="1">
        <f t="shared" si="1726"/>
        <v>0</v>
      </c>
      <c r="AY1238" s="1">
        <f t="shared" si="1749"/>
        <v>6</v>
      </c>
      <c r="AZ1238" s="1">
        <f t="shared" si="1727"/>
        <v>5</v>
      </c>
      <c r="BA1238" s="1">
        <f>MIN(6,Q1238+0)</f>
        <v>3</v>
      </c>
      <c r="BB1238" s="1">
        <f t="shared" si="1742"/>
        <v>5</v>
      </c>
      <c r="BC1238" s="1">
        <f>MIN(3,S1238+0)</f>
        <v>1</v>
      </c>
      <c r="BD1238" s="1">
        <f t="shared" si="1750"/>
        <v>0</v>
      </c>
      <c r="BE1238" s="1">
        <f t="shared" si="1743"/>
        <v>0</v>
      </c>
      <c r="BF1238" s="1">
        <f>MIN(4,V1238+0)</f>
        <v>1</v>
      </c>
      <c r="BG1238" s="1">
        <f t="shared" si="1747"/>
        <v>1</v>
      </c>
      <c r="BH1238" s="1">
        <f t="shared" si="1744"/>
        <v>1</v>
      </c>
      <c r="BI1238" s="1">
        <f t="shared" si="1748"/>
        <v>1</v>
      </c>
      <c r="BJ1238" s="1">
        <f t="shared" ref="BJ1238:BK1243" si="1754">MAX(Z1238,0)</f>
        <v>1</v>
      </c>
      <c r="BK1238" s="1">
        <f t="shared" si="1754"/>
        <v>1</v>
      </c>
      <c r="BL1238" s="1">
        <f t="shared" si="1716"/>
        <v>0</v>
      </c>
      <c r="BM1238" s="1">
        <f t="shared" si="1714"/>
        <v>0</v>
      </c>
      <c r="BN1238" s="1">
        <f t="shared" si="1745"/>
        <v>1</v>
      </c>
      <c r="BO1238" s="1">
        <f t="shared" si="1746"/>
        <v>1</v>
      </c>
    </row>
    <row r="1239" spans="1:67" ht="30.95" customHeight="1">
      <c r="A1239" s="1">
        <f>34</f>
        <v>34</v>
      </c>
      <c r="B1239" s="1">
        <f>固定流程!A15</f>
        <v>10</v>
      </c>
      <c r="C1239" s="1">
        <f>37</f>
        <v>37</v>
      </c>
      <c r="D1239" s="1">
        <f>1</f>
        <v>1</v>
      </c>
      <c r="E1239" s="1">
        <f>固定流程!C15</f>
        <v>2</v>
      </c>
      <c r="F1239" s="1">
        <f>固定流程!G15</f>
        <v>4</v>
      </c>
      <c r="G1239" s="1" t="str">
        <f>固定流程!H15</f>
        <v>J_HARD</v>
      </c>
      <c r="H1239" s="1">
        <f>固定流程!F15</f>
        <v>1</v>
      </c>
      <c r="I1239" s="1">
        <f>INDEX(配置与结果!$B$15:$B$18,F1239)</f>
        <v>1906</v>
      </c>
      <c r="J1239" s="1">
        <f>INDEX(配置与结果!$D$15:$D$18,F1239)</f>
        <v>0.36699999999999999</v>
      </c>
      <c r="K1239" s="1">
        <f>INDEX(配置与结果!$E$15:$E$18,F1239)</f>
        <v>1.7170000000000001</v>
      </c>
      <c r="L1239" s="1">
        <f t="shared" si="1752"/>
        <v>1</v>
      </c>
      <c r="M1239" s="1">
        <f t="shared" si="1752"/>
        <v>8</v>
      </c>
      <c r="N1239" s="1">
        <f t="shared" si="1752"/>
        <v>0</v>
      </c>
      <c r="O1239" s="1">
        <f t="shared" si="1751"/>
        <v>6</v>
      </c>
      <c r="P1239" s="1">
        <f>MIN(方案参数!$AI$37,AZ1238+0+0)</f>
        <v>5</v>
      </c>
      <c r="Q1239" s="1">
        <f t="shared" si="1729"/>
        <v>3</v>
      </c>
      <c r="R1239" s="1">
        <f t="shared" si="1730"/>
        <v>5</v>
      </c>
      <c r="S1239" s="1">
        <f t="shared" si="1731"/>
        <v>1</v>
      </c>
      <c r="T1239" s="1">
        <f t="shared" si="1732"/>
        <v>0</v>
      </c>
      <c r="U1239" s="1">
        <f t="shared" si="1733"/>
        <v>0</v>
      </c>
      <c r="V1239" s="1">
        <f t="shared" si="1734"/>
        <v>1</v>
      </c>
      <c r="W1239" s="1">
        <f t="shared" si="1735"/>
        <v>1</v>
      </c>
      <c r="X1239" s="1">
        <f t="shared" si="1736"/>
        <v>1</v>
      </c>
      <c r="Y1239" s="1">
        <f t="shared" si="1737"/>
        <v>1</v>
      </c>
      <c r="Z1239" s="1">
        <f t="shared" si="1738"/>
        <v>1</v>
      </c>
      <c r="AA1239" s="1">
        <f t="shared" si="1753"/>
        <v>1</v>
      </c>
      <c r="AB1239" s="1">
        <f t="shared" si="1740"/>
        <v>0</v>
      </c>
      <c r="AC1239" s="1">
        <f t="shared" si="1741"/>
        <v>0</v>
      </c>
      <c r="AD1239" s="1">
        <f>ROUNDDOWN(I1239*(1+IF(F1239=3,0.05+方案参数!$Y$37+AA1239*0.12,IF(F1239=4,方案参数!$BZ$37*方案参数!$AS$37,0)))+IF(AND(X1239=1,F1239&lt;&gt;3),方案参数!$CC$37,0)+AC1239*方案参数!$CB$37,0)</f>
        <v>2811</v>
      </c>
      <c r="AE1239" s="1">
        <f>IF(OR(F1239=1,F1239=4),配置与结果!$B$24,配置与结果!$B$25)*MAX(0,1-INDEX(配置与结果!$I$15:$I$18,F1239))</f>
        <v>1200</v>
      </c>
      <c r="AF1239" s="1">
        <f>3.6*IF(H1239=1,1,IF(H1239=2,1.5,2.5))</f>
        <v>3.6</v>
      </c>
      <c r="AG1239" s="1">
        <f>MAX(配置与结果!$B$32,1+INDEX(配置与结果!$F$15:$F$18,F1239)+0.08+Q1239*方案参数!$W$37+Y1239*(方案参数!$AN$37+MIN(方案参数!$AO$37,P1239*0.03))+AB1239*方案参数!$BZ$37*0.025+0.1+IF(方案参数!$BZ$37&gt;=30,方案参数!$BZ$37*0.01,0)-配置与结果!$B$28)</f>
        <v>1.5150000000000001</v>
      </c>
      <c r="AH1239" s="1">
        <f>MAX(0,1+INDEX(配置与结果!$G$15:$G$18,F1239)+W1239*方案参数!$AG$37)</f>
        <v>1.3</v>
      </c>
      <c r="AI1239" s="1">
        <f>IF(OR(INDEX(配置与结果!$K$15:$K$18,F1239)=1,G1239="RHI_BERRY"),1+配置与结果!$B$33+P1239*方案参数!$AH$37,1)</f>
        <v>1</v>
      </c>
      <c r="AJ1239" s="1">
        <f>MIN(1,MAX(0,J1239+方案参数!$AB$37-配置与结果!$B$27))</f>
        <v>0.66700000000000004</v>
      </c>
      <c r="AK1239" s="1">
        <f>MAX(1,K1239+IF(F1239=2,0.15+方案参数!$CH$37,0)+BN1239*方案参数!$X$37+R1239*方案参数!$AA$37+0-配置与结果!$B$26+Z1239*(方案参数!$AP$37+MIN(方案参数!$AQ$37,P1239*0.03)))</f>
        <v>1.7969999999999999</v>
      </c>
      <c r="AL1239" s="7">
        <f>ROUNDDOWN(MAX(AD1239*配置与结果!$B$31,AD1239-AE1239)*AF1239*AG1239*AH1239*AI1239,0)</f>
        <v>11422</v>
      </c>
      <c r="AM1239" s="7">
        <f>ROUNDDOWN(MAX(AD1239*配置与结果!$B$31,AD1239-AE1239)*AF1239*AG1239*AH1239*AI1239*AK1239,0)</f>
        <v>20525</v>
      </c>
      <c r="AN1239" s="7">
        <f t="shared" si="1720"/>
        <v>17493.701000000001</v>
      </c>
      <c r="AO1239" s="7">
        <f>0</f>
        <v>0</v>
      </c>
      <c r="AP1239" s="7">
        <f>MAX(0,1+INDEX(配置与结果!$J$15:$J$18,F1239)+IF(T1239&gt;0,方案参数!$BY$37,0)-配置与结果!$B$30)</f>
        <v>1</v>
      </c>
      <c r="AQ1239" s="7">
        <f t="shared" si="1721"/>
        <v>0</v>
      </c>
      <c r="AR1239" s="7">
        <f t="shared" si="1722"/>
        <v>0</v>
      </c>
      <c r="AS1239" s="7">
        <f t="shared" si="1723"/>
        <v>0</v>
      </c>
      <c r="AT1239" s="7">
        <f>0</f>
        <v>0</v>
      </c>
      <c r="AU1239" s="7">
        <f t="shared" si="1724"/>
        <v>17493.701000000001</v>
      </c>
      <c r="AV1239" s="1">
        <f t="shared" si="1725"/>
        <v>1</v>
      </c>
      <c r="AW1239" s="1">
        <f t="shared" ref="AW1239:AW1249" si="1755">MIN(10,M1239+0+0)</f>
        <v>8</v>
      </c>
      <c r="AX1239" s="1">
        <f t="shared" si="1726"/>
        <v>0</v>
      </c>
      <c r="AY1239" s="1">
        <f t="shared" si="1749"/>
        <v>6</v>
      </c>
      <c r="AZ1239" s="1">
        <f t="shared" si="1727"/>
        <v>5</v>
      </c>
      <c r="BA1239" s="1">
        <f>MIN(6,Q1239+0)</f>
        <v>3</v>
      </c>
      <c r="BB1239" s="1">
        <f t="shared" si="1742"/>
        <v>5</v>
      </c>
      <c r="BC1239" s="1">
        <f>MIN(3,S1239+1)</f>
        <v>2</v>
      </c>
      <c r="BD1239" s="1">
        <f t="shared" si="1750"/>
        <v>0</v>
      </c>
      <c r="BE1239" s="1">
        <f t="shared" si="1743"/>
        <v>0</v>
      </c>
      <c r="BF1239" s="1">
        <f>MIN(4,V1239+0)</f>
        <v>1</v>
      </c>
      <c r="BG1239" s="1">
        <f t="shared" si="1747"/>
        <v>1</v>
      </c>
      <c r="BH1239" s="1">
        <f t="shared" si="1744"/>
        <v>1</v>
      </c>
      <c r="BI1239" s="1">
        <f t="shared" si="1748"/>
        <v>1</v>
      </c>
      <c r="BJ1239" s="1">
        <f t="shared" si="1754"/>
        <v>1</v>
      </c>
      <c r="BK1239" s="1">
        <f t="shared" si="1754"/>
        <v>1</v>
      </c>
      <c r="BL1239" s="1">
        <f t="shared" si="1716"/>
        <v>0</v>
      </c>
      <c r="BM1239" s="1">
        <f t="shared" si="1714"/>
        <v>0</v>
      </c>
      <c r="BN1239" s="1">
        <f t="shared" si="1745"/>
        <v>1</v>
      </c>
      <c r="BO1239" s="1">
        <f t="shared" si="1746"/>
        <v>1</v>
      </c>
    </row>
    <row r="1240" spans="1:67" ht="30.95" customHeight="1">
      <c r="A1240" s="1">
        <f>34</f>
        <v>34</v>
      </c>
      <c r="B1240" s="1">
        <f>固定流程!A16</f>
        <v>11</v>
      </c>
      <c r="C1240" s="1">
        <f>37</f>
        <v>37</v>
      </c>
      <c r="D1240" s="1">
        <f>1</f>
        <v>1</v>
      </c>
      <c r="E1240" s="1">
        <f>固定流程!C16</f>
        <v>2</v>
      </c>
      <c r="F1240" s="1">
        <f>固定流程!G16</f>
        <v>2</v>
      </c>
      <c r="G1240" s="1" t="str">
        <f>固定流程!H16</f>
        <v>37_CURVE</v>
      </c>
      <c r="H1240" s="1">
        <f>固定流程!F16</f>
        <v>1</v>
      </c>
      <c r="I1240" s="1">
        <f>INDEX(配置与结果!$B$15:$B$18,F1240)</f>
        <v>2306</v>
      </c>
      <c r="J1240" s="1">
        <f>INDEX(配置与结果!$D$15:$D$18,F1240)</f>
        <v>0.46</v>
      </c>
      <c r="K1240" s="1">
        <f>INDEX(配置与结果!$E$15:$E$18,F1240)</f>
        <v>1.9279999999999999</v>
      </c>
      <c r="L1240" s="1">
        <f t="shared" si="1752"/>
        <v>1</v>
      </c>
      <c r="M1240" s="1">
        <f t="shared" si="1752"/>
        <v>8</v>
      </c>
      <c r="N1240" s="1">
        <f t="shared" si="1752"/>
        <v>0</v>
      </c>
      <c r="O1240" s="1">
        <f t="shared" si="1751"/>
        <v>6</v>
      </c>
      <c r="P1240" s="1">
        <f>MIN(方案参数!$AI$37,AZ1239+0+0)</f>
        <v>5</v>
      </c>
      <c r="Q1240" s="1">
        <f t="shared" si="1729"/>
        <v>3</v>
      </c>
      <c r="R1240" s="1">
        <f t="shared" si="1730"/>
        <v>5</v>
      </c>
      <c r="S1240" s="1">
        <f t="shared" si="1731"/>
        <v>2</v>
      </c>
      <c r="T1240" s="1">
        <f t="shared" si="1732"/>
        <v>0</v>
      </c>
      <c r="U1240" s="1">
        <f t="shared" si="1733"/>
        <v>0</v>
      </c>
      <c r="V1240" s="1">
        <f t="shared" si="1734"/>
        <v>1</v>
      </c>
      <c r="W1240" s="1">
        <f t="shared" si="1735"/>
        <v>1</v>
      </c>
      <c r="X1240" s="1">
        <f t="shared" si="1736"/>
        <v>1</v>
      </c>
      <c r="Y1240" s="1">
        <f t="shared" si="1737"/>
        <v>1</v>
      </c>
      <c r="Z1240" s="1">
        <f t="shared" si="1738"/>
        <v>1</v>
      </c>
      <c r="AA1240" s="1">
        <f t="shared" si="1753"/>
        <v>1</v>
      </c>
      <c r="AB1240" s="1">
        <f t="shared" si="1740"/>
        <v>0</v>
      </c>
      <c r="AC1240" s="1">
        <f t="shared" si="1741"/>
        <v>0</v>
      </c>
      <c r="AD1240" s="1">
        <f>ROUNDDOWN(I1240*(1+IF(F1240=3,0.05+方案参数!$Y$37+AA1240*0.12,IF(F1240=4,方案参数!$BZ$37*方案参数!$AS$37,0)))+IF(AND(X1240=1,F1240&lt;&gt;3),方案参数!$CC$37,0)+AC1240*方案参数!$CB$37,0)</f>
        <v>2544</v>
      </c>
      <c r="AE1240" s="1">
        <f>IF(OR(F1240=1,F1240=4),配置与结果!$B$24,配置与结果!$B$25)*MAX(0,1-INDEX(配置与结果!$I$15:$I$18,F1240))</f>
        <v>1000</v>
      </c>
      <c r="AF1240" s="1">
        <f>方案参数!$BT$37*IF(H1240=1,1,IF(H1240=2,1.5,2.5))</f>
        <v>1.4</v>
      </c>
      <c r="AG1240" s="1">
        <f>MAX(配置与结果!$B$32,1+INDEX(配置与结果!$F$15:$F$18,F1240)+0+Q1240*方案参数!$W$37+Y1240*(方案参数!$AN$37+MIN(方案参数!$AO$37,P1240*0.03))+AB1240*方案参数!$BZ$37*0.025-配置与结果!$B$28)</f>
        <v>0.96499999999999997</v>
      </c>
      <c r="AH1240" s="1">
        <f>MAX(0,1+INDEX(配置与结果!$G$15:$G$18,F1240)+W1240*方案参数!$AG$37)</f>
        <v>1.3</v>
      </c>
      <c r="AI1240" s="1">
        <f>IF(OR(INDEX(配置与结果!$K$15:$K$18,F1240)=1,G1240="RHI_BERRY"),1+配置与结果!$B$33+P1240*方案参数!$AH$37,1)</f>
        <v>1</v>
      </c>
      <c r="AJ1240" s="1">
        <f>MIN(1,MAX(0,J1240+方案参数!$AB$37-配置与结果!$B$27))</f>
        <v>0.76</v>
      </c>
      <c r="AK1240" s="1">
        <f>MAX(1,K1240+IF(F1240=2,0.15+方案参数!$CH$37,0)+BN1240*方案参数!$X$37+R1240*方案参数!$AA$37+0-配置与结果!$B$26+Z1240*(方案参数!$AP$37+MIN(方案参数!$AQ$37,P1240*0.03)))</f>
        <v>2.3679999999999999</v>
      </c>
      <c r="AL1240" s="7">
        <f>ROUNDDOWN(MAX(AD1240*配置与结果!$B$31,AD1240-AE1240)*AF1240*AG1240*AH1240*AI1240,0)</f>
        <v>2711</v>
      </c>
      <c r="AM1240" s="7">
        <f>ROUNDDOWN(MAX(AD1240*配置与结果!$B$31,AD1240-AE1240)*AF1240*AG1240*AH1240*AI1240*AK1240,0)</f>
        <v>6421</v>
      </c>
      <c r="AN1240" s="7">
        <f t="shared" si="1720"/>
        <v>5530.6</v>
      </c>
      <c r="AO1240" s="7">
        <f>方案参数!$BU$37*IF(H1240=1,1,IF(H1240=2,1.5,2.5))</f>
        <v>0.8</v>
      </c>
      <c r="AP1240" s="7">
        <f>MAX(0,1+INDEX(配置与结果!$J$15:$J$18,F1240)+IF(T1240&gt;0,方案参数!$BY$37,0)-配置与结果!$B$30)</f>
        <v>1</v>
      </c>
      <c r="AQ1240" s="7">
        <f t="shared" si="1721"/>
        <v>2035</v>
      </c>
      <c r="AR1240" s="7">
        <f t="shared" si="1722"/>
        <v>4818</v>
      </c>
      <c r="AS1240" s="7">
        <f t="shared" si="1723"/>
        <v>4150.08</v>
      </c>
      <c r="AT1240" s="7">
        <f>0</f>
        <v>0</v>
      </c>
      <c r="AU1240" s="7">
        <f t="shared" si="1724"/>
        <v>9680.68</v>
      </c>
      <c r="AV1240" s="1">
        <f t="shared" si="1725"/>
        <v>1</v>
      </c>
      <c r="AW1240" s="1">
        <f t="shared" si="1755"/>
        <v>8</v>
      </c>
      <c r="AX1240" s="1">
        <f t="shared" si="1726"/>
        <v>0</v>
      </c>
      <c r="AY1240" s="1">
        <f t="shared" si="1749"/>
        <v>6</v>
      </c>
      <c r="AZ1240" s="1">
        <f t="shared" si="1727"/>
        <v>5</v>
      </c>
      <c r="BA1240" s="1">
        <f>MIN(6,Q1240+0)</f>
        <v>3</v>
      </c>
      <c r="BB1240" s="1">
        <f t="shared" si="1742"/>
        <v>5</v>
      </c>
      <c r="BC1240" s="1">
        <f t="shared" ref="BC1240:BC1246" si="1756">MIN(3,S1240+0)</f>
        <v>2</v>
      </c>
      <c r="BD1240" s="1">
        <f t="shared" si="1750"/>
        <v>0</v>
      </c>
      <c r="BE1240" s="1">
        <f t="shared" si="1743"/>
        <v>0</v>
      </c>
      <c r="BF1240" s="1">
        <f>MIN(4,V1240+0)</f>
        <v>1</v>
      </c>
      <c r="BG1240" s="1">
        <f t="shared" si="1747"/>
        <v>1</v>
      </c>
      <c r="BH1240" s="1">
        <f t="shared" si="1744"/>
        <v>1</v>
      </c>
      <c r="BI1240" s="1">
        <f t="shared" si="1748"/>
        <v>1</v>
      </c>
      <c r="BJ1240" s="1">
        <f t="shared" si="1754"/>
        <v>1</v>
      </c>
      <c r="BK1240" s="1">
        <f t="shared" si="1754"/>
        <v>1</v>
      </c>
      <c r="BL1240" s="1">
        <f t="shared" si="1716"/>
        <v>0</v>
      </c>
      <c r="BM1240" s="1">
        <f t="shared" si="1714"/>
        <v>0</v>
      </c>
      <c r="BN1240" s="1">
        <f t="shared" si="1745"/>
        <v>1</v>
      </c>
      <c r="BO1240" s="1">
        <f t="shared" si="1746"/>
        <v>1</v>
      </c>
    </row>
    <row r="1241" spans="1:67" ht="30.95" customHeight="1">
      <c r="A1241" s="1">
        <f>34</f>
        <v>34</v>
      </c>
      <c r="B1241" s="1">
        <f>固定流程!A17</f>
        <v>12</v>
      </c>
      <c r="C1241" s="1">
        <f>37</f>
        <v>37</v>
      </c>
      <c r="D1241" s="1">
        <f>1</f>
        <v>1</v>
      </c>
      <c r="E1241" s="1">
        <f>固定流程!C17</f>
        <v>2</v>
      </c>
      <c r="F1241" s="1">
        <f>固定流程!G17</f>
        <v>2</v>
      </c>
      <c r="G1241" s="1" t="str">
        <f>固定流程!H17</f>
        <v>37_FOLLOW</v>
      </c>
      <c r="H1241" s="1">
        <f>固定流程!F17</f>
        <v>1</v>
      </c>
      <c r="I1241" s="1">
        <f>INDEX(配置与结果!$B$15:$B$18,F1241)</f>
        <v>2306</v>
      </c>
      <c r="J1241" s="1">
        <f>INDEX(配置与结果!$D$15:$D$18,F1241)</f>
        <v>0.46</v>
      </c>
      <c r="K1241" s="1">
        <f>INDEX(配置与结果!$E$15:$E$18,F1241)</f>
        <v>1.9279999999999999</v>
      </c>
      <c r="L1241" s="1">
        <f t="shared" si="1752"/>
        <v>1</v>
      </c>
      <c r="M1241" s="1">
        <f t="shared" si="1752"/>
        <v>8</v>
      </c>
      <c r="N1241" s="1">
        <f t="shared" si="1752"/>
        <v>0</v>
      </c>
      <c r="O1241" s="1">
        <f t="shared" si="1751"/>
        <v>6</v>
      </c>
      <c r="P1241" s="1">
        <f>MIN(方案参数!$AI$37,AZ1240+0+0)</f>
        <v>5</v>
      </c>
      <c r="Q1241" s="1">
        <f t="shared" si="1729"/>
        <v>3</v>
      </c>
      <c r="R1241" s="1">
        <f t="shared" si="1730"/>
        <v>5</v>
      </c>
      <c r="S1241" s="1">
        <f t="shared" si="1731"/>
        <v>2</v>
      </c>
      <c r="T1241" s="1">
        <f t="shared" si="1732"/>
        <v>0</v>
      </c>
      <c r="U1241" s="1">
        <f t="shared" si="1733"/>
        <v>0</v>
      </c>
      <c r="V1241" s="1">
        <f t="shared" si="1734"/>
        <v>1</v>
      </c>
      <c r="W1241" s="1">
        <f t="shared" si="1735"/>
        <v>1</v>
      </c>
      <c r="X1241" s="1">
        <f t="shared" si="1736"/>
        <v>1</v>
      </c>
      <c r="Y1241" s="1">
        <f t="shared" si="1737"/>
        <v>1</v>
      </c>
      <c r="Z1241" s="1">
        <f t="shared" si="1738"/>
        <v>1</v>
      </c>
      <c r="AA1241" s="1">
        <f t="shared" si="1753"/>
        <v>1</v>
      </c>
      <c r="AB1241" s="1">
        <f t="shared" si="1740"/>
        <v>0</v>
      </c>
      <c r="AC1241" s="1">
        <f t="shared" si="1741"/>
        <v>0</v>
      </c>
      <c r="AD1241" s="1">
        <f>ROUNDDOWN(I1241*(1+IF(F1241=3,0.05+方案参数!$Y$37+AA1241*0.12,IF(F1241=4,方案参数!$BZ$37*方案参数!$AS$37,0)))+IF(AND(X1241=1,F1241&lt;&gt;3),方案参数!$CC$37,0)+AC1241*方案参数!$CB$37,0)</f>
        <v>2544</v>
      </c>
      <c r="AE1241" s="1">
        <f>IF(OR(F1241=1,F1241=4),配置与结果!$B$24,配置与结果!$B$25)*MAX(0,1-INDEX(配置与结果!$I$15:$I$18,F1241))</f>
        <v>1000</v>
      </c>
      <c r="AF1241" s="1">
        <f>方案参数!$BV$37</f>
        <v>3</v>
      </c>
      <c r="AG1241" s="1">
        <f>MAX(配置与结果!$B$32,1+INDEX(配置与结果!$F$15:$F$18,F1241)+0+Q1241*方案参数!$W$37+Y1241*(方案参数!$AN$37+MIN(方案参数!$AO$37,P1241*0.03))+AB1241*方案参数!$BZ$37*0.025-配置与结果!$B$28)</f>
        <v>0.96499999999999997</v>
      </c>
      <c r="AH1241" s="1">
        <f>MAX(0,1+INDEX(配置与结果!$G$15:$G$18,F1241)+W1241*方案参数!$AG$37)</f>
        <v>1.3</v>
      </c>
      <c r="AI1241" s="1">
        <f>IF(OR(INDEX(配置与结果!$K$15:$K$18,F1241)=1,G1241="RHI_BERRY"),1+配置与结果!$B$33+P1241*方案参数!$AH$37,1)</f>
        <v>1</v>
      </c>
      <c r="AJ1241" s="1">
        <f>MIN(1,MAX(0,J1241+方案参数!$AB$37-配置与结果!$B$27))</f>
        <v>0.76</v>
      </c>
      <c r="AK1241" s="1">
        <f>MAX(1,K1241+IF(F1241=2,0.15+方案参数!$CH$37,0)+BN1241*方案参数!$X$37+R1241*方案参数!$AA$37+0-配置与结果!$B$26+Z1241*(方案参数!$AP$37+MIN(方案参数!$AQ$37,P1241*0.03)))</f>
        <v>2.3679999999999999</v>
      </c>
      <c r="AL1241" s="7">
        <f>ROUNDDOWN(MAX(AD1241*配置与结果!$B$31,AD1241-AE1241)*AF1241*AG1241*AH1241*AI1241,0)</f>
        <v>5810</v>
      </c>
      <c r="AM1241" s="7">
        <f>ROUNDDOWN(MAX(AD1241*配置与结果!$B$31,AD1241-AE1241)*AF1241*AG1241*AH1241*AI1241*AK1241,0)</f>
        <v>13760</v>
      </c>
      <c r="AN1241" s="7">
        <f t="shared" si="1720"/>
        <v>11852</v>
      </c>
      <c r="AO1241" s="7">
        <f>方案参数!$BW$37</f>
        <v>1</v>
      </c>
      <c r="AP1241" s="7">
        <f>MAX(0,1+INDEX(配置与结果!$J$15:$J$18,F1241)+IF(T1241&gt;0,方案参数!$BY$37,0)-配置与结果!$B$30)</f>
        <v>1</v>
      </c>
      <c r="AQ1241" s="7">
        <f t="shared" si="1721"/>
        <v>2544</v>
      </c>
      <c r="AR1241" s="7">
        <f t="shared" si="1722"/>
        <v>6024</v>
      </c>
      <c r="AS1241" s="7">
        <f t="shared" si="1723"/>
        <v>5188.7999999999993</v>
      </c>
      <c r="AT1241" s="7">
        <f>0</f>
        <v>0</v>
      </c>
      <c r="AU1241" s="7">
        <f t="shared" si="1724"/>
        <v>17040.8</v>
      </c>
      <c r="AV1241" s="1">
        <f t="shared" si="1725"/>
        <v>1</v>
      </c>
      <c r="AW1241" s="1">
        <f t="shared" si="1755"/>
        <v>8</v>
      </c>
      <c r="AX1241" s="1">
        <f t="shared" si="1726"/>
        <v>0</v>
      </c>
      <c r="AY1241" s="1">
        <f t="shared" si="1749"/>
        <v>6</v>
      </c>
      <c r="AZ1241" s="1">
        <f t="shared" si="1727"/>
        <v>5</v>
      </c>
      <c r="BA1241" s="1">
        <f>MIN(6,Q1241+0)</f>
        <v>3</v>
      </c>
      <c r="BB1241" s="1">
        <f t="shared" si="1742"/>
        <v>5</v>
      </c>
      <c r="BC1241" s="1">
        <f t="shared" si="1756"/>
        <v>2</v>
      </c>
      <c r="BD1241" s="1">
        <f t="shared" si="1750"/>
        <v>0</v>
      </c>
      <c r="BE1241" s="1">
        <f t="shared" si="1743"/>
        <v>0</v>
      </c>
      <c r="BF1241" s="1">
        <f>MIN(4,V1241+1)</f>
        <v>2</v>
      </c>
      <c r="BG1241" s="1">
        <f t="shared" si="1747"/>
        <v>1</v>
      </c>
      <c r="BH1241" s="1">
        <f t="shared" si="1744"/>
        <v>1</v>
      </c>
      <c r="BI1241" s="1">
        <f t="shared" si="1748"/>
        <v>1</v>
      </c>
      <c r="BJ1241" s="1">
        <f t="shared" si="1754"/>
        <v>1</v>
      </c>
      <c r="BK1241" s="1">
        <f t="shared" si="1754"/>
        <v>1</v>
      </c>
      <c r="BL1241" s="1">
        <f t="shared" si="1716"/>
        <v>0</v>
      </c>
      <c r="BM1241" s="1">
        <f t="shared" si="1714"/>
        <v>0</v>
      </c>
      <c r="BN1241" s="1">
        <f t="shared" si="1745"/>
        <v>1</v>
      </c>
      <c r="BO1241" s="1">
        <f t="shared" si="1746"/>
        <v>1</v>
      </c>
    </row>
    <row r="1242" spans="1:67" ht="30.95" customHeight="1">
      <c r="A1242" s="1">
        <f>34</f>
        <v>34</v>
      </c>
      <c r="B1242" s="1">
        <f>固定流程!A18</f>
        <v>13</v>
      </c>
      <c r="C1242" s="1">
        <f>37</f>
        <v>37</v>
      </c>
      <c r="D1242" s="1">
        <f>1</f>
        <v>1</v>
      </c>
      <c r="E1242" s="1">
        <f>固定流程!C18</f>
        <v>2</v>
      </c>
      <c r="F1242" s="1">
        <f>固定流程!G18</f>
        <v>3</v>
      </c>
      <c r="G1242" s="1" t="str">
        <f>固定流程!H18</f>
        <v>RHI_BERRY</v>
      </c>
      <c r="H1242" s="1">
        <f>固定流程!F18</f>
        <v>1</v>
      </c>
      <c r="I1242" s="1">
        <f>INDEX(配置与结果!$B$15:$B$18,F1242)</f>
        <v>2597</v>
      </c>
      <c r="J1242" s="1">
        <f>INDEX(配置与结果!$D$15:$D$18,F1242)</f>
        <v>0.255</v>
      </c>
      <c r="K1242" s="1">
        <f>INDEX(配置与结果!$E$15:$E$18,F1242)</f>
        <v>1.55</v>
      </c>
      <c r="L1242" s="1">
        <f t="shared" si="1752"/>
        <v>1</v>
      </c>
      <c r="M1242" s="1">
        <f t="shared" si="1752"/>
        <v>8</v>
      </c>
      <c r="N1242" s="1">
        <f t="shared" si="1752"/>
        <v>0</v>
      </c>
      <c r="O1242" s="1">
        <f t="shared" si="1751"/>
        <v>6</v>
      </c>
      <c r="P1242" s="1">
        <f>MIN(方案参数!$AI$37,AZ1241+0+0)</f>
        <v>5</v>
      </c>
      <c r="Q1242" s="1">
        <f t="shared" si="1729"/>
        <v>3</v>
      </c>
      <c r="R1242" s="1">
        <f t="shared" si="1730"/>
        <v>5</v>
      </c>
      <c r="S1242" s="1">
        <f t="shared" si="1731"/>
        <v>2</v>
      </c>
      <c r="T1242" s="1">
        <f t="shared" si="1732"/>
        <v>0</v>
      </c>
      <c r="U1242" s="1">
        <f t="shared" si="1733"/>
        <v>0</v>
      </c>
      <c r="V1242" s="1">
        <f t="shared" si="1734"/>
        <v>2</v>
      </c>
      <c r="W1242" s="1">
        <f t="shared" si="1735"/>
        <v>1</v>
      </c>
      <c r="X1242" s="1">
        <f t="shared" si="1736"/>
        <v>1</v>
      </c>
      <c r="Y1242" s="1">
        <f t="shared" si="1737"/>
        <v>1</v>
      </c>
      <c r="Z1242" s="1">
        <f t="shared" si="1738"/>
        <v>1</v>
      </c>
      <c r="AA1242" s="1">
        <f t="shared" si="1753"/>
        <v>1</v>
      </c>
      <c r="AB1242" s="1">
        <f t="shared" si="1740"/>
        <v>0</v>
      </c>
      <c r="AC1242" s="1">
        <f t="shared" si="1741"/>
        <v>0</v>
      </c>
      <c r="AD1242" s="1">
        <f>ROUNDDOWN(I1242*(1+IF(F1242=3,0.05+方案参数!$Y$37+AA1242*0.12,IF(F1242=4,方案参数!$BZ$37*方案参数!$AS$37,0)))+IF(AND(X1242=1,F1242&lt;&gt;3),方案参数!$CC$37,0)+AC1242*方案参数!$CB$37,0)</f>
        <v>3298</v>
      </c>
      <c r="AE1242" s="1">
        <f>IF(OR(F1242=1,F1242=4),配置与结果!$B$24,配置与结果!$B$25)*MAX(0,1-INDEX(配置与结果!$I$15:$I$18,F1242))</f>
        <v>1000</v>
      </c>
      <c r="AF1242" s="1">
        <f>方案参数!$CF$37+P1242*方案参数!$CG$37</f>
        <v>22.5</v>
      </c>
      <c r="AG1242" s="1">
        <f>MAX(配置与结果!$B$32,1+INDEX(配置与结果!$F$15:$F$18,F1242)+0+Q1242*方案参数!$W$37+Y1242*(方案参数!$AN$37+MIN(方案参数!$AO$37,P1242*0.03))+AB1242*方案参数!$BZ$37*0.025-配置与结果!$B$28)</f>
        <v>0.995</v>
      </c>
      <c r="AH1242" s="1">
        <f>MAX(0,1+INDEX(配置与结果!$G$15:$G$18,F1242)+W1242*方案参数!$AG$37)</f>
        <v>1.3</v>
      </c>
      <c r="AI1242" s="1">
        <f>IF(OR(INDEX(配置与结果!$K$15:$K$18,F1242)=1,G1242="RHI_BERRY"),1+配置与结果!$B$33+P1242*方案参数!$AH$37,1)</f>
        <v>1.5</v>
      </c>
      <c r="AJ1242" s="1">
        <f>MIN(1,MAX(0,J1242+方案参数!$AB$37-配置与结果!$B$27))</f>
        <v>0.55499999999999994</v>
      </c>
      <c r="AK1242" s="1">
        <f>MAX(1,K1242+IF(F1242=2,0.15+方案参数!$CH$37,0)+BN1242*方案参数!$X$37+R1242*方案参数!$AA$37+0-配置与结果!$B$26+Z1242*(方案参数!$AP$37+MIN(方案参数!$AQ$37,P1242*0.03)))</f>
        <v>1.6300000000000001</v>
      </c>
      <c r="AL1242" s="7">
        <f>ROUNDDOWN(MAX(AD1242*配置与结果!$B$31,AD1242-AE1242)*AF1242*AG1242*AH1242*AI1242,0)</f>
        <v>100320</v>
      </c>
      <c r="AM1242" s="7">
        <f>ROUNDDOWN(MAX(AD1242*配置与结果!$B$31,AD1242-AE1242)*AF1242*AG1242*AH1242*AI1242*AK1242,0)</f>
        <v>163522</v>
      </c>
      <c r="AN1242" s="7">
        <f t="shared" si="1720"/>
        <v>135397.10999999999</v>
      </c>
      <c r="AO1242" s="7">
        <f>0</f>
        <v>0</v>
      </c>
      <c r="AP1242" s="7">
        <f>MAX(0,1+INDEX(配置与结果!$J$15:$J$18,F1242)+IF(T1242&gt;0,方案参数!$BY$37,0)-配置与结果!$B$30)</f>
        <v>1</v>
      </c>
      <c r="AQ1242" s="7">
        <f t="shared" si="1721"/>
        <v>0</v>
      </c>
      <c r="AR1242" s="7">
        <f t="shared" si="1722"/>
        <v>0</v>
      </c>
      <c r="AS1242" s="7">
        <f t="shared" si="1723"/>
        <v>0</v>
      </c>
      <c r="AT1242" s="7">
        <f>0</f>
        <v>0</v>
      </c>
      <c r="AU1242" s="7">
        <f t="shared" si="1724"/>
        <v>135397.10999999999</v>
      </c>
      <c r="AV1242" s="1">
        <f t="shared" si="1725"/>
        <v>1</v>
      </c>
      <c r="AW1242" s="1">
        <f t="shared" si="1755"/>
        <v>8</v>
      </c>
      <c r="AX1242" s="1">
        <f t="shared" si="1726"/>
        <v>0</v>
      </c>
      <c r="AY1242" s="1">
        <f t="shared" si="1749"/>
        <v>6</v>
      </c>
      <c r="AZ1242" s="1">
        <f t="shared" si="1727"/>
        <v>5</v>
      </c>
      <c r="BA1242" s="1">
        <f>MIN(6,Q1242+0)</f>
        <v>3</v>
      </c>
      <c r="BB1242" s="1">
        <f t="shared" si="1742"/>
        <v>5</v>
      </c>
      <c r="BC1242" s="1">
        <f t="shared" si="1756"/>
        <v>2</v>
      </c>
      <c r="BD1242" s="1">
        <f t="shared" si="1750"/>
        <v>0</v>
      </c>
      <c r="BE1242" s="1">
        <f t="shared" si="1743"/>
        <v>0</v>
      </c>
      <c r="BF1242" s="1">
        <f>MIN(4,V1242+0)</f>
        <v>2</v>
      </c>
      <c r="BG1242" s="1">
        <f t="shared" si="1747"/>
        <v>1</v>
      </c>
      <c r="BH1242" s="1">
        <f t="shared" si="1744"/>
        <v>1</v>
      </c>
      <c r="BI1242" s="1">
        <f t="shared" si="1748"/>
        <v>1</v>
      </c>
      <c r="BJ1242" s="1">
        <f t="shared" si="1754"/>
        <v>1</v>
      </c>
      <c r="BK1242" s="1">
        <f t="shared" si="1754"/>
        <v>1</v>
      </c>
      <c r="BL1242" s="1">
        <f t="shared" si="1716"/>
        <v>0</v>
      </c>
      <c r="BM1242" s="1">
        <f t="shared" si="1714"/>
        <v>0</v>
      </c>
      <c r="BN1242" s="1">
        <f t="shared" si="1745"/>
        <v>1</v>
      </c>
      <c r="BO1242" s="1">
        <f t="shared" si="1746"/>
        <v>1</v>
      </c>
    </row>
    <row r="1243" spans="1:67" ht="30.95" customHeight="1">
      <c r="A1243" s="1">
        <f>34</f>
        <v>34</v>
      </c>
      <c r="B1243" s="1">
        <f>固定流程!A19</f>
        <v>14</v>
      </c>
      <c r="C1243" s="1">
        <f>37</f>
        <v>37</v>
      </c>
      <c r="D1243" s="1">
        <f>1</f>
        <v>1</v>
      </c>
      <c r="E1243" s="1">
        <f>固定流程!C19</f>
        <v>3</v>
      </c>
      <c r="F1243" s="1">
        <f>固定流程!G19</f>
        <v>3</v>
      </c>
      <c r="G1243" s="1" t="str">
        <f>固定流程!H19</f>
        <v>RHI_BUFF</v>
      </c>
      <c r="H1243" s="1">
        <f>固定流程!F19</f>
        <v>1</v>
      </c>
      <c r="I1243" s="1">
        <f>INDEX(配置与结果!$B$15:$B$18,F1243)</f>
        <v>2597</v>
      </c>
      <c r="J1243" s="1">
        <f>INDEX(配置与结果!$D$15:$D$18,F1243)</f>
        <v>0.255</v>
      </c>
      <c r="K1243" s="1">
        <f>INDEX(配置与结果!$E$15:$E$18,F1243)</f>
        <v>1.55</v>
      </c>
      <c r="L1243" s="1">
        <f>IF(AV1242=1,IF(M1243&gt;=10,2,1),IF(AV1242=2,IF(AX1242&lt;=1,0,2),0))</f>
        <v>2</v>
      </c>
      <c r="M1243" s="1">
        <f>IF(AND(AV1242=2,AX1242&lt;=1),0,MIN(10,AW1242+IF(AV1242=1,3,0)))</f>
        <v>10</v>
      </c>
      <c r="N1243" s="1">
        <f>IF(AND(AV1242=1,M1243&gt;=10),2,IF(AV1242=2,MAX(0,AX1242-1),0))</f>
        <v>2</v>
      </c>
      <c r="O1243" s="1">
        <f t="shared" si="1751"/>
        <v>6</v>
      </c>
      <c r="P1243" s="1">
        <f>MIN(方案参数!$AI$37,AZ1242+方案参数!$AJ$37+方案参数!$AK$37)</f>
        <v>5</v>
      </c>
      <c r="Q1243" s="1">
        <f t="shared" si="1729"/>
        <v>3</v>
      </c>
      <c r="R1243" s="1">
        <f t="shared" si="1730"/>
        <v>5</v>
      </c>
      <c r="S1243" s="1">
        <f t="shared" si="1731"/>
        <v>2</v>
      </c>
      <c r="T1243" s="1">
        <f t="shared" si="1732"/>
        <v>0</v>
      </c>
      <c r="U1243" s="1">
        <f t="shared" si="1733"/>
        <v>0</v>
      </c>
      <c r="V1243" s="1">
        <f t="shared" si="1734"/>
        <v>2</v>
      </c>
      <c r="W1243" s="1">
        <f t="shared" si="1735"/>
        <v>1</v>
      </c>
      <c r="X1243" s="1">
        <f t="shared" si="1736"/>
        <v>1</v>
      </c>
      <c r="Y1243" s="1">
        <f t="shared" si="1737"/>
        <v>1</v>
      </c>
      <c r="Z1243" s="1">
        <f t="shared" si="1738"/>
        <v>1</v>
      </c>
      <c r="AA1243" s="1">
        <f t="shared" si="1753"/>
        <v>1</v>
      </c>
      <c r="AB1243" s="1">
        <f t="shared" si="1740"/>
        <v>0</v>
      </c>
      <c r="AC1243" s="1">
        <f t="shared" si="1741"/>
        <v>0</v>
      </c>
      <c r="AD1243" s="1">
        <f>ROUNDDOWN(I1243*(1+IF(F1243=3,0.05+方案参数!$Y$37+AA1243*0.12,IF(F1243=4,方案参数!$BZ$37*方案参数!$AS$37,0)))+IF(AND(X1243=1,F1243&lt;&gt;3),方案参数!$CC$37,0)+AC1243*方案参数!$CB$37,0)</f>
        <v>3298</v>
      </c>
      <c r="AE1243" s="1">
        <f>IF(OR(F1243=1,F1243=4),配置与结果!$B$24,配置与结果!$B$25)*MAX(0,1-INDEX(配置与结果!$I$15:$I$18,F1243))</f>
        <v>1000</v>
      </c>
      <c r="AF1243" s="1">
        <f>0</f>
        <v>0</v>
      </c>
      <c r="AG1243" s="1">
        <f>MAX(配置与结果!$B$32,1+INDEX(配置与结果!$F$15:$F$18,F1243)+0+Q1243*方案参数!$W$37+Y1243*(方案参数!$AN$37+MIN(方案参数!$AO$37,P1243*0.03))+AB1243*方案参数!$BZ$37*0.025-配置与结果!$B$28)</f>
        <v>0.995</v>
      </c>
      <c r="AH1243" s="1">
        <f>MAX(0,1+INDEX(配置与结果!$G$15:$G$18,F1243)+W1243*方案参数!$AG$37)</f>
        <v>1.3</v>
      </c>
      <c r="AI1243" s="1">
        <f>IF(OR(INDEX(配置与结果!$K$15:$K$18,F1243)=1,G1243="RHI_BERRY"),1+配置与结果!$B$33+P1243*方案参数!$AH$37,1)</f>
        <v>1</v>
      </c>
      <c r="AJ1243" s="1">
        <f>MIN(1,MAX(0,J1243+方案参数!$AB$37-配置与结果!$B$27))</f>
        <v>0.55499999999999994</v>
      </c>
      <c r="AK1243" s="1">
        <f>MAX(1,K1243+IF(F1243=2,0.15+方案参数!$CH$37,0)+BN1243*方案参数!$X$37+R1243*方案参数!$AA$37+0-配置与结果!$B$26+Z1243*(方案参数!$AP$37+MIN(方案参数!$AQ$37,P1243*0.03)))</f>
        <v>1.6300000000000001</v>
      </c>
      <c r="AL1243" s="7">
        <f>ROUNDDOWN(MAX(AD1243*配置与结果!$B$31,AD1243-AE1243)*AF1243*AG1243*AH1243*AI1243,0)</f>
        <v>0</v>
      </c>
      <c r="AM1243" s="7">
        <f>ROUNDDOWN(MAX(AD1243*配置与结果!$B$31,AD1243-AE1243)*AF1243*AG1243*AH1243*AI1243*AK1243,0)</f>
        <v>0</v>
      </c>
      <c r="AN1243" s="7">
        <f t="shared" si="1720"/>
        <v>0</v>
      </c>
      <c r="AO1243" s="7">
        <f>0</f>
        <v>0</v>
      </c>
      <c r="AP1243" s="7">
        <f>MAX(0,1+INDEX(配置与结果!$J$15:$J$18,F1243)+IF(T1243&gt;0,方案参数!$BY$37,0)-配置与结果!$B$30)</f>
        <v>1</v>
      </c>
      <c r="AQ1243" s="7">
        <f t="shared" si="1721"/>
        <v>0</v>
      </c>
      <c r="AR1243" s="7">
        <f t="shared" si="1722"/>
        <v>0</v>
      </c>
      <c r="AS1243" s="7">
        <f t="shared" si="1723"/>
        <v>0</v>
      </c>
      <c r="AT1243" s="7">
        <f>0</f>
        <v>0</v>
      </c>
      <c r="AU1243" s="7">
        <f t="shared" si="1724"/>
        <v>0</v>
      </c>
      <c r="AV1243" s="1">
        <f t="shared" si="1725"/>
        <v>2</v>
      </c>
      <c r="AW1243" s="1">
        <f t="shared" si="1755"/>
        <v>10</v>
      </c>
      <c r="AX1243" s="1">
        <f t="shared" si="1726"/>
        <v>2</v>
      </c>
      <c r="AY1243" s="1">
        <f t="shared" si="1749"/>
        <v>6</v>
      </c>
      <c r="AZ1243" s="1">
        <f t="shared" si="1727"/>
        <v>5</v>
      </c>
      <c r="BA1243" s="1">
        <f>MIN(6,Q1243+1)</f>
        <v>4</v>
      </c>
      <c r="BB1243" s="1">
        <f t="shared" si="1742"/>
        <v>5</v>
      </c>
      <c r="BC1243" s="1">
        <f t="shared" si="1756"/>
        <v>2</v>
      </c>
      <c r="BD1243" s="1">
        <f t="shared" si="1750"/>
        <v>0</v>
      </c>
      <c r="BE1243" s="1">
        <f t="shared" si="1743"/>
        <v>0</v>
      </c>
      <c r="BF1243" s="1">
        <f>MIN(4,V1243+0)</f>
        <v>2</v>
      </c>
      <c r="BG1243" s="1">
        <f>MAX(W1243,1)</f>
        <v>1</v>
      </c>
      <c r="BH1243" s="1">
        <f t="shared" si="1744"/>
        <v>1</v>
      </c>
      <c r="BI1243" s="1">
        <f>MAX(Y1243,1)</f>
        <v>1</v>
      </c>
      <c r="BJ1243" s="1">
        <f t="shared" si="1754"/>
        <v>1</v>
      </c>
      <c r="BK1243" s="1">
        <f t="shared" si="1754"/>
        <v>1</v>
      </c>
      <c r="BL1243" s="1">
        <f t="shared" si="1716"/>
        <v>0</v>
      </c>
      <c r="BM1243" s="1">
        <f t="shared" si="1714"/>
        <v>0</v>
      </c>
      <c r="BN1243" s="1">
        <f t="shared" si="1745"/>
        <v>1</v>
      </c>
      <c r="BO1243" s="1">
        <f t="shared" si="1746"/>
        <v>1</v>
      </c>
    </row>
    <row r="1244" spans="1:67" ht="30.95" customHeight="1">
      <c r="A1244" s="1">
        <f>34</f>
        <v>34</v>
      </c>
      <c r="B1244" s="1">
        <f>固定流程!A20</f>
        <v>15</v>
      </c>
      <c r="C1244" s="1">
        <f>37</f>
        <v>37</v>
      </c>
      <c r="D1244" s="1">
        <f>1</f>
        <v>1</v>
      </c>
      <c r="E1244" s="1">
        <f>固定流程!C20</f>
        <v>3</v>
      </c>
      <c r="F1244" s="1">
        <f>固定流程!G20</f>
        <v>3</v>
      </c>
      <c r="G1244" s="1" t="str">
        <f>固定流程!H20</f>
        <v>RHI_ATTACK</v>
      </c>
      <c r="H1244" s="1">
        <f>固定流程!F20</f>
        <v>1</v>
      </c>
      <c r="I1244" s="1">
        <f>INDEX(配置与结果!$B$15:$B$18,F1244)</f>
        <v>2597</v>
      </c>
      <c r="J1244" s="1">
        <f>INDEX(配置与结果!$D$15:$D$18,F1244)</f>
        <v>0.255</v>
      </c>
      <c r="K1244" s="1">
        <f>INDEX(配置与结果!$E$15:$E$18,F1244)</f>
        <v>1.55</v>
      </c>
      <c r="L1244" s="1">
        <f t="shared" ref="L1244:L1265" si="1757">AV1243</f>
        <v>2</v>
      </c>
      <c r="M1244" s="1">
        <f t="shared" ref="M1244:M1265" si="1758">AW1243</f>
        <v>10</v>
      </c>
      <c r="N1244" s="1">
        <f t="shared" ref="N1244:N1265" si="1759">AX1243</f>
        <v>2</v>
      </c>
      <c r="O1244" s="1">
        <f t="shared" si="1751"/>
        <v>6</v>
      </c>
      <c r="P1244" s="1">
        <f>MIN(方案参数!$AI$37,AZ1243+0+方案参数!$AK$37)</f>
        <v>5</v>
      </c>
      <c r="Q1244" s="1">
        <f t="shared" si="1729"/>
        <v>4</v>
      </c>
      <c r="R1244" s="1">
        <f t="shared" si="1730"/>
        <v>5</v>
      </c>
      <c r="S1244" s="1">
        <f t="shared" si="1731"/>
        <v>2</v>
      </c>
      <c r="T1244" s="1">
        <f t="shared" si="1732"/>
        <v>0</v>
      </c>
      <c r="U1244" s="1">
        <f t="shared" si="1733"/>
        <v>0</v>
      </c>
      <c r="V1244" s="1">
        <f t="shared" si="1734"/>
        <v>2</v>
      </c>
      <c r="W1244" s="1">
        <f t="shared" si="1735"/>
        <v>1</v>
      </c>
      <c r="X1244" s="1">
        <f t="shared" si="1736"/>
        <v>1</v>
      </c>
      <c r="Y1244" s="1">
        <f t="shared" si="1737"/>
        <v>1</v>
      </c>
      <c r="Z1244" s="1">
        <f t="shared" si="1738"/>
        <v>1</v>
      </c>
      <c r="AA1244" s="1">
        <f>MAX(BK1243,1)</f>
        <v>1</v>
      </c>
      <c r="AB1244" s="1">
        <f t="shared" si="1740"/>
        <v>0</v>
      </c>
      <c r="AC1244" s="1">
        <f t="shared" si="1741"/>
        <v>0</v>
      </c>
      <c r="AD1244" s="1">
        <f>ROUNDDOWN(I1244*(1+IF(F1244=3,0.05+方案参数!$Y$37+AA1244*0.12,IF(F1244=4,方案参数!$BZ$37*方案参数!$AS$37,0)))+IF(AND(X1244=1,F1244&lt;&gt;3),方案参数!$CC$37,0)+AC1244*方案参数!$CB$37,0)</f>
        <v>3298</v>
      </c>
      <c r="AE1244" s="1">
        <f>IF(OR(F1244=1,F1244=4),配置与结果!$B$24,配置与结果!$B$25)*MAX(0,1-INDEX(配置与结果!$I$15:$I$18,F1244))</f>
        <v>1000</v>
      </c>
      <c r="AF1244" s="1">
        <f>4</f>
        <v>4</v>
      </c>
      <c r="AG1244" s="1">
        <f>MAX(配置与结果!$B$32,1+INDEX(配置与结果!$F$15:$F$18,F1244)+0+Q1244*方案参数!$W$37+Y1244*(方案参数!$AN$37+MIN(方案参数!$AO$37,P1244*0.03))+AB1244*方案参数!$BZ$37*0.025-配置与结果!$B$28)</f>
        <v>1.0150000000000001</v>
      </c>
      <c r="AH1244" s="1">
        <f>MAX(0,1+INDEX(配置与结果!$G$15:$G$18,F1244)+W1244*方案参数!$AG$37)</f>
        <v>1.3</v>
      </c>
      <c r="AI1244" s="1">
        <f>IF(OR(INDEX(配置与结果!$K$15:$K$18,F1244)=1,G1244="RHI_BERRY"),1+配置与结果!$B$33+P1244*方案参数!$AH$37,1)</f>
        <v>1</v>
      </c>
      <c r="AJ1244" s="1">
        <f>MIN(1,MAX(0,J1244+方案参数!$AB$37-配置与结果!$B$27))</f>
        <v>0.55499999999999994</v>
      </c>
      <c r="AK1244" s="1">
        <f>MAX(1,K1244+IF(F1244=2,0.15+方案参数!$CH$37,0)+BN1244*方案参数!$X$37+R1244*方案参数!$AA$37+0-配置与结果!$B$26+Z1244*(方案参数!$AP$37+MIN(方案参数!$AQ$37,P1244*0.03)))</f>
        <v>1.6300000000000001</v>
      </c>
      <c r="AL1244" s="7">
        <f>ROUNDDOWN(MAX(AD1244*配置与结果!$B$31,AD1244-AE1244)*AF1244*AG1244*AH1244*AI1244,0)</f>
        <v>12128</v>
      </c>
      <c r="AM1244" s="7">
        <f>ROUNDDOWN(MAX(AD1244*配置与结果!$B$31,AD1244-AE1244)*AF1244*AG1244*AH1244*AI1244*AK1244,0)</f>
        <v>19770</v>
      </c>
      <c r="AN1244" s="7">
        <f t="shared" si="1720"/>
        <v>16369.31</v>
      </c>
      <c r="AO1244" s="7">
        <f>0</f>
        <v>0</v>
      </c>
      <c r="AP1244" s="7">
        <f>MAX(0,1+INDEX(配置与结果!$J$15:$J$18,F1244)+IF(T1244&gt;0,方案参数!$BY$37,0)-配置与结果!$B$30)</f>
        <v>1</v>
      </c>
      <c r="AQ1244" s="7">
        <f t="shared" si="1721"/>
        <v>0</v>
      </c>
      <c r="AR1244" s="7">
        <f t="shared" si="1722"/>
        <v>0</v>
      </c>
      <c r="AS1244" s="7">
        <f t="shared" si="1723"/>
        <v>0</v>
      </c>
      <c r="AT1244" s="7">
        <f>0</f>
        <v>0</v>
      </c>
      <c r="AU1244" s="7">
        <f t="shared" si="1724"/>
        <v>16369.31</v>
      </c>
      <c r="AV1244" s="1">
        <f t="shared" si="1725"/>
        <v>2</v>
      </c>
      <c r="AW1244" s="1">
        <f t="shared" si="1755"/>
        <v>10</v>
      </c>
      <c r="AX1244" s="1">
        <f t="shared" si="1726"/>
        <v>2</v>
      </c>
      <c r="AY1244" s="1">
        <f t="shared" si="1749"/>
        <v>6</v>
      </c>
      <c r="AZ1244" s="1">
        <f t="shared" si="1727"/>
        <v>5</v>
      </c>
      <c r="BA1244" s="1">
        <f>MIN(6,Q1244+1)</f>
        <v>5</v>
      </c>
      <c r="BB1244" s="1">
        <f t="shared" si="1742"/>
        <v>5</v>
      </c>
      <c r="BC1244" s="1">
        <f t="shared" si="1756"/>
        <v>2</v>
      </c>
      <c r="BD1244" s="1">
        <f t="shared" si="1750"/>
        <v>0</v>
      </c>
      <c r="BE1244" s="1">
        <f t="shared" si="1743"/>
        <v>0</v>
      </c>
      <c r="BF1244" s="1">
        <f>MIN(4,V1244+0)</f>
        <v>2</v>
      </c>
      <c r="BG1244" s="1">
        <f t="shared" ref="BG1244:BG1266" si="1760">MAX(W1244,0)</f>
        <v>1</v>
      </c>
      <c r="BH1244" s="1">
        <f t="shared" si="1744"/>
        <v>1</v>
      </c>
      <c r="BI1244" s="1">
        <f t="shared" ref="BI1244:BI1266" si="1761">MAX(Y1244,0)</f>
        <v>1</v>
      </c>
      <c r="BJ1244" s="1">
        <f>MAX(Z1244,1)</f>
        <v>1</v>
      </c>
      <c r="BK1244" s="1">
        <f>MAX(AA1244,1)</f>
        <v>1</v>
      </c>
      <c r="BL1244" s="1">
        <f t="shared" si="1716"/>
        <v>0</v>
      </c>
      <c r="BM1244" s="1">
        <f t="shared" si="1714"/>
        <v>0</v>
      </c>
      <c r="BN1244" s="1">
        <f t="shared" si="1745"/>
        <v>1</v>
      </c>
      <c r="BO1244" s="1">
        <f t="shared" si="1746"/>
        <v>1</v>
      </c>
    </row>
    <row r="1245" spans="1:67" ht="30.95" customHeight="1">
      <c r="A1245" s="1">
        <f>34</f>
        <v>34</v>
      </c>
      <c r="B1245" s="1">
        <f>固定流程!A21</f>
        <v>16</v>
      </c>
      <c r="C1245" s="1">
        <f>37</f>
        <v>37</v>
      </c>
      <c r="D1245" s="1">
        <f>1</f>
        <v>1</v>
      </c>
      <c r="E1245" s="1">
        <f>固定流程!C21</f>
        <v>3</v>
      </c>
      <c r="F1245" s="1">
        <f>固定流程!G21</f>
        <v>2</v>
      </c>
      <c r="G1245" s="1" t="str">
        <f>固定流程!H21</f>
        <v>37_ULT</v>
      </c>
      <c r="H1245" s="1">
        <f>固定流程!F21</f>
        <v>1</v>
      </c>
      <c r="I1245" s="1">
        <f>INDEX(配置与结果!$B$15:$B$18,F1245)</f>
        <v>2306</v>
      </c>
      <c r="J1245" s="1">
        <f>INDEX(配置与结果!$D$15:$D$18,F1245)</f>
        <v>0.46</v>
      </c>
      <c r="K1245" s="1">
        <f>INDEX(配置与结果!$E$15:$E$18,F1245)</f>
        <v>1.9279999999999999</v>
      </c>
      <c r="L1245" s="1">
        <f t="shared" si="1757"/>
        <v>2</v>
      </c>
      <c r="M1245" s="1">
        <f t="shared" si="1758"/>
        <v>10</v>
      </c>
      <c r="N1245" s="1">
        <f t="shared" si="1759"/>
        <v>2</v>
      </c>
      <c r="O1245" s="1">
        <f t="shared" si="1751"/>
        <v>6</v>
      </c>
      <c r="P1245" s="1">
        <f>MIN(方案参数!$AI$37,AZ1244+0+0)</f>
        <v>5</v>
      </c>
      <c r="Q1245" s="1">
        <f t="shared" si="1729"/>
        <v>5</v>
      </c>
      <c r="R1245" s="1">
        <f t="shared" si="1730"/>
        <v>5</v>
      </c>
      <c r="S1245" s="1">
        <f t="shared" si="1731"/>
        <v>2</v>
      </c>
      <c r="T1245" s="1">
        <f>BD1244+方案参数!$BX$37</f>
        <v>2</v>
      </c>
      <c r="U1245" s="1">
        <f t="shared" si="1733"/>
        <v>0</v>
      </c>
      <c r="V1245" s="1">
        <f t="shared" si="1734"/>
        <v>2</v>
      </c>
      <c r="W1245" s="1">
        <f t="shared" si="1735"/>
        <v>1</v>
      </c>
      <c r="X1245" s="1">
        <f t="shared" si="1736"/>
        <v>1</v>
      </c>
      <c r="Y1245" s="1">
        <f t="shared" si="1737"/>
        <v>1</v>
      </c>
      <c r="Z1245" s="1">
        <f t="shared" si="1738"/>
        <v>1</v>
      </c>
      <c r="AA1245" s="1">
        <f t="shared" ref="AA1245:AA1265" si="1762">MAX(BK1244,0)</f>
        <v>1</v>
      </c>
      <c r="AB1245" s="1">
        <f t="shared" si="1740"/>
        <v>0</v>
      </c>
      <c r="AC1245" s="1">
        <f>MAX(BM1244,1)</f>
        <v>1</v>
      </c>
      <c r="AD1245" s="1">
        <f>ROUNDDOWN(I1245*(1+IF(F1245=3,0.05+方案参数!$Y$37+AA1245*0.12,IF(F1245=4,方案参数!$BZ$37*方案参数!$AS$37,0)))+IF(AND(X1245=1,F1245&lt;&gt;3),方案参数!$CC$37,0)+AC1245*方案参数!$CB$37,0)</f>
        <v>3044</v>
      </c>
      <c r="AE1245" s="1">
        <f>IF(OR(F1245=1,F1245=4),配置与结果!$B$24,配置与结果!$B$25)*MAX(0,1-INDEX(配置与结果!$I$15:$I$18,F1245))</f>
        <v>1000</v>
      </c>
      <c r="AF1245" s="1">
        <f>0</f>
        <v>0</v>
      </c>
      <c r="AG1245" s="1">
        <f>MAX(配置与结果!$B$32,1+INDEX(配置与结果!$F$15:$F$18,F1245)+0+Q1245*方案参数!$W$37+Y1245*(方案参数!$AN$37+MIN(方案参数!$AO$37,P1245*0.03))+AB1245*方案参数!$BZ$37*0.025-配置与结果!$B$28)</f>
        <v>1.0049999999999999</v>
      </c>
      <c r="AH1245" s="1">
        <f>MAX(0,1+INDEX(配置与结果!$G$15:$G$18,F1245)+W1245*方案参数!$AG$37)</f>
        <v>1.3</v>
      </c>
      <c r="AI1245" s="1">
        <f>IF(OR(INDEX(配置与结果!$K$15:$K$18,F1245)=1,G1245="RHI_BERRY"),1+配置与结果!$B$33+P1245*方案参数!$AH$37,1)</f>
        <v>1</v>
      </c>
      <c r="AJ1245" s="1">
        <f>MIN(1,MAX(0,J1245+方案参数!$AB$37-配置与结果!$B$27))</f>
        <v>0.76</v>
      </c>
      <c r="AK1245" s="1">
        <f>MAX(1,K1245+IF(F1245=2,0.15+方案参数!$CH$37,0)+BN1245*方案参数!$X$37+R1245*方案参数!$AA$37+0-配置与结果!$B$26+Z1245*(方案参数!$AP$37+MIN(方案参数!$AQ$37,P1245*0.03)))</f>
        <v>2.3679999999999999</v>
      </c>
      <c r="AL1245" s="7">
        <f>ROUNDDOWN(MAX(AD1245*配置与结果!$B$31,AD1245-AE1245)*AF1245*AG1245*AH1245*AI1245,0)</f>
        <v>0</v>
      </c>
      <c r="AM1245" s="7">
        <f>ROUNDDOWN(MAX(AD1245*配置与结果!$B$31,AD1245-AE1245)*AF1245*AG1245*AH1245*AI1245*AK1245,0)</f>
        <v>0</v>
      </c>
      <c r="AN1245" s="7">
        <f t="shared" si="1720"/>
        <v>0</v>
      </c>
      <c r="AO1245" s="7">
        <f>0</f>
        <v>0</v>
      </c>
      <c r="AP1245" s="7">
        <f>MAX(0,1+INDEX(配置与结果!$J$15:$J$18,F1245)+IF(T1245&gt;0,方案参数!$BY$37,0)-配置与结果!$B$30)</f>
        <v>2</v>
      </c>
      <c r="AQ1245" s="7">
        <f t="shared" si="1721"/>
        <v>0</v>
      </c>
      <c r="AR1245" s="7">
        <f t="shared" si="1722"/>
        <v>0</v>
      </c>
      <c r="AS1245" s="7">
        <f t="shared" si="1723"/>
        <v>0</v>
      </c>
      <c r="AT1245" s="7">
        <f>0</f>
        <v>0</v>
      </c>
      <c r="AU1245" s="7">
        <f t="shared" si="1724"/>
        <v>0</v>
      </c>
      <c r="AV1245" s="1">
        <f t="shared" si="1725"/>
        <v>2</v>
      </c>
      <c r="AW1245" s="1">
        <f t="shared" si="1755"/>
        <v>10</v>
      </c>
      <c r="AX1245" s="1">
        <f t="shared" si="1726"/>
        <v>2</v>
      </c>
      <c r="AY1245" s="1">
        <f t="shared" si="1749"/>
        <v>6</v>
      </c>
      <c r="AZ1245" s="1">
        <f t="shared" si="1727"/>
        <v>5</v>
      </c>
      <c r="BA1245" s="1">
        <f t="shared" ref="BA1245:BA1265" si="1763">MIN(6,Q1245+0)</f>
        <v>5</v>
      </c>
      <c r="BB1245" s="1">
        <f>MIN(30,R1245+5)</f>
        <v>10</v>
      </c>
      <c r="BC1245" s="1">
        <f t="shared" si="1756"/>
        <v>2</v>
      </c>
      <c r="BD1245" s="1">
        <f t="shared" si="1750"/>
        <v>2</v>
      </c>
      <c r="BE1245" s="1">
        <f t="shared" si="1743"/>
        <v>0</v>
      </c>
      <c r="BF1245" s="1">
        <f>MIN(4,V1245+0)</f>
        <v>2</v>
      </c>
      <c r="BG1245" s="1">
        <f t="shared" si="1760"/>
        <v>1</v>
      </c>
      <c r="BH1245" s="1">
        <f t="shared" si="1744"/>
        <v>1</v>
      </c>
      <c r="BI1245" s="1">
        <f t="shared" si="1761"/>
        <v>1</v>
      </c>
      <c r="BJ1245" s="1">
        <f t="shared" ref="BJ1245:BJ1272" si="1764">MAX(Z1245,0)</f>
        <v>1</v>
      </c>
      <c r="BK1245" s="1">
        <f t="shared" ref="BK1245:BK1272" si="1765">MAX(AA1245,0)</f>
        <v>1</v>
      </c>
      <c r="BL1245" s="1">
        <f t="shared" si="1716"/>
        <v>0</v>
      </c>
      <c r="BM1245" s="1">
        <f>MAX(AC1245,1)</f>
        <v>1</v>
      </c>
      <c r="BN1245" s="1">
        <f t="shared" si="1745"/>
        <v>1</v>
      </c>
      <c r="BO1245" s="1">
        <f t="shared" si="1746"/>
        <v>1</v>
      </c>
    </row>
    <row r="1246" spans="1:67" ht="30.95" customHeight="1">
      <c r="A1246" s="1">
        <f>34</f>
        <v>34</v>
      </c>
      <c r="B1246" s="1">
        <f>固定流程!A22</f>
        <v>17</v>
      </c>
      <c r="C1246" s="1">
        <f>37</f>
        <v>37</v>
      </c>
      <c r="D1246" s="1">
        <f>1</f>
        <v>1</v>
      </c>
      <c r="E1246" s="1">
        <f>固定流程!C22</f>
        <v>3</v>
      </c>
      <c r="F1246" s="1">
        <f>固定流程!G22</f>
        <v>2</v>
      </c>
      <c r="G1246" s="1" t="str">
        <f>固定流程!H22</f>
        <v>37_FOLLOW</v>
      </c>
      <c r="H1246" s="1">
        <f>固定流程!F22</f>
        <v>1</v>
      </c>
      <c r="I1246" s="1">
        <f>INDEX(配置与结果!$B$15:$B$18,F1246)</f>
        <v>2306</v>
      </c>
      <c r="J1246" s="1">
        <f>INDEX(配置与结果!$D$15:$D$18,F1246)</f>
        <v>0.46</v>
      </c>
      <c r="K1246" s="1">
        <f>INDEX(配置与结果!$E$15:$E$18,F1246)</f>
        <v>1.9279999999999999</v>
      </c>
      <c r="L1246" s="1">
        <f t="shared" si="1757"/>
        <v>2</v>
      </c>
      <c r="M1246" s="1">
        <f t="shared" si="1758"/>
        <v>10</v>
      </c>
      <c r="N1246" s="1">
        <f t="shared" si="1759"/>
        <v>2</v>
      </c>
      <c r="O1246" s="1">
        <f t="shared" si="1751"/>
        <v>6</v>
      </c>
      <c r="P1246" s="1">
        <f>MIN(方案参数!$AI$37,AZ1245+0+0)</f>
        <v>5</v>
      </c>
      <c r="Q1246" s="1">
        <f t="shared" si="1729"/>
        <v>5</v>
      </c>
      <c r="R1246" s="1">
        <f t="shared" si="1730"/>
        <v>10</v>
      </c>
      <c r="S1246" s="1">
        <f t="shared" si="1731"/>
        <v>2</v>
      </c>
      <c r="T1246" s="1">
        <f t="shared" ref="T1246:T1265" si="1766">BD1245+0</f>
        <v>2</v>
      </c>
      <c r="U1246" s="1">
        <f t="shared" si="1733"/>
        <v>0</v>
      </c>
      <c r="V1246" s="1">
        <f t="shared" si="1734"/>
        <v>2</v>
      </c>
      <c r="W1246" s="1">
        <f t="shared" si="1735"/>
        <v>1</v>
      </c>
      <c r="X1246" s="1">
        <f t="shared" si="1736"/>
        <v>1</v>
      </c>
      <c r="Y1246" s="1">
        <f t="shared" si="1737"/>
        <v>1</v>
      </c>
      <c r="Z1246" s="1">
        <f t="shared" si="1738"/>
        <v>1</v>
      </c>
      <c r="AA1246" s="1">
        <f t="shared" si="1762"/>
        <v>1</v>
      </c>
      <c r="AB1246" s="1">
        <f t="shared" si="1740"/>
        <v>0</v>
      </c>
      <c r="AC1246" s="1">
        <f t="shared" ref="AC1246:AC1265" si="1767">MAX(BM1245,0)</f>
        <v>1</v>
      </c>
      <c r="AD1246" s="1">
        <f>ROUNDDOWN(I1246*(1+IF(F1246=3,0.05+方案参数!$Y$37+AA1246*0.12,IF(F1246=4,方案参数!$BZ$37*方案参数!$AS$37,0)))+IF(AND(X1246=1,F1246&lt;&gt;3),方案参数!$CC$37,0)+AC1246*方案参数!$CB$37,0)</f>
        <v>3044</v>
      </c>
      <c r="AE1246" s="1">
        <f>IF(OR(F1246=1,F1246=4),配置与结果!$B$24,配置与结果!$B$25)*MAX(0,1-INDEX(配置与结果!$I$15:$I$18,F1246))</f>
        <v>1000</v>
      </c>
      <c r="AF1246" s="1">
        <f>方案参数!$BV$37</f>
        <v>3</v>
      </c>
      <c r="AG1246" s="1">
        <f>MAX(配置与结果!$B$32,1+INDEX(配置与结果!$F$15:$F$18,F1246)+0+Q1246*方案参数!$W$37+Y1246*(方案参数!$AN$37+MIN(方案参数!$AO$37,P1246*0.03))+AB1246*方案参数!$BZ$37*0.025-配置与结果!$B$28)</f>
        <v>1.0049999999999999</v>
      </c>
      <c r="AH1246" s="1">
        <f>MAX(0,1+INDEX(配置与结果!$G$15:$G$18,F1246)+W1246*方案参数!$AG$37)</f>
        <v>1.3</v>
      </c>
      <c r="AI1246" s="1">
        <f>IF(OR(INDEX(配置与结果!$K$15:$K$18,F1246)=1,G1246="RHI_BERRY"),1+配置与结果!$B$33+P1246*方案参数!$AH$37,1)</f>
        <v>1</v>
      </c>
      <c r="AJ1246" s="1">
        <f>MIN(1,MAX(0,J1246+方案参数!$AB$37-配置与结果!$B$27))</f>
        <v>0.76</v>
      </c>
      <c r="AK1246" s="1">
        <f>MAX(1,K1246+IF(F1246=2,0.15+方案参数!$CH$37,0)+BN1246*方案参数!$X$37+R1246*方案参数!$AA$37+0-配置与结果!$B$26+Z1246*(方案参数!$AP$37+MIN(方案参数!$AQ$37,P1246*0.03)))</f>
        <v>2.3879999999999999</v>
      </c>
      <c r="AL1246" s="7">
        <f>ROUNDDOWN(MAX(AD1246*配置与结果!$B$31,AD1246-AE1246)*AF1246*AG1246*AH1246*AI1246,0)</f>
        <v>8011</v>
      </c>
      <c r="AM1246" s="7">
        <f>ROUNDDOWN(MAX(AD1246*配置与结果!$B$31,AD1246-AE1246)*AF1246*AG1246*AH1246*AI1246*AK1246,0)</f>
        <v>19131</v>
      </c>
      <c r="AN1246" s="7">
        <f t="shared" si="1720"/>
        <v>16462.2</v>
      </c>
      <c r="AO1246" s="7">
        <f>方案参数!$BW$37</f>
        <v>1</v>
      </c>
      <c r="AP1246" s="7">
        <f>MAX(0,1+INDEX(配置与结果!$J$15:$J$18,F1246)+IF(T1246&gt;0,方案参数!$BY$37,0)-配置与结果!$B$30)</f>
        <v>2</v>
      </c>
      <c r="AQ1246" s="7">
        <f t="shared" si="1721"/>
        <v>6088</v>
      </c>
      <c r="AR1246" s="7">
        <f t="shared" si="1722"/>
        <v>14538</v>
      </c>
      <c r="AS1246" s="7">
        <f t="shared" si="1723"/>
        <v>12510</v>
      </c>
      <c r="AT1246" s="7">
        <f>0</f>
        <v>0</v>
      </c>
      <c r="AU1246" s="7">
        <f t="shared" si="1724"/>
        <v>28972.2</v>
      </c>
      <c r="AV1246" s="1">
        <f t="shared" si="1725"/>
        <v>2</v>
      </c>
      <c r="AW1246" s="1">
        <f t="shared" si="1755"/>
        <v>10</v>
      </c>
      <c r="AX1246" s="1">
        <f t="shared" si="1726"/>
        <v>2</v>
      </c>
      <c r="AY1246" s="1">
        <f t="shared" si="1749"/>
        <v>6</v>
      </c>
      <c r="AZ1246" s="1">
        <f t="shared" si="1727"/>
        <v>5</v>
      </c>
      <c r="BA1246" s="1">
        <f t="shared" si="1763"/>
        <v>5</v>
      </c>
      <c r="BB1246" s="1">
        <f>MIN(30,R1246+0)</f>
        <v>10</v>
      </c>
      <c r="BC1246" s="1">
        <f t="shared" si="1756"/>
        <v>2</v>
      </c>
      <c r="BD1246" s="1">
        <f t="shared" si="1750"/>
        <v>1</v>
      </c>
      <c r="BE1246" s="1">
        <f t="shared" si="1743"/>
        <v>0</v>
      </c>
      <c r="BF1246" s="1">
        <f>MIN(4,V1246+1)</f>
        <v>3</v>
      </c>
      <c r="BG1246" s="1">
        <f t="shared" si="1760"/>
        <v>1</v>
      </c>
      <c r="BH1246" s="1">
        <f t="shared" si="1744"/>
        <v>1</v>
      </c>
      <c r="BI1246" s="1">
        <f t="shared" si="1761"/>
        <v>1</v>
      </c>
      <c r="BJ1246" s="1">
        <f t="shared" si="1764"/>
        <v>1</v>
      </c>
      <c r="BK1246" s="1">
        <f t="shared" si="1765"/>
        <v>1</v>
      </c>
      <c r="BL1246" s="1">
        <f t="shared" si="1716"/>
        <v>0</v>
      </c>
      <c r="BM1246" s="1">
        <f t="shared" ref="BM1246:BM1280" si="1768">MAX(AC1246,0)</f>
        <v>1</v>
      </c>
      <c r="BN1246" s="1">
        <f t="shared" si="1745"/>
        <v>1</v>
      </c>
      <c r="BO1246" s="1">
        <f t="shared" si="1746"/>
        <v>1</v>
      </c>
    </row>
    <row r="1247" spans="1:67" ht="30.95" customHeight="1">
      <c r="A1247" s="1">
        <f>34</f>
        <v>34</v>
      </c>
      <c r="B1247" s="1">
        <f>固定流程!A23</f>
        <v>18</v>
      </c>
      <c r="C1247" s="1">
        <f>37</f>
        <v>37</v>
      </c>
      <c r="D1247" s="1">
        <f>1</f>
        <v>1</v>
      </c>
      <c r="E1247" s="1">
        <f>固定流程!C23</f>
        <v>3</v>
      </c>
      <c r="F1247" s="1">
        <f>固定流程!G23</f>
        <v>4</v>
      </c>
      <c r="G1247" s="1" t="str">
        <f>固定流程!H23</f>
        <v>J_HARD</v>
      </c>
      <c r="H1247" s="1">
        <f>固定流程!F23</f>
        <v>1</v>
      </c>
      <c r="I1247" s="1">
        <f>INDEX(配置与结果!$B$15:$B$18,F1247)</f>
        <v>1906</v>
      </c>
      <c r="J1247" s="1">
        <f>INDEX(配置与结果!$D$15:$D$18,F1247)</f>
        <v>0.36699999999999999</v>
      </c>
      <c r="K1247" s="1">
        <f>INDEX(配置与结果!$E$15:$E$18,F1247)</f>
        <v>1.7170000000000001</v>
      </c>
      <c r="L1247" s="1">
        <f t="shared" si="1757"/>
        <v>2</v>
      </c>
      <c r="M1247" s="1">
        <f t="shared" si="1758"/>
        <v>10</v>
      </c>
      <c r="N1247" s="1">
        <f t="shared" si="1759"/>
        <v>2</v>
      </c>
      <c r="O1247" s="1">
        <f t="shared" si="1751"/>
        <v>6</v>
      </c>
      <c r="P1247" s="1">
        <f>MIN(方案参数!$AI$37,AZ1246+0+0)</f>
        <v>5</v>
      </c>
      <c r="Q1247" s="1">
        <f t="shared" si="1729"/>
        <v>5</v>
      </c>
      <c r="R1247" s="1">
        <f t="shared" si="1730"/>
        <v>10</v>
      </c>
      <c r="S1247" s="1">
        <f t="shared" si="1731"/>
        <v>2</v>
      </c>
      <c r="T1247" s="1">
        <f t="shared" si="1766"/>
        <v>1</v>
      </c>
      <c r="U1247" s="1">
        <f t="shared" si="1733"/>
        <v>0</v>
      </c>
      <c r="V1247" s="1">
        <f t="shared" si="1734"/>
        <v>3</v>
      </c>
      <c r="W1247" s="1">
        <f t="shared" si="1735"/>
        <v>1</v>
      </c>
      <c r="X1247" s="1">
        <f t="shared" si="1736"/>
        <v>1</v>
      </c>
      <c r="Y1247" s="1">
        <f t="shared" si="1737"/>
        <v>1</v>
      </c>
      <c r="Z1247" s="1">
        <f t="shared" si="1738"/>
        <v>1</v>
      </c>
      <c r="AA1247" s="1">
        <f t="shared" si="1762"/>
        <v>1</v>
      </c>
      <c r="AB1247" s="1">
        <f t="shared" si="1740"/>
        <v>0</v>
      </c>
      <c r="AC1247" s="1">
        <f t="shared" si="1767"/>
        <v>1</v>
      </c>
      <c r="AD1247" s="1">
        <f>ROUNDDOWN(I1247*(1+IF(F1247=3,0.05+方案参数!$Y$37+AA1247*0.12,IF(F1247=4,方案参数!$BZ$37*方案参数!$AS$37,0)))+IF(AND(X1247=1,F1247&lt;&gt;3),方案参数!$CC$37,0)+AC1247*方案参数!$CB$37,0)</f>
        <v>3311</v>
      </c>
      <c r="AE1247" s="1">
        <f>IF(OR(F1247=1,F1247=4),配置与结果!$B$24,配置与结果!$B$25)*MAX(0,1-INDEX(配置与结果!$I$15:$I$18,F1247))</f>
        <v>1200</v>
      </c>
      <c r="AF1247" s="1">
        <f>3.6*IF(H1247=1,1,IF(H1247=2,1.5,2.5))</f>
        <v>3.6</v>
      </c>
      <c r="AG1247" s="1">
        <f>MAX(配置与结果!$B$32,1+INDEX(配置与结果!$F$15:$F$18,F1247)+0.08+Q1247*方案参数!$W$37+Y1247*(方案参数!$AN$37+MIN(方案参数!$AO$37,P1247*0.03))+AB1247*方案参数!$BZ$37*0.025+0.1+IF(方案参数!$BZ$37&gt;=30,方案参数!$BZ$37*0.01,0)-配置与结果!$B$28)</f>
        <v>1.5550000000000002</v>
      </c>
      <c r="AH1247" s="1">
        <f>MAX(0,1+INDEX(配置与结果!$G$15:$G$18,F1247)+W1247*方案参数!$AG$37)</f>
        <v>1.3</v>
      </c>
      <c r="AI1247" s="1">
        <f>IF(OR(INDEX(配置与结果!$K$15:$K$18,F1247)=1,G1247="RHI_BERRY"),1+配置与结果!$B$33+P1247*方案参数!$AH$37,1)</f>
        <v>1</v>
      </c>
      <c r="AJ1247" s="1">
        <f>MIN(1,MAX(0,J1247+方案参数!$AB$37-配置与结果!$B$27))</f>
        <v>0.66700000000000004</v>
      </c>
      <c r="AK1247" s="1">
        <f>MAX(1,K1247+IF(F1247=2,0.15+方案参数!$CH$37,0)+BN1247*方案参数!$X$37+R1247*方案参数!$AA$37+0-配置与结果!$B$26+Z1247*(方案参数!$AP$37+MIN(方案参数!$AQ$37,P1247*0.03)))</f>
        <v>1.8169999999999999</v>
      </c>
      <c r="AL1247" s="7">
        <f>ROUNDDOWN(MAX(AD1247*配置与结果!$B$31,AD1247-AE1247)*AF1247*AG1247*AH1247*AI1247,0)</f>
        <v>15362</v>
      </c>
      <c r="AM1247" s="7">
        <f>ROUNDDOWN(MAX(AD1247*配置与结果!$B$31,AD1247-AE1247)*AF1247*AG1247*AH1247*AI1247*AK1247,0)</f>
        <v>27913</v>
      </c>
      <c r="AN1247" s="7">
        <f t="shared" si="1720"/>
        <v>23733.517</v>
      </c>
      <c r="AO1247" s="7">
        <f>0</f>
        <v>0</v>
      </c>
      <c r="AP1247" s="7">
        <f>MAX(0,1+INDEX(配置与结果!$J$15:$J$18,F1247)+IF(T1247&gt;0,方案参数!$BY$37,0)-配置与结果!$B$30)</f>
        <v>2</v>
      </c>
      <c r="AQ1247" s="7">
        <f t="shared" si="1721"/>
        <v>0</v>
      </c>
      <c r="AR1247" s="7">
        <f t="shared" si="1722"/>
        <v>0</v>
      </c>
      <c r="AS1247" s="7">
        <f t="shared" si="1723"/>
        <v>0</v>
      </c>
      <c r="AT1247" s="7">
        <f>0</f>
        <v>0</v>
      </c>
      <c r="AU1247" s="7">
        <f t="shared" si="1724"/>
        <v>23733.517</v>
      </c>
      <c r="AV1247" s="1">
        <f t="shared" si="1725"/>
        <v>2</v>
      </c>
      <c r="AW1247" s="1">
        <f t="shared" si="1755"/>
        <v>10</v>
      </c>
      <c r="AX1247" s="1">
        <f t="shared" si="1726"/>
        <v>2</v>
      </c>
      <c r="AY1247" s="1">
        <f t="shared" si="1749"/>
        <v>6</v>
      </c>
      <c r="AZ1247" s="1">
        <f t="shared" si="1727"/>
        <v>5</v>
      </c>
      <c r="BA1247" s="1">
        <f t="shared" si="1763"/>
        <v>5</v>
      </c>
      <c r="BB1247" s="1">
        <f>MIN(30,R1247+0)</f>
        <v>10</v>
      </c>
      <c r="BC1247" s="1">
        <f>MIN(3,S1247+1)</f>
        <v>3</v>
      </c>
      <c r="BD1247" s="1">
        <f t="shared" si="1750"/>
        <v>1</v>
      </c>
      <c r="BE1247" s="1">
        <f t="shared" si="1743"/>
        <v>0</v>
      </c>
      <c r="BF1247" s="1">
        <f>MIN(4,V1247+0)</f>
        <v>3</v>
      </c>
      <c r="BG1247" s="1">
        <f t="shared" si="1760"/>
        <v>1</v>
      </c>
      <c r="BH1247" s="1">
        <f t="shared" si="1744"/>
        <v>1</v>
      </c>
      <c r="BI1247" s="1">
        <f t="shared" si="1761"/>
        <v>1</v>
      </c>
      <c r="BJ1247" s="1">
        <f t="shared" si="1764"/>
        <v>1</v>
      </c>
      <c r="BK1247" s="1">
        <f t="shared" si="1765"/>
        <v>1</v>
      </c>
      <c r="BL1247" s="1">
        <f t="shared" si="1716"/>
        <v>0</v>
      </c>
      <c r="BM1247" s="1">
        <f t="shared" si="1768"/>
        <v>1</v>
      </c>
      <c r="BN1247" s="1">
        <f t="shared" si="1745"/>
        <v>1</v>
      </c>
      <c r="BO1247" s="1">
        <f t="shared" si="1746"/>
        <v>1</v>
      </c>
    </row>
    <row r="1248" spans="1:67" ht="30.95" customHeight="1">
      <c r="A1248" s="1">
        <f>34</f>
        <v>34</v>
      </c>
      <c r="B1248" s="1">
        <f>固定流程!A24</f>
        <v>19</v>
      </c>
      <c r="C1248" s="1">
        <f>37</f>
        <v>37</v>
      </c>
      <c r="D1248" s="1">
        <f>1</f>
        <v>1</v>
      </c>
      <c r="E1248" s="1">
        <f>固定流程!C24</f>
        <v>3</v>
      </c>
      <c r="F1248" s="1">
        <f>固定流程!G24</f>
        <v>4</v>
      </c>
      <c r="G1248" s="1" t="str">
        <f>固定流程!H24</f>
        <v>J_ULT</v>
      </c>
      <c r="H1248" s="1">
        <f>固定流程!F24</f>
        <v>1</v>
      </c>
      <c r="I1248" s="1">
        <f>INDEX(配置与结果!$B$15:$B$18,F1248)</f>
        <v>1906</v>
      </c>
      <c r="J1248" s="1">
        <f>INDEX(配置与结果!$D$15:$D$18,F1248)</f>
        <v>0.36699999999999999</v>
      </c>
      <c r="K1248" s="1">
        <f>INDEX(配置与结果!$E$15:$E$18,F1248)</f>
        <v>1.7170000000000001</v>
      </c>
      <c r="L1248" s="1">
        <f t="shared" si="1757"/>
        <v>2</v>
      </c>
      <c r="M1248" s="1">
        <f t="shared" si="1758"/>
        <v>10</v>
      </c>
      <c r="N1248" s="1">
        <f t="shared" si="1759"/>
        <v>2</v>
      </c>
      <c r="O1248" s="1">
        <f t="shared" si="1751"/>
        <v>6</v>
      </c>
      <c r="P1248" s="1">
        <f>MIN(方案参数!$AI$37,AZ1247+0+0)</f>
        <v>5</v>
      </c>
      <c r="Q1248" s="1">
        <f t="shared" si="1729"/>
        <v>5</v>
      </c>
      <c r="R1248" s="1">
        <f t="shared" si="1730"/>
        <v>10</v>
      </c>
      <c r="S1248" s="1">
        <f t="shared" si="1731"/>
        <v>3</v>
      </c>
      <c r="T1248" s="1">
        <f t="shared" si="1766"/>
        <v>1</v>
      </c>
      <c r="U1248" s="1">
        <f t="shared" si="1733"/>
        <v>0</v>
      </c>
      <c r="V1248" s="1">
        <f t="shared" si="1734"/>
        <v>3</v>
      </c>
      <c r="W1248" s="1">
        <f t="shared" si="1735"/>
        <v>1</v>
      </c>
      <c r="X1248" s="1">
        <f t="shared" si="1736"/>
        <v>1</v>
      </c>
      <c r="Y1248" s="1">
        <f t="shared" si="1737"/>
        <v>1</v>
      </c>
      <c r="Z1248" s="1">
        <f t="shared" si="1738"/>
        <v>1</v>
      </c>
      <c r="AA1248" s="1">
        <f t="shared" si="1762"/>
        <v>1</v>
      </c>
      <c r="AB1248" s="1">
        <f t="shared" si="1740"/>
        <v>0</v>
      </c>
      <c r="AC1248" s="1">
        <f t="shared" si="1767"/>
        <v>1</v>
      </c>
      <c r="AD1248" s="1">
        <f>ROUNDDOWN(I1248*(1+IF(F1248=3,0.05+方案参数!$Y$37+AA1248*0.12,IF(F1248=4,方案参数!$BZ$37*方案参数!$AS$37,0)))+IF(AND(X1248=1,F1248&lt;&gt;3),方案参数!$CC$37,0)+AC1248*方案参数!$CB$37,0)</f>
        <v>3311</v>
      </c>
      <c r="AE1248" s="1">
        <f>IF(OR(F1248=1,F1248=4),配置与结果!$B$24,配置与结果!$B$25)*MAX(0,1-INDEX(配置与结果!$I$15:$I$18,F1248))</f>
        <v>1200</v>
      </c>
      <c r="AF1248" s="1">
        <f>方案参数!$AT$37+MAX(0,配置与结果!$H$26+方案参数!$BZ$37-30)*方案参数!$AU$37*配置与结果!$H$27</f>
        <v>42</v>
      </c>
      <c r="AG1248" s="1">
        <f>MAX(配置与结果!$B$32,1+INDEX(配置与结果!$F$15:$F$18,F1248)+0.08+Q1248*方案参数!$W$37+Y1248*(方案参数!$AN$37+MIN(方案参数!$AO$37,P1248*0.03))+AB1248*方案参数!$BZ$37*0.025-配置与结果!$B$28)</f>
        <v>1.105</v>
      </c>
      <c r="AH1248" s="1">
        <f>MAX(0,1+INDEX(配置与结果!$H$15:$H$18,F1248)+W1248*方案参数!$AG$37+S1248*方案参数!$Z$37)</f>
        <v>1.42</v>
      </c>
      <c r="AI1248" s="1">
        <f>IF(OR(INDEX(配置与结果!$K$15:$K$18,F1248)=1,G1248="RHI_BERRY"),1+配置与结果!$B$33+P1248*方案参数!$AH$37,1)</f>
        <v>1</v>
      </c>
      <c r="AJ1248" s="1">
        <f>MIN(1,MAX(0,J1248+方案参数!$AB$37-配置与结果!$B$27))</f>
        <v>0.66700000000000004</v>
      </c>
      <c r="AK1248" s="1">
        <f>MAX(1,K1248+IF(F1248=2,0.15+方案参数!$CH$37,0)+BN1248*方案参数!$X$37+R1248*方案参数!$AA$37+0-配置与结果!$B$26+Z1248*(方案参数!$AP$37+MIN(方案参数!$AQ$37,P1248*0.03)))</f>
        <v>1.8169999999999999</v>
      </c>
      <c r="AL1248" s="7">
        <f>ROUNDDOWN(MAX(AD1248*配置与结果!$B$31,AD1248-AE1248)*AF1248*AG1248*AH1248*AI1248,0)</f>
        <v>139119</v>
      </c>
      <c r="AM1248" s="7">
        <f>ROUNDDOWN(MAX(AD1248*配置与结果!$B$31,AD1248-AE1248)*AF1248*AG1248*AH1248*AI1248*AK1248,0)</f>
        <v>252780</v>
      </c>
      <c r="AN1248" s="7">
        <f t="shared" si="1720"/>
        <v>214930.88699999999</v>
      </c>
      <c r="AO1248" s="7">
        <f>0</f>
        <v>0</v>
      </c>
      <c r="AP1248" s="7">
        <f>MAX(0,1+INDEX(配置与结果!$J$15:$J$18,F1248)+IF(T1248&gt;0,方案参数!$BY$37,0)-配置与结果!$B$30)</f>
        <v>2</v>
      </c>
      <c r="AQ1248" s="7">
        <f t="shared" si="1721"/>
        <v>0</v>
      </c>
      <c r="AR1248" s="7">
        <f t="shared" si="1722"/>
        <v>0</v>
      </c>
      <c r="AS1248" s="7">
        <f t="shared" si="1723"/>
        <v>0</v>
      </c>
      <c r="AT1248" s="7">
        <f>0</f>
        <v>0</v>
      </c>
      <c r="AU1248" s="7">
        <f t="shared" si="1724"/>
        <v>214930.88699999999</v>
      </c>
      <c r="AV1248" s="1">
        <f t="shared" si="1725"/>
        <v>2</v>
      </c>
      <c r="AW1248" s="1">
        <f t="shared" si="1755"/>
        <v>10</v>
      </c>
      <c r="AX1248" s="1">
        <f t="shared" si="1726"/>
        <v>2</v>
      </c>
      <c r="AY1248" s="1">
        <f t="shared" si="1749"/>
        <v>6</v>
      </c>
      <c r="AZ1248" s="1">
        <f t="shared" si="1727"/>
        <v>5</v>
      </c>
      <c r="BA1248" s="1">
        <f t="shared" si="1763"/>
        <v>5</v>
      </c>
      <c r="BB1248" s="1">
        <f>MIN(30,R1248+5)</f>
        <v>15</v>
      </c>
      <c r="BC1248" s="1">
        <f t="shared" ref="BC1248:BC1271" si="1769">MIN(3,S1248+0)</f>
        <v>3</v>
      </c>
      <c r="BD1248" s="1">
        <f t="shared" si="1750"/>
        <v>1</v>
      </c>
      <c r="BE1248" s="1">
        <f t="shared" si="1743"/>
        <v>0</v>
      </c>
      <c r="BF1248" s="1">
        <f>MIN(4,V1248+0)</f>
        <v>3</v>
      </c>
      <c r="BG1248" s="1">
        <f t="shared" si="1760"/>
        <v>1</v>
      </c>
      <c r="BH1248" s="1">
        <f t="shared" si="1744"/>
        <v>1</v>
      </c>
      <c r="BI1248" s="1">
        <f t="shared" si="1761"/>
        <v>1</v>
      </c>
      <c r="BJ1248" s="1">
        <f t="shared" si="1764"/>
        <v>1</v>
      </c>
      <c r="BK1248" s="1">
        <f t="shared" si="1765"/>
        <v>1</v>
      </c>
      <c r="BL1248" s="1">
        <f>MAX(AB1248,1)</f>
        <v>1</v>
      </c>
      <c r="BM1248" s="1">
        <f t="shared" si="1768"/>
        <v>1</v>
      </c>
      <c r="BN1248" s="1">
        <f t="shared" si="1745"/>
        <v>1</v>
      </c>
      <c r="BO1248" s="1">
        <f t="shared" si="1746"/>
        <v>1</v>
      </c>
    </row>
    <row r="1249" spans="1:67" ht="30.95" customHeight="1">
      <c r="A1249" s="1">
        <f>34</f>
        <v>34</v>
      </c>
      <c r="B1249" s="1">
        <f>固定流程!A25</f>
        <v>20</v>
      </c>
      <c r="C1249" s="1">
        <f>37</f>
        <v>37</v>
      </c>
      <c r="D1249" s="1">
        <f>1</f>
        <v>1</v>
      </c>
      <c r="E1249" s="1">
        <f>固定流程!C25</f>
        <v>3</v>
      </c>
      <c r="F1249" s="1">
        <f>固定流程!G25</f>
        <v>1</v>
      </c>
      <c r="G1249" s="1" t="str">
        <f>固定流程!H25</f>
        <v>LILYA_ULT</v>
      </c>
      <c r="H1249" s="1">
        <f>固定流程!F25</f>
        <v>1</v>
      </c>
      <c r="I1249" s="1">
        <f>INDEX(配置与结果!$B$15:$B$18,F1249)</f>
        <v>2296</v>
      </c>
      <c r="J1249" s="1">
        <f>INDEX(配置与结果!$D$15:$D$18,F1249)</f>
        <v>0.7</v>
      </c>
      <c r="K1249" s="1">
        <f>INDEX(配置与结果!$E$15:$E$18,F1249)</f>
        <v>2.0249999999999999</v>
      </c>
      <c r="L1249" s="1">
        <f t="shared" si="1757"/>
        <v>2</v>
      </c>
      <c r="M1249" s="1">
        <f t="shared" si="1758"/>
        <v>10</v>
      </c>
      <c r="N1249" s="1">
        <f t="shared" si="1759"/>
        <v>2</v>
      </c>
      <c r="O1249" s="1">
        <f t="shared" si="1751"/>
        <v>6</v>
      </c>
      <c r="P1249" s="1">
        <f>MIN(方案参数!$AI$37,AZ1248+0+0)</f>
        <v>5</v>
      </c>
      <c r="Q1249" s="1">
        <f t="shared" si="1729"/>
        <v>5</v>
      </c>
      <c r="R1249" s="1">
        <f t="shared" si="1730"/>
        <v>15</v>
      </c>
      <c r="S1249" s="1">
        <f t="shared" si="1731"/>
        <v>3</v>
      </c>
      <c r="T1249" s="1">
        <f t="shared" si="1766"/>
        <v>1</v>
      </c>
      <c r="U1249" s="1">
        <f t="shared" si="1733"/>
        <v>0</v>
      </c>
      <c r="V1249" s="1">
        <f t="shared" si="1734"/>
        <v>3</v>
      </c>
      <c r="W1249" s="1">
        <f t="shared" si="1735"/>
        <v>1</v>
      </c>
      <c r="X1249" s="1">
        <f t="shared" si="1736"/>
        <v>1</v>
      </c>
      <c r="Y1249" s="1">
        <f t="shared" si="1737"/>
        <v>1</v>
      </c>
      <c r="Z1249" s="1">
        <f t="shared" si="1738"/>
        <v>1</v>
      </c>
      <c r="AA1249" s="1">
        <f t="shared" si="1762"/>
        <v>1</v>
      </c>
      <c r="AB1249" s="1">
        <f t="shared" si="1740"/>
        <v>1</v>
      </c>
      <c r="AC1249" s="1">
        <f t="shared" si="1767"/>
        <v>1</v>
      </c>
      <c r="AD1249" s="1">
        <f>ROUNDDOWN(I1249*(1+IF(F1249=3,0.05+方案参数!$Y$37+AA1249*0.12,IF(F1249=4,方案参数!$BZ$37*方案参数!$AS$37,0)))+IF(AND(X1249=1,F1249&lt;&gt;3),方案参数!$CC$37,0)+AC1249*方案参数!$CB$37,0)</f>
        <v>3034</v>
      </c>
      <c r="AE1249" s="1">
        <f>IF(OR(F1249=1,F1249=4),配置与结果!$B$24,配置与结果!$B$25)*MAX(0,1-INDEX(配置与结果!$I$15:$I$18,F1249)+IF(O1249&gt;=6,方案参数!$BK$37,0))</f>
        <v>1440</v>
      </c>
      <c r="AF1249" s="1">
        <f>方案参数!$BG$37+IF(O1249&gt;=6,方案参数!$BH$37,0)</f>
        <v>36</v>
      </c>
      <c r="AG1249" s="1">
        <f>MAX(配置与结果!$B$32,1+INDEX(配置与结果!$F$15:$F$18,F1249)+0.08+方案参数!$CD$37+Q1249*方案参数!$W$37+Y1249*(方案参数!$AN$37+MIN(方案参数!$AO$37,P1249*0.03))+AB1249*方案参数!$BZ$37*0.025-配置与结果!$B$28)</f>
        <v>2.2150000000000003</v>
      </c>
      <c r="AH1249" s="1">
        <f>MAX(0,1+INDEX(配置与结果!$H$15:$H$18,F1249)+W1249*方案参数!$AG$37+O1249*方案参数!$BF$37+IF(O1249&gt;=6,方案参数!$BI$37,0))</f>
        <v>2.4500000000000002</v>
      </c>
      <c r="AI1249" s="1">
        <f>IF(OR(INDEX(配置与结果!$K$15:$K$18,F1249)=1,G1249="RHI_BERRY"),1+配置与结果!$B$33+P1249*方案参数!$AH$37,1)</f>
        <v>1</v>
      </c>
      <c r="AJ1249" s="1">
        <f>MIN(1,MAX(0,J1249+方案参数!$AB$37-配置与结果!$B$27))</f>
        <v>1</v>
      </c>
      <c r="AK1249" s="1">
        <f>MAX(1,K1249+IF(F1249=2,0.15+方案参数!$CH$37,0)+BN1249*方案参数!$X$37+R1249*方案参数!$AA$37+IF(O1249&gt;=6,方案参数!$BJ$37,0)-配置与结果!$B$26+Z1249*(方案参数!$AP$37+MIN(方案参数!$AQ$37,P1249*0.03)))</f>
        <v>3.145</v>
      </c>
      <c r="AL1249" s="7">
        <f>ROUNDDOWN(MAX(AD1249*配置与结果!$B$31,AD1249-AE1249)*AF1249*AG1249*AH1249*AI1249,0)</f>
        <v>311408</v>
      </c>
      <c r="AM1249" s="7">
        <f>ROUNDDOWN(MAX(AD1249*配置与结果!$B$31,AD1249-AE1249)*AF1249*AG1249*AH1249*AI1249*AK1249,0)</f>
        <v>979380</v>
      </c>
      <c r="AN1249" s="7">
        <f t="shared" si="1720"/>
        <v>979380</v>
      </c>
      <c r="AO1249" s="7">
        <f>0</f>
        <v>0</v>
      </c>
      <c r="AP1249" s="7">
        <f>MAX(0,1+INDEX(配置与结果!$J$15:$J$18,F1249)+IF(T1249&gt;0,方案参数!$BY$37,0)-配置与结果!$B$30)</f>
        <v>2</v>
      </c>
      <c r="AQ1249" s="7">
        <f t="shared" si="1721"/>
        <v>0</v>
      </c>
      <c r="AR1249" s="7">
        <f t="shared" si="1722"/>
        <v>0</v>
      </c>
      <c r="AS1249" s="7">
        <f t="shared" si="1723"/>
        <v>0</v>
      </c>
      <c r="AT1249" s="7">
        <f>0</f>
        <v>0</v>
      </c>
      <c r="AU1249" s="7">
        <f t="shared" si="1724"/>
        <v>979380</v>
      </c>
      <c r="AV1249" s="1">
        <f t="shared" si="1725"/>
        <v>2</v>
      </c>
      <c r="AW1249" s="1">
        <f t="shared" si="1755"/>
        <v>10</v>
      </c>
      <c r="AX1249" s="1">
        <f t="shared" si="1726"/>
        <v>2</v>
      </c>
      <c r="AY1249" s="1">
        <f>MIN(20,MAX(0,O1249+0+0-IF(O1249&gt;=6,6,0)))</f>
        <v>0</v>
      </c>
      <c r="AZ1249" s="1">
        <f t="shared" si="1727"/>
        <v>5</v>
      </c>
      <c r="BA1249" s="1">
        <f t="shared" si="1763"/>
        <v>5</v>
      </c>
      <c r="BB1249" s="1">
        <f>MIN(30,R1249+5)</f>
        <v>20</v>
      </c>
      <c r="BC1249" s="1">
        <f t="shared" si="1769"/>
        <v>3</v>
      </c>
      <c r="BD1249" s="1">
        <f t="shared" si="1750"/>
        <v>1</v>
      </c>
      <c r="BE1249" s="1">
        <f t="shared" si="1743"/>
        <v>0</v>
      </c>
      <c r="BF1249" s="1">
        <f>MIN(4,V1249+0)</f>
        <v>3</v>
      </c>
      <c r="BG1249" s="1">
        <f t="shared" si="1760"/>
        <v>1</v>
      </c>
      <c r="BH1249" s="1">
        <f t="shared" si="1744"/>
        <v>1</v>
      </c>
      <c r="BI1249" s="1">
        <f t="shared" si="1761"/>
        <v>1</v>
      </c>
      <c r="BJ1249" s="1">
        <f t="shared" si="1764"/>
        <v>1</v>
      </c>
      <c r="BK1249" s="1">
        <f t="shared" si="1765"/>
        <v>1</v>
      </c>
      <c r="BL1249" s="1">
        <f t="shared" ref="BL1249:BL1283" si="1770">MAX(AB1249,0)</f>
        <v>1</v>
      </c>
      <c r="BM1249" s="1">
        <f t="shared" si="1768"/>
        <v>1</v>
      </c>
      <c r="BN1249" s="1">
        <f t="shared" si="1745"/>
        <v>1</v>
      </c>
      <c r="BO1249" s="1">
        <f t="shared" si="1746"/>
        <v>1</v>
      </c>
    </row>
    <row r="1250" spans="1:67" ht="30.95" customHeight="1">
      <c r="A1250" s="1">
        <f>34</f>
        <v>34</v>
      </c>
      <c r="B1250" s="1">
        <f>固定流程!A26</f>
        <v>21</v>
      </c>
      <c r="C1250" s="1">
        <f>37</f>
        <v>37</v>
      </c>
      <c r="D1250" s="1">
        <f>1</f>
        <v>1</v>
      </c>
      <c r="E1250" s="1">
        <f>固定流程!C26</f>
        <v>3</v>
      </c>
      <c r="F1250" s="1">
        <f>固定流程!G26</f>
        <v>1</v>
      </c>
      <c r="G1250" s="1" t="str">
        <f>固定流程!H26</f>
        <v>LILYA_DIVE</v>
      </c>
      <c r="H1250" s="1">
        <f>固定流程!F26</f>
        <v>3</v>
      </c>
      <c r="I1250" s="1">
        <f>INDEX(配置与结果!$B$15:$B$18,F1250)</f>
        <v>2296</v>
      </c>
      <c r="J1250" s="1">
        <f>INDEX(配置与结果!$D$15:$D$18,F1250)</f>
        <v>0.7</v>
      </c>
      <c r="K1250" s="1">
        <f>INDEX(配置与结果!$E$15:$E$18,F1250)</f>
        <v>2.0249999999999999</v>
      </c>
      <c r="L1250" s="1">
        <f t="shared" si="1757"/>
        <v>2</v>
      </c>
      <c r="M1250" s="1">
        <f t="shared" si="1758"/>
        <v>10</v>
      </c>
      <c r="N1250" s="1">
        <f t="shared" si="1759"/>
        <v>2</v>
      </c>
      <c r="O1250" s="1">
        <f t="shared" si="1751"/>
        <v>0</v>
      </c>
      <c r="P1250" s="1">
        <f>MIN(方案参数!$AI$37,AZ1249+0+0)</f>
        <v>5</v>
      </c>
      <c r="Q1250" s="1">
        <f t="shared" si="1729"/>
        <v>5</v>
      </c>
      <c r="R1250" s="1">
        <f t="shared" si="1730"/>
        <v>20</v>
      </c>
      <c r="S1250" s="1">
        <f t="shared" si="1731"/>
        <v>3</v>
      </c>
      <c r="T1250" s="1">
        <f t="shared" si="1766"/>
        <v>1</v>
      </c>
      <c r="U1250" s="1">
        <f t="shared" si="1733"/>
        <v>0</v>
      </c>
      <c r="V1250" s="1">
        <f t="shared" si="1734"/>
        <v>3</v>
      </c>
      <c r="W1250" s="1">
        <f t="shared" si="1735"/>
        <v>1</v>
      </c>
      <c r="X1250" s="1">
        <f t="shared" si="1736"/>
        <v>1</v>
      </c>
      <c r="Y1250" s="1">
        <f t="shared" si="1737"/>
        <v>1</v>
      </c>
      <c r="Z1250" s="1">
        <f t="shared" si="1738"/>
        <v>1</v>
      </c>
      <c r="AA1250" s="1">
        <f t="shared" si="1762"/>
        <v>1</v>
      </c>
      <c r="AB1250" s="1">
        <f t="shared" si="1740"/>
        <v>1</v>
      </c>
      <c r="AC1250" s="1">
        <f t="shared" si="1767"/>
        <v>1</v>
      </c>
      <c r="AD1250" s="1">
        <f>ROUNDDOWN(I1250*(1+IF(F1250=3,0.05+方案参数!$Y$37+AA1250*0.12,IF(F1250=4,方案参数!$BZ$37*方案参数!$AS$37,0)))+IF(AND(X1250=1,F1250&lt;&gt;3),方案参数!$CC$37,0)+AC1250*方案参数!$CB$37,0)</f>
        <v>3034</v>
      </c>
      <c r="AE1250" s="1">
        <f>IF(OR(F1250=1,F1250=4),配置与结果!$B$24,配置与结果!$B$25)*MAX(0,1-INDEX(配置与结果!$I$15:$I$18,F1250))</f>
        <v>1200</v>
      </c>
      <c r="AF1250" s="1">
        <f>(IF(L1250=1,方案参数!$AW$37,IF(L1250=2,方案参数!$AX$37,0))+方案参数!$AV$37)*H1250</f>
        <v>30</v>
      </c>
      <c r="AG1250" s="1">
        <f>MAX(配置与结果!$B$32,1+INDEX(配置与结果!$F$15:$F$18,F1250)+0.08+方案参数!$CD$37+Q1250*方案参数!$W$37+Y1250*(方案参数!$AN$37+MIN(方案参数!$AO$37,P1250*0.03))+AB1250*方案参数!$BZ$37*0.025+IF(L1250=1,方案参数!$AY$37+(H1250-1)*0.1,IF(L1250=2,方案参数!$AZ$37+(H1250-1)*0.2,0))-配置与结果!$B$28)</f>
        <v>2.8150000000000004</v>
      </c>
      <c r="AH1250" s="1">
        <f>MAX(0,1+INDEX(配置与结果!$G$15:$G$18,F1250)+W1250*方案参数!$AG$37+IF(L1250=1,方案参数!$BA$37,IF(L1250=2,方案参数!$BB$37,0))+M1250*方案参数!$BC$37)</f>
        <v>3.1</v>
      </c>
      <c r="AI1250" s="1">
        <f>IF(OR(INDEX(配置与结果!$K$15:$K$18,F1250)=1,G1250="RHI_BERRY"),1+配置与结果!$B$33+P1250*方案参数!$AH$37,1)</f>
        <v>1</v>
      </c>
      <c r="AJ1250" s="1">
        <f>MIN(1,MAX(0,J1250+方案参数!$AB$37-配置与结果!$B$27))</f>
        <v>1</v>
      </c>
      <c r="AK1250" s="1">
        <f>MAX(1,K1250+IF(F1250=2,0.15+方案参数!$CH$37,0)+BN1250*方案参数!$X$37+R1250*方案参数!$AA$37+0-配置与结果!$B$26+Z1250*(方案参数!$AP$37+MIN(方案参数!$AQ$37,P1250*0.03)))</f>
        <v>2.165</v>
      </c>
      <c r="AL1250" s="7">
        <f>ROUNDDOWN(MAX(AD1250*配置与结果!$B$31,AD1250-AE1250)*AF1250*AG1250*AH1250*AI1250,0)</f>
        <v>480132</v>
      </c>
      <c r="AM1250" s="7">
        <f>ROUNDDOWN(MAX(AD1250*配置与结果!$B$31,AD1250-AE1250)*AF1250*AG1250*AH1250*AI1250*AK1250,0)</f>
        <v>1039485</v>
      </c>
      <c r="AN1250" s="7">
        <f t="shared" si="1720"/>
        <v>1039485</v>
      </c>
      <c r="AO1250" s="7">
        <f>0</f>
        <v>0</v>
      </c>
      <c r="AP1250" s="7">
        <f>MAX(0,1+INDEX(配置与结果!$J$15:$J$18,F1250)+IF(T1250&gt;0,方案参数!$BY$37,0)-配置与结果!$B$30)</f>
        <v>2</v>
      </c>
      <c r="AQ1250" s="7">
        <f t="shared" si="1721"/>
        <v>0</v>
      </c>
      <c r="AR1250" s="7">
        <f t="shared" si="1722"/>
        <v>0</v>
      </c>
      <c r="AS1250" s="7">
        <f t="shared" si="1723"/>
        <v>0</v>
      </c>
      <c r="AT1250" s="7">
        <f>0</f>
        <v>0</v>
      </c>
      <c r="AU1250" s="7">
        <f t="shared" si="1724"/>
        <v>1039485</v>
      </c>
      <c r="AV1250" s="1">
        <f t="shared" si="1725"/>
        <v>2</v>
      </c>
      <c r="AW1250" s="1">
        <f>MIN(10,M1250+0+IF(L1250=1,方案参数!$BE$37,0))</f>
        <v>10</v>
      </c>
      <c r="AX1250" s="1">
        <f t="shared" si="1726"/>
        <v>2</v>
      </c>
      <c r="AY1250" s="1">
        <f>MIN(20,MAX(0,O1250+0+0-0))</f>
        <v>0</v>
      </c>
      <c r="AZ1250" s="1">
        <f t="shared" si="1727"/>
        <v>5</v>
      </c>
      <c r="BA1250" s="1">
        <f t="shared" si="1763"/>
        <v>5</v>
      </c>
      <c r="BB1250" s="1">
        <f t="shared" ref="BB1250:BB1265" si="1771">MIN(30,R1250+0)</f>
        <v>20</v>
      </c>
      <c r="BC1250" s="1">
        <f t="shared" si="1769"/>
        <v>3</v>
      </c>
      <c r="BD1250" s="1">
        <f t="shared" si="1750"/>
        <v>1</v>
      </c>
      <c r="BE1250" s="1">
        <f t="shared" si="1743"/>
        <v>0</v>
      </c>
      <c r="BF1250" s="1">
        <f>MIN(4,V1250+0)</f>
        <v>3</v>
      </c>
      <c r="BG1250" s="1">
        <f t="shared" si="1760"/>
        <v>1</v>
      </c>
      <c r="BH1250" s="1">
        <f t="shared" si="1744"/>
        <v>1</v>
      </c>
      <c r="BI1250" s="1">
        <f t="shared" si="1761"/>
        <v>1</v>
      </c>
      <c r="BJ1250" s="1">
        <f t="shared" si="1764"/>
        <v>1</v>
      </c>
      <c r="BK1250" s="1">
        <f t="shared" si="1765"/>
        <v>1</v>
      </c>
      <c r="BL1250" s="1">
        <f t="shared" si="1770"/>
        <v>1</v>
      </c>
      <c r="BM1250" s="1">
        <f t="shared" si="1768"/>
        <v>1</v>
      </c>
      <c r="BN1250" s="1">
        <f t="shared" si="1745"/>
        <v>1</v>
      </c>
      <c r="BO1250" s="1">
        <f t="shared" si="1746"/>
        <v>1</v>
      </c>
    </row>
    <row r="1251" spans="1:67" ht="30.95" customHeight="1">
      <c r="A1251" s="1">
        <f>34</f>
        <v>34</v>
      </c>
      <c r="B1251" s="1">
        <f>固定流程!A27</f>
        <v>22</v>
      </c>
      <c r="C1251" s="1">
        <f>37</f>
        <v>37</v>
      </c>
      <c r="D1251" s="1">
        <f>1</f>
        <v>1</v>
      </c>
      <c r="E1251" s="1">
        <f>固定流程!C27</f>
        <v>3</v>
      </c>
      <c r="F1251" s="1">
        <f>固定流程!G27</f>
        <v>3</v>
      </c>
      <c r="G1251" s="1" t="str">
        <f>固定流程!H27</f>
        <v>RHI_BERRY</v>
      </c>
      <c r="H1251" s="1">
        <f>固定流程!F27</f>
        <v>1</v>
      </c>
      <c r="I1251" s="1">
        <f>INDEX(配置与结果!$B$15:$B$18,F1251)</f>
        <v>2597</v>
      </c>
      <c r="J1251" s="1">
        <f>INDEX(配置与结果!$D$15:$D$18,F1251)</f>
        <v>0.255</v>
      </c>
      <c r="K1251" s="1">
        <f>INDEX(配置与结果!$E$15:$E$18,F1251)</f>
        <v>1.55</v>
      </c>
      <c r="L1251" s="1">
        <f t="shared" si="1757"/>
        <v>2</v>
      </c>
      <c r="M1251" s="1">
        <f t="shared" si="1758"/>
        <v>10</v>
      </c>
      <c r="N1251" s="1">
        <f t="shared" si="1759"/>
        <v>2</v>
      </c>
      <c r="O1251" s="1">
        <f t="shared" si="1751"/>
        <v>0</v>
      </c>
      <c r="P1251" s="1">
        <f>MIN(方案参数!$AI$37,AZ1250+0+0)</f>
        <v>5</v>
      </c>
      <c r="Q1251" s="1">
        <f t="shared" si="1729"/>
        <v>5</v>
      </c>
      <c r="R1251" s="1">
        <f t="shared" si="1730"/>
        <v>20</v>
      </c>
      <c r="S1251" s="1">
        <f t="shared" si="1731"/>
        <v>3</v>
      </c>
      <c r="T1251" s="1">
        <f t="shared" si="1766"/>
        <v>1</v>
      </c>
      <c r="U1251" s="1">
        <f t="shared" si="1733"/>
        <v>0</v>
      </c>
      <c r="V1251" s="1">
        <f t="shared" si="1734"/>
        <v>3</v>
      </c>
      <c r="W1251" s="1">
        <f t="shared" si="1735"/>
        <v>1</v>
      </c>
      <c r="X1251" s="1">
        <f t="shared" si="1736"/>
        <v>1</v>
      </c>
      <c r="Y1251" s="1">
        <f t="shared" si="1737"/>
        <v>1</v>
      </c>
      <c r="Z1251" s="1">
        <f t="shared" si="1738"/>
        <v>1</v>
      </c>
      <c r="AA1251" s="1">
        <f t="shared" si="1762"/>
        <v>1</v>
      </c>
      <c r="AB1251" s="1">
        <f t="shared" si="1740"/>
        <v>1</v>
      </c>
      <c r="AC1251" s="1">
        <f t="shared" si="1767"/>
        <v>1</v>
      </c>
      <c r="AD1251" s="1">
        <f>ROUNDDOWN(I1251*(1+IF(F1251=3,0.05+方案参数!$Y$37+AA1251*0.12,IF(F1251=4,方案参数!$BZ$37*方案参数!$AS$37,0)))+IF(AND(X1251=1,F1251&lt;&gt;3),方案参数!$CC$37,0)+AC1251*方案参数!$CB$37,0)</f>
        <v>3798</v>
      </c>
      <c r="AE1251" s="1">
        <f>IF(OR(F1251=1,F1251=4),配置与结果!$B$24,配置与结果!$B$25)*MAX(0,1-INDEX(配置与结果!$I$15:$I$18,F1251))</f>
        <v>1000</v>
      </c>
      <c r="AF1251" s="1">
        <f>方案参数!$CF$37+P1251*方案参数!$CG$37</f>
        <v>22.5</v>
      </c>
      <c r="AG1251" s="1">
        <f>MAX(配置与结果!$B$32,1+INDEX(配置与结果!$F$15:$F$18,F1251)+0+Q1251*方案参数!$W$37+Y1251*(方案参数!$AN$37+MIN(方案参数!$AO$37,P1251*0.03))+AB1251*方案参数!$BZ$37*0.025-配置与结果!$B$28)</f>
        <v>1.9100000000000001</v>
      </c>
      <c r="AH1251" s="1">
        <f>MAX(0,1+INDEX(配置与结果!$G$15:$G$18,F1251)+W1251*方案参数!$AG$37)</f>
        <v>1.3</v>
      </c>
      <c r="AI1251" s="1">
        <f>IF(OR(INDEX(配置与结果!$K$15:$K$18,F1251)=1,G1251="RHI_BERRY"),1+配置与结果!$B$33+P1251*方案参数!$AH$37,1)</f>
        <v>1.5</v>
      </c>
      <c r="AJ1251" s="1">
        <f>MIN(1,MAX(0,J1251+方案参数!$AB$37-配置与结果!$B$27))</f>
        <v>0.55499999999999994</v>
      </c>
      <c r="AK1251" s="1">
        <f>MAX(1,K1251+IF(F1251=2,0.15+方案参数!$CH$37,0)+BN1251*方案参数!$X$37+R1251*方案参数!$AA$37+0-配置与结果!$B$26+Z1251*(方案参数!$AP$37+MIN(方案参数!$AQ$37,P1251*0.03)))</f>
        <v>1.6900000000000002</v>
      </c>
      <c r="AL1251" s="7">
        <f>ROUNDDOWN(MAX(AD1251*配置与结果!$B$31,AD1251-AE1251)*AF1251*AG1251*AH1251*AI1251,0)</f>
        <v>234475</v>
      </c>
      <c r="AM1251" s="7">
        <f>ROUNDDOWN(MAX(AD1251*配置与结果!$B$31,AD1251-AE1251)*AF1251*AG1251*AH1251*AI1251*AK1251,0)</f>
        <v>396264</v>
      </c>
      <c r="AN1251" s="7">
        <f t="shared" si="1720"/>
        <v>324267.89500000002</v>
      </c>
      <c r="AO1251" s="7">
        <f>0</f>
        <v>0</v>
      </c>
      <c r="AP1251" s="7">
        <f>MAX(0,1+INDEX(配置与结果!$J$15:$J$18,F1251)+IF(T1251&gt;0,方案参数!$BY$37,0)-配置与结果!$B$30)</f>
        <v>2</v>
      </c>
      <c r="AQ1251" s="7">
        <f t="shared" si="1721"/>
        <v>0</v>
      </c>
      <c r="AR1251" s="7">
        <f t="shared" si="1722"/>
        <v>0</v>
      </c>
      <c r="AS1251" s="7">
        <f t="shared" si="1723"/>
        <v>0</v>
      </c>
      <c r="AT1251" s="7">
        <f>0</f>
        <v>0</v>
      </c>
      <c r="AU1251" s="7">
        <f t="shared" si="1724"/>
        <v>324267.89500000002</v>
      </c>
      <c r="AV1251" s="1">
        <f t="shared" si="1725"/>
        <v>2</v>
      </c>
      <c r="AW1251" s="1">
        <f t="shared" ref="AW1251:AW1267" si="1772">MIN(10,M1251+0+0)</f>
        <v>10</v>
      </c>
      <c r="AX1251" s="1">
        <f t="shared" si="1726"/>
        <v>2</v>
      </c>
      <c r="AY1251" s="1">
        <f>MIN(20,MAX(0,O1251+0+0-0))</f>
        <v>0</v>
      </c>
      <c r="AZ1251" s="1">
        <f t="shared" si="1727"/>
        <v>5</v>
      </c>
      <c r="BA1251" s="1">
        <f t="shared" si="1763"/>
        <v>5</v>
      </c>
      <c r="BB1251" s="1">
        <f t="shared" si="1771"/>
        <v>20</v>
      </c>
      <c r="BC1251" s="1">
        <f t="shared" si="1769"/>
        <v>3</v>
      </c>
      <c r="BD1251" s="1">
        <f t="shared" si="1750"/>
        <v>1</v>
      </c>
      <c r="BE1251" s="1">
        <f t="shared" si="1743"/>
        <v>0</v>
      </c>
      <c r="BF1251" s="1">
        <f>MIN(4,V1251+0)</f>
        <v>3</v>
      </c>
      <c r="BG1251" s="1">
        <f t="shared" si="1760"/>
        <v>1</v>
      </c>
      <c r="BH1251" s="1">
        <f t="shared" si="1744"/>
        <v>1</v>
      </c>
      <c r="BI1251" s="1">
        <f t="shared" si="1761"/>
        <v>1</v>
      </c>
      <c r="BJ1251" s="1">
        <f t="shared" si="1764"/>
        <v>1</v>
      </c>
      <c r="BK1251" s="1">
        <f t="shared" si="1765"/>
        <v>1</v>
      </c>
      <c r="BL1251" s="1">
        <f t="shared" si="1770"/>
        <v>1</v>
      </c>
      <c r="BM1251" s="1">
        <f t="shared" si="1768"/>
        <v>1</v>
      </c>
      <c r="BN1251" s="1">
        <f t="shared" si="1745"/>
        <v>1</v>
      </c>
      <c r="BO1251" s="1">
        <f t="shared" si="1746"/>
        <v>1</v>
      </c>
    </row>
    <row r="1252" spans="1:67" ht="30.95" customHeight="1">
      <c r="A1252" s="1">
        <f>34</f>
        <v>34</v>
      </c>
      <c r="B1252" s="1">
        <f>固定流程!A28</f>
        <v>23</v>
      </c>
      <c r="C1252" s="1">
        <f>37</f>
        <v>37</v>
      </c>
      <c r="D1252" s="1">
        <f>1</f>
        <v>1</v>
      </c>
      <c r="E1252" s="1">
        <f>固定流程!C28</f>
        <v>3</v>
      </c>
      <c r="F1252" s="1">
        <f>固定流程!G28</f>
        <v>2</v>
      </c>
      <c r="G1252" s="1" t="str">
        <f>固定流程!H28</f>
        <v>37_FOLLOW</v>
      </c>
      <c r="H1252" s="1">
        <f>固定流程!F28</f>
        <v>1</v>
      </c>
      <c r="I1252" s="1">
        <f>INDEX(配置与结果!$B$15:$B$18,F1252)</f>
        <v>2306</v>
      </c>
      <c r="J1252" s="1">
        <f>INDEX(配置与结果!$D$15:$D$18,F1252)</f>
        <v>0.46</v>
      </c>
      <c r="K1252" s="1">
        <f>INDEX(配置与结果!$E$15:$E$18,F1252)</f>
        <v>1.9279999999999999</v>
      </c>
      <c r="L1252" s="1">
        <f t="shared" si="1757"/>
        <v>2</v>
      </c>
      <c r="M1252" s="1">
        <f t="shared" si="1758"/>
        <v>10</v>
      </c>
      <c r="N1252" s="1">
        <f t="shared" si="1759"/>
        <v>2</v>
      </c>
      <c r="O1252" s="1">
        <f t="shared" si="1751"/>
        <v>0</v>
      </c>
      <c r="P1252" s="1">
        <f>MIN(方案参数!$AI$37,AZ1251+0+0)</f>
        <v>5</v>
      </c>
      <c r="Q1252" s="1">
        <f t="shared" si="1729"/>
        <v>5</v>
      </c>
      <c r="R1252" s="1">
        <f t="shared" si="1730"/>
        <v>20</v>
      </c>
      <c r="S1252" s="1">
        <f t="shared" si="1731"/>
        <v>3</v>
      </c>
      <c r="T1252" s="1">
        <f t="shared" si="1766"/>
        <v>1</v>
      </c>
      <c r="U1252" s="1">
        <f t="shared" si="1733"/>
        <v>0</v>
      </c>
      <c r="V1252" s="1">
        <f t="shared" si="1734"/>
        <v>3</v>
      </c>
      <c r="W1252" s="1">
        <f t="shared" si="1735"/>
        <v>1</v>
      </c>
      <c r="X1252" s="1">
        <f t="shared" si="1736"/>
        <v>1</v>
      </c>
      <c r="Y1252" s="1">
        <f t="shared" si="1737"/>
        <v>1</v>
      </c>
      <c r="Z1252" s="1">
        <f t="shared" si="1738"/>
        <v>1</v>
      </c>
      <c r="AA1252" s="1">
        <f t="shared" si="1762"/>
        <v>1</v>
      </c>
      <c r="AB1252" s="1">
        <f t="shared" si="1740"/>
        <v>1</v>
      </c>
      <c r="AC1252" s="1">
        <f t="shared" si="1767"/>
        <v>1</v>
      </c>
      <c r="AD1252" s="1">
        <f>ROUNDDOWN(I1252*(1+IF(F1252=3,0.05+方案参数!$Y$37+AA1252*0.12,IF(F1252=4,方案参数!$BZ$37*方案参数!$AS$37,0)))+IF(AND(X1252=1,F1252&lt;&gt;3),方案参数!$CC$37,0)+AC1252*方案参数!$CB$37,0)</f>
        <v>3044</v>
      </c>
      <c r="AE1252" s="1">
        <f>IF(OR(F1252=1,F1252=4),配置与结果!$B$24,配置与结果!$B$25)*MAX(0,1-INDEX(配置与结果!$I$15:$I$18,F1252))</f>
        <v>1000</v>
      </c>
      <c r="AF1252" s="1">
        <f>方案参数!$BV$37</f>
        <v>3</v>
      </c>
      <c r="AG1252" s="1">
        <f>MAX(配置与结果!$B$32,1+INDEX(配置与结果!$F$15:$F$18,F1252)+0+Q1252*方案参数!$W$37+Y1252*(方案参数!$AN$37+MIN(方案参数!$AO$37,P1252*0.03))+AB1252*方案参数!$BZ$37*0.025-配置与结果!$B$28)</f>
        <v>1.8800000000000003</v>
      </c>
      <c r="AH1252" s="1">
        <f>MAX(0,1+INDEX(配置与结果!$G$15:$G$18,F1252)+W1252*方案参数!$AG$37)</f>
        <v>1.3</v>
      </c>
      <c r="AI1252" s="1">
        <f>IF(OR(INDEX(配置与结果!$K$15:$K$18,F1252)=1,G1252="RHI_BERRY"),1+配置与结果!$B$33+P1252*方案参数!$AH$37,1)</f>
        <v>1</v>
      </c>
      <c r="AJ1252" s="1">
        <f>MIN(1,MAX(0,J1252+方案参数!$AB$37-配置与结果!$B$27))</f>
        <v>0.76</v>
      </c>
      <c r="AK1252" s="1">
        <f>MAX(1,K1252+IF(F1252=2,0.15+方案参数!$CH$37,0)+BN1252*方案参数!$X$37+R1252*方案参数!$AA$37+0-配置与结果!$B$26+Z1252*(方案参数!$AP$37+MIN(方案参数!$AQ$37,P1252*0.03)))</f>
        <v>2.4279999999999999</v>
      </c>
      <c r="AL1252" s="7">
        <f>ROUNDDOWN(MAX(AD1252*配置与结果!$B$31,AD1252-AE1252)*AF1252*AG1252*AH1252*AI1252,0)</f>
        <v>14986</v>
      </c>
      <c r="AM1252" s="7">
        <f>ROUNDDOWN(MAX(AD1252*配置与结果!$B$31,AD1252-AE1252)*AF1252*AG1252*AH1252*AI1252*AK1252,0)</f>
        <v>36387</v>
      </c>
      <c r="AN1252" s="7">
        <f t="shared" si="1720"/>
        <v>31250.76</v>
      </c>
      <c r="AO1252" s="7">
        <f>方案参数!$BW$37</f>
        <v>1</v>
      </c>
      <c r="AP1252" s="7">
        <f>MAX(0,1+INDEX(配置与结果!$J$15:$J$18,F1252)+IF(T1252&gt;0,方案参数!$BY$37,0)-配置与结果!$B$30)</f>
        <v>2</v>
      </c>
      <c r="AQ1252" s="7">
        <f t="shared" si="1721"/>
        <v>6088</v>
      </c>
      <c r="AR1252" s="7">
        <f t="shared" si="1722"/>
        <v>14781</v>
      </c>
      <c r="AS1252" s="7">
        <f t="shared" si="1723"/>
        <v>12694.68</v>
      </c>
      <c r="AT1252" s="7">
        <f>0</f>
        <v>0</v>
      </c>
      <c r="AU1252" s="7">
        <f t="shared" si="1724"/>
        <v>43945.440000000002</v>
      </c>
      <c r="AV1252" s="1">
        <f t="shared" si="1725"/>
        <v>2</v>
      </c>
      <c r="AW1252" s="1">
        <f t="shared" si="1772"/>
        <v>10</v>
      </c>
      <c r="AX1252" s="1">
        <f t="shared" si="1726"/>
        <v>2</v>
      </c>
      <c r="AY1252" s="1">
        <f>MIN(20,MAX(0,O1252+0+0-0))</f>
        <v>0</v>
      </c>
      <c r="AZ1252" s="1">
        <f t="shared" si="1727"/>
        <v>5</v>
      </c>
      <c r="BA1252" s="1">
        <f t="shared" si="1763"/>
        <v>5</v>
      </c>
      <c r="BB1252" s="1">
        <f t="shared" si="1771"/>
        <v>20</v>
      </c>
      <c r="BC1252" s="1">
        <f t="shared" si="1769"/>
        <v>3</v>
      </c>
      <c r="BD1252" s="1">
        <f t="shared" si="1750"/>
        <v>0</v>
      </c>
      <c r="BE1252" s="1">
        <f t="shared" si="1743"/>
        <v>0</v>
      </c>
      <c r="BF1252" s="1">
        <f>MIN(4,V1252+1)</f>
        <v>4</v>
      </c>
      <c r="BG1252" s="1">
        <f t="shared" si="1760"/>
        <v>1</v>
      </c>
      <c r="BH1252" s="1">
        <f t="shared" si="1744"/>
        <v>1</v>
      </c>
      <c r="BI1252" s="1">
        <f t="shared" si="1761"/>
        <v>1</v>
      </c>
      <c r="BJ1252" s="1">
        <f t="shared" si="1764"/>
        <v>1</v>
      </c>
      <c r="BK1252" s="1">
        <f t="shared" si="1765"/>
        <v>1</v>
      </c>
      <c r="BL1252" s="1">
        <f t="shared" si="1770"/>
        <v>1</v>
      </c>
      <c r="BM1252" s="1">
        <f t="shared" si="1768"/>
        <v>1</v>
      </c>
      <c r="BN1252" s="1">
        <f t="shared" si="1745"/>
        <v>1</v>
      </c>
      <c r="BO1252" s="1">
        <f t="shared" si="1746"/>
        <v>1</v>
      </c>
    </row>
    <row r="1253" spans="1:67" ht="30.95" customHeight="1">
      <c r="A1253" s="1">
        <f>34</f>
        <v>34</v>
      </c>
      <c r="B1253" s="1">
        <f>固定流程!A29</f>
        <v>24</v>
      </c>
      <c r="C1253" s="1">
        <f>37</f>
        <v>37</v>
      </c>
      <c r="D1253" s="1">
        <f>2</f>
        <v>2</v>
      </c>
      <c r="E1253" s="1">
        <f>固定流程!C29</f>
        <v>3</v>
      </c>
      <c r="F1253" s="1">
        <f>固定流程!G29</f>
        <v>1</v>
      </c>
      <c r="G1253" s="1" t="str">
        <f>固定流程!H29</f>
        <v>LILYA_WEAK</v>
      </c>
      <c r="H1253" s="1">
        <f>固定流程!F29</f>
        <v>1</v>
      </c>
      <c r="I1253" s="1">
        <f>INDEX(配置与结果!$B$15:$B$18,F1253)</f>
        <v>2296</v>
      </c>
      <c r="J1253" s="1">
        <f>INDEX(配置与结果!$D$15:$D$18,F1253)</f>
        <v>0.7</v>
      </c>
      <c r="K1253" s="1">
        <f>INDEX(配置与结果!$E$15:$E$18,F1253)</f>
        <v>2.0249999999999999</v>
      </c>
      <c r="L1253" s="1">
        <f t="shared" si="1757"/>
        <v>2</v>
      </c>
      <c r="M1253" s="1">
        <f t="shared" si="1758"/>
        <v>10</v>
      </c>
      <c r="N1253" s="1">
        <f t="shared" si="1759"/>
        <v>2</v>
      </c>
      <c r="O1253" s="1">
        <f t="shared" si="1751"/>
        <v>0</v>
      </c>
      <c r="P1253" s="1">
        <f>MIN(方案参数!$AI$37,AZ1252+0+0)</f>
        <v>5</v>
      </c>
      <c r="Q1253" s="1">
        <f t="shared" si="1729"/>
        <v>5</v>
      </c>
      <c r="R1253" s="1">
        <f t="shared" si="1730"/>
        <v>20</v>
      </c>
      <c r="S1253" s="1">
        <f t="shared" si="1731"/>
        <v>3</v>
      </c>
      <c r="T1253" s="1">
        <f t="shared" si="1766"/>
        <v>0</v>
      </c>
      <c r="U1253" s="1">
        <f t="shared" si="1733"/>
        <v>0</v>
      </c>
      <c r="V1253" s="1">
        <f t="shared" si="1734"/>
        <v>4</v>
      </c>
      <c r="W1253" s="1">
        <f t="shared" si="1735"/>
        <v>1</v>
      </c>
      <c r="X1253" s="1">
        <f t="shared" si="1736"/>
        <v>1</v>
      </c>
      <c r="Y1253" s="1">
        <f t="shared" si="1737"/>
        <v>1</v>
      </c>
      <c r="Z1253" s="1">
        <f t="shared" si="1738"/>
        <v>1</v>
      </c>
      <c r="AA1253" s="1">
        <f t="shared" si="1762"/>
        <v>1</v>
      </c>
      <c r="AB1253" s="1">
        <f t="shared" si="1740"/>
        <v>1</v>
      </c>
      <c r="AC1253" s="1">
        <f t="shared" si="1767"/>
        <v>1</v>
      </c>
      <c r="AD1253" s="1">
        <f>ROUNDDOWN(I1253*(1+IF(F1253=3,0.05+方案参数!$Y$37+AA1253*0.12,IF(F1253=4,方案参数!$BZ$37*方案参数!$AS$37,0)))+IF(AND(X1253=1,F1253&lt;&gt;3),方案参数!$CC$37,0)+AC1253*方案参数!$CB$37,0)</f>
        <v>3034</v>
      </c>
      <c r="AE1253" s="1">
        <f>IF(OR(F1253=1,F1253=4),配置与结果!$B$24,配置与结果!$B$25)*MAX(0,1-INDEX(配置与结果!$I$15:$I$18,F1253))</f>
        <v>1200</v>
      </c>
      <c r="AF1253" s="1">
        <f>方案参数!$BL$37</f>
        <v>9</v>
      </c>
      <c r="AG1253" s="1">
        <f>MAX(配置与结果!$B$32,1+INDEX(配置与结果!$F$15:$F$18,F1253)+0.08+方案参数!$CD$37+Q1253*方案参数!$W$37+Y1253*(方案参数!$AN$37+MIN(方案参数!$AO$37,P1253*0.03))+AB1253*方案参数!$BZ$37*0.025-配置与结果!$B$28+方案参数!$AE$37)</f>
        <v>2.6150000000000002</v>
      </c>
      <c r="AH1253" s="1">
        <f>MAX(0,1+V1253*方案参数!$U$37+0*方案参数!$V$37+方案参数!$AE$37-配置与结果!$B$29)</f>
        <v>1.6800000000000002</v>
      </c>
      <c r="AI1253" s="1">
        <f>IF(OR(INDEX(配置与结果!$K$15:$K$18,F1253)=1,G1253="RHI_BERRY"),1+配置与结果!$B$33+P1253*方案参数!$AH$37,1)</f>
        <v>1</v>
      </c>
      <c r="AJ1253" s="1">
        <f>MIN(1,MAX(0,J1253+方案参数!$AB$37-配置与结果!$B$27))</f>
        <v>1</v>
      </c>
      <c r="AK1253" s="1">
        <f>MAX(1,K1253+IF(F1253=2,0.15+方案参数!$CH$37,0)+BN1253*方案参数!$X$37+R1253*方案参数!$AA$37+方案参数!$BP$37-配置与结果!$B$26+Z1253*(方案参数!$AP$37+MIN(方案参数!$AQ$37,P1253*0.03)))</f>
        <v>2.7650000000000001</v>
      </c>
      <c r="AL1253" s="7">
        <f>ROUNDDOWN(MAX(AD1253*配置与结果!$B$31,AD1253-AE1253)*AF1253*AG1253*AH1253*AI1253,0)</f>
        <v>72514</v>
      </c>
      <c r="AM1253" s="7">
        <f>ROUNDDOWN(MAX(AD1253*配置与结果!$B$31,AD1253-AE1253)*AF1253*AG1253*AH1253*AI1253*AK1253,0)</f>
        <v>200501</v>
      </c>
      <c r="AN1253" s="7">
        <f t="shared" si="1720"/>
        <v>200501</v>
      </c>
      <c r="AO1253" s="7">
        <f>0</f>
        <v>0</v>
      </c>
      <c r="AP1253" s="7">
        <f>MAX(0,1+INDEX(配置与结果!$J$15:$J$18,F1253)+IF(T1253&gt;0,方案参数!$BY$37,0)-配置与结果!$B$30)</f>
        <v>1</v>
      </c>
      <c r="AQ1253" s="7">
        <f t="shared" si="1721"/>
        <v>0</v>
      </c>
      <c r="AR1253" s="7">
        <f t="shared" si="1722"/>
        <v>0</v>
      </c>
      <c r="AS1253" s="7">
        <f t="shared" si="1723"/>
        <v>0</v>
      </c>
      <c r="AT1253" s="7">
        <f>IF(U1253&gt;0,ROUNDDOWN(AL1253*方案参数!$AF$37,0)*(1-AJ1253)+ROUNDDOWN(AM1253*方案参数!$AF$37,0)*AJ1253,0)</f>
        <v>0</v>
      </c>
      <c r="AU1253" s="7">
        <f t="shared" si="1724"/>
        <v>200501</v>
      </c>
      <c r="AV1253" s="1">
        <f t="shared" si="1725"/>
        <v>2</v>
      </c>
      <c r="AW1253" s="1">
        <f t="shared" si="1772"/>
        <v>10</v>
      </c>
      <c r="AX1253" s="1">
        <f t="shared" si="1726"/>
        <v>2</v>
      </c>
      <c r="AY1253" s="1">
        <f>MIN(20,MAX(0,O1253+0+1-0))</f>
        <v>1</v>
      </c>
      <c r="AZ1253" s="1">
        <f t="shared" si="1727"/>
        <v>5</v>
      </c>
      <c r="BA1253" s="1">
        <f t="shared" si="1763"/>
        <v>5</v>
      </c>
      <c r="BB1253" s="1">
        <f t="shared" si="1771"/>
        <v>20</v>
      </c>
      <c r="BC1253" s="1">
        <f t="shared" si="1769"/>
        <v>3</v>
      </c>
      <c r="BD1253" s="1">
        <f t="shared" si="1750"/>
        <v>0</v>
      </c>
      <c r="BE1253" s="1">
        <f>MAX(0,U1253-IF(AF1253&gt;0,1,0))+0</f>
        <v>0</v>
      </c>
      <c r="BF1253" s="1">
        <f t="shared" ref="BF1253:BF1270" si="1773">MIN(4,V1253+0)</f>
        <v>4</v>
      </c>
      <c r="BG1253" s="1">
        <f t="shared" si="1760"/>
        <v>1</v>
      </c>
      <c r="BH1253" s="1">
        <f t="shared" si="1744"/>
        <v>1</v>
      </c>
      <c r="BI1253" s="1">
        <f t="shared" si="1761"/>
        <v>1</v>
      </c>
      <c r="BJ1253" s="1">
        <f t="shared" si="1764"/>
        <v>1</v>
      </c>
      <c r="BK1253" s="1">
        <f t="shared" si="1765"/>
        <v>1</v>
      </c>
      <c r="BL1253" s="1">
        <f t="shared" si="1770"/>
        <v>1</v>
      </c>
      <c r="BM1253" s="1">
        <f t="shared" si="1768"/>
        <v>1</v>
      </c>
      <c r="BN1253" s="1">
        <f t="shared" si="1745"/>
        <v>1</v>
      </c>
      <c r="BO1253" s="1">
        <f t="shared" si="1746"/>
        <v>1</v>
      </c>
    </row>
    <row r="1254" spans="1:67" ht="30.95" customHeight="1">
      <c r="A1254" s="1">
        <f>34</f>
        <v>34</v>
      </c>
      <c r="B1254" s="1">
        <f>固定流程!A30</f>
        <v>25</v>
      </c>
      <c r="C1254" s="1">
        <f>37</f>
        <v>37</v>
      </c>
      <c r="D1254" s="1">
        <f>2</f>
        <v>2</v>
      </c>
      <c r="E1254" s="1">
        <f>固定流程!C30</f>
        <v>3</v>
      </c>
      <c r="F1254" s="1">
        <f>固定流程!G30</f>
        <v>1</v>
      </c>
      <c r="G1254" s="1" t="str">
        <f>固定流程!H30</f>
        <v>LILYA_WEAK</v>
      </c>
      <c r="H1254" s="1">
        <f>固定流程!F30</f>
        <v>1</v>
      </c>
      <c r="I1254" s="1">
        <f>INDEX(配置与结果!$B$15:$B$18,F1254)</f>
        <v>2296</v>
      </c>
      <c r="J1254" s="1">
        <f>INDEX(配置与结果!$D$15:$D$18,F1254)</f>
        <v>0.7</v>
      </c>
      <c r="K1254" s="1">
        <f>INDEX(配置与结果!$E$15:$E$18,F1254)</f>
        <v>2.0249999999999999</v>
      </c>
      <c r="L1254" s="1">
        <f t="shared" si="1757"/>
        <v>2</v>
      </c>
      <c r="M1254" s="1">
        <f t="shared" si="1758"/>
        <v>10</v>
      </c>
      <c r="N1254" s="1">
        <f t="shared" si="1759"/>
        <v>2</v>
      </c>
      <c r="O1254" s="1">
        <f t="shared" si="1751"/>
        <v>1</v>
      </c>
      <c r="P1254" s="1">
        <f>MIN(方案参数!$AI$37,AZ1253+0+0)</f>
        <v>5</v>
      </c>
      <c r="Q1254" s="1">
        <f t="shared" si="1729"/>
        <v>5</v>
      </c>
      <c r="R1254" s="1">
        <f t="shared" si="1730"/>
        <v>20</v>
      </c>
      <c r="S1254" s="1">
        <f t="shared" si="1731"/>
        <v>3</v>
      </c>
      <c r="T1254" s="1">
        <f t="shared" si="1766"/>
        <v>0</v>
      </c>
      <c r="U1254" s="1">
        <f t="shared" si="1733"/>
        <v>0</v>
      </c>
      <c r="V1254" s="1">
        <f t="shared" si="1734"/>
        <v>4</v>
      </c>
      <c r="W1254" s="1">
        <f t="shared" si="1735"/>
        <v>1</v>
      </c>
      <c r="X1254" s="1">
        <f t="shared" si="1736"/>
        <v>1</v>
      </c>
      <c r="Y1254" s="1">
        <f t="shared" si="1737"/>
        <v>1</v>
      </c>
      <c r="Z1254" s="1">
        <f t="shared" si="1738"/>
        <v>1</v>
      </c>
      <c r="AA1254" s="1">
        <f t="shared" si="1762"/>
        <v>1</v>
      </c>
      <c r="AB1254" s="1">
        <f t="shared" si="1740"/>
        <v>1</v>
      </c>
      <c r="AC1254" s="1">
        <f t="shared" si="1767"/>
        <v>1</v>
      </c>
      <c r="AD1254" s="1">
        <f>ROUNDDOWN(I1254*(1+IF(F1254=3,0.05+方案参数!$Y$37+AA1254*0.12,IF(F1254=4,方案参数!$BZ$37*方案参数!$AS$37,0)))+IF(AND(X1254=1,F1254&lt;&gt;3),方案参数!$CC$37,0)+AC1254*方案参数!$CB$37,0)</f>
        <v>3034</v>
      </c>
      <c r="AE1254" s="1">
        <f>IF(OR(F1254=1,F1254=4),配置与结果!$B$24,配置与结果!$B$25)*MAX(0,1-INDEX(配置与结果!$I$15:$I$18,F1254))</f>
        <v>1200</v>
      </c>
      <c r="AF1254" s="1">
        <f>方案参数!$BL$37</f>
        <v>9</v>
      </c>
      <c r="AG1254" s="1">
        <f>MAX(配置与结果!$B$32,1+INDEX(配置与结果!$F$15:$F$18,F1254)+0.08+方案参数!$CD$37+Q1254*方案参数!$W$37+Y1254*(方案参数!$AN$37+MIN(方案参数!$AO$37,P1254*0.03))+AB1254*方案参数!$BZ$37*0.025-配置与结果!$B$28+方案参数!$AE$37)</f>
        <v>2.6150000000000002</v>
      </c>
      <c r="AH1254" s="1">
        <f>MAX(0,1+V1254*方案参数!$U$37+1*方案参数!$V$37+方案参数!$AE$37-配置与结果!$B$29)</f>
        <v>1.7400000000000002</v>
      </c>
      <c r="AI1254" s="1">
        <f>IF(OR(INDEX(配置与结果!$K$15:$K$18,F1254)=1,G1254="RHI_BERRY"),1+配置与结果!$B$33+P1254*方案参数!$AH$37,1)</f>
        <v>1</v>
      </c>
      <c r="AJ1254" s="1">
        <f>MIN(1,MAX(0,J1254+方案参数!$AB$37-配置与结果!$B$27))</f>
        <v>1</v>
      </c>
      <c r="AK1254" s="1">
        <f>MAX(1,K1254+IF(F1254=2,0.15+方案参数!$CH$37,0)+BN1254*方案参数!$X$37+R1254*方案参数!$AA$37+方案参数!$BP$37-配置与结果!$B$26+Z1254*(方案参数!$AP$37+MIN(方案参数!$AQ$37,P1254*0.03)))</f>
        <v>2.7650000000000001</v>
      </c>
      <c r="AL1254" s="7">
        <f>ROUNDDOWN(MAX(AD1254*配置与结果!$B$31,AD1254-AE1254)*AF1254*AG1254*AH1254*AI1254,0)</f>
        <v>75103</v>
      </c>
      <c r="AM1254" s="7">
        <f>ROUNDDOWN(MAX(AD1254*配置与结果!$B$31,AD1254-AE1254)*AF1254*AG1254*AH1254*AI1254*AK1254,0)</f>
        <v>207662</v>
      </c>
      <c r="AN1254" s="7">
        <f t="shared" si="1720"/>
        <v>207662</v>
      </c>
      <c r="AO1254" s="7">
        <f>0</f>
        <v>0</v>
      </c>
      <c r="AP1254" s="7">
        <f>MAX(0,1+INDEX(配置与结果!$J$15:$J$18,F1254)+IF(T1254&gt;0,方案参数!$BY$37,0)-配置与结果!$B$30)</f>
        <v>1</v>
      </c>
      <c r="AQ1254" s="7">
        <f t="shared" si="1721"/>
        <v>0</v>
      </c>
      <c r="AR1254" s="7">
        <f t="shared" si="1722"/>
        <v>0</v>
      </c>
      <c r="AS1254" s="7">
        <f t="shared" si="1723"/>
        <v>0</v>
      </c>
      <c r="AT1254" s="7">
        <f>IF(U1254&gt;0,ROUNDDOWN(AL1254*方案参数!$AF$37,0)*(1-AJ1254)+ROUNDDOWN(AM1254*方案参数!$AF$37,0)*AJ1254,0)</f>
        <v>0</v>
      </c>
      <c r="AU1254" s="7">
        <f t="shared" si="1724"/>
        <v>207662</v>
      </c>
      <c r="AV1254" s="1">
        <f t="shared" si="1725"/>
        <v>2</v>
      </c>
      <c r="AW1254" s="1">
        <f t="shared" si="1772"/>
        <v>10</v>
      </c>
      <c r="AX1254" s="1">
        <f t="shared" si="1726"/>
        <v>2</v>
      </c>
      <c r="AY1254" s="1">
        <f>MIN(20,MAX(0,O1254+0+1-0))</f>
        <v>2</v>
      </c>
      <c r="AZ1254" s="1">
        <f t="shared" si="1727"/>
        <v>5</v>
      </c>
      <c r="BA1254" s="1">
        <f t="shared" si="1763"/>
        <v>5</v>
      </c>
      <c r="BB1254" s="1">
        <f t="shared" si="1771"/>
        <v>20</v>
      </c>
      <c r="BC1254" s="1">
        <f t="shared" si="1769"/>
        <v>3</v>
      </c>
      <c r="BD1254" s="1">
        <f t="shared" si="1750"/>
        <v>0</v>
      </c>
      <c r="BE1254" s="1">
        <f>MAX(0,U1254-IF(AF1254&gt;0,1,0))+0</f>
        <v>0</v>
      </c>
      <c r="BF1254" s="1">
        <f t="shared" si="1773"/>
        <v>4</v>
      </c>
      <c r="BG1254" s="1">
        <f t="shared" si="1760"/>
        <v>1</v>
      </c>
      <c r="BH1254" s="1">
        <f t="shared" si="1744"/>
        <v>1</v>
      </c>
      <c r="BI1254" s="1">
        <f t="shared" si="1761"/>
        <v>1</v>
      </c>
      <c r="BJ1254" s="1">
        <f t="shared" si="1764"/>
        <v>1</v>
      </c>
      <c r="BK1254" s="1">
        <f t="shared" si="1765"/>
        <v>1</v>
      </c>
      <c r="BL1254" s="1">
        <f t="shared" si="1770"/>
        <v>1</v>
      </c>
      <c r="BM1254" s="1">
        <f t="shared" si="1768"/>
        <v>1</v>
      </c>
      <c r="BN1254" s="1">
        <f t="shared" si="1745"/>
        <v>1</v>
      </c>
      <c r="BO1254" s="1">
        <f t="shared" si="1746"/>
        <v>1</v>
      </c>
    </row>
    <row r="1255" spans="1:67" ht="30.95" customHeight="1">
      <c r="A1255" s="1">
        <f>34</f>
        <v>34</v>
      </c>
      <c r="B1255" s="1">
        <f>固定流程!A31</f>
        <v>26</v>
      </c>
      <c r="C1255" s="1">
        <f>37</f>
        <v>37</v>
      </c>
      <c r="D1255" s="1">
        <f>2</f>
        <v>2</v>
      </c>
      <c r="E1255" s="1">
        <f>固定流程!C31</f>
        <v>3</v>
      </c>
      <c r="F1255" s="1">
        <f>固定流程!G31</f>
        <v>2</v>
      </c>
      <c r="G1255" s="1" t="str">
        <f>固定流程!H31</f>
        <v>37_WEAK</v>
      </c>
      <c r="H1255" s="1">
        <f>固定流程!F31</f>
        <v>1</v>
      </c>
      <c r="I1255" s="1">
        <f>INDEX(配置与结果!$B$15:$B$18,F1255)</f>
        <v>2306</v>
      </c>
      <c r="J1255" s="1">
        <f>INDEX(配置与结果!$D$15:$D$18,F1255)</f>
        <v>0.46</v>
      </c>
      <c r="K1255" s="1">
        <f>INDEX(配置与结果!$E$15:$E$18,F1255)</f>
        <v>1.9279999999999999</v>
      </c>
      <c r="L1255" s="1">
        <f t="shared" si="1757"/>
        <v>2</v>
      </c>
      <c r="M1255" s="1">
        <f t="shared" si="1758"/>
        <v>10</v>
      </c>
      <c r="N1255" s="1">
        <f t="shared" si="1759"/>
        <v>2</v>
      </c>
      <c r="O1255" s="1">
        <f t="shared" si="1751"/>
        <v>2</v>
      </c>
      <c r="P1255" s="1">
        <f>MIN(方案参数!$AI$37,AZ1254+0+0)</f>
        <v>5</v>
      </c>
      <c r="Q1255" s="1">
        <f t="shared" si="1729"/>
        <v>5</v>
      </c>
      <c r="R1255" s="1">
        <f t="shared" si="1730"/>
        <v>20</v>
      </c>
      <c r="S1255" s="1">
        <f t="shared" si="1731"/>
        <v>3</v>
      </c>
      <c r="T1255" s="1">
        <f t="shared" si="1766"/>
        <v>0</v>
      </c>
      <c r="U1255" s="1">
        <f t="shared" si="1733"/>
        <v>0</v>
      </c>
      <c r="V1255" s="1">
        <f t="shared" si="1734"/>
        <v>4</v>
      </c>
      <c r="W1255" s="1">
        <f t="shared" si="1735"/>
        <v>1</v>
      </c>
      <c r="X1255" s="1">
        <f t="shared" si="1736"/>
        <v>1</v>
      </c>
      <c r="Y1255" s="1">
        <f t="shared" si="1737"/>
        <v>1</v>
      </c>
      <c r="Z1255" s="1">
        <f t="shared" si="1738"/>
        <v>1</v>
      </c>
      <c r="AA1255" s="1">
        <f t="shared" si="1762"/>
        <v>1</v>
      </c>
      <c r="AB1255" s="1">
        <f t="shared" si="1740"/>
        <v>1</v>
      </c>
      <c r="AC1255" s="1">
        <f t="shared" si="1767"/>
        <v>1</v>
      </c>
      <c r="AD1255" s="1">
        <f>ROUNDDOWN(I1255*(1+IF(F1255=3,0.05+方案参数!$Y$37+AA1255*0.12,IF(F1255=4,方案参数!$BZ$37*方案参数!$AS$37,0)))+IF(AND(X1255=1,F1255&lt;&gt;3),方案参数!$CC$37,0)+AC1255*方案参数!$CB$37,0)</f>
        <v>3044</v>
      </c>
      <c r="AE1255" s="1">
        <f>IF(OR(F1255=1,F1255=4),配置与结果!$B$24,配置与结果!$B$25)*MAX(0,1-INDEX(配置与结果!$I$15:$I$18,F1255))</f>
        <v>1000</v>
      </c>
      <c r="AF1255" s="1">
        <f>方案参数!$CE$37</f>
        <v>8</v>
      </c>
      <c r="AG1255" s="1">
        <f>MAX(配置与结果!$B$32,1+INDEX(配置与结果!$F$15:$F$18,F1255)+0+Q1255*方案参数!$W$37+Y1255*(方案参数!$AN$37+MIN(方案参数!$AO$37,P1255*0.03))+AB1255*方案参数!$BZ$37*0.025-配置与结果!$B$28+方案参数!$AE$37)</f>
        <v>2.2800000000000002</v>
      </c>
      <c r="AH1255" s="1">
        <f>MAX(0,1+V1255*方案参数!$U$37+方案参数!$AE$37-配置与结果!$B$29)</f>
        <v>1.6800000000000002</v>
      </c>
      <c r="AI1255" s="1">
        <f>IF(OR(INDEX(配置与结果!$K$15:$K$18,F1255)=1,G1255="RHI_BERRY"),1+配置与结果!$B$33+P1255*方案参数!$AH$37,1)</f>
        <v>1</v>
      </c>
      <c r="AJ1255" s="1">
        <f>MIN(1,MAX(0,J1255+方案参数!$AB$37-配置与结果!$B$27))</f>
        <v>0.76</v>
      </c>
      <c r="AK1255" s="1">
        <f>MAX(1,K1255+IF(F1255=2,0.15+方案参数!$CH$37,0)+BN1255*方案参数!$X$37+R1255*方案参数!$AA$37+0-配置与结果!$B$26+Z1255*(方案参数!$AP$37+MIN(方案参数!$AQ$37,P1255*0.03)))</f>
        <v>2.4279999999999999</v>
      </c>
      <c r="AL1255" s="7">
        <f>ROUNDDOWN(MAX(AD1255*配置与结果!$B$31,AD1255-AE1255)*AF1255*AG1255*AH1255*AI1255,0)</f>
        <v>62634</v>
      </c>
      <c r="AM1255" s="7">
        <f>ROUNDDOWN(MAX(AD1255*配置与结果!$B$31,AD1255-AE1255)*AF1255*AG1255*AH1255*AI1255*AK1255,0)</f>
        <v>152077</v>
      </c>
      <c r="AN1255" s="7">
        <f t="shared" si="1720"/>
        <v>130610.68000000001</v>
      </c>
      <c r="AO1255" s="7">
        <f>0</f>
        <v>0</v>
      </c>
      <c r="AP1255" s="7">
        <f>MAX(0,1+INDEX(配置与结果!$J$15:$J$18,F1255)+IF(T1255&gt;0,方案参数!$BY$37,0)-配置与结果!$B$30)</f>
        <v>1</v>
      </c>
      <c r="AQ1255" s="7">
        <f t="shared" si="1721"/>
        <v>0</v>
      </c>
      <c r="AR1255" s="7">
        <f t="shared" si="1722"/>
        <v>0</v>
      </c>
      <c r="AS1255" s="7">
        <f t="shared" si="1723"/>
        <v>0</v>
      </c>
      <c r="AT1255" s="7">
        <f>IF(U1255&gt;0,ROUNDDOWN(AL1255*方案参数!$AF$37,0)*(1-AJ1255)+ROUNDDOWN(AM1255*方案参数!$AF$37,0)*AJ1255,0)</f>
        <v>0</v>
      </c>
      <c r="AU1255" s="7">
        <f t="shared" si="1724"/>
        <v>130610.68000000001</v>
      </c>
      <c r="AV1255" s="1">
        <f t="shared" si="1725"/>
        <v>2</v>
      </c>
      <c r="AW1255" s="1">
        <f t="shared" si="1772"/>
        <v>10</v>
      </c>
      <c r="AX1255" s="1">
        <f t="shared" si="1726"/>
        <v>2</v>
      </c>
      <c r="AY1255" s="1">
        <f>MIN(20,MAX(0,O1255+0+0-0))</f>
        <v>2</v>
      </c>
      <c r="AZ1255" s="1">
        <f t="shared" si="1727"/>
        <v>5</v>
      </c>
      <c r="BA1255" s="1">
        <f t="shared" si="1763"/>
        <v>5</v>
      </c>
      <c r="BB1255" s="1">
        <f t="shared" si="1771"/>
        <v>20</v>
      </c>
      <c r="BC1255" s="1">
        <f t="shared" si="1769"/>
        <v>3</v>
      </c>
      <c r="BD1255" s="1">
        <f t="shared" si="1750"/>
        <v>0</v>
      </c>
      <c r="BE1255" s="1">
        <f>MAX(0,U1255-IF(AF1255&gt;0,1,0))+1</f>
        <v>1</v>
      </c>
      <c r="BF1255" s="1">
        <f t="shared" si="1773"/>
        <v>4</v>
      </c>
      <c r="BG1255" s="1">
        <f t="shared" si="1760"/>
        <v>1</v>
      </c>
      <c r="BH1255" s="1">
        <f t="shared" si="1744"/>
        <v>1</v>
      </c>
      <c r="BI1255" s="1">
        <f t="shared" si="1761"/>
        <v>1</v>
      </c>
      <c r="BJ1255" s="1">
        <f t="shared" si="1764"/>
        <v>1</v>
      </c>
      <c r="BK1255" s="1">
        <f t="shared" si="1765"/>
        <v>1</v>
      </c>
      <c r="BL1255" s="1">
        <f t="shared" si="1770"/>
        <v>1</v>
      </c>
      <c r="BM1255" s="1">
        <f t="shared" si="1768"/>
        <v>1</v>
      </c>
      <c r="BN1255" s="1">
        <f t="shared" si="1745"/>
        <v>1</v>
      </c>
      <c r="BO1255" s="1">
        <f t="shared" si="1746"/>
        <v>1</v>
      </c>
    </row>
    <row r="1256" spans="1:67" ht="30.95" customHeight="1">
      <c r="A1256" s="1">
        <f>34</f>
        <v>34</v>
      </c>
      <c r="B1256" s="1">
        <f>固定流程!A32</f>
        <v>27</v>
      </c>
      <c r="C1256" s="1">
        <f>37</f>
        <v>37</v>
      </c>
      <c r="D1256" s="1">
        <f>2</f>
        <v>2</v>
      </c>
      <c r="E1256" s="1">
        <f>固定流程!C32</f>
        <v>3</v>
      </c>
      <c r="F1256" s="1">
        <f>固定流程!G32</f>
        <v>1</v>
      </c>
      <c r="G1256" s="1" t="str">
        <f>固定流程!H32</f>
        <v>LILYA_THIRD</v>
      </c>
      <c r="H1256" s="1">
        <f>固定流程!F32</f>
        <v>1</v>
      </c>
      <c r="I1256" s="1">
        <f>INDEX(配置与结果!$B$15:$B$18,F1256)</f>
        <v>2296</v>
      </c>
      <c r="J1256" s="1">
        <f>INDEX(配置与结果!$D$15:$D$18,F1256)</f>
        <v>0.7</v>
      </c>
      <c r="K1256" s="1">
        <f>INDEX(配置与结果!$E$15:$E$18,F1256)</f>
        <v>2.0249999999999999</v>
      </c>
      <c r="L1256" s="1">
        <f t="shared" si="1757"/>
        <v>2</v>
      </c>
      <c r="M1256" s="1">
        <f t="shared" si="1758"/>
        <v>10</v>
      </c>
      <c r="N1256" s="1">
        <f t="shared" si="1759"/>
        <v>2</v>
      </c>
      <c r="O1256" s="1">
        <f t="shared" si="1751"/>
        <v>2</v>
      </c>
      <c r="P1256" s="1">
        <f>MIN(方案参数!$AI$37,AZ1255+0+0)</f>
        <v>5</v>
      </c>
      <c r="Q1256" s="1">
        <f t="shared" si="1729"/>
        <v>5</v>
      </c>
      <c r="R1256" s="1">
        <f t="shared" si="1730"/>
        <v>20</v>
      </c>
      <c r="S1256" s="1">
        <f t="shared" si="1731"/>
        <v>3</v>
      </c>
      <c r="T1256" s="1">
        <f t="shared" si="1766"/>
        <v>0</v>
      </c>
      <c r="U1256" s="1">
        <f t="shared" si="1733"/>
        <v>1</v>
      </c>
      <c r="V1256" s="1">
        <f t="shared" si="1734"/>
        <v>4</v>
      </c>
      <c r="W1256" s="1">
        <f t="shared" si="1735"/>
        <v>1</v>
      </c>
      <c r="X1256" s="1">
        <f t="shared" si="1736"/>
        <v>1</v>
      </c>
      <c r="Y1256" s="1">
        <f t="shared" si="1737"/>
        <v>1</v>
      </c>
      <c r="Z1256" s="1">
        <f t="shared" si="1738"/>
        <v>1</v>
      </c>
      <c r="AA1256" s="1">
        <f t="shared" si="1762"/>
        <v>1</v>
      </c>
      <c r="AB1256" s="1">
        <f t="shared" si="1740"/>
        <v>1</v>
      </c>
      <c r="AC1256" s="1">
        <f t="shared" si="1767"/>
        <v>1</v>
      </c>
      <c r="AD1256" s="1">
        <f>ROUNDDOWN(I1256*(1+IF(F1256=3,0.05+方案参数!$Y$37+AA1256*0.12,IF(F1256=4,方案参数!$BZ$37*方案参数!$AS$37,0)))+IF(AND(X1256=1,F1256&lt;&gt;3),方案参数!$CC$37,0)+AC1256*方案参数!$CB$37,0)</f>
        <v>3034</v>
      </c>
      <c r="AE1256" s="1">
        <f>IF(OR(F1256=1,F1256=4),配置与结果!$B$24,配置与结果!$B$25)*MAX(0,1-INDEX(配置与结果!$I$15:$I$18,F1256))</f>
        <v>1200</v>
      </c>
      <c r="AF1256" s="1">
        <f>方案参数!$BM$37</f>
        <v>20</v>
      </c>
      <c r="AG1256" s="1">
        <f>MAX(配置与结果!$B$32,1+INDEX(配置与结果!$F$15:$F$18,F1256)+0.08+方案参数!$CD$37+Q1256*方案参数!$W$37+Y1256*(方案参数!$AN$37+MIN(方案参数!$AO$37,P1256*0.03))+AB1256*方案参数!$BZ$37*0.025-配置与结果!$B$28+方案参数!$AE$37)</f>
        <v>2.6150000000000002</v>
      </c>
      <c r="AH1256" s="1">
        <f>MAX(0,1+V1256*方案参数!$U$37+3*方案参数!$V$37+方案参数!$AE$37-配置与结果!$B$29)</f>
        <v>1.8599999999999999</v>
      </c>
      <c r="AI1256" s="1">
        <f>IF(OR(INDEX(配置与结果!$K$15:$K$18,F1256)=1,G1256="RHI_BERRY"),1+配置与结果!$B$33+P1256*方案参数!$AH$37,1)</f>
        <v>1</v>
      </c>
      <c r="AJ1256" s="1">
        <f>MIN(1,MAX(0,J1256+方案参数!$AB$37-配置与结果!$B$27))</f>
        <v>1</v>
      </c>
      <c r="AK1256" s="1">
        <f>MAX(1,K1256+IF(F1256=2,0.15+方案参数!$CH$37,0)+BN1256*方案参数!$X$37+R1256*方案参数!$AA$37+方案参数!$BQ$37-配置与结果!$B$26+Z1256*(方案参数!$AP$37+MIN(方案参数!$AQ$37,P1256*0.03)))</f>
        <v>2.9650000000000003</v>
      </c>
      <c r="AL1256" s="7">
        <f>ROUNDDOWN(MAX(AD1256*配置与结果!$B$31,AD1256-AE1256)*AF1256*AG1256*AH1256*AI1256,0)</f>
        <v>178407</v>
      </c>
      <c r="AM1256" s="7">
        <f>ROUNDDOWN(MAX(AD1256*配置与结果!$B$31,AD1256-AE1256)*AF1256*AG1256*AH1256*AI1256*AK1256,0)</f>
        <v>528979</v>
      </c>
      <c r="AN1256" s="7">
        <f t="shared" si="1720"/>
        <v>528979</v>
      </c>
      <c r="AO1256" s="7">
        <f>0</f>
        <v>0</v>
      </c>
      <c r="AP1256" s="7">
        <f>MAX(0,1+INDEX(配置与结果!$J$15:$J$18,F1256)+IF(T1256&gt;0,方案参数!$BY$37,0)-配置与结果!$B$30)</f>
        <v>1</v>
      </c>
      <c r="AQ1256" s="7">
        <f t="shared" si="1721"/>
        <v>0</v>
      </c>
      <c r="AR1256" s="7">
        <f t="shared" si="1722"/>
        <v>0</v>
      </c>
      <c r="AS1256" s="7">
        <f t="shared" si="1723"/>
        <v>0</v>
      </c>
      <c r="AT1256" s="7">
        <f>IF(U1256&gt;0,ROUNDDOWN(AL1256*方案参数!$AF$37,0)*(1-AJ1256)+ROUNDDOWN(AM1256*方案参数!$AF$37,0)*AJ1256,0)</f>
        <v>211591</v>
      </c>
      <c r="AU1256" s="7">
        <f t="shared" si="1724"/>
        <v>740570</v>
      </c>
      <c r="AV1256" s="1">
        <f t="shared" si="1725"/>
        <v>2</v>
      </c>
      <c r="AW1256" s="1">
        <f t="shared" si="1772"/>
        <v>10</v>
      </c>
      <c r="AX1256" s="1">
        <f t="shared" si="1726"/>
        <v>2</v>
      </c>
      <c r="AY1256" s="1">
        <f>MIN(20,MAX(0,O1256+0+1-0))</f>
        <v>3</v>
      </c>
      <c r="AZ1256" s="1">
        <f t="shared" si="1727"/>
        <v>5</v>
      </c>
      <c r="BA1256" s="1">
        <f t="shared" si="1763"/>
        <v>5</v>
      </c>
      <c r="BB1256" s="1">
        <f t="shared" si="1771"/>
        <v>20</v>
      </c>
      <c r="BC1256" s="1">
        <f t="shared" si="1769"/>
        <v>3</v>
      </c>
      <c r="BD1256" s="1">
        <f t="shared" si="1750"/>
        <v>0</v>
      </c>
      <c r="BE1256" s="1">
        <f>MAX(0,U1256-IF(AF1256&gt;0,1,0))+0</f>
        <v>0</v>
      </c>
      <c r="BF1256" s="1">
        <f t="shared" si="1773"/>
        <v>4</v>
      </c>
      <c r="BG1256" s="1">
        <f t="shared" si="1760"/>
        <v>1</v>
      </c>
      <c r="BH1256" s="1">
        <f t="shared" si="1744"/>
        <v>1</v>
      </c>
      <c r="BI1256" s="1">
        <f t="shared" si="1761"/>
        <v>1</v>
      </c>
      <c r="BJ1256" s="1">
        <f t="shared" si="1764"/>
        <v>1</v>
      </c>
      <c r="BK1256" s="1">
        <f t="shared" si="1765"/>
        <v>1</v>
      </c>
      <c r="BL1256" s="1">
        <f t="shared" si="1770"/>
        <v>1</v>
      </c>
      <c r="BM1256" s="1">
        <f t="shared" si="1768"/>
        <v>1</v>
      </c>
      <c r="BN1256" s="1">
        <f t="shared" si="1745"/>
        <v>1</v>
      </c>
      <c r="BO1256" s="1">
        <f t="shared" si="1746"/>
        <v>1</v>
      </c>
    </row>
    <row r="1257" spans="1:67" ht="30.95" customHeight="1">
      <c r="A1257" s="1">
        <f>34</f>
        <v>34</v>
      </c>
      <c r="B1257" s="1">
        <f>固定流程!A33</f>
        <v>28</v>
      </c>
      <c r="C1257" s="1">
        <f>37</f>
        <v>37</v>
      </c>
      <c r="D1257" s="1">
        <f>2</f>
        <v>2</v>
      </c>
      <c r="E1257" s="1">
        <f>固定流程!C33</f>
        <v>3</v>
      </c>
      <c r="F1257" s="1">
        <f>固定流程!G33</f>
        <v>1</v>
      </c>
      <c r="G1257" s="1" t="str">
        <f>固定流程!H33</f>
        <v>LILYA_WEAK</v>
      </c>
      <c r="H1257" s="1">
        <f>固定流程!F33</f>
        <v>1</v>
      </c>
      <c r="I1257" s="1">
        <f>INDEX(配置与结果!$B$15:$B$18,F1257)</f>
        <v>2296</v>
      </c>
      <c r="J1257" s="1">
        <f>INDEX(配置与结果!$D$15:$D$18,F1257)</f>
        <v>0.7</v>
      </c>
      <c r="K1257" s="1">
        <f>INDEX(配置与结果!$E$15:$E$18,F1257)</f>
        <v>2.0249999999999999</v>
      </c>
      <c r="L1257" s="1">
        <f t="shared" si="1757"/>
        <v>2</v>
      </c>
      <c r="M1257" s="1">
        <f t="shared" si="1758"/>
        <v>10</v>
      </c>
      <c r="N1257" s="1">
        <f t="shared" si="1759"/>
        <v>2</v>
      </c>
      <c r="O1257" s="1">
        <f t="shared" si="1751"/>
        <v>3</v>
      </c>
      <c r="P1257" s="1">
        <f>MIN(方案参数!$AI$37,AZ1256+0+0)</f>
        <v>5</v>
      </c>
      <c r="Q1257" s="1">
        <f t="shared" si="1729"/>
        <v>5</v>
      </c>
      <c r="R1257" s="1">
        <f t="shared" si="1730"/>
        <v>20</v>
      </c>
      <c r="S1257" s="1">
        <f t="shared" si="1731"/>
        <v>3</v>
      </c>
      <c r="T1257" s="1">
        <f t="shared" si="1766"/>
        <v>0</v>
      </c>
      <c r="U1257" s="1">
        <f t="shared" si="1733"/>
        <v>0</v>
      </c>
      <c r="V1257" s="1">
        <f t="shared" si="1734"/>
        <v>4</v>
      </c>
      <c r="W1257" s="1">
        <f t="shared" si="1735"/>
        <v>1</v>
      </c>
      <c r="X1257" s="1">
        <f t="shared" si="1736"/>
        <v>1</v>
      </c>
      <c r="Y1257" s="1">
        <f t="shared" si="1737"/>
        <v>1</v>
      </c>
      <c r="Z1257" s="1">
        <f t="shared" si="1738"/>
        <v>1</v>
      </c>
      <c r="AA1257" s="1">
        <f t="shared" si="1762"/>
        <v>1</v>
      </c>
      <c r="AB1257" s="1">
        <f t="shared" si="1740"/>
        <v>1</v>
      </c>
      <c r="AC1257" s="1">
        <f t="shared" si="1767"/>
        <v>1</v>
      </c>
      <c r="AD1257" s="1">
        <f>ROUNDDOWN(I1257*(1+IF(F1257=3,0.05+方案参数!$Y$37+AA1257*0.12,IF(F1257=4,方案参数!$BZ$37*方案参数!$AS$37,0)))+IF(AND(X1257=1,F1257&lt;&gt;3),方案参数!$CC$37,0)+AC1257*方案参数!$CB$37,0)</f>
        <v>3034</v>
      </c>
      <c r="AE1257" s="1">
        <f>IF(OR(F1257=1,F1257=4),配置与结果!$B$24,配置与结果!$B$25)*MAX(0,1-INDEX(配置与结果!$I$15:$I$18,F1257))</f>
        <v>1200</v>
      </c>
      <c r="AF1257" s="1">
        <f>方案参数!$BL$37</f>
        <v>9</v>
      </c>
      <c r="AG1257" s="1">
        <f>MAX(配置与结果!$B$32,1+INDEX(配置与结果!$F$15:$F$18,F1257)+0.08+方案参数!$CD$37+Q1257*方案参数!$W$37+Y1257*(方案参数!$AN$37+MIN(方案参数!$AO$37,P1257*0.03))+AB1257*方案参数!$BZ$37*0.025-配置与结果!$B$28+方案参数!$AE$37)</f>
        <v>2.6150000000000002</v>
      </c>
      <c r="AH1257" s="1">
        <f>MAX(0,1+V1257*方案参数!$U$37+4*方案参数!$V$37+方案参数!$AE$37-配置与结果!$B$29)</f>
        <v>1.92</v>
      </c>
      <c r="AI1257" s="1">
        <f>IF(OR(INDEX(配置与结果!$K$15:$K$18,F1257)=1,G1257="RHI_BERRY"),1+配置与结果!$B$33+P1257*方案参数!$AH$37,1)</f>
        <v>1</v>
      </c>
      <c r="AJ1257" s="1">
        <f>MIN(1,MAX(0,J1257+方案参数!$AB$37-配置与结果!$B$27))</f>
        <v>1</v>
      </c>
      <c r="AK1257" s="1">
        <f>MAX(1,K1257+IF(F1257=2,0.15+方案参数!$CH$37,0)+BN1257*方案参数!$X$37+R1257*方案参数!$AA$37+方案参数!$BP$37-配置与结果!$B$26+Z1257*(方案参数!$AP$37+MIN(方案参数!$AQ$37,P1257*0.03)))</f>
        <v>2.7650000000000001</v>
      </c>
      <c r="AL1257" s="7">
        <f>ROUNDDOWN(MAX(AD1257*配置与结果!$B$31,AD1257-AE1257)*AF1257*AG1257*AH1257*AI1257,0)</f>
        <v>82873</v>
      </c>
      <c r="AM1257" s="7">
        <f>ROUNDDOWN(MAX(AD1257*配置与结果!$B$31,AD1257-AE1257)*AF1257*AG1257*AH1257*AI1257*AK1257,0)</f>
        <v>229144</v>
      </c>
      <c r="AN1257" s="7">
        <f t="shared" si="1720"/>
        <v>229144</v>
      </c>
      <c r="AO1257" s="7">
        <f>0</f>
        <v>0</v>
      </c>
      <c r="AP1257" s="7">
        <f>MAX(0,1+INDEX(配置与结果!$J$15:$J$18,F1257)+IF(T1257&gt;0,方案参数!$BY$37,0)-配置与结果!$B$30)</f>
        <v>1</v>
      </c>
      <c r="AQ1257" s="7">
        <f t="shared" si="1721"/>
        <v>0</v>
      </c>
      <c r="AR1257" s="7">
        <f t="shared" si="1722"/>
        <v>0</v>
      </c>
      <c r="AS1257" s="7">
        <f t="shared" si="1723"/>
        <v>0</v>
      </c>
      <c r="AT1257" s="7">
        <f>IF(U1257&gt;0,ROUNDDOWN(AL1257*方案参数!$AF$37,0)*(1-AJ1257)+ROUNDDOWN(AM1257*方案参数!$AF$37,0)*AJ1257,0)</f>
        <v>0</v>
      </c>
      <c r="AU1257" s="7">
        <f t="shared" si="1724"/>
        <v>229144</v>
      </c>
      <c r="AV1257" s="1">
        <f t="shared" si="1725"/>
        <v>2</v>
      </c>
      <c r="AW1257" s="1">
        <f t="shared" si="1772"/>
        <v>10</v>
      </c>
      <c r="AX1257" s="1">
        <f t="shared" si="1726"/>
        <v>2</v>
      </c>
      <c r="AY1257" s="1">
        <f>MIN(20,MAX(0,O1257+0+1-0))</f>
        <v>4</v>
      </c>
      <c r="AZ1257" s="1">
        <f t="shared" si="1727"/>
        <v>5</v>
      </c>
      <c r="BA1257" s="1">
        <f t="shared" si="1763"/>
        <v>5</v>
      </c>
      <c r="BB1257" s="1">
        <f t="shared" si="1771"/>
        <v>20</v>
      </c>
      <c r="BC1257" s="1">
        <f t="shared" si="1769"/>
        <v>3</v>
      </c>
      <c r="BD1257" s="1">
        <f t="shared" si="1750"/>
        <v>0</v>
      </c>
      <c r="BE1257" s="1">
        <f>MAX(0,U1257-IF(AF1257&gt;0,1,0))+0</f>
        <v>0</v>
      </c>
      <c r="BF1257" s="1">
        <f t="shared" si="1773"/>
        <v>4</v>
      </c>
      <c r="BG1257" s="1">
        <f t="shared" si="1760"/>
        <v>1</v>
      </c>
      <c r="BH1257" s="1">
        <f t="shared" si="1744"/>
        <v>1</v>
      </c>
      <c r="BI1257" s="1">
        <f t="shared" si="1761"/>
        <v>1</v>
      </c>
      <c r="BJ1257" s="1">
        <f t="shared" si="1764"/>
        <v>1</v>
      </c>
      <c r="BK1257" s="1">
        <f t="shared" si="1765"/>
        <v>1</v>
      </c>
      <c r="BL1257" s="1">
        <f t="shared" si="1770"/>
        <v>1</v>
      </c>
      <c r="BM1257" s="1">
        <f t="shared" si="1768"/>
        <v>1</v>
      </c>
      <c r="BN1257" s="1">
        <f t="shared" si="1745"/>
        <v>1</v>
      </c>
      <c r="BO1257" s="1">
        <f t="shared" si="1746"/>
        <v>1</v>
      </c>
    </row>
    <row r="1258" spans="1:67" ht="30.95" customHeight="1">
      <c r="A1258" s="1">
        <f>34</f>
        <v>34</v>
      </c>
      <c r="B1258" s="1">
        <f>固定流程!A34</f>
        <v>29</v>
      </c>
      <c r="C1258" s="1">
        <f>37</f>
        <v>37</v>
      </c>
      <c r="D1258" s="1">
        <f>2</f>
        <v>2</v>
      </c>
      <c r="E1258" s="1">
        <f>固定流程!C34</f>
        <v>3</v>
      </c>
      <c r="F1258" s="1">
        <f>固定流程!G34</f>
        <v>1</v>
      </c>
      <c r="G1258" s="1" t="str">
        <f>固定流程!H34</f>
        <v>LILYA_WEAK</v>
      </c>
      <c r="H1258" s="1">
        <f>固定流程!F34</f>
        <v>1</v>
      </c>
      <c r="I1258" s="1">
        <f>INDEX(配置与结果!$B$15:$B$18,F1258)</f>
        <v>2296</v>
      </c>
      <c r="J1258" s="1">
        <f>INDEX(配置与结果!$D$15:$D$18,F1258)</f>
        <v>0.7</v>
      </c>
      <c r="K1258" s="1">
        <f>INDEX(配置与结果!$E$15:$E$18,F1258)</f>
        <v>2.0249999999999999</v>
      </c>
      <c r="L1258" s="1">
        <f t="shared" si="1757"/>
        <v>2</v>
      </c>
      <c r="M1258" s="1">
        <f t="shared" si="1758"/>
        <v>10</v>
      </c>
      <c r="N1258" s="1">
        <f t="shared" si="1759"/>
        <v>2</v>
      </c>
      <c r="O1258" s="1">
        <f t="shared" si="1751"/>
        <v>4</v>
      </c>
      <c r="P1258" s="1">
        <f>MIN(方案参数!$AI$37,AZ1257+0+0)</f>
        <v>5</v>
      </c>
      <c r="Q1258" s="1">
        <f t="shared" si="1729"/>
        <v>5</v>
      </c>
      <c r="R1258" s="1">
        <f t="shared" si="1730"/>
        <v>20</v>
      </c>
      <c r="S1258" s="1">
        <f t="shared" si="1731"/>
        <v>3</v>
      </c>
      <c r="T1258" s="1">
        <f t="shared" si="1766"/>
        <v>0</v>
      </c>
      <c r="U1258" s="1">
        <f t="shared" si="1733"/>
        <v>0</v>
      </c>
      <c r="V1258" s="1">
        <f t="shared" si="1734"/>
        <v>4</v>
      </c>
      <c r="W1258" s="1">
        <f t="shared" si="1735"/>
        <v>1</v>
      </c>
      <c r="X1258" s="1">
        <f t="shared" si="1736"/>
        <v>1</v>
      </c>
      <c r="Y1258" s="1">
        <f t="shared" si="1737"/>
        <v>1</v>
      </c>
      <c r="Z1258" s="1">
        <f t="shared" si="1738"/>
        <v>1</v>
      </c>
      <c r="AA1258" s="1">
        <f t="shared" si="1762"/>
        <v>1</v>
      </c>
      <c r="AB1258" s="1">
        <f t="shared" si="1740"/>
        <v>1</v>
      </c>
      <c r="AC1258" s="1">
        <f t="shared" si="1767"/>
        <v>1</v>
      </c>
      <c r="AD1258" s="1">
        <f>ROUNDDOWN(I1258*(1+IF(F1258=3,0.05+方案参数!$Y$37+AA1258*0.12,IF(F1258=4,方案参数!$BZ$37*方案参数!$AS$37,0)))+IF(AND(X1258=1,F1258&lt;&gt;3),方案参数!$CC$37,0)+AC1258*方案参数!$CB$37,0)</f>
        <v>3034</v>
      </c>
      <c r="AE1258" s="1">
        <f>IF(OR(F1258=1,F1258=4),配置与结果!$B$24,配置与结果!$B$25)*MAX(0,1-INDEX(配置与结果!$I$15:$I$18,F1258))</f>
        <v>1200</v>
      </c>
      <c r="AF1258" s="1">
        <f>方案参数!$BL$37</f>
        <v>9</v>
      </c>
      <c r="AG1258" s="1">
        <f>MAX(配置与结果!$B$32,1+INDEX(配置与结果!$F$15:$F$18,F1258)+0.08+方案参数!$CD$37+Q1258*方案参数!$W$37+Y1258*(方案参数!$AN$37+MIN(方案参数!$AO$37,P1258*0.03))+AB1258*方案参数!$BZ$37*0.025-配置与结果!$B$28+方案参数!$AE$37)</f>
        <v>2.6150000000000002</v>
      </c>
      <c r="AH1258" s="1">
        <f>MAX(0,1+V1258*方案参数!$U$37+5*方案参数!$V$37+方案参数!$AE$37-配置与结果!$B$29)</f>
        <v>1.98</v>
      </c>
      <c r="AI1258" s="1">
        <f>IF(OR(INDEX(配置与结果!$K$15:$K$18,F1258)=1,G1258="RHI_BERRY"),1+配置与结果!$B$33+P1258*方案参数!$AH$37,1)</f>
        <v>1</v>
      </c>
      <c r="AJ1258" s="1">
        <f>MIN(1,MAX(0,J1258+方案参数!$AB$37-配置与结果!$B$27))</f>
        <v>1</v>
      </c>
      <c r="AK1258" s="1">
        <f>MAX(1,K1258+IF(F1258=2,0.15+方案参数!$CH$37,0)+BN1258*方案参数!$X$37+R1258*方案参数!$AA$37+方案参数!$BP$37-配置与结果!$B$26+Z1258*(方案参数!$AP$37+MIN(方案参数!$AQ$37,P1258*0.03)))</f>
        <v>2.7650000000000001</v>
      </c>
      <c r="AL1258" s="7">
        <f>ROUNDDOWN(MAX(AD1258*配置与结果!$B$31,AD1258-AE1258)*AF1258*AG1258*AH1258*AI1258,0)</f>
        <v>85463</v>
      </c>
      <c r="AM1258" s="7">
        <f>ROUNDDOWN(MAX(AD1258*配置与结果!$B$31,AD1258-AE1258)*AF1258*AG1258*AH1258*AI1258*AK1258,0)</f>
        <v>236305</v>
      </c>
      <c r="AN1258" s="7">
        <f t="shared" si="1720"/>
        <v>236305</v>
      </c>
      <c r="AO1258" s="7">
        <f>0</f>
        <v>0</v>
      </c>
      <c r="AP1258" s="7">
        <f>MAX(0,1+INDEX(配置与结果!$J$15:$J$18,F1258)+IF(T1258&gt;0,方案参数!$BY$37,0)-配置与结果!$B$30)</f>
        <v>1</v>
      </c>
      <c r="AQ1258" s="7">
        <f t="shared" si="1721"/>
        <v>0</v>
      </c>
      <c r="AR1258" s="7">
        <f t="shared" si="1722"/>
        <v>0</v>
      </c>
      <c r="AS1258" s="7">
        <f t="shared" si="1723"/>
        <v>0</v>
      </c>
      <c r="AT1258" s="7">
        <f>IF(U1258&gt;0,ROUNDDOWN(AL1258*方案参数!$AF$37,0)*(1-AJ1258)+ROUNDDOWN(AM1258*方案参数!$AF$37,0)*AJ1258,0)</f>
        <v>0</v>
      </c>
      <c r="AU1258" s="7">
        <f t="shared" si="1724"/>
        <v>236305</v>
      </c>
      <c r="AV1258" s="1">
        <f t="shared" si="1725"/>
        <v>2</v>
      </c>
      <c r="AW1258" s="1">
        <f t="shared" si="1772"/>
        <v>10</v>
      </c>
      <c r="AX1258" s="1">
        <f t="shared" si="1726"/>
        <v>2</v>
      </c>
      <c r="AY1258" s="1">
        <f>MIN(20,MAX(0,O1258+0+1-0))</f>
        <v>5</v>
      </c>
      <c r="AZ1258" s="1">
        <f t="shared" si="1727"/>
        <v>5</v>
      </c>
      <c r="BA1258" s="1">
        <f t="shared" si="1763"/>
        <v>5</v>
      </c>
      <c r="BB1258" s="1">
        <f t="shared" si="1771"/>
        <v>20</v>
      </c>
      <c r="BC1258" s="1">
        <f t="shared" si="1769"/>
        <v>3</v>
      </c>
      <c r="BD1258" s="1">
        <f t="shared" si="1750"/>
        <v>0</v>
      </c>
      <c r="BE1258" s="1">
        <f>MAX(0,U1258-IF(AF1258&gt;0,1,0))+0</f>
        <v>0</v>
      </c>
      <c r="BF1258" s="1">
        <f t="shared" si="1773"/>
        <v>4</v>
      </c>
      <c r="BG1258" s="1">
        <f t="shared" si="1760"/>
        <v>1</v>
      </c>
      <c r="BH1258" s="1">
        <f t="shared" si="1744"/>
        <v>1</v>
      </c>
      <c r="BI1258" s="1">
        <f t="shared" si="1761"/>
        <v>1</v>
      </c>
      <c r="BJ1258" s="1">
        <f t="shared" si="1764"/>
        <v>1</v>
      </c>
      <c r="BK1258" s="1">
        <f t="shared" si="1765"/>
        <v>1</v>
      </c>
      <c r="BL1258" s="1">
        <f t="shared" si="1770"/>
        <v>1</v>
      </c>
      <c r="BM1258" s="1">
        <f t="shared" si="1768"/>
        <v>1</v>
      </c>
      <c r="BN1258" s="1">
        <f t="shared" si="1745"/>
        <v>1</v>
      </c>
      <c r="BO1258" s="1">
        <f t="shared" si="1746"/>
        <v>1</v>
      </c>
    </row>
    <row r="1259" spans="1:67" ht="30.95" customHeight="1">
      <c r="A1259" s="1">
        <f>34</f>
        <v>34</v>
      </c>
      <c r="B1259" s="1">
        <f>固定流程!A35</f>
        <v>30</v>
      </c>
      <c r="C1259" s="1">
        <f>37</f>
        <v>37</v>
      </c>
      <c r="D1259" s="1">
        <f>2</f>
        <v>2</v>
      </c>
      <c r="E1259" s="1">
        <f>固定流程!C35</f>
        <v>3</v>
      </c>
      <c r="F1259" s="1">
        <f>固定流程!G35</f>
        <v>2</v>
      </c>
      <c r="G1259" s="1" t="str">
        <f>固定流程!H35</f>
        <v>37_WEAK</v>
      </c>
      <c r="H1259" s="1">
        <f>固定流程!F35</f>
        <v>1</v>
      </c>
      <c r="I1259" s="1">
        <f>INDEX(配置与结果!$B$15:$B$18,F1259)</f>
        <v>2306</v>
      </c>
      <c r="J1259" s="1">
        <f>INDEX(配置与结果!$D$15:$D$18,F1259)</f>
        <v>0.46</v>
      </c>
      <c r="K1259" s="1">
        <f>INDEX(配置与结果!$E$15:$E$18,F1259)</f>
        <v>1.9279999999999999</v>
      </c>
      <c r="L1259" s="1">
        <f t="shared" si="1757"/>
        <v>2</v>
      </c>
      <c r="M1259" s="1">
        <f t="shared" si="1758"/>
        <v>10</v>
      </c>
      <c r="N1259" s="1">
        <f t="shared" si="1759"/>
        <v>2</v>
      </c>
      <c r="O1259" s="1">
        <f t="shared" si="1751"/>
        <v>5</v>
      </c>
      <c r="P1259" s="1">
        <f>MIN(方案参数!$AI$37,AZ1258+0+0)</f>
        <v>5</v>
      </c>
      <c r="Q1259" s="1">
        <f t="shared" si="1729"/>
        <v>5</v>
      </c>
      <c r="R1259" s="1">
        <f t="shared" si="1730"/>
        <v>20</v>
      </c>
      <c r="S1259" s="1">
        <f t="shared" si="1731"/>
        <v>3</v>
      </c>
      <c r="T1259" s="1">
        <f t="shared" si="1766"/>
        <v>0</v>
      </c>
      <c r="U1259" s="1">
        <f t="shared" si="1733"/>
        <v>0</v>
      </c>
      <c r="V1259" s="1">
        <f t="shared" si="1734"/>
        <v>4</v>
      </c>
      <c r="W1259" s="1">
        <f t="shared" si="1735"/>
        <v>1</v>
      </c>
      <c r="X1259" s="1">
        <f t="shared" si="1736"/>
        <v>1</v>
      </c>
      <c r="Y1259" s="1">
        <f t="shared" si="1737"/>
        <v>1</v>
      </c>
      <c r="Z1259" s="1">
        <f t="shared" si="1738"/>
        <v>1</v>
      </c>
      <c r="AA1259" s="1">
        <f t="shared" si="1762"/>
        <v>1</v>
      </c>
      <c r="AB1259" s="1">
        <f t="shared" si="1740"/>
        <v>1</v>
      </c>
      <c r="AC1259" s="1">
        <f t="shared" si="1767"/>
        <v>1</v>
      </c>
      <c r="AD1259" s="1">
        <f>ROUNDDOWN(I1259*(1+IF(F1259=3,0.05+方案参数!$Y$37+AA1259*0.12,IF(F1259=4,方案参数!$BZ$37*方案参数!$AS$37,0)))+IF(AND(X1259=1,F1259&lt;&gt;3),方案参数!$CC$37,0)+AC1259*方案参数!$CB$37,0)</f>
        <v>3044</v>
      </c>
      <c r="AE1259" s="1">
        <f>IF(OR(F1259=1,F1259=4),配置与结果!$B$24,配置与结果!$B$25)*MAX(0,1-INDEX(配置与结果!$I$15:$I$18,F1259))</f>
        <v>1000</v>
      </c>
      <c r="AF1259" s="1">
        <f>方案参数!$CE$37</f>
        <v>8</v>
      </c>
      <c r="AG1259" s="1">
        <f>MAX(配置与结果!$B$32,1+INDEX(配置与结果!$F$15:$F$18,F1259)+0+Q1259*方案参数!$W$37+Y1259*(方案参数!$AN$37+MIN(方案参数!$AO$37,P1259*0.03))+AB1259*方案参数!$BZ$37*0.025-配置与结果!$B$28+方案参数!$AE$37)</f>
        <v>2.2800000000000002</v>
      </c>
      <c r="AH1259" s="1">
        <f>MAX(0,1+V1259*方案参数!$U$37+方案参数!$AE$37-配置与结果!$B$29)</f>
        <v>1.6800000000000002</v>
      </c>
      <c r="AI1259" s="1">
        <f>IF(OR(INDEX(配置与结果!$K$15:$K$18,F1259)=1,G1259="RHI_BERRY"),1+配置与结果!$B$33+P1259*方案参数!$AH$37,1)</f>
        <v>1</v>
      </c>
      <c r="AJ1259" s="1">
        <f>MIN(1,MAX(0,J1259+方案参数!$AB$37-配置与结果!$B$27))</f>
        <v>0.76</v>
      </c>
      <c r="AK1259" s="1">
        <f>MAX(1,K1259+IF(F1259=2,0.15+方案参数!$CH$37,0)+BN1259*方案参数!$X$37+R1259*方案参数!$AA$37+0-配置与结果!$B$26+Z1259*(方案参数!$AP$37+MIN(方案参数!$AQ$37,P1259*0.03)))</f>
        <v>2.4279999999999999</v>
      </c>
      <c r="AL1259" s="7">
        <f>ROUNDDOWN(MAX(AD1259*配置与结果!$B$31,AD1259-AE1259)*AF1259*AG1259*AH1259*AI1259,0)</f>
        <v>62634</v>
      </c>
      <c r="AM1259" s="7">
        <f>ROUNDDOWN(MAX(AD1259*配置与结果!$B$31,AD1259-AE1259)*AF1259*AG1259*AH1259*AI1259*AK1259,0)</f>
        <v>152077</v>
      </c>
      <c r="AN1259" s="7">
        <f t="shared" si="1720"/>
        <v>130610.68000000001</v>
      </c>
      <c r="AO1259" s="7">
        <f>0</f>
        <v>0</v>
      </c>
      <c r="AP1259" s="7">
        <f>MAX(0,1+INDEX(配置与结果!$J$15:$J$18,F1259)+IF(T1259&gt;0,方案参数!$BY$37,0)-配置与结果!$B$30)</f>
        <v>1</v>
      </c>
      <c r="AQ1259" s="7">
        <f t="shared" si="1721"/>
        <v>0</v>
      </c>
      <c r="AR1259" s="7">
        <f t="shared" si="1722"/>
        <v>0</v>
      </c>
      <c r="AS1259" s="7">
        <f t="shared" si="1723"/>
        <v>0</v>
      </c>
      <c r="AT1259" s="7">
        <f>IF(U1259&gt;0,ROUNDDOWN(AL1259*方案参数!$AF$37,0)*(1-AJ1259)+ROUNDDOWN(AM1259*方案参数!$AF$37,0)*AJ1259,0)</f>
        <v>0</v>
      </c>
      <c r="AU1259" s="7">
        <f t="shared" si="1724"/>
        <v>130610.68000000001</v>
      </c>
      <c r="AV1259" s="1">
        <f t="shared" si="1725"/>
        <v>2</v>
      </c>
      <c r="AW1259" s="1">
        <f t="shared" si="1772"/>
        <v>10</v>
      </c>
      <c r="AX1259" s="1">
        <f t="shared" si="1726"/>
        <v>2</v>
      </c>
      <c r="AY1259" s="1">
        <f>MIN(20,MAX(0,O1259+0+0-0))</f>
        <v>5</v>
      </c>
      <c r="AZ1259" s="1">
        <f t="shared" si="1727"/>
        <v>5</v>
      </c>
      <c r="BA1259" s="1">
        <f t="shared" si="1763"/>
        <v>5</v>
      </c>
      <c r="BB1259" s="1">
        <f t="shared" si="1771"/>
        <v>20</v>
      </c>
      <c r="BC1259" s="1">
        <f t="shared" si="1769"/>
        <v>3</v>
      </c>
      <c r="BD1259" s="1">
        <f t="shared" si="1750"/>
        <v>0</v>
      </c>
      <c r="BE1259" s="1">
        <f>MAX(0,U1259-IF(AF1259&gt;0,1,0))+1</f>
        <v>1</v>
      </c>
      <c r="BF1259" s="1">
        <f t="shared" si="1773"/>
        <v>4</v>
      </c>
      <c r="BG1259" s="1">
        <f t="shared" si="1760"/>
        <v>1</v>
      </c>
      <c r="BH1259" s="1">
        <f t="shared" si="1744"/>
        <v>1</v>
      </c>
      <c r="BI1259" s="1">
        <f t="shared" si="1761"/>
        <v>1</v>
      </c>
      <c r="BJ1259" s="1">
        <f t="shared" si="1764"/>
        <v>1</v>
      </c>
      <c r="BK1259" s="1">
        <f t="shared" si="1765"/>
        <v>1</v>
      </c>
      <c r="BL1259" s="1">
        <f t="shared" si="1770"/>
        <v>1</v>
      </c>
      <c r="BM1259" s="1">
        <f t="shared" si="1768"/>
        <v>1</v>
      </c>
      <c r="BN1259" s="1">
        <f t="shared" si="1745"/>
        <v>1</v>
      </c>
      <c r="BO1259" s="1">
        <f t="shared" si="1746"/>
        <v>1</v>
      </c>
    </row>
    <row r="1260" spans="1:67" ht="30.95" customHeight="1">
      <c r="A1260" s="1">
        <f>34</f>
        <v>34</v>
      </c>
      <c r="B1260" s="1">
        <f>固定流程!A36</f>
        <v>31</v>
      </c>
      <c r="C1260" s="1">
        <f>37</f>
        <v>37</v>
      </c>
      <c r="D1260" s="1">
        <f>2</f>
        <v>2</v>
      </c>
      <c r="E1260" s="1">
        <f>固定流程!C36</f>
        <v>3</v>
      </c>
      <c r="F1260" s="1">
        <f>固定流程!G36</f>
        <v>1</v>
      </c>
      <c r="G1260" s="1" t="str">
        <f>固定流程!H36</f>
        <v>LILYA_THIRD</v>
      </c>
      <c r="H1260" s="1">
        <f>固定流程!F36</f>
        <v>1</v>
      </c>
      <c r="I1260" s="1">
        <f>INDEX(配置与结果!$B$15:$B$18,F1260)</f>
        <v>2296</v>
      </c>
      <c r="J1260" s="1">
        <f>INDEX(配置与结果!$D$15:$D$18,F1260)</f>
        <v>0.7</v>
      </c>
      <c r="K1260" s="1">
        <f>INDEX(配置与结果!$E$15:$E$18,F1260)</f>
        <v>2.0249999999999999</v>
      </c>
      <c r="L1260" s="1">
        <f t="shared" si="1757"/>
        <v>2</v>
      </c>
      <c r="M1260" s="1">
        <f t="shared" si="1758"/>
        <v>10</v>
      </c>
      <c r="N1260" s="1">
        <f t="shared" si="1759"/>
        <v>2</v>
      </c>
      <c r="O1260" s="1">
        <f t="shared" si="1751"/>
        <v>5</v>
      </c>
      <c r="P1260" s="1">
        <f>MIN(方案参数!$AI$37,AZ1259+0+0)</f>
        <v>5</v>
      </c>
      <c r="Q1260" s="1">
        <f t="shared" si="1729"/>
        <v>5</v>
      </c>
      <c r="R1260" s="1">
        <f t="shared" si="1730"/>
        <v>20</v>
      </c>
      <c r="S1260" s="1">
        <f t="shared" si="1731"/>
        <v>3</v>
      </c>
      <c r="T1260" s="1">
        <f t="shared" si="1766"/>
        <v>0</v>
      </c>
      <c r="U1260" s="1">
        <f t="shared" si="1733"/>
        <v>1</v>
      </c>
      <c r="V1260" s="1">
        <f t="shared" si="1734"/>
        <v>4</v>
      </c>
      <c r="W1260" s="1">
        <f t="shared" si="1735"/>
        <v>1</v>
      </c>
      <c r="X1260" s="1">
        <f t="shared" si="1736"/>
        <v>1</v>
      </c>
      <c r="Y1260" s="1">
        <f t="shared" si="1737"/>
        <v>1</v>
      </c>
      <c r="Z1260" s="1">
        <f t="shared" si="1738"/>
        <v>1</v>
      </c>
      <c r="AA1260" s="1">
        <f t="shared" si="1762"/>
        <v>1</v>
      </c>
      <c r="AB1260" s="1">
        <f t="shared" si="1740"/>
        <v>1</v>
      </c>
      <c r="AC1260" s="1">
        <f t="shared" si="1767"/>
        <v>1</v>
      </c>
      <c r="AD1260" s="1">
        <f>ROUNDDOWN(I1260*(1+IF(F1260=3,0.05+方案参数!$Y$37+AA1260*0.12,IF(F1260=4,方案参数!$BZ$37*方案参数!$AS$37,0)))+IF(AND(X1260=1,F1260&lt;&gt;3),方案参数!$CC$37,0)+AC1260*方案参数!$CB$37,0)</f>
        <v>3034</v>
      </c>
      <c r="AE1260" s="1">
        <f>IF(OR(F1260=1,F1260=4),配置与结果!$B$24,配置与结果!$B$25)*MAX(0,1-INDEX(配置与结果!$I$15:$I$18,F1260))</f>
        <v>1200</v>
      </c>
      <c r="AF1260" s="1">
        <f>方案参数!$BM$37</f>
        <v>20</v>
      </c>
      <c r="AG1260" s="1">
        <f>MAX(配置与结果!$B$32,1+INDEX(配置与结果!$F$15:$F$18,F1260)+0.08+方案参数!$CD$37+Q1260*方案参数!$W$37+Y1260*(方案参数!$AN$37+MIN(方案参数!$AO$37,P1260*0.03))+AB1260*方案参数!$BZ$37*0.025-配置与结果!$B$28+方案参数!$AE$37)</f>
        <v>2.6150000000000002</v>
      </c>
      <c r="AH1260" s="1">
        <f>MAX(0,1+V1260*方案参数!$U$37+7*方案参数!$V$37+方案参数!$AE$37-配置与结果!$B$29)</f>
        <v>2.1</v>
      </c>
      <c r="AI1260" s="1">
        <f>IF(OR(INDEX(配置与结果!$K$15:$K$18,F1260)=1,G1260="RHI_BERRY"),1+配置与结果!$B$33+P1260*方案参数!$AH$37,1)</f>
        <v>1</v>
      </c>
      <c r="AJ1260" s="1">
        <f>MIN(1,MAX(0,J1260+方案参数!$AB$37-配置与结果!$B$27))</f>
        <v>1</v>
      </c>
      <c r="AK1260" s="1">
        <f>MAX(1,K1260+IF(F1260=2,0.15+方案参数!$CH$37,0)+BN1260*方案参数!$X$37+R1260*方案参数!$AA$37+方案参数!$BQ$37-配置与结果!$B$26+Z1260*(方案参数!$AP$37+MIN(方案参数!$AQ$37,P1260*0.03)))</f>
        <v>2.9650000000000003</v>
      </c>
      <c r="AL1260" s="7">
        <f>ROUNDDOWN(MAX(AD1260*配置与结果!$B$31,AD1260-AE1260)*AF1260*AG1260*AH1260*AI1260,0)</f>
        <v>201428</v>
      </c>
      <c r="AM1260" s="7">
        <f>ROUNDDOWN(MAX(AD1260*配置与结果!$B$31,AD1260-AE1260)*AF1260*AG1260*AH1260*AI1260*AK1260,0)</f>
        <v>597234</v>
      </c>
      <c r="AN1260" s="7">
        <f t="shared" si="1720"/>
        <v>597234</v>
      </c>
      <c r="AO1260" s="7">
        <f>0</f>
        <v>0</v>
      </c>
      <c r="AP1260" s="7">
        <f>MAX(0,1+INDEX(配置与结果!$J$15:$J$18,F1260)+IF(T1260&gt;0,方案参数!$BY$37,0)-配置与结果!$B$30)</f>
        <v>1</v>
      </c>
      <c r="AQ1260" s="7">
        <f t="shared" si="1721"/>
        <v>0</v>
      </c>
      <c r="AR1260" s="7">
        <f t="shared" si="1722"/>
        <v>0</v>
      </c>
      <c r="AS1260" s="7">
        <f t="shared" si="1723"/>
        <v>0</v>
      </c>
      <c r="AT1260" s="7">
        <f>IF(U1260&gt;0,ROUNDDOWN(AL1260*方案参数!$AF$37,0)*(1-AJ1260)+ROUNDDOWN(AM1260*方案参数!$AF$37,0)*AJ1260,0)</f>
        <v>238893</v>
      </c>
      <c r="AU1260" s="7">
        <f t="shared" si="1724"/>
        <v>836127</v>
      </c>
      <c r="AV1260" s="1">
        <f t="shared" si="1725"/>
        <v>2</v>
      </c>
      <c r="AW1260" s="1">
        <f t="shared" si="1772"/>
        <v>10</v>
      </c>
      <c r="AX1260" s="1">
        <f t="shared" si="1726"/>
        <v>2</v>
      </c>
      <c r="AY1260" s="1">
        <f>MIN(20,MAX(0,O1260+0+1-0))</f>
        <v>6</v>
      </c>
      <c r="AZ1260" s="1">
        <f t="shared" si="1727"/>
        <v>5</v>
      </c>
      <c r="BA1260" s="1">
        <f t="shared" si="1763"/>
        <v>5</v>
      </c>
      <c r="BB1260" s="1">
        <f t="shared" si="1771"/>
        <v>20</v>
      </c>
      <c r="BC1260" s="1">
        <f t="shared" si="1769"/>
        <v>3</v>
      </c>
      <c r="BD1260" s="1">
        <f t="shared" si="1750"/>
        <v>0</v>
      </c>
      <c r="BE1260" s="1">
        <f>MAX(0,U1260-IF(AF1260&gt;0,1,0))+0</f>
        <v>0</v>
      </c>
      <c r="BF1260" s="1">
        <f t="shared" si="1773"/>
        <v>4</v>
      </c>
      <c r="BG1260" s="1">
        <f t="shared" si="1760"/>
        <v>1</v>
      </c>
      <c r="BH1260" s="1">
        <f t="shared" si="1744"/>
        <v>1</v>
      </c>
      <c r="BI1260" s="1">
        <f t="shared" si="1761"/>
        <v>1</v>
      </c>
      <c r="BJ1260" s="1">
        <f t="shared" si="1764"/>
        <v>1</v>
      </c>
      <c r="BK1260" s="1">
        <f t="shared" si="1765"/>
        <v>1</v>
      </c>
      <c r="BL1260" s="1">
        <f t="shared" si="1770"/>
        <v>1</v>
      </c>
      <c r="BM1260" s="1">
        <f t="shared" si="1768"/>
        <v>1</v>
      </c>
      <c r="BN1260" s="1">
        <f t="shared" si="1745"/>
        <v>1</v>
      </c>
      <c r="BO1260" s="1">
        <f t="shared" si="1746"/>
        <v>1</v>
      </c>
    </row>
    <row r="1261" spans="1:67" ht="30.95" customHeight="1">
      <c r="A1261" s="1">
        <f>34</f>
        <v>34</v>
      </c>
      <c r="B1261" s="1">
        <f>固定流程!A37</f>
        <v>32</v>
      </c>
      <c r="C1261" s="1">
        <f>37</f>
        <v>37</v>
      </c>
      <c r="D1261" s="1">
        <f>2</f>
        <v>2</v>
      </c>
      <c r="E1261" s="1">
        <f>固定流程!C37</f>
        <v>3</v>
      </c>
      <c r="F1261" s="1">
        <f>固定流程!G37</f>
        <v>1</v>
      </c>
      <c r="G1261" s="1" t="str">
        <f>固定流程!H37</f>
        <v>LILYA_WEAK</v>
      </c>
      <c r="H1261" s="1">
        <f>固定流程!F37</f>
        <v>1</v>
      </c>
      <c r="I1261" s="1">
        <f>INDEX(配置与结果!$B$15:$B$18,F1261)</f>
        <v>2296</v>
      </c>
      <c r="J1261" s="1">
        <f>INDEX(配置与结果!$D$15:$D$18,F1261)</f>
        <v>0.7</v>
      </c>
      <c r="K1261" s="1">
        <f>INDEX(配置与结果!$E$15:$E$18,F1261)</f>
        <v>2.0249999999999999</v>
      </c>
      <c r="L1261" s="1">
        <f t="shared" si="1757"/>
        <v>2</v>
      </c>
      <c r="M1261" s="1">
        <f t="shared" si="1758"/>
        <v>10</v>
      </c>
      <c r="N1261" s="1">
        <f t="shared" si="1759"/>
        <v>2</v>
      </c>
      <c r="O1261" s="1">
        <f t="shared" si="1751"/>
        <v>6</v>
      </c>
      <c r="P1261" s="1">
        <f>MIN(方案参数!$AI$37,AZ1260+0+0)</f>
        <v>5</v>
      </c>
      <c r="Q1261" s="1">
        <f t="shared" si="1729"/>
        <v>5</v>
      </c>
      <c r="R1261" s="1">
        <f t="shared" si="1730"/>
        <v>20</v>
      </c>
      <c r="S1261" s="1">
        <f t="shared" si="1731"/>
        <v>3</v>
      </c>
      <c r="T1261" s="1">
        <f t="shared" si="1766"/>
        <v>0</v>
      </c>
      <c r="U1261" s="1">
        <f t="shared" si="1733"/>
        <v>0</v>
      </c>
      <c r="V1261" s="1">
        <f t="shared" si="1734"/>
        <v>4</v>
      </c>
      <c r="W1261" s="1">
        <f t="shared" si="1735"/>
        <v>1</v>
      </c>
      <c r="X1261" s="1">
        <f t="shared" si="1736"/>
        <v>1</v>
      </c>
      <c r="Y1261" s="1">
        <f t="shared" si="1737"/>
        <v>1</v>
      </c>
      <c r="Z1261" s="1">
        <f t="shared" si="1738"/>
        <v>1</v>
      </c>
      <c r="AA1261" s="1">
        <f t="shared" si="1762"/>
        <v>1</v>
      </c>
      <c r="AB1261" s="1">
        <f t="shared" si="1740"/>
        <v>1</v>
      </c>
      <c r="AC1261" s="1">
        <f t="shared" si="1767"/>
        <v>1</v>
      </c>
      <c r="AD1261" s="1">
        <f>ROUNDDOWN(I1261*(1+IF(F1261=3,0.05+方案参数!$Y$37+AA1261*0.12,IF(F1261=4,方案参数!$BZ$37*方案参数!$AS$37,0)))+IF(AND(X1261=1,F1261&lt;&gt;3),方案参数!$CC$37,0)+AC1261*方案参数!$CB$37,0)</f>
        <v>3034</v>
      </c>
      <c r="AE1261" s="1">
        <f>IF(OR(F1261=1,F1261=4),配置与结果!$B$24,配置与结果!$B$25)*MAX(0,1-INDEX(配置与结果!$I$15:$I$18,F1261))</f>
        <v>1200</v>
      </c>
      <c r="AF1261" s="1">
        <f>方案参数!$BL$37</f>
        <v>9</v>
      </c>
      <c r="AG1261" s="1">
        <f>MAX(配置与结果!$B$32,1+INDEX(配置与结果!$F$15:$F$18,F1261)+0.08+方案参数!$CD$37+Q1261*方案参数!$W$37+Y1261*(方案参数!$AN$37+MIN(方案参数!$AO$37,P1261*0.03))+AB1261*方案参数!$BZ$37*0.025-配置与结果!$B$28+方案参数!$AE$37)</f>
        <v>2.6150000000000002</v>
      </c>
      <c r="AH1261" s="1">
        <f>MAX(0,1+V1261*方案参数!$U$37+8*方案参数!$V$37+方案参数!$AE$37-配置与结果!$B$29)</f>
        <v>2.16</v>
      </c>
      <c r="AI1261" s="1">
        <f>IF(OR(INDEX(配置与结果!$K$15:$K$18,F1261)=1,G1261="RHI_BERRY"),1+配置与结果!$B$33+P1261*方案参数!$AH$37,1)</f>
        <v>1</v>
      </c>
      <c r="AJ1261" s="1">
        <f>MIN(1,MAX(0,J1261+方案参数!$AB$37-配置与结果!$B$27))</f>
        <v>1</v>
      </c>
      <c r="AK1261" s="1">
        <f>MAX(1,K1261+IF(F1261=2,0.15+方案参数!$CH$37,0)+BN1261*方案参数!$X$37+R1261*方案参数!$AA$37+方案参数!$BP$37-配置与结果!$B$26+Z1261*(方案参数!$AP$37+MIN(方案参数!$AQ$37,P1261*0.03)))</f>
        <v>2.7650000000000001</v>
      </c>
      <c r="AL1261" s="7">
        <f>ROUNDDOWN(MAX(AD1261*配置与结果!$B$31,AD1261-AE1261)*AF1261*AG1261*AH1261*AI1261,0)</f>
        <v>93232</v>
      </c>
      <c r="AM1261" s="7">
        <f>ROUNDDOWN(MAX(AD1261*配置与结果!$B$31,AD1261-AE1261)*AF1261*AG1261*AH1261*AI1261*AK1261,0)</f>
        <v>257787</v>
      </c>
      <c r="AN1261" s="7">
        <f t="shared" si="1720"/>
        <v>257787</v>
      </c>
      <c r="AO1261" s="7">
        <f>0</f>
        <v>0</v>
      </c>
      <c r="AP1261" s="7">
        <f>MAX(0,1+INDEX(配置与结果!$J$15:$J$18,F1261)+IF(T1261&gt;0,方案参数!$BY$37,0)-配置与结果!$B$30)</f>
        <v>1</v>
      </c>
      <c r="AQ1261" s="7">
        <f t="shared" si="1721"/>
        <v>0</v>
      </c>
      <c r="AR1261" s="7">
        <f t="shared" si="1722"/>
        <v>0</v>
      </c>
      <c r="AS1261" s="7">
        <f t="shared" si="1723"/>
        <v>0</v>
      </c>
      <c r="AT1261" s="7">
        <f>IF(U1261&gt;0,ROUNDDOWN(AL1261*方案参数!$AF$37,0)*(1-AJ1261)+ROUNDDOWN(AM1261*方案参数!$AF$37,0)*AJ1261,0)</f>
        <v>0</v>
      </c>
      <c r="AU1261" s="7">
        <f t="shared" si="1724"/>
        <v>257787</v>
      </c>
      <c r="AV1261" s="1">
        <f t="shared" si="1725"/>
        <v>2</v>
      </c>
      <c r="AW1261" s="1">
        <f t="shared" si="1772"/>
        <v>10</v>
      </c>
      <c r="AX1261" s="1">
        <f t="shared" si="1726"/>
        <v>2</v>
      </c>
      <c r="AY1261" s="1">
        <f>MIN(20,MAX(0,O1261+0+1-0))</f>
        <v>7</v>
      </c>
      <c r="AZ1261" s="1">
        <f t="shared" si="1727"/>
        <v>5</v>
      </c>
      <c r="BA1261" s="1">
        <f t="shared" si="1763"/>
        <v>5</v>
      </c>
      <c r="BB1261" s="1">
        <f t="shared" si="1771"/>
        <v>20</v>
      </c>
      <c r="BC1261" s="1">
        <f t="shared" si="1769"/>
        <v>3</v>
      </c>
      <c r="BD1261" s="1">
        <f t="shared" si="1750"/>
        <v>0</v>
      </c>
      <c r="BE1261" s="1">
        <f>MAX(0,U1261-IF(AF1261&gt;0,1,0))+0</f>
        <v>0</v>
      </c>
      <c r="BF1261" s="1">
        <f t="shared" si="1773"/>
        <v>4</v>
      </c>
      <c r="BG1261" s="1">
        <f t="shared" si="1760"/>
        <v>1</v>
      </c>
      <c r="BH1261" s="1">
        <f t="shared" si="1744"/>
        <v>1</v>
      </c>
      <c r="BI1261" s="1">
        <f t="shared" si="1761"/>
        <v>1</v>
      </c>
      <c r="BJ1261" s="1">
        <f t="shared" si="1764"/>
        <v>1</v>
      </c>
      <c r="BK1261" s="1">
        <f t="shared" si="1765"/>
        <v>1</v>
      </c>
      <c r="BL1261" s="1">
        <f t="shared" si="1770"/>
        <v>1</v>
      </c>
      <c r="BM1261" s="1">
        <f t="shared" si="1768"/>
        <v>1</v>
      </c>
      <c r="BN1261" s="1">
        <f t="shared" si="1745"/>
        <v>1</v>
      </c>
      <c r="BO1261" s="1">
        <f t="shared" si="1746"/>
        <v>1</v>
      </c>
    </row>
    <row r="1262" spans="1:67" ht="30.95" customHeight="1">
      <c r="A1262" s="1">
        <f>34</f>
        <v>34</v>
      </c>
      <c r="B1262" s="1">
        <f>固定流程!A38</f>
        <v>33</v>
      </c>
      <c r="C1262" s="1">
        <f>37</f>
        <v>37</v>
      </c>
      <c r="D1262" s="1">
        <f>2</f>
        <v>2</v>
      </c>
      <c r="E1262" s="1">
        <f>固定流程!C38</f>
        <v>3</v>
      </c>
      <c r="F1262" s="1">
        <f>固定流程!G38</f>
        <v>1</v>
      </c>
      <c r="G1262" s="1" t="str">
        <f>固定流程!H38</f>
        <v>LILYA_WEAK</v>
      </c>
      <c r="H1262" s="1">
        <f>固定流程!F38</f>
        <v>1</v>
      </c>
      <c r="I1262" s="1">
        <f>INDEX(配置与结果!$B$15:$B$18,F1262)</f>
        <v>2296</v>
      </c>
      <c r="J1262" s="1">
        <f>INDEX(配置与结果!$D$15:$D$18,F1262)</f>
        <v>0.7</v>
      </c>
      <c r="K1262" s="1">
        <f>INDEX(配置与结果!$E$15:$E$18,F1262)</f>
        <v>2.0249999999999999</v>
      </c>
      <c r="L1262" s="1">
        <f t="shared" si="1757"/>
        <v>2</v>
      </c>
      <c r="M1262" s="1">
        <f t="shared" si="1758"/>
        <v>10</v>
      </c>
      <c r="N1262" s="1">
        <f t="shared" si="1759"/>
        <v>2</v>
      </c>
      <c r="O1262" s="1">
        <f t="shared" si="1751"/>
        <v>7</v>
      </c>
      <c r="P1262" s="1">
        <f>MIN(方案参数!$AI$37,AZ1261+0+0)</f>
        <v>5</v>
      </c>
      <c r="Q1262" s="1">
        <f t="shared" si="1729"/>
        <v>5</v>
      </c>
      <c r="R1262" s="1">
        <f t="shared" si="1730"/>
        <v>20</v>
      </c>
      <c r="S1262" s="1">
        <f t="shared" si="1731"/>
        <v>3</v>
      </c>
      <c r="T1262" s="1">
        <f t="shared" si="1766"/>
        <v>0</v>
      </c>
      <c r="U1262" s="1">
        <f t="shared" si="1733"/>
        <v>0</v>
      </c>
      <c r="V1262" s="1">
        <f t="shared" si="1734"/>
        <v>4</v>
      </c>
      <c r="W1262" s="1">
        <f t="shared" si="1735"/>
        <v>1</v>
      </c>
      <c r="X1262" s="1">
        <f t="shared" si="1736"/>
        <v>1</v>
      </c>
      <c r="Y1262" s="1">
        <f t="shared" si="1737"/>
        <v>1</v>
      </c>
      <c r="Z1262" s="1">
        <f t="shared" si="1738"/>
        <v>1</v>
      </c>
      <c r="AA1262" s="1">
        <f t="shared" si="1762"/>
        <v>1</v>
      </c>
      <c r="AB1262" s="1">
        <f t="shared" si="1740"/>
        <v>1</v>
      </c>
      <c r="AC1262" s="1">
        <f t="shared" si="1767"/>
        <v>1</v>
      </c>
      <c r="AD1262" s="1">
        <f>ROUNDDOWN(I1262*(1+IF(F1262=3,0.05+方案参数!$Y$37+AA1262*0.12,IF(F1262=4,方案参数!$BZ$37*方案参数!$AS$37,0)))+IF(AND(X1262=1,F1262&lt;&gt;3),方案参数!$CC$37,0)+AC1262*方案参数!$CB$37,0)</f>
        <v>3034</v>
      </c>
      <c r="AE1262" s="1">
        <f>IF(OR(F1262=1,F1262=4),配置与结果!$B$24,配置与结果!$B$25)*MAX(0,1-INDEX(配置与结果!$I$15:$I$18,F1262))</f>
        <v>1200</v>
      </c>
      <c r="AF1262" s="1">
        <f>方案参数!$BL$37</f>
        <v>9</v>
      </c>
      <c r="AG1262" s="1">
        <f>MAX(配置与结果!$B$32,1+INDEX(配置与结果!$F$15:$F$18,F1262)+0.08+方案参数!$CD$37+Q1262*方案参数!$W$37+Y1262*(方案参数!$AN$37+MIN(方案参数!$AO$37,P1262*0.03))+AB1262*方案参数!$BZ$37*0.025-配置与结果!$B$28+方案参数!$AE$37)</f>
        <v>2.6150000000000002</v>
      </c>
      <c r="AH1262" s="1">
        <f>MAX(0,1+V1262*方案参数!$U$37+9*方案参数!$V$37+方案参数!$AE$37-配置与结果!$B$29)</f>
        <v>2.2200000000000002</v>
      </c>
      <c r="AI1262" s="1">
        <f>IF(OR(INDEX(配置与结果!$K$15:$K$18,F1262)=1,G1262="RHI_BERRY"),1+配置与结果!$B$33+P1262*方案参数!$AH$37,1)</f>
        <v>1</v>
      </c>
      <c r="AJ1262" s="1">
        <f>MIN(1,MAX(0,J1262+方案参数!$AB$37-配置与结果!$B$27))</f>
        <v>1</v>
      </c>
      <c r="AK1262" s="1">
        <f>MAX(1,K1262+IF(F1262=2,0.15+方案参数!$CH$37,0)+BN1262*方案参数!$X$37+R1262*方案参数!$AA$37+方案参数!$BP$37-配置与结果!$B$26+Z1262*(方案参数!$AP$37+MIN(方案参数!$AQ$37,P1262*0.03)))</f>
        <v>2.7650000000000001</v>
      </c>
      <c r="AL1262" s="7">
        <f>ROUNDDOWN(MAX(AD1262*配置与结果!$B$31,AD1262-AE1262)*AF1262*AG1262*AH1262*AI1262,0)</f>
        <v>95822</v>
      </c>
      <c r="AM1262" s="7">
        <f>ROUNDDOWN(MAX(AD1262*配置与结果!$B$31,AD1262-AE1262)*AF1262*AG1262*AH1262*AI1262*AK1262,0)</f>
        <v>264948</v>
      </c>
      <c r="AN1262" s="7">
        <f t="shared" si="1720"/>
        <v>264948</v>
      </c>
      <c r="AO1262" s="7">
        <f>0</f>
        <v>0</v>
      </c>
      <c r="AP1262" s="7">
        <f>MAX(0,1+INDEX(配置与结果!$J$15:$J$18,F1262)+IF(T1262&gt;0,方案参数!$BY$37,0)-配置与结果!$B$30)</f>
        <v>1</v>
      </c>
      <c r="AQ1262" s="7">
        <f t="shared" si="1721"/>
        <v>0</v>
      </c>
      <c r="AR1262" s="7">
        <f t="shared" si="1722"/>
        <v>0</v>
      </c>
      <c r="AS1262" s="7">
        <f t="shared" si="1723"/>
        <v>0</v>
      </c>
      <c r="AT1262" s="7">
        <f>IF(U1262&gt;0,ROUNDDOWN(AL1262*方案参数!$AF$37,0)*(1-AJ1262)+ROUNDDOWN(AM1262*方案参数!$AF$37,0)*AJ1262,0)</f>
        <v>0</v>
      </c>
      <c r="AU1262" s="7">
        <f t="shared" si="1724"/>
        <v>264948</v>
      </c>
      <c r="AV1262" s="1">
        <f t="shared" si="1725"/>
        <v>2</v>
      </c>
      <c r="AW1262" s="1">
        <f t="shared" si="1772"/>
        <v>10</v>
      </c>
      <c r="AX1262" s="1">
        <f t="shared" si="1726"/>
        <v>2</v>
      </c>
      <c r="AY1262" s="1">
        <f>MIN(20,MAX(0,O1262+0+1-0))</f>
        <v>8</v>
      </c>
      <c r="AZ1262" s="1">
        <f t="shared" si="1727"/>
        <v>5</v>
      </c>
      <c r="BA1262" s="1">
        <f t="shared" si="1763"/>
        <v>5</v>
      </c>
      <c r="BB1262" s="1">
        <f t="shared" si="1771"/>
        <v>20</v>
      </c>
      <c r="BC1262" s="1">
        <f t="shared" si="1769"/>
        <v>3</v>
      </c>
      <c r="BD1262" s="1">
        <f t="shared" si="1750"/>
        <v>0</v>
      </c>
      <c r="BE1262" s="1">
        <f>MAX(0,U1262-IF(AF1262&gt;0,1,0))+0</f>
        <v>0</v>
      </c>
      <c r="BF1262" s="1">
        <f t="shared" si="1773"/>
        <v>4</v>
      </c>
      <c r="BG1262" s="1">
        <f t="shared" si="1760"/>
        <v>1</v>
      </c>
      <c r="BH1262" s="1">
        <f t="shared" si="1744"/>
        <v>1</v>
      </c>
      <c r="BI1262" s="1">
        <f t="shared" si="1761"/>
        <v>1</v>
      </c>
      <c r="BJ1262" s="1">
        <f t="shared" si="1764"/>
        <v>1</v>
      </c>
      <c r="BK1262" s="1">
        <f t="shared" si="1765"/>
        <v>1</v>
      </c>
      <c r="BL1262" s="1">
        <f t="shared" si="1770"/>
        <v>1</v>
      </c>
      <c r="BM1262" s="1">
        <f t="shared" si="1768"/>
        <v>1</v>
      </c>
      <c r="BN1262" s="1">
        <f t="shared" si="1745"/>
        <v>1</v>
      </c>
      <c r="BO1262" s="1">
        <f t="shared" si="1746"/>
        <v>1</v>
      </c>
    </row>
    <row r="1263" spans="1:67" ht="30.95" customHeight="1">
      <c r="A1263" s="1">
        <f>34</f>
        <v>34</v>
      </c>
      <c r="B1263" s="1">
        <f>固定流程!A39</f>
        <v>34</v>
      </c>
      <c r="C1263" s="1">
        <f>37</f>
        <v>37</v>
      </c>
      <c r="D1263" s="1">
        <f>2</f>
        <v>2</v>
      </c>
      <c r="E1263" s="1">
        <f>固定流程!C39</f>
        <v>3</v>
      </c>
      <c r="F1263" s="1">
        <f>固定流程!G39</f>
        <v>2</v>
      </c>
      <c r="G1263" s="1" t="str">
        <f>固定流程!H39</f>
        <v>37_WEAK</v>
      </c>
      <c r="H1263" s="1">
        <f>固定流程!F39</f>
        <v>1</v>
      </c>
      <c r="I1263" s="1">
        <f>INDEX(配置与结果!$B$15:$B$18,F1263)</f>
        <v>2306</v>
      </c>
      <c r="J1263" s="1">
        <f>INDEX(配置与结果!$D$15:$D$18,F1263)</f>
        <v>0.46</v>
      </c>
      <c r="K1263" s="1">
        <f>INDEX(配置与结果!$E$15:$E$18,F1263)</f>
        <v>1.9279999999999999</v>
      </c>
      <c r="L1263" s="1">
        <f t="shared" si="1757"/>
        <v>2</v>
      </c>
      <c r="M1263" s="1">
        <f t="shared" si="1758"/>
        <v>10</v>
      </c>
      <c r="N1263" s="1">
        <f t="shared" si="1759"/>
        <v>2</v>
      </c>
      <c r="O1263" s="1">
        <f t="shared" si="1751"/>
        <v>8</v>
      </c>
      <c r="P1263" s="1">
        <f>MIN(方案参数!$AI$37,AZ1262+0+0)</f>
        <v>5</v>
      </c>
      <c r="Q1263" s="1">
        <f t="shared" si="1729"/>
        <v>5</v>
      </c>
      <c r="R1263" s="1">
        <f t="shared" si="1730"/>
        <v>20</v>
      </c>
      <c r="S1263" s="1">
        <f t="shared" si="1731"/>
        <v>3</v>
      </c>
      <c r="T1263" s="1">
        <f t="shared" si="1766"/>
        <v>0</v>
      </c>
      <c r="U1263" s="1">
        <f t="shared" si="1733"/>
        <v>0</v>
      </c>
      <c r="V1263" s="1">
        <f t="shared" si="1734"/>
        <v>4</v>
      </c>
      <c r="W1263" s="1">
        <f t="shared" si="1735"/>
        <v>1</v>
      </c>
      <c r="X1263" s="1">
        <f t="shared" si="1736"/>
        <v>1</v>
      </c>
      <c r="Y1263" s="1">
        <f t="shared" si="1737"/>
        <v>1</v>
      </c>
      <c r="Z1263" s="1">
        <f t="shared" si="1738"/>
        <v>1</v>
      </c>
      <c r="AA1263" s="1">
        <f t="shared" si="1762"/>
        <v>1</v>
      </c>
      <c r="AB1263" s="1">
        <f t="shared" si="1740"/>
        <v>1</v>
      </c>
      <c r="AC1263" s="1">
        <f t="shared" si="1767"/>
        <v>1</v>
      </c>
      <c r="AD1263" s="1">
        <f>ROUNDDOWN(I1263*(1+IF(F1263=3,0.05+方案参数!$Y$37+AA1263*0.12,IF(F1263=4,方案参数!$BZ$37*方案参数!$AS$37,0)))+IF(AND(X1263=1,F1263&lt;&gt;3),方案参数!$CC$37,0)+AC1263*方案参数!$CB$37,0)</f>
        <v>3044</v>
      </c>
      <c r="AE1263" s="1">
        <f>IF(OR(F1263=1,F1263=4),配置与结果!$B$24,配置与结果!$B$25)*MAX(0,1-INDEX(配置与结果!$I$15:$I$18,F1263))</f>
        <v>1000</v>
      </c>
      <c r="AF1263" s="1">
        <f>方案参数!$CE$37</f>
        <v>8</v>
      </c>
      <c r="AG1263" s="1">
        <f>MAX(配置与结果!$B$32,1+INDEX(配置与结果!$F$15:$F$18,F1263)+0+Q1263*方案参数!$W$37+Y1263*(方案参数!$AN$37+MIN(方案参数!$AO$37,P1263*0.03))+AB1263*方案参数!$BZ$37*0.025-配置与结果!$B$28+方案参数!$AE$37)</f>
        <v>2.2800000000000002</v>
      </c>
      <c r="AH1263" s="1">
        <f>MAX(0,1+V1263*方案参数!$U$37+方案参数!$AE$37-配置与结果!$B$29)</f>
        <v>1.6800000000000002</v>
      </c>
      <c r="AI1263" s="1">
        <f>IF(OR(INDEX(配置与结果!$K$15:$K$18,F1263)=1,G1263="RHI_BERRY"),1+配置与结果!$B$33+P1263*方案参数!$AH$37,1)</f>
        <v>1</v>
      </c>
      <c r="AJ1263" s="1">
        <f>MIN(1,MAX(0,J1263+方案参数!$AB$37-配置与结果!$B$27))</f>
        <v>0.76</v>
      </c>
      <c r="AK1263" s="1">
        <f>MAX(1,K1263+IF(F1263=2,0.15+方案参数!$CH$37,0)+BN1263*方案参数!$X$37+R1263*方案参数!$AA$37+0-配置与结果!$B$26+Z1263*(方案参数!$AP$37+MIN(方案参数!$AQ$37,P1263*0.03)))</f>
        <v>2.4279999999999999</v>
      </c>
      <c r="AL1263" s="7">
        <f>ROUNDDOWN(MAX(AD1263*配置与结果!$B$31,AD1263-AE1263)*AF1263*AG1263*AH1263*AI1263,0)</f>
        <v>62634</v>
      </c>
      <c r="AM1263" s="7">
        <f>ROUNDDOWN(MAX(AD1263*配置与结果!$B$31,AD1263-AE1263)*AF1263*AG1263*AH1263*AI1263*AK1263,0)</f>
        <v>152077</v>
      </c>
      <c r="AN1263" s="7">
        <f t="shared" si="1720"/>
        <v>130610.68000000001</v>
      </c>
      <c r="AO1263" s="7">
        <f>0</f>
        <v>0</v>
      </c>
      <c r="AP1263" s="7">
        <f>MAX(0,1+INDEX(配置与结果!$J$15:$J$18,F1263)+IF(T1263&gt;0,方案参数!$BY$37,0)-配置与结果!$B$30)</f>
        <v>1</v>
      </c>
      <c r="AQ1263" s="7">
        <f t="shared" si="1721"/>
        <v>0</v>
      </c>
      <c r="AR1263" s="7">
        <f t="shared" si="1722"/>
        <v>0</v>
      </c>
      <c r="AS1263" s="7">
        <f t="shared" si="1723"/>
        <v>0</v>
      </c>
      <c r="AT1263" s="7">
        <f>IF(U1263&gt;0,ROUNDDOWN(AL1263*方案参数!$AF$37,0)*(1-AJ1263)+ROUNDDOWN(AM1263*方案参数!$AF$37,0)*AJ1263,0)</f>
        <v>0</v>
      </c>
      <c r="AU1263" s="7">
        <f t="shared" si="1724"/>
        <v>130610.68000000001</v>
      </c>
      <c r="AV1263" s="1">
        <f t="shared" si="1725"/>
        <v>2</v>
      </c>
      <c r="AW1263" s="1">
        <f t="shared" si="1772"/>
        <v>10</v>
      </c>
      <c r="AX1263" s="1">
        <f t="shared" si="1726"/>
        <v>2</v>
      </c>
      <c r="AY1263" s="1">
        <f>MIN(20,MAX(0,O1263+0+0-0))</f>
        <v>8</v>
      </c>
      <c r="AZ1263" s="1">
        <f t="shared" si="1727"/>
        <v>5</v>
      </c>
      <c r="BA1263" s="1">
        <f t="shared" si="1763"/>
        <v>5</v>
      </c>
      <c r="BB1263" s="1">
        <f t="shared" si="1771"/>
        <v>20</v>
      </c>
      <c r="BC1263" s="1">
        <f t="shared" si="1769"/>
        <v>3</v>
      </c>
      <c r="BD1263" s="1">
        <f t="shared" si="1750"/>
        <v>0</v>
      </c>
      <c r="BE1263" s="1">
        <f>MAX(0,U1263-IF(AF1263&gt;0,1,0))+1</f>
        <v>1</v>
      </c>
      <c r="BF1263" s="1">
        <f t="shared" si="1773"/>
        <v>4</v>
      </c>
      <c r="BG1263" s="1">
        <f t="shared" si="1760"/>
        <v>1</v>
      </c>
      <c r="BH1263" s="1">
        <f t="shared" si="1744"/>
        <v>1</v>
      </c>
      <c r="BI1263" s="1">
        <f t="shared" si="1761"/>
        <v>1</v>
      </c>
      <c r="BJ1263" s="1">
        <f t="shared" si="1764"/>
        <v>1</v>
      </c>
      <c r="BK1263" s="1">
        <f t="shared" si="1765"/>
        <v>1</v>
      </c>
      <c r="BL1263" s="1">
        <f t="shared" si="1770"/>
        <v>1</v>
      </c>
      <c r="BM1263" s="1">
        <f t="shared" si="1768"/>
        <v>1</v>
      </c>
      <c r="BN1263" s="1">
        <f t="shared" si="1745"/>
        <v>1</v>
      </c>
      <c r="BO1263" s="1">
        <f t="shared" si="1746"/>
        <v>1</v>
      </c>
    </row>
    <row r="1264" spans="1:67" ht="30.95" customHeight="1">
      <c r="A1264" s="1">
        <f>34</f>
        <v>34</v>
      </c>
      <c r="B1264" s="1">
        <f>固定流程!A40</f>
        <v>35</v>
      </c>
      <c r="C1264" s="1">
        <f>37</f>
        <v>37</v>
      </c>
      <c r="D1264" s="1">
        <f>2</f>
        <v>2</v>
      </c>
      <c r="E1264" s="1">
        <f>固定流程!C40</f>
        <v>3</v>
      </c>
      <c r="F1264" s="1">
        <f>固定流程!G40</f>
        <v>2</v>
      </c>
      <c r="G1264" s="1" t="str">
        <f>固定流程!H40</f>
        <v>37_WEAK</v>
      </c>
      <c r="H1264" s="1">
        <f>固定流程!F40</f>
        <v>1</v>
      </c>
      <c r="I1264" s="1">
        <f>INDEX(配置与结果!$B$15:$B$18,F1264)</f>
        <v>2306</v>
      </c>
      <c r="J1264" s="1">
        <f>INDEX(配置与结果!$D$15:$D$18,F1264)</f>
        <v>0.46</v>
      </c>
      <c r="K1264" s="1">
        <f>INDEX(配置与结果!$E$15:$E$18,F1264)</f>
        <v>1.9279999999999999</v>
      </c>
      <c r="L1264" s="1">
        <f t="shared" si="1757"/>
        <v>2</v>
      </c>
      <c r="M1264" s="1">
        <f t="shared" si="1758"/>
        <v>10</v>
      </c>
      <c r="N1264" s="1">
        <f t="shared" si="1759"/>
        <v>2</v>
      </c>
      <c r="O1264" s="1">
        <f t="shared" si="1751"/>
        <v>8</v>
      </c>
      <c r="P1264" s="1">
        <f>MIN(方案参数!$AI$37,AZ1263+0+0)</f>
        <v>5</v>
      </c>
      <c r="Q1264" s="1">
        <f t="shared" si="1729"/>
        <v>5</v>
      </c>
      <c r="R1264" s="1">
        <f t="shared" si="1730"/>
        <v>20</v>
      </c>
      <c r="S1264" s="1">
        <f t="shared" si="1731"/>
        <v>3</v>
      </c>
      <c r="T1264" s="1">
        <f t="shared" si="1766"/>
        <v>0</v>
      </c>
      <c r="U1264" s="1">
        <f t="shared" si="1733"/>
        <v>1</v>
      </c>
      <c r="V1264" s="1">
        <f t="shared" si="1734"/>
        <v>4</v>
      </c>
      <c r="W1264" s="1">
        <f t="shared" si="1735"/>
        <v>1</v>
      </c>
      <c r="X1264" s="1">
        <f t="shared" si="1736"/>
        <v>1</v>
      </c>
      <c r="Y1264" s="1">
        <f t="shared" si="1737"/>
        <v>1</v>
      </c>
      <c r="Z1264" s="1">
        <f t="shared" si="1738"/>
        <v>1</v>
      </c>
      <c r="AA1264" s="1">
        <f t="shared" si="1762"/>
        <v>1</v>
      </c>
      <c r="AB1264" s="1">
        <f t="shared" si="1740"/>
        <v>1</v>
      </c>
      <c r="AC1264" s="1">
        <f t="shared" si="1767"/>
        <v>1</v>
      </c>
      <c r="AD1264" s="1">
        <f>ROUNDDOWN(I1264*(1+IF(F1264=3,0.05+方案参数!$Y$37+AA1264*0.12,IF(F1264=4,方案参数!$BZ$37*方案参数!$AS$37,0)))+IF(AND(X1264=1,F1264&lt;&gt;3),方案参数!$CC$37,0)+AC1264*方案参数!$CB$37,0)</f>
        <v>3044</v>
      </c>
      <c r="AE1264" s="1">
        <f>IF(OR(F1264=1,F1264=4),配置与结果!$B$24,配置与结果!$B$25)*MAX(0,1-INDEX(配置与结果!$I$15:$I$18,F1264))</f>
        <v>1000</v>
      </c>
      <c r="AF1264" s="1">
        <f>方案参数!$CE$37</f>
        <v>8</v>
      </c>
      <c r="AG1264" s="1">
        <f>MAX(配置与结果!$B$32,1+INDEX(配置与结果!$F$15:$F$18,F1264)+0+Q1264*方案参数!$W$37+Y1264*(方案参数!$AN$37+MIN(方案参数!$AO$37,P1264*0.03))+AB1264*方案参数!$BZ$37*0.025-配置与结果!$B$28+方案参数!$AE$37)</f>
        <v>2.2800000000000002</v>
      </c>
      <c r="AH1264" s="1">
        <f>MAX(0,1+V1264*方案参数!$U$37+方案参数!$AE$37-配置与结果!$B$29)</f>
        <v>1.6800000000000002</v>
      </c>
      <c r="AI1264" s="1">
        <f>IF(OR(INDEX(配置与结果!$K$15:$K$18,F1264)=1,G1264="RHI_BERRY"),1+配置与结果!$B$33+P1264*方案参数!$AH$37,1)</f>
        <v>1</v>
      </c>
      <c r="AJ1264" s="1">
        <f>MIN(1,MAX(0,J1264+方案参数!$AB$37-配置与结果!$B$27))</f>
        <v>0.76</v>
      </c>
      <c r="AK1264" s="1">
        <f>MAX(1,K1264+IF(F1264=2,0.15+方案参数!$CH$37,0)+BN1264*方案参数!$X$37+R1264*方案参数!$AA$37+0-配置与结果!$B$26+Z1264*(方案参数!$AP$37+MIN(方案参数!$AQ$37,P1264*0.03)))</f>
        <v>2.4279999999999999</v>
      </c>
      <c r="AL1264" s="7">
        <f>ROUNDDOWN(MAX(AD1264*配置与结果!$B$31,AD1264-AE1264)*AF1264*AG1264*AH1264*AI1264,0)</f>
        <v>62634</v>
      </c>
      <c r="AM1264" s="7">
        <f>ROUNDDOWN(MAX(AD1264*配置与结果!$B$31,AD1264-AE1264)*AF1264*AG1264*AH1264*AI1264*AK1264,0)</f>
        <v>152077</v>
      </c>
      <c r="AN1264" s="7">
        <f t="shared" si="1720"/>
        <v>130610.68000000001</v>
      </c>
      <c r="AO1264" s="7">
        <f>0</f>
        <v>0</v>
      </c>
      <c r="AP1264" s="7">
        <f>MAX(0,1+INDEX(配置与结果!$J$15:$J$18,F1264)+IF(T1264&gt;0,方案参数!$BY$37,0)-配置与结果!$B$30)</f>
        <v>1</v>
      </c>
      <c r="AQ1264" s="7">
        <f t="shared" si="1721"/>
        <v>0</v>
      </c>
      <c r="AR1264" s="7">
        <f t="shared" si="1722"/>
        <v>0</v>
      </c>
      <c r="AS1264" s="7">
        <f t="shared" si="1723"/>
        <v>0</v>
      </c>
      <c r="AT1264" s="7">
        <f>IF(U1264&gt;0,ROUNDDOWN(AL1264*方案参数!$AF$37,0)*(1-AJ1264)+ROUNDDOWN(AM1264*方案参数!$AF$37,0)*AJ1264,0)</f>
        <v>52243.520000000004</v>
      </c>
      <c r="AU1264" s="7">
        <f t="shared" si="1724"/>
        <v>182854.2</v>
      </c>
      <c r="AV1264" s="1">
        <f t="shared" si="1725"/>
        <v>2</v>
      </c>
      <c r="AW1264" s="1">
        <f t="shared" si="1772"/>
        <v>10</v>
      </c>
      <c r="AX1264" s="1">
        <f t="shared" si="1726"/>
        <v>2</v>
      </c>
      <c r="AY1264" s="1">
        <f>MIN(20,MAX(0,O1264+0+0-0))</f>
        <v>8</v>
      </c>
      <c r="AZ1264" s="1">
        <f t="shared" si="1727"/>
        <v>5</v>
      </c>
      <c r="BA1264" s="1">
        <f t="shared" si="1763"/>
        <v>5</v>
      </c>
      <c r="BB1264" s="1">
        <f t="shared" si="1771"/>
        <v>20</v>
      </c>
      <c r="BC1264" s="1">
        <f t="shared" si="1769"/>
        <v>3</v>
      </c>
      <c r="BD1264" s="1">
        <f t="shared" si="1750"/>
        <v>0</v>
      </c>
      <c r="BE1264" s="1">
        <f>MAX(0,U1264-IF(AF1264&gt;0,1,0))+1</f>
        <v>1</v>
      </c>
      <c r="BF1264" s="1">
        <f t="shared" si="1773"/>
        <v>4</v>
      </c>
      <c r="BG1264" s="1">
        <f t="shared" si="1760"/>
        <v>1</v>
      </c>
      <c r="BH1264" s="1">
        <f t="shared" si="1744"/>
        <v>1</v>
      </c>
      <c r="BI1264" s="1">
        <f t="shared" si="1761"/>
        <v>1</v>
      </c>
      <c r="BJ1264" s="1">
        <f t="shared" si="1764"/>
        <v>1</v>
      </c>
      <c r="BK1264" s="1">
        <f t="shared" si="1765"/>
        <v>1</v>
      </c>
      <c r="BL1264" s="1">
        <f t="shared" si="1770"/>
        <v>1</v>
      </c>
      <c r="BM1264" s="1">
        <f t="shared" si="1768"/>
        <v>1</v>
      </c>
      <c r="BN1264" s="1">
        <f t="shared" si="1745"/>
        <v>1</v>
      </c>
      <c r="BO1264" s="1">
        <f t="shared" si="1746"/>
        <v>1</v>
      </c>
    </row>
    <row r="1265" spans="1:67" ht="30.95" customHeight="1">
      <c r="A1265" s="1">
        <f>34</f>
        <v>34</v>
      </c>
      <c r="B1265" s="1">
        <f>固定流程!A41</f>
        <v>36</v>
      </c>
      <c r="C1265" s="1">
        <f>37</f>
        <v>37</v>
      </c>
      <c r="D1265" s="1">
        <f>2</f>
        <v>2</v>
      </c>
      <c r="E1265" s="1">
        <f>固定流程!C41</f>
        <v>3</v>
      </c>
      <c r="F1265" s="1">
        <f>固定流程!G41</f>
        <v>1</v>
      </c>
      <c r="G1265" s="1" t="str">
        <f>固定流程!H41</f>
        <v>LILYA_FINISH</v>
      </c>
      <c r="H1265" s="1">
        <f>固定流程!F41</f>
        <v>1</v>
      </c>
      <c r="I1265" s="1">
        <f>INDEX(配置与结果!$B$15:$B$18,F1265)</f>
        <v>2296</v>
      </c>
      <c r="J1265" s="1">
        <f>INDEX(配置与结果!$D$15:$D$18,F1265)</f>
        <v>0.7</v>
      </c>
      <c r="K1265" s="1">
        <f>INDEX(配置与结果!$E$15:$E$18,F1265)</f>
        <v>2.0249999999999999</v>
      </c>
      <c r="L1265" s="1">
        <f t="shared" si="1757"/>
        <v>2</v>
      </c>
      <c r="M1265" s="1">
        <f t="shared" si="1758"/>
        <v>10</v>
      </c>
      <c r="N1265" s="1">
        <f t="shared" si="1759"/>
        <v>2</v>
      </c>
      <c r="O1265" s="1">
        <f t="shared" si="1751"/>
        <v>8</v>
      </c>
      <c r="P1265" s="1">
        <f>MIN(方案参数!$AI$37,AZ1264+0+0)</f>
        <v>5</v>
      </c>
      <c r="Q1265" s="1">
        <f t="shared" si="1729"/>
        <v>5</v>
      </c>
      <c r="R1265" s="1">
        <f t="shared" si="1730"/>
        <v>20</v>
      </c>
      <c r="S1265" s="1">
        <f t="shared" si="1731"/>
        <v>3</v>
      </c>
      <c r="T1265" s="1">
        <f t="shared" si="1766"/>
        <v>0</v>
      </c>
      <c r="U1265" s="1">
        <f t="shared" si="1733"/>
        <v>1</v>
      </c>
      <c r="V1265" s="1">
        <f t="shared" si="1734"/>
        <v>4</v>
      </c>
      <c r="W1265" s="1">
        <f t="shared" si="1735"/>
        <v>1</v>
      </c>
      <c r="X1265" s="1">
        <f t="shared" si="1736"/>
        <v>1</v>
      </c>
      <c r="Y1265" s="1">
        <f t="shared" si="1737"/>
        <v>1</v>
      </c>
      <c r="Z1265" s="1">
        <f t="shared" si="1738"/>
        <v>1</v>
      </c>
      <c r="AA1265" s="1">
        <f t="shared" si="1762"/>
        <v>1</v>
      </c>
      <c r="AB1265" s="1">
        <f t="shared" si="1740"/>
        <v>1</v>
      </c>
      <c r="AC1265" s="1">
        <f t="shared" si="1767"/>
        <v>1</v>
      </c>
      <c r="AD1265" s="1">
        <f>ROUNDDOWN(I1265*(1+IF(F1265=3,0.05+方案参数!$Y$37+AA1265*0.12,IF(F1265=4,方案参数!$BZ$37*方案参数!$AS$37,0)))+IF(AND(X1265=1,F1265&lt;&gt;3),方案参数!$CC$37,0)+AC1265*方案参数!$CB$37,0)</f>
        <v>3034</v>
      </c>
      <c r="AE1265" s="1">
        <f>IF(OR(F1265=1,F1265=4),配置与结果!$B$24,配置与结果!$B$25)*MAX(0,1-INDEX(配置与结果!$I$15:$I$18,F1265))</f>
        <v>1200</v>
      </c>
      <c r="AF1265" s="1">
        <f>方案参数!$BN$37+12*方案参数!$BO$37</f>
        <v>48</v>
      </c>
      <c r="AG1265" s="1">
        <f>MAX(配置与结果!$B$32,1+INDEX(配置与结果!$F$15:$F$18,F1265)+0.08+方案参数!$CD$37+Q1265*方案参数!$W$37+Y1265*(方案参数!$AN$37+MIN(方案参数!$AO$37,P1265*0.03))+AB1265*方案参数!$BZ$37*0.025-配置与结果!$B$28+方案参数!$AE$37)</f>
        <v>2.6150000000000002</v>
      </c>
      <c r="AH1265" s="1">
        <f>MAX(0,1+V1265*方案参数!$U$37+12*方案参数!$V$37+方案参数!$AE$37-配置与结果!$B$29)</f>
        <v>2.4</v>
      </c>
      <c r="AI1265" s="1">
        <f>IF(OR(INDEX(配置与结果!$K$15:$K$18,F1265)=1,G1265="RHI_BERRY"),1+配置与结果!$B$33+P1265*方案参数!$AH$37,1)</f>
        <v>1</v>
      </c>
      <c r="AJ1265" s="1">
        <f>MIN(1,MAX(0,J1265+方案参数!$AB$37-配置与结果!$B$27))</f>
        <v>1</v>
      </c>
      <c r="AK1265" s="1">
        <f>MAX(1,K1265+IF(F1265=2,0.15+方案参数!$CH$37,0)+BN1265*方案参数!$X$37+R1265*方案参数!$AA$37+方案参数!$BR$37-配置与结果!$B$26+Z1265*(方案参数!$AP$37+MIN(方案参数!$AQ$37,P1265*0.03)))</f>
        <v>3.165</v>
      </c>
      <c r="AL1265" s="7">
        <f>ROUNDDOWN(MAX(AD1265*配置与结果!$B$31,AD1265-AE1265)*AF1265*AG1265*AH1265*AI1265,0)</f>
        <v>552488</v>
      </c>
      <c r="AM1265" s="7">
        <f>ROUNDDOWN(MAX(AD1265*配置与结果!$B$31,AD1265-AE1265)*AF1265*AG1265*AH1265*AI1265*AK1265,0)</f>
        <v>1748627</v>
      </c>
      <c r="AN1265" s="7">
        <f t="shared" si="1720"/>
        <v>1748627</v>
      </c>
      <c r="AO1265" s="7">
        <f>0</f>
        <v>0</v>
      </c>
      <c r="AP1265" s="7">
        <f>MAX(0,1+INDEX(配置与结果!$J$15:$J$18,F1265)+IF(T1265&gt;0,方案参数!$BY$37,0)-配置与结果!$B$30)</f>
        <v>1</v>
      </c>
      <c r="AQ1265" s="7">
        <f t="shared" si="1721"/>
        <v>0</v>
      </c>
      <c r="AR1265" s="7">
        <f t="shared" si="1722"/>
        <v>0</v>
      </c>
      <c r="AS1265" s="7">
        <f t="shared" si="1723"/>
        <v>0</v>
      </c>
      <c r="AT1265" s="7">
        <f>IF(U1265&gt;0,ROUNDDOWN(AL1265*方案参数!$AF$37,0)*(1-AJ1265)+ROUNDDOWN(AM1265*方案参数!$AF$37,0)*AJ1265,0)</f>
        <v>699450</v>
      </c>
      <c r="AU1265" s="7">
        <f t="shared" si="1724"/>
        <v>2448077</v>
      </c>
      <c r="AV1265" s="1">
        <f t="shared" si="1725"/>
        <v>2</v>
      </c>
      <c r="AW1265" s="1">
        <f t="shared" si="1772"/>
        <v>10</v>
      </c>
      <c r="AX1265" s="1">
        <f t="shared" si="1726"/>
        <v>2</v>
      </c>
      <c r="AY1265" s="1">
        <f>MIN(20,MAX(0,O1265+0+1-0))</f>
        <v>9</v>
      </c>
      <c r="AZ1265" s="1">
        <f t="shared" si="1727"/>
        <v>5</v>
      </c>
      <c r="BA1265" s="1">
        <f t="shared" si="1763"/>
        <v>5</v>
      </c>
      <c r="BB1265" s="1">
        <f t="shared" si="1771"/>
        <v>20</v>
      </c>
      <c r="BC1265" s="1">
        <f t="shared" si="1769"/>
        <v>3</v>
      </c>
      <c r="BD1265" s="1">
        <f t="shared" si="1750"/>
        <v>0</v>
      </c>
      <c r="BE1265" s="1">
        <f>MAX(0,U1265-IF(AF1265&gt;0,1,0))+0</f>
        <v>0</v>
      </c>
      <c r="BF1265" s="1">
        <f t="shared" si="1773"/>
        <v>4</v>
      </c>
      <c r="BG1265" s="1">
        <f t="shared" si="1760"/>
        <v>1</v>
      </c>
      <c r="BH1265" s="1">
        <f t="shared" si="1744"/>
        <v>1</v>
      </c>
      <c r="BI1265" s="1">
        <f t="shared" si="1761"/>
        <v>1</v>
      </c>
      <c r="BJ1265" s="1">
        <f t="shared" si="1764"/>
        <v>1</v>
      </c>
      <c r="BK1265" s="1">
        <f t="shared" si="1765"/>
        <v>1</v>
      </c>
      <c r="BL1265" s="1">
        <f t="shared" si="1770"/>
        <v>1</v>
      </c>
      <c r="BM1265" s="1">
        <f t="shared" si="1768"/>
        <v>1</v>
      </c>
      <c r="BN1265" s="1">
        <f t="shared" si="1745"/>
        <v>1</v>
      </c>
      <c r="BO1265" s="1">
        <f t="shared" si="1746"/>
        <v>1</v>
      </c>
    </row>
    <row r="1266" spans="1:67" ht="30.95" customHeight="1">
      <c r="A1266" s="1">
        <f>35</f>
        <v>35</v>
      </c>
      <c r="B1266" s="1">
        <f>固定流程!A6</f>
        <v>1</v>
      </c>
      <c r="C1266" s="1">
        <f>38</f>
        <v>38</v>
      </c>
      <c r="D1266" s="1">
        <f>1</f>
        <v>1</v>
      </c>
      <c r="E1266" s="1">
        <f>固定流程!C6</f>
        <v>1</v>
      </c>
      <c r="F1266" s="1">
        <f>固定流程!G6</f>
        <v>3</v>
      </c>
      <c r="G1266" s="1" t="str">
        <f>固定流程!H6</f>
        <v>RHI_ULT</v>
      </c>
      <c r="H1266" s="1">
        <f>固定流程!F6</f>
        <v>1</v>
      </c>
      <c r="I1266" s="1">
        <f>INDEX(配置与结果!$B$15:$B$18,F1266)</f>
        <v>2597</v>
      </c>
      <c r="J1266" s="1">
        <f>INDEX(配置与结果!$D$15:$D$18,F1266)</f>
        <v>0.255</v>
      </c>
      <c r="K1266" s="1">
        <f>INDEX(配置与结果!$E$15:$E$18,F1266)</f>
        <v>1.55</v>
      </c>
      <c r="L1266" s="1">
        <f>0</f>
        <v>0</v>
      </c>
      <c r="M1266" s="1">
        <f>0</f>
        <v>0</v>
      </c>
      <c r="N1266" s="1">
        <f>0</f>
        <v>0</v>
      </c>
      <c r="O1266" s="1">
        <f>0</f>
        <v>0</v>
      </c>
      <c r="P1266" s="1">
        <f>MIN(方案参数!$AI$38,0+方案参数!$AJ$38+0)</f>
        <v>1</v>
      </c>
      <c r="Q1266" s="1">
        <f>0</f>
        <v>0</v>
      </c>
      <c r="R1266" s="1">
        <f>0</f>
        <v>0</v>
      </c>
      <c r="S1266" s="1">
        <f>0</f>
        <v>0</v>
      </c>
      <c r="T1266" s="1">
        <f>0+0</f>
        <v>0</v>
      </c>
      <c r="U1266" s="1">
        <f>0</f>
        <v>0</v>
      </c>
      <c r="V1266" s="1">
        <f>0</f>
        <v>0</v>
      </c>
      <c r="W1266" s="1">
        <f>0</f>
        <v>0</v>
      </c>
      <c r="X1266" s="1">
        <f>0</f>
        <v>0</v>
      </c>
      <c r="Y1266" s="1">
        <f>0</f>
        <v>0</v>
      </c>
      <c r="Z1266" s="1">
        <f>0</f>
        <v>0</v>
      </c>
      <c r="AA1266" s="1">
        <f>MAX(0,0)</f>
        <v>0</v>
      </c>
      <c r="AB1266" s="1">
        <f>0</f>
        <v>0</v>
      </c>
      <c r="AC1266" s="1">
        <f>MAX(0,0)</f>
        <v>0</v>
      </c>
      <c r="AD1266" s="1">
        <f>ROUNDDOWN(I1266*(1+IF(F1266=3,0.05+方案参数!$Y$38+AA1266*0.12,IF(F1266=4,方案参数!$BZ$38*方案参数!$AS$38,0)))+IF(AND(X1266=1,F1266&lt;&gt;3),方案参数!$CC$38,0)+AC1266*方案参数!$CB$38,0)</f>
        <v>2986</v>
      </c>
      <c r="AE1266" s="1">
        <f>IF(OR(F1266=1,F1266=4),配置与结果!$B$24,配置与结果!$B$25)*MAX(0,1-INDEX(配置与结果!$I$15:$I$18,F1266))</f>
        <v>1000</v>
      </c>
      <c r="AF1266" s="1">
        <f>0</f>
        <v>0</v>
      </c>
      <c r="AG1266" s="1">
        <f>MAX(配置与结果!$B$32,1+INDEX(配置与结果!$F$15:$F$18,F1266)+0+Q1266*方案参数!$W$38+Y1266*(方案参数!$AN$38+MIN(方案参数!$AO$38,P1266*0.03))+AB1266*方案参数!$BZ$38*0.025-配置与结果!$B$28)</f>
        <v>0.6349999999999999</v>
      </c>
      <c r="AH1266" s="1">
        <f>MAX(0,1+INDEX(配置与结果!$G$15:$G$18,F1266)+W1266*方案参数!$AG$38)</f>
        <v>1</v>
      </c>
      <c r="AI1266" s="1">
        <f>IF(OR(INDEX(配置与结果!$K$15:$K$18,F1266)=1,G1266="RHI_BERRY"),1+配置与结果!$B$33+P1266*方案参数!$AH$38,1)</f>
        <v>1</v>
      </c>
      <c r="AJ1266" s="1">
        <f>MIN(1,MAX(0,J1266+方案参数!$AB$38-配置与结果!$B$27))</f>
        <v>0.55499999999999994</v>
      </c>
      <c r="AK1266" s="1">
        <f>MAX(1,K1266+IF(F1266=2,0.15+方案参数!$CH$38,0)+BN1266*方案参数!$X$38+R1266*方案参数!$AA$38+0-配置与结果!$B$26+Z1266*(方案参数!$AP$38+MIN(方案参数!$AQ$38,P1266*0.03)))</f>
        <v>1.1499999999999999</v>
      </c>
      <c r="AL1266" s="7">
        <f>ROUNDDOWN(MAX(AD1266*配置与结果!$B$31,AD1266-AE1266)*AF1266*AG1266*AH1266*AI1266,0)</f>
        <v>0</v>
      </c>
      <c r="AM1266" s="7">
        <f>ROUNDDOWN(MAX(AD1266*配置与结果!$B$31,AD1266-AE1266)*AF1266*AG1266*AH1266*AI1266*AK1266,0)</f>
        <v>0</v>
      </c>
      <c r="AN1266" s="7">
        <f t="shared" si="1720"/>
        <v>0</v>
      </c>
      <c r="AO1266" s="7">
        <f>0</f>
        <v>0</v>
      </c>
      <c r="AP1266" s="7">
        <f>MAX(0,1+INDEX(配置与结果!$J$15:$J$18,F1266)+IF(T1266&gt;0,方案参数!$BY$38,0)-配置与结果!$B$30)</f>
        <v>1</v>
      </c>
      <c r="AQ1266" s="7">
        <f t="shared" si="1721"/>
        <v>0</v>
      </c>
      <c r="AR1266" s="7">
        <f t="shared" si="1722"/>
        <v>0</v>
      </c>
      <c r="AS1266" s="7">
        <f t="shared" si="1723"/>
        <v>0</v>
      </c>
      <c r="AT1266" s="7">
        <f>0</f>
        <v>0</v>
      </c>
      <c r="AU1266" s="7">
        <f t="shared" si="1724"/>
        <v>0</v>
      </c>
      <c r="AV1266" s="1">
        <f t="shared" si="1725"/>
        <v>0</v>
      </c>
      <c r="AW1266" s="1">
        <f t="shared" si="1772"/>
        <v>0</v>
      </c>
      <c r="AX1266" s="1">
        <f t="shared" si="1726"/>
        <v>0</v>
      </c>
      <c r="AY1266" s="1">
        <f>MIN(20,MAX(0,O1266+0+0-0))</f>
        <v>0</v>
      </c>
      <c r="AZ1266" s="1">
        <f t="shared" si="1727"/>
        <v>1</v>
      </c>
      <c r="BA1266" s="1">
        <f>MIN(6,Q1266+1)</f>
        <v>1</v>
      </c>
      <c r="BB1266" s="1">
        <f>MIN(30,R1266+5)</f>
        <v>5</v>
      </c>
      <c r="BC1266" s="1">
        <f t="shared" si="1769"/>
        <v>0</v>
      </c>
      <c r="BD1266" s="1">
        <f t="shared" si="1750"/>
        <v>0</v>
      </c>
      <c r="BE1266" s="1">
        <f>0</f>
        <v>0</v>
      </c>
      <c r="BF1266" s="1">
        <f t="shared" si="1773"/>
        <v>0</v>
      </c>
      <c r="BG1266" s="1">
        <f t="shared" si="1760"/>
        <v>0</v>
      </c>
      <c r="BH1266" s="1">
        <f>MAX(X1266,1)</f>
        <v>1</v>
      </c>
      <c r="BI1266" s="1">
        <f t="shared" si="1761"/>
        <v>0</v>
      </c>
      <c r="BJ1266" s="1">
        <f t="shared" si="1764"/>
        <v>0</v>
      </c>
      <c r="BK1266" s="1">
        <f t="shared" si="1765"/>
        <v>0</v>
      </c>
      <c r="BL1266" s="1">
        <f t="shared" si="1770"/>
        <v>0</v>
      </c>
      <c r="BM1266" s="1">
        <f t="shared" si="1768"/>
        <v>0</v>
      </c>
      <c r="BN1266" s="1">
        <f>0</f>
        <v>0</v>
      </c>
      <c r="BO1266" s="1">
        <f>MAX(BN1266,1)</f>
        <v>1</v>
      </c>
    </row>
    <row r="1267" spans="1:67" ht="30.95" customHeight="1">
      <c r="A1267" s="1">
        <f>35</f>
        <v>35</v>
      </c>
      <c r="B1267" s="1">
        <f>固定流程!A7</f>
        <v>2</v>
      </c>
      <c r="C1267" s="1">
        <f>38</f>
        <v>38</v>
      </c>
      <c r="D1267" s="1">
        <f>1</f>
        <v>1</v>
      </c>
      <c r="E1267" s="1">
        <f>固定流程!C7</f>
        <v>1</v>
      </c>
      <c r="F1267" s="1">
        <f>固定流程!G7</f>
        <v>3</v>
      </c>
      <c r="G1267" s="1" t="str">
        <f>固定流程!H7</f>
        <v>RHI_BUFF</v>
      </c>
      <c r="H1267" s="1">
        <f>固定流程!F7</f>
        <v>1</v>
      </c>
      <c r="I1267" s="1">
        <f>INDEX(配置与结果!$B$15:$B$18,F1267)</f>
        <v>2597</v>
      </c>
      <c r="J1267" s="1">
        <f>INDEX(配置与结果!$D$15:$D$18,F1267)</f>
        <v>0.255</v>
      </c>
      <c r="K1267" s="1">
        <f>INDEX(配置与结果!$E$15:$E$18,F1267)</f>
        <v>1.55</v>
      </c>
      <c r="L1267" s="1">
        <f t="shared" ref="L1267:O1272" si="1774">AV1266</f>
        <v>0</v>
      </c>
      <c r="M1267" s="1">
        <f t="shared" si="1774"/>
        <v>0</v>
      </c>
      <c r="N1267" s="1">
        <f t="shared" si="1774"/>
        <v>0</v>
      </c>
      <c r="O1267" s="1">
        <f t="shared" si="1774"/>
        <v>0</v>
      </c>
      <c r="P1267" s="1">
        <f>MIN(方案参数!$AI$38,AZ1266+0+方案参数!$AK$38)</f>
        <v>3</v>
      </c>
      <c r="Q1267" s="1">
        <f t="shared" ref="Q1267:Q1301" si="1775">BA1266</f>
        <v>1</v>
      </c>
      <c r="R1267" s="1">
        <f t="shared" ref="R1267:R1301" si="1776">BB1266</f>
        <v>5</v>
      </c>
      <c r="S1267" s="1">
        <f t="shared" ref="S1267:S1301" si="1777">BC1266</f>
        <v>0</v>
      </c>
      <c r="T1267" s="1">
        <f t="shared" ref="T1267:T1280" si="1778">BD1266+0</f>
        <v>0</v>
      </c>
      <c r="U1267" s="1">
        <f t="shared" ref="U1267:U1301" si="1779">BE1266</f>
        <v>0</v>
      </c>
      <c r="V1267" s="1">
        <f t="shared" ref="V1267:V1301" si="1780">BF1266</f>
        <v>0</v>
      </c>
      <c r="W1267" s="1">
        <f t="shared" ref="W1267:W1301" si="1781">BG1266</f>
        <v>0</v>
      </c>
      <c r="X1267" s="1">
        <f t="shared" ref="X1267:X1301" si="1782">BH1266</f>
        <v>1</v>
      </c>
      <c r="Y1267" s="1">
        <f t="shared" ref="Y1267:Y1301" si="1783">BI1266</f>
        <v>0</v>
      </c>
      <c r="Z1267" s="1">
        <f t="shared" ref="Z1267:Z1301" si="1784">BJ1266</f>
        <v>0</v>
      </c>
      <c r="AA1267" s="1">
        <f t="shared" ref="AA1267:AA1272" si="1785">MAX(BK1266,0)</f>
        <v>0</v>
      </c>
      <c r="AB1267" s="1">
        <f t="shared" ref="AB1267:AB1301" si="1786">BL1266</f>
        <v>0</v>
      </c>
      <c r="AC1267" s="1">
        <f t="shared" ref="AC1267:AC1280" si="1787">MAX(BM1266,0)</f>
        <v>0</v>
      </c>
      <c r="AD1267" s="1">
        <f>ROUNDDOWN(I1267*(1+IF(F1267=3,0.05+方案参数!$Y$38+AA1267*0.12,IF(F1267=4,方案参数!$BZ$38*方案参数!$AS$38,0)))+IF(AND(X1267=1,F1267&lt;&gt;3),方案参数!$CC$38,0)+AC1267*方案参数!$CB$38,0)</f>
        <v>2986</v>
      </c>
      <c r="AE1267" s="1">
        <f>IF(OR(F1267=1,F1267=4),配置与结果!$B$24,配置与结果!$B$25)*MAX(0,1-INDEX(配置与结果!$I$15:$I$18,F1267))</f>
        <v>1000</v>
      </c>
      <c r="AF1267" s="1">
        <f>0</f>
        <v>0</v>
      </c>
      <c r="AG1267" s="1">
        <f>MAX(配置与结果!$B$32,1+INDEX(配置与结果!$F$15:$F$18,F1267)+0+Q1267*方案参数!$W$38+Y1267*(方案参数!$AN$38+MIN(方案参数!$AO$38,P1267*0.03))+AB1267*方案参数!$BZ$38*0.025-配置与结果!$B$28)</f>
        <v>0.65499999999999992</v>
      </c>
      <c r="AH1267" s="1">
        <f>MAX(0,1+INDEX(配置与结果!$G$15:$G$18,F1267)+W1267*方案参数!$AG$38)</f>
        <v>1</v>
      </c>
      <c r="AI1267" s="1">
        <f>IF(OR(INDEX(配置与结果!$K$15:$K$18,F1267)=1,G1267="RHI_BERRY"),1+配置与结果!$B$33+P1267*方案参数!$AH$38,1)</f>
        <v>1</v>
      </c>
      <c r="AJ1267" s="1">
        <f>MIN(1,MAX(0,J1267+方案参数!$AB$38-配置与结果!$B$27))</f>
        <v>0.55499999999999994</v>
      </c>
      <c r="AK1267" s="1">
        <f>MAX(1,K1267+IF(F1267=2,0.15+方案参数!$CH$38,0)+BN1267*方案参数!$X$38+R1267*方案参数!$AA$38+0-配置与结果!$B$26+Z1267*(方案参数!$AP$38+MIN(方案参数!$AQ$38,P1267*0.03)))</f>
        <v>1.33</v>
      </c>
      <c r="AL1267" s="7">
        <f>ROUNDDOWN(MAX(AD1267*配置与结果!$B$31,AD1267-AE1267)*AF1267*AG1267*AH1267*AI1267,0)</f>
        <v>0</v>
      </c>
      <c r="AM1267" s="7">
        <f>ROUNDDOWN(MAX(AD1267*配置与结果!$B$31,AD1267-AE1267)*AF1267*AG1267*AH1267*AI1267*AK1267,0)</f>
        <v>0</v>
      </c>
      <c r="AN1267" s="7">
        <f t="shared" si="1720"/>
        <v>0</v>
      </c>
      <c r="AO1267" s="7">
        <f>0</f>
        <v>0</v>
      </c>
      <c r="AP1267" s="7">
        <f>MAX(0,1+INDEX(配置与结果!$J$15:$J$18,F1267)+IF(T1267&gt;0,方案参数!$BY$38,0)-配置与结果!$B$30)</f>
        <v>1</v>
      </c>
      <c r="AQ1267" s="7">
        <f t="shared" si="1721"/>
        <v>0</v>
      </c>
      <c r="AR1267" s="7">
        <f t="shared" si="1722"/>
        <v>0</v>
      </c>
      <c r="AS1267" s="7">
        <f t="shared" si="1723"/>
        <v>0</v>
      </c>
      <c r="AT1267" s="7">
        <f>0</f>
        <v>0</v>
      </c>
      <c r="AU1267" s="7">
        <f t="shared" si="1724"/>
        <v>0</v>
      </c>
      <c r="AV1267" s="1">
        <f t="shared" si="1725"/>
        <v>0</v>
      </c>
      <c r="AW1267" s="1">
        <f t="shared" si="1772"/>
        <v>0</v>
      </c>
      <c r="AX1267" s="1">
        <f t="shared" si="1726"/>
        <v>0</v>
      </c>
      <c r="AY1267" s="1">
        <f>MIN(20,MAX(0,O1267+0+0-0))</f>
        <v>0</v>
      </c>
      <c r="AZ1267" s="1">
        <f t="shared" si="1727"/>
        <v>3</v>
      </c>
      <c r="BA1267" s="1">
        <f>MIN(6,Q1267+1)</f>
        <v>2</v>
      </c>
      <c r="BB1267" s="1">
        <f t="shared" ref="BB1267:BB1280" si="1788">MIN(30,R1267+0)</f>
        <v>5</v>
      </c>
      <c r="BC1267" s="1">
        <f t="shared" si="1769"/>
        <v>0</v>
      </c>
      <c r="BD1267" s="1">
        <f t="shared" si="1750"/>
        <v>0</v>
      </c>
      <c r="BE1267" s="1">
        <f t="shared" ref="BE1267:BE1288" si="1789">BE1266</f>
        <v>0</v>
      </c>
      <c r="BF1267" s="1">
        <f t="shared" si="1773"/>
        <v>0</v>
      </c>
      <c r="BG1267" s="1">
        <f>MAX(W1267,1)</f>
        <v>1</v>
      </c>
      <c r="BH1267" s="1">
        <f t="shared" ref="BH1267:BH1301" si="1790">MAX(X1267,0)</f>
        <v>1</v>
      </c>
      <c r="BI1267" s="1">
        <f>MAX(Y1267,1)</f>
        <v>1</v>
      </c>
      <c r="BJ1267" s="1">
        <f t="shared" si="1764"/>
        <v>0</v>
      </c>
      <c r="BK1267" s="1">
        <f t="shared" si="1765"/>
        <v>0</v>
      </c>
      <c r="BL1267" s="1">
        <f t="shared" si="1770"/>
        <v>0</v>
      </c>
      <c r="BM1267" s="1">
        <f t="shared" si="1768"/>
        <v>0</v>
      </c>
      <c r="BN1267" s="1">
        <f t="shared" ref="BN1267:BN1301" si="1791">BO1266</f>
        <v>1</v>
      </c>
      <c r="BO1267" s="1">
        <f t="shared" ref="BO1267:BO1301" si="1792">MAX(BN1267,0)</f>
        <v>1</v>
      </c>
    </row>
    <row r="1268" spans="1:67" ht="30.95" customHeight="1">
      <c r="A1268" s="1">
        <f>35</f>
        <v>35</v>
      </c>
      <c r="B1268" s="1">
        <f>固定流程!A8</f>
        <v>3</v>
      </c>
      <c r="C1268" s="1">
        <f>38</f>
        <v>38</v>
      </c>
      <c r="D1268" s="1">
        <f>1</f>
        <v>1</v>
      </c>
      <c r="E1268" s="1">
        <f>固定流程!C8</f>
        <v>1</v>
      </c>
      <c r="F1268" s="1">
        <f>固定流程!G8</f>
        <v>1</v>
      </c>
      <c r="G1268" s="1" t="str">
        <f>固定流程!H8</f>
        <v>LILYA_COBRA</v>
      </c>
      <c r="H1268" s="1">
        <f>固定流程!F8</f>
        <v>1</v>
      </c>
      <c r="I1268" s="1">
        <f>INDEX(配置与结果!$B$15:$B$18,F1268)</f>
        <v>2296</v>
      </c>
      <c r="J1268" s="1">
        <f>INDEX(配置与结果!$D$15:$D$18,F1268)</f>
        <v>0.7</v>
      </c>
      <c r="K1268" s="1">
        <f>INDEX(配置与结果!$E$15:$E$18,F1268)</f>
        <v>2.0249999999999999</v>
      </c>
      <c r="L1268" s="1">
        <f t="shared" si="1774"/>
        <v>0</v>
      </c>
      <c r="M1268" s="1">
        <f t="shared" si="1774"/>
        <v>0</v>
      </c>
      <c r="N1268" s="1">
        <f t="shared" si="1774"/>
        <v>0</v>
      </c>
      <c r="O1268" s="1">
        <f t="shared" si="1774"/>
        <v>0</v>
      </c>
      <c r="P1268" s="1">
        <f>MIN(方案参数!$AI$38,AZ1267+0+0)</f>
        <v>3</v>
      </c>
      <c r="Q1268" s="1">
        <f t="shared" si="1775"/>
        <v>2</v>
      </c>
      <c r="R1268" s="1">
        <f t="shared" si="1776"/>
        <v>5</v>
      </c>
      <c r="S1268" s="1">
        <f t="shared" si="1777"/>
        <v>0</v>
      </c>
      <c r="T1268" s="1">
        <f t="shared" si="1778"/>
        <v>0</v>
      </c>
      <c r="U1268" s="1">
        <f t="shared" si="1779"/>
        <v>0</v>
      </c>
      <c r="V1268" s="1">
        <f t="shared" si="1780"/>
        <v>0</v>
      </c>
      <c r="W1268" s="1">
        <f t="shared" si="1781"/>
        <v>1</v>
      </c>
      <c r="X1268" s="1">
        <f t="shared" si="1782"/>
        <v>1</v>
      </c>
      <c r="Y1268" s="1">
        <f t="shared" si="1783"/>
        <v>1</v>
      </c>
      <c r="Z1268" s="1">
        <f t="shared" si="1784"/>
        <v>0</v>
      </c>
      <c r="AA1268" s="1">
        <f t="shared" si="1785"/>
        <v>0</v>
      </c>
      <c r="AB1268" s="1">
        <f t="shared" si="1786"/>
        <v>0</v>
      </c>
      <c r="AC1268" s="1">
        <f t="shared" si="1787"/>
        <v>0</v>
      </c>
      <c r="AD1268" s="1">
        <f>ROUNDDOWN(I1268*(1+IF(F1268=3,0.05+方案参数!$Y$38+AA1268*0.12,IF(F1268=4,方案参数!$BZ$38*方案参数!$AS$38,0)))+IF(AND(X1268=1,F1268&lt;&gt;3),方案参数!$CC$38,0)+AC1268*方案参数!$CB$38,0)</f>
        <v>2534</v>
      </c>
      <c r="AE1268" s="1">
        <f>IF(OR(F1268=1,F1268=4),配置与结果!$B$24,配置与结果!$B$25)*MAX(0,1-INDEX(配置与结果!$I$15:$I$18,F1268))</f>
        <v>1200</v>
      </c>
      <c r="AF1268" s="1">
        <f>0</f>
        <v>0</v>
      </c>
      <c r="AG1268" s="1">
        <f>MAX(配置与结果!$B$32,1+INDEX(配置与结果!$F$15:$F$18,F1268)+0.08+方案参数!$CD$38+Q1268*方案参数!$W$38+Y1268*(方案参数!$AN$38+MIN(方案参数!$AO$38,P1268*0.03))+AB1268*方案参数!$BZ$38*0.025-配置与结果!$B$28)</f>
        <v>1.2200000000000002</v>
      </c>
      <c r="AH1268" s="1">
        <f>MAX(0,1+INDEX(配置与结果!$G$15:$G$18,F1268)+W1268*方案参数!$AG$38)</f>
        <v>1.3</v>
      </c>
      <c r="AI1268" s="1">
        <f>IF(OR(INDEX(配置与结果!$K$15:$K$18,F1268)=1,G1268="RHI_BERRY"),1+配置与结果!$B$33+P1268*方案参数!$AH$38,1)</f>
        <v>1</v>
      </c>
      <c r="AJ1268" s="1">
        <f>MIN(1,MAX(0,J1268+方案参数!$AB$38-配置与结果!$B$27))</f>
        <v>1</v>
      </c>
      <c r="AK1268" s="1">
        <f>MAX(1,K1268+IF(F1268=2,0.15+方案参数!$CH$38,0)+BN1268*方案参数!$X$38+R1268*方案参数!$AA$38+0-配置与结果!$B$26+Z1268*(方案参数!$AP$38+MIN(方案参数!$AQ$38,P1268*0.03)))</f>
        <v>1.8050000000000002</v>
      </c>
      <c r="AL1268" s="7">
        <f>ROUNDDOWN(MAX(AD1268*配置与结果!$B$31,AD1268-AE1268)*AF1268*AG1268*AH1268*AI1268,0)</f>
        <v>0</v>
      </c>
      <c r="AM1268" s="7">
        <f>ROUNDDOWN(MAX(AD1268*配置与结果!$B$31,AD1268-AE1268)*AF1268*AG1268*AH1268*AI1268*AK1268,0)</f>
        <v>0</v>
      </c>
      <c r="AN1268" s="7">
        <f t="shared" si="1720"/>
        <v>0</v>
      </c>
      <c r="AO1268" s="7">
        <f>0</f>
        <v>0</v>
      </c>
      <c r="AP1268" s="7">
        <f>MAX(0,1+INDEX(配置与结果!$J$15:$J$18,F1268)+IF(T1268&gt;0,方案参数!$BY$38,0)-配置与结果!$B$30)</f>
        <v>1</v>
      </c>
      <c r="AQ1268" s="7">
        <f t="shared" si="1721"/>
        <v>0</v>
      </c>
      <c r="AR1268" s="7">
        <f t="shared" si="1722"/>
        <v>0</v>
      </c>
      <c r="AS1268" s="7">
        <f t="shared" si="1723"/>
        <v>0</v>
      </c>
      <c r="AT1268" s="7">
        <f>0</f>
        <v>0</v>
      </c>
      <c r="AU1268" s="7">
        <f t="shared" si="1724"/>
        <v>0</v>
      </c>
      <c r="AV1268" s="1">
        <f t="shared" si="1725"/>
        <v>1</v>
      </c>
      <c r="AW1268" s="1">
        <f>MIN(10,M1268+方案参数!$BD$38+0)</f>
        <v>3</v>
      </c>
      <c r="AX1268" s="1">
        <f t="shared" si="1726"/>
        <v>0</v>
      </c>
      <c r="AY1268" s="1">
        <f>MIN(20,MAX(0,O1268+6+0-0))</f>
        <v>6</v>
      </c>
      <c r="AZ1268" s="1">
        <f t="shared" si="1727"/>
        <v>3</v>
      </c>
      <c r="BA1268" s="1">
        <f>MIN(6,Q1268+0)</f>
        <v>2</v>
      </c>
      <c r="BB1268" s="1">
        <f t="shared" si="1788"/>
        <v>5</v>
      </c>
      <c r="BC1268" s="1">
        <f t="shared" si="1769"/>
        <v>0</v>
      </c>
      <c r="BD1268" s="1">
        <f t="shared" si="1750"/>
        <v>0</v>
      </c>
      <c r="BE1268" s="1">
        <f t="shared" si="1789"/>
        <v>0</v>
      </c>
      <c r="BF1268" s="1">
        <f t="shared" si="1773"/>
        <v>0</v>
      </c>
      <c r="BG1268" s="1">
        <f t="shared" ref="BG1268:BG1278" si="1793">MAX(W1268,0)</f>
        <v>1</v>
      </c>
      <c r="BH1268" s="1">
        <f t="shared" si="1790"/>
        <v>1</v>
      </c>
      <c r="BI1268" s="1">
        <f t="shared" ref="BI1268:BI1278" si="1794">MAX(Y1268,0)</f>
        <v>1</v>
      </c>
      <c r="BJ1268" s="1">
        <f t="shared" si="1764"/>
        <v>0</v>
      </c>
      <c r="BK1268" s="1">
        <f t="shared" si="1765"/>
        <v>0</v>
      </c>
      <c r="BL1268" s="1">
        <f t="shared" si="1770"/>
        <v>0</v>
      </c>
      <c r="BM1268" s="1">
        <f t="shared" si="1768"/>
        <v>0</v>
      </c>
      <c r="BN1268" s="1">
        <f t="shared" si="1791"/>
        <v>1</v>
      </c>
      <c r="BO1268" s="1">
        <f t="shared" si="1792"/>
        <v>1</v>
      </c>
    </row>
    <row r="1269" spans="1:67" ht="30.95" customHeight="1">
      <c r="A1269" s="1">
        <f>35</f>
        <v>35</v>
      </c>
      <c r="B1269" s="1">
        <f>固定流程!A9</f>
        <v>4</v>
      </c>
      <c r="C1269" s="1">
        <f>38</f>
        <v>38</v>
      </c>
      <c r="D1269" s="1">
        <f>1</f>
        <v>1</v>
      </c>
      <c r="E1269" s="1">
        <f>固定流程!C9</f>
        <v>1</v>
      </c>
      <c r="F1269" s="1">
        <f>固定流程!G9</f>
        <v>1</v>
      </c>
      <c r="G1269" s="1" t="str">
        <f>固定流程!H9</f>
        <v>LILYA_DIVE</v>
      </c>
      <c r="H1269" s="1">
        <f>固定流程!F9</f>
        <v>1</v>
      </c>
      <c r="I1269" s="1">
        <f>INDEX(配置与结果!$B$15:$B$18,F1269)</f>
        <v>2296</v>
      </c>
      <c r="J1269" s="1">
        <f>INDEX(配置与结果!$D$15:$D$18,F1269)</f>
        <v>0.7</v>
      </c>
      <c r="K1269" s="1">
        <f>INDEX(配置与结果!$E$15:$E$18,F1269)</f>
        <v>2.0249999999999999</v>
      </c>
      <c r="L1269" s="1">
        <f t="shared" si="1774"/>
        <v>1</v>
      </c>
      <c r="M1269" s="1">
        <f t="shared" si="1774"/>
        <v>3</v>
      </c>
      <c r="N1269" s="1">
        <f t="shared" si="1774"/>
        <v>0</v>
      </c>
      <c r="O1269" s="1">
        <f t="shared" si="1774"/>
        <v>6</v>
      </c>
      <c r="P1269" s="1">
        <f>MIN(方案参数!$AI$38,AZ1268+0+0)</f>
        <v>3</v>
      </c>
      <c r="Q1269" s="1">
        <f t="shared" si="1775"/>
        <v>2</v>
      </c>
      <c r="R1269" s="1">
        <f t="shared" si="1776"/>
        <v>5</v>
      </c>
      <c r="S1269" s="1">
        <f t="shared" si="1777"/>
        <v>0</v>
      </c>
      <c r="T1269" s="1">
        <f t="shared" si="1778"/>
        <v>0</v>
      </c>
      <c r="U1269" s="1">
        <f t="shared" si="1779"/>
        <v>0</v>
      </c>
      <c r="V1269" s="1">
        <f t="shared" si="1780"/>
        <v>0</v>
      </c>
      <c r="W1269" s="1">
        <f t="shared" si="1781"/>
        <v>1</v>
      </c>
      <c r="X1269" s="1">
        <f t="shared" si="1782"/>
        <v>1</v>
      </c>
      <c r="Y1269" s="1">
        <f t="shared" si="1783"/>
        <v>1</v>
      </c>
      <c r="Z1269" s="1">
        <f t="shared" si="1784"/>
        <v>0</v>
      </c>
      <c r="AA1269" s="1">
        <f t="shared" si="1785"/>
        <v>0</v>
      </c>
      <c r="AB1269" s="1">
        <f t="shared" si="1786"/>
        <v>0</v>
      </c>
      <c r="AC1269" s="1">
        <f t="shared" si="1787"/>
        <v>0</v>
      </c>
      <c r="AD1269" s="1">
        <f>ROUNDDOWN(I1269*(1+IF(F1269=3,0.05+方案参数!$Y$38+AA1269*0.12,IF(F1269=4,方案参数!$BZ$38*方案参数!$AS$38,0)))+IF(AND(X1269=1,F1269&lt;&gt;3),方案参数!$CC$38,0)+AC1269*方案参数!$CB$38,0)</f>
        <v>2534</v>
      </c>
      <c r="AE1269" s="1">
        <f>IF(OR(F1269=1,F1269=4),配置与结果!$B$24,配置与结果!$B$25)*MAX(0,1-INDEX(配置与结果!$I$15:$I$18,F1269))</f>
        <v>1200</v>
      </c>
      <c r="AF1269" s="1">
        <f>(IF(L1269=1,方案参数!$AW$38,IF(L1269=2,方案参数!$AX$38,0))+方案参数!$AV$38)*H1269</f>
        <v>6</v>
      </c>
      <c r="AG1269" s="1">
        <f>MAX(配置与结果!$B$32,1+INDEX(配置与结果!$F$15:$F$18,F1269)+0.08+方案参数!$CD$38+Q1269*方案参数!$W$38+Y1269*(方案参数!$AN$38+MIN(方案参数!$AO$38,P1269*0.03))+AB1269*方案参数!$BZ$38*0.025+IF(L1269=1,方案参数!$AY$38+(H1269-1)*0.1,IF(L1269=2,方案参数!$AZ$38+(H1269-1)*0.2,0))-配置与结果!$B$28)</f>
        <v>1.3200000000000003</v>
      </c>
      <c r="AH1269" s="1">
        <f>MAX(0,1+INDEX(配置与结果!$G$15:$G$18,F1269)+W1269*方案参数!$AG$38+IF(L1269=1,方案参数!$BA$38,IF(L1269=2,方案参数!$BB$38,0))+M1269*方案参数!$BC$38)</f>
        <v>2.08</v>
      </c>
      <c r="AI1269" s="1">
        <f>IF(OR(INDEX(配置与结果!$K$15:$K$18,F1269)=1,G1269="RHI_BERRY"),1+配置与结果!$B$33+P1269*方案参数!$AH$38,1)</f>
        <v>1</v>
      </c>
      <c r="AJ1269" s="1">
        <f>MIN(1,MAX(0,J1269+方案参数!$AB$38-配置与结果!$B$27))</f>
        <v>1</v>
      </c>
      <c r="AK1269" s="1">
        <f>MAX(1,K1269+IF(F1269=2,0.15+方案参数!$CH$38,0)+BN1269*方案参数!$X$38+R1269*方案参数!$AA$38+0-配置与结果!$B$26+Z1269*(方案参数!$AP$38+MIN(方案参数!$AQ$38,P1269*0.03)))</f>
        <v>1.8050000000000002</v>
      </c>
      <c r="AL1269" s="7">
        <f>ROUNDDOWN(MAX(AD1269*配置与结果!$B$31,AD1269-AE1269)*AF1269*AG1269*AH1269*AI1269,0)</f>
        <v>21975</v>
      </c>
      <c r="AM1269" s="7">
        <f>ROUNDDOWN(MAX(AD1269*配置与结果!$B$31,AD1269-AE1269)*AF1269*AG1269*AH1269*AI1269*AK1269,0)</f>
        <v>39666</v>
      </c>
      <c r="AN1269" s="7">
        <f t="shared" si="1720"/>
        <v>39666</v>
      </c>
      <c r="AO1269" s="7">
        <f>0</f>
        <v>0</v>
      </c>
      <c r="AP1269" s="7">
        <f>MAX(0,1+INDEX(配置与结果!$J$15:$J$18,F1269)+IF(T1269&gt;0,方案参数!$BY$38,0)-配置与结果!$B$30)</f>
        <v>1</v>
      </c>
      <c r="AQ1269" s="7">
        <f t="shared" si="1721"/>
        <v>0</v>
      </c>
      <c r="AR1269" s="7">
        <f t="shared" si="1722"/>
        <v>0</v>
      </c>
      <c r="AS1269" s="7">
        <f t="shared" si="1723"/>
        <v>0</v>
      </c>
      <c r="AT1269" s="7">
        <f>0</f>
        <v>0</v>
      </c>
      <c r="AU1269" s="7">
        <f t="shared" si="1724"/>
        <v>39666</v>
      </c>
      <c r="AV1269" s="1">
        <f t="shared" si="1725"/>
        <v>1</v>
      </c>
      <c r="AW1269" s="1">
        <f>MIN(10,M1269+0+IF(L1269=1,方案参数!$BE$38,0))</f>
        <v>4</v>
      </c>
      <c r="AX1269" s="1">
        <f t="shared" si="1726"/>
        <v>0</v>
      </c>
      <c r="AY1269" s="1">
        <f t="shared" ref="AY1269:AY1284" si="1795">MIN(20,MAX(0,O1269+0+0-0))</f>
        <v>6</v>
      </c>
      <c r="AZ1269" s="1">
        <f t="shared" si="1727"/>
        <v>3</v>
      </c>
      <c r="BA1269" s="1">
        <f>MIN(6,Q1269+0)</f>
        <v>2</v>
      </c>
      <c r="BB1269" s="1">
        <f t="shared" si="1788"/>
        <v>5</v>
      </c>
      <c r="BC1269" s="1">
        <f t="shared" si="1769"/>
        <v>0</v>
      </c>
      <c r="BD1269" s="1">
        <f t="shared" si="1750"/>
        <v>0</v>
      </c>
      <c r="BE1269" s="1">
        <f t="shared" si="1789"/>
        <v>0</v>
      </c>
      <c r="BF1269" s="1">
        <f t="shared" si="1773"/>
        <v>0</v>
      </c>
      <c r="BG1269" s="1">
        <f t="shared" si="1793"/>
        <v>1</v>
      </c>
      <c r="BH1269" s="1">
        <f t="shared" si="1790"/>
        <v>1</v>
      </c>
      <c r="BI1269" s="1">
        <f t="shared" si="1794"/>
        <v>1</v>
      </c>
      <c r="BJ1269" s="1">
        <f t="shared" si="1764"/>
        <v>0</v>
      </c>
      <c r="BK1269" s="1">
        <f t="shared" si="1765"/>
        <v>0</v>
      </c>
      <c r="BL1269" s="1">
        <f t="shared" si="1770"/>
        <v>0</v>
      </c>
      <c r="BM1269" s="1">
        <f t="shared" si="1768"/>
        <v>0</v>
      </c>
      <c r="BN1269" s="1">
        <f t="shared" si="1791"/>
        <v>1</v>
      </c>
      <c r="BO1269" s="1">
        <f t="shared" si="1792"/>
        <v>1</v>
      </c>
    </row>
    <row r="1270" spans="1:67" ht="30.95" customHeight="1">
      <c r="A1270" s="1">
        <f>35</f>
        <v>35</v>
      </c>
      <c r="B1270" s="1">
        <f>固定流程!A10</f>
        <v>5</v>
      </c>
      <c r="C1270" s="1">
        <f>38</f>
        <v>38</v>
      </c>
      <c r="D1270" s="1">
        <f>1</f>
        <v>1</v>
      </c>
      <c r="E1270" s="1">
        <f>固定流程!C10</f>
        <v>1</v>
      </c>
      <c r="F1270" s="1">
        <f>固定流程!G10</f>
        <v>2</v>
      </c>
      <c r="G1270" s="1" t="str">
        <f>固定流程!H10</f>
        <v>37_TRIANGLE</v>
      </c>
      <c r="H1270" s="1">
        <f>固定流程!F10</f>
        <v>1</v>
      </c>
      <c r="I1270" s="1">
        <f>INDEX(配置与结果!$B$15:$B$18,F1270)</f>
        <v>2306</v>
      </c>
      <c r="J1270" s="1">
        <f>INDEX(配置与结果!$D$15:$D$18,F1270)</f>
        <v>0.46</v>
      </c>
      <c r="K1270" s="1">
        <f>INDEX(配置与结果!$E$15:$E$18,F1270)</f>
        <v>1.9279999999999999</v>
      </c>
      <c r="L1270" s="1">
        <f t="shared" si="1774"/>
        <v>1</v>
      </c>
      <c r="M1270" s="1">
        <f t="shared" si="1774"/>
        <v>4</v>
      </c>
      <c r="N1270" s="1">
        <f t="shared" si="1774"/>
        <v>0</v>
      </c>
      <c r="O1270" s="1">
        <f t="shared" si="1774"/>
        <v>6</v>
      </c>
      <c r="P1270" s="1">
        <f>MIN(方案参数!$AI$38,AZ1269+0+0)</f>
        <v>3</v>
      </c>
      <c r="Q1270" s="1">
        <f t="shared" si="1775"/>
        <v>2</v>
      </c>
      <c r="R1270" s="1">
        <f t="shared" si="1776"/>
        <v>5</v>
      </c>
      <c r="S1270" s="1">
        <f t="shared" si="1777"/>
        <v>0</v>
      </c>
      <c r="T1270" s="1">
        <f t="shared" si="1778"/>
        <v>0</v>
      </c>
      <c r="U1270" s="1">
        <f t="shared" si="1779"/>
        <v>0</v>
      </c>
      <c r="V1270" s="1">
        <f t="shared" si="1780"/>
        <v>0</v>
      </c>
      <c r="W1270" s="1">
        <f t="shared" si="1781"/>
        <v>1</v>
      </c>
      <c r="X1270" s="1">
        <f t="shared" si="1782"/>
        <v>1</v>
      </c>
      <c r="Y1270" s="1">
        <f t="shared" si="1783"/>
        <v>1</v>
      </c>
      <c r="Z1270" s="1">
        <f t="shared" si="1784"/>
        <v>0</v>
      </c>
      <c r="AA1270" s="1">
        <f t="shared" si="1785"/>
        <v>0</v>
      </c>
      <c r="AB1270" s="1">
        <f t="shared" si="1786"/>
        <v>0</v>
      </c>
      <c r="AC1270" s="1">
        <f t="shared" si="1787"/>
        <v>0</v>
      </c>
      <c r="AD1270" s="1">
        <f>ROUNDDOWN(I1270*(1+IF(F1270=3,0.05+方案参数!$Y$38+AA1270*0.12,IF(F1270=4,方案参数!$BZ$38*方案参数!$AS$38,0)))+IF(AND(X1270=1,F1270&lt;&gt;3),方案参数!$CC$38,0)+AC1270*方案参数!$CB$38,0)</f>
        <v>2544</v>
      </c>
      <c r="AE1270" s="1">
        <f>IF(OR(F1270=1,F1270=4),配置与结果!$B$24,配置与结果!$B$25)*MAX(0,1-INDEX(配置与结果!$I$15:$I$18,F1270))</f>
        <v>1000</v>
      </c>
      <c r="AF1270" s="1">
        <f>方案参数!$BS$38*IF(H1270=1,1,IF(H1270=2,1.5,2.5))</f>
        <v>2.8</v>
      </c>
      <c r="AG1270" s="1">
        <f>MAX(配置与结果!$B$32,1+INDEX(配置与结果!$F$15:$F$18,F1270)+0+Q1270*方案参数!$W$38+Y1270*(方案参数!$AN$38+MIN(方案参数!$AO$38,P1270*0.03))+AB1270*方案参数!$BZ$38*0.025-配置与结果!$B$28)</f>
        <v>0.8849999999999999</v>
      </c>
      <c r="AH1270" s="1">
        <f>MAX(0,1+INDEX(配置与结果!$G$15:$G$18,F1270)+W1270*方案参数!$AG$38)</f>
        <v>1.3</v>
      </c>
      <c r="AI1270" s="1">
        <f>IF(OR(INDEX(配置与结果!$K$15:$K$18,F1270)=1,G1270="RHI_BERRY"),1+配置与结果!$B$33+P1270*方案参数!$AH$38,1)</f>
        <v>1</v>
      </c>
      <c r="AJ1270" s="1">
        <f>MIN(1,MAX(0,J1270+方案参数!$AB$38-配置与结果!$B$27))</f>
        <v>0.76</v>
      </c>
      <c r="AK1270" s="1">
        <f>MAX(1,K1270+IF(F1270=2,0.15+方案参数!$CH$38,0)+BN1270*方案参数!$X$38+R1270*方案参数!$AA$38+0-配置与结果!$B$26+Z1270*(方案参数!$AP$38+MIN(方案参数!$AQ$38,P1270*0.03)))</f>
        <v>2.0980000000000003</v>
      </c>
      <c r="AL1270" s="7">
        <f>ROUNDDOWN(MAX(AD1270*配置与结果!$B$31,AD1270-AE1270)*AF1270*AG1270*AH1270*AI1270,0)</f>
        <v>4973</v>
      </c>
      <c r="AM1270" s="7">
        <f>ROUNDDOWN(MAX(AD1270*配置与结果!$B$31,AD1270-AE1270)*AF1270*AG1270*AH1270*AI1270*AK1270,0)</f>
        <v>10435</v>
      </c>
      <c r="AN1270" s="7">
        <f t="shared" si="1720"/>
        <v>9124.1200000000008</v>
      </c>
      <c r="AO1270" s="7">
        <f>方案参数!$BU$38*IF(H1270=1,1,IF(H1270=2,1.5,2.5))</f>
        <v>0.8</v>
      </c>
      <c r="AP1270" s="7">
        <f>MAX(0,1+INDEX(配置与结果!$J$15:$J$18,F1270)+IF(T1270&gt;0,方案参数!$BY$38,0)-配置与结果!$B$30)</f>
        <v>1</v>
      </c>
      <c r="AQ1270" s="7">
        <f t="shared" si="1721"/>
        <v>2035</v>
      </c>
      <c r="AR1270" s="7">
        <f t="shared" si="1722"/>
        <v>4269</v>
      </c>
      <c r="AS1270" s="7">
        <f t="shared" si="1723"/>
        <v>3732.84</v>
      </c>
      <c r="AT1270" s="7">
        <f>0</f>
        <v>0</v>
      </c>
      <c r="AU1270" s="7">
        <f t="shared" si="1724"/>
        <v>12856.960000000001</v>
      </c>
      <c r="AV1270" s="1">
        <f t="shared" si="1725"/>
        <v>1</v>
      </c>
      <c r="AW1270" s="1">
        <f>MIN(10,M1270+0+0)</f>
        <v>4</v>
      </c>
      <c r="AX1270" s="1">
        <f t="shared" si="1726"/>
        <v>0</v>
      </c>
      <c r="AY1270" s="1">
        <f t="shared" si="1795"/>
        <v>6</v>
      </c>
      <c r="AZ1270" s="1">
        <f t="shared" si="1727"/>
        <v>3</v>
      </c>
      <c r="BA1270" s="1">
        <f>MIN(6,Q1270+0)</f>
        <v>2</v>
      </c>
      <c r="BB1270" s="1">
        <f t="shared" si="1788"/>
        <v>5</v>
      </c>
      <c r="BC1270" s="1">
        <f t="shared" si="1769"/>
        <v>0</v>
      </c>
      <c r="BD1270" s="1">
        <f>MAX(0,T1270-IF(AO1270&gt;0,1,0))+1</f>
        <v>1</v>
      </c>
      <c r="BE1270" s="1">
        <f t="shared" si="1789"/>
        <v>0</v>
      </c>
      <c r="BF1270" s="1">
        <f t="shared" si="1773"/>
        <v>0</v>
      </c>
      <c r="BG1270" s="1">
        <f t="shared" si="1793"/>
        <v>1</v>
      </c>
      <c r="BH1270" s="1">
        <f t="shared" si="1790"/>
        <v>1</v>
      </c>
      <c r="BI1270" s="1">
        <f t="shared" si="1794"/>
        <v>1</v>
      </c>
      <c r="BJ1270" s="1">
        <f t="shared" si="1764"/>
        <v>0</v>
      </c>
      <c r="BK1270" s="1">
        <f t="shared" si="1765"/>
        <v>0</v>
      </c>
      <c r="BL1270" s="1">
        <f t="shared" si="1770"/>
        <v>0</v>
      </c>
      <c r="BM1270" s="1">
        <f t="shared" si="1768"/>
        <v>0</v>
      </c>
      <c r="BN1270" s="1">
        <f t="shared" si="1791"/>
        <v>1</v>
      </c>
      <c r="BO1270" s="1">
        <f t="shared" si="1792"/>
        <v>1</v>
      </c>
    </row>
    <row r="1271" spans="1:67" ht="30.95" customHeight="1">
      <c r="A1271" s="1">
        <f>35</f>
        <v>35</v>
      </c>
      <c r="B1271" s="1">
        <f>固定流程!A11</f>
        <v>6</v>
      </c>
      <c r="C1271" s="1">
        <f>38</f>
        <v>38</v>
      </c>
      <c r="D1271" s="1">
        <f>1</f>
        <v>1</v>
      </c>
      <c r="E1271" s="1">
        <f>固定流程!C11</f>
        <v>1</v>
      </c>
      <c r="F1271" s="1">
        <f>固定流程!G11</f>
        <v>2</v>
      </c>
      <c r="G1271" s="1" t="str">
        <f>固定流程!H11</f>
        <v>37_FOLLOW</v>
      </c>
      <c r="H1271" s="1">
        <f>固定流程!F11</f>
        <v>1</v>
      </c>
      <c r="I1271" s="1">
        <f>INDEX(配置与结果!$B$15:$B$18,F1271)</f>
        <v>2306</v>
      </c>
      <c r="J1271" s="1">
        <f>INDEX(配置与结果!$D$15:$D$18,F1271)</f>
        <v>0.46</v>
      </c>
      <c r="K1271" s="1">
        <f>INDEX(配置与结果!$E$15:$E$18,F1271)</f>
        <v>1.9279999999999999</v>
      </c>
      <c r="L1271" s="1">
        <f t="shared" si="1774"/>
        <v>1</v>
      </c>
      <c r="M1271" s="1">
        <f t="shared" si="1774"/>
        <v>4</v>
      </c>
      <c r="N1271" s="1">
        <f t="shared" si="1774"/>
        <v>0</v>
      </c>
      <c r="O1271" s="1">
        <f t="shared" si="1774"/>
        <v>6</v>
      </c>
      <c r="P1271" s="1">
        <f>MIN(方案参数!$AI$38,AZ1270+0+0)</f>
        <v>3</v>
      </c>
      <c r="Q1271" s="1">
        <f t="shared" si="1775"/>
        <v>2</v>
      </c>
      <c r="R1271" s="1">
        <f t="shared" si="1776"/>
        <v>5</v>
      </c>
      <c r="S1271" s="1">
        <f t="shared" si="1777"/>
        <v>0</v>
      </c>
      <c r="T1271" s="1">
        <f t="shared" si="1778"/>
        <v>1</v>
      </c>
      <c r="U1271" s="1">
        <f t="shared" si="1779"/>
        <v>0</v>
      </c>
      <c r="V1271" s="1">
        <f t="shared" si="1780"/>
        <v>0</v>
      </c>
      <c r="W1271" s="1">
        <f t="shared" si="1781"/>
        <v>1</v>
      </c>
      <c r="X1271" s="1">
        <f t="shared" si="1782"/>
        <v>1</v>
      </c>
      <c r="Y1271" s="1">
        <f t="shared" si="1783"/>
        <v>1</v>
      </c>
      <c r="Z1271" s="1">
        <f t="shared" si="1784"/>
        <v>0</v>
      </c>
      <c r="AA1271" s="1">
        <f t="shared" si="1785"/>
        <v>0</v>
      </c>
      <c r="AB1271" s="1">
        <f t="shared" si="1786"/>
        <v>0</v>
      </c>
      <c r="AC1271" s="1">
        <f t="shared" si="1787"/>
        <v>0</v>
      </c>
      <c r="AD1271" s="1">
        <f>ROUNDDOWN(I1271*(1+IF(F1271=3,0.05+方案参数!$Y$38+AA1271*0.12,IF(F1271=4,方案参数!$BZ$38*方案参数!$AS$38,0)))+IF(AND(X1271=1,F1271&lt;&gt;3),方案参数!$CC$38,0)+AC1271*方案参数!$CB$38,0)</f>
        <v>2544</v>
      </c>
      <c r="AE1271" s="1">
        <f>IF(OR(F1271=1,F1271=4),配置与结果!$B$24,配置与结果!$B$25)*MAX(0,1-INDEX(配置与结果!$I$15:$I$18,F1271))</f>
        <v>1000</v>
      </c>
      <c r="AF1271" s="1">
        <f>方案参数!$BV$38</f>
        <v>3</v>
      </c>
      <c r="AG1271" s="1">
        <f>MAX(配置与结果!$B$32,1+INDEX(配置与结果!$F$15:$F$18,F1271)+0+Q1271*方案参数!$W$38+Y1271*(方案参数!$AN$38+MIN(方案参数!$AO$38,P1271*0.03))+AB1271*方案参数!$BZ$38*0.025-配置与结果!$B$28)</f>
        <v>0.8849999999999999</v>
      </c>
      <c r="AH1271" s="1">
        <f>MAX(0,1+INDEX(配置与结果!$G$15:$G$18,F1271)+W1271*方案参数!$AG$38)</f>
        <v>1.3</v>
      </c>
      <c r="AI1271" s="1">
        <f>IF(OR(INDEX(配置与结果!$K$15:$K$18,F1271)=1,G1271="RHI_BERRY"),1+配置与结果!$B$33+P1271*方案参数!$AH$38,1)</f>
        <v>1</v>
      </c>
      <c r="AJ1271" s="1">
        <f>MIN(1,MAX(0,J1271+方案参数!$AB$38-配置与结果!$B$27))</f>
        <v>0.76</v>
      </c>
      <c r="AK1271" s="1">
        <f>MAX(1,K1271+IF(F1271=2,0.15+方案参数!$CH$38,0)+BN1271*方案参数!$X$38+R1271*方案参数!$AA$38+0-配置与结果!$B$26+Z1271*(方案参数!$AP$38+MIN(方案参数!$AQ$38,P1271*0.03)))</f>
        <v>2.0980000000000003</v>
      </c>
      <c r="AL1271" s="7">
        <f>ROUNDDOWN(MAX(AD1271*配置与结果!$B$31,AD1271-AE1271)*AF1271*AG1271*AH1271*AI1271,0)</f>
        <v>5329</v>
      </c>
      <c r="AM1271" s="7">
        <f>ROUNDDOWN(MAX(AD1271*配置与结果!$B$31,AD1271-AE1271)*AF1271*AG1271*AH1271*AI1271*AK1271,0)</f>
        <v>11180</v>
      </c>
      <c r="AN1271" s="7">
        <f t="shared" si="1720"/>
        <v>9775.7599999999984</v>
      </c>
      <c r="AO1271" s="7">
        <f>方案参数!$BW$38</f>
        <v>1</v>
      </c>
      <c r="AP1271" s="7">
        <f>MAX(0,1+INDEX(配置与结果!$J$15:$J$18,F1271)+IF(T1271&gt;0,方案参数!$BY$38,0)-配置与结果!$B$30)</f>
        <v>2</v>
      </c>
      <c r="AQ1271" s="7">
        <f t="shared" si="1721"/>
        <v>5088</v>
      </c>
      <c r="AR1271" s="7">
        <f t="shared" si="1722"/>
        <v>10674</v>
      </c>
      <c r="AS1271" s="7">
        <f t="shared" si="1723"/>
        <v>9333.36</v>
      </c>
      <c r="AT1271" s="7">
        <f>0</f>
        <v>0</v>
      </c>
      <c r="AU1271" s="7">
        <f t="shared" si="1724"/>
        <v>19109.12</v>
      </c>
      <c r="AV1271" s="1">
        <f t="shared" si="1725"/>
        <v>1</v>
      </c>
      <c r="AW1271" s="1">
        <f>MIN(10,M1271+0+0)</f>
        <v>4</v>
      </c>
      <c r="AX1271" s="1">
        <f t="shared" si="1726"/>
        <v>0</v>
      </c>
      <c r="AY1271" s="1">
        <f t="shared" si="1795"/>
        <v>6</v>
      </c>
      <c r="AZ1271" s="1">
        <f t="shared" si="1727"/>
        <v>3</v>
      </c>
      <c r="BA1271" s="1">
        <f>MIN(6,Q1271+0)</f>
        <v>2</v>
      </c>
      <c r="BB1271" s="1">
        <f t="shared" si="1788"/>
        <v>5</v>
      </c>
      <c r="BC1271" s="1">
        <f t="shared" si="1769"/>
        <v>0</v>
      </c>
      <c r="BD1271" s="1">
        <f t="shared" ref="BD1271:BD1305" si="1796">MAX(0,T1271-IF(AO1271&gt;0,1,0))+0</f>
        <v>0</v>
      </c>
      <c r="BE1271" s="1">
        <f t="shared" si="1789"/>
        <v>0</v>
      </c>
      <c r="BF1271" s="1">
        <f>MIN(4,V1271+1)</f>
        <v>1</v>
      </c>
      <c r="BG1271" s="1">
        <f t="shared" si="1793"/>
        <v>1</v>
      </c>
      <c r="BH1271" s="1">
        <f t="shared" si="1790"/>
        <v>1</v>
      </c>
      <c r="BI1271" s="1">
        <f t="shared" si="1794"/>
        <v>1</v>
      </c>
      <c r="BJ1271" s="1">
        <f t="shared" si="1764"/>
        <v>0</v>
      </c>
      <c r="BK1271" s="1">
        <f t="shared" si="1765"/>
        <v>0</v>
      </c>
      <c r="BL1271" s="1">
        <f t="shared" si="1770"/>
        <v>0</v>
      </c>
      <c r="BM1271" s="1">
        <f t="shared" si="1768"/>
        <v>0</v>
      </c>
      <c r="BN1271" s="1">
        <f t="shared" si="1791"/>
        <v>1</v>
      </c>
      <c r="BO1271" s="1">
        <f t="shared" si="1792"/>
        <v>1</v>
      </c>
    </row>
    <row r="1272" spans="1:67" ht="30.95" customHeight="1">
      <c r="A1272" s="1">
        <f>35</f>
        <v>35</v>
      </c>
      <c r="B1272" s="1">
        <f>固定流程!A12</f>
        <v>7</v>
      </c>
      <c r="C1272" s="1">
        <f>38</f>
        <v>38</v>
      </c>
      <c r="D1272" s="1">
        <f>1</f>
        <v>1</v>
      </c>
      <c r="E1272" s="1">
        <f>固定流程!C12</f>
        <v>1</v>
      </c>
      <c r="F1272" s="1">
        <f>固定流程!G12</f>
        <v>4</v>
      </c>
      <c r="G1272" s="1" t="str">
        <f>固定流程!H12</f>
        <v>J_HARD</v>
      </c>
      <c r="H1272" s="1">
        <f>固定流程!F12</f>
        <v>1</v>
      </c>
      <c r="I1272" s="1">
        <f>INDEX(配置与结果!$B$15:$B$18,F1272)</f>
        <v>1906</v>
      </c>
      <c r="J1272" s="1">
        <f>INDEX(配置与结果!$D$15:$D$18,F1272)</f>
        <v>0.36699999999999999</v>
      </c>
      <c r="K1272" s="1">
        <f>INDEX(配置与结果!$E$15:$E$18,F1272)</f>
        <v>1.7170000000000001</v>
      </c>
      <c r="L1272" s="1">
        <f t="shared" si="1774"/>
        <v>1</v>
      </c>
      <c r="M1272" s="1">
        <f t="shared" si="1774"/>
        <v>4</v>
      </c>
      <c r="N1272" s="1">
        <f t="shared" si="1774"/>
        <v>0</v>
      </c>
      <c r="O1272" s="1">
        <f t="shared" si="1774"/>
        <v>6</v>
      </c>
      <c r="P1272" s="1">
        <f>MIN(方案参数!$AI$38,AZ1271+0+0)</f>
        <v>3</v>
      </c>
      <c r="Q1272" s="1">
        <f t="shared" si="1775"/>
        <v>2</v>
      </c>
      <c r="R1272" s="1">
        <f t="shared" si="1776"/>
        <v>5</v>
      </c>
      <c r="S1272" s="1">
        <f t="shared" si="1777"/>
        <v>0</v>
      </c>
      <c r="T1272" s="1">
        <f t="shared" si="1778"/>
        <v>0</v>
      </c>
      <c r="U1272" s="1">
        <f t="shared" si="1779"/>
        <v>0</v>
      </c>
      <c r="V1272" s="1">
        <f t="shared" si="1780"/>
        <v>1</v>
      </c>
      <c r="W1272" s="1">
        <f t="shared" si="1781"/>
        <v>1</v>
      </c>
      <c r="X1272" s="1">
        <f t="shared" si="1782"/>
        <v>1</v>
      </c>
      <c r="Y1272" s="1">
        <f t="shared" si="1783"/>
        <v>1</v>
      </c>
      <c r="Z1272" s="1">
        <f t="shared" si="1784"/>
        <v>0</v>
      </c>
      <c r="AA1272" s="1">
        <f t="shared" si="1785"/>
        <v>0</v>
      </c>
      <c r="AB1272" s="1">
        <f t="shared" si="1786"/>
        <v>0</v>
      </c>
      <c r="AC1272" s="1">
        <f t="shared" si="1787"/>
        <v>0</v>
      </c>
      <c r="AD1272" s="1">
        <f>ROUNDDOWN(I1272*(1+IF(F1272=3,0.05+方案参数!$Y$38+AA1272*0.12,IF(F1272=4,方案参数!$BZ$38*方案参数!$AS$38,0)))+IF(AND(X1272=1,F1272&lt;&gt;3),方案参数!$CC$38,0)+AC1272*方案参数!$CB$38,0)</f>
        <v>2811</v>
      </c>
      <c r="AE1272" s="1">
        <f>IF(OR(F1272=1,F1272=4),配置与结果!$B$24,配置与结果!$B$25)*MAX(0,1-INDEX(配置与结果!$I$15:$I$18,F1272))</f>
        <v>1200</v>
      </c>
      <c r="AF1272" s="1">
        <f>3.6*IF(H1272=1,1,IF(H1272=2,1.5,2.5))</f>
        <v>3.6</v>
      </c>
      <c r="AG1272" s="1">
        <f>MAX(配置与结果!$B$32,1+INDEX(配置与结果!$F$15:$F$18,F1272)+0.08+Q1272*方案参数!$W$38+Y1272*(方案参数!$AN$38+MIN(方案参数!$AO$38,P1272*0.03))+AB1272*方案参数!$BZ$38*0.025+0.1+IF(方案参数!$BZ$38&gt;=30,方案参数!$BZ$38*0.01,0)-配置与结果!$B$28)</f>
        <v>1.4350000000000001</v>
      </c>
      <c r="AH1272" s="1">
        <f>MAX(0,1+INDEX(配置与结果!$G$15:$G$18,F1272)+W1272*方案参数!$AG$38)</f>
        <v>1.3</v>
      </c>
      <c r="AI1272" s="1">
        <f>IF(OR(INDEX(配置与结果!$K$15:$K$18,F1272)=1,G1272="RHI_BERRY"),1+配置与结果!$B$33+P1272*方案参数!$AH$38,1)</f>
        <v>1</v>
      </c>
      <c r="AJ1272" s="1">
        <f>MIN(1,MAX(0,J1272+方案参数!$AB$38-配置与结果!$B$27))</f>
        <v>0.66700000000000004</v>
      </c>
      <c r="AK1272" s="1">
        <f>MAX(1,K1272+IF(F1272=2,0.15+方案参数!$CH$38,0)+BN1272*方案参数!$X$38+R1272*方案参数!$AA$38+0-配置与结果!$B$26+Z1272*(方案参数!$AP$38+MIN(方案参数!$AQ$38,P1272*0.03)))</f>
        <v>1.4969999999999999</v>
      </c>
      <c r="AL1272" s="7">
        <f>ROUNDDOWN(MAX(AD1272*配置与结果!$B$31,AD1272-AE1272)*AF1272*AG1272*AH1272*AI1272,0)</f>
        <v>10819</v>
      </c>
      <c r="AM1272" s="7">
        <f>ROUNDDOWN(MAX(AD1272*配置与结果!$B$31,AD1272-AE1272)*AF1272*AG1272*AH1272*AI1272*AK1272,0)</f>
        <v>16196</v>
      </c>
      <c r="AN1272" s="7">
        <f t="shared" si="1720"/>
        <v>14405.458999999999</v>
      </c>
      <c r="AO1272" s="7">
        <f>0</f>
        <v>0</v>
      </c>
      <c r="AP1272" s="7">
        <f>MAX(0,1+INDEX(配置与结果!$J$15:$J$18,F1272)+IF(T1272&gt;0,方案参数!$BY$38,0)-配置与结果!$B$30)</f>
        <v>1</v>
      </c>
      <c r="AQ1272" s="7">
        <f t="shared" si="1721"/>
        <v>0</v>
      </c>
      <c r="AR1272" s="7">
        <f t="shared" si="1722"/>
        <v>0</v>
      </c>
      <c r="AS1272" s="7">
        <f t="shared" si="1723"/>
        <v>0</v>
      </c>
      <c r="AT1272" s="7">
        <f>0</f>
        <v>0</v>
      </c>
      <c r="AU1272" s="7">
        <f t="shared" si="1724"/>
        <v>14405.458999999999</v>
      </c>
      <c r="AV1272" s="1">
        <f t="shared" si="1725"/>
        <v>1</v>
      </c>
      <c r="AW1272" s="1">
        <f>MIN(10,M1272+0+0)</f>
        <v>4</v>
      </c>
      <c r="AX1272" s="1">
        <f t="shared" si="1726"/>
        <v>0</v>
      </c>
      <c r="AY1272" s="1">
        <f t="shared" si="1795"/>
        <v>6</v>
      </c>
      <c r="AZ1272" s="1">
        <f t="shared" si="1727"/>
        <v>3</v>
      </c>
      <c r="BA1272" s="1">
        <f>MIN(6,Q1272+0)</f>
        <v>2</v>
      </c>
      <c r="BB1272" s="1">
        <f t="shared" si="1788"/>
        <v>5</v>
      </c>
      <c r="BC1272" s="1">
        <f>MIN(3,S1272+1)</f>
        <v>1</v>
      </c>
      <c r="BD1272" s="1">
        <f t="shared" si="1796"/>
        <v>0</v>
      </c>
      <c r="BE1272" s="1">
        <f t="shared" si="1789"/>
        <v>0</v>
      </c>
      <c r="BF1272" s="1">
        <f>MIN(4,V1272+0)</f>
        <v>1</v>
      </c>
      <c r="BG1272" s="1">
        <f t="shared" si="1793"/>
        <v>1</v>
      </c>
      <c r="BH1272" s="1">
        <f t="shared" si="1790"/>
        <v>1</v>
      </c>
      <c r="BI1272" s="1">
        <f t="shared" si="1794"/>
        <v>1</v>
      </c>
      <c r="BJ1272" s="1">
        <f t="shared" si="1764"/>
        <v>0</v>
      </c>
      <c r="BK1272" s="1">
        <f t="shared" si="1765"/>
        <v>0</v>
      </c>
      <c r="BL1272" s="1">
        <f t="shared" si="1770"/>
        <v>0</v>
      </c>
      <c r="BM1272" s="1">
        <f t="shared" si="1768"/>
        <v>0</v>
      </c>
      <c r="BN1272" s="1">
        <f t="shared" si="1791"/>
        <v>1</v>
      </c>
      <c r="BO1272" s="1">
        <f t="shared" si="1792"/>
        <v>1</v>
      </c>
    </row>
    <row r="1273" spans="1:67" ht="30.95" customHeight="1">
      <c r="A1273" s="1">
        <f>35</f>
        <v>35</v>
      </c>
      <c r="B1273" s="1">
        <f>固定流程!A13</f>
        <v>8</v>
      </c>
      <c r="C1273" s="1">
        <f>38</f>
        <v>38</v>
      </c>
      <c r="D1273" s="1">
        <f>1</f>
        <v>1</v>
      </c>
      <c r="E1273" s="1">
        <f>固定流程!C13</f>
        <v>2</v>
      </c>
      <c r="F1273" s="1">
        <f>固定流程!G13</f>
        <v>3</v>
      </c>
      <c r="G1273" s="1" t="str">
        <f>固定流程!H13</f>
        <v>RHI_ATTACK</v>
      </c>
      <c r="H1273" s="1">
        <f>固定流程!F13</f>
        <v>1</v>
      </c>
      <c r="I1273" s="1">
        <f>INDEX(配置与结果!$B$15:$B$18,F1273)</f>
        <v>2597</v>
      </c>
      <c r="J1273" s="1">
        <f>INDEX(配置与结果!$D$15:$D$18,F1273)</f>
        <v>0.255</v>
      </c>
      <c r="K1273" s="1">
        <f>INDEX(配置与结果!$E$15:$E$18,F1273)</f>
        <v>1.55</v>
      </c>
      <c r="L1273" s="1">
        <f>IF(AV1272=1,IF(M1273&gt;=10,2,1),IF(AV1272=2,IF(AX1272&lt;=1,0,2),0))</f>
        <v>1</v>
      </c>
      <c r="M1273" s="1">
        <f>IF(AND(AV1272=2,AX1272&lt;=1),0,MIN(10,AW1272+IF(AV1272=1,3,0)))</f>
        <v>7</v>
      </c>
      <c r="N1273" s="1">
        <f>IF(AND(AV1272=1,M1273&gt;=10),2,IF(AV1272=2,MAX(0,AX1272-1),0))</f>
        <v>0</v>
      </c>
      <c r="O1273" s="1">
        <f t="shared" ref="O1273:O1301" si="1797">AY1272</f>
        <v>6</v>
      </c>
      <c r="P1273" s="1">
        <f>MIN(方案参数!$AI$38,AZ1272+方案参数!$AJ$38+方案参数!$AK$38)</f>
        <v>5</v>
      </c>
      <c r="Q1273" s="1">
        <f t="shared" si="1775"/>
        <v>2</v>
      </c>
      <c r="R1273" s="1">
        <f t="shared" si="1776"/>
        <v>5</v>
      </c>
      <c r="S1273" s="1">
        <f t="shared" si="1777"/>
        <v>1</v>
      </c>
      <c r="T1273" s="1">
        <f t="shared" si="1778"/>
        <v>0</v>
      </c>
      <c r="U1273" s="1">
        <f t="shared" si="1779"/>
        <v>0</v>
      </c>
      <c r="V1273" s="1">
        <f t="shared" si="1780"/>
        <v>1</v>
      </c>
      <c r="W1273" s="1">
        <f t="shared" si="1781"/>
        <v>1</v>
      </c>
      <c r="X1273" s="1">
        <f t="shared" si="1782"/>
        <v>1</v>
      </c>
      <c r="Y1273" s="1">
        <f t="shared" si="1783"/>
        <v>1</v>
      </c>
      <c r="Z1273" s="1">
        <f t="shared" si="1784"/>
        <v>0</v>
      </c>
      <c r="AA1273" s="1">
        <f>MAX(BK1272,1)</f>
        <v>1</v>
      </c>
      <c r="AB1273" s="1">
        <f t="shared" si="1786"/>
        <v>0</v>
      </c>
      <c r="AC1273" s="1">
        <f t="shared" si="1787"/>
        <v>0</v>
      </c>
      <c r="AD1273" s="1">
        <f>ROUNDDOWN(I1273*(1+IF(F1273=3,0.05+方案参数!$Y$38+AA1273*0.12,IF(F1273=4,方案参数!$BZ$38*方案参数!$AS$38,0)))+IF(AND(X1273=1,F1273&lt;&gt;3),方案参数!$CC$38,0)+AC1273*方案参数!$CB$38,0)</f>
        <v>3298</v>
      </c>
      <c r="AE1273" s="1">
        <f>IF(OR(F1273=1,F1273=4),配置与结果!$B$24,配置与结果!$B$25)*MAX(0,1-INDEX(配置与结果!$I$15:$I$18,F1273))</f>
        <v>1000</v>
      </c>
      <c r="AF1273" s="1">
        <f>4</f>
        <v>4</v>
      </c>
      <c r="AG1273" s="1">
        <f>MAX(配置与结果!$B$32,1+INDEX(配置与结果!$F$15:$F$18,F1273)+0+Q1273*方案参数!$W$38+Y1273*(方案参数!$AN$38+MIN(方案参数!$AO$38,P1273*0.03))+AB1273*方案参数!$BZ$38*0.025-配置与结果!$B$28)</f>
        <v>0.97499999999999998</v>
      </c>
      <c r="AH1273" s="1">
        <f>MAX(0,1+INDEX(配置与结果!$G$15:$G$18,F1273)+W1273*方案参数!$AG$38)</f>
        <v>1.3</v>
      </c>
      <c r="AI1273" s="1">
        <f>IF(OR(INDEX(配置与结果!$K$15:$K$18,F1273)=1,G1273="RHI_BERRY"),1+配置与结果!$B$33+P1273*方案参数!$AH$38,1)</f>
        <v>1</v>
      </c>
      <c r="AJ1273" s="1">
        <f>MIN(1,MAX(0,J1273+方案参数!$AB$38-配置与结果!$B$27))</f>
        <v>0.55499999999999994</v>
      </c>
      <c r="AK1273" s="1">
        <f>MAX(1,K1273+IF(F1273=2,0.15+方案参数!$CH$38,0)+BN1273*方案参数!$X$38+R1273*方案参数!$AA$38+0-配置与结果!$B$26+Z1273*(方案参数!$AP$38+MIN(方案参数!$AQ$38,P1273*0.03)))</f>
        <v>1.33</v>
      </c>
      <c r="AL1273" s="7">
        <f>ROUNDDOWN(MAX(AD1273*配置与结果!$B$31,AD1273-AE1273)*AF1273*AG1273*AH1273*AI1273,0)</f>
        <v>11650</v>
      </c>
      <c r="AM1273" s="7">
        <f>ROUNDDOWN(MAX(AD1273*配置与结果!$B$31,AD1273-AE1273)*AF1273*AG1273*AH1273*AI1273*AK1273,0)</f>
        <v>15495</v>
      </c>
      <c r="AN1273" s="7">
        <f t="shared" si="1720"/>
        <v>13783.974999999999</v>
      </c>
      <c r="AO1273" s="7">
        <f>0</f>
        <v>0</v>
      </c>
      <c r="AP1273" s="7">
        <f>MAX(0,1+INDEX(配置与结果!$J$15:$J$18,F1273)+IF(T1273&gt;0,方案参数!$BY$38,0)-配置与结果!$B$30)</f>
        <v>1</v>
      </c>
      <c r="AQ1273" s="7">
        <f t="shared" si="1721"/>
        <v>0</v>
      </c>
      <c r="AR1273" s="7">
        <f t="shared" si="1722"/>
        <v>0</v>
      </c>
      <c r="AS1273" s="7">
        <f t="shared" si="1723"/>
        <v>0</v>
      </c>
      <c r="AT1273" s="7">
        <f>0</f>
        <v>0</v>
      </c>
      <c r="AU1273" s="7">
        <f t="shared" si="1724"/>
        <v>13783.974999999999</v>
      </c>
      <c r="AV1273" s="1">
        <f t="shared" si="1725"/>
        <v>1</v>
      </c>
      <c r="AW1273" s="1">
        <f>MIN(10,M1273+0+0)</f>
        <v>7</v>
      </c>
      <c r="AX1273" s="1">
        <f t="shared" si="1726"/>
        <v>0</v>
      </c>
      <c r="AY1273" s="1">
        <f t="shared" si="1795"/>
        <v>6</v>
      </c>
      <c r="AZ1273" s="1">
        <f t="shared" si="1727"/>
        <v>5</v>
      </c>
      <c r="BA1273" s="1">
        <f>MIN(6,Q1273+1)</f>
        <v>3</v>
      </c>
      <c r="BB1273" s="1">
        <f t="shared" si="1788"/>
        <v>5</v>
      </c>
      <c r="BC1273" s="1">
        <f>MIN(3,S1273+0)</f>
        <v>1</v>
      </c>
      <c r="BD1273" s="1">
        <f t="shared" si="1796"/>
        <v>0</v>
      </c>
      <c r="BE1273" s="1">
        <f t="shared" si="1789"/>
        <v>0</v>
      </c>
      <c r="BF1273" s="1">
        <f>MIN(4,V1273+0)</f>
        <v>1</v>
      </c>
      <c r="BG1273" s="1">
        <f t="shared" si="1793"/>
        <v>1</v>
      </c>
      <c r="BH1273" s="1">
        <f t="shared" si="1790"/>
        <v>1</v>
      </c>
      <c r="BI1273" s="1">
        <f t="shared" si="1794"/>
        <v>1</v>
      </c>
      <c r="BJ1273" s="1">
        <f>MAX(Z1273,1)</f>
        <v>1</v>
      </c>
      <c r="BK1273" s="1">
        <f>MAX(AA1273,1)</f>
        <v>1</v>
      </c>
      <c r="BL1273" s="1">
        <f t="shared" si="1770"/>
        <v>0</v>
      </c>
      <c r="BM1273" s="1">
        <f t="shared" si="1768"/>
        <v>0</v>
      </c>
      <c r="BN1273" s="1">
        <f t="shared" si="1791"/>
        <v>1</v>
      </c>
      <c r="BO1273" s="1">
        <f t="shared" si="1792"/>
        <v>1</v>
      </c>
    </row>
    <row r="1274" spans="1:67" ht="30.95" customHeight="1">
      <c r="A1274" s="1">
        <f>35</f>
        <v>35</v>
      </c>
      <c r="B1274" s="1">
        <f>固定流程!A14</f>
        <v>9</v>
      </c>
      <c r="C1274" s="1">
        <f>38</f>
        <v>38</v>
      </c>
      <c r="D1274" s="1">
        <f>1</f>
        <v>1</v>
      </c>
      <c r="E1274" s="1">
        <f>固定流程!C14</f>
        <v>2</v>
      </c>
      <c r="F1274" s="1">
        <f>固定流程!G14</f>
        <v>1</v>
      </c>
      <c r="G1274" s="1" t="str">
        <f>固定流程!H14</f>
        <v>LILYA_DIVE</v>
      </c>
      <c r="H1274" s="1">
        <f>固定流程!F14</f>
        <v>3</v>
      </c>
      <c r="I1274" s="1">
        <f>INDEX(配置与结果!$B$15:$B$18,F1274)</f>
        <v>2296</v>
      </c>
      <c r="J1274" s="1">
        <f>INDEX(配置与结果!$D$15:$D$18,F1274)</f>
        <v>0.7</v>
      </c>
      <c r="K1274" s="1">
        <f>INDEX(配置与结果!$E$15:$E$18,F1274)</f>
        <v>2.0249999999999999</v>
      </c>
      <c r="L1274" s="1">
        <f t="shared" ref="L1274:N1278" si="1798">AV1273</f>
        <v>1</v>
      </c>
      <c r="M1274" s="1">
        <f t="shared" si="1798"/>
        <v>7</v>
      </c>
      <c r="N1274" s="1">
        <f t="shared" si="1798"/>
        <v>0</v>
      </c>
      <c r="O1274" s="1">
        <f t="shared" si="1797"/>
        <v>6</v>
      </c>
      <c r="P1274" s="1">
        <f>MIN(方案参数!$AI$38,AZ1273+0+0)</f>
        <v>5</v>
      </c>
      <c r="Q1274" s="1">
        <f t="shared" si="1775"/>
        <v>3</v>
      </c>
      <c r="R1274" s="1">
        <f t="shared" si="1776"/>
        <v>5</v>
      </c>
      <c r="S1274" s="1">
        <f t="shared" si="1777"/>
        <v>1</v>
      </c>
      <c r="T1274" s="1">
        <f t="shared" si="1778"/>
        <v>0</v>
      </c>
      <c r="U1274" s="1">
        <f t="shared" si="1779"/>
        <v>0</v>
      </c>
      <c r="V1274" s="1">
        <f t="shared" si="1780"/>
        <v>1</v>
      </c>
      <c r="W1274" s="1">
        <f t="shared" si="1781"/>
        <v>1</v>
      </c>
      <c r="X1274" s="1">
        <f t="shared" si="1782"/>
        <v>1</v>
      </c>
      <c r="Y1274" s="1">
        <f t="shared" si="1783"/>
        <v>1</v>
      </c>
      <c r="Z1274" s="1">
        <f t="shared" si="1784"/>
        <v>1</v>
      </c>
      <c r="AA1274" s="1">
        <f t="shared" ref="AA1274:AA1279" si="1799">MAX(BK1273,0)</f>
        <v>1</v>
      </c>
      <c r="AB1274" s="1">
        <f t="shared" si="1786"/>
        <v>0</v>
      </c>
      <c r="AC1274" s="1">
        <f t="shared" si="1787"/>
        <v>0</v>
      </c>
      <c r="AD1274" s="1">
        <f>ROUNDDOWN(I1274*(1+IF(F1274=3,0.05+方案参数!$Y$38+AA1274*0.12,IF(F1274=4,方案参数!$BZ$38*方案参数!$AS$38,0)))+IF(AND(X1274=1,F1274&lt;&gt;3),方案参数!$CC$38,0)+AC1274*方案参数!$CB$38,0)</f>
        <v>2534</v>
      </c>
      <c r="AE1274" s="1">
        <f>IF(OR(F1274=1,F1274=4),配置与结果!$B$24,配置与结果!$B$25)*MAX(0,1-INDEX(配置与结果!$I$15:$I$18,F1274))</f>
        <v>1200</v>
      </c>
      <c r="AF1274" s="1">
        <f>(IF(L1274=1,方案参数!$AW$38,IF(L1274=2,方案参数!$AX$38,0))+方案参数!$AV$38)*H1274</f>
        <v>18</v>
      </c>
      <c r="AG1274" s="1">
        <f>MAX(配置与结果!$B$32,1+INDEX(配置与结果!$F$15:$F$18,F1274)+0.08+方案参数!$CD$38+Q1274*方案参数!$W$38+Y1274*(方案参数!$AN$38+MIN(方案参数!$AO$38,P1274*0.03))+AB1274*方案参数!$BZ$38*0.025+IF(L1274=1,方案参数!$AY$38+(H1274-1)*0.1,IF(L1274=2,方案参数!$AZ$38+(H1274-1)*0.2,0))-配置与结果!$B$28)</f>
        <v>1.6</v>
      </c>
      <c r="AH1274" s="1">
        <f>MAX(0,1+INDEX(配置与结果!$G$15:$G$18,F1274)+W1274*方案参数!$AG$38+IF(L1274=1,方案参数!$BA$38,IF(L1274=2,方案参数!$BB$38,0))+M1274*方案参数!$BC$38)</f>
        <v>2.3199999999999998</v>
      </c>
      <c r="AI1274" s="1">
        <f>IF(OR(INDEX(配置与结果!$K$15:$K$18,F1274)=1,G1274="RHI_BERRY"),1+配置与结果!$B$33+P1274*方案参数!$AH$38,1)</f>
        <v>1</v>
      </c>
      <c r="AJ1274" s="1">
        <f>MIN(1,MAX(0,J1274+方案参数!$AB$38-配置与结果!$B$27))</f>
        <v>1</v>
      </c>
      <c r="AK1274" s="1">
        <f>MAX(1,K1274+IF(F1274=2,0.15+方案参数!$CH$38,0)+BN1274*方案参数!$X$38+R1274*方案参数!$AA$38+0-配置与结果!$B$26+Z1274*(方案参数!$AP$38+MIN(方案参数!$AQ$38,P1274*0.03)))</f>
        <v>2.105</v>
      </c>
      <c r="AL1274" s="7">
        <f>ROUNDDOWN(MAX(AD1274*配置与结果!$B$31,AD1274-AE1274)*AF1274*AG1274*AH1274*AI1274,0)</f>
        <v>89132</v>
      </c>
      <c r="AM1274" s="7">
        <f>ROUNDDOWN(MAX(AD1274*配置与结果!$B$31,AD1274-AE1274)*AF1274*AG1274*AH1274*AI1274*AK1274,0)</f>
        <v>187624</v>
      </c>
      <c r="AN1274" s="7">
        <f t="shared" si="1720"/>
        <v>187624</v>
      </c>
      <c r="AO1274" s="7">
        <f>0</f>
        <v>0</v>
      </c>
      <c r="AP1274" s="7">
        <f>MAX(0,1+INDEX(配置与结果!$J$15:$J$18,F1274)+IF(T1274&gt;0,方案参数!$BY$38,0)-配置与结果!$B$30)</f>
        <v>1</v>
      </c>
      <c r="AQ1274" s="7">
        <f t="shared" si="1721"/>
        <v>0</v>
      </c>
      <c r="AR1274" s="7">
        <f t="shared" si="1722"/>
        <v>0</v>
      </c>
      <c r="AS1274" s="7">
        <f t="shared" si="1723"/>
        <v>0</v>
      </c>
      <c r="AT1274" s="7">
        <f>0</f>
        <v>0</v>
      </c>
      <c r="AU1274" s="7">
        <f t="shared" si="1724"/>
        <v>187624</v>
      </c>
      <c r="AV1274" s="1">
        <f t="shared" si="1725"/>
        <v>1</v>
      </c>
      <c r="AW1274" s="1">
        <f>MIN(10,M1274+0+IF(L1274=1,方案参数!$BE$38,0))</f>
        <v>8</v>
      </c>
      <c r="AX1274" s="1">
        <f t="shared" si="1726"/>
        <v>0</v>
      </c>
      <c r="AY1274" s="1">
        <f t="shared" si="1795"/>
        <v>6</v>
      </c>
      <c r="AZ1274" s="1">
        <f t="shared" si="1727"/>
        <v>5</v>
      </c>
      <c r="BA1274" s="1">
        <f>MIN(6,Q1274+0)</f>
        <v>3</v>
      </c>
      <c r="BB1274" s="1">
        <f t="shared" si="1788"/>
        <v>5</v>
      </c>
      <c r="BC1274" s="1">
        <f>MIN(3,S1274+0)</f>
        <v>1</v>
      </c>
      <c r="BD1274" s="1">
        <f t="shared" si="1796"/>
        <v>0</v>
      </c>
      <c r="BE1274" s="1">
        <f t="shared" si="1789"/>
        <v>0</v>
      </c>
      <c r="BF1274" s="1">
        <f>MIN(4,V1274+0)</f>
        <v>1</v>
      </c>
      <c r="BG1274" s="1">
        <f t="shared" si="1793"/>
        <v>1</v>
      </c>
      <c r="BH1274" s="1">
        <f t="shared" si="1790"/>
        <v>1</v>
      </c>
      <c r="BI1274" s="1">
        <f t="shared" si="1794"/>
        <v>1</v>
      </c>
      <c r="BJ1274" s="1">
        <f t="shared" ref="BJ1274:BK1279" si="1800">MAX(Z1274,0)</f>
        <v>1</v>
      </c>
      <c r="BK1274" s="1">
        <f t="shared" si="1800"/>
        <v>1</v>
      </c>
      <c r="BL1274" s="1">
        <f t="shared" si="1770"/>
        <v>0</v>
      </c>
      <c r="BM1274" s="1">
        <f t="shared" si="1768"/>
        <v>0</v>
      </c>
      <c r="BN1274" s="1">
        <f t="shared" si="1791"/>
        <v>1</v>
      </c>
      <c r="BO1274" s="1">
        <f t="shared" si="1792"/>
        <v>1</v>
      </c>
    </row>
    <row r="1275" spans="1:67" ht="30.95" customHeight="1">
      <c r="A1275" s="1">
        <f>35</f>
        <v>35</v>
      </c>
      <c r="B1275" s="1">
        <f>固定流程!A15</f>
        <v>10</v>
      </c>
      <c r="C1275" s="1">
        <f>38</f>
        <v>38</v>
      </c>
      <c r="D1275" s="1">
        <f>1</f>
        <v>1</v>
      </c>
      <c r="E1275" s="1">
        <f>固定流程!C15</f>
        <v>2</v>
      </c>
      <c r="F1275" s="1">
        <f>固定流程!G15</f>
        <v>4</v>
      </c>
      <c r="G1275" s="1" t="str">
        <f>固定流程!H15</f>
        <v>J_HARD</v>
      </c>
      <c r="H1275" s="1">
        <f>固定流程!F15</f>
        <v>1</v>
      </c>
      <c r="I1275" s="1">
        <f>INDEX(配置与结果!$B$15:$B$18,F1275)</f>
        <v>1906</v>
      </c>
      <c r="J1275" s="1">
        <f>INDEX(配置与结果!$D$15:$D$18,F1275)</f>
        <v>0.36699999999999999</v>
      </c>
      <c r="K1275" s="1">
        <f>INDEX(配置与结果!$E$15:$E$18,F1275)</f>
        <v>1.7170000000000001</v>
      </c>
      <c r="L1275" s="1">
        <f t="shared" si="1798"/>
        <v>1</v>
      </c>
      <c r="M1275" s="1">
        <f t="shared" si="1798"/>
        <v>8</v>
      </c>
      <c r="N1275" s="1">
        <f t="shared" si="1798"/>
        <v>0</v>
      </c>
      <c r="O1275" s="1">
        <f t="shared" si="1797"/>
        <v>6</v>
      </c>
      <c r="P1275" s="1">
        <f>MIN(方案参数!$AI$38,AZ1274+0+0)</f>
        <v>5</v>
      </c>
      <c r="Q1275" s="1">
        <f t="shared" si="1775"/>
        <v>3</v>
      </c>
      <c r="R1275" s="1">
        <f t="shared" si="1776"/>
        <v>5</v>
      </c>
      <c r="S1275" s="1">
        <f t="shared" si="1777"/>
        <v>1</v>
      </c>
      <c r="T1275" s="1">
        <f t="shared" si="1778"/>
        <v>0</v>
      </c>
      <c r="U1275" s="1">
        <f t="shared" si="1779"/>
        <v>0</v>
      </c>
      <c r="V1275" s="1">
        <f t="shared" si="1780"/>
        <v>1</v>
      </c>
      <c r="W1275" s="1">
        <f t="shared" si="1781"/>
        <v>1</v>
      </c>
      <c r="X1275" s="1">
        <f t="shared" si="1782"/>
        <v>1</v>
      </c>
      <c r="Y1275" s="1">
        <f t="shared" si="1783"/>
        <v>1</v>
      </c>
      <c r="Z1275" s="1">
        <f t="shared" si="1784"/>
        <v>1</v>
      </c>
      <c r="AA1275" s="1">
        <f t="shared" si="1799"/>
        <v>1</v>
      </c>
      <c r="AB1275" s="1">
        <f t="shared" si="1786"/>
        <v>0</v>
      </c>
      <c r="AC1275" s="1">
        <f t="shared" si="1787"/>
        <v>0</v>
      </c>
      <c r="AD1275" s="1">
        <f>ROUNDDOWN(I1275*(1+IF(F1275=3,0.05+方案参数!$Y$38+AA1275*0.12,IF(F1275=4,方案参数!$BZ$38*方案参数!$AS$38,0)))+IF(AND(X1275=1,F1275&lt;&gt;3),方案参数!$CC$38,0)+AC1275*方案参数!$CB$38,0)</f>
        <v>2811</v>
      </c>
      <c r="AE1275" s="1">
        <f>IF(OR(F1275=1,F1275=4),配置与结果!$B$24,配置与结果!$B$25)*MAX(0,1-INDEX(配置与结果!$I$15:$I$18,F1275))</f>
        <v>1200</v>
      </c>
      <c r="AF1275" s="1">
        <f>3.6*IF(H1275=1,1,IF(H1275=2,1.5,2.5))</f>
        <v>3.6</v>
      </c>
      <c r="AG1275" s="1">
        <f>MAX(配置与结果!$B$32,1+INDEX(配置与结果!$F$15:$F$18,F1275)+0.08+Q1275*方案参数!$W$38+Y1275*(方案参数!$AN$38+MIN(方案参数!$AO$38,P1275*0.03))+AB1275*方案参数!$BZ$38*0.025+0.1+IF(方案参数!$BZ$38&gt;=30,方案参数!$BZ$38*0.01,0)-配置与结果!$B$28)</f>
        <v>1.5150000000000001</v>
      </c>
      <c r="AH1275" s="1">
        <f>MAX(0,1+INDEX(配置与结果!$G$15:$G$18,F1275)+W1275*方案参数!$AG$38)</f>
        <v>1.3</v>
      </c>
      <c r="AI1275" s="1">
        <f>IF(OR(INDEX(配置与结果!$K$15:$K$18,F1275)=1,G1275="RHI_BERRY"),1+配置与结果!$B$33+P1275*方案参数!$AH$38,1)</f>
        <v>1</v>
      </c>
      <c r="AJ1275" s="1">
        <f>MIN(1,MAX(0,J1275+方案参数!$AB$38-配置与结果!$B$27))</f>
        <v>0.66700000000000004</v>
      </c>
      <c r="AK1275" s="1">
        <f>MAX(1,K1275+IF(F1275=2,0.15+方案参数!$CH$38,0)+BN1275*方案参数!$X$38+R1275*方案参数!$AA$38+0-配置与结果!$B$26+Z1275*(方案参数!$AP$38+MIN(方案参数!$AQ$38,P1275*0.03)))</f>
        <v>1.7969999999999999</v>
      </c>
      <c r="AL1275" s="7">
        <f>ROUNDDOWN(MAX(AD1275*配置与结果!$B$31,AD1275-AE1275)*AF1275*AG1275*AH1275*AI1275,0)</f>
        <v>11422</v>
      </c>
      <c r="AM1275" s="7">
        <f>ROUNDDOWN(MAX(AD1275*配置与结果!$B$31,AD1275-AE1275)*AF1275*AG1275*AH1275*AI1275*AK1275,0)</f>
        <v>20525</v>
      </c>
      <c r="AN1275" s="7">
        <f t="shared" si="1720"/>
        <v>17493.701000000001</v>
      </c>
      <c r="AO1275" s="7">
        <f>0</f>
        <v>0</v>
      </c>
      <c r="AP1275" s="7">
        <f>MAX(0,1+INDEX(配置与结果!$J$15:$J$18,F1275)+IF(T1275&gt;0,方案参数!$BY$38,0)-配置与结果!$B$30)</f>
        <v>1</v>
      </c>
      <c r="AQ1275" s="7">
        <f t="shared" si="1721"/>
        <v>0</v>
      </c>
      <c r="AR1275" s="7">
        <f t="shared" si="1722"/>
        <v>0</v>
      </c>
      <c r="AS1275" s="7">
        <f t="shared" si="1723"/>
        <v>0</v>
      </c>
      <c r="AT1275" s="7">
        <f>0</f>
        <v>0</v>
      </c>
      <c r="AU1275" s="7">
        <f t="shared" si="1724"/>
        <v>17493.701000000001</v>
      </c>
      <c r="AV1275" s="1">
        <f t="shared" si="1725"/>
        <v>1</v>
      </c>
      <c r="AW1275" s="1">
        <f t="shared" ref="AW1275:AW1285" si="1801">MIN(10,M1275+0+0)</f>
        <v>8</v>
      </c>
      <c r="AX1275" s="1">
        <f t="shared" si="1726"/>
        <v>0</v>
      </c>
      <c r="AY1275" s="1">
        <f t="shared" si="1795"/>
        <v>6</v>
      </c>
      <c r="AZ1275" s="1">
        <f t="shared" si="1727"/>
        <v>5</v>
      </c>
      <c r="BA1275" s="1">
        <f>MIN(6,Q1275+0)</f>
        <v>3</v>
      </c>
      <c r="BB1275" s="1">
        <f t="shared" si="1788"/>
        <v>5</v>
      </c>
      <c r="BC1275" s="1">
        <f>MIN(3,S1275+1)</f>
        <v>2</v>
      </c>
      <c r="BD1275" s="1">
        <f t="shared" si="1796"/>
        <v>0</v>
      </c>
      <c r="BE1275" s="1">
        <f t="shared" si="1789"/>
        <v>0</v>
      </c>
      <c r="BF1275" s="1">
        <f>MIN(4,V1275+0)</f>
        <v>1</v>
      </c>
      <c r="BG1275" s="1">
        <f t="shared" si="1793"/>
        <v>1</v>
      </c>
      <c r="BH1275" s="1">
        <f t="shared" si="1790"/>
        <v>1</v>
      </c>
      <c r="BI1275" s="1">
        <f t="shared" si="1794"/>
        <v>1</v>
      </c>
      <c r="BJ1275" s="1">
        <f t="shared" si="1800"/>
        <v>1</v>
      </c>
      <c r="BK1275" s="1">
        <f t="shared" si="1800"/>
        <v>1</v>
      </c>
      <c r="BL1275" s="1">
        <f t="shared" si="1770"/>
        <v>0</v>
      </c>
      <c r="BM1275" s="1">
        <f t="shared" si="1768"/>
        <v>0</v>
      </c>
      <c r="BN1275" s="1">
        <f t="shared" si="1791"/>
        <v>1</v>
      </c>
      <c r="BO1275" s="1">
        <f t="shared" si="1792"/>
        <v>1</v>
      </c>
    </row>
    <row r="1276" spans="1:67" ht="30.95" customHeight="1">
      <c r="A1276" s="1">
        <f>35</f>
        <v>35</v>
      </c>
      <c r="B1276" s="1">
        <f>固定流程!A16</f>
        <v>11</v>
      </c>
      <c r="C1276" s="1">
        <f>38</f>
        <v>38</v>
      </c>
      <c r="D1276" s="1">
        <f>1</f>
        <v>1</v>
      </c>
      <c r="E1276" s="1">
        <f>固定流程!C16</f>
        <v>2</v>
      </c>
      <c r="F1276" s="1">
        <f>固定流程!G16</f>
        <v>2</v>
      </c>
      <c r="G1276" s="1" t="str">
        <f>固定流程!H16</f>
        <v>37_CURVE</v>
      </c>
      <c r="H1276" s="1">
        <f>固定流程!F16</f>
        <v>1</v>
      </c>
      <c r="I1276" s="1">
        <f>INDEX(配置与结果!$B$15:$B$18,F1276)</f>
        <v>2306</v>
      </c>
      <c r="J1276" s="1">
        <f>INDEX(配置与结果!$D$15:$D$18,F1276)</f>
        <v>0.46</v>
      </c>
      <c r="K1276" s="1">
        <f>INDEX(配置与结果!$E$15:$E$18,F1276)</f>
        <v>1.9279999999999999</v>
      </c>
      <c r="L1276" s="1">
        <f t="shared" si="1798"/>
        <v>1</v>
      </c>
      <c r="M1276" s="1">
        <f t="shared" si="1798"/>
        <v>8</v>
      </c>
      <c r="N1276" s="1">
        <f t="shared" si="1798"/>
        <v>0</v>
      </c>
      <c r="O1276" s="1">
        <f t="shared" si="1797"/>
        <v>6</v>
      </c>
      <c r="P1276" s="1">
        <f>MIN(方案参数!$AI$38,AZ1275+0+0)</f>
        <v>5</v>
      </c>
      <c r="Q1276" s="1">
        <f t="shared" si="1775"/>
        <v>3</v>
      </c>
      <c r="R1276" s="1">
        <f t="shared" si="1776"/>
        <v>5</v>
      </c>
      <c r="S1276" s="1">
        <f t="shared" si="1777"/>
        <v>2</v>
      </c>
      <c r="T1276" s="1">
        <f t="shared" si="1778"/>
        <v>0</v>
      </c>
      <c r="U1276" s="1">
        <f t="shared" si="1779"/>
        <v>0</v>
      </c>
      <c r="V1276" s="1">
        <f t="shared" si="1780"/>
        <v>1</v>
      </c>
      <c r="W1276" s="1">
        <f t="shared" si="1781"/>
        <v>1</v>
      </c>
      <c r="X1276" s="1">
        <f t="shared" si="1782"/>
        <v>1</v>
      </c>
      <c r="Y1276" s="1">
        <f t="shared" si="1783"/>
        <v>1</v>
      </c>
      <c r="Z1276" s="1">
        <f t="shared" si="1784"/>
        <v>1</v>
      </c>
      <c r="AA1276" s="1">
        <f t="shared" si="1799"/>
        <v>1</v>
      </c>
      <c r="AB1276" s="1">
        <f t="shared" si="1786"/>
        <v>0</v>
      </c>
      <c r="AC1276" s="1">
        <f t="shared" si="1787"/>
        <v>0</v>
      </c>
      <c r="AD1276" s="1">
        <f>ROUNDDOWN(I1276*(1+IF(F1276=3,0.05+方案参数!$Y$38+AA1276*0.12,IF(F1276=4,方案参数!$BZ$38*方案参数!$AS$38,0)))+IF(AND(X1276=1,F1276&lt;&gt;3),方案参数!$CC$38,0)+AC1276*方案参数!$CB$38,0)</f>
        <v>2544</v>
      </c>
      <c r="AE1276" s="1">
        <f>IF(OR(F1276=1,F1276=4),配置与结果!$B$24,配置与结果!$B$25)*MAX(0,1-INDEX(配置与结果!$I$15:$I$18,F1276))</f>
        <v>1000</v>
      </c>
      <c r="AF1276" s="1">
        <f>方案参数!$BT$38*IF(H1276=1,1,IF(H1276=2,1.5,2.5))</f>
        <v>1.4</v>
      </c>
      <c r="AG1276" s="1">
        <f>MAX(配置与结果!$B$32,1+INDEX(配置与结果!$F$15:$F$18,F1276)+0+Q1276*方案参数!$W$38+Y1276*(方案参数!$AN$38+MIN(方案参数!$AO$38,P1276*0.03))+AB1276*方案参数!$BZ$38*0.025-配置与结果!$B$28)</f>
        <v>0.96499999999999997</v>
      </c>
      <c r="AH1276" s="1">
        <f>MAX(0,1+INDEX(配置与结果!$G$15:$G$18,F1276)+W1276*方案参数!$AG$38)</f>
        <v>1.3</v>
      </c>
      <c r="AI1276" s="1">
        <f>IF(OR(INDEX(配置与结果!$K$15:$K$18,F1276)=1,G1276="RHI_BERRY"),1+配置与结果!$B$33+P1276*方案参数!$AH$38,1)</f>
        <v>1</v>
      </c>
      <c r="AJ1276" s="1">
        <f>MIN(1,MAX(0,J1276+方案参数!$AB$38-配置与结果!$B$27))</f>
        <v>0.76</v>
      </c>
      <c r="AK1276" s="1">
        <f>MAX(1,K1276+IF(F1276=2,0.15+方案参数!$CH$38,0)+BN1276*方案参数!$X$38+R1276*方案参数!$AA$38+0-配置与结果!$B$26+Z1276*(方案参数!$AP$38+MIN(方案参数!$AQ$38,P1276*0.03)))</f>
        <v>2.3980000000000001</v>
      </c>
      <c r="AL1276" s="7">
        <f>ROUNDDOWN(MAX(AD1276*配置与结果!$B$31,AD1276-AE1276)*AF1276*AG1276*AH1276*AI1276,0)</f>
        <v>2711</v>
      </c>
      <c r="AM1276" s="7">
        <f>ROUNDDOWN(MAX(AD1276*配置与结果!$B$31,AD1276-AE1276)*AF1276*AG1276*AH1276*AI1276*AK1276,0)</f>
        <v>6502</v>
      </c>
      <c r="AN1276" s="7">
        <f t="shared" si="1720"/>
        <v>5592.1600000000008</v>
      </c>
      <c r="AO1276" s="7">
        <f>方案参数!$BU$38*IF(H1276=1,1,IF(H1276=2,1.5,2.5))</f>
        <v>0.8</v>
      </c>
      <c r="AP1276" s="7">
        <f>MAX(0,1+INDEX(配置与结果!$J$15:$J$18,F1276)+IF(T1276&gt;0,方案参数!$BY$38,0)-配置与结果!$B$30)</f>
        <v>1</v>
      </c>
      <c r="AQ1276" s="7">
        <f t="shared" si="1721"/>
        <v>2035</v>
      </c>
      <c r="AR1276" s="7">
        <f t="shared" si="1722"/>
        <v>4879</v>
      </c>
      <c r="AS1276" s="7">
        <f t="shared" si="1723"/>
        <v>4196.4399999999996</v>
      </c>
      <c r="AT1276" s="7">
        <f>0</f>
        <v>0</v>
      </c>
      <c r="AU1276" s="7">
        <f t="shared" si="1724"/>
        <v>9788.6</v>
      </c>
      <c r="AV1276" s="1">
        <f t="shared" si="1725"/>
        <v>1</v>
      </c>
      <c r="AW1276" s="1">
        <f t="shared" si="1801"/>
        <v>8</v>
      </c>
      <c r="AX1276" s="1">
        <f t="shared" si="1726"/>
        <v>0</v>
      </c>
      <c r="AY1276" s="1">
        <f t="shared" si="1795"/>
        <v>6</v>
      </c>
      <c r="AZ1276" s="1">
        <f t="shared" si="1727"/>
        <v>5</v>
      </c>
      <c r="BA1276" s="1">
        <f>MIN(6,Q1276+0)</f>
        <v>3</v>
      </c>
      <c r="BB1276" s="1">
        <f t="shared" si="1788"/>
        <v>5</v>
      </c>
      <c r="BC1276" s="1">
        <f t="shared" ref="BC1276:BC1282" si="1802">MIN(3,S1276+0)</f>
        <v>2</v>
      </c>
      <c r="BD1276" s="1">
        <f t="shared" si="1796"/>
        <v>0</v>
      </c>
      <c r="BE1276" s="1">
        <f t="shared" si="1789"/>
        <v>0</v>
      </c>
      <c r="BF1276" s="1">
        <f>MIN(4,V1276+0)</f>
        <v>1</v>
      </c>
      <c r="BG1276" s="1">
        <f t="shared" si="1793"/>
        <v>1</v>
      </c>
      <c r="BH1276" s="1">
        <f t="shared" si="1790"/>
        <v>1</v>
      </c>
      <c r="BI1276" s="1">
        <f t="shared" si="1794"/>
        <v>1</v>
      </c>
      <c r="BJ1276" s="1">
        <f t="shared" si="1800"/>
        <v>1</v>
      </c>
      <c r="BK1276" s="1">
        <f t="shared" si="1800"/>
        <v>1</v>
      </c>
      <c r="BL1276" s="1">
        <f t="shared" si="1770"/>
        <v>0</v>
      </c>
      <c r="BM1276" s="1">
        <f t="shared" si="1768"/>
        <v>0</v>
      </c>
      <c r="BN1276" s="1">
        <f t="shared" si="1791"/>
        <v>1</v>
      </c>
      <c r="BO1276" s="1">
        <f t="shared" si="1792"/>
        <v>1</v>
      </c>
    </row>
    <row r="1277" spans="1:67" ht="30.95" customHeight="1">
      <c r="A1277" s="1">
        <f>35</f>
        <v>35</v>
      </c>
      <c r="B1277" s="1">
        <f>固定流程!A17</f>
        <v>12</v>
      </c>
      <c r="C1277" s="1">
        <f>38</f>
        <v>38</v>
      </c>
      <c r="D1277" s="1">
        <f>1</f>
        <v>1</v>
      </c>
      <c r="E1277" s="1">
        <f>固定流程!C17</f>
        <v>2</v>
      </c>
      <c r="F1277" s="1">
        <f>固定流程!G17</f>
        <v>2</v>
      </c>
      <c r="G1277" s="1" t="str">
        <f>固定流程!H17</f>
        <v>37_FOLLOW</v>
      </c>
      <c r="H1277" s="1">
        <f>固定流程!F17</f>
        <v>1</v>
      </c>
      <c r="I1277" s="1">
        <f>INDEX(配置与结果!$B$15:$B$18,F1277)</f>
        <v>2306</v>
      </c>
      <c r="J1277" s="1">
        <f>INDEX(配置与结果!$D$15:$D$18,F1277)</f>
        <v>0.46</v>
      </c>
      <c r="K1277" s="1">
        <f>INDEX(配置与结果!$E$15:$E$18,F1277)</f>
        <v>1.9279999999999999</v>
      </c>
      <c r="L1277" s="1">
        <f t="shared" si="1798"/>
        <v>1</v>
      </c>
      <c r="M1277" s="1">
        <f t="shared" si="1798"/>
        <v>8</v>
      </c>
      <c r="N1277" s="1">
        <f t="shared" si="1798"/>
        <v>0</v>
      </c>
      <c r="O1277" s="1">
        <f t="shared" si="1797"/>
        <v>6</v>
      </c>
      <c r="P1277" s="1">
        <f>MIN(方案参数!$AI$38,AZ1276+0+0)</f>
        <v>5</v>
      </c>
      <c r="Q1277" s="1">
        <f t="shared" si="1775"/>
        <v>3</v>
      </c>
      <c r="R1277" s="1">
        <f t="shared" si="1776"/>
        <v>5</v>
      </c>
      <c r="S1277" s="1">
        <f t="shared" si="1777"/>
        <v>2</v>
      </c>
      <c r="T1277" s="1">
        <f t="shared" si="1778"/>
        <v>0</v>
      </c>
      <c r="U1277" s="1">
        <f t="shared" si="1779"/>
        <v>0</v>
      </c>
      <c r="V1277" s="1">
        <f t="shared" si="1780"/>
        <v>1</v>
      </c>
      <c r="W1277" s="1">
        <f t="shared" si="1781"/>
        <v>1</v>
      </c>
      <c r="X1277" s="1">
        <f t="shared" si="1782"/>
        <v>1</v>
      </c>
      <c r="Y1277" s="1">
        <f t="shared" si="1783"/>
        <v>1</v>
      </c>
      <c r="Z1277" s="1">
        <f t="shared" si="1784"/>
        <v>1</v>
      </c>
      <c r="AA1277" s="1">
        <f t="shared" si="1799"/>
        <v>1</v>
      </c>
      <c r="AB1277" s="1">
        <f t="shared" si="1786"/>
        <v>0</v>
      </c>
      <c r="AC1277" s="1">
        <f t="shared" si="1787"/>
        <v>0</v>
      </c>
      <c r="AD1277" s="1">
        <f>ROUNDDOWN(I1277*(1+IF(F1277=3,0.05+方案参数!$Y$38+AA1277*0.12,IF(F1277=4,方案参数!$BZ$38*方案参数!$AS$38,0)))+IF(AND(X1277=1,F1277&lt;&gt;3),方案参数!$CC$38,0)+AC1277*方案参数!$CB$38,0)</f>
        <v>2544</v>
      </c>
      <c r="AE1277" s="1">
        <f>IF(OR(F1277=1,F1277=4),配置与结果!$B$24,配置与结果!$B$25)*MAX(0,1-INDEX(配置与结果!$I$15:$I$18,F1277))</f>
        <v>1000</v>
      </c>
      <c r="AF1277" s="1">
        <f>方案参数!$BV$38</f>
        <v>3</v>
      </c>
      <c r="AG1277" s="1">
        <f>MAX(配置与结果!$B$32,1+INDEX(配置与结果!$F$15:$F$18,F1277)+0+Q1277*方案参数!$W$38+Y1277*(方案参数!$AN$38+MIN(方案参数!$AO$38,P1277*0.03))+AB1277*方案参数!$BZ$38*0.025-配置与结果!$B$28)</f>
        <v>0.96499999999999997</v>
      </c>
      <c r="AH1277" s="1">
        <f>MAX(0,1+INDEX(配置与结果!$G$15:$G$18,F1277)+W1277*方案参数!$AG$38)</f>
        <v>1.3</v>
      </c>
      <c r="AI1277" s="1">
        <f>IF(OR(INDEX(配置与结果!$K$15:$K$18,F1277)=1,G1277="RHI_BERRY"),1+配置与结果!$B$33+P1277*方案参数!$AH$38,1)</f>
        <v>1</v>
      </c>
      <c r="AJ1277" s="1">
        <f>MIN(1,MAX(0,J1277+方案参数!$AB$38-配置与结果!$B$27))</f>
        <v>0.76</v>
      </c>
      <c r="AK1277" s="1">
        <f>MAX(1,K1277+IF(F1277=2,0.15+方案参数!$CH$38,0)+BN1277*方案参数!$X$38+R1277*方案参数!$AA$38+0-配置与结果!$B$26+Z1277*(方案参数!$AP$38+MIN(方案参数!$AQ$38,P1277*0.03)))</f>
        <v>2.3980000000000001</v>
      </c>
      <c r="AL1277" s="7">
        <f>ROUNDDOWN(MAX(AD1277*配置与结果!$B$31,AD1277-AE1277)*AF1277*AG1277*AH1277*AI1277,0)</f>
        <v>5810</v>
      </c>
      <c r="AM1277" s="7">
        <f>ROUNDDOWN(MAX(AD1277*配置与结果!$B$31,AD1277-AE1277)*AF1277*AG1277*AH1277*AI1277*AK1277,0)</f>
        <v>13934</v>
      </c>
      <c r="AN1277" s="7">
        <f t="shared" si="1720"/>
        <v>11984.24</v>
      </c>
      <c r="AO1277" s="7">
        <f>方案参数!$BW$38</f>
        <v>1</v>
      </c>
      <c r="AP1277" s="7">
        <f>MAX(0,1+INDEX(配置与结果!$J$15:$J$18,F1277)+IF(T1277&gt;0,方案参数!$BY$38,0)-配置与结果!$B$30)</f>
        <v>1</v>
      </c>
      <c r="AQ1277" s="7">
        <f t="shared" si="1721"/>
        <v>2544</v>
      </c>
      <c r="AR1277" s="7">
        <f t="shared" si="1722"/>
        <v>6100</v>
      </c>
      <c r="AS1277" s="7">
        <f t="shared" si="1723"/>
        <v>5246.5599999999995</v>
      </c>
      <c r="AT1277" s="7">
        <f>0</f>
        <v>0</v>
      </c>
      <c r="AU1277" s="7">
        <f t="shared" si="1724"/>
        <v>17230.8</v>
      </c>
      <c r="AV1277" s="1">
        <f t="shared" si="1725"/>
        <v>1</v>
      </c>
      <c r="AW1277" s="1">
        <f t="shared" si="1801"/>
        <v>8</v>
      </c>
      <c r="AX1277" s="1">
        <f t="shared" si="1726"/>
        <v>0</v>
      </c>
      <c r="AY1277" s="1">
        <f t="shared" si="1795"/>
        <v>6</v>
      </c>
      <c r="AZ1277" s="1">
        <f t="shared" si="1727"/>
        <v>5</v>
      </c>
      <c r="BA1277" s="1">
        <f>MIN(6,Q1277+0)</f>
        <v>3</v>
      </c>
      <c r="BB1277" s="1">
        <f t="shared" si="1788"/>
        <v>5</v>
      </c>
      <c r="BC1277" s="1">
        <f t="shared" si="1802"/>
        <v>2</v>
      </c>
      <c r="BD1277" s="1">
        <f t="shared" si="1796"/>
        <v>0</v>
      </c>
      <c r="BE1277" s="1">
        <f t="shared" si="1789"/>
        <v>0</v>
      </c>
      <c r="BF1277" s="1">
        <f>MIN(4,V1277+1)</f>
        <v>2</v>
      </c>
      <c r="BG1277" s="1">
        <f t="shared" si="1793"/>
        <v>1</v>
      </c>
      <c r="BH1277" s="1">
        <f t="shared" si="1790"/>
        <v>1</v>
      </c>
      <c r="BI1277" s="1">
        <f t="shared" si="1794"/>
        <v>1</v>
      </c>
      <c r="BJ1277" s="1">
        <f t="shared" si="1800"/>
        <v>1</v>
      </c>
      <c r="BK1277" s="1">
        <f t="shared" si="1800"/>
        <v>1</v>
      </c>
      <c r="BL1277" s="1">
        <f t="shared" si="1770"/>
        <v>0</v>
      </c>
      <c r="BM1277" s="1">
        <f t="shared" si="1768"/>
        <v>0</v>
      </c>
      <c r="BN1277" s="1">
        <f t="shared" si="1791"/>
        <v>1</v>
      </c>
      <c r="BO1277" s="1">
        <f t="shared" si="1792"/>
        <v>1</v>
      </c>
    </row>
    <row r="1278" spans="1:67" ht="30.95" customHeight="1">
      <c r="A1278" s="1">
        <f>35</f>
        <v>35</v>
      </c>
      <c r="B1278" s="1">
        <f>固定流程!A18</f>
        <v>13</v>
      </c>
      <c r="C1278" s="1">
        <f>38</f>
        <v>38</v>
      </c>
      <c r="D1278" s="1">
        <f>1</f>
        <v>1</v>
      </c>
      <c r="E1278" s="1">
        <f>固定流程!C18</f>
        <v>2</v>
      </c>
      <c r="F1278" s="1">
        <f>固定流程!G18</f>
        <v>3</v>
      </c>
      <c r="G1278" s="1" t="str">
        <f>固定流程!H18</f>
        <v>RHI_BERRY</v>
      </c>
      <c r="H1278" s="1">
        <f>固定流程!F18</f>
        <v>1</v>
      </c>
      <c r="I1278" s="1">
        <f>INDEX(配置与结果!$B$15:$B$18,F1278)</f>
        <v>2597</v>
      </c>
      <c r="J1278" s="1">
        <f>INDEX(配置与结果!$D$15:$D$18,F1278)</f>
        <v>0.255</v>
      </c>
      <c r="K1278" s="1">
        <f>INDEX(配置与结果!$E$15:$E$18,F1278)</f>
        <v>1.55</v>
      </c>
      <c r="L1278" s="1">
        <f t="shared" si="1798"/>
        <v>1</v>
      </c>
      <c r="M1278" s="1">
        <f t="shared" si="1798"/>
        <v>8</v>
      </c>
      <c r="N1278" s="1">
        <f t="shared" si="1798"/>
        <v>0</v>
      </c>
      <c r="O1278" s="1">
        <f t="shared" si="1797"/>
        <v>6</v>
      </c>
      <c r="P1278" s="1">
        <f>MIN(方案参数!$AI$38,AZ1277+0+0)</f>
        <v>5</v>
      </c>
      <c r="Q1278" s="1">
        <f t="shared" si="1775"/>
        <v>3</v>
      </c>
      <c r="R1278" s="1">
        <f t="shared" si="1776"/>
        <v>5</v>
      </c>
      <c r="S1278" s="1">
        <f t="shared" si="1777"/>
        <v>2</v>
      </c>
      <c r="T1278" s="1">
        <f t="shared" si="1778"/>
        <v>0</v>
      </c>
      <c r="U1278" s="1">
        <f t="shared" si="1779"/>
        <v>0</v>
      </c>
      <c r="V1278" s="1">
        <f t="shared" si="1780"/>
        <v>2</v>
      </c>
      <c r="W1278" s="1">
        <f t="shared" si="1781"/>
        <v>1</v>
      </c>
      <c r="X1278" s="1">
        <f t="shared" si="1782"/>
        <v>1</v>
      </c>
      <c r="Y1278" s="1">
        <f t="shared" si="1783"/>
        <v>1</v>
      </c>
      <c r="Z1278" s="1">
        <f t="shared" si="1784"/>
        <v>1</v>
      </c>
      <c r="AA1278" s="1">
        <f t="shared" si="1799"/>
        <v>1</v>
      </c>
      <c r="AB1278" s="1">
        <f t="shared" si="1786"/>
        <v>0</v>
      </c>
      <c r="AC1278" s="1">
        <f t="shared" si="1787"/>
        <v>0</v>
      </c>
      <c r="AD1278" s="1">
        <f>ROUNDDOWN(I1278*(1+IF(F1278=3,0.05+方案参数!$Y$38+AA1278*0.12,IF(F1278=4,方案参数!$BZ$38*方案参数!$AS$38,0)))+IF(AND(X1278=1,F1278&lt;&gt;3),方案参数!$CC$38,0)+AC1278*方案参数!$CB$38,0)</f>
        <v>3298</v>
      </c>
      <c r="AE1278" s="1">
        <f>IF(OR(F1278=1,F1278=4),配置与结果!$B$24,配置与结果!$B$25)*MAX(0,1-INDEX(配置与结果!$I$15:$I$18,F1278))</f>
        <v>1000</v>
      </c>
      <c r="AF1278" s="1">
        <f>方案参数!$CF$38+P1278*方案参数!$CG$38</f>
        <v>22.5</v>
      </c>
      <c r="AG1278" s="1">
        <f>MAX(配置与结果!$B$32,1+INDEX(配置与结果!$F$15:$F$18,F1278)+0+Q1278*方案参数!$W$38+Y1278*(方案参数!$AN$38+MIN(方案参数!$AO$38,P1278*0.03))+AB1278*方案参数!$BZ$38*0.025-配置与结果!$B$28)</f>
        <v>0.995</v>
      </c>
      <c r="AH1278" s="1">
        <f>MAX(0,1+INDEX(配置与结果!$G$15:$G$18,F1278)+W1278*方案参数!$AG$38)</f>
        <v>1.3</v>
      </c>
      <c r="AI1278" s="1">
        <f>IF(OR(INDEX(配置与结果!$K$15:$K$18,F1278)=1,G1278="RHI_BERRY"),1+配置与结果!$B$33+P1278*方案参数!$AH$38,1)</f>
        <v>1.5</v>
      </c>
      <c r="AJ1278" s="1">
        <f>MIN(1,MAX(0,J1278+方案参数!$AB$38-配置与结果!$B$27))</f>
        <v>0.55499999999999994</v>
      </c>
      <c r="AK1278" s="1">
        <f>MAX(1,K1278+IF(F1278=2,0.15+方案参数!$CH$38,0)+BN1278*方案参数!$X$38+R1278*方案参数!$AA$38+0-配置与结果!$B$26+Z1278*(方案参数!$AP$38+MIN(方案参数!$AQ$38,P1278*0.03)))</f>
        <v>1.6300000000000001</v>
      </c>
      <c r="AL1278" s="7">
        <f>ROUNDDOWN(MAX(AD1278*配置与结果!$B$31,AD1278-AE1278)*AF1278*AG1278*AH1278*AI1278,0)</f>
        <v>100320</v>
      </c>
      <c r="AM1278" s="7">
        <f>ROUNDDOWN(MAX(AD1278*配置与结果!$B$31,AD1278-AE1278)*AF1278*AG1278*AH1278*AI1278*AK1278,0)</f>
        <v>163522</v>
      </c>
      <c r="AN1278" s="7">
        <f t="shared" si="1720"/>
        <v>135397.10999999999</v>
      </c>
      <c r="AO1278" s="7">
        <f>0</f>
        <v>0</v>
      </c>
      <c r="AP1278" s="7">
        <f>MAX(0,1+INDEX(配置与结果!$J$15:$J$18,F1278)+IF(T1278&gt;0,方案参数!$BY$38,0)-配置与结果!$B$30)</f>
        <v>1</v>
      </c>
      <c r="AQ1278" s="7">
        <f t="shared" si="1721"/>
        <v>0</v>
      </c>
      <c r="AR1278" s="7">
        <f t="shared" si="1722"/>
        <v>0</v>
      </c>
      <c r="AS1278" s="7">
        <f t="shared" si="1723"/>
        <v>0</v>
      </c>
      <c r="AT1278" s="7">
        <f>0</f>
        <v>0</v>
      </c>
      <c r="AU1278" s="7">
        <f t="shared" si="1724"/>
        <v>135397.10999999999</v>
      </c>
      <c r="AV1278" s="1">
        <f t="shared" si="1725"/>
        <v>1</v>
      </c>
      <c r="AW1278" s="1">
        <f t="shared" si="1801"/>
        <v>8</v>
      </c>
      <c r="AX1278" s="1">
        <f t="shared" si="1726"/>
        <v>0</v>
      </c>
      <c r="AY1278" s="1">
        <f t="shared" si="1795"/>
        <v>6</v>
      </c>
      <c r="AZ1278" s="1">
        <f t="shared" si="1727"/>
        <v>5</v>
      </c>
      <c r="BA1278" s="1">
        <f>MIN(6,Q1278+0)</f>
        <v>3</v>
      </c>
      <c r="BB1278" s="1">
        <f t="shared" si="1788"/>
        <v>5</v>
      </c>
      <c r="BC1278" s="1">
        <f t="shared" si="1802"/>
        <v>2</v>
      </c>
      <c r="BD1278" s="1">
        <f t="shared" si="1796"/>
        <v>0</v>
      </c>
      <c r="BE1278" s="1">
        <f t="shared" si="1789"/>
        <v>0</v>
      </c>
      <c r="BF1278" s="1">
        <f>MIN(4,V1278+0)</f>
        <v>2</v>
      </c>
      <c r="BG1278" s="1">
        <f t="shared" si="1793"/>
        <v>1</v>
      </c>
      <c r="BH1278" s="1">
        <f t="shared" si="1790"/>
        <v>1</v>
      </c>
      <c r="BI1278" s="1">
        <f t="shared" si="1794"/>
        <v>1</v>
      </c>
      <c r="BJ1278" s="1">
        <f t="shared" si="1800"/>
        <v>1</v>
      </c>
      <c r="BK1278" s="1">
        <f t="shared" si="1800"/>
        <v>1</v>
      </c>
      <c r="BL1278" s="1">
        <f t="shared" si="1770"/>
        <v>0</v>
      </c>
      <c r="BM1278" s="1">
        <f t="shared" si="1768"/>
        <v>0</v>
      </c>
      <c r="BN1278" s="1">
        <f t="shared" si="1791"/>
        <v>1</v>
      </c>
      <c r="BO1278" s="1">
        <f t="shared" si="1792"/>
        <v>1</v>
      </c>
    </row>
    <row r="1279" spans="1:67" ht="30.95" customHeight="1">
      <c r="A1279" s="1">
        <f>35</f>
        <v>35</v>
      </c>
      <c r="B1279" s="1">
        <f>固定流程!A19</f>
        <v>14</v>
      </c>
      <c r="C1279" s="1">
        <f>38</f>
        <v>38</v>
      </c>
      <c r="D1279" s="1">
        <f>1</f>
        <v>1</v>
      </c>
      <c r="E1279" s="1">
        <f>固定流程!C19</f>
        <v>3</v>
      </c>
      <c r="F1279" s="1">
        <f>固定流程!G19</f>
        <v>3</v>
      </c>
      <c r="G1279" s="1" t="str">
        <f>固定流程!H19</f>
        <v>RHI_BUFF</v>
      </c>
      <c r="H1279" s="1">
        <f>固定流程!F19</f>
        <v>1</v>
      </c>
      <c r="I1279" s="1">
        <f>INDEX(配置与结果!$B$15:$B$18,F1279)</f>
        <v>2597</v>
      </c>
      <c r="J1279" s="1">
        <f>INDEX(配置与结果!$D$15:$D$18,F1279)</f>
        <v>0.255</v>
      </c>
      <c r="K1279" s="1">
        <f>INDEX(配置与结果!$E$15:$E$18,F1279)</f>
        <v>1.55</v>
      </c>
      <c r="L1279" s="1">
        <f>IF(AV1278=1,IF(M1279&gt;=10,2,1),IF(AV1278=2,IF(AX1278&lt;=1,0,2),0))</f>
        <v>2</v>
      </c>
      <c r="M1279" s="1">
        <f>IF(AND(AV1278=2,AX1278&lt;=1),0,MIN(10,AW1278+IF(AV1278=1,3,0)))</f>
        <v>10</v>
      </c>
      <c r="N1279" s="1">
        <f>IF(AND(AV1278=1,M1279&gt;=10),2,IF(AV1278=2,MAX(0,AX1278-1),0))</f>
        <v>2</v>
      </c>
      <c r="O1279" s="1">
        <f t="shared" si="1797"/>
        <v>6</v>
      </c>
      <c r="P1279" s="1">
        <f>MIN(方案参数!$AI$38,AZ1278+方案参数!$AJ$38+方案参数!$AK$38)</f>
        <v>5</v>
      </c>
      <c r="Q1279" s="1">
        <f t="shared" si="1775"/>
        <v>3</v>
      </c>
      <c r="R1279" s="1">
        <f t="shared" si="1776"/>
        <v>5</v>
      </c>
      <c r="S1279" s="1">
        <f t="shared" si="1777"/>
        <v>2</v>
      </c>
      <c r="T1279" s="1">
        <f t="shared" si="1778"/>
        <v>0</v>
      </c>
      <c r="U1279" s="1">
        <f t="shared" si="1779"/>
        <v>0</v>
      </c>
      <c r="V1279" s="1">
        <f t="shared" si="1780"/>
        <v>2</v>
      </c>
      <c r="W1279" s="1">
        <f t="shared" si="1781"/>
        <v>1</v>
      </c>
      <c r="X1279" s="1">
        <f t="shared" si="1782"/>
        <v>1</v>
      </c>
      <c r="Y1279" s="1">
        <f t="shared" si="1783"/>
        <v>1</v>
      </c>
      <c r="Z1279" s="1">
        <f t="shared" si="1784"/>
        <v>1</v>
      </c>
      <c r="AA1279" s="1">
        <f t="shared" si="1799"/>
        <v>1</v>
      </c>
      <c r="AB1279" s="1">
        <f t="shared" si="1786"/>
        <v>0</v>
      </c>
      <c r="AC1279" s="1">
        <f t="shared" si="1787"/>
        <v>0</v>
      </c>
      <c r="AD1279" s="1">
        <f>ROUNDDOWN(I1279*(1+IF(F1279=3,0.05+方案参数!$Y$38+AA1279*0.12,IF(F1279=4,方案参数!$BZ$38*方案参数!$AS$38,0)))+IF(AND(X1279=1,F1279&lt;&gt;3),方案参数!$CC$38,0)+AC1279*方案参数!$CB$38,0)</f>
        <v>3298</v>
      </c>
      <c r="AE1279" s="1">
        <f>IF(OR(F1279=1,F1279=4),配置与结果!$B$24,配置与结果!$B$25)*MAX(0,1-INDEX(配置与结果!$I$15:$I$18,F1279))</f>
        <v>1000</v>
      </c>
      <c r="AF1279" s="1">
        <f>0</f>
        <v>0</v>
      </c>
      <c r="AG1279" s="1">
        <f>MAX(配置与结果!$B$32,1+INDEX(配置与结果!$F$15:$F$18,F1279)+0+Q1279*方案参数!$W$38+Y1279*(方案参数!$AN$38+MIN(方案参数!$AO$38,P1279*0.03))+AB1279*方案参数!$BZ$38*0.025-配置与结果!$B$28)</f>
        <v>0.995</v>
      </c>
      <c r="AH1279" s="1">
        <f>MAX(0,1+INDEX(配置与结果!$G$15:$G$18,F1279)+W1279*方案参数!$AG$38)</f>
        <v>1.3</v>
      </c>
      <c r="AI1279" s="1">
        <f>IF(OR(INDEX(配置与结果!$K$15:$K$18,F1279)=1,G1279="RHI_BERRY"),1+配置与结果!$B$33+P1279*方案参数!$AH$38,1)</f>
        <v>1</v>
      </c>
      <c r="AJ1279" s="1">
        <f>MIN(1,MAX(0,J1279+方案参数!$AB$38-配置与结果!$B$27))</f>
        <v>0.55499999999999994</v>
      </c>
      <c r="AK1279" s="1">
        <f>MAX(1,K1279+IF(F1279=2,0.15+方案参数!$CH$38,0)+BN1279*方案参数!$X$38+R1279*方案参数!$AA$38+0-配置与结果!$B$26+Z1279*(方案参数!$AP$38+MIN(方案参数!$AQ$38,P1279*0.03)))</f>
        <v>1.6300000000000001</v>
      </c>
      <c r="AL1279" s="7">
        <f>ROUNDDOWN(MAX(AD1279*配置与结果!$B$31,AD1279-AE1279)*AF1279*AG1279*AH1279*AI1279,0)</f>
        <v>0</v>
      </c>
      <c r="AM1279" s="7">
        <f>ROUNDDOWN(MAX(AD1279*配置与结果!$B$31,AD1279-AE1279)*AF1279*AG1279*AH1279*AI1279*AK1279,0)</f>
        <v>0</v>
      </c>
      <c r="AN1279" s="7">
        <f t="shared" si="1720"/>
        <v>0</v>
      </c>
      <c r="AO1279" s="7">
        <f>0</f>
        <v>0</v>
      </c>
      <c r="AP1279" s="7">
        <f>MAX(0,1+INDEX(配置与结果!$J$15:$J$18,F1279)+IF(T1279&gt;0,方案参数!$BY$38,0)-配置与结果!$B$30)</f>
        <v>1</v>
      </c>
      <c r="AQ1279" s="7">
        <f t="shared" si="1721"/>
        <v>0</v>
      </c>
      <c r="AR1279" s="7">
        <f t="shared" si="1722"/>
        <v>0</v>
      </c>
      <c r="AS1279" s="7">
        <f t="shared" si="1723"/>
        <v>0</v>
      </c>
      <c r="AT1279" s="7">
        <f>0</f>
        <v>0</v>
      </c>
      <c r="AU1279" s="7">
        <f t="shared" si="1724"/>
        <v>0</v>
      </c>
      <c r="AV1279" s="1">
        <f t="shared" si="1725"/>
        <v>2</v>
      </c>
      <c r="AW1279" s="1">
        <f t="shared" si="1801"/>
        <v>10</v>
      </c>
      <c r="AX1279" s="1">
        <f t="shared" si="1726"/>
        <v>2</v>
      </c>
      <c r="AY1279" s="1">
        <f t="shared" si="1795"/>
        <v>6</v>
      </c>
      <c r="AZ1279" s="1">
        <f t="shared" si="1727"/>
        <v>5</v>
      </c>
      <c r="BA1279" s="1">
        <f>MIN(6,Q1279+1)</f>
        <v>4</v>
      </c>
      <c r="BB1279" s="1">
        <f t="shared" si="1788"/>
        <v>5</v>
      </c>
      <c r="BC1279" s="1">
        <f t="shared" si="1802"/>
        <v>2</v>
      </c>
      <c r="BD1279" s="1">
        <f t="shared" si="1796"/>
        <v>0</v>
      </c>
      <c r="BE1279" s="1">
        <f t="shared" si="1789"/>
        <v>0</v>
      </c>
      <c r="BF1279" s="1">
        <f>MIN(4,V1279+0)</f>
        <v>2</v>
      </c>
      <c r="BG1279" s="1">
        <f>MAX(W1279,1)</f>
        <v>1</v>
      </c>
      <c r="BH1279" s="1">
        <f t="shared" si="1790"/>
        <v>1</v>
      </c>
      <c r="BI1279" s="1">
        <f>MAX(Y1279,1)</f>
        <v>1</v>
      </c>
      <c r="BJ1279" s="1">
        <f t="shared" si="1800"/>
        <v>1</v>
      </c>
      <c r="BK1279" s="1">
        <f t="shared" si="1800"/>
        <v>1</v>
      </c>
      <c r="BL1279" s="1">
        <f t="shared" si="1770"/>
        <v>0</v>
      </c>
      <c r="BM1279" s="1">
        <f t="shared" si="1768"/>
        <v>0</v>
      </c>
      <c r="BN1279" s="1">
        <f t="shared" si="1791"/>
        <v>1</v>
      </c>
      <c r="BO1279" s="1">
        <f t="shared" si="1792"/>
        <v>1</v>
      </c>
    </row>
    <row r="1280" spans="1:67" ht="30.95" customHeight="1">
      <c r="A1280" s="1">
        <f>35</f>
        <v>35</v>
      </c>
      <c r="B1280" s="1">
        <f>固定流程!A20</f>
        <v>15</v>
      </c>
      <c r="C1280" s="1">
        <f>38</f>
        <v>38</v>
      </c>
      <c r="D1280" s="1">
        <f>1</f>
        <v>1</v>
      </c>
      <c r="E1280" s="1">
        <f>固定流程!C20</f>
        <v>3</v>
      </c>
      <c r="F1280" s="1">
        <f>固定流程!G20</f>
        <v>3</v>
      </c>
      <c r="G1280" s="1" t="str">
        <f>固定流程!H20</f>
        <v>RHI_ATTACK</v>
      </c>
      <c r="H1280" s="1">
        <f>固定流程!F20</f>
        <v>1</v>
      </c>
      <c r="I1280" s="1">
        <f>INDEX(配置与结果!$B$15:$B$18,F1280)</f>
        <v>2597</v>
      </c>
      <c r="J1280" s="1">
        <f>INDEX(配置与结果!$D$15:$D$18,F1280)</f>
        <v>0.255</v>
      </c>
      <c r="K1280" s="1">
        <f>INDEX(配置与结果!$E$15:$E$18,F1280)</f>
        <v>1.55</v>
      </c>
      <c r="L1280" s="1">
        <f t="shared" ref="L1280:L1301" si="1803">AV1279</f>
        <v>2</v>
      </c>
      <c r="M1280" s="1">
        <f t="shared" ref="M1280:M1301" si="1804">AW1279</f>
        <v>10</v>
      </c>
      <c r="N1280" s="1">
        <f t="shared" ref="N1280:N1301" si="1805">AX1279</f>
        <v>2</v>
      </c>
      <c r="O1280" s="1">
        <f t="shared" si="1797"/>
        <v>6</v>
      </c>
      <c r="P1280" s="1">
        <f>MIN(方案参数!$AI$38,AZ1279+0+方案参数!$AK$38)</f>
        <v>5</v>
      </c>
      <c r="Q1280" s="1">
        <f t="shared" si="1775"/>
        <v>4</v>
      </c>
      <c r="R1280" s="1">
        <f t="shared" si="1776"/>
        <v>5</v>
      </c>
      <c r="S1280" s="1">
        <f t="shared" si="1777"/>
        <v>2</v>
      </c>
      <c r="T1280" s="1">
        <f t="shared" si="1778"/>
        <v>0</v>
      </c>
      <c r="U1280" s="1">
        <f t="shared" si="1779"/>
        <v>0</v>
      </c>
      <c r="V1280" s="1">
        <f t="shared" si="1780"/>
        <v>2</v>
      </c>
      <c r="W1280" s="1">
        <f t="shared" si="1781"/>
        <v>1</v>
      </c>
      <c r="X1280" s="1">
        <f t="shared" si="1782"/>
        <v>1</v>
      </c>
      <c r="Y1280" s="1">
        <f t="shared" si="1783"/>
        <v>1</v>
      </c>
      <c r="Z1280" s="1">
        <f t="shared" si="1784"/>
        <v>1</v>
      </c>
      <c r="AA1280" s="1">
        <f>MAX(BK1279,1)</f>
        <v>1</v>
      </c>
      <c r="AB1280" s="1">
        <f t="shared" si="1786"/>
        <v>0</v>
      </c>
      <c r="AC1280" s="1">
        <f t="shared" si="1787"/>
        <v>0</v>
      </c>
      <c r="AD1280" s="1">
        <f>ROUNDDOWN(I1280*(1+IF(F1280=3,0.05+方案参数!$Y$38+AA1280*0.12,IF(F1280=4,方案参数!$BZ$38*方案参数!$AS$38,0)))+IF(AND(X1280=1,F1280&lt;&gt;3),方案参数!$CC$38,0)+AC1280*方案参数!$CB$38,0)</f>
        <v>3298</v>
      </c>
      <c r="AE1280" s="1">
        <f>IF(OR(F1280=1,F1280=4),配置与结果!$B$24,配置与结果!$B$25)*MAX(0,1-INDEX(配置与结果!$I$15:$I$18,F1280))</f>
        <v>1000</v>
      </c>
      <c r="AF1280" s="1">
        <f>4</f>
        <v>4</v>
      </c>
      <c r="AG1280" s="1">
        <f>MAX(配置与结果!$B$32,1+INDEX(配置与结果!$F$15:$F$18,F1280)+0+Q1280*方案参数!$W$38+Y1280*(方案参数!$AN$38+MIN(方案参数!$AO$38,P1280*0.03))+AB1280*方案参数!$BZ$38*0.025-配置与结果!$B$28)</f>
        <v>1.0150000000000001</v>
      </c>
      <c r="AH1280" s="1">
        <f>MAX(0,1+INDEX(配置与结果!$G$15:$G$18,F1280)+W1280*方案参数!$AG$38)</f>
        <v>1.3</v>
      </c>
      <c r="AI1280" s="1">
        <f>IF(OR(INDEX(配置与结果!$K$15:$K$18,F1280)=1,G1280="RHI_BERRY"),1+配置与结果!$B$33+P1280*方案参数!$AH$38,1)</f>
        <v>1</v>
      </c>
      <c r="AJ1280" s="1">
        <f>MIN(1,MAX(0,J1280+方案参数!$AB$38-配置与结果!$B$27))</f>
        <v>0.55499999999999994</v>
      </c>
      <c r="AK1280" s="1">
        <f>MAX(1,K1280+IF(F1280=2,0.15+方案参数!$CH$38,0)+BN1280*方案参数!$X$38+R1280*方案参数!$AA$38+0-配置与结果!$B$26+Z1280*(方案参数!$AP$38+MIN(方案参数!$AQ$38,P1280*0.03)))</f>
        <v>1.6300000000000001</v>
      </c>
      <c r="AL1280" s="7">
        <f>ROUNDDOWN(MAX(AD1280*配置与结果!$B$31,AD1280-AE1280)*AF1280*AG1280*AH1280*AI1280,0)</f>
        <v>12128</v>
      </c>
      <c r="AM1280" s="7">
        <f>ROUNDDOWN(MAX(AD1280*配置与结果!$B$31,AD1280-AE1280)*AF1280*AG1280*AH1280*AI1280*AK1280,0)</f>
        <v>19770</v>
      </c>
      <c r="AN1280" s="7">
        <f t="shared" si="1720"/>
        <v>16369.31</v>
      </c>
      <c r="AO1280" s="7">
        <f>0</f>
        <v>0</v>
      </c>
      <c r="AP1280" s="7">
        <f>MAX(0,1+INDEX(配置与结果!$J$15:$J$18,F1280)+IF(T1280&gt;0,方案参数!$BY$38,0)-配置与结果!$B$30)</f>
        <v>1</v>
      </c>
      <c r="AQ1280" s="7">
        <f t="shared" si="1721"/>
        <v>0</v>
      </c>
      <c r="AR1280" s="7">
        <f t="shared" si="1722"/>
        <v>0</v>
      </c>
      <c r="AS1280" s="7">
        <f t="shared" si="1723"/>
        <v>0</v>
      </c>
      <c r="AT1280" s="7">
        <f>0</f>
        <v>0</v>
      </c>
      <c r="AU1280" s="7">
        <f t="shared" si="1724"/>
        <v>16369.31</v>
      </c>
      <c r="AV1280" s="1">
        <f t="shared" si="1725"/>
        <v>2</v>
      </c>
      <c r="AW1280" s="1">
        <f t="shared" si="1801"/>
        <v>10</v>
      </c>
      <c r="AX1280" s="1">
        <f t="shared" si="1726"/>
        <v>2</v>
      </c>
      <c r="AY1280" s="1">
        <f t="shared" si="1795"/>
        <v>6</v>
      </c>
      <c r="AZ1280" s="1">
        <f t="shared" si="1727"/>
        <v>5</v>
      </c>
      <c r="BA1280" s="1">
        <f>MIN(6,Q1280+1)</f>
        <v>5</v>
      </c>
      <c r="BB1280" s="1">
        <f t="shared" si="1788"/>
        <v>5</v>
      </c>
      <c r="BC1280" s="1">
        <f t="shared" si="1802"/>
        <v>2</v>
      </c>
      <c r="BD1280" s="1">
        <f t="shared" si="1796"/>
        <v>0</v>
      </c>
      <c r="BE1280" s="1">
        <f t="shared" si="1789"/>
        <v>0</v>
      </c>
      <c r="BF1280" s="1">
        <f>MIN(4,V1280+0)</f>
        <v>2</v>
      </c>
      <c r="BG1280" s="1">
        <f t="shared" ref="BG1280:BG1302" si="1806">MAX(W1280,0)</f>
        <v>1</v>
      </c>
      <c r="BH1280" s="1">
        <f t="shared" si="1790"/>
        <v>1</v>
      </c>
      <c r="BI1280" s="1">
        <f t="shared" ref="BI1280:BI1302" si="1807">MAX(Y1280,0)</f>
        <v>1</v>
      </c>
      <c r="BJ1280" s="1">
        <f>MAX(Z1280,1)</f>
        <v>1</v>
      </c>
      <c r="BK1280" s="1">
        <f>MAX(AA1280,1)</f>
        <v>1</v>
      </c>
      <c r="BL1280" s="1">
        <f t="shared" si="1770"/>
        <v>0</v>
      </c>
      <c r="BM1280" s="1">
        <f t="shared" si="1768"/>
        <v>0</v>
      </c>
      <c r="BN1280" s="1">
        <f t="shared" si="1791"/>
        <v>1</v>
      </c>
      <c r="BO1280" s="1">
        <f t="shared" si="1792"/>
        <v>1</v>
      </c>
    </row>
    <row r="1281" spans="1:67" ht="30.95" customHeight="1">
      <c r="A1281" s="1">
        <f>35</f>
        <v>35</v>
      </c>
      <c r="B1281" s="1">
        <f>固定流程!A21</f>
        <v>16</v>
      </c>
      <c r="C1281" s="1">
        <f>38</f>
        <v>38</v>
      </c>
      <c r="D1281" s="1">
        <f>1</f>
        <v>1</v>
      </c>
      <c r="E1281" s="1">
        <f>固定流程!C21</f>
        <v>3</v>
      </c>
      <c r="F1281" s="1">
        <f>固定流程!G21</f>
        <v>2</v>
      </c>
      <c r="G1281" s="1" t="str">
        <f>固定流程!H21</f>
        <v>37_ULT</v>
      </c>
      <c r="H1281" s="1">
        <f>固定流程!F21</f>
        <v>1</v>
      </c>
      <c r="I1281" s="1">
        <f>INDEX(配置与结果!$B$15:$B$18,F1281)</f>
        <v>2306</v>
      </c>
      <c r="J1281" s="1">
        <f>INDEX(配置与结果!$D$15:$D$18,F1281)</f>
        <v>0.46</v>
      </c>
      <c r="K1281" s="1">
        <f>INDEX(配置与结果!$E$15:$E$18,F1281)</f>
        <v>1.9279999999999999</v>
      </c>
      <c r="L1281" s="1">
        <f t="shared" si="1803"/>
        <v>2</v>
      </c>
      <c r="M1281" s="1">
        <f t="shared" si="1804"/>
        <v>10</v>
      </c>
      <c r="N1281" s="1">
        <f t="shared" si="1805"/>
        <v>2</v>
      </c>
      <c r="O1281" s="1">
        <f t="shared" si="1797"/>
        <v>6</v>
      </c>
      <c r="P1281" s="1">
        <f>MIN(方案参数!$AI$38,AZ1280+0+0)</f>
        <v>5</v>
      </c>
      <c r="Q1281" s="1">
        <f t="shared" si="1775"/>
        <v>5</v>
      </c>
      <c r="R1281" s="1">
        <f t="shared" si="1776"/>
        <v>5</v>
      </c>
      <c r="S1281" s="1">
        <f t="shared" si="1777"/>
        <v>2</v>
      </c>
      <c r="T1281" s="1">
        <f>BD1280+方案参数!$BX$38</f>
        <v>2</v>
      </c>
      <c r="U1281" s="1">
        <f t="shared" si="1779"/>
        <v>0</v>
      </c>
      <c r="V1281" s="1">
        <f t="shared" si="1780"/>
        <v>2</v>
      </c>
      <c r="W1281" s="1">
        <f t="shared" si="1781"/>
        <v>1</v>
      </c>
      <c r="X1281" s="1">
        <f t="shared" si="1782"/>
        <v>1</v>
      </c>
      <c r="Y1281" s="1">
        <f t="shared" si="1783"/>
        <v>1</v>
      </c>
      <c r="Z1281" s="1">
        <f t="shared" si="1784"/>
        <v>1</v>
      </c>
      <c r="AA1281" s="1">
        <f t="shared" ref="AA1281:AA1301" si="1808">MAX(BK1280,0)</f>
        <v>1</v>
      </c>
      <c r="AB1281" s="1">
        <f t="shared" si="1786"/>
        <v>0</v>
      </c>
      <c r="AC1281" s="1">
        <f>MAX(BM1280,1)</f>
        <v>1</v>
      </c>
      <c r="AD1281" s="1">
        <f>ROUNDDOWN(I1281*(1+IF(F1281=3,0.05+方案参数!$Y$38+AA1281*0.12,IF(F1281=4,方案参数!$BZ$38*方案参数!$AS$38,0)))+IF(AND(X1281=1,F1281&lt;&gt;3),方案参数!$CC$38,0)+AC1281*方案参数!$CB$38,0)</f>
        <v>3044</v>
      </c>
      <c r="AE1281" s="1">
        <f>IF(OR(F1281=1,F1281=4),配置与结果!$B$24,配置与结果!$B$25)*MAX(0,1-INDEX(配置与结果!$I$15:$I$18,F1281))</f>
        <v>1000</v>
      </c>
      <c r="AF1281" s="1">
        <f>0</f>
        <v>0</v>
      </c>
      <c r="AG1281" s="1">
        <f>MAX(配置与结果!$B$32,1+INDEX(配置与结果!$F$15:$F$18,F1281)+0+Q1281*方案参数!$W$38+Y1281*(方案参数!$AN$38+MIN(方案参数!$AO$38,P1281*0.03))+AB1281*方案参数!$BZ$38*0.025-配置与结果!$B$28)</f>
        <v>1.0049999999999999</v>
      </c>
      <c r="AH1281" s="1">
        <f>MAX(0,1+INDEX(配置与结果!$G$15:$G$18,F1281)+W1281*方案参数!$AG$38)</f>
        <v>1.3</v>
      </c>
      <c r="AI1281" s="1">
        <f>IF(OR(INDEX(配置与结果!$K$15:$K$18,F1281)=1,G1281="RHI_BERRY"),1+配置与结果!$B$33+P1281*方案参数!$AH$38,1)</f>
        <v>1</v>
      </c>
      <c r="AJ1281" s="1">
        <f>MIN(1,MAX(0,J1281+方案参数!$AB$38-配置与结果!$B$27))</f>
        <v>0.76</v>
      </c>
      <c r="AK1281" s="1">
        <f>MAX(1,K1281+IF(F1281=2,0.15+方案参数!$CH$38,0)+BN1281*方案参数!$X$38+R1281*方案参数!$AA$38+0-配置与结果!$B$26+Z1281*(方案参数!$AP$38+MIN(方案参数!$AQ$38,P1281*0.03)))</f>
        <v>2.3980000000000001</v>
      </c>
      <c r="AL1281" s="7">
        <f>ROUNDDOWN(MAX(AD1281*配置与结果!$B$31,AD1281-AE1281)*AF1281*AG1281*AH1281*AI1281,0)</f>
        <v>0</v>
      </c>
      <c r="AM1281" s="7">
        <f>ROUNDDOWN(MAX(AD1281*配置与结果!$B$31,AD1281-AE1281)*AF1281*AG1281*AH1281*AI1281*AK1281,0)</f>
        <v>0</v>
      </c>
      <c r="AN1281" s="7">
        <f t="shared" si="1720"/>
        <v>0</v>
      </c>
      <c r="AO1281" s="7">
        <f>0</f>
        <v>0</v>
      </c>
      <c r="AP1281" s="7">
        <f>MAX(0,1+INDEX(配置与结果!$J$15:$J$18,F1281)+IF(T1281&gt;0,方案参数!$BY$38,0)-配置与结果!$B$30)</f>
        <v>2</v>
      </c>
      <c r="AQ1281" s="7">
        <f t="shared" si="1721"/>
        <v>0</v>
      </c>
      <c r="AR1281" s="7">
        <f t="shared" si="1722"/>
        <v>0</v>
      </c>
      <c r="AS1281" s="7">
        <f t="shared" si="1723"/>
        <v>0</v>
      </c>
      <c r="AT1281" s="7">
        <f>0</f>
        <v>0</v>
      </c>
      <c r="AU1281" s="7">
        <f t="shared" si="1724"/>
        <v>0</v>
      </c>
      <c r="AV1281" s="1">
        <f t="shared" si="1725"/>
        <v>2</v>
      </c>
      <c r="AW1281" s="1">
        <f t="shared" si="1801"/>
        <v>10</v>
      </c>
      <c r="AX1281" s="1">
        <f t="shared" si="1726"/>
        <v>2</v>
      </c>
      <c r="AY1281" s="1">
        <f t="shared" si="1795"/>
        <v>6</v>
      </c>
      <c r="AZ1281" s="1">
        <f t="shared" si="1727"/>
        <v>5</v>
      </c>
      <c r="BA1281" s="1">
        <f t="shared" ref="BA1281:BA1301" si="1809">MIN(6,Q1281+0)</f>
        <v>5</v>
      </c>
      <c r="BB1281" s="1">
        <f>MIN(30,R1281+5)</f>
        <v>10</v>
      </c>
      <c r="BC1281" s="1">
        <f t="shared" si="1802"/>
        <v>2</v>
      </c>
      <c r="BD1281" s="1">
        <f t="shared" si="1796"/>
        <v>2</v>
      </c>
      <c r="BE1281" s="1">
        <f t="shared" si="1789"/>
        <v>0</v>
      </c>
      <c r="BF1281" s="1">
        <f>MIN(4,V1281+0)</f>
        <v>2</v>
      </c>
      <c r="BG1281" s="1">
        <f t="shared" si="1806"/>
        <v>1</v>
      </c>
      <c r="BH1281" s="1">
        <f t="shared" si="1790"/>
        <v>1</v>
      </c>
      <c r="BI1281" s="1">
        <f t="shared" si="1807"/>
        <v>1</v>
      </c>
      <c r="BJ1281" s="1">
        <f t="shared" ref="BJ1281:BJ1308" si="1810">MAX(Z1281,0)</f>
        <v>1</v>
      </c>
      <c r="BK1281" s="1">
        <f t="shared" ref="BK1281:BK1308" si="1811">MAX(AA1281,0)</f>
        <v>1</v>
      </c>
      <c r="BL1281" s="1">
        <f t="shared" si="1770"/>
        <v>0</v>
      </c>
      <c r="BM1281" s="1">
        <f>MAX(AC1281,1)</f>
        <v>1</v>
      </c>
      <c r="BN1281" s="1">
        <f t="shared" si="1791"/>
        <v>1</v>
      </c>
      <c r="BO1281" s="1">
        <f t="shared" si="1792"/>
        <v>1</v>
      </c>
    </row>
    <row r="1282" spans="1:67" ht="30.95" customHeight="1">
      <c r="A1282" s="1">
        <f>35</f>
        <v>35</v>
      </c>
      <c r="B1282" s="1">
        <f>固定流程!A22</f>
        <v>17</v>
      </c>
      <c r="C1282" s="1">
        <f>38</f>
        <v>38</v>
      </c>
      <c r="D1282" s="1">
        <f>1</f>
        <v>1</v>
      </c>
      <c r="E1282" s="1">
        <f>固定流程!C22</f>
        <v>3</v>
      </c>
      <c r="F1282" s="1">
        <f>固定流程!G22</f>
        <v>2</v>
      </c>
      <c r="G1282" s="1" t="str">
        <f>固定流程!H22</f>
        <v>37_FOLLOW</v>
      </c>
      <c r="H1282" s="1">
        <f>固定流程!F22</f>
        <v>1</v>
      </c>
      <c r="I1282" s="1">
        <f>INDEX(配置与结果!$B$15:$B$18,F1282)</f>
        <v>2306</v>
      </c>
      <c r="J1282" s="1">
        <f>INDEX(配置与结果!$D$15:$D$18,F1282)</f>
        <v>0.46</v>
      </c>
      <c r="K1282" s="1">
        <f>INDEX(配置与结果!$E$15:$E$18,F1282)</f>
        <v>1.9279999999999999</v>
      </c>
      <c r="L1282" s="1">
        <f t="shared" si="1803"/>
        <v>2</v>
      </c>
      <c r="M1282" s="1">
        <f t="shared" si="1804"/>
        <v>10</v>
      </c>
      <c r="N1282" s="1">
        <f t="shared" si="1805"/>
        <v>2</v>
      </c>
      <c r="O1282" s="1">
        <f t="shared" si="1797"/>
        <v>6</v>
      </c>
      <c r="P1282" s="1">
        <f>MIN(方案参数!$AI$38,AZ1281+0+0)</f>
        <v>5</v>
      </c>
      <c r="Q1282" s="1">
        <f t="shared" si="1775"/>
        <v>5</v>
      </c>
      <c r="R1282" s="1">
        <f t="shared" si="1776"/>
        <v>10</v>
      </c>
      <c r="S1282" s="1">
        <f t="shared" si="1777"/>
        <v>2</v>
      </c>
      <c r="T1282" s="1">
        <f t="shared" ref="T1282:T1301" si="1812">BD1281+0</f>
        <v>2</v>
      </c>
      <c r="U1282" s="1">
        <f t="shared" si="1779"/>
        <v>0</v>
      </c>
      <c r="V1282" s="1">
        <f t="shared" si="1780"/>
        <v>2</v>
      </c>
      <c r="W1282" s="1">
        <f t="shared" si="1781"/>
        <v>1</v>
      </c>
      <c r="X1282" s="1">
        <f t="shared" si="1782"/>
        <v>1</v>
      </c>
      <c r="Y1282" s="1">
        <f t="shared" si="1783"/>
        <v>1</v>
      </c>
      <c r="Z1282" s="1">
        <f t="shared" si="1784"/>
        <v>1</v>
      </c>
      <c r="AA1282" s="1">
        <f t="shared" si="1808"/>
        <v>1</v>
      </c>
      <c r="AB1282" s="1">
        <f t="shared" si="1786"/>
        <v>0</v>
      </c>
      <c r="AC1282" s="1">
        <f t="shared" ref="AC1282:AC1301" si="1813">MAX(BM1281,0)</f>
        <v>1</v>
      </c>
      <c r="AD1282" s="1">
        <f>ROUNDDOWN(I1282*(1+IF(F1282=3,0.05+方案参数!$Y$38+AA1282*0.12,IF(F1282=4,方案参数!$BZ$38*方案参数!$AS$38,0)))+IF(AND(X1282=1,F1282&lt;&gt;3),方案参数!$CC$38,0)+AC1282*方案参数!$CB$38,0)</f>
        <v>3044</v>
      </c>
      <c r="AE1282" s="1">
        <f>IF(OR(F1282=1,F1282=4),配置与结果!$B$24,配置与结果!$B$25)*MAX(0,1-INDEX(配置与结果!$I$15:$I$18,F1282))</f>
        <v>1000</v>
      </c>
      <c r="AF1282" s="1">
        <f>方案参数!$BV$38</f>
        <v>3</v>
      </c>
      <c r="AG1282" s="1">
        <f>MAX(配置与结果!$B$32,1+INDEX(配置与结果!$F$15:$F$18,F1282)+0+Q1282*方案参数!$W$38+Y1282*(方案参数!$AN$38+MIN(方案参数!$AO$38,P1282*0.03))+AB1282*方案参数!$BZ$38*0.025-配置与结果!$B$28)</f>
        <v>1.0049999999999999</v>
      </c>
      <c r="AH1282" s="1">
        <f>MAX(0,1+INDEX(配置与结果!$G$15:$G$18,F1282)+W1282*方案参数!$AG$38)</f>
        <v>1.3</v>
      </c>
      <c r="AI1282" s="1">
        <f>IF(OR(INDEX(配置与结果!$K$15:$K$18,F1282)=1,G1282="RHI_BERRY"),1+配置与结果!$B$33+P1282*方案参数!$AH$38,1)</f>
        <v>1</v>
      </c>
      <c r="AJ1282" s="1">
        <f>MIN(1,MAX(0,J1282+方案参数!$AB$38-配置与结果!$B$27))</f>
        <v>0.76</v>
      </c>
      <c r="AK1282" s="1">
        <f>MAX(1,K1282+IF(F1282=2,0.15+方案参数!$CH$38,0)+BN1282*方案参数!$X$38+R1282*方案参数!$AA$38+0-配置与结果!$B$26+Z1282*(方案参数!$AP$38+MIN(方案参数!$AQ$38,P1282*0.03)))</f>
        <v>2.4180000000000001</v>
      </c>
      <c r="AL1282" s="7">
        <f>ROUNDDOWN(MAX(AD1282*配置与结果!$B$31,AD1282-AE1282)*AF1282*AG1282*AH1282*AI1282,0)</f>
        <v>8011</v>
      </c>
      <c r="AM1282" s="7">
        <f>ROUNDDOWN(MAX(AD1282*配置与结果!$B$31,AD1282-AE1282)*AF1282*AG1282*AH1282*AI1282*AK1282,0)</f>
        <v>19371</v>
      </c>
      <c r="AN1282" s="7">
        <f t="shared" si="1720"/>
        <v>16644.600000000002</v>
      </c>
      <c r="AO1282" s="7">
        <f>方案参数!$BW$38</f>
        <v>1</v>
      </c>
      <c r="AP1282" s="7">
        <f>MAX(0,1+INDEX(配置与结果!$J$15:$J$18,F1282)+IF(T1282&gt;0,方案参数!$BY$38,0)-配置与结果!$B$30)</f>
        <v>2</v>
      </c>
      <c r="AQ1282" s="7">
        <f t="shared" si="1721"/>
        <v>6088</v>
      </c>
      <c r="AR1282" s="7">
        <f t="shared" si="1722"/>
        <v>14720</v>
      </c>
      <c r="AS1282" s="7">
        <f t="shared" si="1723"/>
        <v>12648.32</v>
      </c>
      <c r="AT1282" s="7">
        <f>0</f>
        <v>0</v>
      </c>
      <c r="AU1282" s="7">
        <f t="shared" si="1724"/>
        <v>29292.920000000002</v>
      </c>
      <c r="AV1282" s="1">
        <f t="shared" si="1725"/>
        <v>2</v>
      </c>
      <c r="AW1282" s="1">
        <f t="shared" si="1801"/>
        <v>10</v>
      </c>
      <c r="AX1282" s="1">
        <f t="shared" si="1726"/>
        <v>2</v>
      </c>
      <c r="AY1282" s="1">
        <f t="shared" si="1795"/>
        <v>6</v>
      </c>
      <c r="AZ1282" s="1">
        <f t="shared" si="1727"/>
        <v>5</v>
      </c>
      <c r="BA1282" s="1">
        <f t="shared" si="1809"/>
        <v>5</v>
      </c>
      <c r="BB1282" s="1">
        <f>MIN(30,R1282+0)</f>
        <v>10</v>
      </c>
      <c r="BC1282" s="1">
        <f t="shared" si="1802"/>
        <v>2</v>
      </c>
      <c r="BD1282" s="1">
        <f t="shared" si="1796"/>
        <v>1</v>
      </c>
      <c r="BE1282" s="1">
        <f t="shared" si="1789"/>
        <v>0</v>
      </c>
      <c r="BF1282" s="1">
        <f>MIN(4,V1282+1)</f>
        <v>3</v>
      </c>
      <c r="BG1282" s="1">
        <f t="shared" si="1806"/>
        <v>1</v>
      </c>
      <c r="BH1282" s="1">
        <f t="shared" si="1790"/>
        <v>1</v>
      </c>
      <c r="BI1282" s="1">
        <f t="shared" si="1807"/>
        <v>1</v>
      </c>
      <c r="BJ1282" s="1">
        <f t="shared" si="1810"/>
        <v>1</v>
      </c>
      <c r="BK1282" s="1">
        <f t="shared" si="1811"/>
        <v>1</v>
      </c>
      <c r="BL1282" s="1">
        <f t="shared" si="1770"/>
        <v>0</v>
      </c>
      <c r="BM1282" s="1">
        <f t="shared" ref="BM1282:BM1316" si="1814">MAX(AC1282,0)</f>
        <v>1</v>
      </c>
      <c r="BN1282" s="1">
        <f t="shared" si="1791"/>
        <v>1</v>
      </c>
      <c r="BO1282" s="1">
        <f t="shared" si="1792"/>
        <v>1</v>
      </c>
    </row>
    <row r="1283" spans="1:67" ht="30.95" customHeight="1">
      <c r="A1283" s="1">
        <f>35</f>
        <v>35</v>
      </c>
      <c r="B1283" s="1">
        <f>固定流程!A23</f>
        <v>18</v>
      </c>
      <c r="C1283" s="1">
        <f>38</f>
        <v>38</v>
      </c>
      <c r="D1283" s="1">
        <f>1</f>
        <v>1</v>
      </c>
      <c r="E1283" s="1">
        <f>固定流程!C23</f>
        <v>3</v>
      </c>
      <c r="F1283" s="1">
        <f>固定流程!G23</f>
        <v>4</v>
      </c>
      <c r="G1283" s="1" t="str">
        <f>固定流程!H23</f>
        <v>J_HARD</v>
      </c>
      <c r="H1283" s="1">
        <f>固定流程!F23</f>
        <v>1</v>
      </c>
      <c r="I1283" s="1">
        <f>INDEX(配置与结果!$B$15:$B$18,F1283)</f>
        <v>1906</v>
      </c>
      <c r="J1283" s="1">
        <f>INDEX(配置与结果!$D$15:$D$18,F1283)</f>
        <v>0.36699999999999999</v>
      </c>
      <c r="K1283" s="1">
        <f>INDEX(配置与结果!$E$15:$E$18,F1283)</f>
        <v>1.7170000000000001</v>
      </c>
      <c r="L1283" s="1">
        <f t="shared" si="1803"/>
        <v>2</v>
      </c>
      <c r="M1283" s="1">
        <f t="shared" si="1804"/>
        <v>10</v>
      </c>
      <c r="N1283" s="1">
        <f t="shared" si="1805"/>
        <v>2</v>
      </c>
      <c r="O1283" s="1">
        <f t="shared" si="1797"/>
        <v>6</v>
      </c>
      <c r="P1283" s="1">
        <f>MIN(方案参数!$AI$38,AZ1282+0+0)</f>
        <v>5</v>
      </c>
      <c r="Q1283" s="1">
        <f t="shared" si="1775"/>
        <v>5</v>
      </c>
      <c r="R1283" s="1">
        <f t="shared" si="1776"/>
        <v>10</v>
      </c>
      <c r="S1283" s="1">
        <f t="shared" si="1777"/>
        <v>2</v>
      </c>
      <c r="T1283" s="1">
        <f t="shared" si="1812"/>
        <v>1</v>
      </c>
      <c r="U1283" s="1">
        <f t="shared" si="1779"/>
        <v>0</v>
      </c>
      <c r="V1283" s="1">
        <f t="shared" si="1780"/>
        <v>3</v>
      </c>
      <c r="W1283" s="1">
        <f t="shared" si="1781"/>
        <v>1</v>
      </c>
      <c r="X1283" s="1">
        <f t="shared" si="1782"/>
        <v>1</v>
      </c>
      <c r="Y1283" s="1">
        <f t="shared" si="1783"/>
        <v>1</v>
      </c>
      <c r="Z1283" s="1">
        <f t="shared" si="1784"/>
        <v>1</v>
      </c>
      <c r="AA1283" s="1">
        <f t="shared" si="1808"/>
        <v>1</v>
      </c>
      <c r="AB1283" s="1">
        <f t="shared" si="1786"/>
        <v>0</v>
      </c>
      <c r="AC1283" s="1">
        <f t="shared" si="1813"/>
        <v>1</v>
      </c>
      <c r="AD1283" s="1">
        <f>ROUNDDOWN(I1283*(1+IF(F1283=3,0.05+方案参数!$Y$38+AA1283*0.12,IF(F1283=4,方案参数!$BZ$38*方案参数!$AS$38,0)))+IF(AND(X1283=1,F1283&lt;&gt;3),方案参数!$CC$38,0)+AC1283*方案参数!$CB$38,0)</f>
        <v>3311</v>
      </c>
      <c r="AE1283" s="1">
        <f>IF(OR(F1283=1,F1283=4),配置与结果!$B$24,配置与结果!$B$25)*MAX(0,1-INDEX(配置与结果!$I$15:$I$18,F1283))</f>
        <v>1200</v>
      </c>
      <c r="AF1283" s="1">
        <f>3.6*IF(H1283=1,1,IF(H1283=2,1.5,2.5))</f>
        <v>3.6</v>
      </c>
      <c r="AG1283" s="1">
        <f>MAX(配置与结果!$B$32,1+INDEX(配置与结果!$F$15:$F$18,F1283)+0.08+Q1283*方案参数!$W$38+Y1283*(方案参数!$AN$38+MIN(方案参数!$AO$38,P1283*0.03))+AB1283*方案参数!$BZ$38*0.025+0.1+IF(方案参数!$BZ$38&gt;=30,方案参数!$BZ$38*0.01,0)-配置与结果!$B$28)</f>
        <v>1.5550000000000002</v>
      </c>
      <c r="AH1283" s="1">
        <f>MAX(0,1+INDEX(配置与结果!$G$15:$G$18,F1283)+W1283*方案参数!$AG$38)</f>
        <v>1.3</v>
      </c>
      <c r="AI1283" s="1">
        <f>IF(OR(INDEX(配置与结果!$K$15:$K$18,F1283)=1,G1283="RHI_BERRY"),1+配置与结果!$B$33+P1283*方案参数!$AH$38,1)</f>
        <v>1</v>
      </c>
      <c r="AJ1283" s="1">
        <f>MIN(1,MAX(0,J1283+方案参数!$AB$38-配置与结果!$B$27))</f>
        <v>0.66700000000000004</v>
      </c>
      <c r="AK1283" s="1">
        <f>MAX(1,K1283+IF(F1283=2,0.15+方案参数!$CH$38,0)+BN1283*方案参数!$X$38+R1283*方案参数!$AA$38+0-配置与结果!$B$26+Z1283*(方案参数!$AP$38+MIN(方案参数!$AQ$38,P1283*0.03)))</f>
        <v>1.8169999999999999</v>
      </c>
      <c r="AL1283" s="7">
        <f>ROUNDDOWN(MAX(AD1283*配置与结果!$B$31,AD1283-AE1283)*AF1283*AG1283*AH1283*AI1283,0)</f>
        <v>15362</v>
      </c>
      <c r="AM1283" s="7">
        <f>ROUNDDOWN(MAX(AD1283*配置与结果!$B$31,AD1283-AE1283)*AF1283*AG1283*AH1283*AI1283*AK1283,0)</f>
        <v>27913</v>
      </c>
      <c r="AN1283" s="7">
        <f t="shared" si="1720"/>
        <v>23733.517</v>
      </c>
      <c r="AO1283" s="7">
        <f>0</f>
        <v>0</v>
      </c>
      <c r="AP1283" s="7">
        <f>MAX(0,1+INDEX(配置与结果!$J$15:$J$18,F1283)+IF(T1283&gt;0,方案参数!$BY$38,0)-配置与结果!$B$30)</f>
        <v>2</v>
      </c>
      <c r="AQ1283" s="7">
        <f t="shared" si="1721"/>
        <v>0</v>
      </c>
      <c r="AR1283" s="7">
        <f t="shared" si="1722"/>
        <v>0</v>
      </c>
      <c r="AS1283" s="7">
        <f t="shared" si="1723"/>
        <v>0</v>
      </c>
      <c r="AT1283" s="7">
        <f>0</f>
        <v>0</v>
      </c>
      <c r="AU1283" s="7">
        <f t="shared" si="1724"/>
        <v>23733.517</v>
      </c>
      <c r="AV1283" s="1">
        <f t="shared" si="1725"/>
        <v>2</v>
      </c>
      <c r="AW1283" s="1">
        <f t="shared" si="1801"/>
        <v>10</v>
      </c>
      <c r="AX1283" s="1">
        <f t="shared" si="1726"/>
        <v>2</v>
      </c>
      <c r="AY1283" s="1">
        <f t="shared" si="1795"/>
        <v>6</v>
      </c>
      <c r="AZ1283" s="1">
        <f t="shared" si="1727"/>
        <v>5</v>
      </c>
      <c r="BA1283" s="1">
        <f t="shared" si="1809"/>
        <v>5</v>
      </c>
      <c r="BB1283" s="1">
        <f>MIN(30,R1283+0)</f>
        <v>10</v>
      </c>
      <c r="BC1283" s="1">
        <f>MIN(3,S1283+1)</f>
        <v>3</v>
      </c>
      <c r="BD1283" s="1">
        <f t="shared" si="1796"/>
        <v>1</v>
      </c>
      <c r="BE1283" s="1">
        <f t="shared" si="1789"/>
        <v>0</v>
      </c>
      <c r="BF1283" s="1">
        <f>MIN(4,V1283+0)</f>
        <v>3</v>
      </c>
      <c r="BG1283" s="1">
        <f t="shared" si="1806"/>
        <v>1</v>
      </c>
      <c r="BH1283" s="1">
        <f t="shared" si="1790"/>
        <v>1</v>
      </c>
      <c r="BI1283" s="1">
        <f t="shared" si="1807"/>
        <v>1</v>
      </c>
      <c r="BJ1283" s="1">
        <f t="shared" si="1810"/>
        <v>1</v>
      </c>
      <c r="BK1283" s="1">
        <f t="shared" si="1811"/>
        <v>1</v>
      </c>
      <c r="BL1283" s="1">
        <f t="shared" si="1770"/>
        <v>0</v>
      </c>
      <c r="BM1283" s="1">
        <f t="shared" si="1814"/>
        <v>1</v>
      </c>
      <c r="BN1283" s="1">
        <f t="shared" si="1791"/>
        <v>1</v>
      </c>
      <c r="BO1283" s="1">
        <f t="shared" si="1792"/>
        <v>1</v>
      </c>
    </row>
    <row r="1284" spans="1:67" ht="30.95" customHeight="1">
      <c r="A1284" s="1">
        <f>35</f>
        <v>35</v>
      </c>
      <c r="B1284" s="1">
        <f>固定流程!A24</f>
        <v>19</v>
      </c>
      <c r="C1284" s="1">
        <f>38</f>
        <v>38</v>
      </c>
      <c r="D1284" s="1">
        <f>1</f>
        <v>1</v>
      </c>
      <c r="E1284" s="1">
        <f>固定流程!C24</f>
        <v>3</v>
      </c>
      <c r="F1284" s="1">
        <f>固定流程!G24</f>
        <v>4</v>
      </c>
      <c r="G1284" s="1" t="str">
        <f>固定流程!H24</f>
        <v>J_ULT</v>
      </c>
      <c r="H1284" s="1">
        <f>固定流程!F24</f>
        <v>1</v>
      </c>
      <c r="I1284" s="1">
        <f>INDEX(配置与结果!$B$15:$B$18,F1284)</f>
        <v>1906</v>
      </c>
      <c r="J1284" s="1">
        <f>INDEX(配置与结果!$D$15:$D$18,F1284)</f>
        <v>0.36699999999999999</v>
      </c>
      <c r="K1284" s="1">
        <f>INDEX(配置与结果!$E$15:$E$18,F1284)</f>
        <v>1.7170000000000001</v>
      </c>
      <c r="L1284" s="1">
        <f t="shared" si="1803"/>
        <v>2</v>
      </c>
      <c r="M1284" s="1">
        <f t="shared" si="1804"/>
        <v>10</v>
      </c>
      <c r="N1284" s="1">
        <f t="shared" si="1805"/>
        <v>2</v>
      </c>
      <c r="O1284" s="1">
        <f t="shared" si="1797"/>
        <v>6</v>
      </c>
      <c r="P1284" s="1">
        <f>MIN(方案参数!$AI$38,AZ1283+0+0)</f>
        <v>5</v>
      </c>
      <c r="Q1284" s="1">
        <f t="shared" si="1775"/>
        <v>5</v>
      </c>
      <c r="R1284" s="1">
        <f t="shared" si="1776"/>
        <v>10</v>
      </c>
      <c r="S1284" s="1">
        <f t="shared" si="1777"/>
        <v>3</v>
      </c>
      <c r="T1284" s="1">
        <f t="shared" si="1812"/>
        <v>1</v>
      </c>
      <c r="U1284" s="1">
        <f t="shared" si="1779"/>
        <v>0</v>
      </c>
      <c r="V1284" s="1">
        <f t="shared" si="1780"/>
        <v>3</v>
      </c>
      <c r="W1284" s="1">
        <f t="shared" si="1781"/>
        <v>1</v>
      </c>
      <c r="X1284" s="1">
        <f t="shared" si="1782"/>
        <v>1</v>
      </c>
      <c r="Y1284" s="1">
        <f t="shared" si="1783"/>
        <v>1</v>
      </c>
      <c r="Z1284" s="1">
        <f t="shared" si="1784"/>
        <v>1</v>
      </c>
      <c r="AA1284" s="1">
        <f t="shared" si="1808"/>
        <v>1</v>
      </c>
      <c r="AB1284" s="1">
        <f t="shared" si="1786"/>
        <v>0</v>
      </c>
      <c r="AC1284" s="1">
        <f t="shared" si="1813"/>
        <v>1</v>
      </c>
      <c r="AD1284" s="1">
        <f>ROUNDDOWN(I1284*(1+IF(F1284=3,0.05+方案参数!$Y$38+AA1284*0.12,IF(F1284=4,方案参数!$BZ$38*方案参数!$AS$38,0)))+IF(AND(X1284=1,F1284&lt;&gt;3),方案参数!$CC$38,0)+AC1284*方案参数!$CB$38,0)</f>
        <v>3311</v>
      </c>
      <c r="AE1284" s="1">
        <f>IF(OR(F1284=1,F1284=4),配置与结果!$B$24,配置与结果!$B$25)*MAX(0,1-INDEX(配置与结果!$I$15:$I$18,F1284))</f>
        <v>1200</v>
      </c>
      <c r="AF1284" s="1">
        <f>方案参数!$AT$38+MAX(0,配置与结果!$H$26+方案参数!$BZ$38-30)*方案参数!$AU$38*配置与结果!$H$27</f>
        <v>42</v>
      </c>
      <c r="AG1284" s="1">
        <f>MAX(配置与结果!$B$32,1+INDEX(配置与结果!$F$15:$F$18,F1284)+0.08+Q1284*方案参数!$W$38+Y1284*(方案参数!$AN$38+MIN(方案参数!$AO$38,P1284*0.03))+AB1284*方案参数!$BZ$38*0.025-配置与结果!$B$28)</f>
        <v>1.105</v>
      </c>
      <c r="AH1284" s="1">
        <f>MAX(0,1+INDEX(配置与结果!$H$15:$H$18,F1284)+W1284*方案参数!$AG$38+S1284*方案参数!$Z$38)</f>
        <v>1.42</v>
      </c>
      <c r="AI1284" s="1">
        <f>IF(OR(INDEX(配置与结果!$K$15:$K$18,F1284)=1,G1284="RHI_BERRY"),1+配置与结果!$B$33+P1284*方案参数!$AH$38,1)</f>
        <v>1</v>
      </c>
      <c r="AJ1284" s="1">
        <f>MIN(1,MAX(0,J1284+方案参数!$AB$38-配置与结果!$B$27))</f>
        <v>0.66700000000000004</v>
      </c>
      <c r="AK1284" s="1">
        <f>MAX(1,K1284+IF(F1284=2,0.15+方案参数!$CH$38,0)+BN1284*方案参数!$X$38+R1284*方案参数!$AA$38+0-配置与结果!$B$26+Z1284*(方案参数!$AP$38+MIN(方案参数!$AQ$38,P1284*0.03)))</f>
        <v>1.8169999999999999</v>
      </c>
      <c r="AL1284" s="7">
        <f>ROUNDDOWN(MAX(AD1284*配置与结果!$B$31,AD1284-AE1284)*AF1284*AG1284*AH1284*AI1284,0)</f>
        <v>139119</v>
      </c>
      <c r="AM1284" s="7">
        <f>ROUNDDOWN(MAX(AD1284*配置与结果!$B$31,AD1284-AE1284)*AF1284*AG1284*AH1284*AI1284*AK1284,0)</f>
        <v>252780</v>
      </c>
      <c r="AN1284" s="7">
        <f t="shared" si="1720"/>
        <v>214930.88699999999</v>
      </c>
      <c r="AO1284" s="7">
        <f>0</f>
        <v>0</v>
      </c>
      <c r="AP1284" s="7">
        <f>MAX(0,1+INDEX(配置与结果!$J$15:$J$18,F1284)+IF(T1284&gt;0,方案参数!$BY$38,0)-配置与结果!$B$30)</f>
        <v>2</v>
      </c>
      <c r="AQ1284" s="7">
        <f t="shared" si="1721"/>
        <v>0</v>
      </c>
      <c r="AR1284" s="7">
        <f t="shared" si="1722"/>
        <v>0</v>
      </c>
      <c r="AS1284" s="7">
        <f t="shared" si="1723"/>
        <v>0</v>
      </c>
      <c r="AT1284" s="7">
        <f>0</f>
        <v>0</v>
      </c>
      <c r="AU1284" s="7">
        <f t="shared" si="1724"/>
        <v>214930.88699999999</v>
      </c>
      <c r="AV1284" s="1">
        <f t="shared" si="1725"/>
        <v>2</v>
      </c>
      <c r="AW1284" s="1">
        <f t="shared" si="1801"/>
        <v>10</v>
      </c>
      <c r="AX1284" s="1">
        <f t="shared" si="1726"/>
        <v>2</v>
      </c>
      <c r="AY1284" s="1">
        <f t="shared" si="1795"/>
        <v>6</v>
      </c>
      <c r="AZ1284" s="1">
        <f t="shared" si="1727"/>
        <v>5</v>
      </c>
      <c r="BA1284" s="1">
        <f t="shared" si="1809"/>
        <v>5</v>
      </c>
      <c r="BB1284" s="1">
        <f>MIN(30,R1284+5)</f>
        <v>15</v>
      </c>
      <c r="BC1284" s="1">
        <f t="shared" ref="BC1284:BC1307" si="1815">MIN(3,S1284+0)</f>
        <v>3</v>
      </c>
      <c r="BD1284" s="1">
        <f t="shared" si="1796"/>
        <v>1</v>
      </c>
      <c r="BE1284" s="1">
        <f t="shared" si="1789"/>
        <v>0</v>
      </c>
      <c r="BF1284" s="1">
        <f>MIN(4,V1284+0)</f>
        <v>3</v>
      </c>
      <c r="BG1284" s="1">
        <f t="shared" si="1806"/>
        <v>1</v>
      </c>
      <c r="BH1284" s="1">
        <f t="shared" si="1790"/>
        <v>1</v>
      </c>
      <c r="BI1284" s="1">
        <f t="shared" si="1807"/>
        <v>1</v>
      </c>
      <c r="BJ1284" s="1">
        <f t="shared" si="1810"/>
        <v>1</v>
      </c>
      <c r="BK1284" s="1">
        <f t="shared" si="1811"/>
        <v>1</v>
      </c>
      <c r="BL1284" s="1">
        <f>MAX(AB1284,1)</f>
        <v>1</v>
      </c>
      <c r="BM1284" s="1">
        <f t="shared" si="1814"/>
        <v>1</v>
      </c>
      <c r="BN1284" s="1">
        <f t="shared" si="1791"/>
        <v>1</v>
      </c>
      <c r="BO1284" s="1">
        <f t="shared" si="1792"/>
        <v>1</v>
      </c>
    </row>
    <row r="1285" spans="1:67" ht="30.95" customHeight="1">
      <c r="A1285" s="1">
        <f>35</f>
        <v>35</v>
      </c>
      <c r="B1285" s="1">
        <f>固定流程!A25</f>
        <v>20</v>
      </c>
      <c r="C1285" s="1">
        <f>38</f>
        <v>38</v>
      </c>
      <c r="D1285" s="1">
        <f>1</f>
        <v>1</v>
      </c>
      <c r="E1285" s="1">
        <f>固定流程!C25</f>
        <v>3</v>
      </c>
      <c r="F1285" s="1">
        <f>固定流程!G25</f>
        <v>1</v>
      </c>
      <c r="G1285" s="1" t="str">
        <f>固定流程!H25</f>
        <v>LILYA_ULT</v>
      </c>
      <c r="H1285" s="1">
        <f>固定流程!F25</f>
        <v>1</v>
      </c>
      <c r="I1285" s="1">
        <f>INDEX(配置与结果!$B$15:$B$18,F1285)</f>
        <v>2296</v>
      </c>
      <c r="J1285" s="1">
        <f>INDEX(配置与结果!$D$15:$D$18,F1285)</f>
        <v>0.7</v>
      </c>
      <c r="K1285" s="1">
        <f>INDEX(配置与结果!$E$15:$E$18,F1285)</f>
        <v>2.0249999999999999</v>
      </c>
      <c r="L1285" s="1">
        <f t="shared" si="1803"/>
        <v>2</v>
      </c>
      <c r="M1285" s="1">
        <f t="shared" si="1804"/>
        <v>10</v>
      </c>
      <c r="N1285" s="1">
        <f t="shared" si="1805"/>
        <v>2</v>
      </c>
      <c r="O1285" s="1">
        <f t="shared" si="1797"/>
        <v>6</v>
      </c>
      <c r="P1285" s="1">
        <f>MIN(方案参数!$AI$38,AZ1284+0+0)</f>
        <v>5</v>
      </c>
      <c r="Q1285" s="1">
        <f t="shared" si="1775"/>
        <v>5</v>
      </c>
      <c r="R1285" s="1">
        <f t="shared" si="1776"/>
        <v>15</v>
      </c>
      <c r="S1285" s="1">
        <f t="shared" si="1777"/>
        <v>3</v>
      </c>
      <c r="T1285" s="1">
        <f t="shared" si="1812"/>
        <v>1</v>
      </c>
      <c r="U1285" s="1">
        <f t="shared" si="1779"/>
        <v>0</v>
      </c>
      <c r="V1285" s="1">
        <f t="shared" si="1780"/>
        <v>3</v>
      </c>
      <c r="W1285" s="1">
        <f t="shared" si="1781"/>
        <v>1</v>
      </c>
      <c r="X1285" s="1">
        <f t="shared" si="1782"/>
        <v>1</v>
      </c>
      <c r="Y1285" s="1">
        <f t="shared" si="1783"/>
        <v>1</v>
      </c>
      <c r="Z1285" s="1">
        <f t="shared" si="1784"/>
        <v>1</v>
      </c>
      <c r="AA1285" s="1">
        <f t="shared" si="1808"/>
        <v>1</v>
      </c>
      <c r="AB1285" s="1">
        <f t="shared" si="1786"/>
        <v>1</v>
      </c>
      <c r="AC1285" s="1">
        <f t="shared" si="1813"/>
        <v>1</v>
      </c>
      <c r="AD1285" s="1">
        <f>ROUNDDOWN(I1285*(1+IF(F1285=3,0.05+方案参数!$Y$38+AA1285*0.12,IF(F1285=4,方案参数!$BZ$38*方案参数!$AS$38,0)))+IF(AND(X1285=1,F1285&lt;&gt;3),方案参数!$CC$38,0)+AC1285*方案参数!$CB$38,0)</f>
        <v>3034</v>
      </c>
      <c r="AE1285" s="1">
        <f>IF(OR(F1285=1,F1285=4),配置与结果!$B$24,配置与结果!$B$25)*MAX(0,1-INDEX(配置与结果!$I$15:$I$18,F1285)+IF(O1285&gt;=6,方案参数!$BK$38,0))</f>
        <v>1440</v>
      </c>
      <c r="AF1285" s="1">
        <f>方案参数!$BG$38+IF(O1285&gt;=6,方案参数!$BH$38,0)</f>
        <v>36</v>
      </c>
      <c r="AG1285" s="1">
        <f>MAX(配置与结果!$B$32,1+INDEX(配置与结果!$F$15:$F$18,F1285)+0.08+方案参数!$CD$38+Q1285*方案参数!$W$38+Y1285*(方案参数!$AN$38+MIN(方案参数!$AO$38,P1285*0.03))+AB1285*方案参数!$BZ$38*0.025-配置与结果!$B$28)</f>
        <v>2.2150000000000003</v>
      </c>
      <c r="AH1285" s="1">
        <f>MAX(0,1+INDEX(配置与结果!$H$15:$H$18,F1285)+W1285*方案参数!$AG$38+O1285*方案参数!$BF$38+IF(O1285&gt;=6,方案参数!$BI$38,0))</f>
        <v>2.4500000000000002</v>
      </c>
      <c r="AI1285" s="1">
        <f>IF(OR(INDEX(配置与结果!$K$15:$K$18,F1285)=1,G1285="RHI_BERRY"),1+配置与结果!$B$33+P1285*方案参数!$AH$38,1)</f>
        <v>1</v>
      </c>
      <c r="AJ1285" s="1">
        <f>MIN(1,MAX(0,J1285+方案参数!$AB$38-配置与结果!$B$27))</f>
        <v>1</v>
      </c>
      <c r="AK1285" s="1">
        <f>MAX(1,K1285+IF(F1285=2,0.15+方案参数!$CH$38,0)+BN1285*方案参数!$X$38+R1285*方案参数!$AA$38+IF(O1285&gt;=6,方案参数!$BJ$38,0)-配置与结果!$B$26+Z1285*(方案参数!$AP$38+MIN(方案参数!$AQ$38,P1285*0.03)))</f>
        <v>3.145</v>
      </c>
      <c r="AL1285" s="7">
        <f>ROUNDDOWN(MAX(AD1285*配置与结果!$B$31,AD1285-AE1285)*AF1285*AG1285*AH1285*AI1285,0)</f>
        <v>311408</v>
      </c>
      <c r="AM1285" s="7">
        <f>ROUNDDOWN(MAX(AD1285*配置与结果!$B$31,AD1285-AE1285)*AF1285*AG1285*AH1285*AI1285*AK1285,0)</f>
        <v>979380</v>
      </c>
      <c r="AN1285" s="7">
        <f t="shared" si="1720"/>
        <v>979380</v>
      </c>
      <c r="AO1285" s="7">
        <f>0</f>
        <v>0</v>
      </c>
      <c r="AP1285" s="7">
        <f>MAX(0,1+INDEX(配置与结果!$J$15:$J$18,F1285)+IF(T1285&gt;0,方案参数!$BY$38,0)-配置与结果!$B$30)</f>
        <v>2</v>
      </c>
      <c r="AQ1285" s="7">
        <f t="shared" si="1721"/>
        <v>0</v>
      </c>
      <c r="AR1285" s="7">
        <f t="shared" si="1722"/>
        <v>0</v>
      </c>
      <c r="AS1285" s="7">
        <f t="shared" si="1723"/>
        <v>0</v>
      </c>
      <c r="AT1285" s="7">
        <f>0</f>
        <v>0</v>
      </c>
      <c r="AU1285" s="7">
        <f t="shared" si="1724"/>
        <v>979380</v>
      </c>
      <c r="AV1285" s="1">
        <f t="shared" si="1725"/>
        <v>2</v>
      </c>
      <c r="AW1285" s="1">
        <f t="shared" si="1801"/>
        <v>10</v>
      </c>
      <c r="AX1285" s="1">
        <f t="shared" si="1726"/>
        <v>2</v>
      </c>
      <c r="AY1285" s="1">
        <f>MIN(20,MAX(0,O1285+0+0-IF(O1285&gt;=6,6,0)))</f>
        <v>0</v>
      </c>
      <c r="AZ1285" s="1">
        <f t="shared" si="1727"/>
        <v>5</v>
      </c>
      <c r="BA1285" s="1">
        <f t="shared" si="1809"/>
        <v>5</v>
      </c>
      <c r="BB1285" s="1">
        <f>MIN(30,R1285+5)</f>
        <v>20</v>
      </c>
      <c r="BC1285" s="1">
        <f t="shared" si="1815"/>
        <v>3</v>
      </c>
      <c r="BD1285" s="1">
        <f t="shared" si="1796"/>
        <v>1</v>
      </c>
      <c r="BE1285" s="1">
        <f t="shared" si="1789"/>
        <v>0</v>
      </c>
      <c r="BF1285" s="1">
        <f>MIN(4,V1285+0)</f>
        <v>3</v>
      </c>
      <c r="BG1285" s="1">
        <f t="shared" si="1806"/>
        <v>1</v>
      </c>
      <c r="BH1285" s="1">
        <f t="shared" si="1790"/>
        <v>1</v>
      </c>
      <c r="BI1285" s="1">
        <f t="shared" si="1807"/>
        <v>1</v>
      </c>
      <c r="BJ1285" s="1">
        <f t="shared" si="1810"/>
        <v>1</v>
      </c>
      <c r="BK1285" s="1">
        <f t="shared" si="1811"/>
        <v>1</v>
      </c>
      <c r="BL1285" s="1">
        <f t="shared" ref="BL1285:BL1319" si="1816">MAX(AB1285,0)</f>
        <v>1</v>
      </c>
      <c r="BM1285" s="1">
        <f t="shared" si="1814"/>
        <v>1</v>
      </c>
      <c r="BN1285" s="1">
        <f t="shared" si="1791"/>
        <v>1</v>
      </c>
      <c r="BO1285" s="1">
        <f t="shared" si="1792"/>
        <v>1</v>
      </c>
    </row>
    <row r="1286" spans="1:67" ht="30.95" customHeight="1">
      <c r="A1286" s="1">
        <f>35</f>
        <v>35</v>
      </c>
      <c r="B1286" s="1">
        <f>固定流程!A26</f>
        <v>21</v>
      </c>
      <c r="C1286" s="1">
        <f>38</f>
        <v>38</v>
      </c>
      <c r="D1286" s="1">
        <f>1</f>
        <v>1</v>
      </c>
      <c r="E1286" s="1">
        <f>固定流程!C26</f>
        <v>3</v>
      </c>
      <c r="F1286" s="1">
        <f>固定流程!G26</f>
        <v>1</v>
      </c>
      <c r="G1286" s="1" t="str">
        <f>固定流程!H26</f>
        <v>LILYA_DIVE</v>
      </c>
      <c r="H1286" s="1">
        <f>固定流程!F26</f>
        <v>3</v>
      </c>
      <c r="I1286" s="1">
        <f>INDEX(配置与结果!$B$15:$B$18,F1286)</f>
        <v>2296</v>
      </c>
      <c r="J1286" s="1">
        <f>INDEX(配置与结果!$D$15:$D$18,F1286)</f>
        <v>0.7</v>
      </c>
      <c r="K1286" s="1">
        <f>INDEX(配置与结果!$E$15:$E$18,F1286)</f>
        <v>2.0249999999999999</v>
      </c>
      <c r="L1286" s="1">
        <f t="shared" si="1803"/>
        <v>2</v>
      </c>
      <c r="M1286" s="1">
        <f t="shared" si="1804"/>
        <v>10</v>
      </c>
      <c r="N1286" s="1">
        <f t="shared" si="1805"/>
        <v>2</v>
      </c>
      <c r="O1286" s="1">
        <f t="shared" si="1797"/>
        <v>0</v>
      </c>
      <c r="P1286" s="1">
        <f>MIN(方案参数!$AI$38,AZ1285+0+0)</f>
        <v>5</v>
      </c>
      <c r="Q1286" s="1">
        <f t="shared" si="1775"/>
        <v>5</v>
      </c>
      <c r="R1286" s="1">
        <f t="shared" si="1776"/>
        <v>20</v>
      </c>
      <c r="S1286" s="1">
        <f t="shared" si="1777"/>
        <v>3</v>
      </c>
      <c r="T1286" s="1">
        <f t="shared" si="1812"/>
        <v>1</v>
      </c>
      <c r="U1286" s="1">
        <f t="shared" si="1779"/>
        <v>0</v>
      </c>
      <c r="V1286" s="1">
        <f t="shared" si="1780"/>
        <v>3</v>
      </c>
      <c r="W1286" s="1">
        <f t="shared" si="1781"/>
        <v>1</v>
      </c>
      <c r="X1286" s="1">
        <f t="shared" si="1782"/>
        <v>1</v>
      </c>
      <c r="Y1286" s="1">
        <f t="shared" si="1783"/>
        <v>1</v>
      </c>
      <c r="Z1286" s="1">
        <f t="shared" si="1784"/>
        <v>1</v>
      </c>
      <c r="AA1286" s="1">
        <f t="shared" si="1808"/>
        <v>1</v>
      </c>
      <c r="AB1286" s="1">
        <f t="shared" si="1786"/>
        <v>1</v>
      </c>
      <c r="AC1286" s="1">
        <f t="shared" si="1813"/>
        <v>1</v>
      </c>
      <c r="AD1286" s="1">
        <f>ROUNDDOWN(I1286*(1+IF(F1286=3,0.05+方案参数!$Y$38+AA1286*0.12,IF(F1286=4,方案参数!$BZ$38*方案参数!$AS$38,0)))+IF(AND(X1286=1,F1286&lt;&gt;3),方案参数!$CC$38,0)+AC1286*方案参数!$CB$38,0)</f>
        <v>3034</v>
      </c>
      <c r="AE1286" s="1">
        <f>IF(OR(F1286=1,F1286=4),配置与结果!$B$24,配置与结果!$B$25)*MAX(0,1-INDEX(配置与结果!$I$15:$I$18,F1286))</f>
        <v>1200</v>
      </c>
      <c r="AF1286" s="1">
        <f>(IF(L1286=1,方案参数!$AW$38,IF(L1286=2,方案参数!$AX$38,0))+方案参数!$AV$38)*H1286</f>
        <v>30</v>
      </c>
      <c r="AG1286" s="1">
        <f>MAX(配置与结果!$B$32,1+INDEX(配置与结果!$F$15:$F$18,F1286)+0.08+方案参数!$CD$38+Q1286*方案参数!$W$38+Y1286*(方案参数!$AN$38+MIN(方案参数!$AO$38,P1286*0.03))+AB1286*方案参数!$BZ$38*0.025+IF(L1286=1,方案参数!$AY$38+(H1286-1)*0.1,IF(L1286=2,方案参数!$AZ$38+(H1286-1)*0.2,0))-配置与结果!$B$28)</f>
        <v>2.8150000000000004</v>
      </c>
      <c r="AH1286" s="1">
        <f>MAX(0,1+INDEX(配置与结果!$G$15:$G$18,F1286)+W1286*方案参数!$AG$38+IF(L1286=1,方案参数!$BA$38,IF(L1286=2,方案参数!$BB$38,0))+M1286*方案参数!$BC$38)</f>
        <v>3.1</v>
      </c>
      <c r="AI1286" s="1">
        <f>IF(OR(INDEX(配置与结果!$K$15:$K$18,F1286)=1,G1286="RHI_BERRY"),1+配置与结果!$B$33+P1286*方案参数!$AH$38,1)</f>
        <v>1</v>
      </c>
      <c r="AJ1286" s="1">
        <f>MIN(1,MAX(0,J1286+方案参数!$AB$38-配置与结果!$B$27))</f>
        <v>1</v>
      </c>
      <c r="AK1286" s="1">
        <f>MAX(1,K1286+IF(F1286=2,0.15+方案参数!$CH$38,0)+BN1286*方案参数!$X$38+R1286*方案参数!$AA$38+0-配置与结果!$B$26+Z1286*(方案参数!$AP$38+MIN(方案参数!$AQ$38,P1286*0.03)))</f>
        <v>2.165</v>
      </c>
      <c r="AL1286" s="7">
        <f>ROUNDDOWN(MAX(AD1286*配置与结果!$B$31,AD1286-AE1286)*AF1286*AG1286*AH1286*AI1286,0)</f>
        <v>480132</v>
      </c>
      <c r="AM1286" s="7">
        <f>ROUNDDOWN(MAX(AD1286*配置与结果!$B$31,AD1286-AE1286)*AF1286*AG1286*AH1286*AI1286*AK1286,0)</f>
        <v>1039485</v>
      </c>
      <c r="AN1286" s="7">
        <f t="shared" ref="AN1286:AN1349" si="1817">AL1286*(1-AJ1286)+AM1286*AJ1286</f>
        <v>1039485</v>
      </c>
      <c r="AO1286" s="7">
        <f>0</f>
        <v>0</v>
      </c>
      <c r="AP1286" s="7">
        <f>MAX(0,1+INDEX(配置与结果!$J$15:$J$18,F1286)+IF(T1286&gt;0,方案参数!$BY$38,0)-配置与结果!$B$30)</f>
        <v>2</v>
      </c>
      <c r="AQ1286" s="7">
        <f t="shared" ref="AQ1286:AQ1349" si="1818">ROUNDDOWN(ROUNDDOWN(AD1286*AO1286,0)*AP1286,0)</f>
        <v>0</v>
      </c>
      <c r="AR1286" s="7">
        <f t="shared" ref="AR1286:AR1349" si="1819">ROUNDDOWN(ROUNDDOWN(AD1286*AO1286,0)*AP1286*AK1286,0)</f>
        <v>0</v>
      </c>
      <c r="AS1286" s="7">
        <f t="shared" ref="AS1286:AS1349" si="1820">AQ1286*(1-AJ1286)+AR1286*AJ1286</f>
        <v>0</v>
      </c>
      <c r="AT1286" s="7">
        <f>0</f>
        <v>0</v>
      </c>
      <c r="AU1286" s="7">
        <f t="shared" ref="AU1286:AU1349" si="1821">AN1286+AS1286+AT1286</f>
        <v>1039485</v>
      </c>
      <c r="AV1286" s="1">
        <f t="shared" ref="AV1286:AV1349" si="1822">IF(G1286="LILYA_COBRA",IF(L1286=0,1,L1286),L1286)</f>
        <v>2</v>
      </c>
      <c r="AW1286" s="1">
        <f>MIN(10,M1286+0+IF(L1286=1,方案参数!$BE$38,0))</f>
        <v>10</v>
      </c>
      <c r="AX1286" s="1">
        <f t="shared" ref="AX1286:AX1349" si="1823">N1286</f>
        <v>2</v>
      </c>
      <c r="AY1286" s="1">
        <f>MIN(20,MAX(0,O1286+0+0-0))</f>
        <v>0</v>
      </c>
      <c r="AZ1286" s="1">
        <f t="shared" ref="AZ1286:AZ1349" si="1824">P1286</f>
        <v>5</v>
      </c>
      <c r="BA1286" s="1">
        <f t="shared" si="1809"/>
        <v>5</v>
      </c>
      <c r="BB1286" s="1">
        <f t="shared" ref="BB1286:BB1301" si="1825">MIN(30,R1286+0)</f>
        <v>20</v>
      </c>
      <c r="BC1286" s="1">
        <f t="shared" si="1815"/>
        <v>3</v>
      </c>
      <c r="BD1286" s="1">
        <f t="shared" si="1796"/>
        <v>1</v>
      </c>
      <c r="BE1286" s="1">
        <f t="shared" si="1789"/>
        <v>0</v>
      </c>
      <c r="BF1286" s="1">
        <f>MIN(4,V1286+0)</f>
        <v>3</v>
      </c>
      <c r="BG1286" s="1">
        <f t="shared" si="1806"/>
        <v>1</v>
      </c>
      <c r="BH1286" s="1">
        <f t="shared" si="1790"/>
        <v>1</v>
      </c>
      <c r="BI1286" s="1">
        <f t="shared" si="1807"/>
        <v>1</v>
      </c>
      <c r="BJ1286" s="1">
        <f t="shared" si="1810"/>
        <v>1</v>
      </c>
      <c r="BK1286" s="1">
        <f t="shared" si="1811"/>
        <v>1</v>
      </c>
      <c r="BL1286" s="1">
        <f t="shared" si="1816"/>
        <v>1</v>
      </c>
      <c r="BM1286" s="1">
        <f t="shared" si="1814"/>
        <v>1</v>
      </c>
      <c r="BN1286" s="1">
        <f t="shared" si="1791"/>
        <v>1</v>
      </c>
      <c r="BO1286" s="1">
        <f t="shared" si="1792"/>
        <v>1</v>
      </c>
    </row>
    <row r="1287" spans="1:67" ht="30.95" customHeight="1">
      <c r="A1287" s="1">
        <f>35</f>
        <v>35</v>
      </c>
      <c r="B1287" s="1">
        <f>固定流程!A27</f>
        <v>22</v>
      </c>
      <c r="C1287" s="1">
        <f>38</f>
        <v>38</v>
      </c>
      <c r="D1287" s="1">
        <f>1</f>
        <v>1</v>
      </c>
      <c r="E1287" s="1">
        <f>固定流程!C27</f>
        <v>3</v>
      </c>
      <c r="F1287" s="1">
        <f>固定流程!G27</f>
        <v>3</v>
      </c>
      <c r="G1287" s="1" t="str">
        <f>固定流程!H27</f>
        <v>RHI_BERRY</v>
      </c>
      <c r="H1287" s="1">
        <f>固定流程!F27</f>
        <v>1</v>
      </c>
      <c r="I1287" s="1">
        <f>INDEX(配置与结果!$B$15:$B$18,F1287)</f>
        <v>2597</v>
      </c>
      <c r="J1287" s="1">
        <f>INDEX(配置与结果!$D$15:$D$18,F1287)</f>
        <v>0.255</v>
      </c>
      <c r="K1287" s="1">
        <f>INDEX(配置与结果!$E$15:$E$18,F1287)</f>
        <v>1.55</v>
      </c>
      <c r="L1287" s="1">
        <f t="shared" si="1803"/>
        <v>2</v>
      </c>
      <c r="M1287" s="1">
        <f t="shared" si="1804"/>
        <v>10</v>
      </c>
      <c r="N1287" s="1">
        <f t="shared" si="1805"/>
        <v>2</v>
      </c>
      <c r="O1287" s="1">
        <f t="shared" si="1797"/>
        <v>0</v>
      </c>
      <c r="P1287" s="1">
        <f>MIN(方案参数!$AI$38,AZ1286+0+0)</f>
        <v>5</v>
      </c>
      <c r="Q1287" s="1">
        <f t="shared" si="1775"/>
        <v>5</v>
      </c>
      <c r="R1287" s="1">
        <f t="shared" si="1776"/>
        <v>20</v>
      </c>
      <c r="S1287" s="1">
        <f t="shared" si="1777"/>
        <v>3</v>
      </c>
      <c r="T1287" s="1">
        <f t="shared" si="1812"/>
        <v>1</v>
      </c>
      <c r="U1287" s="1">
        <f t="shared" si="1779"/>
        <v>0</v>
      </c>
      <c r="V1287" s="1">
        <f t="shared" si="1780"/>
        <v>3</v>
      </c>
      <c r="W1287" s="1">
        <f t="shared" si="1781"/>
        <v>1</v>
      </c>
      <c r="X1287" s="1">
        <f t="shared" si="1782"/>
        <v>1</v>
      </c>
      <c r="Y1287" s="1">
        <f t="shared" si="1783"/>
        <v>1</v>
      </c>
      <c r="Z1287" s="1">
        <f t="shared" si="1784"/>
        <v>1</v>
      </c>
      <c r="AA1287" s="1">
        <f t="shared" si="1808"/>
        <v>1</v>
      </c>
      <c r="AB1287" s="1">
        <f t="shared" si="1786"/>
        <v>1</v>
      </c>
      <c r="AC1287" s="1">
        <f t="shared" si="1813"/>
        <v>1</v>
      </c>
      <c r="AD1287" s="1">
        <f>ROUNDDOWN(I1287*(1+IF(F1287=3,0.05+方案参数!$Y$38+AA1287*0.12,IF(F1287=4,方案参数!$BZ$38*方案参数!$AS$38,0)))+IF(AND(X1287=1,F1287&lt;&gt;3),方案参数!$CC$38,0)+AC1287*方案参数!$CB$38,0)</f>
        <v>3798</v>
      </c>
      <c r="AE1287" s="1">
        <f>IF(OR(F1287=1,F1287=4),配置与结果!$B$24,配置与结果!$B$25)*MAX(0,1-INDEX(配置与结果!$I$15:$I$18,F1287))</f>
        <v>1000</v>
      </c>
      <c r="AF1287" s="1">
        <f>方案参数!$CF$38+P1287*方案参数!$CG$38</f>
        <v>22.5</v>
      </c>
      <c r="AG1287" s="1">
        <f>MAX(配置与结果!$B$32,1+INDEX(配置与结果!$F$15:$F$18,F1287)+0+Q1287*方案参数!$W$38+Y1287*(方案参数!$AN$38+MIN(方案参数!$AO$38,P1287*0.03))+AB1287*方案参数!$BZ$38*0.025-配置与结果!$B$28)</f>
        <v>1.9100000000000001</v>
      </c>
      <c r="AH1287" s="1">
        <f>MAX(0,1+INDEX(配置与结果!$G$15:$G$18,F1287)+W1287*方案参数!$AG$38)</f>
        <v>1.3</v>
      </c>
      <c r="AI1287" s="1">
        <f>IF(OR(INDEX(配置与结果!$K$15:$K$18,F1287)=1,G1287="RHI_BERRY"),1+配置与结果!$B$33+P1287*方案参数!$AH$38,1)</f>
        <v>1.5</v>
      </c>
      <c r="AJ1287" s="1">
        <f>MIN(1,MAX(0,J1287+方案参数!$AB$38-配置与结果!$B$27))</f>
        <v>0.55499999999999994</v>
      </c>
      <c r="AK1287" s="1">
        <f>MAX(1,K1287+IF(F1287=2,0.15+方案参数!$CH$38,0)+BN1287*方案参数!$X$38+R1287*方案参数!$AA$38+0-配置与结果!$B$26+Z1287*(方案参数!$AP$38+MIN(方案参数!$AQ$38,P1287*0.03)))</f>
        <v>1.6900000000000002</v>
      </c>
      <c r="AL1287" s="7">
        <f>ROUNDDOWN(MAX(AD1287*配置与结果!$B$31,AD1287-AE1287)*AF1287*AG1287*AH1287*AI1287,0)</f>
        <v>234475</v>
      </c>
      <c r="AM1287" s="7">
        <f>ROUNDDOWN(MAX(AD1287*配置与结果!$B$31,AD1287-AE1287)*AF1287*AG1287*AH1287*AI1287*AK1287,0)</f>
        <v>396264</v>
      </c>
      <c r="AN1287" s="7">
        <f t="shared" si="1817"/>
        <v>324267.89500000002</v>
      </c>
      <c r="AO1287" s="7">
        <f>0</f>
        <v>0</v>
      </c>
      <c r="AP1287" s="7">
        <f>MAX(0,1+INDEX(配置与结果!$J$15:$J$18,F1287)+IF(T1287&gt;0,方案参数!$BY$38,0)-配置与结果!$B$30)</f>
        <v>2</v>
      </c>
      <c r="AQ1287" s="7">
        <f t="shared" si="1818"/>
        <v>0</v>
      </c>
      <c r="AR1287" s="7">
        <f t="shared" si="1819"/>
        <v>0</v>
      </c>
      <c r="AS1287" s="7">
        <f t="shared" si="1820"/>
        <v>0</v>
      </c>
      <c r="AT1287" s="7">
        <f>0</f>
        <v>0</v>
      </c>
      <c r="AU1287" s="7">
        <f t="shared" si="1821"/>
        <v>324267.89500000002</v>
      </c>
      <c r="AV1287" s="1">
        <f t="shared" si="1822"/>
        <v>2</v>
      </c>
      <c r="AW1287" s="1">
        <f t="shared" ref="AW1287:AW1303" si="1826">MIN(10,M1287+0+0)</f>
        <v>10</v>
      </c>
      <c r="AX1287" s="1">
        <f t="shared" si="1823"/>
        <v>2</v>
      </c>
      <c r="AY1287" s="1">
        <f>MIN(20,MAX(0,O1287+0+0-0))</f>
        <v>0</v>
      </c>
      <c r="AZ1287" s="1">
        <f t="shared" si="1824"/>
        <v>5</v>
      </c>
      <c r="BA1287" s="1">
        <f t="shared" si="1809"/>
        <v>5</v>
      </c>
      <c r="BB1287" s="1">
        <f t="shared" si="1825"/>
        <v>20</v>
      </c>
      <c r="BC1287" s="1">
        <f t="shared" si="1815"/>
        <v>3</v>
      </c>
      <c r="BD1287" s="1">
        <f t="shared" si="1796"/>
        <v>1</v>
      </c>
      <c r="BE1287" s="1">
        <f t="shared" si="1789"/>
        <v>0</v>
      </c>
      <c r="BF1287" s="1">
        <f>MIN(4,V1287+0)</f>
        <v>3</v>
      </c>
      <c r="BG1287" s="1">
        <f t="shared" si="1806"/>
        <v>1</v>
      </c>
      <c r="BH1287" s="1">
        <f t="shared" si="1790"/>
        <v>1</v>
      </c>
      <c r="BI1287" s="1">
        <f t="shared" si="1807"/>
        <v>1</v>
      </c>
      <c r="BJ1287" s="1">
        <f t="shared" si="1810"/>
        <v>1</v>
      </c>
      <c r="BK1287" s="1">
        <f t="shared" si="1811"/>
        <v>1</v>
      </c>
      <c r="BL1287" s="1">
        <f t="shared" si="1816"/>
        <v>1</v>
      </c>
      <c r="BM1287" s="1">
        <f t="shared" si="1814"/>
        <v>1</v>
      </c>
      <c r="BN1287" s="1">
        <f t="shared" si="1791"/>
        <v>1</v>
      </c>
      <c r="BO1287" s="1">
        <f t="shared" si="1792"/>
        <v>1</v>
      </c>
    </row>
    <row r="1288" spans="1:67" ht="30.95" customHeight="1">
      <c r="A1288" s="1">
        <f>35</f>
        <v>35</v>
      </c>
      <c r="B1288" s="1">
        <f>固定流程!A28</f>
        <v>23</v>
      </c>
      <c r="C1288" s="1">
        <f>38</f>
        <v>38</v>
      </c>
      <c r="D1288" s="1">
        <f>1</f>
        <v>1</v>
      </c>
      <c r="E1288" s="1">
        <f>固定流程!C28</f>
        <v>3</v>
      </c>
      <c r="F1288" s="1">
        <f>固定流程!G28</f>
        <v>2</v>
      </c>
      <c r="G1288" s="1" t="str">
        <f>固定流程!H28</f>
        <v>37_FOLLOW</v>
      </c>
      <c r="H1288" s="1">
        <f>固定流程!F28</f>
        <v>1</v>
      </c>
      <c r="I1288" s="1">
        <f>INDEX(配置与结果!$B$15:$B$18,F1288)</f>
        <v>2306</v>
      </c>
      <c r="J1288" s="1">
        <f>INDEX(配置与结果!$D$15:$D$18,F1288)</f>
        <v>0.46</v>
      </c>
      <c r="K1288" s="1">
        <f>INDEX(配置与结果!$E$15:$E$18,F1288)</f>
        <v>1.9279999999999999</v>
      </c>
      <c r="L1288" s="1">
        <f t="shared" si="1803"/>
        <v>2</v>
      </c>
      <c r="M1288" s="1">
        <f t="shared" si="1804"/>
        <v>10</v>
      </c>
      <c r="N1288" s="1">
        <f t="shared" si="1805"/>
        <v>2</v>
      </c>
      <c r="O1288" s="1">
        <f t="shared" si="1797"/>
        <v>0</v>
      </c>
      <c r="P1288" s="1">
        <f>MIN(方案参数!$AI$38,AZ1287+0+0)</f>
        <v>5</v>
      </c>
      <c r="Q1288" s="1">
        <f t="shared" si="1775"/>
        <v>5</v>
      </c>
      <c r="R1288" s="1">
        <f t="shared" si="1776"/>
        <v>20</v>
      </c>
      <c r="S1288" s="1">
        <f t="shared" si="1777"/>
        <v>3</v>
      </c>
      <c r="T1288" s="1">
        <f t="shared" si="1812"/>
        <v>1</v>
      </c>
      <c r="U1288" s="1">
        <f t="shared" si="1779"/>
        <v>0</v>
      </c>
      <c r="V1288" s="1">
        <f t="shared" si="1780"/>
        <v>3</v>
      </c>
      <c r="W1288" s="1">
        <f t="shared" si="1781"/>
        <v>1</v>
      </c>
      <c r="X1288" s="1">
        <f t="shared" si="1782"/>
        <v>1</v>
      </c>
      <c r="Y1288" s="1">
        <f t="shared" si="1783"/>
        <v>1</v>
      </c>
      <c r="Z1288" s="1">
        <f t="shared" si="1784"/>
        <v>1</v>
      </c>
      <c r="AA1288" s="1">
        <f t="shared" si="1808"/>
        <v>1</v>
      </c>
      <c r="AB1288" s="1">
        <f t="shared" si="1786"/>
        <v>1</v>
      </c>
      <c r="AC1288" s="1">
        <f t="shared" si="1813"/>
        <v>1</v>
      </c>
      <c r="AD1288" s="1">
        <f>ROUNDDOWN(I1288*(1+IF(F1288=3,0.05+方案参数!$Y$38+AA1288*0.12,IF(F1288=4,方案参数!$BZ$38*方案参数!$AS$38,0)))+IF(AND(X1288=1,F1288&lt;&gt;3),方案参数!$CC$38,0)+AC1288*方案参数!$CB$38,0)</f>
        <v>3044</v>
      </c>
      <c r="AE1288" s="1">
        <f>IF(OR(F1288=1,F1288=4),配置与结果!$B$24,配置与结果!$B$25)*MAX(0,1-INDEX(配置与结果!$I$15:$I$18,F1288))</f>
        <v>1000</v>
      </c>
      <c r="AF1288" s="1">
        <f>方案参数!$BV$38</f>
        <v>3</v>
      </c>
      <c r="AG1288" s="1">
        <f>MAX(配置与结果!$B$32,1+INDEX(配置与结果!$F$15:$F$18,F1288)+0+Q1288*方案参数!$W$38+Y1288*(方案参数!$AN$38+MIN(方案参数!$AO$38,P1288*0.03))+AB1288*方案参数!$BZ$38*0.025-配置与结果!$B$28)</f>
        <v>1.8800000000000003</v>
      </c>
      <c r="AH1288" s="1">
        <f>MAX(0,1+INDEX(配置与结果!$G$15:$G$18,F1288)+W1288*方案参数!$AG$38)</f>
        <v>1.3</v>
      </c>
      <c r="AI1288" s="1">
        <f>IF(OR(INDEX(配置与结果!$K$15:$K$18,F1288)=1,G1288="RHI_BERRY"),1+配置与结果!$B$33+P1288*方案参数!$AH$38,1)</f>
        <v>1</v>
      </c>
      <c r="AJ1288" s="1">
        <f>MIN(1,MAX(0,J1288+方案参数!$AB$38-配置与结果!$B$27))</f>
        <v>0.76</v>
      </c>
      <c r="AK1288" s="1">
        <f>MAX(1,K1288+IF(F1288=2,0.15+方案参数!$CH$38,0)+BN1288*方案参数!$X$38+R1288*方案参数!$AA$38+0-配置与结果!$B$26+Z1288*(方案参数!$AP$38+MIN(方案参数!$AQ$38,P1288*0.03)))</f>
        <v>2.4580000000000002</v>
      </c>
      <c r="AL1288" s="7">
        <f>ROUNDDOWN(MAX(AD1288*配置与结果!$B$31,AD1288-AE1288)*AF1288*AG1288*AH1288*AI1288,0)</f>
        <v>14986</v>
      </c>
      <c r="AM1288" s="7">
        <f>ROUNDDOWN(MAX(AD1288*配置与结果!$B$31,AD1288-AE1288)*AF1288*AG1288*AH1288*AI1288*AK1288,0)</f>
        <v>36837</v>
      </c>
      <c r="AN1288" s="7">
        <f t="shared" si="1817"/>
        <v>31592.76</v>
      </c>
      <c r="AO1288" s="7">
        <f>方案参数!$BW$38</f>
        <v>1</v>
      </c>
      <c r="AP1288" s="7">
        <f>MAX(0,1+INDEX(配置与结果!$J$15:$J$18,F1288)+IF(T1288&gt;0,方案参数!$BY$38,0)-配置与结果!$B$30)</f>
        <v>2</v>
      </c>
      <c r="AQ1288" s="7">
        <f t="shared" si="1818"/>
        <v>6088</v>
      </c>
      <c r="AR1288" s="7">
        <f t="shared" si="1819"/>
        <v>14964</v>
      </c>
      <c r="AS1288" s="7">
        <f t="shared" si="1820"/>
        <v>12833.759999999998</v>
      </c>
      <c r="AT1288" s="7">
        <f>0</f>
        <v>0</v>
      </c>
      <c r="AU1288" s="7">
        <f t="shared" si="1821"/>
        <v>44426.52</v>
      </c>
      <c r="AV1288" s="1">
        <f t="shared" si="1822"/>
        <v>2</v>
      </c>
      <c r="AW1288" s="1">
        <f t="shared" si="1826"/>
        <v>10</v>
      </c>
      <c r="AX1288" s="1">
        <f t="shared" si="1823"/>
        <v>2</v>
      </c>
      <c r="AY1288" s="1">
        <f>MIN(20,MAX(0,O1288+0+0-0))</f>
        <v>0</v>
      </c>
      <c r="AZ1288" s="1">
        <f t="shared" si="1824"/>
        <v>5</v>
      </c>
      <c r="BA1288" s="1">
        <f t="shared" si="1809"/>
        <v>5</v>
      </c>
      <c r="BB1288" s="1">
        <f t="shared" si="1825"/>
        <v>20</v>
      </c>
      <c r="BC1288" s="1">
        <f t="shared" si="1815"/>
        <v>3</v>
      </c>
      <c r="BD1288" s="1">
        <f t="shared" si="1796"/>
        <v>0</v>
      </c>
      <c r="BE1288" s="1">
        <f t="shared" si="1789"/>
        <v>0</v>
      </c>
      <c r="BF1288" s="1">
        <f>MIN(4,V1288+1)</f>
        <v>4</v>
      </c>
      <c r="BG1288" s="1">
        <f t="shared" si="1806"/>
        <v>1</v>
      </c>
      <c r="BH1288" s="1">
        <f t="shared" si="1790"/>
        <v>1</v>
      </c>
      <c r="BI1288" s="1">
        <f t="shared" si="1807"/>
        <v>1</v>
      </c>
      <c r="BJ1288" s="1">
        <f t="shared" si="1810"/>
        <v>1</v>
      </c>
      <c r="BK1288" s="1">
        <f t="shared" si="1811"/>
        <v>1</v>
      </c>
      <c r="BL1288" s="1">
        <f t="shared" si="1816"/>
        <v>1</v>
      </c>
      <c r="BM1288" s="1">
        <f t="shared" si="1814"/>
        <v>1</v>
      </c>
      <c r="BN1288" s="1">
        <f t="shared" si="1791"/>
        <v>1</v>
      </c>
      <c r="BO1288" s="1">
        <f t="shared" si="1792"/>
        <v>1</v>
      </c>
    </row>
    <row r="1289" spans="1:67" ht="30.95" customHeight="1">
      <c r="A1289" s="1">
        <f>35</f>
        <v>35</v>
      </c>
      <c r="B1289" s="1">
        <f>固定流程!A29</f>
        <v>24</v>
      </c>
      <c r="C1289" s="1">
        <f>38</f>
        <v>38</v>
      </c>
      <c r="D1289" s="1">
        <f>2</f>
        <v>2</v>
      </c>
      <c r="E1289" s="1">
        <f>固定流程!C29</f>
        <v>3</v>
      </c>
      <c r="F1289" s="1">
        <f>固定流程!G29</f>
        <v>1</v>
      </c>
      <c r="G1289" s="1" t="str">
        <f>固定流程!H29</f>
        <v>LILYA_WEAK</v>
      </c>
      <c r="H1289" s="1">
        <f>固定流程!F29</f>
        <v>1</v>
      </c>
      <c r="I1289" s="1">
        <f>INDEX(配置与结果!$B$15:$B$18,F1289)</f>
        <v>2296</v>
      </c>
      <c r="J1289" s="1">
        <f>INDEX(配置与结果!$D$15:$D$18,F1289)</f>
        <v>0.7</v>
      </c>
      <c r="K1289" s="1">
        <f>INDEX(配置与结果!$E$15:$E$18,F1289)</f>
        <v>2.0249999999999999</v>
      </c>
      <c r="L1289" s="1">
        <f t="shared" si="1803"/>
        <v>2</v>
      </c>
      <c r="M1289" s="1">
        <f t="shared" si="1804"/>
        <v>10</v>
      </c>
      <c r="N1289" s="1">
        <f t="shared" si="1805"/>
        <v>2</v>
      </c>
      <c r="O1289" s="1">
        <f t="shared" si="1797"/>
        <v>0</v>
      </c>
      <c r="P1289" s="1">
        <f>MIN(方案参数!$AI$38,AZ1288+0+0)</f>
        <v>5</v>
      </c>
      <c r="Q1289" s="1">
        <f t="shared" si="1775"/>
        <v>5</v>
      </c>
      <c r="R1289" s="1">
        <f t="shared" si="1776"/>
        <v>20</v>
      </c>
      <c r="S1289" s="1">
        <f t="shared" si="1777"/>
        <v>3</v>
      </c>
      <c r="T1289" s="1">
        <f t="shared" si="1812"/>
        <v>0</v>
      </c>
      <c r="U1289" s="1">
        <f t="shared" si="1779"/>
        <v>0</v>
      </c>
      <c r="V1289" s="1">
        <f t="shared" si="1780"/>
        <v>4</v>
      </c>
      <c r="W1289" s="1">
        <f t="shared" si="1781"/>
        <v>1</v>
      </c>
      <c r="X1289" s="1">
        <f t="shared" si="1782"/>
        <v>1</v>
      </c>
      <c r="Y1289" s="1">
        <f t="shared" si="1783"/>
        <v>1</v>
      </c>
      <c r="Z1289" s="1">
        <f t="shared" si="1784"/>
        <v>1</v>
      </c>
      <c r="AA1289" s="1">
        <f t="shared" si="1808"/>
        <v>1</v>
      </c>
      <c r="AB1289" s="1">
        <f t="shared" si="1786"/>
        <v>1</v>
      </c>
      <c r="AC1289" s="1">
        <f t="shared" si="1813"/>
        <v>1</v>
      </c>
      <c r="AD1289" s="1">
        <f>ROUNDDOWN(I1289*(1+IF(F1289=3,0.05+方案参数!$Y$38+AA1289*0.12,IF(F1289=4,方案参数!$BZ$38*方案参数!$AS$38,0)))+IF(AND(X1289=1,F1289&lt;&gt;3),方案参数!$CC$38,0)+AC1289*方案参数!$CB$38,0)</f>
        <v>3034</v>
      </c>
      <c r="AE1289" s="1">
        <f>IF(OR(F1289=1,F1289=4),配置与结果!$B$24,配置与结果!$B$25)*MAX(0,1-INDEX(配置与结果!$I$15:$I$18,F1289))</f>
        <v>1200</v>
      </c>
      <c r="AF1289" s="1">
        <f>方案参数!$BL$38</f>
        <v>9</v>
      </c>
      <c r="AG1289" s="1">
        <f>MAX(配置与结果!$B$32,1+INDEX(配置与结果!$F$15:$F$18,F1289)+0.08+方案参数!$CD$38+Q1289*方案参数!$W$38+Y1289*(方案参数!$AN$38+MIN(方案参数!$AO$38,P1289*0.03))+AB1289*方案参数!$BZ$38*0.025-配置与结果!$B$28+方案参数!$AE$38)</f>
        <v>2.6150000000000002</v>
      </c>
      <c r="AH1289" s="1">
        <f>MAX(0,1+V1289*方案参数!$U$38+0*方案参数!$V$38+方案参数!$AE$38-配置与结果!$B$29)</f>
        <v>1.7200000000000002</v>
      </c>
      <c r="AI1289" s="1">
        <f>IF(OR(INDEX(配置与结果!$K$15:$K$18,F1289)=1,G1289="RHI_BERRY"),1+配置与结果!$B$33+P1289*方案参数!$AH$38,1)</f>
        <v>1</v>
      </c>
      <c r="AJ1289" s="1">
        <f>MIN(1,MAX(0,J1289+方案参数!$AB$38-配置与结果!$B$27))</f>
        <v>1</v>
      </c>
      <c r="AK1289" s="1">
        <f>MAX(1,K1289+IF(F1289=2,0.15+方案参数!$CH$38,0)+BN1289*方案参数!$X$38+R1289*方案参数!$AA$38+方案参数!$BP$38-配置与结果!$B$26+Z1289*(方案参数!$AP$38+MIN(方案参数!$AQ$38,P1289*0.03)))</f>
        <v>2.7650000000000001</v>
      </c>
      <c r="AL1289" s="7">
        <f>ROUNDDOWN(MAX(AD1289*配置与结果!$B$31,AD1289-AE1289)*AF1289*AG1289*AH1289*AI1289,0)</f>
        <v>74240</v>
      </c>
      <c r="AM1289" s="7">
        <f>ROUNDDOWN(MAX(AD1289*配置与结果!$B$31,AD1289-AE1289)*AF1289*AG1289*AH1289*AI1289*AK1289,0)</f>
        <v>205275</v>
      </c>
      <c r="AN1289" s="7">
        <f t="shared" si="1817"/>
        <v>205275</v>
      </c>
      <c r="AO1289" s="7">
        <f>0</f>
        <v>0</v>
      </c>
      <c r="AP1289" s="7">
        <f>MAX(0,1+INDEX(配置与结果!$J$15:$J$18,F1289)+IF(T1289&gt;0,方案参数!$BY$38,0)-配置与结果!$B$30)</f>
        <v>1</v>
      </c>
      <c r="AQ1289" s="7">
        <f t="shared" si="1818"/>
        <v>0</v>
      </c>
      <c r="AR1289" s="7">
        <f t="shared" si="1819"/>
        <v>0</v>
      </c>
      <c r="AS1289" s="7">
        <f t="shared" si="1820"/>
        <v>0</v>
      </c>
      <c r="AT1289" s="7">
        <f>IF(U1289&gt;0,ROUNDDOWN(AL1289*方案参数!$AF$38,0)*(1-AJ1289)+ROUNDDOWN(AM1289*方案参数!$AF$38,0)*AJ1289,0)</f>
        <v>0</v>
      </c>
      <c r="AU1289" s="7">
        <f t="shared" si="1821"/>
        <v>205275</v>
      </c>
      <c r="AV1289" s="1">
        <f t="shared" si="1822"/>
        <v>2</v>
      </c>
      <c r="AW1289" s="1">
        <f t="shared" si="1826"/>
        <v>10</v>
      </c>
      <c r="AX1289" s="1">
        <f t="shared" si="1823"/>
        <v>2</v>
      </c>
      <c r="AY1289" s="1">
        <f>MIN(20,MAX(0,O1289+0+1-0))</f>
        <v>1</v>
      </c>
      <c r="AZ1289" s="1">
        <f t="shared" si="1824"/>
        <v>5</v>
      </c>
      <c r="BA1289" s="1">
        <f t="shared" si="1809"/>
        <v>5</v>
      </c>
      <c r="BB1289" s="1">
        <f t="shared" si="1825"/>
        <v>20</v>
      </c>
      <c r="BC1289" s="1">
        <f t="shared" si="1815"/>
        <v>3</v>
      </c>
      <c r="BD1289" s="1">
        <f t="shared" si="1796"/>
        <v>0</v>
      </c>
      <c r="BE1289" s="1">
        <f>MAX(0,U1289-IF(AF1289&gt;0,1,0))+0</f>
        <v>0</v>
      </c>
      <c r="BF1289" s="1">
        <f t="shared" ref="BF1289:BF1306" si="1827">MIN(4,V1289+0)</f>
        <v>4</v>
      </c>
      <c r="BG1289" s="1">
        <f t="shared" si="1806"/>
        <v>1</v>
      </c>
      <c r="BH1289" s="1">
        <f t="shared" si="1790"/>
        <v>1</v>
      </c>
      <c r="BI1289" s="1">
        <f t="shared" si="1807"/>
        <v>1</v>
      </c>
      <c r="BJ1289" s="1">
        <f t="shared" si="1810"/>
        <v>1</v>
      </c>
      <c r="BK1289" s="1">
        <f t="shared" si="1811"/>
        <v>1</v>
      </c>
      <c r="BL1289" s="1">
        <f t="shared" si="1816"/>
        <v>1</v>
      </c>
      <c r="BM1289" s="1">
        <f t="shared" si="1814"/>
        <v>1</v>
      </c>
      <c r="BN1289" s="1">
        <f t="shared" si="1791"/>
        <v>1</v>
      </c>
      <c r="BO1289" s="1">
        <f t="shared" si="1792"/>
        <v>1</v>
      </c>
    </row>
    <row r="1290" spans="1:67" ht="30.95" customHeight="1">
      <c r="A1290" s="1">
        <f>35</f>
        <v>35</v>
      </c>
      <c r="B1290" s="1">
        <f>固定流程!A30</f>
        <v>25</v>
      </c>
      <c r="C1290" s="1">
        <f>38</f>
        <v>38</v>
      </c>
      <c r="D1290" s="1">
        <f>2</f>
        <v>2</v>
      </c>
      <c r="E1290" s="1">
        <f>固定流程!C30</f>
        <v>3</v>
      </c>
      <c r="F1290" s="1">
        <f>固定流程!G30</f>
        <v>1</v>
      </c>
      <c r="G1290" s="1" t="str">
        <f>固定流程!H30</f>
        <v>LILYA_WEAK</v>
      </c>
      <c r="H1290" s="1">
        <f>固定流程!F30</f>
        <v>1</v>
      </c>
      <c r="I1290" s="1">
        <f>INDEX(配置与结果!$B$15:$B$18,F1290)</f>
        <v>2296</v>
      </c>
      <c r="J1290" s="1">
        <f>INDEX(配置与结果!$D$15:$D$18,F1290)</f>
        <v>0.7</v>
      </c>
      <c r="K1290" s="1">
        <f>INDEX(配置与结果!$E$15:$E$18,F1290)</f>
        <v>2.0249999999999999</v>
      </c>
      <c r="L1290" s="1">
        <f t="shared" si="1803"/>
        <v>2</v>
      </c>
      <c r="M1290" s="1">
        <f t="shared" si="1804"/>
        <v>10</v>
      </c>
      <c r="N1290" s="1">
        <f t="shared" si="1805"/>
        <v>2</v>
      </c>
      <c r="O1290" s="1">
        <f t="shared" si="1797"/>
        <v>1</v>
      </c>
      <c r="P1290" s="1">
        <f>MIN(方案参数!$AI$38,AZ1289+0+0)</f>
        <v>5</v>
      </c>
      <c r="Q1290" s="1">
        <f t="shared" si="1775"/>
        <v>5</v>
      </c>
      <c r="R1290" s="1">
        <f t="shared" si="1776"/>
        <v>20</v>
      </c>
      <c r="S1290" s="1">
        <f t="shared" si="1777"/>
        <v>3</v>
      </c>
      <c r="T1290" s="1">
        <f t="shared" si="1812"/>
        <v>0</v>
      </c>
      <c r="U1290" s="1">
        <f t="shared" si="1779"/>
        <v>0</v>
      </c>
      <c r="V1290" s="1">
        <f t="shared" si="1780"/>
        <v>4</v>
      </c>
      <c r="W1290" s="1">
        <f t="shared" si="1781"/>
        <v>1</v>
      </c>
      <c r="X1290" s="1">
        <f t="shared" si="1782"/>
        <v>1</v>
      </c>
      <c r="Y1290" s="1">
        <f t="shared" si="1783"/>
        <v>1</v>
      </c>
      <c r="Z1290" s="1">
        <f t="shared" si="1784"/>
        <v>1</v>
      </c>
      <c r="AA1290" s="1">
        <f t="shared" si="1808"/>
        <v>1</v>
      </c>
      <c r="AB1290" s="1">
        <f t="shared" si="1786"/>
        <v>1</v>
      </c>
      <c r="AC1290" s="1">
        <f t="shared" si="1813"/>
        <v>1</v>
      </c>
      <c r="AD1290" s="1">
        <f>ROUNDDOWN(I1290*(1+IF(F1290=3,0.05+方案参数!$Y$38+AA1290*0.12,IF(F1290=4,方案参数!$BZ$38*方案参数!$AS$38,0)))+IF(AND(X1290=1,F1290&lt;&gt;3),方案参数!$CC$38,0)+AC1290*方案参数!$CB$38,0)</f>
        <v>3034</v>
      </c>
      <c r="AE1290" s="1">
        <f>IF(OR(F1290=1,F1290=4),配置与结果!$B$24,配置与结果!$B$25)*MAX(0,1-INDEX(配置与结果!$I$15:$I$18,F1290))</f>
        <v>1200</v>
      </c>
      <c r="AF1290" s="1">
        <f>方案参数!$BL$38</f>
        <v>9</v>
      </c>
      <c r="AG1290" s="1">
        <f>MAX(配置与结果!$B$32,1+INDEX(配置与结果!$F$15:$F$18,F1290)+0.08+方案参数!$CD$38+Q1290*方案参数!$W$38+Y1290*(方案参数!$AN$38+MIN(方案参数!$AO$38,P1290*0.03))+AB1290*方案参数!$BZ$38*0.025-配置与结果!$B$28+方案参数!$AE$38)</f>
        <v>2.6150000000000002</v>
      </c>
      <c r="AH1290" s="1">
        <f>MAX(0,1+V1290*方案参数!$U$38+1*方案参数!$V$38+方案参数!$AE$38-配置与结果!$B$29)</f>
        <v>1.7800000000000002</v>
      </c>
      <c r="AI1290" s="1">
        <f>IF(OR(INDEX(配置与结果!$K$15:$K$18,F1290)=1,G1290="RHI_BERRY"),1+配置与结果!$B$33+P1290*方案参数!$AH$38,1)</f>
        <v>1</v>
      </c>
      <c r="AJ1290" s="1">
        <f>MIN(1,MAX(0,J1290+方案参数!$AB$38-配置与结果!$B$27))</f>
        <v>1</v>
      </c>
      <c r="AK1290" s="1">
        <f>MAX(1,K1290+IF(F1290=2,0.15+方案参数!$CH$38,0)+BN1290*方案参数!$X$38+R1290*方案参数!$AA$38+方案参数!$BP$38-配置与结果!$B$26+Z1290*(方案参数!$AP$38+MIN(方案参数!$AQ$38,P1290*0.03)))</f>
        <v>2.7650000000000001</v>
      </c>
      <c r="AL1290" s="7">
        <f>ROUNDDOWN(MAX(AD1290*配置与结果!$B$31,AD1290-AE1290)*AF1290*AG1290*AH1290*AI1290,0)</f>
        <v>76830</v>
      </c>
      <c r="AM1290" s="7">
        <f>ROUNDDOWN(MAX(AD1290*配置与结果!$B$31,AD1290-AE1290)*AF1290*AG1290*AH1290*AI1290*AK1290,0)</f>
        <v>212436</v>
      </c>
      <c r="AN1290" s="7">
        <f t="shared" si="1817"/>
        <v>212436</v>
      </c>
      <c r="AO1290" s="7">
        <f>0</f>
        <v>0</v>
      </c>
      <c r="AP1290" s="7">
        <f>MAX(0,1+INDEX(配置与结果!$J$15:$J$18,F1290)+IF(T1290&gt;0,方案参数!$BY$38,0)-配置与结果!$B$30)</f>
        <v>1</v>
      </c>
      <c r="AQ1290" s="7">
        <f t="shared" si="1818"/>
        <v>0</v>
      </c>
      <c r="AR1290" s="7">
        <f t="shared" si="1819"/>
        <v>0</v>
      </c>
      <c r="AS1290" s="7">
        <f t="shared" si="1820"/>
        <v>0</v>
      </c>
      <c r="AT1290" s="7">
        <f>IF(U1290&gt;0,ROUNDDOWN(AL1290*方案参数!$AF$38,0)*(1-AJ1290)+ROUNDDOWN(AM1290*方案参数!$AF$38,0)*AJ1290,0)</f>
        <v>0</v>
      </c>
      <c r="AU1290" s="7">
        <f t="shared" si="1821"/>
        <v>212436</v>
      </c>
      <c r="AV1290" s="1">
        <f t="shared" si="1822"/>
        <v>2</v>
      </c>
      <c r="AW1290" s="1">
        <f t="shared" si="1826"/>
        <v>10</v>
      </c>
      <c r="AX1290" s="1">
        <f t="shared" si="1823"/>
        <v>2</v>
      </c>
      <c r="AY1290" s="1">
        <f>MIN(20,MAX(0,O1290+0+1-0))</f>
        <v>2</v>
      </c>
      <c r="AZ1290" s="1">
        <f t="shared" si="1824"/>
        <v>5</v>
      </c>
      <c r="BA1290" s="1">
        <f t="shared" si="1809"/>
        <v>5</v>
      </c>
      <c r="BB1290" s="1">
        <f t="shared" si="1825"/>
        <v>20</v>
      </c>
      <c r="BC1290" s="1">
        <f t="shared" si="1815"/>
        <v>3</v>
      </c>
      <c r="BD1290" s="1">
        <f t="shared" si="1796"/>
        <v>0</v>
      </c>
      <c r="BE1290" s="1">
        <f>MAX(0,U1290-IF(AF1290&gt;0,1,0))+0</f>
        <v>0</v>
      </c>
      <c r="BF1290" s="1">
        <f t="shared" si="1827"/>
        <v>4</v>
      </c>
      <c r="BG1290" s="1">
        <f t="shared" si="1806"/>
        <v>1</v>
      </c>
      <c r="BH1290" s="1">
        <f t="shared" si="1790"/>
        <v>1</v>
      </c>
      <c r="BI1290" s="1">
        <f t="shared" si="1807"/>
        <v>1</v>
      </c>
      <c r="BJ1290" s="1">
        <f t="shared" si="1810"/>
        <v>1</v>
      </c>
      <c r="BK1290" s="1">
        <f t="shared" si="1811"/>
        <v>1</v>
      </c>
      <c r="BL1290" s="1">
        <f t="shared" si="1816"/>
        <v>1</v>
      </c>
      <c r="BM1290" s="1">
        <f t="shared" si="1814"/>
        <v>1</v>
      </c>
      <c r="BN1290" s="1">
        <f t="shared" si="1791"/>
        <v>1</v>
      </c>
      <c r="BO1290" s="1">
        <f t="shared" si="1792"/>
        <v>1</v>
      </c>
    </row>
    <row r="1291" spans="1:67" ht="30.95" customHeight="1">
      <c r="A1291" s="1">
        <f>35</f>
        <v>35</v>
      </c>
      <c r="B1291" s="1">
        <f>固定流程!A31</f>
        <v>26</v>
      </c>
      <c r="C1291" s="1">
        <f>38</f>
        <v>38</v>
      </c>
      <c r="D1291" s="1">
        <f>2</f>
        <v>2</v>
      </c>
      <c r="E1291" s="1">
        <f>固定流程!C31</f>
        <v>3</v>
      </c>
      <c r="F1291" s="1">
        <f>固定流程!G31</f>
        <v>2</v>
      </c>
      <c r="G1291" s="1" t="str">
        <f>固定流程!H31</f>
        <v>37_WEAK</v>
      </c>
      <c r="H1291" s="1">
        <f>固定流程!F31</f>
        <v>1</v>
      </c>
      <c r="I1291" s="1">
        <f>INDEX(配置与结果!$B$15:$B$18,F1291)</f>
        <v>2306</v>
      </c>
      <c r="J1291" s="1">
        <f>INDEX(配置与结果!$D$15:$D$18,F1291)</f>
        <v>0.46</v>
      </c>
      <c r="K1291" s="1">
        <f>INDEX(配置与结果!$E$15:$E$18,F1291)</f>
        <v>1.9279999999999999</v>
      </c>
      <c r="L1291" s="1">
        <f t="shared" si="1803"/>
        <v>2</v>
      </c>
      <c r="M1291" s="1">
        <f t="shared" si="1804"/>
        <v>10</v>
      </c>
      <c r="N1291" s="1">
        <f t="shared" si="1805"/>
        <v>2</v>
      </c>
      <c r="O1291" s="1">
        <f t="shared" si="1797"/>
        <v>2</v>
      </c>
      <c r="P1291" s="1">
        <f>MIN(方案参数!$AI$38,AZ1290+0+0)</f>
        <v>5</v>
      </c>
      <c r="Q1291" s="1">
        <f t="shared" si="1775"/>
        <v>5</v>
      </c>
      <c r="R1291" s="1">
        <f t="shared" si="1776"/>
        <v>20</v>
      </c>
      <c r="S1291" s="1">
        <f t="shared" si="1777"/>
        <v>3</v>
      </c>
      <c r="T1291" s="1">
        <f t="shared" si="1812"/>
        <v>0</v>
      </c>
      <c r="U1291" s="1">
        <f t="shared" si="1779"/>
        <v>0</v>
      </c>
      <c r="V1291" s="1">
        <f t="shared" si="1780"/>
        <v>4</v>
      </c>
      <c r="W1291" s="1">
        <f t="shared" si="1781"/>
        <v>1</v>
      </c>
      <c r="X1291" s="1">
        <f t="shared" si="1782"/>
        <v>1</v>
      </c>
      <c r="Y1291" s="1">
        <f t="shared" si="1783"/>
        <v>1</v>
      </c>
      <c r="Z1291" s="1">
        <f t="shared" si="1784"/>
        <v>1</v>
      </c>
      <c r="AA1291" s="1">
        <f t="shared" si="1808"/>
        <v>1</v>
      </c>
      <c r="AB1291" s="1">
        <f t="shared" si="1786"/>
        <v>1</v>
      </c>
      <c r="AC1291" s="1">
        <f t="shared" si="1813"/>
        <v>1</v>
      </c>
      <c r="AD1291" s="1">
        <f>ROUNDDOWN(I1291*(1+IF(F1291=3,0.05+方案参数!$Y$38+AA1291*0.12,IF(F1291=4,方案参数!$BZ$38*方案参数!$AS$38,0)))+IF(AND(X1291=1,F1291&lt;&gt;3),方案参数!$CC$38,0)+AC1291*方案参数!$CB$38,0)</f>
        <v>3044</v>
      </c>
      <c r="AE1291" s="1">
        <f>IF(OR(F1291=1,F1291=4),配置与结果!$B$24,配置与结果!$B$25)*MAX(0,1-INDEX(配置与结果!$I$15:$I$18,F1291))</f>
        <v>1000</v>
      </c>
      <c r="AF1291" s="1">
        <f>方案参数!$CE$38</f>
        <v>8</v>
      </c>
      <c r="AG1291" s="1">
        <f>MAX(配置与结果!$B$32,1+INDEX(配置与结果!$F$15:$F$18,F1291)+0+Q1291*方案参数!$W$38+Y1291*(方案参数!$AN$38+MIN(方案参数!$AO$38,P1291*0.03))+AB1291*方案参数!$BZ$38*0.025-配置与结果!$B$28+方案参数!$AE$38)</f>
        <v>2.2800000000000002</v>
      </c>
      <c r="AH1291" s="1">
        <f>MAX(0,1+V1291*方案参数!$U$38+方案参数!$AE$38-配置与结果!$B$29)</f>
        <v>1.7200000000000002</v>
      </c>
      <c r="AI1291" s="1">
        <f>IF(OR(INDEX(配置与结果!$K$15:$K$18,F1291)=1,G1291="RHI_BERRY"),1+配置与结果!$B$33+P1291*方案参数!$AH$38,1)</f>
        <v>1</v>
      </c>
      <c r="AJ1291" s="1">
        <f>MIN(1,MAX(0,J1291+方案参数!$AB$38-配置与结果!$B$27))</f>
        <v>0.76</v>
      </c>
      <c r="AK1291" s="1">
        <f>MAX(1,K1291+IF(F1291=2,0.15+方案参数!$CH$38,0)+BN1291*方案参数!$X$38+R1291*方案参数!$AA$38+0-配置与结果!$B$26+Z1291*(方案参数!$AP$38+MIN(方案参数!$AQ$38,P1291*0.03)))</f>
        <v>2.4580000000000002</v>
      </c>
      <c r="AL1291" s="7">
        <f>ROUNDDOWN(MAX(AD1291*配置与结果!$B$31,AD1291-AE1291)*AF1291*AG1291*AH1291*AI1291,0)</f>
        <v>64126</v>
      </c>
      <c r="AM1291" s="7">
        <f>ROUNDDOWN(MAX(AD1291*配置与结果!$B$31,AD1291-AE1291)*AF1291*AG1291*AH1291*AI1291*AK1291,0)</f>
        <v>157621</v>
      </c>
      <c r="AN1291" s="7">
        <f t="shared" si="1817"/>
        <v>135182.20000000001</v>
      </c>
      <c r="AO1291" s="7">
        <f>0</f>
        <v>0</v>
      </c>
      <c r="AP1291" s="7">
        <f>MAX(0,1+INDEX(配置与结果!$J$15:$J$18,F1291)+IF(T1291&gt;0,方案参数!$BY$38,0)-配置与结果!$B$30)</f>
        <v>1</v>
      </c>
      <c r="AQ1291" s="7">
        <f t="shared" si="1818"/>
        <v>0</v>
      </c>
      <c r="AR1291" s="7">
        <f t="shared" si="1819"/>
        <v>0</v>
      </c>
      <c r="AS1291" s="7">
        <f t="shared" si="1820"/>
        <v>0</v>
      </c>
      <c r="AT1291" s="7">
        <f>IF(U1291&gt;0,ROUNDDOWN(AL1291*方案参数!$AF$38,0)*(1-AJ1291)+ROUNDDOWN(AM1291*方案参数!$AF$38,0)*AJ1291,0)</f>
        <v>0</v>
      </c>
      <c r="AU1291" s="7">
        <f t="shared" si="1821"/>
        <v>135182.20000000001</v>
      </c>
      <c r="AV1291" s="1">
        <f t="shared" si="1822"/>
        <v>2</v>
      </c>
      <c r="AW1291" s="1">
        <f t="shared" si="1826"/>
        <v>10</v>
      </c>
      <c r="AX1291" s="1">
        <f t="shared" si="1823"/>
        <v>2</v>
      </c>
      <c r="AY1291" s="1">
        <f>MIN(20,MAX(0,O1291+0+0-0))</f>
        <v>2</v>
      </c>
      <c r="AZ1291" s="1">
        <f t="shared" si="1824"/>
        <v>5</v>
      </c>
      <c r="BA1291" s="1">
        <f t="shared" si="1809"/>
        <v>5</v>
      </c>
      <c r="BB1291" s="1">
        <f t="shared" si="1825"/>
        <v>20</v>
      </c>
      <c r="BC1291" s="1">
        <f t="shared" si="1815"/>
        <v>3</v>
      </c>
      <c r="BD1291" s="1">
        <f t="shared" si="1796"/>
        <v>0</v>
      </c>
      <c r="BE1291" s="1">
        <f>MAX(0,U1291-IF(AF1291&gt;0,1,0))+1</f>
        <v>1</v>
      </c>
      <c r="BF1291" s="1">
        <f t="shared" si="1827"/>
        <v>4</v>
      </c>
      <c r="BG1291" s="1">
        <f t="shared" si="1806"/>
        <v>1</v>
      </c>
      <c r="BH1291" s="1">
        <f t="shared" si="1790"/>
        <v>1</v>
      </c>
      <c r="BI1291" s="1">
        <f t="shared" si="1807"/>
        <v>1</v>
      </c>
      <c r="BJ1291" s="1">
        <f t="shared" si="1810"/>
        <v>1</v>
      </c>
      <c r="BK1291" s="1">
        <f t="shared" si="1811"/>
        <v>1</v>
      </c>
      <c r="BL1291" s="1">
        <f t="shared" si="1816"/>
        <v>1</v>
      </c>
      <c r="BM1291" s="1">
        <f t="shared" si="1814"/>
        <v>1</v>
      </c>
      <c r="BN1291" s="1">
        <f t="shared" si="1791"/>
        <v>1</v>
      </c>
      <c r="BO1291" s="1">
        <f t="shared" si="1792"/>
        <v>1</v>
      </c>
    </row>
    <row r="1292" spans="1:67" ht="30.95" customHeight="1">
      <c r="A1292" s="1">
        <f>35</f>
        <v>35</v>
      </c>
      <c r="B1292" s="1">
        <f>固定流程!A32</f>
        <v>27</v>
      </c>
      <c r="C1292" s="1">
        <f>38</f>
        <v>38</v>
      </c>
      <c r="D1292" s="1">
        <f>2</f>
        <v>2</v>
      </c>
      <c r="E1292" s="1">
        <f>固定流程!C32</f>
        <v>3</v>
      </c>
      <c r="F1292" s="1">
        <f>固定流程!G32</f>
        <v>1</v>
      </c>
      <c r="G1292" s="1" t="str">
        <f>固定流程!H32</f>
        <v>LILYA_THIRD</v>
      </c>
      <c r="H1292" s="1">
        <f>固定流程!F32</f>
        <v>1</v>
      </c>
      <c r="I1292" s="1">
        <f>INDEX(配置与结果!$B$15:$B$18,F1292)</f>
        <v>2296</v>
      </c>
      <c r="J1292" s="1">
        <f>INDEX(配置与结果!$D$15:$D$18,F1292)</f>
        <v>0.7</v>
      </c>
      <c r="K1292" s="1">
        <f>INDEX(配置与结果!$E$15:$E$18,F1292)</f>
        <v>2.0249999999999999</v>
      </c>
      <c r="L1292" s="1">
        <f t="shared" si="1803"/>
        <v>2</v>
      </c>
      <c r="M1292" s="1">
        <f t="shared" si="1804"/>
        <v>10</v>
      </c>
      <c r="N1292" s="1">
        <f t="shared" si="1805"/>
        <v>2</v>
      </c>
      <c r="O1292" s="1">
        <f t="shared" si="1797"/>
        <v>2</v>
      </c>
      <c r="P1292" s="1">
        <f>MIN(方案参数!$AI$38,AZ1291+0+0)</f>
        <v>5</v>
      </c>
      <c r="Q1292" s="1">
        <f t="shared" si="1775"/>
        <v>5</v>
      </c>
      <c r="R1292" s="1">
        <f t="shared" si="1776"/>
        <v>20</v>
      </c>
      <c r="S1292" s="1">
        <f t="shared" si="1777"/>
        <v>3</v>
      </c>
      <c r="T1292" s="1">
        <f t="shared" si="1812"/>
        <v>0</v>
      </c>
      <c r="U1292" s="1">
        <f t="shared" si="1779"/>
        <v>1</v>
      </c>
      <c r="V1292" s="1">
        <f t="shared" si="1780"/>
        <v>4</v>
      </c>
      <c r="W1292" s="1">
        <f t="shared" si="1781"/>
        <v>1</v>
      </c>
      <c r="X1292" s="1">
        <f t="shared" si="1782"/>
        <v>1</v>
      </c>
      <c r="Y1292" s="1">
        <f t="shared" si="1783"/>
        <v>1</v>
      </c>
      <c r="Z1292" s="1">
        <f t="shared" si="1784"/>
        <v>1</v>
      </c>
      <c r="AA1292" s="1">
        <f t="shared" si="1808"/>
        <v>1</v>
      </c>
      <c r="AB1292" s="1">
        <f t="shared" si="1786"/>
        <v>1</v>
      </c>
      <c r="AC1292" s="1">
        <f t="shared" si="1813"/>
        <v>1</v>
      </c>
      <c r="AD1292" s="1">
        <f>ROUNDDOWN(I1292*(1+IF(F1292=3,0.05+方案参数!$Y$38+AA1292*0.12,IF(F1292=4,方案参数!$BZ$38*方案参数!$AS$38,0)))+IF(AND(X1292=1,F1292&lt;&gt;3),方案参数!$CC$38,0)+AC1292*方案参数!$CB$38,0)</f>
        <v>3034</v>
      </c>
      <c r="AE1292" s="1">
        <f>IF(OR(F1292=1,F1292=4),配置与结果!$B$24,配置与结果!$B$25)*MAX(0,1-INDEX(配置与结果!$I$15:$I$18,F1292))</f>
        <v>1200</v>
      </c>
      <c r="AF1292" s="1">
        <f>方案参数!$BM$38</f>
        <v>20</v>
      </c>
      <c r="AG1292" s="1">
        <f>MAX(配置与结果!$B$32,1+INDEX(配置与结果!$F$15:$F$18,F1292)+0.08+方案参数!$CD$38+Q1292*方案参数!$W$38+Y1292*(方案参数!$AN$38+MIN(方案参数!$AO$38,P1292*0.03))+AB1292*方案参数!$BZ$38*0.025-配置与结果!$B$28+方案参数!$AE$38)</f>
        <v>2.6150000000000002</v>
      </c>
      <c r="AH1292" s="1">
        <f>MAX(0,1+V1292*方案参数!$U$38+3*方案参数!$V$38+方案参数!$AE$38-配置与结果!$B$29)</f>
        <v>1.9</v>
      </c>
      <c r="AI1292" s="1">
        <f>IF(OR(INDEX(配置与结果!$K$15:$K$18,F1292)=1,G1292="RHI_BERRY"),1+配置与结果!$B$33+P1292*方案参数!$AH$38,1)</f>
        <v>1</v>
      </c>
      <c r="AJ1292" s="1">
        <f>MIN(1,MAX(0,J1292+方案参数!$AB$38-配置与结果!$B$27))</f>
        <v>1</v>
      </c>
      <c r="AK1292" s="1">
        <f>MAX(1,K1292+IF(F1292=2,0.15+方案参数!$CH$38,0)+BN1292*方案参数!$X$38+R1292*方案参数!$AA$38+方案参数!$BQ$38-配置与结果!$B$26+Z1292*(方案参数!$AP$38+MIN(方案参数!$AQ$38,P1292*0.03)))</f>
        <v>2.9650000000000003</v>
      </c>
      <c r="AL1292" s="7">
        <f>ROUNDDOWN(MAX(AD1292*配置与结果!$B$31,AD1292-AE1292)*AF1292*AG1292*AH1292*AI1292,0)</f>
        <v>182244</v>
      </c>
      <c r="AM1292" s="7">
        <f>ROUNDDOWN(MAX(AD1292*配置与结果!$B$31,AD1292-AE1292)*AF1292*AG1292*AH1292*AI1292*AK1292,0)</f>
        <v>540355</v>
      </c>
      <c r="AN1292" s="7">
        <f t="shared" si="1817"/>
        <v>540355</v>
      </c>
      <c r="AO1292" s="7">
        <f>0</f>
        <v>0</v>
      </c>
      <c r="AP1292" s="7">
        <f>MAX(0,1+INDEX(配置与结果!$J$15:$J$18,F1292)+IF(T1292&gt;0,方案参数!$BY$38,0)-配置与结果!$B$30)</f>
        <v>1</v>
      </c>
      <c r="AQ1292" s="7">
        <f t="shared" si="1818"/>
        <v>0</v>
      </c>
      <c r="AR1292" s="7">
        <f t="shared" si="1819"/>
        <v>0</v>
      </c>
      <c r="AS1292" s="7">
        <f t="shared" si="1820"/>
        <v>0</v>
      </c>
      <c r="AT1292" s="7">
        <f>IF(U1292&gt;0,ROUNDDOWN(AL1292*方案参数!$AF$38,0)*(1-AJ1292)+ROUNDDOWN(AM1292*方案参数!$AF$38,0)*AJ1292,0)</f>
        <v>216142</v>
      </c>
      <c r="AU1292" s="7">
        <f t="shared" si="1821"/>
        <v>756497</v>
      </c>
      <c r="AV1292" s="1">
        <f t="shared" si="1822"/>
        <v>2</v>
      </c>
      <c r="AW1292" s="1">
        <f t="shared" si="1826"/>
        <v>10</v>
      </c>
      <c r="AX1292" s="1">
        <f t="shared" si="1823"/>
        <v>2</v>
      </c>
      <c r="AY1292" s="1">
        <f>MIN(20,MAX(0,O1292+0+1-0))</f>
        <v>3</v>
      </c>
      <c r="AZ1292" s="1">
        <f t="shared" si="1824"/>
        <v>5</v>
      </c>
      <c r="BA1292" s="1">
        <f t="shared" si="1809"/>
        <v>5</v>
      </c>
      <c r="BB1292" s="1">
        <f t="shared" si="1825"/>
        <v>20</v>
      </c>
      <c r="BC1292" s="1">
        <f t="shared" si="1815"/>
        <v>3</v>
      </c>
      <c r="BD1292" s="1">
        <f t="shared" si="1796"/>
        <v>0</v>
      </c>
      <c r="BE1292" s="1">
        <f>MAX(0,U1292-IF(AF1292&gt;0,1,0))+0</f>
        <v>0</v>
      </c>
      <c r="BF1292" s="1">
        <f t="shared" si="1827"/>
        <v>4</v>
      </c>
      <c r="BG1292" s="1">
        <f t="shared" si="1806"/>
        <v>1</v>
      </c>
      <c r="BH1292" s="1">
        <f t="shared" si="1790"/>
        <v>1</v>
      </c>
      <c r="BI1292" s="1">
        <f t="shared" si="1807"/>
        <v>1</v>
      </c>
      <c r="BJ1292" s="1">
        <f t="shared" si="1810"/>
        <v>1</v>
      </c>
      <c r="BK1292" s="1">
        <f t="shared" si="1811"/>
        <v>1</v>
      </c>
      <c r="BL1292" s="1">
        <f t="shared" si="1816"/>
        <v>1</v>
      </c>
      <c r="BM1292" s="1">
        <f t="shared" si="1814"/>
        <v>1</v>
      </c>
      <c r="BN1292" s="1">
        <f t="shared" si="1791"/>
        <v>1</v>
      </c>
      <c r="BO1292" s="1">
        <f t="shared" si="1792"/>
        <v>1</v>
      </c>
    </row>
    <row r="1293" spans="1:67" ht="30.95" customHeight="1">
      <c r="A1293" s="1">
        <f>35</f>
        <v>35</v>
      </c>
      <c r="B1293" s="1">
        <f>固定流程!A33</f>
        <v>28</v>
      </c>
      <c r="C1293" s="1">
        <f>38</f>
        <v>38</v>
      </c>
      <c r="D1293" s="1">
        <f>2</f>
        <v>2</v>
      </c>
      <c r="E1293" s="1">
        <f>固定流程!C33</f>
        <v>3</v>
      </c>
      <c r="F1293" s="1">
        <f>固定流程!G33</f>
        <v>1</v>
      </c>
      <c r="G1293" s="1" t="str">
        <f>固定流程!H33</f>
        <v>LILYA_WEAK</v>
      </c>
      <c r="H1293" s="1">
        <f>固定流程!F33</f>
        <v>1</v>
      </c>
      <c r="I1293" s="1">
        <f>INDEX(配置与结果!$B$15:$B$18,F1293)</f>
        <v>2296</v>
      </c>
      <c r="J1293" s="1">
        <f>INDEX(配置与结果!$D$15:$D$18,F1293)</f>
        <v>0.7</v>
      </c>
      <c r="K1293" s="1">
        <f>INDEX(配置与结果!$E$15:$E$18,F1293)</f>
        <v>2.0249999999999999</v>
      </c>
      <c r="L1293" s="1">
        <f t="shared" si="1803"/>
        <v>2</v>
      </c>
      <c r="M1293" s="1">
        <f t="shared" si="1804"/>
        <v>10</v>
      </c>
      <c r="N1293" s="1">
        <f t="shared" si="1805"/>
        <v>2</v>
      </c>
      <c r="O1293" s="1">
        <f t="shared" si="1797"/>
        <v>3</v>
      </c>
      <c r="P1293" s="1">
        <f>MIN(方案参数!$AI$38,AZ1292+0+0)</f>
        <v>5</v>
      </c>
      <c r="Q1293" s="1">
        <f t="shared" si="1775"/>
        <v>5</v>
      </c>
      <c r="R1293" s="1">
        <f t="shared" si="1776"/>
        <v>20</v>
      </c>
      <c r="S1293" s="1">
        <f t="shared" si="1777"/>
        <v>3</v>
      </c>
      <c r="T1293" s="1">
        <f t="shared" si="1812"/>
        <v>0</v>
      </c>
      <c r="U1293" s="1">
        <f t="shared" si="1779"/>
        <v>0</v>
      </c>
      <c r="V1293" s="1">
        <f t="shared" si="1780"/>
        <v>4</v>
      </c>
      <c r="W1293" s="1">
        <f t="shared" si="1781"/>
        <v>1</v>
      </c>
      <c r="X1293" s="1">
        <f t="shared" si="1782"/>
        <v>1</v>
      </c>
      <c r="Y1293" s="1">
        <f t="shared" si="1783"/>
        <v>1</v>
      </c>
      <c r="Z1293" s="1">
        <f t="shared" si="1784"/>
        <v>1</v>
      </c>
      <c r="AA1293" s="1">
        <f t="shared" si="1808"/>
        <v>1</v>
      </c>
      <c r="AB1293" s="1">
        <f t="shared" si="1786"/>
        <v>1</v>
      </c>
      <c r="AC1293" s="1">
        <f t="shared" si="1813"/>
        <v>1</v>
      </c>
      <c r="AD1293" s="1">
        <f>ROUNDDOWN(I1293*(1+IF(F1293=3,0.05+方案参数!$Y$38+AA1293*0.12,IF(F1293=4,方案参数!$BZ$38*方案参数!$AS$38,0)))+IF(AND(X1293=1,F1293&lt;&gt;3),方案参数!$CC$38,0)+AC1293*方案参数!$CB$38,0)</f>
        <v>3034</v>
      </c>
      <c r="AE1293" s="1">
        <f>IF(OR(F1293=1,F1293=4),配置与结果!$B$24,配置与结果!$B$25)*MAX(0,1-INDEX(配置与结果!$I$15:$I$18,F1293))</f>
        <v>1200</v>
      </c>
      <c r="AF1293" s="1">
        <f>方案参数!$BL$38</f>
        <v>9</v>
      </c>
      <c r="AG1293" s="1">
        <f>MAX(配置与结果!$B$32,1+INDEX(配置与结果!$F$15:$F$18,F1293)+0.08+方案参数!$CD$38+Q1293*方案参数!$W$38+Y1293*(方案参数!$AN$38+MIN(方案参数!$AO$38,P1293*0.03))+AB1293*方案参数!$BZ$38*0.025-配置与结果!$B$28+方案参数!$AE$38)</f>
        <v>2.6150000000000002</v>
      </c>
      <c r="AH1293" s="1">
        <f>MAX(0,1+V1293*方案参数!$U$38+4*方案参数!$V$38+方案参数!$AE$38-配置与结果!$B$29)</f>
        <v>1.96</v>
      </c>
      <c r="AI1293" s="1">
        <f>IF(OR(INDEX(配置与结果!$K$15:$K$18,F1293)=1,G1293="RHI_BERRY"),1+配置与结果!$B$33+P1293*方案参数!$AH$38,1)</f>
        <v>1</v>
      </c>
      <c r="AJ1293" s="1">
        <f>MIN(1,MAX(0,J1293+方案参数!$AB$38-配置与结果!$B$27))</f>
        <v>1</v>
      </c>
      <c r="AK1293" s="1">
        <f>MAX(1,K1293+IF(F1293=2,0.15+方案参数!$CH$38,0)+BN1293*方案参数!$X$38+R1293*方案参数!$AA$38+方案参数!$BP$38-配置与结果!$B$26+Z1293*(方案参数!$AP$38+MIN(方案参数!$AQ$38,P1293*0.03)))</f>
        <v>2.7650000000000001</v>
      </c>
      <c r="AL1293" s="7">
        <f>ROUNDDOWN(MAX(AD1293*配置与结果!$B$31,AD1293-AE1293)*AF1293*AG1293*AH1293*AI1293,0)</f>
        <v>84599</v>
      </c>
      <c r="AM1293" s="7">
        <f>ROUNDDOWN(MAX(AD1293*配置与结果!$B$31,AD1293-AE1293)*AF1293*AG1293*AH1293*AI1293*AK1293,0)</f>
        <v>233918</v>
      </c>
      <c r="AN1293" s="7">
        <f t="shared" si="1817"/>
        <v>233918</v>
      </c>
      <c r="AO1293" s="7">
        <f>0</f>
        <v>0</v>
      </c>
      <c r="AP1293" s="7">
        <f>MAX(0,1+INDEX(配置与结果!$J$15:$J$18,F1293)+IF(T1293&gt;0,方案参数!$BY$38,0)-配置与结果!$B$30)</f>
        <v>1</v>
      </c>
      <c r="AQ1293" s="7">
        <f t="shared" si="1818"/>
        <v>0</v>
      </c>
      <c r="AR1293" s="7">
        <f t="shared" si="1819"/>
        <v>0</v>
      </c>
      <c r="AS1293" s="7">
        <f t="shared" si="1820"/>
        <v>0</v>
      </c>
      <c r="AT1293" s="7">
        <f>IF(U1293&gt;0,ROUNDDOWN(AL1293*方案参数!$AF$38,0)*(1-AJ1293)+ROUNDDOWN(AM1293*方案参数!$AF$38,0)*AJ1293,0)</f>
        <v>0</v>
      </c>
      <c r="AU1293" s="7">
        <f t="shared" si="1821"/>
        <v>233918</v>
      </c>
      <c r="AV1293" s="1">
        <f t="shared" si="1822"/>
        <v>2</v>
      </c>
      <c r="AW1293" s="1">
        <f t="shared" si="1826"/>
        <v>10</v>
      </c>
      <c r="AX1293" s="1">
        <f t="shared" si="1823"/>
        <v>2</v>
      </c>
      <c r="AY1293" s="1">
        <f>MIN(20,MAX(0,O1293+0+1-0))</f>
        <v>4</v>
      </c>
      <c r="AZ1293" s="1">
        <f t="shared" si="1824"/>
        <v>5</v>
      </c>
      <c r="BA1293" s="1">
        <f t="shared" si="1809"/>
        <v>5</v>
      </c>
      <c r="BB1293" s="1">
        <f t="shared" si="1825"/>
        <v>20</v>
      </c>
      <c r="BC1293" s="1">
        <f t="shared" si="1815"/>
        <v>3</v>
      </c>
      <c r="BD1293" s="1">
        <f t="shared" si="1796"/>
        <v>0</v>
      </c>
      <c r="BE1293" s="1">
        <f>MAX(0,U1293-IF(AF1293&gt;0,1,0))+0</f>
        <v>0</v>
      </c>
      <c r="BF1293" s="1">
        <f t="shared" si="1827"/>
        <v>4</v>
      </c>
      <c r="BG1293" s="1">
        <f t="shared" si="1806"/>
        <v>1</v>
      </c>
      <c r="BH1293" s="1">
        <f t="shared" si="1790"/>
        <v>1</v>
      </c>
      <c r="BI1293" s="1">
        <f t="shared" si="1807"/>
        <v>1</v>
      </c>
      <c r="BJ1293" s="1">
        <f t="shared" si="1810"/>
        <v>1</v>
      </c>
      <c r="BK1293" s="1">
        <f t="shared" si="1811"/>
        <v>1</v>
      </c>
      <c r="BL1293" s="1">
        <f t="shared" si="1816"/>
        <v>1</v>
      </c>
      <c r="BM1293" s="1">
        <f t="shared" si="1814"/>
        <v>1</v>
      </c>
      <c r="BN1293" s="1">
        <f t="shared" si="1791"/>
        <v>1</v>
      </c>
      <c r="BO1293" s="1">
        <f t="shared" si="1792"/>
        <v>1</v>
      </c>
    </row>
    <row r="1294" spans="1:67" ht="30.95" customHeight="1">
      <c r="A1294" s="1">
        <f>35</f>
        <v>35</v>
      </c>
      <c r="B1294" s="1">
        <f>固定流程!A34</f>
        <v>29</v>
      </c>
      <c r="C1294" s="1">
        <f>38</f>
        <v>38</v>
      </c>
      <c r="D1294" s="1">
        <f>2</f>
        <v>2</v>
      </c>
      <c r="E1294" s="1">
        <f>固定流程!C34</f>
        <v>3</v>
      </c>
      <c r="F1294" s="1">
        <f>固定流程!G34</f>
        <v>1</v>
      </c>
      <c r="G1294" s="1" t="str">
        <f>固定流程!H34</f>
        <v>LILYA_WEAK</v>
      </c>
      <c r="H1294" s="1">
        <f>固定流程!F34</f>
        <v>1</v>
      </c>
      <c r="I1294" s="1">
        <f>INDEX(配置与结果!$B$15:$B$18,F1294)</f>
        <v>2296</v>
      </c>
      <c r="J1294" s="1">
        <f>INDEX(配置与结果!$D$15:$D$18,F1294)</f>
        <v>0.7</v>
      </c>
      <c r="K1294" s="1">
        <f>INDEX(配置与结果!$E$15:$E$18,F1294)</f>
        <v>2.0249999999999999</v>
      </c>
      <c r="L1294" s="1">
        <f t="shared" si="1803"/>
        <v>2</v>
      </c>
      <c r="M1294" s="1">
        <f t="shared" si="1804"/>
        <v>10</v>
      </c>
      <c r="N1294" s="1">
        <f t="shared" si="1805"/>
        <v>2</v>
      </c>
      <c r="O1294" s="1">
        <f t="shared" si="1797"/>
        <v>4</v>
      </c>
      <c r="P1294" s="1">
        <f>MIN(方案参数!$AI$38,AZ1293+0+0)</f>
        <v>5</v>
      </c>
      <c r="Q1294" s="1">
        <f t="shared" si="1775"/>
        <v>5</v>
      </c>
      <c r="R1294" s="1">
        <f t="shared" si="1776"/>
        <v>20</v>
      </c>
      <c r="S1294" s="1">
        <f t="shared" si="1777"/>
        <v>3</v>
      </c>
      <c r="T1294" s="1">
        <f t="shared" si="1812"/>
        <v>0</v>
      </c>
      <c r="U1294" s="1">
        <f t="shared" si="1779"/>
        <v>0</v>
      </c>
      <c r="V1294" s="1">
        <f t="shared" si="1780"/>
        <v>4</v>
      </c>
      <c r="W1294" s="1">
        <f t="shared" si="1781"/>
        <v>1</v>
      </c>
      <c r="X1294" s="1">
        <f t="shared" si="1782"/>
        <v>1</v>
      </c>
      <c r="Y1294" s="1">
        <f t="shared" si="1783"/>
        <v>1</v>
      </c>
      <c r="Z1294" s="1">
        <f t="shared" si="1784"/>
        <v>1</v>
      </c>
      <c r="AA1294" s="1">
        <f t="shared" si="1808"/>
        <v>1</v>
      </c>
      <c r="AB1294" s="1">
        <f t="shared" si="1786"/>
        <v>1</v>
      </c>
      <c r="AC1294" s="1">
        <f t="shared" si="1813"/>
        <v>1</v>
      </c>
      <c r="AD1294" s="1">
        <f>ROUNDDOWN(I1294*(1+IF(F1294=3,0.05+方案参数!$Y$38+AA1294*0.12,IF(F1294=4,方案参数!$BZ$38*方案参数!$AS$38,0)))+IF(AND(X1294=1,F1294&lt;&gt;3),方案参数!$CC$38,0)+AC1294*方案参数!$CB$38,0)</f>
        <v>3034</v>
      </c>
      <c r="AE1294" s="1">
        <f>IF(OR(F1294=1,F1294=4),配置与结果!$B$24,配置与结果!$B$25)*MAX(0,1-INDEX(配置与结果!$I$15:$I$18,F1294))</f>
        <v>1200</v>
      </c>
      <c r="AF1294" s="1">
        <f>方案参数!$BL$38</f>
        <v>9</v>
      </c>
      <c r="AG1294" s="1">
        <f>MAX(配置与结果!$B$32,1+INDEX(配置与结果!$F$15:$F$18,F1294)+0.08+方案参数!$CD$38+Q1294*方案参数!$W$38+Y1294*(方案参数!$AN$38+MIN(方案参数!$AO$38,P1294*0.03))+AB1294*方案参数!$BZ$38*0.025-配置与结果!$B$28+方案参数!$AE$38)</f>
        <v>2.6150000000000002</v>
      </c>
      <c r="AH1294" s="1">
        <f>MAX(0,1+V1294*方案参数!$U$38+5*方案参数!$V$38+方案参数!$AE$38-配置与结果!$B$29)</f>
        <v>2.02</v>
      </c>
      <c r="AI1294" s="1">
        <f>IF(OR(INDEX(配置与结果!$K$15:$K$18,F1294)=1,G1294="RHI_BERRY"),1+配置与结果!$B$33+P1294*方案参数!$AH$38,1)</f>
        <v>1</v>
      </c>
      <c r="AJ1294" s="1">
        <f>MIN(1,MAX(0,J1294+方案参数!$AB$38-配置与结果!$B$27))</f>
        <v>1</v>
      </c>
      <c r="AK1294" s="1">
        <f>MAX(1,K1294+IF(F1294=2,0.15+方案参数!$CH$38,0)+BN1294*方案参数!$X$38+R1294*方案参数!$AA$38+方案参数!$BP$38-配置与结果!$B$26+Z1294*(方案参数!$AP$38+MIN(方案参数!$AQ$38,P1294*0.03)))</f>
        <v>2.7650000000000001</v>
      </c>
      <c r="AL1294" s="7">
        <f>ROUNDDOWN(MAX(AD1294*配置与结果!$B$31,AD1294-AE1294)*AF1294*AG1294*AH1294*AI1294,0)</f>
        <v>87189</v>
      </c>
      <c r="AM1294" s="7">
        <f>ROUNDDOWN(MAX(AD1294*配置与结果!$B$31,AD1294-AE1294)*AF1294*AG1294*AH1294*AI1294*AK1294,0)</f>
        <v>241079</v>
      </c>
      <c r="AN1294" s="7">
        <f t="shared" si="1817"/>
        <v>241079</v>
      </c>
      <c r="AO1294" s="7">
        <f>0</f>
        <v>0</v>
      </c>
      <c r="AP1294" s="7">
        <f>MAX(0,1+INDEX(配置与结果!$J$15:$J$18,F1294)+IF(T1294&gt;0,方案参数!$BY$38,0)-配置与结果!$B$30)</f>
        <v>1</v>
      </c>
      <c r="AQ1294" s="7">
        <f t="shared" si="1818"/>
        <v>0</v>
      </c>
      <c r="AR1294" s="7">
        <f t="shared" si="1819"/>
        <v>0</v>
      </c>
      <c r="AS1294" s="7">
        <f t="shared" si="1820"/>
        <v>0</v>
      </c>
      <c r="AT1294" s="7">
        <f>IF(U1294&gt;0,ROUNDDOWN(AL1294*方案参数!$AF$38,0)*(1-AJ1294)+ROUNDDOWN(AM1294*方案参数!$AF$38,0)*AJ1294,0)</f>
        <v>0</v>
      </c>
      <c r="AU1294" s="7">
        <f t="shared" si="1821"/>
        <v>241079</v>
      </c>
      <c r="AV1294" s="1">
        <f t="shared" si="1822"/>
        <v>2</v>
      </c>
      <c r="AW1294" s="1">
        <f t="shared" si="1826"/>
        <v>10</v>
      </c>
      <c r="AX1294" s="1">
        <f t="shared" si="1823"/>
        <v>2</v>
      </c>
      <c r="AY1294" s="1">
        <f>MIN(20,MAX(0,O1294+0+1-0))</f>
        <v>5</v>
      </c>
      <c r="AZ1294" s="1">
        <f t="shared" si="1824"/>
        <v>5</v>
      </c>
      <c r="BA1294" s="1">
        <f t="shared" si="1809"/>
        <v>5</v>
      </c>
      <c r="BB1294" s="1">
        <f t="shared" si="1825"/>
        <v>20</v>
      </c>
      <c r="BC1294" s="1">
        <f t="shared" si="1815"/>
        <v>3</v>
      </c>
      <c r="BD1294" s="1">
        <f t="shared" si="1796"/>
        <v>0</v>
      </c>
      <c r="BE1294" s="1">
        <f>MAX(0,U1294-IF(AF1294&gt;0,1,0))+0</f>
        <v>0</v>
      </c>
      <c r="BF1294" s="1">
        <f t="shared" si="1827"/>
        <v>4</v>
      </c>
      <c r="BG1294" s="1">
        <f t="shared" si="1806"/>
        <v>1</v>
      </c>
      <c r="BH1294" s="1">
        <f t="shared" si="1790"/>
        <v>1</v>
      </c>
      <c r="BI1294" s="1">
        <f t="shared" si="1807"/>
        <v>1</v>
      </c>
      <c r="BJ1294" s="1">
        <f t="shared" si="1810"/>
        <v>1</v>
      </c>
      <c r="BK1294" s="1">
        <f t="shared" si="1811"/>
        <v>1</v>
      </c>
      <c r="BL1294" s="1">
        <f t="shared" si="1816"/>
        <v>1</v>
      </c>
      <c r="BM1294" s="1">
        <f t="shared" si="1814"/>
        <v>1</v>
      </c>
      <c r="BN1294" s="1">
        <f t="shared" si="1791"/>
        <v>1</v>
      </c>
      <c r="BO1294" s="1">
        <f t="shared" si="1792"/>
        <v>1</v>
      </c>
    </row>
    <row r="1295" spans="1:67" ht="30.95" customHeight="1">
      <c r="A1295" s="1">
        <f>35</f>
        <v>35</v>
      </c>
      <c r="B1295" s="1">
        <f>固定流程!A35</f>
        <v>30</v>
      </c>
      <c r="C1295" s="1">
        <f>38</f>
        <v>38</v>
      </c>
      <c r="D1295" s="1">
        <f>2</f>
        <v>2</v>
      </c>
      <c r="E1295" s="1">
        <f>固定流程!C35</f>
        <v>3</v>
      </c>
      <c r="F1295" s="1">
        <f>固定流程!G35</f>
        <v>2</v>
      </c>
      <c r="G1295" s="1" t="str">
        <f>固定流程!H35</f>
        <v>37_WEAK</v>
      </c>
      <c r="H1295" s="1">
        <f>固定流程!F35</f>
        <v>1</v>
      </c>
      <c r="I1295" s="1">
        <f>INDEX(配置与结果!$B$15:$B$18,F1295)</f>
        <v>2306</v>
      </c>
      <c r="J1295" s="1">
        <f>INDEX(配置与结果!$D$15:$D$18,F1295)</f>
        <v>0.46</v>
      </c>
      <c r="K1295" s="1">
        <f>INDEX(配置与结果!$E$15:$E$18,F1295)</f>
        <v>1.9279999999999999</v>
      </c>
      <c r="L1295" s="1">
        <f t="shared" si="1803"/>
        <v>2</v>
      </c>
      <c r="M1295" s="1">
        <f t="shared" si="1804"/>
        <v>10</v>
      </c>
      <c r="N1295" s="1">
        <f t="shared" si="1805"/>
        <v>2</v>
      </c>
      <c r="O1295" s="1">
        <f t="shared" si="1797"/>
        <v>5</v>
      </c>
      <c r="P1295" s="1">
        <f>MIN(方案参数!$AI$38,AZ1294+0+0)</f>
        <v>5</v>
      </c>
      <c r="Q1295" s="1">
        <f t="shared" si="1775"/>
        <v>5</v>
      </c>
      <c r="R1295" s="1">
        <f t="shared" si="1776"/>
        <v>20</v>
      </c>
      <c r="S1295" s="1">
        <f t="shared" si="1777"/>
        <v>3</v>
      </c>
      <c r="T1295" s="1">
        <f t="shared" si="1812"/>
        <v>0</v>
      </c>
      <c r="U1295" s="1">
        <f t="shared" si="1779"/>
        <v>0</v>
      </c>
      <c r="V1295" s="1">
        <f t="shared" si="1780"/>
        <v>4</v>
      </c>
      <c r="W1295" s="1">
        <f t="shared" si="1781"/>
        <v>1</v>
      </c>
      <c r="X1295" s="1">
        <f t="shared" si="1782"/>
        <v>1</v>
      </c>
      <c r="Y1295" s="1">
        <f t="shared" si="1783"/>
        <v>1</v>
      </c>
      <c r="Z1295" s="1">
        <f t="shared" si="1784"/>
        <v>1</v>
      </c>
      <c r="AA1295" s="1">
        <f t="shared" si="1808"/>
        <v>1</v>
      </c>
      <c r="AB1295" s="1">
        <f t="shared" si="1786"/>
        <v>1</v>
      </c>
      <c r="AC1295" s="1">
        <f t="shared" si="1813"/>
        <v>1</v>
      </c>
      <c r="AD1295" s="1">
        <f>ROUNDDOWN(I1295*(1+IF(F1295=3,0.05+方案参数!$Y$38+AA1295*0.12,IF(F1295=4,方案参数!$BZ$38*方案参数!$AS$38,0)))+IF(AND(X1295=1,F1295&lt;&gt;3),方案参数!$CC$38,0)+AC1295*方案参数!$CB$38,0)</f>
        <v>3044</v>
      </c>
      <c r="AE1295" s="1">
        <f>IF(OR(F1295=1,F1295=4),配置与结果!$B$24,配置与结果!$B$25)*MAX(0,1-INDEX(配置与结果!$I$15:$I$18,F1295))</f>
        <v>1000</v>
      </c>
      <c r="AF1295" s="1">
        <f>方案参数!$CE$38</f>
        <v>8</v>
      </c>
      <c r="AG1295" s="1">
        <f>MAX(配置与结果!$B$32,1+INDEX(配置与结果!$F$15:$F$18,F1295)+0+Q1295*方案参数!$W$38+Y1295*(方案参数!$AN$38+MIN(方案参数!$AO$38,P1295*0.03))+AB1295*方案参数!$BZ$38*0.025-配置与结果!$B$28+方案参数!$AE$38)</f>
        <v>2.2800000000000002</v>
      </c>
      <c r="AH1295" s="1">
        <f>MAX(0,1+V1295*方案参数!$U$38+方案参数!$AE$38-配置与结果!$B$29)</f>
        <v>1.7200000000000002</v>
      </c>
      <c r="AI1295" s="1">
        <f>IF(OR(INDEX(配置与结果!$K$15:$K$18,F1295)=1,G1295="RHI_BERRY"),1+配置与结果!$B$33+P1295*方案参数!$AH$38,1)</f>
        <v>1</v>
      </c>
      <c r="AJ1295" s="1">
        <f>MIN(1,MAX(0,J1295+方案参数!$AB$38-配置与结果!$B$27))</f>
        <v>0.76</v>
      </c>
      <c r="AK1295" s="1">
        <f>MAX(1,K1295+IF(F1295=2,0.15+方案参数!$CH$38,0)+BN1295*方案参数!$X$38+R1295*方案参数!$AA$38+0-配置与结果!$B$26+Z1295*(方案参数!$AP$38+MIN(方案参数!$AQ$38,P1295*0.03)))</f>
        <v>2.4580000000000002</v>
      </c>
      <c r="AL1295" s="7">
        <f>ROUNDDOWN(MAX(AD1295*配置与结果!$B$31,AD1295-AE1295)*AF1295*AG1295*AH1295*AI1295,0)</f>
        <v>64126</v>
      </c>
      <c r="AM1295" s="7">
        <f>ROUNDDOWN(MAX(AD1295*配置与结果!$B$31,AD1295-AE1295)*AF1295*AG1295*AH1295*AI1295*AK1295,0)</f>
        <v>157621</v>
      </c>
      <c r="AN1295" s="7">
        <f t="shared" si="1817"/>
        <v>135182.20000000001</v>
      </c>
      <c r="AO1295" s="7">
        <f>0</f>
        <v>0</v>
      </c>
      <c r="AP1295" s="7">
        <f>MAX(0,1+INDEX(配置与结果!$J$15:$J$18,F1295)+IF(T1295&gt;0,方案参数!$BY$38,0)-配置与结果!$B$30)</f>
        <v>1</v>
      </c>
      <c r="AQ1295" s="7">
        <f t="shared" si="1818"/>
        <v>0</v>
      </c>
      <c r="AR1295" s="7">
        <f t="shared" si="1819"/>
        <v>0</v>
      </c>
      <c r="AS1295" s="7">
        <f t="shared" si="1820"/>
        <v>0</v>
      </c>
      <c r="AT1295" s="7">
        <f>IF(U1295&gt;0,ROUNDDOWN(AL1295*方案参数!$AF$38,0)*(1-AJ1295)+ROUNDDOWN(AM1295*方案参数!$AF$38,0)*AJ1295,0)</f>
        <v>0</v>
      </c>
      <c r="AU1295" s="7">
        <f t="shared" si="1821"/>
        <v>135182.20000000001</v>
      </c>
      <c r="AV1295" s="1">
        <f t="shared" si="1822"/>
        <v>2</v>
      </c>
      <c r="AW1295" s="1">
        <f t="shared" si="1826"/>
        <v>10</v>
      </c>
      <c r="AX1295" s="1">
        <f t="shared" si="1823"/>
        <v>2</v>
      </c>
      <c r="AY1295" s="1">
        <f>MIN(20,MAX(0,O1295+0+0-0))</f>
        <v>5</v>
      </c>
      <c r="AZ1295" s="1">
        <f t="shared" si="1824"/>
        <v>5</v>
      </c>
      <c r="BA1295" s="1">
        <f t="shared" si="1809"/>
        <v>5</v>
      </c>
      <c r="BB1295" s="1">
        <f t="shared" si="1825"/>
        <v>20</v>
      </c>
      <c r="BC1295" s="1">
        <f t="shared" si="1815"/>
        <v>3</v>
      </c>
      <c r="BD1295" s="1">
        <f t="shared" si="1796"/>
        <v>0</v>
      </c>
      <c r="BE1295" s="1">
        <f>MAX(0,U1295-IF(AF1295&gt;0,1,0))+1</f>
        <v>1</v>
      </c>
      <c r="BF1295" s="1">
        <f t="shared" si="1827"/>
        <v>4</v>
      </c>
      <c r="BG1295" s="1">
        <f t="shared" si="1806"/>
        <v>1</v>
      </c>
      <c r="BH1295" s="1">
        <f t="shared" si="1790"/>
        <v>1</v>
      </c>
      <c r="BI1295" s="1">
        <f t="shared" si="1807"/>
        <v>1</v>
      </c>
      <c r="BJ1295" s="1">
        <f t="shared" si="1810"/>
        <v>1</v>
      </c>
      <c r="BK1295" s="1">
        <f t="shared" si="1811"/>
        <v>1</v>
      </c>
      <c r="BL1295" s="1">
        <f t="shared" si="1816"/>
        <v>1</v>
      </c>
      <c r="BM1295" s="1">
        <f t="shared" si="1814"/>
        <v>1</v>
      </c>
      <c r="BN1295" s="1">
        <f t="shared" si="1791"/>
        <v>1</v>
      </c>
      <c r="BO1295" s="1">
        <f t="shared" si="1792"/>
        <v>1</v>
      </c>
    </row>
    <row r="1296" spans="1:67" ht="30.95" customHeight="1">
      <c r="A1296" s="1">
        <f>35</f>
        <v>35</v>
      </c>
      <c r="B1296" s="1">
        <f>固定流程!A36</f>
        <v>31</v>
      </c>
      <c r="C1296" s="1">
        <f>38</f>
        <v>38</v>
      </c>
      <c r="D1296" s="1">
        <f>2</f>
        <v>2</v>
      </c>
      <c r="E1296" s="1">
        <f>固定流程!C36</f>
        <v>3</v>
      </c>
      <c r="F1296" s="1">
        <f>固定流程!G36</f>
        <v>1</v>
      </c>
      <c r="G1296" s="1" t="str">
        <f>固定流程!H36</f>
        <v>LILYA_THIRD</v>
      </c>
      <c r="H1296" s="1">
        <f>固定流程!F36</f>
        <v>1</v>
      </c>
      <c r="I1296" s="1">
        <f>INDEX(配置与结果!$B$15:$B$18,F1296)</f>
        <v>2296</v>
      </c>
      <c r="J1296" s="1">
        <f>INDEX(配置与结果!$D$15:$D$18,F1296)</f>
        <v>0.7</v>
      </c>
      <c r="K1296" s="1">
        <f>INDEX(配置与结果!$E$15:$E$18,F1296)</f>
        <v>2.0249999999999999</v>
      </c>
      <c r="L1296" s="1">
        <f t="shared" si="1803"/>
        <v>2</v>
      </c>
      <c r="M1296" s="1">
        <f t="shared" si="1804"/>
        <v>10</v>
      </c>
      <c r="N1296" s="1">
        <f t="shared" si="1805"/>
        <v>2</v>
      </c>
      <c r="O1296" s="1">
        <f t="shared" si="1797"/>
        <v>5</v>
      </c>
      <c r="P1296" s="1">
        <f>MIN(方案参数!$AI$38,AZ1295+0+0)</f>
        <v>5</v>
      </c>
      <c r="Q1296" s="1">
        <f t="shared" si="1775"/>
        <v>5</v>
      </c>
      <c r="R1296" s="1">
        <f t="shared" si="1776"/>
        <v>20</v>
      </c>
      <c r="S1296" s="1">
        <f t="shared" si="1777"/>
        <v>3</v>
      </c>
      <c r="T1296" s="1">
        <f t="shared" si="1812"/>
        <v>0</v>
      </c>
      <c r="U1296" s="1">
        <f t="shared" si="1779"/>
        <v>1</v>
      </c>
      <c r="V1296" s="1">
        <f t="shared" si="1780"/>
        <v>4</v>
      </c>
      <c r="W1296" s="1">
        <f t="shared" si="1781"/>
        <v>1</v>
      </c>
      <c r="X1296" s="1">
        <f t="shared" si="1782"/>
        <v>1</v>
      </c>
      <c r="Y1296" s="1">
        <f t="shared" si="1783"/>
        <v>1</v>
      </c>
      <c r="Z1296" s="1">
        <f t="shared" si="1784"/>
        <v>1</v>
      </c>
      <c r="AA1296" s="1">
        <f t="shared" si="1808"/>
        <v>1</v>
      </c>
      <c r="AB1296" s="1">
        <f t="shared" si="1786"/>
        <v>1</v>
      </c>
      <c r="AC1296" s="1">
        <f t="shared" si="1813"/>
        <v>1</v>
      </c>
      <c r="AD1296" s="1">
        <f>ROUNDDOWN(I1296*(1+IF(F1296=3,0.05+方案参数!$Y$38+AA1296*0.12,IF(F1296=4,方案参数!$BZ$38*方案参数!$AS$38,0)))+IF(AND(X1296=1,F1296&lt;&gt;3),方案参数!$CC$38,0)+AC1296*方案参数!$CB$38,0)</f>
        <v>3034</v>
      </c>
      <c r="AE1296" s="1">
        <f>IF(OR(F1296=1,F1296=4),配置与结果!$B$24,配置与结果!$B$25)*MAX(0,1-INDEX(配置与结果!$I$15:$I$18,F1296))</f>
        <v>1200</v>
      </c>
      <c r="AF1296" s="1">
        <f>方案参数!$BM$38</f>
        <v>20</v>
      </c>
      <c r="AG1296" s="1">
        <f>MAX(配置与结果!$B$32,1+INDEX(配置与结果!$F$15:$F$18,F1296)+0.08+方案参数!$CD$38+Q1296*方案参数!$W$38+Y1296*(方案参数!$AN$38+MIN(方案参数!$AO$38,P1296*0.03))+AB1296*方案参数!$BZ$38*0.025-配置与结果!$B$28+方案参数!$AE$38)</f>
        <v>2.6150000000000002</v>
      </c>
      <c r="AH1296" s="1">
        <f>MAX(0,1+V1296*方案参数!$U$38+7*方案参数!$V$38+方案参数!$AE$38-配置与结果!$B$29)</f>
        <v>2.14</v>
      </c>
      <c r="AI1296" s="1">
        <f>IF(OR(INDEX(配置与结果!$K$15:$K$18,F1296)=1,G1296="RHI_BERRY"),1+配置与结果!$B$33+P1296*方案参数!$AH$38,1)</f>
        <v>1</v>
      </c>
      <c r="AJ1296" s="1">
        <f>MIN(1,MAX(0,J1296+方案参数!$AB$38-配置与结果!$B$27))</f>
        <v>1</v>
      </c>
      <c r="AK1296" s="1">
        <f>MAX(1,K1296+IF(F1296=2,0.15+方案参数!$CH$38,0)+BN1296*方案参数!$X$38+R1296*方案参数!$AA$38+方案参数!$BQ$38-配置与结果!$B$26+Z1296*(方案参数!$AP$38+MIN(方案参数!$AQ$38,P1296*0.03)))</f>
        <v>2.9650000000000003</v>
      </c>
      <c r="AL1296" s="7">
        <f>ROUNDDOWN(MAX(AD1296*配置与结果!$B$31,AD1296-AE1296)*AF1296*AG1296*AH1296*AI1296,0)</f>
        <v>205264</v>
      </c>
      <c r="AM1296" s="7">
        <f>ROUNDDOWN(MAX(AD1296*配置与结果!$B$31,AD1296-AE1296)*AF1296*AG1296*AH1296*AI1296*AK1296,0)</f>
        <v>608610</v>
      </c>
      <c r="AN1296" s="7">
        <f t="shared" si="1817"/>
        <v>608610</v>
      </c>
      <c r="AO1296" s="7">
        <f>0</f>
        <v>0</v>
      </c>
      <c r="AP1296" s="7">
        <f>MAX(0,1+INDEX(配置与结果!$J$15:$J$18,F1296)+IF(T1296&gt;0,方案参数!$BY$38,0)-配置与结果!$B$30)</f>
        <v>1</v>
      </c>
      <c r="AQ1296" s="7">
        <f t="shared" si="1818"/>
        <v>0</v>
      </c>
      <c r="AR1296" s="7">
        <f t="shared" si="1819"/>
        <v>0</v>
      </c>
      <c r="AS1296" s="7">
        <f t="shared" si="1820"/>
        <v>0</v>
      </c>
      <c r="AT1296" s="7">
        <f>IF(U1296&gt;0,ROUNDDOWN(AL1296*方案参数!$AF$38,0)*(1-AJ1296)+ROUNDDOWN(AM1296*方案参数!$AF$38,0)*AJ1296,0)</f>
        <v>243444</v>
      </c>
      <c r="AU1296" s="7">
        <f t="shared" si="1821"/>
        <v>852054</v>
      </c>
      <c r="AV1296" s="1">
        <f t="shared" si="1822"/>
        <v>2</v>
      </c>
      <c r="AW1296" s="1">
        <f t="shared" si="1826"/>
        <v>10</v>
      </c>
      <c r="AX1296" s="1">
        <f t="shared" si="1823"/>
        <v>2</v>
      </c>
      <c r="AY1296" s="1">
        <f>MIN(20,MAX(0,O1296+0+1-0))</f>
        <v>6</v>
      </c>
      <c r="AZ1296" s="1">
        <f t="shared" si="1824"/>
        <v>5</v>
      </c>
      <c r="BA1296" s="1">
        <f t="shared" si="1809"/>
        <v>5</v>
      </c>
      <c r="BB1296" s="1">
        <f t="shared" si="1825"/>
        <v>20</v>
      </c>
      <c r="BC1296" s="1">
        <f t="shared" si="1815"/>
        <v>3</v>
      </c>
      <c r="BD1296" s="1">
        <f t="shared" si="1796"/>
        <v>0</v>
      </c>
      <c r="BE1296" s="1">
        <f>MAX(0,U1296-IF(AF1296&gt;0,1,0))+0</f>
        <v>0</v>
      </c>
      <c r="BF1296" s="1">
        <f t="shared" si="1827"/>
        <v>4</v>
      </c>
      <c r="BG1296" s="1">
        <f t="shared" si="1806"/>
        <v>1</v>
      </c>
      <c r="BH1296" s="1">
        <f t="shared" si="1790"/>
        <v>1</v>
      </c>
      <c r="BI1296" s="1">
        <f t="shared" si="1807"/>
        <v>1</v>
      </c>
      <c r="BJ1296" s="1">
        <f t="shared" si="1810"/>
        <v>1</v>
      </c>
      <c r="BK1296" s="1">
        <f t="shared" si="1811"/>
        <v>1</v>
      </c>
      <c r="BL1296" s="1">
        <f t="shared" si="1816"/>
        <v>1</v>
      </c>
      <c r="BM1296" s="1">
        <f t="shared" si="1814"/>
        <v>1</v>
      </c>
      <c r="BN1296" s="1">
        <f t="shared" si="1791"/>
        <v>1</v>
      </c>
      <c r="BO1296" s="1">
        <f t="shared" si="1792"/>
        <v>1</v>
      </c>
    </row>
    <row r="1297" spans="1:67" ht="30.95" customHeight="1">
      <c r="A1297" s="1">
        <f>35</f>
        <v>35</v>
      </c>
      <c r="B1297" s="1">
        <f>固定流程!A37</f>
        <v>32</v>
      </c>
      <c r="C1297" s="1">
        <f>38</f>
        <v>38</v>
      </c>
      <c r="D1297" s="1">
        <f>2</f>
        <v>2</v>
      </c>
      <c r="E1297" s="1">
        <f>固定流程!C37</f>
        <v>3</v>
      </c>
      <c r="F1297" s="1">
        <f>固定流程!G37</f>
        <v>1</v>
      </c>
      <c r="G1297" s="1" t="str">
        <f>固定流程!H37</f>
        <v>LILYA_WEAK</v>
      </c>
      <c r="H1297" s="1">
        <f>固定流程!F37</f>
        <v>1</v>
      </c>
      <c r="I1297" s="1">
        <f>INDEX(配置与结果!$B$15:$B$18,F1297)</f>
        <v>2296</v>
      </c>
      <c r="J1297" s="1">
        <f>INDEX(配置与结果!$D$15:$D$18,F1297)</f>
        <v>0.7</v>
      </c>
      <c r="K1297" s="1">
        <f>INDEX(配置与结果!$E$15:$E$18,F1297)</f>
        <v>2.0249999999999999</v>
      </c>
      <c r="L1297" s="1">
        <f t="shared" si="1803"/>
        <v>2</v>
      </c>
      <c r="M1297" s="1">
        <f t="shared" si="1804"/>
        <v>10</v>
      </c>
      <c r="N1297" s="1">
        <f t="shared" si="1805"/>
        <v>2</v>
      </c>
      <c r="O1297" s="1">
        <f t="shared" si="1797"/>
        <v>6</v>
      </c>
      <c r="P1297" s="1">
        <f>MIN(方案参数!$AI$38,AZ1296+0+0)</f>
        <v>5</v>
      </c>
      <c r="Q1297" s="1">
        <f t="shared" si="1775"/>
        <v>5</v>
      </c>
      <c r="R1297" s="1">
        <f t="shared" si="1776"/>
        <v>20</v>
      </c>
      <c r="S1297" s="1">
        <f t="shared" si="1777"/>
        <v>3</v>
      </c>
      <c r="T1297" s="1">
        <f t="shared" si="1812"/>
        <v>0</v>
      </c>
      <c r="U1297" s="1">
        <f t="shared" si="1779"/>
        <v>0</v>
      </c>
      <c r="V1297" s="1">
        <f t="shared" si="1780"/>
        <v>4</v>
      </c>
      <c r="W1297" s="1">
        <f t="shared" si="1781"/>
        <v>1</v>
      </c>
      <c r="X1297" s="1">
        <f t="shared" si="1782"/>
        <v>1</v>
      </c>
      <c r="Y1297" s="1">
        <f t="shared" si="1783"/>
        <v>1</v>
      </c>
      <c r="Z1297" s="1">
        <f t="shared" si="1784"/>
        <v>1</v>
      </c>
      <c r="AA1297" s="1">
        <f t="shared" si="1808"/>
        <v>1</v>
      </c>
      <c r="AB1297" s="1">
        <f t="shared" si="1786"/>
        <v>1</v>
      </c>
      <c r="AC1297" s="1">
        <f t="shared" si="1813"/>
        <v>1</v>
      </c>
      <c r="AD1297" s="1">
        <f>ROUNDDOWN(I1297*(1+IF(F1297=3,0.05+方案参数!$Y$38+AA1297*0.12,IF(F1297=4,方案参数!$BZ$38*方案参数!$AS$38,0)))+IF(AND(X1297=1,F1297&lt;&gt;3),方案参数!$CC$38,0)+AC1297*方案参数!$CB$38,0)</f>
        <v>3034</v>
      </c>
      <c r="AE1297" s="1">
        <f>IF(OR(F1297=1,F1297=4),配置与结果!$B$24,配置与结果!$B$25)*MAX(0,1-INDEX(配置与结果!$I$15:$I$18,F1297))</f>
        <v>1200</v>
      </c>
      <c r="AF1297" s="1">
        <f>方案参数!$BL$38</f>
        <v>9</v>
      </c>
      <c r="AG1297" s="1">
        <f>MAX(配置与结果!$B$32,1+INDEX(配置与结果!$F$15:$F$18,F1297)+0.08+方案参数!$CD$38+Q1297*方案参数!$W$38+Y1297*(方案参数!$AN$38+MIN(方案参数!$AO$38,P1297*0.03))+AB1297*方案参数!$BZ$38*0.025-配置与结果!$B$28+方案参数!$AE$38)</f>
        <v>2.6150000000000002</v>
      </c>
      <c r="AH1297" s="1">
        <f>MAX(0,1+V1297*方案参数!$U$38+8*方案参数!$V$38+方案参数!$AE$38-配置与结果!$B$29)</f>
        <v>2.2000000000000002</v>
      </c>
      <c r="AI1297" s="1">
        <f>IF(OR(INDEX(配置与结果!$K$15:$K$18,F1297)=1,G1297="RHI_BERRY"),1+配置与结果!$B$33+P1297*方案参数!$AH$38,1)</f>
        <v>1</v>
      </c>
      <c r="AJ1297" s="1">
        <f>MIN(1,MAX(0,J1297+方案参数!$AB$38-配置与结果!$B$27))</f>
        <v>1</v>
      </c>
      <c r="AK1297" s="1">
        <f>MAX(1,K1297+IF(F1297=2,0.15+方案参数!$CH$38,0)+BN1297*方案参数!$X$38+R1297*方案参数!$AA$38+方案参数!$BP$38-配置与结果!$B$26+Z1297*(方案参数!$AP$38+MIN(方案参数!$AQ$38,P1297*0.03)))</f>
        <v>2.7650000000000001</v>
      </c>
      <c r="AL1297" s="7">
        <f>ROUNDDOWN(MAX(AD1297*配置与结果!$B$31,AD1297-AE1297)*AF1297*AG1297*AH1297*AI1297,0)</f>
        <v>94959</v>
      </c>
      <c r="AM1297" s="7">
        <f>ROUNDDOWN(MAX(AD1297*配置与结果!$B$31,AD1297-AE1297)*AF1297*AG1297*AH1297*AI1297*AK1297,0)</f>
        <v>262561</v>
      </c>
      <c r="AN1297" s="7">
        <f t="shared" si="1817"/>
        <v>262561</v>
      </c>
      <c r="AO1297" s="7">
        <f>0</f>
        <v>0</v>
      </c>
      <c r="AP1297" s="7">
        <f>MAX(0,1+INDEX(配置与结果!$J$15:$J$18,F1297)+IF(T1297&gt;0,方案参数!$BY$38,0)-配置与结果!$B$30)</f>
        <v>1</v>
      </c>
      <c r="AQ1297" s="7">
        <f t="shared" si="1818"/>
        <v>0</v>
      </c>
      <c r="AR1297" s="7">
        <f t="shared" si="1819"/>
        <v>0</v>
      </c>
      <c r="AS1297" s="7">
        <f t="shared" si="1820"/>
        <v>0</v>
      </c>
      <c r="AT1297" s="7">
        <f>IF(U1297&gt;0,ROUNDDOWN(AL1297*方案参数!$AF$38,0)*(1-AJ1297)+ROUNDDOWN(AM1297*方案参数!$AF$38,0)*AJ1297,0)</f>
        <v>0</v>
      </c>
      <c r="AU1297" s="7">
        <f t="shared" si="1821"/>
        <v>262561</v>
      </c>
      <c r="AV1297" s="1">
        <f t="shared" si="1822"/>
        <v>2</v>
      </c>
      <c r="AW1297" s="1">
        <f t="shared" si="1826"/>
        <v>10</v>
      </c>
      <c r="AX1297" s="1">
        <f t="shared" si="1823"/>
        <v>2</v>
      </c>
      <c r="AY1297" s="1">
        <f>MIN(20,MAX(0,O1297+0+1-0))</f>
        <v>7</v>
      </c>
      <c r="AZ1297" s="1">
        <f t="shared" si="1824"/>
        <v>5</v>
      </c>
      <c r="BA1297" s="1">
        <f t="shared" si="1809"/>
        <v>5</v>
      </c>
      <c r="BB1297" s="1">
        <f t="shared" si="1825"/>
        <v>20</v>
      </c>
      <c r="BC1297" s="1">
        <f t="shared" si="1815"/>
        <v>3</v>
      </c>
      <c r="BD1297" s="1">
        <f t="shared" si="1796"/>
        <v>0</v>
      </c>
      <c r="BE1297" s="1">
        <f>MAX(0,U1297-IF(AF1297&gt;0,1,0))+0</f>
        <v>0</v>
      </c>
      <c r="BF1297" s="1">
        <f t="shared" si="1827"/>
        <v>4</v>
      </c>
      <c r="BG1297" s="1">
        <f t="shared" si="1806"/>
        <v>1</v>
      </c>
      <c r="BH1297" s="1">
        <f t="shared" si="1790"/>
        <v>1</v>
      </c>
      <c r="BI1297" s="1">
        <f t="shared" si="1807"/>
        <v>1</v>
      </c>
      <c r="BJ1297" s="1">
        <f t="shared" si="1810"/>
        <v>1</v>
      </c>
      <c r="BK1297" s="1">
        <f t="shared" si="1811"/>
        <v>1</v>
      </c>
      <c r="BL1297" s="1">
        <f t="shared" si="1816"/>
        <v>1</v>
      </c>
      <c r="BM1297" s="1">
        <f t="shared" si="1814"/>
        <v>1</v>
      </c>
      <c r="BN1297" s="1">
        <f t="shared" si="1791"/>
        <v>1</v>
      </c>
      <c r="BO1297" s="1">
        <f t="shared" si="1792"/>
        <v>1</v>
      </c>
    </row>
    <row r="1298" spans="1:67" ht="30.95" customHeight="1">
      <c r="A1298" s="1">
        <f>35</f>
        <v>35</v>
      </c>
      <c r="B1298" s="1">
        <f>固定流程!A38</f>
        <v>33</v>
      </c>
      <c r="C1298" s="1">
        <f>38</f>
        <v>38</v>
      </c>
      <c r="D1298" s="1">
        <f>2</f>
        <v>2</v>
      </c>
      <c r="E1298" s="1">
        <f>固定流程!C38</f>
        <v>3</v>
      </c>
      <c r="F1298" s="1">
        <f>固定流程!G38</f>
        <v>1</v>
      </c>
      <c r="G1298" s="1" t="str">
        <f>固定流程!H38</f>
        <v>LILYA_WEAK</v>
      </c>
      <c r="H1298" s="1">
        <f>固定流程!F38</f>
        <v>1</v>
      </c>
      <c r="I1298" s="1">
        <f>INDEX(配置与结果!$B$15:$B$18,F1298)</f>
        <v>2296</v>
      </c>
      <c r="J1298" s="1">
        <f>INDEX(配置与结果!$D$15:$D$18,F1298)</f>
        <v>0.7</v>
      </c>
      <c r="K1298" s="1">
        <f>INDEX(配置与结果!$E$15:$E$18,F1298)</f>
        <v>2.0249999999999999</v>
      </c>
      <c r="L1298" s="1">
        <f t="shared" si="1803"/>
        <v>2</v>
      </c>
      <c r="M1298" s="1">
        <f t="shared" si="1804"/>
        <v>10</v>
      </c>
      <c r="N1298" s="1">
        <f t="shared" si="1805"/>
        <v>2</v>
      </c>
      <c r="O1298" s="1">
        <f t="shared" si="1797"/>
        <v>7</v>
      </c>
      <c r="P1298" s="1">
        <f>MIN(方案参数!$AI$38,AZ1297+0+0)</f>
        <v>5</v>
      </c>
      <c r="Q1298" s="1">
        <f t="shared" si="1775"/>
        <v>5</v>
      </c>
      <c r="R1298" s="1">
        <f t="shared" si="1776"/>
        <v>20</v>
      </c>
      <c r="S1298" s="1">
        <f t="shared" si="1777"/>
        <v>3</v>
      </c>
      <c r="T1298" s="1">
        <f t="shared" si="1812"/>
        <v>0</v>
      </c>
      <c r="U1298" s="1">
        <f t="shared" si="1779"/>
        <v>0</v>
      </c>
      <c r="V1298" s="1">
        <f t="shared" si="1780"/>
        <v>4</v>
      </c>
      <c r="W1298" s="1">
        <f t="shared" si="1781"/>
        <v>1</v>
      </c>
      <c r="X1298" s="1">
        <f t="shared" si="1782"/>
        <v>1</v>
      </c>
      <c r="Y1298" s="1">
        <f t="shared" si="1783"/>
        <v>1</v>
      </c>
      <c r="Z1298" s="1">
        <f t="shared" si="1784"/>
        <v>1</v>
      </c>
      <c r="AA1298" s="1">
        <f t="shared" si="1808"/>
        <v>1</v>
      </c>
      <c r="AB1298" s="1">
        <f t="shared" si="1786"/>
        <v>1</v>
      </c>
      <c r="AC1298" s="1">
        <f t="shared" si="1813"/>
        <v>1</v>
      </c>
      <c r="AD1298" s="1">
        <f>ROUNDDOWN(I1298*(1+IF(F1298=3,0.05+方案参数!$Y$38+AA1298*0.12,IF(F1298=4,方案参数!$BZ$38*方案参数!$AS$38,0)))+IF(AND(X1298=1,F1298&lt;&gt;3),方案参数!$CC$38,0)+AC1298*方案参数!$CB$38,0)</f>
        <v>3034</v>
      </c>
      <c r="AE1298" s="1">
        <f>IF(OR(F1298=1,F1298=4),配置与结果!$B$24,配置与结果!$B$25)*MAX(0,1-INDEX(配置与结果!$I$15:$I$18,F1298))</f>
        <v>1200</v>
      </c>
      <c r="AF1298" s="1">
        <f>方案参数!$BL$38</f>
        <v>9</v>
      </c>
      <c r="AG1298" s="1">
        <f>MAX(配置与结果!$B$32,1+INDEX(配置与结果!$F$15:$F$18,F1298)+0.08+方案参数!$CD$38+Q1298*方案参数!$W$38+Y1298*(方案参数!$AN$38+MIN(方案参数!$AO$38,P1298*0.03))+AB1298*方案参数!$BZ$38*0.025-配置与结果!$B$28+方案参数!$AE$38)</f>
        <v>2.6150000000000002</v>
      </c>
      <c r="AH1298" s="1">
        <f>MAX(0,1+V1298*方案参数!$U$38+9*方案参数!$V$38+方案参数!$AE$38-配置与结果!$B$29)</f>
        <v>2.2600000000000002</v>
      </c>
      <c r="AI1298" s="1">
        <f>IF(OR(INDEX(配置与结果!$K$15:$K$18,F1298)=1,G1298="RHI_BERRY"),1+配置与结果!$B$33+P1298*方案参数!$AH$38,1)</f>
        <v>1</v>
      </c>
      <c r="AJ1298" s="1">
        <f>MIN(1,MAX(0,J1298+方案参数!$AB$38-配置与结果!$B$27))</f>
        <v>1</v>
      </c>
      <c r="AK1298" s="1">
        <f>MAX(1,K1298+IF(F1298=2,0.15+方案参数!$CH$38,0)+BN1298*方案参数!$X$38+R1298*方案参数!$AA$38+方案参数!$BP$38-配置与结果!$B$26+Z1298*(方案参数!$AP$38+MIN(方案参数!$AQ$38,P1298*0.03)))</f>
        <v>2.7650000000000001</v>
      </c>
      <c r="AL1298" s="7">
        <f>ROUNDDOWN(MAX(AD1298*配置与结果!$B$31,AD1298-AE1298)*AF1298*AG1298*AH1298*AI1298,0)</f>
        <v>97548</v>
      </c>
      <c r="AM1298" s="7">
        <f>ROUNDDOWN(MAX(AD1298*配置与结果!$B$31,AD1298-AE1298)*AF1298*AG1298*AH1298*AI1298*AK1298,0)</f>
        <v>269722</v>
      </c>
      <c r="AN1298" s="7">
        <f t="shared" si="1817"/>
        <v>269722</v>
      </c>
      <c r="AO1298" s="7">
        <f>0</f>
        <v>0</v>
      </c>
      <c r="AP1298" s="7">
        <f>MAX(0,1+INDEX(配置与结果!$J$15:$J$18,F1298)+IF(T1298&gt;0,方案参数!$BY$38,0)-配置与结果!$B$30)</f>
        <v>1</v>
      </c>
      <c r="AQ1298" s="7">
        <f t="shared" si="1818"/>
        <v>0</v>
      </c>
      <c r="AR1298" s="7">
        <f t="shared" si="1819"/>
        <v>0</v>
      </c>
      <c r="AS1298" s="7">
        <f t="shared" si="1820"/>
        <v>0</v>
      </c>
      <c r="AT1298" s="7">
        <f>IF(U1298&gt;0,ROUNDDOWN(AL1298*方案参数!$AF$38,0)*(1-AJ1298)+ROUNDDOWN(AM1298*方案参数!$AF$38,0)*AJ1298,0)</f>
        <v>0</v>
      </c>
      <c r="AU1298" s="7">
        <f t="shared" si="1821"/>
        <v>269722</v>
      </c>
      <c r="AV1298" s="1">
        <f t="shared" si="1822"/>
        <v>2</v>
      </c>
      <c r="AW1298" s="1">
        <f t="shared" si="1826"/>
        <v>10</v>
      </c>
      <c r="AX1298" s="1">
        <f t="shared" si="1823"/>
        <v>2</v>
      </c>
      <c r="AY1298" s="1">
        <f>MIN(20,MAX(0,O1298+0+1-0))</f>
        <v>8</v>
      </c>
      <c r="AZ1298" s="1">
        <f t="shared" si="1824"/>
        <v>5</v>
      </c>
      <c r="BA1298" s="1">
        <f t="shared" si="1809"/>
        <v>5</v>
      </c>
      <c r="BB1298" s="1">
        <f t="shared" si="1825"/>
        <v>20</v>
      </c>
      <c r="BC1298" s="1">
        <f t="shared" si="1815"/>
        <v>3</v>
      </c>
      <c r="BD1298" s="1">
        <f t="shared" si="1796"/>
        <v>0</v>
      </c>
      <c r="BE1298" s="1">
        <f>MAX(0,U1298-IF(AF1298&gt;0,1,0))+0</f>
        <v>0</v>
      </c>
      <c r="BF1298" s="1">
        <f t="shared" si="1827"/>
        <v>4</v>
      </c>
      <c r="BG1298" s="1">
        <f t="shared" si="1806"/>
        <v>1</v>
      </c>
      <c r="BH1298" s="1">
        <f t="shared" si="1790"/>
        <v>1</v>
      </c>
      <c r="BI1298" s="1">
        <f t="shared" si="1807"/>
        <v>1</v>
      </c>
      <c r="BJ1298" s="1">
        <f t="shared" si="1810"/>
        <v>1</v>
      </c>
      <c r="BK1298" s="1">
        <f t="shared" si="1811"/>
        <v>1</v>
      </c>
      <c r="BL1298" s="1">
        <f t="shared" si="1816"/>
        <v>1</v>
      </c>
      <c r="BM1298" s="1">
        <f t="shared" si="1814"/>
        <v>1</v>
      </c>
      <c r="BN1298" s="1">
        <f t="shared" si="1791"/>
        <v>1</v>
      </c>
      <c r="BO1298" s="1">
        <f t="shared" si="1792"/>
        <v>1</v>
      </c>
    </row>
    <row r="1299" spans="1:67" ht="30.95" customHeight="1">
      <c r="A1299" s="1">
        <f>35</f>
        <v>35</v>
      </c>
      <c r="B1299" s="1">
        <f>固定流程!A39</f>
        <v>34</v>
      </c>
      <c r="C1299" s="1">
        <f>38</f>
        <v>38</v>
      </c>
      <c r="D1299" s="1">
        <f>2</f>
        <v>2</v>
      </c>
      <c r="E1299" s="1">
        <f>固定流程!C39</f>
        <v>3</v>
      </c>
      <c r="F1299" s="1">
        <f>固定流程!G39</f>
        <v>2</v>
      </c>
      <c r="G1299" s="1" t="str">
        <f>固定流程!H39</f>
        <v>37_WEAK</v>
      </c>
      <c r="H1299" s="1">
        <f>固定流程!F39</f>
        <v>1</v>
      </c>
      <c r="I1299" s="1">
        <f>INDEX(配置与结果!$B$15:$B$18,F1299)</f>
        <v>2306</v>
      </c>
      <c r="J1299" s="1">
        <f>INDEX(配置与结果!$D$15:$D$18,F1299)</f>
        <v>0.46</v>
      </c>
      <c r="K1299" s="1">
        <f>INDEX(配置与结果!$E$15:$E$18,F1299)</f>
        <v>1.9279999999999999</v>
      </c>
      <c r="L1299" s="1">
        <f t="shared" si="1803"/>
        <v>2</v>
      </c>
      <c r="M1299" s="1">
        <f t="shared" si="1804"/>
        <v>10</v>
      </c>
      <c r="N1299" s="1">
        <f t="shared" si="1805"/>
        <v>2</v>
      </c>
      <c r="O1299" s="1">
        <f t="shared" si="1797"/>
        <v>8</v>
      </c>
      <c r="P1299" s="1">
        <f>MIN(方案参数!$AI$38,AZ1298+0+0)</f>
        <v>5</v>
      </c>
      <c r="Q1299" s="1">
        <f t="shared" si="1775"/>
        <v>5</v>
      </c>
      <c r="R1299" s="1">
        <f t="shared" si="1776"/>
        <v>20</v>
      </c>
      <c r="S1299" s="1">
        <f t="shared" si="1777"/>
        <v>3</v>
      </c>
      <c r="T1299" s="1">
        <f t="shared" si="1812"/>
        <v>0</v>
      </c>
      <c r="U1299" s="1">
        <f t="shared" si="1779"/>
        <v>0</v>
      </c>
      <c r="V1299" s="1">
        <f t="shared" si="1780"/>
        <v>4</v>
      </c>
      <c r="W1299" s="1">
        <f t="shared" si="1781"/>
        <v>1</v>
      </c>
      <c r="X1299" s="1">
        <f t="shared" si="1782"/>
        <v>1</v>
      </c>
      <c r="Y1299" s="1">
        <f t="shared" si="1783"/>
        <v>1</v>
      </c>
      <c r="Z1299" s="1">
        <f t="shared" si="1784"/>
        <v>1</v>
      </c>
      <c r="AA1299" s="1">
        <f t="shared" si="1808"/>
        <v>1</v>
      </c>
      <c r="AB1299" s="1">
        <f t="shared" si="1786"/>
        <v>1</v>
      </c>
      <c r="AC1299" s="1">
        <f t="shared" si="1813"/>
        <v>1</v>
      </c>
      <c r="AD1299" s="1">
        <f>ROUNDDOWN(I1299*(1+IF(F1299=3,0.05+方案参数!$Y$38+AA1299*0.12,IF(F1299=4,方案参数!$BZ$38*方案参数!$AS$38,0)))+IF(AND(X1299=1,F1299&lt;&gt;3),方案参数!$CC$38,0)+AC1299*方案参数!$CB$38,0)</f>
        <v>3044</v>
      </c>
      <c r="AE1299" s="1">
        <f>IF(OR(F1299=1,F1299=4),配置与结果!$B$24,配置与结果!$B$25)*MAX(0,1-INDEX(配置与结果!$I$15:$I$18,F1299))</f>
        <v>1000</v>
      </c>
      <c r="AF1299" s="1">
        <f>方案参数!$CE$38</f>
        <v>8</v>
      </c>
      <c r="AG1299" s="1">
        <f>MAX(配置与结果!$B$32,1+INDEX(配置与结果!$F$15:$F$18,F1299)+0+Q1299*方案参数!$W$38+Y1299*(方案参数!$AN$38+MIN(方案参数!$AO$38,P1299*0.03))+AB1299*方案参数!$BZ$38*0.025-配置与结果!$B$28+方案参数!$AE$38)</f>
        <v>2.2800000000000002</v>
      </c>
      <c r="AH1299" s="1">
        <f>MAX(0,1+V1299*方案参数!$U$38+方案参数!$AE$38-配置与结果!$B$29)</f>
        <v>1.7200000000000002</v>
      </c>
      <c r="AI1299" s="1">
        <f>IF(OR(INDEX(配置与结果!$K$15:$K$18,F1299)=1,G1299="RHI_BERRY"),1+配置与结果!$B$33+P1299*方案参数!$AH$38,1)</f>
        <v>1</v>
      </c>
      <c r="AJ1299" s="1">
        <f>MIN(1,MAX(0,J1299+方案参数!$AB$38-配置与结果!$B$27))</f>
        <v>0.76</v>
      </c>
      <c r="AK1299" s="1">
        <f>MAX(1,K1299+IF(F1299=2,0.15+方案参数!$CH$38,0)+BN1299*方案参数!$X$38+R1299*方案参数!$AA$38+0-配置与结果!$B$26+Z1299*(方案参数!$AP$38+MIN(方案参数!$AQ$38,P1299*0.03)))</f>
        <v>2.4580000000000002</v>
      </c>
      <c r="AL1299" s="7">
        <f>ROUNDDOWN(MAX(AD1299*配置与结果!$B$31,AD1299-AE1299)*AF1299*AG1299*AH1299*AI1299,0)</f>
        <v>64126</v>
      </c>
      <c r="AM1299" s="7">
        <f>ROUNDDOWN(MAX(AD1299*配置与结果!$B$31,AD1299-AE1299)*AF1299*AG1299*AH1299*AI1299*AK1299,0)</f>
        <v>157621</v>
      </c>
      <c r="AN1299" s="7">
        <f t="shared" si="1817"/>
        <v>135182.20000000001</v>
      </c>
      <c r="AO1299" s="7">
        <f>0</f>
        <v>0</v>
      </c>
      <c r="AP1299" s="7">
        <f>MAX(0,1+INDEX(配置与结果!$J$15:$J$18,F1299)+IF(T1299&gt;0,方案参数!$BY$38,0)-配置与结果!$B$30)</f>
        <v>1</v>
      </c>
      <c r="AQ1299" s="7">
        <f t="shared" si="1818"/>
        <v>0</v>
      </c>
      <c r="AR1299" s="7">
        <f t="shared" si="1819"/>
        <v>0</v>
      </c>
      <c r="AS1299" s="7">
        <f t="shared" si="1820"/>
        <v>0</v>
      </c>
      <c r="AT1299" s="7">
        <f>IF(U1299&gt;0,ROUNDDOWN(AL1299*方案参数!$AF$38,0)*(1-AJ1299)+ROUNDDOWN(AM1299*方案参数!$AF$38,0)*AJ1299,0)</f>
        <v>0</v>
      </c>
      <c r="AU1299" s="7">
        <f t="shared" si="1821"/>
        <v>135182.20000000001</v>
      </c>
      <c r="AV1299" s="1">
        <f t="shared" si="1822"/>
        <v>2</v>
      </c>
      <c r="AW1299" s="1">
        <f t="shared" si="1826"/>
        <v>10</v>
      </c>
      <c r="AX1299" s="1">
        <f t="shared" si="1823"/>
        <v>2</v>
      </c>
      <c r="AY1299" s="1">
        <f>MIN(20,MAX(0,O1299+0+0-0))</f>
        <v>8</v>
      </c>
      <c r="AZ1299" s="1">
        <f t="shared" si="1824"/>
        <v>5</v>
      </c>
      <c r="BA1299" s="1">
        <f t="shared" si="1809"/>
        <v>5</v>
      </c>
      <c r="BB1299" s="1">
        <f t="shared" si="1825"/>
        <v>20</v>
      </c>
      <c r="BC1299" s="1">
        <f t="shared" si="1815"/>
        <v>3</v>
      </c>
      <c r="BD1299" s="1">
        <f t="shared" si="1796"/>
        <v>0</v>
      </c>
      <c r="BE1299" s="1">
        <f>MAX(0,U1299-IF(AF1299&gt;0,1,0))+1</f>
        <v>1</v>
      </c>
      <c r="BF1299" s="1">
        <f t="shared" si="1827"/>
        <v>4</v>
      </c>
      <c r="BG1299" s="1">
        <f t="shared" si="1806"/>
        <v>1</v>
      </c>
      <c r="BH1299" s="1">
        <f t="shared" si="1790"/>
        <v>1</v>
      </c>
      <c r="BI1299" s="1">
        <f t="shared" si="1807"/>
        <v>1</v>
      </c>
      <c r="BJ1299" s="1">
        <f t="shared" si="1810"/>
        <v>1</v>
      </c>
      <c r="BK1299" s="1">
        <f t="shared" si="1811"/>
        <v>1</v>
      </c>
      <c r="BL1299" s="1">
        <f t="shared" si="1816"/>
        <v>1</v>
      </c>
      <c r="BM1299" s="1">
        <f t="shared" si="1814"/>
        <v>1</v>
      </c>
      <c r="BN1299" s="1">
        <f t="shared" si="1791"/>
        <v>1</v>
      </c>
      <c r="BO1299" s="1">
        <f t="shared" si="1792"/>
        <v>1</v>
      </c>
    </row>
    <row r="1300" spans="1:67" ht="30.95" customHeight="1">
      <c r="A1300" s="1">
        <f>35</f>
        <v>35</v>
      </c>
      <c r="B1300" s="1">
        <f>固定流程!A40</f>
        <v>35</v>
      </c>
      <c r="C1300" s="1">
        <f>38</f>
        <v>38</v>
      </c>
      <c r="D1300" s="1">
        <f>2</f>
        <v>2</v>
      </c>
      <c r="E1300" s="1">
        <f>固定流程!C40</f>
        <v>3</v>
      </c>
      <c r="F1300" s="1">
        <f>固定流程!G40</f>
        <v>2</v>
      </c>
      <c r="G1300" s="1" t="str">
        <f>固定流程!H40</f>
        <v>37_WEAK</v>
      </c>
      <c r="H1300" s="1">
        <f>固定流程!F40</f>
        <v>1</v>
      </c>
      <c r="I1300" s="1">
        <f>INDEX(配置与结果!$B$15:$B$18,F1300)</f>
        <v>2306</v>
      </c>
      <c r="J1300" s="1">
        <f>INDEX(配置与结果!$D$15:$D$18,F1300)</f>
        <v>0.46</v>
      </c>
      <c r="K1300" s="1">
        <f>INDEX(配置与结果!$E$15:$E$18,F1300)</f>
        <v>1.9279999999999999</v>
      </c>
      <c r="L1300" s="1">
        <f t="shared" si="1803"/>
        <v>2</v>
      </c>
      <c r="M1300" s="1">
        <f t="shared" si="1804"/>
        <v>10</v>
      </c>
      <c r="N1300" s="1">
        <f t="shared" si="1805"/>
        <v>2</v>
      </c>
      <c r="O1300" s="1">
        <f t="shared" si="1797"/>
        <v>8</v>
      </c>
      <c r="P1300" s="1">
        <f>MIN(方案参数!$AI$38,AZ1299+0+0)</f>
        <v>5</v>
      </c>
      <c r="Q1300" s="1">
        <f t="shared" si="1775"/>
        <v>5</v>
      </c>
      <c r="R1300" s="1">
        <f t="shared" si="1776"/>
        <v>20</v>
      </c>
      <c r="S1300" s="1">
        <f t="shared" si="1777"/>
        <v>3</v>
      </c>
      <c r="T1300" s="1">
        <f t="shared" si="1812"/>
        <v>0</v>
      </c>
      <c r="U1300" s="1">
        <f t="shared" si="1779"/>
        <v>1</v>
      </c>
      <c r="V1300" s="1">
        <f t="shared" si="1780"/>
        <v>4</v>
      </c>
      <c r="W1300" s="1">
        <f t="shared" si="1781"/>
        <v>1</v>
      </c>
      <c r="X1300" s="1">
        <f t="shared" si="1782"/>
        <v>1</v>
      </c>
      <c r="Y1300" s="1">
        <f t="shared" si="1783"/>
        <v>1</v>
      </c>
      <c r="Z1300" s="1">
        <f t="shared" si="1784"/>
        <v>1</v>
      </c>
      <c r="AA1300" s="1">
        <f t="shared" si="1808"/>
        <v>1</v>
      </c>
      <c r="AB1300" s="1">
        <f t="shared" si="1786"/>
        <v>1</v>
      </c>
      <c r="AC1300" s="1">
        <f t="shared" si="1813"/>
        <v>1</v>
      </c>
      <c r="AD1300" s="1">
        <f>ROUNDDOWN(I1300*(1+IF(F1300=3,0.05+方案参数!$Y$38+AA1300*0.12,IF(F1300=4,方案参数!$BZ$38*方案参数!$AS$38,0)))+IF(AND(X1300=1,F1300&lt;&gt;3),方案参数!$CC$38,0)+AC1300*方案参数!$CB$38,0)</f>
        <v>3044</v>
      </c>
      <c r="AE1300" s="1">
        <f>IF(OR(F1300=1,F1300=4),配置与结果!$B$24,配置与结果!$B$25)*MAX(0,1-INDEX(配置与结果!$I$15:$I$18,F1300))</f>
        <v>1000</v>
      </c>
      <c r="AF1300" s="1">
        <f>方案参数!$CE$38</f>
        <v>8</v>
      </c>
      <c r="AG1300" s="1">
        <f>MAX(配置与结果!$B$32,1+INDEX(配置与结果!$F$15:$F$18,F1300)+0+Q1300*方案参数!$W$38+Y1300*(方案参数!$AN$38+MIN(方案参数!$AO$38,P1300*0.03))+AB1300*方案参数!$BZ$38*0.025-配置与结果!$B$28+方案参数!$AE$38)</f>
        <v>2.2800000000000002</v>
      </c>
      <c r="AH1300" s="1">
        <f>MAX(0,1+V1300*方案参数!$U$38+方案参数!$AE$38-配置与结果!$B$29)</f>
        <v>1.7200000000000002</v>
      </c>
      <c r="AI1300" s="1">
        <f>IF(OR(INDEX(配置与结果!$K$15:$K$18,F1300)=1,G1300="RHI_BERRY"),1+配置与结果!$B$33+P1300*方案参数!$AH$38,1)</f>
        <v>1</v>
      </c>
      <c r="AJ1300" s="1">
        <f>MIN(1,MAX(0,J1300+方案参数!$AB$38-配置与结果!$B$27))</f>
        <v>0.76</v>
      </c>
      <c r="AK1300" s="1">
        <f>MAX(1,K1300+IF(F1300=2,0.15+方案参数!$CH$38,0)+BN1300*方案参数!$X$38+R1300*方案参数!$AA$38+0-配置与结果!$B$26+Z1300*(方案参数!$AP$38+MIN(方案参数!$AQ$38,P1300*0.03)))</f>
        <v>2.4580000000000002</v>
      </c>
      <c r="AL1300" s="7">
        <f>ROUNDDOWN(MAX(AD1300*配置与结果!$B$31,AD1300-AE1300)*AF1300*AG1300*AH1300*AI1300,0)</f>
        <v>64126</v>
      </c>
      <c r="AM1300" s="7">
        <f>ROUNDDOWN(MAX(AD1300*配置与结果!$B$31,AD1300-AE1300)*AF1300*AG1300*AH1300*AI1300*AK1300,0)</f>
        <v>157621</v>
      </c>
      <c r="AN1300" s="7">
        <f t="shared" si="1817"/>
        <v>135182.20000000001</v>
      </c>
      <c r="AO1300" s="7">
        <f>0</f>
        <v>0</v>
      </c>
      <c r="AP1300" s="7">
        <f>MAX(0,1+INDEX(配置与结果!$J$15:$J$18,F1300)+IF(T1300&gt;0,方案参数!$BY$38,0)-配置与结果!$B$30)</f>
        <v>1</v>
      </c>
      <c r="AQ1300" s="7">
        <f t="shared" si="1818"/>
        <v>0</v>
      </c>
      <c r="AR1300" s="7">
        <f t="shared" si="1819"/>
        <v>0</v>
      </c>
      <c r="AS1300" s="7">
        <f t="shared" si="1820"/>
        <v>0</v>
      </c>
      <c r="AT1300" s="7">
        <f>IF(U1300&gt;0,ROUNDDOWN(AL1300*方案参数!$AF$38,0)*(1-AJ1300)+ROUNDDOWN(AM1300*方案参数!$AF$38,0)*AJ1300,0)</f>
        <v>54072.480000000003</v>
      </c>
      <c r="AU1300" s="7">
        <f t="shared" si="1821"/>
        <v>189254.68000000002</v>
      </c>
      <c r="AV1300" s="1">
        <f t="shared" si="1822"/>
        <v>2</v>
      </c>
      <c r="AW1300" s="1">
        <f t="shared" si="1826"/>
        <v>10</v>
      </c>
      <c r="AX1300" s="1">
        <f t="shared" si="1823"/>
        <v>2</v>
      </c>
      <c r="AY1300" s="1">
        <f>MIN(20,MAX(0,O1300+0+0-0))</f>
        <v>8</v>
      </c>
      <c r="AZ1300" s="1">
        <f t="shared" si="1824"/>
        <v>5</v>
      </c>
      <c r="BA1300" s="1">
        <f t="shared" si="1809"/>
        <v>5</v>
      </c>
      <c r="BB1300" s="1">
        <f t="shared" si="1825"/>
        <v>20</v>
      </c>
      <c r="BC1300" s="1">
        <f t="shared" si="1815"/>
        <v>3</v>
      </c>
      <c r="BD1300" s="1">
        <f t="shared" si="1796"/>
        <v>0</v>
      </c>
      <c r="BE1300" s="1">
        <f>MAX(0,U1300-IF(AF1300&gt;0,1,0))+1</f>
        <v>1</v>
      </c>
      <c r="BF1300" s="1">
        <f t="shared" si="1827"/>
        <v>4</v>
      </c>
      <c r="BG1300" s="1">
        <f t="shared" si="1806"/>
        <v>1</v>
      </c>
      <c r="BH1300" s="1">
        <f t="shared" si="1790"/>
        <v>1</v>
      </c>
      <c r="BI1300" s="1">
        <f t="shared" si="1807"/>
        <v>1</v>
      </c>
      <c r="BJ1300" s="1">
        <f t="shared" si="1810"/>
        <v>1</v>
      </c>
      <c r="BK1300" s="1">
        <f t="shared" si="1811"/>
        <v>1</v>
      </c>
      <c r="BL1300" s="1">
        <f t="shared" si="1816"/>
        <v>1</v>
      </c>
      <c r="BM1300" s="1">
        <f t="shared" si="1814"/>
        <v>1</v>
      </c>
      <c r="BN1300" s="1">
        <f t="shared" si="1791"/>
        <v>1</v>
      </c>
      <c r="BO1300" s="1">
        <f t="shared" si="1792"/>
        <v>1</v>
      </c>
    </row>
    <row r="1301" spans="1:67" ht="30.95" customHeight="1">
      <c r="A1301" s="1">
        <f>35</f>
        <v>35</v>
      </c>
      <c r="B1301" s="1">
        <f>固定流程!A41</f>
        <v>36</v>
      </c>
      <c r="C1301" s="1">
        <f>38</f>
        <v>38</v>
      </c>
      <c r="D1301" s="1">
        <f>2</f>
        <v>2</v>
      </c>
      <c r="E1301" s="1">
        <f>固定流程!C41</f>
        <v>3</v>
      </c>
      <c r="F1301" s="1">
        <f>固定流程!G41</f>
        <v>1</v>
      </c>
      <c r="G1301" s="1" t="str">
        <f>固定流程!H41</f>
        <v>LILYA_FINISH</v>
      </c>
      <c r="H1301" s="1">
        <f>固定流程!F41</f>
        <v>1</v>
      </c>
      <c r="I1301" s="1">
        <f>INDEX(配置与结果!$B$15:$B$18,F1301)</f>
        <v>2296</v>
      </c>
      <c r="J1301" s="1">
        <f>INDEX(配置与结果!$D$15:$D$18,F1301)</f>
        <v>0.7</v>
      </c>
      <c r="K1301" s="1">
        <f>INDEX(配置与结果!$E$15:$E$18,F1301)</f>
        <v>2.0249999999999999</v>
      </c>
      <c r="L1301" s="1">
        <f t="shared" si="1803"/>
        <v>2</v>
      </c>
      <c r="M1301" s="1">
        <f t="shared" si="1804"/>
        <v>10</v>
      </c>
      <c r="N1301" s="1">
        <f t="shared" si="1805"/>
        <v>2</v>
      </c>
      <c r="O1301" s="1">
        <f t="shared" si="1797"/>
        <v>8</v>
      </c>
      <c r="P1301" s="1">
        <f>MIN(方案参数!$AI$38,AZ1300+0+0)</f>
        <v>5</v>
      </c>
      <c r="Q1301" s="1">
        <f t="shared" si="1775"/>
        <v>5</v>
      </c>
      <c r="R1301" s="1">
        <f t="shared" si="1776"/>
        <v>20</v>
      </c>
      <c r="S1301" s="1">
        <f t="shared" si="1777"/>
        <v>3</v>
      </c>
      <c r="T1301" s="1">
        <f t="shared" si="1812"/>
        <v>0</v>
      </c>
      <c r="U1301" s="1">
        <f t="shared" si="1779"/>
        <v>1</v>
      </c>
      <c r="V1301" s="1">
        <f t="shared" si="1780"/>
        <v>4</v>
      </c>
      <c r="W1301" s="1">
        <f t="shared" si="1781"/>
        <v>1</v>
      </c>
      <c r="X1301" s="1">
        <f t="shared" si="1782"/>
        <v>1</v>
      </c>
      <c r="Y1301" s="1">
        <f t="shared" si="1783"/>
        <v>1</v>
      </c>
      <c r="Z1301" s="1">
        <f t="shared" si="1784"/>
        <v>1</v>
      </c>
      <c r="AA1301" s="1">
        <f t="shared" si="1808"/>
        <v>1</v>
      </c>
      <c r="AB1301" s="1">
        <f t="shared" si="1786"/>
        <v>1</v>
      </c>
      <c r="AC1301" s="1">
        <f t="shared" si="1813"/>
        <v>1</v>
      </c>
      <c r="AD1301" s="1">
        <f>ROUNDDOWN(I1301*(1+IF(F1301=3,0.05+方案参数!$Y$38+AA1301*0.12,IF(F1301=4,方案参数!$BZ$38*方案参数!$AS$38,0)))+IF(AND(X1301=1,F1301&lt;&gt;3),方案参数!$CC$38,0)+AC1301*方案参数!$CB$38,0)</f>
        <v>3034</v>
      </c>
      <c r="AE1301" s="1">
        <f>IF(OR(F1301=1,F1301=4),配置与结果!$B$24,配置与结果!$B$25)*MAX(0,1-INDEX(配置与结果!$I$15:$I$18,F1301))</f>
        <v>1200</v>
      </c>
      <c r="AF1301" s="1">
        <f>方案参数!$BN$38+12*方案参数!$BO$38</f>
        <v>48</v>
      </c>
      <c r="AG1301" s="1">
        <f>MAX(配置与结果!$B$32,1+INDEX(配置与结果!$F$15:$F$18,F1301)+0.08+方案参数!$CD$38+Q1301*方案参数!$W$38+Y1301*(方案参数!$AN$38+MIN(方案参数!$AO$38,P1301*0.03))+AB1301*方案参数!$BZ$38*0.025-配置与结果!$B$28+方案参数!$AE$38)</f>
        <v>2.6150000000000002</v>
      </c>
      <c r="AH1301" s="1">
        <f>MAX(0,1+V1301*方案参数!$U$38+12*方案参数!$V$38+方案参数!$AE$38-配置与结果!$B$29)</f>
        <v>2.44</v>
      </c>
      <c r="AI1301" s="1">
        <f>IF(OR(INDEX(配置与结果!$K$15:$K$18,F1301)=1,G1301="RHI_BERRY"),1+配置与结果!$B$33+P1301*方案参数!$AH$38,1)</f>
        <v>1</v>
      </c>
      <c r="AJ1301" s="1">
        <f>MIN(1,MAX(0,J1301+方案参数!$AB$38-配置与结果!$B$27))</f>
        <v>1</v>
      </c>
      <c r="AK1301" s="1">
        <f>MAX(1,K1301+IF(F1301=2,0.15+方案参数!$CH$38,0)+BN1301*方案参数!$X$38+R1301*方案参数!$AA$38+方案参数!$BR$38-配置与结果!$B$26+Z1301*(方案参数!$AP$38+MIN(方案参数!$AQ$38,P1301*0.03)))</f>
        <v>3.165</v>
      </c>
      <c r="AL1301" s="7">
        <f>ROUNDDOWN(MAX(AD1301*配置与结果!$B$31,AD1301-AE1301)*AF1301*AG1301*AH1301*AI1301,0)</f>
        <v>561696</v>
      </c>
      <c r="AM1301" s="7">
        <f>ROUNDDOWN(MAX(AD1301*配置与结果!$B$31,AD1301-AE1301)*AF1301*AG1301*AH1301*AI1301*AK1301,0)</f>
        <v>1777770</v>
      </c>
      <c r="AN1301" s="7">
        <f t="shared" si="1817"/>
        <v>1777770</v>
      </c>
      <c r="AO1301" s="7">
        <f>0</f>
        <v>0</v>
      </c>
      <c r="AP1301" s="7">
        <f>MAX(0,1+INDEX(配置与结果!$J$15:$J$18,F1301)+IF(T1301&gt;0,方案参数!$BY$38,0)-配置与结果!$B$30)</f>
        <v>1</v>
      </c>
      <c r="AQ1301" s="7">
        <f t="shared" si="1818"/>
        <v>0</v>
      </c>
      <c r="AR1301" s="7">
        <f t="shared" si="1819"/>
        <v>0</v>
      </c>
      <c r="AS1301" s="7">
        <f t="shared" si="1820"/>
        <v>0</v>
      </c>
      <c r="AT1301" s="7">
        <f>IF(U1301&gt;0,ROUNDDOWN(AL1301*方案参数!$AF$38,0)*(1-AJ1301)+ROUNDDOWN(AM1301*方案参数!$AF$38,0)*AJ1301,0)</f>
        <v>711108</v>
      </c>
      <c r="AU1301" s="7">
        <f t="shared" si="1821"/>
        <v>2488878</v>
      </c>
      <c r="AV1301" s="1">
        <f t="shared" si="1822"/>
        <v>2</v>
      </c>
      <c r="AW1301" s="1">
        <f t="shared" si="1826"/>
        <v>10</v>
      </c>
      <c r="AX1301" s="1">
        <f t="shared" si="1823"/>
        <v>2</v>
      </c>
      <c r="AY1301" s="1">
        <f>MIN(20,MAX(0,O1301+0+1-0))</f>
        <v>9</v>
      </c>
      <c r="AZ1301" s="1">
        <f t="shared" si="1824"/>
        <v>5</v>
      </c>
      <c r="BA1301" s="1">
        <f t="shared" si="1809"/>
        <v>5</v>
      </c>
      <c r="BB1301" s="1">
        <f t="shared" si="1825"/>
        <v>20</v>
      </c>
      <c r="BC1301" s="1">
        <f t="shared" si="1815"/>
        <v>3</v>
      </c>
      <c r="BD1301" s="1">
        <f t="shared" si="1796"/>
        <v>0</v>
      </c>
      <c r="BE1301" s="1">
        <f>MAX(0,U1301-IF(AF1301&gt;0,1,0))+0</f>
        <v>0</v>
      </c>
      <c r="BF1301" s="1">
        <f t="shared" si="1827"/>
        <v>4</v>
      </c>
      <c r="BG1301" s="1">
        <f t="shared" si="1806"/>
        <v>1</v>
      </c>
      <c r="BH1301" s="1">
        <f t="shared" si="1790"/>
        <v>1</v>
      </c>
      <c r="BI1301" s="1">
        <f t="shared" si="1807"/>
        <v>1</v>
      </c>
      <c r="BJ1301" s="1">
        <f t="shared" si="1810"/>
        <v>1</v>
      </c>
      <c r="BK1301" s="1">
        <f t="shared" si="1811"/>
        <v>1</v>
      </c>
      <c r="BL1301" s="1">
        <f t="shared" si="1816"/>
        <v>1</v>
      </c>
      <c r="BM1301" s="1">
        <f t="shared" si="1814"/>
        <v>1</v>
      </c>
      <c r="BN1301" s="1">
        <f t="shared" si="1791"/>
        <v>1</v>
      </c>
      <c r="BO1301" s="1">
        <f t="shared" si="1792"/>
        <v>1</v>
      </c>
    </row>
    <row r="1302" spans="1:67" ht="30.95" customHeight="1">
      <c r="A1302" s="1">
        <f>36</f>
        <v>36</v>
      </c>
      <c r="B1302" s="1">
        <f>固定流程!A6</f>
        <v>1</v>
      </c>
      <c r="C1302" s="1">
        <f>39</f>
        <v>39</v>
      </c>
      <c r="D1302" s="1">
        <f>1</f>
        <v>1</v>
      </c>
      <c r="E1302" s="1">
        <f>固定流程!C6</f>
        <v>1</v>
      </c>
      <c r="F1302" s="1">
        <f>固定流程!G6</f>
        <v>3</v>
      </c>
      <c r="G1302" s="1" t="str">
        <f>固定流程!H6</f>
        <v>RHI_ULT</v>
      </c>
      <c r="H1302" s="1">
        <f>固定流程!F6</f>
        <v>1</v>
      </c>
      <c r="I1302" s="1">
        <f>INDEX(配置与结果!$B$15:$B$18,F1302)</f>
        <v>2597</v>
      </c>
      <c r="J1302" s="1">
        <f>INDEX(配置与结果!$D$15:$D$18,F1302)</f>
        <v>0.255</v>
      </c>
      <c r="K1302" s="1">
        <f>INDEX(配置与结果!$E$15:$E$18,F1302)</f>
        <v>1.55</v>
      </c>
      <c r="L1302" s="1">
        <f>0</f>
        <v>0</v>
      </c>
      <c r="M1302" s="1">
        <f>0</f>
        <v>0</v>
      </c>
      <c r="N1302" s="1">
        <f>0</f>
        <v>0</v>
      </c>
      <c r="O1302" s="1">
        <f>0</f>
        <v>0</v>
      </c>
      <c r="P1302" s="1">
        <f>MIN(方案参数!$AI$39,0+方案参数!$AJ$39+0)</f>
        <v>1</v>
      </c>
      <c r="Q1302" s="1">
        <f>0</f>
        <v>0</v>
      </c>
      <c r="R1302" s="1">
        <f>0</f>
        <v>0</v>
      </c>
      <c r="S1302" s="1">
        <f>0</f>
        <v>0</v>
      </c>
      <c r="T1302" s="1">
        <f>0+0</f>
        <v>0</v>
      </c>
      <c r="U1302" s="1">
        <f>0</f>
        <v>0</v>
      </c>
      <c r="V1302" s="1">
        <f>0</f>
        <v>0</v>
      </c>
      <c r="W1302" s="1">
        <f>0</f>
        <v>0</v>
      </c>
      <c r="X1302" s="1">
        <f>0</f>
        <v>0</v>
      </c>
      <c r="Y1302" s="1">
        <f>0</f>
        <v>0</v>
      </c>
      <c r="Z1302" s="1">
        <f>0</f>
        <v>0</v>
      </c>
      <c r="AA1302" s="1">
        <f>MAX(0,0)</f>
        <v>0</v>
      </c>
      <c r="AB1302" s="1">
        <f>0</f>
        <v>0</v>
      </c>
      <c r="AC1302" s="1">
        <f>MAX(0,0)</f>
        <v>0</v>
      </c>
      <c r="AD1302" s="1">
        <f>ROUNDDOWN(I1302*(1+IF(F1302=3,0.05+方案参数!$Y$39+AA1302*0.12,IF(F1302=4,方案参数!$BZ$39*方案参数!$AS$39,0)))+IF(AND(X1302=1,F1302&lt;&gt;3),方案参数!$CC$39,0)+AC1302*方案参数!$CB$39,0)</f>
        <v>2830</v>
      </c>
      <c r="AE1302" s="1">
        <f>IF(OR(F1302=1,F1302=4),配置与结果!$B$24,配置与结果!$B$25)*MAX(0,1-INDEX(配置与结果!$I$15:$I$18,F1302))</f>
        <v>1000</v>
      </c>
      <c r="AF1302" s="1">
        <f>0</f>
        <v>0</v>
      </c>
      <c r="AG1302" s="1">
        <f>MAX(配置与结果!$B$32,1+INDEX(配置与结果!$F$15:$F$18,F1302)+0+Q1302*方案参数!$W$39+Y1302*(方案参数!$AN$39+MIN(方案参数!$AO$39,P1302*0.03))+AB1302*方案参数!$BZ$39*0.025-配置与结果!$B$28)</f>
        <v>0.6349999999999999</v>
      </c>
      <c r="AH1302" s="1">
        <f>MAX(0,1+INDEX(配置与结果!$G$15:$G$18,F1302)+W1302*方案参数!$AG$39)</f>
        <v>1</v>
      </c>
      <c r="AI1302" s="1">
        <f>IF(OR(INDEX(配置与结果!$K$15:$K$18,F1302)=1,G1302="RHI_BERRY"),1+配置与结果!$B$33+P1302*方案参数!$AH$39,1)</f>
        <v>1</v>
      </c>
      <c r="AJ1302" s="1">
        <f>MIN(1,MAX(0,J1302+方案参数!$AB$39-配置与结果!$B$27))</f>
        <v>0.55499999999999994</v>
      </c>
      <c r="AK1302" s="1">
        <f>MAX(1,K1302+IF(F1302=2,0.15+方案参数!$CH$39,0)+BN1302*方案参数!$X$39+R1302*方案参数!$AA$39+0-配置与结果!$B$26+Z1302*(方案参数!$AP$39+MIN(方案参数!$AQ$39,P1302*0.03)))</f>
        <v>1.1499999999999999</v>
      </c>
      <c r="AL1302" s="7">
        <f>ROUNDDOWN(MAX(AD1302*配置与结果!$B$31,AD1302-AE1302)*AF1302*AG1302*AH1302*AI1302,0)</f>
        <v>0</v>
      </c>
      <c r="AM1302" s="7">
        <f>ROUNDDOWN(MAX(AD1302*配置与结果!$B$31,AD1302-AE1302)*AF1302*AG1302*AH1302*AI1302*AK1302,0)</f>
        <v>0</v>
      </c>
      <c r="AN1302" s="7">
        <f t="shared" si="1817"/>
        <v>0</v>
      </c>
      <c r="AO1302" s="7">
        <f>0</f>
        <v>0</v>
      </c>
      <c r="AP1302" s="7">
        <f>MAX(0,1+INDEX(配置与结果!$J$15:$J$18,F1302)+IF(T1302&gt;0,方案参数!$BY$39,0)-配置与结果!$B$30)</f>
        <v>1</v>
      </c>
      <c r="AQ1302" s="7">
        <f t="shared" si="1818"/>
        <v>0</v>
      </c>
      <c r="AR1302" s="7">
        <f t="shared" si="1819"/>
        <v>0</v>
      </c>
      <c r="AS1302" s="7">
        <f t="shared" si="1820"/>
        <v>0</v>
      </c>
      <c r="AT1302" s="7">
        <f>0</f>
        <v>0</v>
      </c>
      <c r="AU1302" s="7">
        <f t="shared" si="1821"/>
        <v>0</v>
      </c>
      <c r="AV1302" s="1">
        <f t="shared" si="1822"/>
        <v>0</v>
      </c>
      <c r="AW1302" s="1">
        <f t="shared" si="1826"/>
        <v>0</v>
      </c>
      <c r="AX1302" s="1">
        <f t="shared" si="1823"/>
        <v>0</v>
      </c>
      <c r="AY1302" s="1">
        <f>MIN(20,MAX(0,O1302+0+0-0))</f>
        <v>0</v>
      </c>
      <c r="AZ1302" s="1">
        <f t="shared" si="1824"/>
        <v>1</v>
      </c>
      <c r="BA1302" s="1">
        <f>MIN(6,Q1302+1)</f>
        <v>1</v>
      </c>
      <c r="BB1302" s="1">
        <f>MIN(30,R1302+5)</f>
        <v>5</v>
      </c>
      <c r="BC1302" s="1">
        <f t="shared" si="1815"/>
        <v>0</v>
      </c>
      <c r="BD1302" s="1">
        <f t="shared" si="1796"/>
        <v>0</v>
      </c>
      <c r="BE1302" s="1">
        <f>0</f>
        <v>0</v>
      </c>
      <c r="BF1302" s="1">
        <f t="shared" si="1827"/>
        <v>0</v>
      </c>
      <c r="BG1302" s="1">
        <f t="shared" si="1806"/>
        <v>0</v>
      </c>
      <c r="BH1302" s="1">
        <f>MAX(X1302,1)</f>
        <v>1</v>
      </c>
      <c r="BI1302" s="1">
        <f t="shared" si="1807"/>
        <v>0</v>
      </c>
      <c r="BJ1302" s="1">
        <f t="shared" si="1810"/>
        <v>0</v>
      </c>
      <c r="BK1302" s="1">
        <f t="shared" si="1811"/>
        <v>0</v>
      </c>
      <c r="BL1302" s="1">
        <f t="shared" si="1816"/>
        <v>0</v>
      </c>
      <c r="BM1302" s="1">
        <f t="shared" si="1814"/>
        <v>0</v>
      </c>
      <c r="BN1302" s="1">
        <f>0</f>
        <v>0</v>
      </c>
      <c r="BO1302" s="1">
        <f>MAX(BN1302,1)</f>
        <v>1</v>
      </c>
    </row>
    <row r="1303" spans="1:67" ht="30.95" customHeight="1">
      <c r="A1303" s="1">
        <f>36</f>
        <v>36</v>
      </c>
      <c r="B1303" s="1">
        <f>固定流程!A7</f>
        <v>2</v>
      </c>
      <c r="C1303" s="1">
        <f>39</f>
        <v>39</v>
      </c>
      <c r="D1303" s="1">
        <f>1</f>
        <v>1</v>
      </c>
      <c r="E1303" s="1">
        <f>固定流程!C7</f>
        <v>1</v>
      </c>
      <c r="F1303" s="1">
        <f>固定流程!G7</f>
        <v>3</v>
      </c>
      <c r="G1303" s="1" t="str">
        <f>固定流程!H7</f>
        <v>RHI_BUFF</v>
      </c>
      <c r="H1303" s="1">
        <f>固定流程!F7</f>
        <v>1</v>
      </c>
      <c r="I1303" s="1">
        <f>INDEX(配置与结果!$B$15:$B$18,F1303)</f>
        <v>2597</v>
      </c>
      <c r="J1303" s="1">
        <f>INDEX(配置与结果!$D$15:$D$18,F1303)</f>
        <v>0.255</v>
      </c>
      <c r="K1303" s="1">
        <f>INDEX(配置与结果!$E$15:$E$18,F1303)</f>
        <v>1.55</v>
      </c>
      <c r="L1303" s="1">
        <f t="shared" ref="L1303:O1308" si="1828">AV1302</f>
        <v>0</v>
      </c>
      <c r="M1303" s="1">
        <f t="shared" si="1828"/>
        <v>0</v>
      </c>
      <c r="N1303" s="1">
        <f t="shared" si="1828"/>
        <v>0</v>
      </c>
      <c r="O1303" s="1">
        <f t="shared" si="1828"/>
        <v>0</v>
      </c>
      <c r="P1303" s="1">
        <f>MIN(方案参数!$AI$39,AZ1302+0+方案参数!$AK$39)</f>
        <v>3</v>
      </c>
      <c r="Q1303" s="1">
        <f t="shared" ref="Q1303:Q1337" si="1829">BA1302</f>
        <v>1</v>
      </c>
      <c r="R1303" s="1">
        <f t="shared" ref="R1303:R1337" si="1830">BB1302</f>
        <v>5</v>
      </c>
      <c r="S1303" s="1">
        <f t="shared" ref="S1303:S1337" si="1831">BC1302</f>
        <v>0</v>
      </c>
      <c r="T1303" s="1">
        <f t="shared" ref="T1303:T1316" si="1832">BD1302+0</f>
        <v>0</v>
      </c>
      <c r="U1303" s="1">
        <f t="shared" ref="U1303:U1337" si="1833">BE1302</f>
        <v>0</v>
      </c>
      <c r="V1303" s="1">
        <f t="shared" ref="V1303:V1337" si="1834">BF1302</f>
        <v>0</v>
      </c>
      <c r="W1303" s="1">
        <f t="shared" ref="W1303:W1337" si="1835">BG1302</f>
        <v>0</v>
      </c>
      <c r="X1303" s="1">
        <f t="shared" ref="X1303:X1337" si="1836">BH1302</f>
        <v>1</v>
      </c>
      <c r="Y1303" s="1">
        <f t="shared" ref="Y1303:Y1337" si="1837">BI1302</f>
        <v>0</v>
      </c>
      <c r="Z1303" s="1">
        <f t="shared" ref="Z1303:Z1337" si="1838">BJ1302</f>
        <v>0</v>
      </c>
      <c r="AA1303" s="1">
        <f t="shared" ref="AA1303:AA1308" si="1839">MAX(BK1302,0)</f>
        <v>0</v>
      </c>
      <c r="AB1303" s="1">
        <f t="shared" ref="AB1303:AB1337" si="1840">BL1302</f>
        <v>0</v>
      </c>
      <c r="AC1303" s="1">
        <f t="shared" ref="AC1303:AC1316" si="1841">MAX(BM1302,0)</f>
        <v>0</v>
      </c>
      <c r="AD1303" s="1">
        <f>ROUNDDOWN(I1303*(1+IF(F1303=3,0.05+方案参数!$Y$39+AA1303*0.12,IF(F1303=4,方案参数!$BZ$39*方案参数!$AS$39,0)))+IF(AND(X1303=1,F1303&lt;&gt;3),方案参数!$CC$39,0)+AC1303*方案参数!$CB$39,0)</f>
        <v>2830</v>
      </c>
      <c r="AE1303" s="1">
        <f>IF(OR(F1303=1,F1303=4),配置与结果!$B$24,配置与结果!$B$25)*MAX(0,1-INDEX(配置与结果!$I$15:$I$18,F1303))</f>
        <v>1000</v>
      </c>
      <c r="AF1303" s="1">
        <f>0</f>
        <v>0</v>
      </c>
      <c r="AG1303" s="1">
        <f>MAX(配置与结果!$B$32,1+INDEX(配置与结果!$F$15:$F$18,F1303)+0+Q1303*方案参数!$W$39+Y1303*(方案参数!$AN$39+MIN(方案参数!$AO$39,P1303*0.03))+AB1303*方案参数!$BZ$39*0.025-配置与结果!$B$28)</f>
        <v>0.64699999999999991</v>
      </c>
      <c r="AH1303" s="1">
        <f>MAX(0,1+INDEX(配置与结果!$G$15:$G$18,F1303)+W1303*方案参数!$AG$39)</f>
        <v>1</v>
      </c>
      <c r="AI1303" s="1">
        <f>IF(OR(INDEX(配置与结果!$K$15:$K$18,F1303)=1,G1303="RHI_BERRY"),1+配置与结果!$B$33+P1303*方案参数!$AH$39,1)</f>
        <v>1</v>
      </c>
      <c r="AJ1303" s="1">
        <f>MIN(1,MAX(0,J1303+方案参数!$AB$39-配置与结果!$B$27))</f>
        <v>0.55499999999999994</v>
      </c>
      <c r="AK1303" s="1">
        <f>MAX(1,K1303+IF(F1303=2,0.15+方案参数!$CH$39,0)+BN1303*方案参数!$X$39+R1303*方案参数!$AA$39+0-配置与结果!$B$26+Z1303*(方案参数!$AP$39+MIN(方案参数!$AQ$39,P1303*0.03)))</f>
        <v>1.25</v>
      </c>
      <c r="AL1303" s="7">
        <f>ROUNDDOWN(MAX(AD1303*配置与结果!$B$31,AD1303-AE1303)*AF1303*AG1303*AH1303*AI1303,0)</f>
        <v>0</v>
      </c>
      <c r="AM1303" s="7">
        <f>ROUNDDOWN(MAX(AD1303*配置与结果!$B$31,AD1303-AE1303)*AF1303*AG1303*AH1303*AI1303*AK1303,0)</f>
        <v>0</v>
      </c>
      <c r="AN1303" s="7">
        <f t="shared" si="1817"/>
        <v>0</v>
      </c>
      <c r="AO1303" s="7">
        <f>0</f>
        <v>0</v>
      </c>
      <c r="AP1303" s="7">
        <f>MAX(0,1+INDEX(配置与结果!$J$15:$J$18,F1303)+IF(T1303&gt;0,方案参数!$BY$39,0)-配置与结果!$B$30)</f>
        <v>1</v>
      </c>
      <c r="AQ1303" s="7">
        <f t="shared" si="1818"/>
        <v>0</v>
      </c>
      <c r="AR1303" s="7">
        <f t="shared" si="1819"/>
        <v>0</v>
      </c>
      <c r="AS1303" s="7">
        <f t="shared" si="1820"/>
        <v>0</v>
      </c>
      <c r="AT1303" s="7">
        <f>0</f>
        <v>0</v>
      </c>
      <c r="AU1303" s="7">
        <f t="shared" si="1821"/>
        <v>0</v>
      </c>
      <c r="AV1303" s="1">
        <f t="shared" si="1822"/>
        <v>0</v>
      </c>
      <c r="AW1303" s="1">
        <f t="shared" si="1826"/>
        <v>0</v>
      </c>
      <c r="AX1303" s="1">
        <f t="shared" si="1823"/>
        <v>0</v>
      </c>
      <c r="AY1303" s="1">
        <f>MIN(20,MAX(0,O1303+0+0-0))</f>
        <v>0</v>
      </c>
      <c r="AZ1303" s="1">
        <f t="shared" si="1824"/>
        <v>3</v>
      </c>
      <c r="BA1303" s="1">
        <f>MIN(6,Q1303+1)</f>
        <v>2</v>
      </c>
      <c r="BB1303" s="1">
        <f t="shared" ref="BB1303:BB1316" si="1842">MIN(30,R1303+0)</f>
        <v>5</v>
      </c>
      <c r="BC1303" s="1">
        <f t="shared" si="1815"/>
        <v>0</v>
      </c>
      <c r="BD1303" s="1">
        <f t="shared" si="1796"/>
        <v>0</v>
      </c>
      <c r="BE1303" s="1">
        <f t="shared" ref="BE1303:BE1324" si="1843">BE1302</f>
        <v>0</v>
      </c>
      <c r="BF1303" s="1">
        <f t="shared" si="1827"/>
        <v>0</v>
      </c>
      <c r="BG1303" s="1">
        <f>MAX(W1303,1)</f>
        <v>1</v>
      </c>
      <c r="BH1303" s="1">
        <f t="shared" ref="BH1303:BH1337" si="1844">MAX(X1303,0)</f>
        <v>1</v>
      </c>
      <c r="BI1303" s="1">
        <f>MAX(Y1303,1)</f>
        <v>1</v>
      </c>
      <c r="BJ1303" s="1">
        <f t="shared" si="1810"/>
        <v>0</v>
      </c>
      <c r="BK1303" s="1">
        <f t="shared" si="1811"/>
        <v>0</v>
      </c>
      <c r="BL1303" s="1">
        <f t="shared" si="1816"/>
        <v>0</v>
      </c>
      <c r="BM1303" s="1">
        <f t="shared" si="1814"/>
        <v>0</v>
      </c>
      <c r="BN1303" s="1">
        <f t="shared" ref="BN1303:BN1337" si="1845">BO1302</f>
        <v>1</v>
      </c>
      <c r="BO1303" s="1">
        <f t="shared" ref="BO1303:BO1337" si="1846">MAX(BN1303,0)</f>
        <v>1</v>
      </c>
    </row>
    <row r="1304" spans="1:67" ht="30.95" customHeight="1">
      <c r="A1304" s="1">
        <f>36</f>
        <v>36</v>
      </c>
      <c r="B1304" s="1">
        <f>固定流程!A8</f>
        <v>3</v>
      </c>
      <c r="C1304" s="1">
        <f>39</f>
        <v>39</v>
      </c>
      <c r="D1304" s="1">
        <f>1</f>
        <v>1</v>
      </c>
      <c r="E1304" s="1">
        <f>固定流程!C8</f>
        <v>1</v>
      </c>
      <c r="F1304" s="1">
        <f>固定流程!G8</f>
        <v>1</v>
      </c>
      <c r="G1304" s="1" t="str">
        <f>固定流程!H8</f>
        <v>LILYA_COBRA</v>
      </c>
      <c r="H1304" s="1">
        <f>固定流程!F8</f>
        <v>1</v>
      </c>
      <c r="I1304" s="1">
        <f>INDEX(配置与结果!$B$15:$B$18,F1304)</f>
        <v>2296</v>
      </c>
      <c r="J1304" s="1">
        <f>INDEX(配置与结果!$D$15:$D$18,F1304)</f>
        <v>0.7</v>
      </c>
      <c r="K1304" s="1">
        <f>INDEX(配置与结果!$E$15:$E$18,F1304)</f>
        <v>2.0249999999999999</v>
      </c>
      <c r="L1304" s="1">
        <f t="shared" si="1828"/>
        <v>0</v>
      </c>
      <c r="M1304" s="1">
        <f t="shared" si="1828"/>
        <v>0</v>
      </c>
      <c r="N1304" s="1">
        <f t="shared" si="1828"/>
        <v>0</v>
      </c>
      <c r="O1304" s="1">
        <f t="shared" si="1828"/>
        <v>0</v>
      </c>
      <c r="P1304" s="1">
        <f>MIN(方案参数!$AI$39,AZ1303+0+0)</f>
        <v>3</v>
      </c>
      <c r="Q1304" s="1">
        <f t="shared" si="1829"/>
        <v>2</v>
      </c>
      <c r="R1304" s="1">
        <f t="shared" si="1830"/>
        <v>5</v>
      </c>
      <c r="S1304" s="1">
        <f t="shared" si="1831"/>
        <v>0</v>
      </c>
      <c r="T1304" s="1">
        <f t="shared" si="1832"/>
        <v>0</v>
      </c>
      <c r="U1304" s="1">
        <f t="shared" si="1833"/>
        <v>0</v>
      </c>
      <c r="V1304" s="1">
        <f t="shared" si="1834"/>
        <v>0</v>
      </c>
      <c r="W1304" s="1">
        <f t="shared" si="1835"/>
        <v>1</v>
      </c>
      <c r="X1304" s="1">
        <f t="shared" si="1836"/>
        <v>1</v>
      </c>
      <c r="Y1304" s="1">
        <f t="shared" si="1837"/>
        <v>1</v>
      </c>
      <c r="Z1304" s="1">
        <f t="shared" si="1838"/>
        <v>0</v>
      </c>
      <c r="AA1304" s="1">
        <f t="shared" si="1839"/>
        <v>0</v>
      </c>
      <c r="AB1304" s="1">
        <f t="shared" si="1840"/>
        <v>0</v>
      </c>
      <c r="AC1304" s="1">
        <f t="shared" si="1841"/>
        <v>0</v>
      </c>
      <c r="AD1304" s="1">
        <f>ROUNDDOWN(I1304*(1+IF(F1304=3,0.05+方案参数!$Y$39+AA1304*0.12,IF(F1304=4,方案参数!$BZ$39*方案参数!$AS$39,0)))+IF(AND(X1304=1,F1304&lt;&gt;3),方案参数!$CC$39,0)+AC1304*方案参数!$CB$39,0)</f>
        <v>2522</v>
      </c>
      <c r="AE1304" s="1">
        <f>IF(OR(F1304=1,F1304=4),配置与结果!$B$24,配置与结果!$B$25)*MAX(0,1-INDEX(配置与结果!$I$15:$I$18,F1304))</f>
        <v>1200</v>
      </c>
      <c r="AF1304" s="1">
        <f>0</f>
        <v>0</v>
      </c>
      <c r="AG1304" s="1">
        <f>MAX(配置与结果!$B$32,1+INDEX(配置与结果!$F$15:$F$18,F1304)+0.08+方案参数!$CD$39+Q1304*方案参数!$W$39+Y1304*(方案参数!$AN$39+MIN(方案参数!$AO$39,P1304*0.03))+AB1304*方案参数!$BZ$39*0.025-配置与结果!$B$28)</f>
        <v>1.2040000000000002</v>
      </c>
      <c r="AH1304" s="1">
        <f>MAX(0,1+INDEX(配置与结果!$G$15:$G$18,F1304)+W1304*方案参数!$AG$39)</f>
        <v>1.3</v>
      </c>
      <c r="AI1304" s="1">
        <f>IF(OR(INDEX(配置与结果!$K$15:$K$18,F1304)=1,G1304="RHI_BERRY"),1+配置与结果!$B$33+P1304*方案参数!$AH$39,1)</f>
        <v>1</v>
      </c>
      <c r="AJ1304" s="1">
        <f>MIN(1,MAX(0,J1304+方案参数!$AB$39-配置与结果!$B$27))</f>
        <v>1</v>
      </c>
      <c r="AK1304" s="1">
        <f>MAX(1,K1304+IF(F1304=2,0.15+方案参数!$CH$39,0)+BN1304*方案参数!$X$39+R1304*方案参数!$AA$39+0-配置与结果!$B$26+Z1304*(方案参数!$AP$39+MIN(方案参数!$AQ$39,P1304*0.03)))</f>
        <v>1.7250000000000001</v>
      </c>
      <c r="AL1304" s="7">
        <f>ROUNDDOWN(MAX(AD1304*配置与结果!$B$31,AD1304-AE1304)*AF1304*AG1304*AH1304*AI1304,0)</f>
        <v>0</v>
      </c>
      <c r="AM1304" s="7">
        <f>ROUNDDOWN(MAX(AD1304*配置与结果!$B$31,AD1304-AE1304)*AF1304*AG1304*AH1304*AI1304*AK1304,0)</f>
        <v>0</v>
      </c>
      <c r="AN1304" s="7">
        <f t="shared" si="1817"/>
        <v>0</v>
      </c>
      <c r="AO1304" s="7">
        <f>0</f>
        <v>0</v>
      </c>
      <c r="AP1304" s="7">
        <f>MAX(0,1+INDEX(配置与结果!$J$15:$J$18,F1304)+IF(T1304&gt;0,方案参数!$BY$39,0)-配置与结果!$B$30)</f>
        <v>1</v>
      </c>
      <c r="AQ1304" s="7">
        <f t="shared" si="1818"/>
        <v>0</v>
      </c>
      <c r="AR1304" s="7">
        <f t="shared" si="1819"/>
        <v>0</v>
      </c>
      <c r="AS1304" s="7">
        <f t="shared" si="1820"/>
        <v>0</v>
      </c>
      <c r="AT1304" s="7">
        <f>0</f>
        <v>0</v>
      </c>
      <c r="AU1304" s="7">
        <f t="shared" si="1821"/>
        <v>0</v>
      </c>
      <c r="AV1304" s="1">
        <f t="shared" si="1822"/>
        <v>1</v>
      </c>
      <c r="AW1304" s="1">
        <f>MIN(10,M1304+方案参数!$BD$39+0)</f>
        <v>3</v>
      </c>
      <c r="AX1304" s="1">
        <f t="shared" si="1823"/>
        <v>0</v>
      </c>
      <c r="AY1304" s="1">
        <f>MIN(20,MAX(0,O1304+6+0-0))</f>
        <v>6</v>
      </c>
      <c r="AZ1304" s="1">
        <f t="shared" si="1824"/>
        <v>3</v>
      </c>
      <c r="BA1304" s="1">
        <f>MIN(6,Q1304+0)</f>
        <v>2</v>
      </c>
      <c r="BB1304" s="1">
        <f t="shared" si="1842"/>
        <v>5</v>
      </c>
      <c r="BC1304" s="1">
        <f t="shared" si="1815"/>
        <v>0</v>
      </c>
      <c r="BD1304" s="1">
        <f t="shared" si="1796"/>
        <v>0</v>
      </c>
      <c r="BE1304" s="1">
        <f t="shared" si="1843"/>
        <v>0</v>
      </c>
      <c r="BF1304" s="1">
        <f t="shared" si="1827"/>
        <v>0</v>
      </c>
      <c r="BG1304" s="1">
        <f t="shared" ref="BG1304:BG1314" si="1847">MAX(W1304,0)</f>
        <v>1</v>
      </c>
      <c r="BH1304" s="1">
        <f t="shared" si="1844"/>
        <v>1</v>
      </c>
      <c r="BI1304" s="1">
        <f t="shared" ref="BI1304:BI1314" si="1848">MAX(Y1304,0)</f>
        <v>1</v>
      </c>
      <c r="BJ1304" s="1">
        <f t="shared" si="1810"/>
        <v>0</v>
      </c>
      <c r="BK1304" s="1">
        <f t="shared" si="1811"/>
        <v>0</v>
      </c>
      <c r="BL1304" s="1">
        <f t="shared" si="1816"/>
        <v>0</v>
      </c>
      <c r="BM1304" s="1">
        <f t="shared" si="1814"/>
        <v>0</v>
      </c>
      <c r="BN1304" s="1">
        <f t="shared" si="1845"/>
        <v>1</v>
      </c>
      <c r="BO1304" s="1">
        <f t="shared" si="1846"/>
        <v>1</v>
      </c>
    </row>
    <row r="1305" spans="1:67" ht="30.95" customHeight="1">
      <c r="A1305" s="1">
        <f>36</f>
        <v>36</v>
      </c>
      <c r="B1305" s="1">
        <f>固定流程!A9</f>
        <v>4</v>
      </c>
      <c r="C1305" s="1">
        <f>39</f>
        <v>39</v>
      </c>
      <c r="D1305" s="1">
        <f>1</f>
        <v>1</v>
      </c>
      <c r="E1305" s="1">
        <f>固定流程!C9</f>
        <v>1</v>
      </c>
      <c r="F1305" s="1">
        <f>固定流程!G9</f>
        <v>1</v>
      </c>
      <c r="G1305" s="1" t="str">
        <f>固定流程!H9</f>
        <v>LILYA_DIVE</v>
      </c>
      <c r="H1305" s="1">
        <f>固定流程!F9</f>
        <v>1</v>
      </c>
      <c r="I1305" s="1">
        <f>INDEX(配置与结果!$B$15:$B$18,F1305)</f>
        <v>2296</v>
      </c>
      <c r="J1305" s="1">
        <f>INDEX(配置与结果!$D$15:$D$18,F1305)</f>
        <v>0.7</v>
      </c>
      <c r="K1305" s="1">
        <f>INDEX(配置与结果!$E$15:$E$18,F1305)</f>
        <v>2.0249999999999999</v>
      </c>
      <c r="L1305" s="1">
        <f t="shared" si="1828"/>
        <v>1</v>
      </c>
      <c r="M1305" s="1">
        <f t="shared" si="1828"/>
        <v>3</v>
      </c>
      <c r="N1305" s="1">
        <f t="shared" si="1828"/>
        <v>0</v>
      </c>
      <c r="O1305" s="1">
        <f t="shared" si="1828"/>
        <v>6</v>
      </c>
      <c r="P1305" s="1">
        <f>MIN(方案参数!$AI$39,AZ1304+0+0)</f>
        <v>3</v>
      </c>
      <c r="Q1305" s="1">
        <f t="shared" si="1829"/>
        <v>2</v>
      </c>
      <c r="R1305" s="1">
        <f t="shared" si="1830"/>
        <v>5</v>
      </c>
      <c r="S1305" s="1">
        <f t="shared" si="1831"/>
        <v>0</v>
      </c>
      <c r="T1305" s="1">
        <f t="shared" si="1832"/>
        <v>0</v>
      </c>
      <c r="U1305" s="1">
        <f t="shared" si="1833"/>
        <v>0</v>
      </c>
      <c r="V1305" s="1">
        <f t="shared" si="1834"/>
        <v>0</v>
      </c>
      <c r="W1305" s="1">
        <f t="shared" si="1835"/>
        <v>1</v>
      </c>
      <c r="X1305" s="1">
        <f t="shared" si="1836"/>
        <v>1</v>
      </c>
      <c r="Y1305" s="1">
        <f t="shared" si="1837"/>
        <v>1</v>
      </c>
      <c r="Z1305" s="1">
        <f t="shared" si="1838"/>
        <v>0</v>
      </c>
      <c r="AA1305" s="1">
        <f t="shared" si="1839"/>
        <v>0</v>
      </c>
      <c r="AB1305" s="1">
        <f t="shared" si="1840"/>
        <v>0</v>
      </c>
      <c r="AC1305" s="1">
        <f t="shared" si="1841"/>
        <v>0</v>
      </c>
      <c r="AD1305" s="1">
        <f>ROUNDDOWN(I1305*(1+IF(F1305=3,0.05+方案参数!$Y$39+AA1305*0.12,IF(F1305=4,方案参数!$BZ$39*方案参数!$AS$39,0)))+IF(AND(X1305=1,F1305&lt;&gt;3),方案参数!$CC$39,0)+AC1305*方案参数!$CB$39,0)</f>
        <v>2522</v>
      </c>
      <c r="AE1305" s="1">
        <f>IF(OR(F1305=1,F1305=4),配置与结果!$B$24,配置与结果!$B$25)*MAX(0,1-INDEX(配置与结果!$I$15:$I$18,F1305))</f>
        <v>1200</v>
      </c>
      <c r="AF1305" s="1">
        <f>(IF(L1305=1,方案参数!$AW$39,IF(L1305=2,方案参数!$AX$39,0))+方案参数!$AV$39)*H1305</f>
        <v>6</v>
      </c>
      <c r="AG1305" s="1">
        <f>MAX(配置与结果!$B$32,1+INDEX(配置与结果!$F$15:$F$18,F1305)+0.08+方案参数!$CD$39+Q1305*方案参数!$W$39+Y1305*(方案参数!$AN$39+MIN(方案参数!$AO$39,P1305*0.03))+AB1305*方案参数!$BZ$39*0.025+IF(L1305=1,方案参数!$AY$39+(H1305-1)*0.1,IF(L1305=2,方案参数!$AZ$39+(H1305-1)*0.2,0))-配置与结果!$B$28)</f>
        <v>1.3040000000000003</v>
      </c>
      <c r="AH1305" s="1">
        <f>MAX(0,1+INDEX(配置与结果!$G$15:$G$18,F1305)+W1305*方案参数!$AG$39+IF(L1305=1,方案参数!$BA$39,IF(L1305=2,方案参数!$BB$39,0))+M1305*方案参数!$BC$39)</f>
        <v>2.08</v>
      </c>
      <c r="AI1305" s="1">
        <f>IF(OR(INDEX(配置与结果!$K$15:$K$18,F1305)=1,G1305="RHI_BERRY"),1+配置与结果!$B$33+P1305*方案参数!$AH$39,1)</f>
        <v>1</v>
      </c>
      <c r="AJ1305" s="1">
        <f>MIN(1,MAX(0,J1305+方案参数!$AB$39-配置与结果!$B$27))</f>
        <v>1</v>
      </c>
      <c r="AK1305" s="1">
        <f>MAX(1,K1305+IF(F1305=2,0.15+方案参数!$CH$39,0)+BN1305*方案参数!$X$39+R1305*方案参数!$AA$39+0-配置与结果!$B$26+Z1305*(方案参数!$AP$39+MIN(方案参数!$AQ$39,P1305*0.03)))</f>
        <v>1.7250000000000001</v>
      </c>
      <c r="AL1305" s="7">
        <f>ROUNDDOWN(MAX(AD1305*配置与结果!$B$31,AD1305-AE1305)*AF1305*AG1305*AH1305*AI1305,0)</f>
        <v>21514</v>
      </c>
      <c r="AM1305" s="7">
        <f>ROUNDDOWN(MAX(AD1305*配置与结果!$B$31,AD1305-AE1305)*AF1305*AG1305*AH1305*AI1305*AK1305,0)</f>
        <v>37111</v>
      </c>
      <c r="AN1305" s="7">
        <f t="shared" si="1817"/>
        <v>37111</v>
      </c>
      <c r="AO1305" s="7">
        <f>0</f>
        <v>0</v>
      </c>
      <c r="AP1305" s="7">
        <f>MAX(0,1+INDEX(配置与结果!$J$15:$J$18,F1305)+IF(T1305&gt;0,方案参数!$BY$39,0)-配置与结果!$B$30)</f>
        <v>1</v>
      </c>
      <c r="AQ1305" s="7">
        <f t="shared" si="1818"/>
        <v>0</v>
      </c>
      <c r="AR1305" s="7">
        <f t="shared" si="1819"/>
        <v>0</v>
      </c>
      <c r="AS1305" s="7">
        <f t="shared" si="1820"/>
        <v>0</v>
      </c>
      <c r="AT1305" s="7">
        <f>0</f>
        <v>0</v>
      </c>
      <c r="AU1305" s="7">
        <f t="shared" si="1821"/>
        <v>37111</v>
      </c>
      <c r="AV1305" s="1">
        <f t="shared" si="1822"/>
        <v>1</v>
      </c>
      <c r="AW1305" s="1">
        <f>MIN(10,M1305+0+IF(L1305=1,方案参数!$BE$39,0))</f>
        <v>4</v>
      </c>
      <c r="AX1305" s="1">
        <f t="shared" si="1823"/>
        <v>0</v>
      </c>
      <c r="AY1305" s="1">
        <f t="shared" ref="AY1305:AY1320" si="1849">MIN(20,MAX(0,O1305+0+0-0))</f>
        <v>6</v>
      </c>
      <c r="AZ1305" s="1">
        <f t="shared" si="1824"/>
        <v>3</v>
      </c>
      <c r="BA1305" s="1">
        <f>MIN(6,Q1305+0)</f>
        <v>2</v>
      </c>
      <c r="BB1305" s="1">
        <f t="shared" si="1842"/>
        <v>5</v>
      </c>
      <c r="BC1305" s="1">
        <f t="shared" si="1815"/>
        <v>0</v>
      </c>
      <c r="BD1305" s="1">
        <f t="shared" si="1796"/>
        <v>0</v>
      </c>
      <c r="BE1305" s="1">
        <f t="shared" si="1843"/>
        <v>0</v>
      </c>
      <c r="BF1305" s="1">
        <f t="shared" si="1827"/>
        <v>0</v>
      </c>
      <c r="BG1305" s="1">
        <f t="shared" si="1847"/>
        <v>1</v>
      </c>
      <c r="BH1305" s="1">
        <f t="shared" si="1844"/>
        <v>1</v>
      </c>
      <c r="BI1305" s="1">
        <f t="shared" si="1848"/>
        <v>1</v>
      </c>
      <c r="BJ1305" s="1">
        <f t="shared" si="1810"/>
        <v>0</v>
      </c>
      <c r="BK1305" s="1">
        <f t="shared" si="1811"/>
        <v>0</v>
      </c>
      <c r="BL1305" s="1">
        <f t="shared" si="1816"/>
        <v>0</v>
      </c>
      <c r="BM1305" s="1">
        <f t="shared" si="1814"/>
        <v>0</v>
      </c>
      <c r="BN1305" s="1">
        <f t="shared" si="1845"/>
        <v>1</v>
      </c>
      <c r="BO1305" s="1">
        <f t="shared" si="1846"/>
        <v>1</v>
      </c>
    </row>
    <row r="1306" spans="1:67" ht="30.95" customHeight="1">
      <c r="A1306" s="1">
        <f>36</f>
        <v>36</v>
      </c>
      <c r="B1306" s="1">
        <f>固定流程!A10</f>
        <v>5</v>
      </c>
      <c r="C1306" s="1">
        <f>39</f>
        <v>39</v>
      </c>
      <c r="D1306" s="1">
        <f>1</f>
        <v>1</v>
      </c>
      <c r="E1306" s="1">
        <f>固定流程!C10</f>
        <v>1</v>
      </c>
      <c r="F1306" s="1">
        <f>固定流程!G10</f>
        <v>2</v>
      </c>
      <c r="G1306" s="1" t="str">
        <f>固定流程!H10</f>
        <v>37_TRIANGLE</v>
      </c>
      <c r="H1306" s="1">
        <f>固定流程!F10</f>
        <v>1</v>
      </c>
      <c r="I1306" s="1">
        <f>INDEX(配置与结果!$B$15:$B$18,F1306)</f>
        <v>2306</v>
      </c>
      <c r="J1306" s="1">
        <f>INDEX(配置与结果!$D$15:$D$18,F1306)</f>
        <v>0.46</v>
      </c>
      <c r="K1306" s="1">
        <f>INDEX(配置与结果!$E$15:$E$18,F1306)</f>
        <v>1.9279999999999999</v>
      </c>
      <c r="L1306" s="1">
        <f t="shared" si="1828"/>
        <v>1</v>
      </c>
      <c r="M1306" s="1">
        <f t="shared" si="1828"/>
        <v>4</v>
      </c>
      <c r="N1306" s="1">
        <f t="shared" si="1828"/>
        <v>0</v>
      </c>
      <c r="O1306" s="1">
        <f t="shared" si="1828"/>
        <v>6</v>
      </c>
      <c r="P1306" s="1">
        <f>MIN(方案参数!$AI$39,AZ1305+0+0)</f>
        <v>3</v>
      </c>
      <c r="Q1306" s="1">
        <f t="shared" si="1829"/>
        <v>2</v>
      </c>
      <c r="R1306" s="1">
        <f t="shared" si="1830"/>
        <v>5</v>
      </c>
      <c r="S1306" s="1">
        <f t="shared" si="1831"/>
        <v>0</v>
      </c>
      <c r="T1306" s="1">
        <f t="shared" si="1832"/>
        <v>0</v>
      </c>
      <c r="U1306" s="1">
        <f t="shared" si="1833"/>
        <v>0</v>
      </c>
      <c r="V1306" s="1">
        <f t="shared" si="1834"/>
        <v>0</v>
      </c>
      <c r="W1306" s="1">
        <f t="shared" si="1835"/>
        <v>1</v>
      </c>
      <c r="X1306" s="1">
        <f t="shared" si="1836"/>
        <v>1</v>
      </c>
      <c r="Y1306" s="1">
        <f t="shared" si="1837"/>
        <v>1</v>
      </c>
      <c r="Z1306" s="1">
        <f t="shared" si="1838"/>
        <v>0</v>
      </c>
      <c r="AA1306" s="1">
        <f t="shared" si="1839"/>
        <v>0</v>
      </c>
      <c r="AB1306" s="1">
        <f t="shared" si="1840"/>
        <v>0</v>
      </c>
      <c r="AC1306" s="1">
        <f t="shared" si="1841"/>
        <v>0</v>
      </c>
      <c r="AD1306" s="1">
        <f>ROUNDDOWN(I1306*(1+IF(F1306=3,0.05+方案参数!$Y$39+AA1306*0.12,IF(F1306=4,方案参数!$BZ$39*方案参数!$AS$39,0)))+IF(AND(X1306=1,F1306&lt;&gt;3),方案参数!$CC$39,0)+AC1306*方案参数!$CB$39,0)</f>
        <v>2532</v>
      </c>
      <c r="AE1306" s="1">
        <f>IF(OR(F1306=1,F1306=4),配置与结果!$B$24,配置与结果!$B$25)*MAX(0,1-INDEX(配置与结果!$I$15:$I$18,F1306))</f>
        <v>1000</v>
      </c>
      <c r="AF1306" s="1">
        <f>方案参数!$BS$39*IF(H1306=1,1,IF(H1306=2,1.5,2.5))</f>
        <v>2.8</v>
      </c>
      <c r="AG1306" s="1">
        <f>MAX(配置与结果!$B$32,1+INDEX(配置与结果!$F$15:$F$18,F1306)+0+Q1306*方案参数!$W$39+Y1306*(方案参数!$AN$39+MIN(方案参数!$AO$39,P1306*0.03))+AB1306*方案参数!$BZ$39*0.025-配置与结果!$B$28)</f>
        <v>0.86899999999999988</v>
      </c>
      <c r="AH1306" s="1">
        <f>MAX(0,1+INDEX(配置与结果!$G$15:$G$18,F1306)+W1306*方案参数!$AG$39)</f>
        <v>1.3</v>
      </c>
      <c r="AI1306" s="1">
        <f>IF(OR(INDEX(配置与结果!$K$15:$K$18,F1306)=1,G1306="RHI_BERRY"),1+配置与结果!$B$33+P1306*方案参数!$AH$39,1)</f>
        <v>1</v>
      </c>
      <c r="AJ1306" s="1">
        <f>MIN(1,MAX(0,J1306+方案参数!$AB$39-配置与结果!$B$27))</f>
        <v>0.76</v>
      </c>
      <c r="AK1306" s="1">
        <f>MAX(1,K1306+IF(F1306=2,0.15+方案参数!$CH$39,0)+BN1306*方案参数!$X$39+R1306*方案参数!$AA$39+0-配置与结果!$B$26+Z1306*(方案参数!$AP$39+MIN(方案参数!$AQ$39,P1306*0.03)))</f>
        <v>1.8980000000000001</v>
      </c>
      <c r="AL1306" s="7">
        <f>ROUNDDOWN(MAX(AD1306*配置与结果!$B$31,AD1306-AE1306)*AF1306*AG1306*AH1306*AI1306,0)</f>
        <v>4845</v>
      </c>
      <c r="AM1306" s="7">
        <f>ROUNDDOWN(MAX(AD1306*配置与结果!$B$31,AD1306-AE1306)*AF1306*AG1306*AH1306*AI1306*AK1306,0)</f>
        <v>9197</v>
      </c>
      <c r="AN1306" s="7">
        <f t="shared" si="1817"/>
        <v>8152.52</v>
      </c>
      <c r="AO1306" s="7">
        <f>方案参数!$BU$39*IF(H1306=1,1,IF(H1306=2,1.5,2.5))</f>
        <v>0.8</v>
      </c>
      <c r="AP1306" s="7">
        <f>MAX(0,1+INDEX(配置与结果!$J$15:$J$18,F1306)+IF(T1306&gt;0,方案参数!$BY$39,0)-配置与结果!$B$30)</f>
        <v>1</v>
      </c>
      <c r="AQ1306" s="7">
        <f t="shared" si="1818"/>
        <v>2025</v>
      </c>
      <c r="AR1306" s="7">
        <f t="shared" si="1819"/>
        <v>3843</v>
      </c>
      <c r="AS1306" s="7">
        <f t="shared" si="1820"/>
        <v>3406.68</v>
      </c>
      <c r="AT1306" s="7">
        <f>0</f>
        <v>0</v>
      </c>
      <c r="AU1306" s="7">
        <f t="shared" si="1821"/>
        <v>11559.2</v>
      </c>
      <c r="AV1306" s="1">
        <f t="shared" si="1822"/>
        <v>1</v>
      </c>
      <c r="AW1306" s="1">
        <f>MIN(10,M1306+0+0)</f>
        <v>4</v>
      </c>
      <c r="AX1306" s="1">
        <f t="shared" si="1823"/>
        <v>0</v>
      </c>
      <c r="AY1306" s="1">
        <f t="shared" si="1849"/>
        <v>6</v>
      </c>
      <c r="AZ1306" s="1">
        <f t="shared" si="1824"/>
        <v>3</v>
      </c>
      <c r="BA1306" s="1">
        <f>MIN(6,Q1306+0)</f>
        <v>2</v>
      </c>
      <c r="BB1306" s="1">
        <f t="shared" si="1842"/>
        <v>5</v>
      </c>
      <c r="BC1306" s="1">
        <f t="shared" si="1815"/>
        <v>0</v>
      </c>
      <c r="BD1306" s="1">
        <f>MAX(0,T1306-IF(AO1306&gt;0,1,0))+1</f>
        <v>1</v>
      </c>
      <c r="BE1306" s="1">
        <f t="shared" si="1843"/>
        <v>0</v>
      </c>
      <c r="BF1306" s="1">
        <f t="shared" si="1827"/>
        <v>0</v>
      </c>
      <c r="BG1306" s="1">
        <f t="shared" si="1847"/>
        <v>1</v>
      </c>
      <c r="BH1306" s="1">
        <f t="shared" si="1844"/>
        <v>1</v>
      </c>
      <c r="BI1306" s="1">
        <f t="shared" si="1848"/>
        <v>1</v>
      </c>
      <c r="BJ1306" s="1">
        <f t="shared" si="1810"/>
        <v>0</v>
      </c>
      <c r="BK1306" s="1">
        <f t="shared" si="1811"/>
        <v>0</v>
      </c>
      <c r="BL1306" s="1">
        <f t="shared" si="1816"/>
        <v>0</v>
      </c>
      <c r="BM1306" s="1">
        <f t="shared" si="1814"/>
        <v>0</v>
      </c>
      <c r="BN1306" s="1">
        <f t="shared" si="1845"/>
        <v>1</v>
      </c>
      <c r="BO1306" s="1">
        <f t="shared" si="1846"/>
        <v>1</v>
      </c>
    </row>
    <row r="1307" spans="1:67" ht="30.95" customHeight="1">
      <c r="A1307" s="1">
        <f>36</f>
        <v>36</v>
      </c>
      <c r="B1307" s="1">
        <f>固定流程!A11</f>
        <v>6</v>
      </c>
      <c r="C1307" s="1">
        <f>39</f>
        <v>39</v>
      </c>
      <c r="D1307" s="1">
        <f>1</f>
        <v>1</v>
      </c>
      <c r="E1307" s="1">
        <f>固定流程!C11</f>
        <v>1</v>
      </c>
      <c r="F1307" s="1">
        <f>固定流程!G11</f>
        <v>2</v>
      </c>
      <c r="G1307" s="1" t="str">
        <f>固定流程!H11</f>
        <v>37_FOLLOW</v>
      </c>
      <c r="H1307" s="1">
        <f>固定流程!F11</f>
        <v>1</v>
      </c>
      <c r="I1307" s="1">
        <f>INDEX(配置与结果!$B$15:$B$18,F1307)</f>
        <v>2306</v>
      </c>
      <c r="J1307" s="1">
        <f>INDEX(配置与结果!$D$15:$D$18,F1307)</f>
        <v>0.46</v>
      </c>
      <c r="K1307" s="1">
        <f>INDEX(配置与结果!$E$15:$E$18,F1307)</f>
        <v>1.9279999999999999</v>
      </c>
      <c r="L1307" s="1">
        <f t="shared" si="1828"/>
        <v>1</v>
      </c>
      <c r="M1307" s="1">
        <f t="shared" si="1828"/>
        <v>4</v>
      </c>
      <c r="N1307" s="1">
        <f t="shared" si="1828"/>
        <v>0</v>
      </c>
      <c r="O1307" s="1">
        <f t="shared" si="1828"/>
        <v>6</v>
      </c>
      <c r="P1307" s="1">
        <f>MIN(方案参数!$AI$39,AZ1306+0+0)</f>
        <v>3</v>
      </c>
      <c r="Q1307" s="1">
        <f t="shared" si="1829"/>
        <v>2</v>
      </c>
      <c r="R1307" s="1">
        <f t="shared" si="1830"/>
        <v>5</v>
      </c>
      <c r="S1307" s="1">
        <f t="shared" si="1831"/>
        <v>0</v>
      </c>
      <c r="T1307" s="1">
        <f t="shared" si="1832"/>
        <v>1</v>
      </c>
      <c r="U1307" s="1">
        <f t="shared" si="1833"/>
        <v>0</v>
      </c>
      <c r="V1307" s="1">
        <f t="shared" si="1834"/>
        <v>0</v>
      </c>
      <c r="W1307" s="1">
        <f t="shared" si="1835"/>
        <v>1</v>
      </c>
      <c r="X1307" s="1">
        <f t="shared" si="1836"/>
        <v>1</v>
      </c>
      <c r="Y1307" s="1">
        <f t="shared" si="1837"/>
        <v>1</v>
      </c>
      <c r="Z1307" s="1">
        <f t="shared" si="1838"/>
        <v>0</v>
      </c>
      <c r="AA1307" s="1">
        <f t="shared" si="1839"/>
        <v>0</v>
      </c>
      <c r="AB1307" s="1">
        <f t="shared" si="1840"/>
        <v>0</v>
      </c>
      <c r="AC1307" s="1">
        <f t="shared" si="1841"/>
        <v>0</v>
      </c>
      <c r="AD1307" s="1">
        <f>ROUNDDOWN(I1307*(1+IF(F1307=3,0.05+方案参数!$Y$39+AA1307*0.12,IF(F1307=4,方案参数!$BZ$39*方案参数!$AS$39,0)))+IF(AND(X1307=1,F1307&lt;&gt;3),方案参数!$CC$39,0)+AC1307*方案参数!$CB$39,0)</f>
        <v>2532</v>
      </c>
      <c r="AE1307" s="1">
        <f>IF(OR(F1307=1,F1307=4),配置与结果!$B$24,配置与结果!$B$25)*MAX(0,1-INDEX(配置与结果!$I$15:$I$18,F1307))</f>
        <v>1000</v>
      </c>
      <c r="AF1307" s="1">
        <f>方案参数!$BV$39</f>
        <v>3</v>
      </c>
      <c r="AG1307" s="1">
        <f>MAX(配置与结果!$B$32,1+INDEX(配置与结果!$F$15:$F$18,F1307)+0+Q1307*方案参数!$W$39+Y1307*(方案参数!$AN$39+MIN(方案参数!$AO$39,P1307*0.03))+AB1307*方案参数!$BZ$39*0.025-配置与结果!$B$28)</f>
        <v>0.86899999999999988</v>
      </c>
      <c r="AH1307" s="1">
        <f>MAX(0,1+INDEX(配置与结果!$G$15:$G$18,F1307)+W1307*方案参数!$AG$39)</f>
        <v>1.3</v>
      </c>
      <c r="AI1307" s="1">
        <f>IF(OR(INDEX(配置与结果!$K$15:$K$18,F1307)=1,G1307="RHI_BERRY"),1+配置与结果!$B$33+P1307*方案参数!$AH$39,1)</f>
        <v>1</v>
      </c>
      <c r="AJ1307" s="1">
        <f>MIN(1,MAX(0,J1307+方案参数!$AB$39-配置与结果!$B$27))</f>
        <v>0.76</v>
      </c>
      <c r="AK1307" s="1">
        <f>MAX(1,K1307+IF(F1307=2,0.15+方案参数!$CH$39,0)+BN1307*方案参数!$X$39+R1307*方案参数!$AA$39+0-配置与结果!$B$26+Z1307*(方案参数!$AP$39+MIN(方案参数!$AQ$39,P1307*0.03)))</f>
        <v>1.8980000000000001</v>
      </c>
      <c r="AL1307" s="7">
        <f>ROUNDDOWN(MAX(AD1307*配置与结果!$B$31,AD1307-AE1307)*AF1307*AG1307*AH1307*AI1307,0)</f>
        <v>5192</v>
      </c>
      <c r="AM1307" s="7">
        <f>ROUNDDOWN(MAX(AD1307*配置与结果!$B$31,AD1307-AE1307)*AF1307*AG1307*AH1307*AI1307*AK1307,0)</f>
        <v>9854</v>
      </c>
      <c r="AN1307" s="7">
        <f t="shared" si="1817"/>
        <v>8735.119999999999</v>
      </c>
      <c r="AO1307" s="7">
        <f>方案参数!$BW$39</f>
        <v>1</v>
      </c>
      <c r="AP1307" s="7">
        <f>MAX(0,1+INDEX(配置与结果!$J$15:$J$18,F1307)+IF(T1307&gt;0,方案参数!$BY$39,0)-配置与结果!$B$30)</f>
        <v>2</v>
      </c>
      <c r="AQ1307" s="7">
        <f t="shared" si="1818"/>
        <v>5064</v>
      </c>
      <c r="AR1307" s="7">
        <f t="shared" si="1819"/>
        <v>9611</v>
      </c>
      <c r="AS1307" s="7">
        <f t="shared" si="1820"/>
        <v>8519.7199999999993</v>
      </c>
      <c r="AT1307" s="7">
        <f>0</f>
        <v>0</v>
      </c>
      <c r="AU1307" s="7">
        <f t="shared" si="1821"/>
        <v>17254.839999999997</v>
      </c>
      <c r="AV1307" s="1">
        <f t="shared" si="1822"/>
        <v>1</v>
      </c>
      <c r="AW1307" s="1">
        <f>MIN(10,M1307+0+0)</f>
        <v>4</v>
      </c>
      <c r="AX1307" s="1">
        <f t="shared" si="1823"/>
        <v>0</v>
      </c>
      <c r="AY1307" s="1">
        <f t="shared" si="1849"/>
        <v>6</v>
      </c>
      <c r="AZ1307" s="1">
        <f t="shared" si="1824"/>
        <v>3</v>
      </c>
      <c r="BA1307" s="1">
        <f>MIN(6,Q1307+0)</f>
        <v>2</v>
      </c>
      <c r="BB1307" s="1">
        <f t="shared" si="1842"/>
        <v>5</v>
      </c>
      <c r="BC1307" s="1">
        <f t="shared" si="1815"/>
        <v>0</v>
      </c>
      <c r="BD1307" s="1">
        <f t="shared" ref="BD1307:BD1341" si="1850">MAX(0,T1307-IF(AO1307&gt;0,1,0))+0</f>
        <v>0</v>
      </c>
      <c r="BE1307" s="1">
        <f t="shared" si="1843"/>
        <v>0</v>
      </c>
      <c r="BF1307" s="1">
        <f>MIN(4,V1307+1)</f>
        <v>1</v>
      </c>
      <c r="BG1307" s="1">
        <f t="shared" si="1847"/>
        <v>1</v>
      </c>
      <c r="BH1307" s="1">
        <f t="shared" si="1844"/>
        <v>1</v>
      </c>
      <c r="BI1307" s="1">
        <f t="shared" si="1848"/>
        <v>1</v>
      </c>
      <c r="BJ1307" s="1">
        <f t="shared" si="1810"/>
        <v>0</v>
      </c>
      <c r="BK1307" s="1">
        <f t="shared" si="1811"/>
        <v>0</v>
      </c>
      <c r="BL1307" s="1">
        <f t="shared" si="1816"/>
        <v>0</v>
      </c>
      <c r="BM1307" s="1">
        <f t="shared" si="1814"/>
        <v>0</v>
      </c>
      <c r="BN1307" s="1">
        <f t="shared" si="1845"/>
        <v>1</v>
      </c>
      <c r="BO1307" s="1">
        <f t="shared" si="1846"/>
        <v>1</v>
      </c>
    </row>
    <row r="1308" spans="1:67" ht="30.95" customHeight="1">
      <c r="A1308" s="1">
        <f>36</f>
        <v>36</v>
      </c>
      <c r="B1308" s="1">
        <f>固定流程!A12</f>
        <v>7</v>
      </c>
      <c r="C1308" s="1">
        <f>39</f>
        <v>39</v>
      </c>
      <c r="D1308" s="1">
        <f>1</f>
        <v>1</v>
      </c>
      <c r="E1308" s="1">
        <f>固定流程!C12</f>
        <v>1</v>
      </c>
      <c r="F1308" s="1">
        <f>固定流程!G12</f>
        <v>4</v>
      </c>
      <c r="G1308" s="1" t="str">
        <f>固定流程!H12</f>
        <v>J_HARD</v>
      </c>
      <c r="H1308" s="1">
        <f>固定流程!F12</f>
        <v>1</v>
      </c>
      <c r="I1308" s="1">
        <f>INDEX(配置与结果!$B$15:$B$18,F1308)</f>
        <v>1906</v>
      </c>
      <c r="J1308" s="1">
        <f>INDEX(配置与结果!$D$15:$D$18,F1308)</f>
        <v>0.36699999999999999</v>
      </c>
      <c r="K1308" s="1">
        <f>INDEX(配置与结果!$E$15:$E$18,F1308)</f>
        <v>1.7170000000000001</v>
      </c>
      <c r="L1308" s="1">
        <f t="shared" si="1828"/>
        <v>1</v>
      </c>
      <c r="M1308" s="1">
        <f t="shared" si="1828"/>
        <v>4</v>
      </c>
      <c r="N1308" s="1">
        <f t="shared" si="1828"/>
        <v>0</v>
      </c>
      <c r="O1308" s="1">
        <f t="shared" si="1828"/>
        <v>6</v>
      </c>
      <c r="P1308" s="1">
        <f>MIN(方案参数!$AI$39,AZ1307+0+0)</f>
        <v>3</v>
      </c>
      <c r="Q1308" s="1">
        <f t="shared" si="1829"/>
        <v>2</v>
      </c>
      <c r="R1308" s="1">
        <f t="shared" si="1830"/>
        <v>5</v>
      </c>
      <c r="S1308" s="1">
        <f t="shared" si="1831"/>
        <v>0</v>
      </c>
      <c r="T1308" s="1">
        <f t="shared" si="1832"/>
        <v>0</v>
      </c>
      <c r="U1308" s="1">
        <f t="shared" si="1833"/>
        <v>0</v>
      </c>
      <c r="V1308" s="1">
        <f t="shared" si="1834"/>
        <v>1</v>
      </c>
      <c r="W1308" s="1">
        <f t="shared" si="1835"/>
        <v>1</v>
      </c>
      <c r="X1308" s="1">
        <f t="shared" si="1836"/>
        <v>1</v>
      </c>
      <c r="Y1308" s="1">
        <f t="shared" si="1837"/>
        <v>1</v>
      </c>
      <c r="Z1308" s="1">
        <f t="shared" si="1838"/>
        <v>0</v>
      </c>
      <c r="AA1308" s="1">
        <f t="shared" si="1839"/>
        <v>0</v>
      </c>
      <c r="AB1308" s="1">
        <f t="shared" si="1840"/>
        <v>0</v>
      </c>
      <c r="AC1308" s="1">
        <f t="shared" si="1841"/>
        <v>0</v>
      </c>
      <c r="AD1308" s="1">
        <f>ROUNDDOWN(I1308*(1+IF(F1308=3,0.05+方案参数!$Y$39+AA1308*0.12,IF(F1308=4,方案参数!$BZ$39*方案参数!$AS$39,0)))+IF(AND(X1308=1,F1308&lt;&gt;3),方案参数!$CC$39,0)+AC1308*方案参数!$CB$39,0)</f>
        <v>2799</v>
      </c>
      <c r="AE1308" s="1">
        <f>IF(OR(F1308=1,F1308=4),配置与结果!$B$24,配置与结果!$B$25)*MAX(0,1-INDEX(配置与结果!$I$15:$I$18,F1308))</f>
        <v>1200</v>
      </c>
      <c r="AF1308" s="1">
        <f>3.6*IF(H1308=1,1,IF(H1308=2,1.5,2.5))</f>
        <v>3.6</v>
      </c>
      <c r="AG1308" s="1">
        <f>MAX(配置与结果!$B$32,1+INDEX(配置与结果!$F$15:$F$18,F1308)+0.08+Q1308*方案参数!$W$39+Y1308*(方案参数!$AN$39+MIN(方案参数!$AO$39,P1308*0.03))+AB1308*方案参数!$BZ$39*0.025+0.1+IF(方案参数!$BZ$39&gt;=30,方案参数!$BZ$39*0.01,0)-配置与结果!$B$28)</f>
        <v>1.419</v>
      </c>
      <c r="AH1308" s="1">
        <f>MAX(0,1+INDEX(配置与结果!$G$15:$G$18,F1308)+W1308*方案参数!$AG$39)</f>
        <v>1.3</v>
      </c>
      <c r="AI1308" s="1">
        <f>IF(OR(INDEX(配置与结果!$K$15:$K$18,F1308)=1,G1308="RHI_BERRY"),1+配置与结果!$B$33+P1308*方案参数!$AH$39,1)</f>
        <v>1</v>
      </c>
      <c r="AJ1308" s="1">
        <f>MIN(1,MAX(0,J1308+方案参数!$AB$39-配置与结果!$B$27))</f>
        <v>0.66700000000000004</v>
      </c>
      <c r="AK1308" s="1">
        <f>MAX(1,K1308+IF(F1308=2,0.15+方案参数!$CH$39,0)+BN1308*方案参数!$X$39+R1308*方案参数!$AA$39+0-配置与结果!$B$26+Z1308*(方案参数!$AP$39+MIN(方案参数!$AQ$39,P1308*0.03)))</f>
        <v>1.4170000000000003</v>
      </c>
      <c r="AL1308" s="7">
        <f>ROUNDDOWN(MAX(AD1308*配置与结果!$B$31,AD1308-AE1308)*AF1308*AG1308*AH1308*AI1308,0)</f>
        <v>10618</v>
      </c>
      <c r="AM1308" s="7">
        <f>ROUNDDOWN(MAX(AD1308*配置与结果!$B$31,AD1308-AE1308)*AF1308*AG1308*AH1308*AI1308*AK1308,0)</f>
        <v>15046</v>
      </c>
      <c r="AN1308" s="7">
        <f t="shared" si="1817"/>
        <v>13571.476000000001</v>
      </c>
      <c r="AO1308" s="7">
        <f>0</f>
        <v>0</v>
      </c>
      <c r="AP1308" s="7">
        <f>MAX(0,1+INDEX(配置与结果!$J$15:$J$18,F1308)+IF(T1308&gt;0,方案参数!$BY$39,0)-配置与结果!$B$30)</f>
        <v>1</v>
      </c>
      <c r="AQ1308" s="7">
        <f t="shared" si="1818"/>
        <v>0</v>
      </c>
      <c r="AR1308" s="7">
        <f t="shared" si="1819"/>
        <v>0</v>
      </c>
      <c r="AS1308" s="7">
        <f t="shared" si="1820"/>
        <v>0</v>
      </c>
      <c r="AT1308" s="7">
        <f>0</f>
        <v>0</v>
      </c>
      <c r="AU1308" s="7">
        <f t="shared" si="1821"/>
        <v>13571.476000000001</v>
      </c>
      <c r="AV1308" s="1">
        <f t="shared" si="1822"/>
        <v>1</v>
      </c>
      <c r="AW1308" s="1">
        <f>MIN(10,M1308+0+0)</f>
        <v>4</v>
      </c>
      <c r="AX1308" s="1">
        <f t="shared" si="1823"/>
        <v>0</v>
      </c>
      <c r="AY1308" s="1">
        <f t="shared" si="1849"/>
        <v>6</v>
      </c>
      <c r="AZ1308" s="1">
        <f t="shared" si="1824"/>
        <v>3</v>
      </c>
      <c r="BA1308" s="1">
        <f>MIN(6,Q1308+0)</f>
        <v>2</v>
      </c>
      <c r="BB1308" s="1">
        <f t="shared" si="1842"/>
        <v>5</v>
      </c>
      <c r="BC1308" s="1">
        <f>MIN(3,S1308+1)</f>
        <v>1</v>
      </c>
      <c r="BD1308" s="1">
        <f t="shared" si="1850"/>
        <v>0</v>
      </c>
      <c r="BE1308" s="1">
        <f t="shared" si="1843"/>
        <v>0</v>
      </c>
      <c r="BF1308" s="1">
        <f>MIN(4,V1308+0)</f>
        <v>1</v>
      </c>
      <c r="BG1308" s="1">
        <f t="shared" si="1847"/>
        <v>1</v>
      </c>
      <c r="BH1308" s="1">
        <f t="shared" si="1844"/>
        <v>1</v>
      </c>
      <c r="BI1308" s="1">
        <f t="shared" si="1848"/>
        <v>1</v>
      </c>
      <c r="BJ1308" s="1">
        <f t="shared" si="1810"/>
        <v>0</v>
      </c>
      <c r="BK1308" s="1">
        <f t="shared" si="1811"/>
        <v>0</v>
      </c>
      <c r="BL1308" s="1">
        <f t="shared" si="1816"/>
        <v>0</v>
      </c>
      <c r="BM1308" s="1">
        <f t="shared" si="1814"/>
        <v>0</v>
      </c>
      <c r="BN1308" s="1">
        <f t="shared" si="1845"/>
        <v>1</v>
      </c>
      <c r="BO1308" s="1">
        <f t="shared" si="1846"/>
        <v>1</v>
      </c>
    </row>
    <row r="1309" spans="1:67" ht="30.95" customHeight="1">
      <c r="A1309" s="1">
        <f>36</f>
        <v>36</v>
      </c>
      <c r="B1309" s="1">
        <f>固定流程!A13</f>
        <v>8</v>
      </c>
      <c r="C1309" s="1">
        <f>39</f>
        <v>39</v>
      </c>
      <c r="D1309" s="1">
        <f>1</f>
        <v>1</v>
      </c>
      <c r="E1309" s="1">
        <f>固定流程!C13</f>
        <v>2</v>
      </c>
      <c r="F1309" s="1">
        <f>固定流程!G13</f>
        <v>3</v>
      </c>
      <c r="G1309" s="1" t="str">
        <f>固定流程!H13</f>
        <v>RHI_ATTACK</v>
      </c>
      <c r="H1309" s="1">
        <f>固定流程!F13</f>
        <v>1</v>
      </c>
      <c r="I1309" s="1">
        <f>INDEX(配置与结果!$B$15:$B$18,F1309)</f>
        <v>2597</v>
      </c>
      <c r="J1309" s="1">
        <f>INDEX(配置与结果!$D$15:$D$18,F1309)</f>
        <v>0.255</v>
      </c>
      <c r="K1309" s="1">
        <f>INDEX(配置与结果!$E$15:$E$18,F1309)</f>
        <v>1.55</v>
      </c>
      <c r="L1309" s="1">
        <f>IF(AV1308=1,IF(M1309&gt;=10,2,1),IF(AV1308=2,IF(AX1308&lt;=1,0,2),0))</f>
        <v>1</v>
      </c>
      <c r="M1309" s="1">
        <f>IF(AND(AV1308=2,AX1308&lt;=1),0,MIN(10,AW1308+IF(AV1308=1,3,0)))</f>
        <v>7</v>
      </c>
      <c r="N1309" s="1">
        <f>IF(AND(AV1308=1,M1309&gt;=10),2,IF(AV1308=2,MAX(0,AX1308-1),0))</f>
        <v>0</v>
      </c>
      <c r="O1309" s="1">
        <f t="shared" ref="O1309:O1337" si="1851">AY1308</f>
        <v>6</v>
      </c>
      <c r="P1309" s="1">
        <f>MIN(方案参数!$AI$39,AZ1308+方案参数!$AJ$39+方案参数!$AK$39)</f>
        <v>5</v>
      </c>
      <c r="Q1309" s="1">
        <f t="shared" si="1829"/>
        <v>2</v>
      </c>
      <c r="R1309" s="1">
        <f t="shared" si="1830"/>
        <v>5</v>
      </c>
      <c r="S1309" s="1">
        <f t="shared" si="1831"/>
        <v>1</v>
      </c>
      <c r="T1309" s="1">
        <f t="shared" si="1832"/>
        <v>0</v>
      </c>
      <c r="U1309" s="1">
        <f t="shared" si="1833"/>
        <v>0</v>
      </c>
      <c r="V1309" s="1">
        <f t="shared" si="1834"/>
        <v>1</v>
      </c>
      <c r="W1309" s="1">
        <f t="shared" si="1835"/>
        <v>1</v>
      </c>
      <c r="X1309" s="1">
        <f t="shared" si="1836"/>
        <v>1</v>
      </c>
      <c r="Y1309" s="1">
        <f t="shared" si="1837"/>
        <v>1</v>
      </c>
      <c r="Z1309" s="1">
        <f t="shared" si="1838"/>
        <v>0</v>
      </c>
      <c r="AA1309" s="1">
        <f>MAX(BK1308,1)</f>
        <v>1</v>
      </c>
      <c r="AB1309" s="1">
        <f t="shared" si="1840"/>
        <v>0</v>
      </c>
      <c r="AC1309" s="1">
        <f t="shared" si="1841"/>
        <v>0</v>
      </c>
      <c r="AD1309" s="1">
        <f>ROUNDDOWN(I1309*(1+IF(F1309=3,0.05+方案参数!$Y$39+AA1309*0.12,IF(F1309=4,方案参数!$BZ$39*方案参数!$AS$39,0)))+IF(AND(X1309=1,F1309&lt;&gt;3),方案参数!$CC$39,0)+AC1309*方案参数!$CB$39,0)</f>
        <v>3142</v>
      </c>
      <c r="AE1309" s="1">
        <f>IF(OR(F1309=1,F1309=4),配置与结果!$B$24,配置与结果!$B$25)*MAX(0,1-INDEX(配置与结果!$I$15:$I$18,F1309))</f>
        <v>1000</v>
      </c>
      <c r="AF1309" s="1">
        <f>4</f>
        <v>4</v>
      </c>
      <c r="AG1309" s="1">
        <f>MAX(配置与结果!$B$32,1+INDEX(配置与结果!$F$15:$F$18,F1309)+0+Q1309*方案参数!$W$39+Y1309*(方案参数!$AN$39+MIN(方案参数!$AO$39,P1309*0.03))+AB1309*方案参数!$BZ$39*0.025-配置与结果!$B$28)</f>
        <v>0.95899999999999996</v>
      </c>
      <c r="AH1309" s="1">
        <f>MAX(0,1+INDEX(配置与结果!$G$15:$G$18,F1309)+W1309*方案参数!$AG$39)</f>
        <v>1.3</v>
      </c>
      <c r="AI1309" s="1">
        <f>IF(OR(INDEX(配置与结果!$K$15:$K$18,F1309)=1,G1309="RHI_BERRY"),1+配置与结果!$B$33+P1309*方案参数!$AH$39,1)</f>
        <v>1</v>
      </c>
      <c r="AJ1309" s="1">
        <f>MIN(1,MAX(0,J1309+方案参数!$AB$39-配置与结果!$B$27))</f>
        <v>0.55499999999999994</v>
      </c>
      <c r="AK1309" s="1">
        <f>MAX(1,K1309+IF(F1309=2,0.15+方案参数!$CH$39,0)+BN1309*方案参数!$X$39+R1309*方案参数!$AA$39+0-配置与结果!$B$26+Z1309*(方案参数!$AP$39+MIN(方案参数!$AQ$39,P1309*0.03)))</f>
        <v>1.25</v>
      </c>
      <c r="AL1309" s="7">
        <f>ROUNDDOWN(MAX(AD1309*配置与结果!$B$31,AD1309-AE1309)*AF1309*AG1309*AH1309*AI1309,0)</f>
        <v>10681</v>
      </c>
      <c r="AM1309" s="7">
        <f>ROUNDDOWN(MAX(AD1309*配置与结果!$B$31,AD1309-AE1309)*AF1309*AG1309*AH1309*AI1309*AK1309,0)</f>
        <v>13352</v>
      </c>
      <c r="AN1309" s="7">
        <f t="shared" si="1817"/>
        <v>12163.404999999999</v>
      </c>
      <c r="AO1309" s="7">
        <f>0</f>
        <v>0</v>
      </c>
      <c r="AP1309" s="7">
        <f>MAX(0,1+INDEX(配置与结果!$J$15:$J$18,F1309)+IF(T1309&gt;0,方案参数!$BY$39,0)-配置与结果!$B$30)</f>
        <v>1</v>
      </c>
      <c r="AQ1309" s="7">
        <f t="shared" si="1818"/>
        <v>0</v>
      </c>
      <c r="AR1309" s="7">
        <f t="shared" si="1819"/>
        <v>0</v>
      </c>
      <c r="AS1309" s="7">
        <f t="shared" si="1820"/>
        <v>0</v>
      </c>
      <c r="AT1309" s="7">
        <f>0</f>
        <v>0</v>
      </c>
      <c r="AU1309" s="7">
        <f t="shared" si="1821"/>
        <v>12163.404999999999</v>
      </c>
      <c r="AV1309" s="1">
        <f t="shared" si="1822"/>
        <v>1</v>
      </c>
      <c r="AW1309" s="1">
        <f>MIN(10,M1309+0+0)</f>
        <v>7</v>
      </c>
      <c r="AX1309" s="1">
        <f t="shared" si="1823"/>
        <v>0</v>
      </c>
      <c r="AY1309" s="1">
        <f t="shared" si="1849"/>
        <v>6</v>
      </c>
      <c r="AZ1309" s="1">
        <f t="shared" si="1824"/>
        <v>5</v>
      </c>
      <c r="BA1309" s="1">
        <f>MIN(6,Q1309+1)</f>
        <v>3</v>
      </c>
      <c r="BB1309" s="1">
        <f t="shared" si="1842"/>
        <v>5</v>
      </c>
      <c r="BC1309" s="1">
        <f>MIN(3,S1309+0)</f>
        <v>1</v>
      </c>
      <c r="BD1309" s="1">
        <f t="shared" si="1850"/>
        <v>0</v>
      </c>
      <c r="BE1309" s="1">
        <f t="shared" si="1843"/>
        <v>0</v>
      </c>
      <c r="BF1309" s="1">
        <f>MIN(4,V1309+0)</f>
        <v>1</v>
      </c>
      <c r="BG1309" s="1">
        <f t="shared" si="1847"/>
        <v>1</v>
      </c>
      <c r="BH1309" s="1">
        <f t="shared" si="1844"/>
        <v>1</v>
      </c>
      <c r="BI1309" s="1">
        <f t="shared" si="1848"/>
        <v>1</v>
      </c>
      <c r="BJ1309" s="1">
        <f>MAX(Z1309,1)</f>
        <v>1</v>
      </c>
      <c r="BK1309" s="1">
        <f>MAX(AA1309,1)</f>
        <v>1</v>
      </c>
      <c r="BL1309" s="1">
        <f t="shared" si="1816"/>
        <v>0</v>
      </c>
      <c r="BM1309" s="1">
        <f t="shared" si="1814"/>
        <v>0</v>
      </c>
      <c r="BN1309" s="1">
        <f t="shared" si="1845"/>
        <v>1</v>
      </c>
      <c r="BO1309" s="1">
        <f t="shared" si="1846"/>
        <v>1</v>
      </c>
    </row>
    <row r="1310" spans="1:67" ht="30.95" customHeight="1">
      <c r="A1310" s="1">
        <f>36</f>
        <v>36</v>
      </c>
      <c r="B1310" s="1">
        <f>固定流程!A14</f>
        <v>9</v>
      </c>
      <c r="C1310" s="1">
        <f>39</f>
        <v>39</v>
      </c>
      <c r="D1310" s="1">
        <f>1</f>
        <v>1</v>
      </c>
      <c r="E1310" s="1">
        <f>固定流程!C14</f>
        <v>2</v>
      </c>
      <c r="F1310" s="1">
        <f>固定流程!G14</f>
        <v>1</v>
      </c>
      <c r="G1310" s="1" t="str">
        <f>固定流程!H14</f>
        <v>LILYA_DIVE</v>
      </c>
      <c r="H1310" s="1">
        <f>固定流程!F14</f>
        <v>3</v>
      </c>
      <c r="I1310" s="1">
        <f>INDEX(配置与结果!$B$15:$B$18,F1310)</f>
        <v>2296</v>
      </c>
      <c r="J1310" s="1">
        <f>INDEX(配置与结果!$D$15:$D$18,F1310)</f>
        <v>0.7</v>
      </c>
      <c r="K1310" s="1">
        <f>INDEX(配置与结果!$E$15:$E$18,F1310)</f>
        <v>2.0249999999999999</v>
      </c>
      <c r="L1310" s="1">
        <f t="shared" ref="L1310:N1314" si="1852">AV1309</f>
        <v>1</v>
      </c>
      <c r="M1310" s="1">
        <f t="shared" si="1852"/>
        <v>7</v>
      </c>
      <c r="N1310" s="1">
        <f t="shared" si="1852"/>
        <v>0</v>
      </c>
      <c r="O1310" s="1">
        <f t="shared" si="1851"/>
        <v>6</v>
      </c>
      <c r="P1310" s="1">
        <f>MIN(方案参数!$AI$39,AZ1309+0+0)</f>
        <v>5</v>
      </c>
      <c r="Q1310" s="1">
        <f t="shared" si="1829"/>
        <v>3</v>
      </c>
      <c r="R1310" s="1">
        <f t="shared" si="1830"/>
        <v>5</v>
      </c>
      <c r="S1310" s="1">
        <f t="shared" si="1831"/>
        <v>1</v>
      </c>
      <c r="T1310" s="1">
        <f t="shared" si="1832"/>
        <v>0</v>
      </c>
      <c r="U1310" s="1">
        <f t="shared" si="1833"/>
        <v>0</v>
      </c>
      <c r="V1310" s="1">
        <f t="shared" si="1834"/>
        <v>1</v>
      </c>
      <c r="W1310" s="1">
        <f t="shared" si="1835"/>
        <v>1</v>
      </c>
      <c r="X1310" s="1">
        <f t="shared" si="1836"/>
        <v>1</v>
      </c>
      <c r="Y1310" s="1">
        <f t="shared" si="1837"/>
        <v>1</v>
      </c>
      <c r="Z1310" s="1">
        <f t="shared" si="1838"/>
        <v>1</v>
      </c>
      <c r="AA1310" s="1">
        <f t="shared" ref="AA1310:AA1315" si="1853">MAX(BK1309,0)</f>
        <v>1</v>
      </c>
      <c r="AB1310" s="1">
        <f t="shared" si="1840"/>
        <v>0</v>
      </c>
      <c r="AC1310" s="1">
        <f t="shared" si="1841"/>
        <v>0</v>
      </c>
      <c r="AD1310" s="1">
        <f>ROUNDDOWN(I1310*(1+IF(F1310=3,0.05+方案参数!$Y$39+AA1310*0.12,IF(F1310=4,方案参数!$BZ$39*方案参数!$AS$39,0)))+IF(AND(X1310=1,F1310&lt;&gt;3),方案参数!$CC$39,0)+AC1310*方案参数!$CB$39,0)</f>
        <v>2522</v>
      </c>
      <c r="AE1310" s="1">
        <f>IF(OR(F1310=1,F1310=4),配置与结果!$B$24,配置与结果!$B$25)*MAX(0,1-INDEX(配置与结果!$I$15:$I$18,F1310))</f>
        <v>1200</v>
      </c>
      <c r="AF1310" s="1">
        <f>(IF(L1310=1,方案参数!$AW$39,IF(L1310=2,方案参数!$AX$39,0))+方案参数!$AV$39)*H1310</f>
        <v>18</v>
      </c>
      <c r="AG1310" s="1">
        <f>MAX(配置与结果!$B$32,1+INDEX(配置与结果!$F$15:$F$18,F1310)+0.08+方案参数!$CD$39+Q1310*方案参数!$W$39+Y1310*(方案参数!$AN$39+MIN(方案参数!$AO$39,P1310*0.03))+AB1310*方案参数!$BZ$39*0.025+IF(L1310=1,方案参数!$AY$39+(H1310-1)*0.1,IF(L1310=2,方案参数!$AZ$39+(H1310-1)*0.2,0))-配置与结果!$B$28)</f>
        <v>1.5760000000000001</v>
      </c>
      <c r="AH1310" s="1">
        <f>MAX(0,1+INDEX(配置与结果!$G$15:$G$18,F1310)+W1310*方案参数!$AG$39+IF(L1310=1,方案参数!$BA$39,IF(L1310=2,方案参数!$BB$39,0))+M1310*方案参数!$BC$39)</f>
        <v>2.3199999999999998</v>
      </c>
      <c r="AI1310" s="1">
        <f>IF(OR(INDEX(配置与结果!$K$15:$K$18,F1310)=1,G1310="RHI_BERRY"),1+配置与结果!$B$33+P1310*方案参数!$AH$39,1)</f>
        <v>1</v>
      </c>
      <c r="AJ1310" s="1">
        <f>MIN(1,MAX(0,J1310+方案参数!$AB$39-配置与结果!$B$27))</f>
        <v>1</v>
      </c>
      <c r="AK1310" s="1">
        <f>MAX(1,K1310+IF(F1310=2,0.15+方案参数!$CH$39,0)+BN1310*方案参数!$X$39+R1310*方案参数!$AA$39+0-配置与结果!$B$26+Z1310*(方案参数!$AP$39+MIN(方案参数!$AQ$39,P1310*0.03)))</f>
        <v>2.0249999999999999</v>
      </c>
      <c r="AL1310" s="7">
        <f>ROUNDDOWN(MAX(AD1310*配置与结果!$B$31,AD1310-AE1310)*AF1310*AG1310*AH1310*AI1310,0)</f>
        <v>87005</v>
      </c>
      <c r="AM1310" s="7">
        <f>ROUNDDOWN(MAX(AD1310*配置与结果!$B$31,AD1310-AE1310)*AF1310*AG1310*AH1310*AI1310*AK1310,0)</f>
        <v>176186</v>
      </c>
      <c r="AN1310" s="7">
        <f t="shared" si="1817"/>
        <v>176186</v>
      </c>
      <c r="AO1310" s="7">
        <f>0</f>
        <v>0</v>
      </c>
      <c r="AP1310" s="7">
        <f>MAX(0,1+INDEX(配置与结果!$J$15:$J$18,F1310)+IF(T1310&gt;0,方案参数!$BY$39,0)-配置与结果!$B$30)</f>
        <v>1</v>
      </c>
      <c r="AQ1310" s="7">
        <f t="shared" si="1818"/>
        <v>0</v>
      </c>
      <c r="AR1310" s="7">
        <f t="shared" si="1819"/>
        <v>0</v>
      </c>
      <c r="AS1310" s="7">
        <f t="shared" si="1820"/>
        <v>0</v>
      </c>
      <c r="AT1310" s="7">
        <f>0</f>
        <v>0</v>
      </c>
      <c r="AU1310" s="7">
        <f t="shared" si="1821"/>
        <v>176186</v>
      </c>
      <c r="AV1310" s="1">
        <f t="shared" si="1822"/>
        <v>1</v>
      </c>
      <c r="AW1310" s="1">
        <f>MIN(10,M1310+0+IF(L1310=1,方案参数!$BE$39,0))</f>
        <v>8</v>
      </c>
      <c r="AX1310" s="1">
        <f t="shared" si="1823"/>
        <v>0</v>
      </c>
      <c r="AY1310" s="1">
        <f t="shared" si="1849"/>
        <v>6</v>
      </c>
      <c r="AZ1310" s="1">
        <f t="shared" si="1824"/>
        <v>5</v>
      </c>
      <c r="BA1310" s="1">
        <f>MIN(6,Q1310+0)</f>
        <v>3</v>
      </c>
      <c r="BB1310" s="1">
        <f t="shared" si="1842"/>
        <v>5</v>
      </c>
      <c r="BC1310" s="1">
        <f>MIN(3,S1310+0)</f>
        <v>1</v>
      </c>
      <c r="BD1310" s="1">
        <f t="shared" si="1850"/>
        <v>0</v>
      </c>
      <c r="BE1310" s="1">
        <f t="shared" si="1843"/>
        <v>0</v>
      </c>
      <c r="BF1310" s="1">
        <f>MIN(4,V1310+0)</f>
        <v>1</v>
      </c>
      <c r="BG1310" s="1">
        <f t="shared" si="1847"/>
        <v>1</v>
      </c>
      <c r="BH1310" s="1">
        <f t="shared" si="1844"/>
        <v>1</v>
      </c>
      <c r="BI1310" s="1">
        <f t="shared" si="1848"/>
        <v>1</v>
      </c>
      <c r="BJ1310" s="1">
        <f t="shared" ref="BJ1310:BK1315" si="1854">MAX(Z1310,0)</f>
        <v>1</v>
      </c>
      <c r="BK1310" s="1">
        <f t="shared" si="1854"/>
        <v>1</v>
      </c>
      <c r="BL1310" s="1">
        <f t="shared" si="1816"/>
        <v>0</v>
      </c>
      <c r="BM1310" s="1">
        <f t="shared" si="1814"/>
        <v>0</v>
      </c>
      <c r="BN1310" s="1">
        <f t="shared" si="1845"/>
        <v>1</v>
      </c>
      <c r="BO1310" s="1">
        <f t="shared" si="1846"/>
        <v>1</v>
      </c>
    </row>
    <row r="1311" spans="1:67" ht="30.95" customHeight="1">
      <c r="A1311" s="1">
        <f>36</f>
        <v>36</v>
      </c>
      <c r="B1311" s="1">
        <f>固定流程!A15</f>
        <v>10</v>
      </c>
      <c r="C1311" s="1">
        <f>39</f>
        <v>39</v>
      </c>
      <c r="D1311" s="1">
        <f>1</f>
        <v>1</v>
      </c>
      <c r="E1311" s="1">
        <f>固定流程!C15</f>
        <v>2</v>
      </c>
      <c r="F1311" s="1">
        <f>固定流程!G15</f>
        <v>4</v>
      </c>
      <c r="G1311" s="1" t="str">
        <f>固定流程!H15</f>
        <v>J_HARD</v>
      </c>
      <c r="H1311" s="1">
        <f>固定流程!F15</f>
        <v>1</v>
      </c>
      <c r="I1311" s="1">
        <f>INDEX(配置与结果!$B$15:$B$18,F1311)</f>
        <v>1906</v>
      </c>
      <c r="J1311" s="1">
        <f>INDEX(配置与结果!$D$15:$D$18,F1311)</f>
        <v>0.36699999999999999</v>
      </c>
      <c r="K1311" s="1">
        <f>INDEX(配置与结果!$E$15:$E$18,F1311)</f>
        <v>1.7170000000000001</v>
      </c>
      <c r="L1311" s="1">
        <f t="shared" si="1852"/>
        <v>1</v>
      </c>
      <c r="M1311" s="1">
        <f t="shared" si="1852"/>
        <v>8</v>
      </c>
      <c r="N1311" s="1">
        <f t="shared" si="1852"/>
        <v>0</v>
      </c>
      <c r="O1311" s="1">
        <f t="shared" si="1851"/>
        <v>6</v>
      </c>
      <c r="P1311" s="1">
        <f>MIN(方案参数!$AI$39,AZ1310+0+0)</f>
        <v>5</v>
      </c>
      <c r="Q1311" s="1">
        <f t="shared" si="1829"/>
        <v>3</v>
      </c>
      <c r="R1311" s="1">
        <f t="shared" si="1830"/>
        <v>5</v>
      </c>
      <c r="S1311" s="1">
        <f t="shared" si="1831"/>
        <v>1</v>
      </c>
      <c r="T1311" s="1">
        <f t="shared" si="1832"/>
        <v>0</v>
      </c>
      <c r="U1311" s="1">
        <f t="shared" si="1833"/>
        <v>0</v>
      </c>
      <c r="V1311" s="1">
        <f t="shared" si="1834"/>
        <v>1</v>
      </c>
      <c r="W1311" s="1">
        <f t="shared" si="1835"/>
        <v>1</v>
      </c>
      <c r="X1311" s="1">
        <f t="shared" si="1836"/>
        <v>1</v>
      </c>
      <c r="Y1311" s="1">
        <f t="shared" si="1837"/>
        <v>1</v>
      </c>
      <c r="Z1311" s="1">
        <f t="shared" si="1838"/>
        <v>1</v>
      </c>
      <c r="AA1311" s="1">
        <f t="shared" si="1853"/>
        <v>1</v>
      </c>
      <c r="AB1311" s="1">
        <f t="shared" si="1840"/>
        <v>0</v>
      </c>
      <c r="AC1311" s="1">
        <f t="shared" si="1841"/>
        <v>0</v>
      </c>
      <c r="AD1311" s="1">
        <f>ROUNDDOWN(I1311*(1+IF(F1311=3,0.05+方案参数!$Y$39+AA1311*0.12,IF(F1311=4,方案参数!$BZ$39*方案参数!$AS$39,0)))+IF(AND(X1311=1,F1311&lt;&gt;3),方案参数!$CC$39,0)+AC1311*方案参数!$CB$39,0)</f>
        <v>2799</v>
      </c>
      <c r="AE1311" s="1">
        <f>IF(OR(F1311=1,F1311=4),配置与结果!$B$24,配置与结果!$B$25)*MAX(0,1-INDEX(配置与结果!$I$15:$I$18,F1311))</f>
        <v>1200</v>
      </c>
      <c r="AF1311" s="1">
        <f>3.6*IF(H1311=1,1,IF(H1311=2,1.5,2.5))</f>
        <v>3.6</v>
      </c>
      <c r="AG1311" s="1">
        <f>MAX(配置与结果!$B$32,1+INDEX(配置与结果!$F$15:$F$18,F1311)+0.08+Q1311*方案参数!$W$39+Y1311*(方案参数!$AN$39+MIN(方案参数!$AO$39,P1311*0.03))+AB1311*方案参数!$BZ$39*0.025+0.1+IF(方案参数!$BZ$39&gt;=30,方案参数!$BZ$39*0.01,0)-配置与结果!$B$28)</f>
        <v>1.4910000000000001</v>
      </c>
      <c r="AH1311" s="1">
        <f>MAX(0,1+INDEX(配置与结果!$G$15:$G$18,F1311)+W1311*方案参数!$AG$39)</f>
        <v>1.3</v>
      </c>
      <c r="AI1311" s="1">
        <f>IF(OR(INDEX(配置与结果!$K$15:$K$18,F1311)=1,G1311="RHI_BERRY"),1+配置与结果!$B$33+P1311*方案参数!$AH$39,1)</f>
        <v>1</v>
      </c>
      <c r="AJ1311" s="1">
        <f>MIN(1,MAX(0,J1311+方案参数!$AB$39-配置与结果!$B$27))</f>
        <v>0.66700000000000004</v>
      </c>
      <c r="AK1311" s="1">
        <f>MAX(1,K1311+IF(F1311=2,0.15+方案参数!$CH$39,0)+BN1311*方案参数!$X$39+R1311*方案参数!$AA$39+0-配置与结果!$B$26+Z1311*(方案参数!$AP$39+MIN(方案参数!$AQ$39,P1311*0.03)))</f>
        <v>1.7170000000000003</v>
      </c>
      <c r="AL1311" s="7">
        <f>ROUNDDOWN(MAX(AD1311*配置与结果!$B$31,AD1311-AE1311)*AF1311*AG1311*AH1311*AI1311,0)</f>
        <v>11157</v>
      </c>
      <c r="AM1311" s="7">
        <f>ROUNDDOWN(MAX(AD1311*配置与结果!$B$31,AD1311-AE1311)*AF1311*AG1311*AH1311*AI1311*AK1311,0)</f>
        <v>19157</v>
      </c>
      <c r="AN1311" s="7">
        <f t="shared" si="1817"/>
        <v>16493</v>
      </c>
      <c r="AO1311" s="7">
        <f>0</f>
        <v>0</v>
      </c>
      <c r="AP1311" s="7">
        <f>MAX(0,1+INDEX(配置与结果!$J$15:$J$18,F1311)+IF(T1311&gt;0,方案参数!$BY$39,0)-配置与结果!$B$30)</f>
        <v>1</v>
      </c>
      <c r="AQ1311" s="7">
        <f t="shared" si="1818"/>
        <v>0</v>
      </c>
      <c r="AR1311" s="7">
        <f t="shared" si="1819"/>
        <v>0</v>
      </c>
      <c r="AS1311" s="7">
        <f t="shared" si="1820"/>
        <v>0</v>
      </c>
      <c r="AT1311" s="7">
        <f>0</f>
        <v>0</v>
      </c>
      <c r="AU1311" s="7">
        <f t="shared" si="1821"/>
        <v>16493</v>
      </c>
      <c r="AV1311" s="1">
        <f t="shared" si="1822"/>
        <v>1</v>
      </c>
      <c r="AW1311" s="1">
        <f t="shared" ref="AW1311:AW1321" si="1855">MIN(10,M1311+0+0)</f>
        <v>8</v>
      </c>
      <c r="AX1311" s="1">
        <f t="shared" si="1823"/>
        <v>0</v>
      </c>
      <c r="AY1311" s="1">
        <f t="shared" si="1849"/>
        <v>6</v>
      </c>
      <c r="AZ1311" s="1">
        <f t="shared" si="1824"/>
        <v>5</v>
      </c>
      <c r="BA1311" s="1">
        <f>MIN(6,Q1311+0)</f>
        <v>3</v>
      </c>
      <c r="BB1311" s="1">
        <f t="shared" si="1842"/>
        <v>5</v>
      </c>
      <c r="BC1311" s="1">
        <f>MIN(3,S1311+1)</f>
        <v>2</v>
      </c>
      <c r="BD1311" s="1">
        <f t="shared" si="1850"/>
        <v>0</v>
      </c>
      <c r="BE1311" s="1">
        <f t="shared" si="1843"/>
        <v>0</v>
      </c>
      <c r="BF1311" s="1">
        <f>MIN(4,V1311+0)</f>
        <v>1</v>
      </c>
      <c r="BG1311" s="1">
        <f t="shared" si="1847"/>
        <v>1</v>
      </c>
      <c r="BH1311" s="1">
        <f t="shared" si="1844"/>
        <v>1</v>
      </c>
      <c r="BI1311" s="1">
        <f t="shared" si="1848"/>
        <v>1</v>
      </c>
      <c r="BJ1311" s="1">
        <f t="shared" si="1854"/>
        <v>1</v>
      </c>
      <c r="BK1311" s="1">
        <f t="shared" si="1854"/>
        <v>1</v>
      </c>
      <c r="BL1311" s="1">
        <f t="shared" si="1816"/>
        <v>0</v>
      </c>
      <c r="BM1311" s="1">
        <f t="shared" si="1814"/>
        <v>0</v>
      </c>
      <c r="BN1311" s="1">
        <f t="shared" si="1845"/>
        <v>1</v>
      </c>
      <c r="BO1311" s="1">
        <f t="shared" si="1846"/>
        <v>1</v>
      </c>
    </row>
    <row r="1312" spans="1:67" ht="30.95" customHeight="1">
      <c r="A1312" s="1">
        <f>36</f>
        <v>36</v>
      </c>
      <c r="B1312" s="1">
        <f>固定流程!A16</f>
        <v>11</v>
      </c>
      <c r="C1312" s="1">
        <f>39</f>
        <v>39</v>
      </c>
      <c r="D1312" s="1">
        <f>1</f>
        <v>1</v>
      </c>
      <c r="E1312" s="1">
        <f>固定流程!C16</f>
        <v>2</v>
      </c>
      <c r="F1312" s="1">
        <f>固定流程!G16</f>
        <v>2</v>
      </c>
      <c r="G1312" s="1" t="str">
        <f>固定流程!H16</f>
        <v>37_CURVE</v>
      </c>
      <c r="H1312" s="1">
        <f>固定流程!F16</f>
        <v>1</v>
      </c>
      <c r="I1312" s="1">
        <f>INDEX(配置与结果!$B$15:$B$18,F1312)</f>
        <v>2306</v>
      </c>
      <c r="J1312" s="1">
        <f>INDEX(配置与结果!$D$15:$D$18,F1312)</f>
        <v>0.46</v>
      </c>
      <c r="K1312" s="1">
        <f>INDEX(配置与结果!$E$15:$E$18,F1312)</f>
        <v>1.9279999999999999</v>
      </c>
      <c r="L1312" s="1">
        <f t="shared" si="1852"/>
        <v>1</v>
      </c>
      <c r="M1312" s="1">
        <f t="shared" si="1852"/>
        <v>8</v>
      </c>
      <c r="N1312" s="1">
        <f t="shared" si="1852"/>
        <v>0</v>
      </c>
      <c r="O1312" s="1">
        <f t="shared" si="1851"/>
        <v>6</v>
      </c>
      <c r="P1312" s="1">
        <f>MIN(方案参数!$AI$39,AZ1311+0+0)</f>
        <v>5</v>
      </c>
      <c r="Q1312" s="1">
        <f t="shared" si="1829"/>
        <v>3</v>
      </c>
      <c r="R1312" s="1">
        <f t="shared" si="1830"/>
        <v>5</v>
      </c>
      <c r="S1312" s="1">
        <f t="shared" si="1831"/>
        <v>2</v>
      </c>
      <c r="T1312" s="1">
        <f t="shared" si="1832"/>
        <v>0</v>
      </c>
      <c r="U1312" s="1">
        <f t="shared" si="1833"/>
        <v>0</v>
      </c>
      <c r="V1312" s="1">
        <f t="shared" si="1834"/>
        <v>1</v>
      </c>
      <c r="W1312" s="1">
        <f t="shared" si="1835"/>
        <v>1</v>
      </c>
      <c r="X1312" s="1">
        <f t="shared" si="1836"/>
        <v>1</v>
      </c>
      <c r="Y1312" s="1">
        <f t="shared" si="1837"/>
        <v>1</v>
      </c>
      <c r="Z1312" s="1">
        <f t="shared" si="1838"/>
        <v>1</v>
      </c>
      <c r="AA1312" s="1">
        <f t="shared" si="1853"/>
        <v>1</v>
      </c>
      <c r="AB1312" s="1">
        <f t="shared" si="1840"/>
        <v>0</v>
      </c>
      <c r="AC1312" s="1">
        <f t="shared" si="1841"/>
        <v>0</v>
      </c>
      <c r="AD1312" s="1">
        <f>ROUNDDOWN(I1312*(1+IF(F1312=3,0.05+方案参数!$Y$39+AA1312*0.12,IF(F1312=4,方案参数!$BZ$39*方案参数!$AS$39,0)))+IF(AND(X1312=1,F1312&lt;&gt;3),方案参数!$CC$39,0)+AC1312*方案参数!$CB$39,0)</f>
        <v>2532</v>
      </c>
      <c r="AE1312" s="1">
        <f>IF(OR(F1312=1,F1312=4),配置与结果!$B$24,配置与结果!$B$25)*MAX(0,1-INDEX(配置与结果!$I$15:$I$18,F1312))</f>
        <v>1000</v>
      </c>
      <c r="AF1312" s="1">
        <f>方案参数!$BT$39*IF(H1312=1,1,IF(H1312=2,1.5,2.5))</f>
        <v>1.4</v>
      </c>
      <c r="AG1312" s="1">
        <f>MAX(配置与结果!$B$32,1+INDEX(配置与结果!$F$15:$F$18,F1312)+0+Q1312*方案参数!$W$39+Y1312*(方案参数!$AN$39+MIN(方案参数!$AO$39,P1312*0.03))+AB1312*方案参数!$BZ$39*0.025-配置与结果!$B$28)</f>
        <v>0.94099999999999995</v>
      </c>
      <c r="AH1312" s="1">
        <f>MAX(0,1+INDEX(配置与结果!$G$15:$G$18,F1312)+W1312*方案参数!$AG$39)</f>
        <v>1.3</v>
      </c>
      <c r="AI1312" s="1">
        <f>IF(OR(INDEX(配置与结果!$K$15:$K$18,F1312)=1,G1312="RHI_BERRY"),1+配置与结果!$B$33+P1312*方案参数!$AH$39,1)</f>
        <v>1</v>
      </c>
      <c r="AJ1312" s="1">
        <f>MIN(1,MAX(0,J1312+方案参数!$AB$39-配置与结果!$B$27))</f>
        <v>0.76</v>
      </c>
      <c r="AK1312" s="1">
        <f>MAX(1,K1312+IF(F1312=2,0.15+方案参数!$CH$39,0)+BN1312*方案参数!$X$39+R1312*方案参数!$AA$39+0-配置与结果!$B$26+Z1312*(方案参数!$AP$39+MIN(方案参数!$AQ$39,P1312*0.03)))</f>
        <v>2.198</v>
      </c>
      <c r="AL1312" s="7">
        <f>ROUNDDOWN(MAX(AD1312*配置与结果!$B$31,AD1312-AE1312)*AF1312*AG1312*AH1312*AI1312,0)</f>
        <v>2623</v>
      </c>
      <c r="AM1312" s="7">
        <f>ROUNDDOWN(MAX(AD1312*配置与结果!$B$31,AD1312-AE1312)*AF1312*AG1312*AH1312*AI1312*AK1312,0)</f>
        <v>5766</v>
      </c>
      <c r="AN1312" s="7">
        <f t="shared" si="1817"/>
        <v>5011.68</v>
      </c>
      <c r="AO1312" s="7">
        <f>方案参数!$BU$39*IF(H1312=1,1,IF(H1312=2,1.5,2.5))</f>
        <v>0.8</v>
      </c>
      <c r="AP1312" s="7">
        <f>MAX(0,1+INDEX(配置与结果!$J$15:$J$18,F1312)+IF(T1312&gt;0,方案参数!$BY$39,0)-配置与结果!$B$30)</f>
        <v>1</v>
      </c>
      <c r="AQ1312" s="7">
        <f t="shared" si="1818"/>
        <v>2025</v>
      </c>
      <c r="AR1312" s="7">
        <f t="shared" si="1819"/>
        <v>4450</v>
      </c>
      <c r="AS1312" s="7">
        <f t="shared" si="1820"/>
        <v>3868</v>
      </c>
      <c r="AT1312" s="7">
        <f>0</f>
        <v>0</v>
      </c>
      <c r="AU1312" s="7">
        <f t="shared" si="1821"/>
        <v>8879.68</v>
      </c>
      <c r="AV1312" s="1">
        <f t="shared" si="1822"/>
        <v>1</v>
      </c>
      <c r="AW1312" s="1">
        <f t="shared" si="1855"/>
        <v>8</v>
      </c>
      <c r="AX1312" s="1">
        <f t="shared" si="1823"/>
        <v>0</v>
      </c>
      <c r="AY1312" s="1">
        <f t="shared" si="1849"/>
        <v>6</v>
      </c>
      <c r="AZ1312" s="1">
        <f t="shared" si="1824"/>
        <v>5</v>
      </c>
      <c r="BA1312" s="1">
        <f>MIN(6,Q1312+0)</f>
        <v>3</v>
      </c>
      <c r="BB1312" s="1">
        <f t="shared" si="1842"/>
        <v>5</v>
      </c>
      <c r="BC1312" s="1">
        <f t="shared" ref="BC1312:BC1318" si="1856">MIN(3,S1312+0)</f>
        <v>2</v>
      </c>
      <c r="BD1312" s="1">
        <f t="shared" si="1850"/>
        <v>0</v>
      </c>
      <c r="BE1312" s="1">
        <f t="shared" si="1843"/>
        <v>0</v>
      </c>
      <c r="BF1312" s="1">
        <f>MIN(4,V1312+0)</f>
        <v>1</v>
      </c>
      <c r="BG1312" s="1">
        <f t="shared" si="1847"/>
        <v>1</v>
      </c>
      <c r="BH1312" s="1">
        <f t="shared" si="1844"/>
        <v>1</v>
      </c>
      <c r="BI1312" s="1">
        <f t="shared" si="1848"/>
        <v>1</v>
      </c>
      <c r="BJ1312" s="1">
        <f t="shared" si="1854"/>
        <v>1</v>
      </c>
      <c r="BK1312" s="1">
        <f t="shared" si="1854"/>
        <v>1</v>
      </c>
      <c r="BL1312" s="1">
        <f t="shared" si="1816"/>
        <v>0</v>
      </c>
      <c r="BM1312" s="1">
        <f t="shared" si="1814"/>
        <v>0</v>
      </c>
      <c r="BN1312" s="1">
        <f t="shared" si="1845"/>
        <v>1</v>
      </c>
      <c r="BO1312" s="1">
        <f t="shared" si="1846"/>
        <v>1</v>
      </c>
    </row>
    <row r="1313" spans="1:67" ht="30.95" customHeight="1">
      <c r="A1313" s="1">
        <f>36</f>
        <v>36</v>
      </c>
      <c r="B1313" s="1">
        <f>固定流程!A17</f>
        <v>12</v>
      </c>
      <c r="C1313" s="1">
        <f>39</f>
        <v>39</v>
      </c>
      <c r="D1313" s="1">
        <f>1</f>
        <v>1</v>
      </c>
      <c r="E1313" s="1">
        <f>固定流程!C17</f>
        <v>2</v>
      </c>
      <c r="F1313" s="1">
        <f>固定流程!G17</f>
        <v>2</v>
      </c>
      <c r="G1313" s="1" t="str">
        <f>固定流程!H17</f>
        <v>37_FOLLOW</v>
      </c>
      <c r="H1313" s="1">
        <f>固定流程!F17</f>
        <v>1</v>
      </c>
      <c r="I1313" s="1">
        <f>INDEX(配置与结果!$B$15:$B$18,F1313)</f>
        <v>2306</v>
      </c>
      <c r="J1313" s="1">
        <f>INDEX(配置与结果!$D$15:$D$18,F1313)</f>
        <v>0.46</v>
      </c>
      <c r="K1313" s="1">
        <f>INDEX(配置与结果!$E$15:$E$18,F1313)</f>
        <v>1.9279999999999999</v>
      </c>
      <c r="L1313" s="1">
        <f t="shared" si="1852"/>
        <v>1</v>
      </c>
      <c r="M1313" s="1">
        <f t="shared" si="1852"/>
        <v>8</v>
      </c>
      <c r="N1313" s="1">
        <f t="shared" si="1852"/>
        <v>0</v>
      </c>
      <c r="O1313" s="1">
        <f t="shared" si="1851"/>
        <v>6</v>
      </c>
      <c r="P1313" s="1">
        <f>MIN(方案参数!$AI$39,AZ1312+0+0)</f>
        <v>5</v>
      </c>
      <c r="Q1313" s="1">
        <f t="shared" si="1829"/>
        <v>3</v>
      </c>
      <c r="R1313" s="1">
        <f t="shared" si="1830"/>
        <v>5</v>
      </c>
      <c r="S1313" s="1">
        <f t="shared" si="1831"/>
        <v>2</v>
      </c>
      <c r="T1313" s="1">
        <f t="shared" si="1832"/>
        <v>0</v>
      </c>
      <c r="U1313" s="1">
        <f t="shared" si="1833"/>
        <v>0</v>
      </c>
      <c r="V1313" s="1">
        <f t="shared" si="1834"/>
        <v>1</v>
      </c>
      <c r="W1313" s="1">
        <f t="shared" si="1835"/>
        <v>1</v>
      </c>
      <c r="X1313" s="1">
        <f t="shared" si="1836"/>
        <v>1</v>
      </c>
      <c r="Y1313" s="1">
        <f t="shared" si="1837"/>
        <v>1</v>
      </c>
      <c r="Z1313" s="1">
        <f t="shared" si="1838"/>
        <v>1</v>
      </c>
      <c r="AA1313" s="1">
        <f t="shared" si="1853"/>
        <v>1</v>
      </c>
      <c r="AB1313" s="1">
        <f t="shared" si="1840"/>
        <v>0</v>
      </c>
      <c r="AC1313" s="1">
        <f t="shared" si="1841"/>
        <v>0</v>
      </c>
      <c r="AD1313" s="1">
        <f>ROUNDDOWN(I1313*(1+IF(F1313=3,0.05+方案参数!$Y$39+AA1313*0.12,IF(F1313=4,方案参数!$BZ$39*方案参数!$AS$39,0)))+IF(AND(X1313=1,F1313&lt;&gt;3),方案参数!$CC$39,0)+AC1313*方案参数!$CB$39,0)</f>
        <v>2532</v>
      </c>
      <c r="AE1313" s="1">
        <f>IF(OR(F1313=1,F1313=4),配置与结果!$B$24,配置与结果!$B$25)*MAX(0,1-INDEX(配置与结果!$I$15:$I$18,F1313))</f>
        <v>1000</v>
      </c>
      <c r="AF1313" s="1">
        <f>方案参数!$BV$39</f>
        <v>3</v>
      </c>
      <c r="AG1313" s="1">
        <f>MAX(配置与结果!$B$32,1+INDEX(配置与结果!$F$15:$F$18,F1313)+0+Q1313*方案参数!$W$39+Y1313*(方案参数!$AN$39+MIN(方案参数!$AO$39,P1313*0.03))+AB1313*方案参数!$BZ$39*0.025-配置与结果!$B$28)</f>
        <v>0.94099999999999995</v>
      </c>
      <c r="AH1313" s="1">
        <f>MAX(0,1+INDEX(配置与结果!$G$15:$G$18,F1313)+W1313*方案参数!$AG$39)</f>
        <v>1.3</v>
      </c>
      <c r="AI1313" s="1">
        <f>IF(OR(INDEX(配置与结果!$K$15:$K$18,F1313)=1,G1313="RHI_BERRY"),1+配置与结果!$B$33+P1313*方案参数!$AH$39,1)</f>
        <v>1</v>
      </c>
      <c r="AJ1313" s="1">
        <f>MIN(1,MAX(0,J1313+方案参数!$AB$39-配置与结果!$B$27))</f>
        <v>0.76</v>
      </c>
      <c r="AK1313" s="1">
        <f>MAX(1,K1313+IF(F1313=2,0.15+方案参数!$CH$39,0)+BN1313*方案参数!$X$39+R1313*方案参数!$AA$39+0-配置与结果!$B$26+Z1313*(方案参数!$AP$39+MIN(方案参数!$AQ$39,P1313*0.03)))</f>
        <v>2.198</v>
      </c>
      <c r="AL1313" s="7">
        <f>ROUNDDOWN(MAX(AD1313*配置与结果!$B$31,AD1313-AE1313)*AF1313*AG1313*AH1313*AI1313,0)</f>
        <v>5622</v>
      </c>
      <c r="AM1313" s="7">
        <f>ROUNDDOWN(MAX(AD1313*配置与结果!$B$31,AD1313-AE1313)*AF1313*AG1313*AH1313*AI1313*AK1313,0)</f>
        <v>12357</v>
      </c>
      <c r="AN1313" s="7">
        <f t="shared" si="1817"/>
        <v>10740.6</v>
      </c>
      <c r="AO1313" s="7">
        <f>方案参数!$BW$39</f>
        <v>1</v>
      </c>
      <c r="AP1313" s="7">
        <f>MAX(0,1+INDEX(配置与结果!$J$15:$J$18,F1313)+IF(T1313&gt;0,方案参数!$BY$39,0)-配置与结果!$B$30)</f>
        <v>1</v>
      </c>
      <c r="AQ1313" s="7">
        <f t="shared" si="1818"/>
        <v>2532</v>
      </c>
      <c r="AR1313" s="7">
        <f t="shared" si="1819"/>
        <v>5565</v>
      </c>
      <c r="AS1313" s="7">
        <f t="shared" si="1820"/>
        <v>4837.08</v>
      </c>
      <c r="AT1313" s="7">
        <f>0</f>
        <v>0</v>
      </c>
      <c r="AU1313" s="7">
        <f t="shared" si="1821"/>
        <v>15577.68</v>
      </c>
      <c r="AV1313" s="1">
        <f t="shared" si="1822"/>
        <v>1</v>
      </c>
      <c r="AW1313" s="1">
        <f t="shared" si="1855"/>
        <v>8</v>
      </c>
      <c r="AX1313" s="1">
        <f t="shared" si="1823"/>
        <v>0</v>
      </c>
      <c r="AY1313" s="1">
        <f t="shared" si="1849"/>
        <v>6</v>
      </c>
      <c r="AZ1313" s="1">
        <f t="shared" si="1824"/>
        <v>5</v>
      </c>
      <c r="BA1313" s="1">
        <f>MIN(6,Q1313+0)</f>
        <v>3</v>
      </c>
      <c r="BB1313" s="1">
        <f t="shared" si="1842"/>
        <v>5</v>
      </c>
      <c r="BC1313" s="1">
        <f t="shared" si="1856"/>
        <v>2</v>
      </c>
      <c r="BD1313" s="1">
        <f t="shared" si="1850"/>
        <v>0</v>
      </c>
      <c r="BE1313" s="1">
        <f t="shared" si="1843"/>
        <v>0</v>
      </c>
      <c r="BF1313" s="1">
        <f>MIN(4,V1313+1)</f>
        <v>2</v>
      </c>
      <c r="BG1313" s="1">
        <f t="shared" si="1847"/>
        <v>1</v>
      </c>
      <c r="BH1313" s="1">
        <f t="shared" si="1844"/>
        <v>1</v>
      </c>
      <c r="BI1313" s="1">
        <f t="shared" si="1848"/>
        <v>1</v>
      </c>
      <c r="BJ1313" s="1">
        <f t="shared" si="1854"/>
        <v>1</v>
      </c>
      <c r="BK1313" s="1">
        <f t="shared" si="1854"/>
        <v>1</v>
      </c>
      <c r="BL1313" s="1">
        <f t="shared" si="1816"/>
        <v>0</v>
      </c>
      <c r="BM1313" s="1">
        <f t="shared" si="1814"/>
        <v>0</v>
      </c>
      <c r="BN1313" s="1">
        <f t="shared" si="1845"/>
        <v>1</v>
      </c>
      <c r="BO1313" s="1">
        <f t="shared" si="1846"/>
        <v>1</v>
      </c>
    </row>
    <row r="1314" spans="1:67" ht="30.95" customHeight="1">
      <c r="A1314" s="1">
        <f>36</f>
        <v>36</v>
      </c>
      <c r="B1314" s="1">
        <f>固定流程!A18</f>
        <v>13</v>
      </c>
      <c r="C1314" s="1">
        <f>39</f>
        <v>39</v>
      </c>
      <c r="D1314" s="1">
        <f>1</f>
        <v>1</v>
      </c>
      <c r="E1314" s="1">
        <f>固定流程!C18</f>
        <v>2</v>
      </c>
      <c r="F1314" s="1">
        <f>固定流程!G18</f>
        <v>3</v>
      </c>
      <c r="G1314" s="1" t="str">
        <f>固定流程!H18</f>
        <v>RHI_BERRY</v>
      </c>
      <c r="H1314" s="1">
        <f>固定流程!F18</f>
        <v>1</v>
      </c>
      <c r="I1314" s="1">
        <f>INDEX(配置与结果!$B$15:$B$18,F1314)</f>
        <v>2597</v>
      </c>
      <c r="J1314" s="1">
        <f>INDEX(配置与结果!$D$15:$D$18,F1314)</f>
        <v>0.255</v>
      </c>
      <c r="K1314" s="1">
        <f>INDEX(配置与结果!$E$15:$E$18,F1314)</f>
        <v>1.55</v>
      </c>
      <c r="L1314" s="1">
        <f t="shared" si="1852"/>
        <v>1</v>
      </c>
      <c r="M1314" s="1">
        <f t="shared" si="1852"/>
        <v>8</v>
      </c>
      <c r="N1314" s="1">
        <f t="shared" si="1852"/>
        <v>0</v>
      </c>
      <c r="O1314" s="1">
        <f t="shared" si="1851"/>
        <v>6</v>
      </c>
      <c r="P1314" s="1">
        <f>MIN(方案参数!$AI$39,AZ1313+0+0)</f>
        <v>5</v>
      </c>
      <c r="Q1314" s="1">
        <f t="shared" si="1829"/>
        <v>3</v>
      </c>
      <c r="R1314" s="1">
        <f t="shared" si="1830"/>
        <v>5</v>
      </c>
      <c r="S1314" s="1">
        <f t="shared" si="1831"/>
        <v>2</v>
      </c>
      <c r="T1314" s="1">
        <f t="shared" si="1832"/>
        <v>0</v>
      </c>
      <c r="U1314" s="1">
        <f t="shared" si="1833"/>
        <v>0</v>
      </c>
      <c r="V1314" s="1">
        <f t="shared" si="1834"/>
        <v>2</v>
      </c>
      <c r="W1314" s="1">
        <f t="shared" si="1835"/>
        <v>1</v>
      </c>
      <c r="X1314" s="1">
        <f t="shared" si="1836"/>
        <v>1</v>
      </c>
      <c r="Y1314" s="1">
        <f t="shared" si="1837"/>
        <v>1</v>
      </c>
      <c r="Z1314" s="1">
        <f t="shared" si="1838"/>
        <v>1</v>
      </c>
      <c r="AA1314" s="1">
        <f t="shared" si="1853"/>
        <v>1</v>
      </c>
      <c r="AB1314" s="1">
        <f t="shared" si="1840"/>
        <v>0</v>
      </c>
      <c r="AC1314" s="1">
        <f t="shared" si="1841"/>
        <v>0</v>
      </c>
      <c r="AD1314" s="1">
        <f>ROUNDDOWN(I1314*(1+IF(F1314=3,0.05+方案参数!$Y$39+AA1314*0.12,IF(F1314=4,方案参数!$BZ$39*方案参数!$AS$39,0)))+IF(AND(X1314=1,F1314&lt;&gt;3),方案参数!$CC$39,0)+AC1314*方案参数!$CB$39,0)</f>
        <v>3142</v>
      </c>
      <c r="AE1314" s="1">
        <f>IF(OR(F1314=1,F1314=4),配置与结果!$B$24,配置与结果!$B$25)*MAX(0,1-INDEX(配置与结果!$I$15:$I$18,F1314))</f>
        <v>1000</v>
      </c>
      <c r="AF1314" s="1">
        <f>方案参数!$CF$39+P1314*方案参数!$CG$39</f>
        <v>22.5</v>
      </c>
      <c r="AG1314" s="1">
        <f>MAX(配置与结果!$B$32,1+INDEX(配置与结果!$F$15:$F$18,F1314)+0+Q1314*方案参数!$W$39+Y1314*(方案参数!$AN$39+MIN(方案参数!$AO$39,P1314*0.03))+AB1314*方案参数!$BZ$39*0.025-配置与结果!$B$28)</f>
        <v>0.97099999999999997</v>
      </c>
      <c r="AH1314" s="1">
        <f>MAX(0,1+INDEX(配置与结果!$G$15:$G$18,F1314)+W1314*方案参数!$AG$39)</f>
        <v>1.3</v>
      </c>
      <c r="AI1314" s="1">
        <f>IF(OR(INDEX(配置与结果!$K$15:$K$18,F1314)=1,G1314="RHI_BERRY"),1+配置与结果!$B$33+P1314*方案参数!$AH$39,1)</f>
        <v>1.5</v>
      </c>
      <c r="AJ1314" s="1">
        <f>MIN(1,MAX(0,J1314+方案参数!$AB$39-配置与结果!$B$27))</f>
        <v>0.55499999999999994</v>
      </c>
      <c r="AK1314" s="1">
        <f>MAX(1,K1314+IF(F1314=2,0.15+方案参数!$CH$39,0)+BN1314*方案参数!$X$39+R1314*方案参数!$AA$39+0-配置与结果!$B$26+Z1314*(方案参数!$AP$39+MIN(方案参数!$AQ$39,P1314*0.03)))</f>
        <v>1.55</v>
      </c>
      <c r="AL1314" s="7">
        <f>ROUNDDOWN(MAX(AD1314*配置与结果!$B$31,AD1314-AE1314)*AF1314*AG1314*AH1314*AI1314,0)</f>
        <v>91254</v>
      </c>
      <c r="AM1314" s="7">
        <f>ROUNDDOWN(MAX(AD1314*配置与结果!$B$31,AD1314-AE1314)*AF1314*AG1314*AH1314*AI1314*AK1314,0)</f>
        <v>141444</v>
      </c>
      <c r="AN1314" s="7">
        <f t="shared" si="1817"/>
        <v>119109.45000000001</v>
      </c>
      <c r="AO1314" s="7">
        <f>0</f>
        <v>0</v>
      </c>
      <c r="AP1314" s="7">
        <f>MAX(0,1+INDEX(配置与结果!$J$15:$J$18,F1314)+IF(T1314&gt;0,方案参数!$BY$39,0)-配置与结果!$B$30)</f>
        <v>1</v>
      </c>
      <c r="AQ1314" s="7">
        <f t="shared" si="1818"/>
        <v>0</v>
      </c>
      <c r="AR1314" s="7">
        <f t="shared" si="1819"/>
        <v>0</v>
      </c>
      <c r="AS1314" s="7">
        <f t="shared" si="1820"/>
        <v>0</v>
      </c>
      <c r="AT1314" s="7">
        <f>0</f>
        <v>0</v>
      </c>
      <c r="AU1314" s="7">
        <f t="shared" si="1821"/>
        <v>119109.45000000001</v>
      </c>
      <c r="AV1314" s="1">
        <f t="shared" si="1822"/>
        <v>1</v>
      </c>
      <c r="AW1314" s="1">
        <f t="shared" si="1855"/>
        <v>8</v>
      </c>
      <c r="AX1314" s="1">
        <f t="shared" si="1823"/>
        <v>0</v>
      </c>
      <c r="AY1314" s="1">
        <f t="shared" si="1849"/>
        <v>6</v>
      </c>
      <c r="AZ1314" s="1">
        <f t="shared" si="1824"/>
        <v>5</v>
      </c>
      <c r="BA1314" s="1">
        <f>MIN(6,Q1314+0)</f>
        <v>3</v>
      </c>
      <c r="BB1314" s="1">
        <f t="shared" si="1842"/>
        <v>5</v>
      </c>
      <c r="BC1314" s="1">
        <f t="shared" si="1856"/>
        <v>2</v>
      </c>
      <c r="BD1314" s="1">
        <f t="shared" si="1850"/>
        <v>0</v>
      </c>
      <c r="BE1314" s="1">
        <f t="shared" si="1843"/>
        <v>0</v>
      </c>
      <c r="BF1314" s="1">
        <f>MIN(4,V1314+0)</f>
        <v>2</v>
      </c>
      <c r="BG1314" s="1">
        <f t="shared" si="1847"/>
        <v>1</v>
      </c>
      <c r="BH1314" s="1">
        <f t="shared" si="1844"/>
        <v>1</v>
      </c>
      <c r="BI1314" s="1">
        <f t="shared" si="1848"/>
        <v>1</v>
      </c>
      <c r="BJ1314" s="1">
        <f t="shared" si="1854"/>
        <v>1</v>
      </c>
      <c r="BK1314" s="1">
        <f t="shared" si="1854"/>
        <v>1</v>
      </c>
      <c r="BL1314" s="1">
        <f t="shared" si="1816"/>
        <v>0</v>
      </c>
      <c r="BM1314" s="1">
        <f t="shared" si="1814"/>
        <v>0</v>
      </c>
      <c r="BN1314" s="1">
        <f t="shared" si="1845"/>
        <v>1</v>
      </c>
      <c r="BO1314" s="1">
        <f t="shared" si="1846"/>
        <v>1</v>
      </c>
    </row>
    <row r="1315" spans="1:67" ht="30.95" customHeight="1">
      <c r="A1315" s="1">
        <f>36</f>
        <v>36</v>
      </c>
      <c r="B1315" s="1">
        <f>固定流程!A19</f>
        <v>14</v>
      </c>
      <c r="C1315" s="1">
        <f>39</f>
        <v>39</v>
      </c>
      <c r="D1315" s="1">
        <f>1</f>
        <v>1</v>
      </c>
      <c r="E1315" s="1">
        <f>固定流程!C19</f>
        <v>3</v>
      </c>
      <c r="F1315" s="1">
        <f>固定流程!G19</f>
        <v>3</v>
      </c>
      <c r="G1315" s="1" t="str">
        <f>固定流程!H19</f>
        <v>RHI_BUFF</v>
      </c>
      <c r="H1315" s="1">
        <f>固定流程!F19</f>
        <v>1</v>
      </c>
      <c r="I1315" s="1">
        <f>INDEX(配置与结果!$B$15:$B$18,F1315)</f>
        <v>2597</v>
      </c>
      <c r="J1315" s="1">
        <f>INDEX(配置与结果!$D$15:$D$18,F1315)</f>
        <v>0.255</v>
      </c>
      <c r="K1315" s="1">
        <f>INDEX(配置与结果!$E$15:$E$18,F1315)</f>
        <v>1.55</v>
      </c>
      <c r="L1315" s="1">
        <f>IF(AV1314=1,IF(M1315&gt;=10,2,1),IF(AV1314=2,IF(AX1314&lt;=1,0,2),0))</f>
        <v>2</v>
      </c>
      <c r="M1315" s="1">
        <f>IF(AND(AV1314=2,AX1314&lt;=1),0,MIN(10,AW1314+IF(AV1314=1,3,0)))</f>
        <v>10</v>
      </c>
      <c r="N1315" s="1">
        <f>IF(AND(AV1314=1,M1315&gt;=10),2,IF(AV1314=2,MAX(0,AX1314-1),0))</f>
        <v>2</v>
      </c>
      <c r="O1315" s="1">
        <f t="shared" si="1851"/>
        <v>6</v>
      </c>
      <c r="P1315" s="1">
        <f>MIN(方案参数!$AI$39,AZ1314+方案参数!$AJ$39+方案参数!$AK$39)</f>
        <v>5</v>
      </c>
      <c r="Q1315" s="1">
        <f t="shared" si="1829"/>
        <v>3</v>
      </c>
      <c r="R1315" s="1">
        <f t="shared" si="1830"/>
        <v>5</v>
      </c>
      <c r="S1315" s="1">
        <f t="shared" si="1831"/>
        <v>2</v>
      </c>
      <c r="T1315" s="1">
        <f t="shared" si="1832"/>
        <v>0</v>
      </c>
      <c r="U1315" s="1">
        <f t="shared" si="1833"/>
        <v>0</v>
      </c>
      <c r="V1315" s="1">
        <f t="shared" si="1834"/>
        <v>2</v>
      </c>
      <c r="W1315" s="1">
        <f t="shared" si="1835"/>
        <v>1</v>
      </c>
      <c r="X1315" s="1">
        <f t="shared" si="1836"/>
        <v>1</v>
      </c>
      <c r="Y1315" s="1">
        <f t="shared" si="1837"/>
        <v>1</v>
      </c>
      <c r="Z1315" s="1">
        <f t="shared" si="1838"/>
        <v>1</v>
      </c>
      <c r="AA1315" s="1">
        <f t="shared" si="1853"/>
        <v>1</v>
      </c>
      <c r="AB1315" s="1">
        <f t="shared" si="1840"/>
        <v>0</v>
      </c>
      <c r="AC1315" s="1">
        <f t="shared" si="1841"/>
        <v>0</v>
      </c>
      <c r="AD1315" s="1">
        <f>ROUNDDOWN(I1315*(1+IF(F1315=3,0.05+方案参数!$Y$39+AA1315*0.12,IF(F1315=4,方案参数!$BZ$39*方案参数!$AS$39,0)))+IF(AND(X1315=1,F1315&lt;&gt;3),方案参数!$CC$39,0)+AC1315*方案参数!$CB$39,0)</f>
        <v>3142</v>
      </c>
      <c r="AE1315" s="1">
        <f>IF(OR(F1315=1,F1315=4),配置与结果!$B$24,配置与结果!$B$25)*MAX(0,1-INDEX(配置与结果!$I$15:$I$18,F1315))</f>
        <v>1000</v>
      </c>
      <c r="AF1315" s="1">
        <f>0</f>
        <v>0</v>
      </c>
      <c r="AG1315" s="1">
        <f>MAX(配置与结果!$B$32,1+INDEX(配置与结果!$F$15:$F$18,F1315)+0+Q1315*方案参数!$W$39+Y1315*(方案参数!$AN$39+MIN(方案参数!$AO$39,P1315*0.03))+AB1315*方案参数!$BZ$39*0.025-配置与结果!$B$28)</f>
        <v>0.97099999999999997</v>
      </c>
      <c r="AH1315" s="1">
        <f>MAX(0,1+INDEX(配置与结果!$G$15:$G$18,F1315)+W1315*方案参数!$AG$39)</f>
        <v>1.3</v>
      </c>
      <c r="AI1315" s="1">
        <f>IF(OR(INDEX(配置与结果!$K$15:$K$18,F1315)=1,G1315="RHI_BERRY"),1+配置与结果!$B$33+P1315*方案参数!$AH$39,1)</f>
        <v>1</v>
      </c>
      <c r="AJ1315" s="1">
        <f>MIN(1,MAX(0,J1315+方案参数!$AB$39-配置与结果!$B$27))</f>
        <v>0.55499999999999994</v>
      </c>
      <c r="AK1315" s="1">
        <f>MAX(1,K1315+IF(F1315=2,0.15+方案参数!$CH$39,0)+BN1315*方案参数!$X$39+R1315*方案参数!$AA$39+0-配置与结果!$B$26+Z1315*(方案参数!$AP$39+MIN(方案参数!$AQ$39,P1315*0.03)))</f>
        <v>1.55</v>
      </c>
      <c r="AL1315" s="7">
        <f>ROUNDDOWN(MAX(AD1315*配置与结果!$B$31,AD1315-AE1315)*AF1315*AG1315*AH1315*AI1315,0)</f>
        <v>0</v>
      </c>
      <c r="AM1315" s="7">
        <f>ROUNDDOWN(MAX(AD1315*配置与结果!$B$31,AD1315-AE1315)*AF1315*AG1315*AH1315*AI1315*AK1315,0)</f>
        <v>0</v>
      </c>
      <c r="AN1315" s="7">
        <f t="shared" si="1817"/>
        <v>0</v>
      </c>
      <c r="AO1315" s="7">
        <f>0</f>
        <v>0</v>
      </c>
      <c r="AP1315" s="7">
        <f>MAX(0,1+INDEX(配置与结果!$J$15:$J$18,F1315)+IF(T1315&gt;0,方案参数!$BY$39,0)-配置与结果!$B$30)</f>
        <v>1</v>
      </c>
      <c r="AQ1315" s="7">
        <f t="shared" si="1818"/>
        <v>0</v>
      </c>
      <c r="AR1315" s="7">
        <f t="shared" si="1819"/>
        <v>0</v>
      </c>
      <c r="AS1315" s="7">
        <f t="shared" si="1820"/>
        <v>0</v>
      </c>
      <c r="AT1315" s="7">
        <f>0</f>
        <v>0</v>
      </c>
      <c r="AU1315" s="7">
        <f t="shared" si="1821"/>
        <v>0</v>
      </c>
      <c r="AV1315" s="1">
        <f t="shared" si="1822"/>
        <v>2</v>
      </c>
      <c r="AW1315" s="1">
        <f t="shared" si="1855"/>
        <v>10</v>
      </c>
      <c r="AX1315" s="1">
        <f t="shared" si="1823"/>
        <v>2</v>
      </c>
      <c r="AY1315" s="1">
        <f t="shared" si="1849"/>
        <v>6</v>
      </c>
      <c r="AZ1315" s="1">
        <f t="shared" si="1824"/>
        <v>5</v>
      </c>
      <c r="BA1315" s="1">
        <f>MIN(6,Q1315+1)</f>
        <v>4</v>
      </c>
      <c r="BB1315" s="1">
        <f t="shared" si="1842"/>
        <v>5</v>
      </c>
      <c r="BC1315" s="1">
        <f t="shared" si="1856"/>
        <v>2</v>
      </c>
      <c r="BD1315" s="1">
        <f t="shared" si="1850"/>
        <v>0</v>
      </c>
      <c r="BE1315" s="1">
        <f t="shared" si="1843"/>
        <v>0</v>
      </c>
      <c r="BF1315" s="1">
        <f>MIN(4,V1315+0)</f>
        <v>2</v>
      </c>
      <c r="BG1315" s="1">
        <f>MAX(W1315,1)</f>
        <v>1</v>
      </c>
      <c r="BH1315" s="1">
        <f t="shared" si="1844"/>
        <v>1</v>
      </c>
      <c r="BI1315" s="1">
        <f>MAX(Y1315,1)</f>
        <v>1</v>
      </c>
      <c r="BJ1315" s="1">
        <f t="shared" si="1854"/>
        <v>1</v>
      </c>
      <c r="BK1315" s="1">
        <f t="shared" si="1854"/>
        <v>1</v>
      </c>
      <c r="BL1315" s="1">
        <f t="shared" si="1816"/>
        <v>0</v>
      </c>
      <c r="BM1315" s="1">
        <f t="shared" si="1814"/>
        <v>0</v>
      </c>
      <c r="BN1315" s="1">
        <f t="shared" si="1845"/>
        <v>1</v>
      </c>
      <c r="BO1315" s="1">
        <f t="shared" si="1846"/>
        <v>1</v>
      </c>
    </row>
    <row r="1316" spans="1:67" ht="30.95" customHeight="1">
      <c r="A1316" s="1">
        <f>36</f>
        <v>36</v>
      </c>
      <c r="B1316" s="1">
        <f>固定流程!A20</f>
        <v>15</v>
      </c>
      <c r="C1316" s="1">
        <f>39</f>
        <v>39</v>
      </c>
      <c r="D1316" s="1">
        <f>1</f>
        <v>1</v>
      </c>
      <c r="E1316" s="1">
        <f>固定流程!C20</f>
        <v>3</v>
      </c>
      <c r="F1316" s="1">
        <f>固定流程!G20</f>
        <v>3</v>
      </c>
      <c r="G1316" s="1" t="str">
        <f>固定流程!H20</f>
        <v>RHI_ATTACK</v>
      </c>
      <c r="H1316" s="1">
        <f>固定流程!F20</f>
        <v>1</v>
      </c>
      <c r="I1316" s="1">
        <f>INDEX(配置与结果!$B$15:$B$18,F1316)</f>
        <v>2597</v>
      </c>
      <c r="J1316" s="1">
        <f>INDEX(配置与结果!$D$15:$D$18,F1316)</f>
        <v>0.255</v>
      </c>
      <c r="K1316" s="1">
        <f>INDEX(配置与结果!$E$15:$E$18,F1316)</f>
        <v>1.55</v>
      </c>
      <c r="L1316" s="1">
        <f t="shared" ref="L1316:L1337" si="1857">AV1315</f>
        <v>2</v>
      </c>
      <c r="M1316" s="1">
        <f t="shared" ref="M1316:M1337" si="1858">AW1315</f>
        <v>10</v>
      </c>
      <c r="N1316" s="1">
        <f t="shared" ref="N1316:N1337" si="1859">AX1315</f>
        <v>2</v>
      </c>
      <c r="O1316" s="1">
        <f t="shared" si="1851"/>
        <v>6</v>
      </c>
      <c r="P1316" s="1">
        <f>MIN(方案参数!$AI$39,AZ1315+0+方案参数!$AK$39)</f>
        <v>5</v>
      </c>
      <c r="Q1316" s="1">
        <f t="shared" si="1829"/>
        <v>4</v>
      </c>
      <c r="R1316" s="1">
        <f t="shared" si="1830"/>
        <v>5</v>
      </c>
      <c r="S1316" s="1">
        <f t="shared" si="1831"/>
        <v>2</v>
      </c>
      <c r="T1316" s="1">
        <f t="shared" si="1832"/>
        <v>0</v>
      </c>
      <c r="U1316" s="1">
        <f t="shared" si="1833"/>
        <v>0</v>
      </c>
      <c r="V1316" s="1">
        <f t="shared" si="1834"/>
        <v>2</v>
      </c>
      <c r="W1316" s="1">
        <f t="shared" si="1835"/>
        <v>1</v>
      </c>
      <c r="X1316" s="1">
        <f t="shared" si="1836"/>
        <v>1</v>
      </c>
      <c r="Y1316" s="1">
        <f t="shared" si="1837"/>
        <v>1</v>
      </c>
      <c r="Z1316" s="1">
        <f t="shared" si="1838"/>
        <v>1</v>
      </c>
      <c r="AA1316" s="1">
        <f>MAX(BK1315,1)</f>
        <v>1</v>
      </c>
      <c r="AB1316" s="1">
        <f t="shared" si="1840"/>
        <v>0</v>
      </c>
      <c r="AC1316" s="1">
        <f t="shared" si="1841"/>
        <v>0</v>
      </c>
      <c r="AD1316" s="1">
        <f>ROUNDDOWN(I1316*(1+IF(F1316=3,0.05+方案参数!$Y$39+AA1316*0.12,IF(F1316=4,方案参数!$BZ$39*方案参数!$AS$39,0)))+IF(AND(X1316=1,F1316&lt;&gt;3),方案参数!$CC$39,0)+AC1316*方案参数!$CB$39,0)</f>
        <v>3142</v>
      </c>
      <c r="AE1316" s="1">
        <f>IF(OR(F1316=1,F1316=4),配置与结果!$B$24,配置与结果!$B$25)*MAX(0,1-INDEX(配置与结果!$I$15:$I$18,F1316))</f>
        <v>1000</v>
      </c>
      <c r="AF1316" s="1">
        <f>4</f>
        <v>4</v>
      </c>
      <c r="AG1316" s="1">
        <f>MAX(配置与结果!$B$32,1+INDEX(配置与结果!$F$15:$F$18,F1316)+0+Q1316*方案参数!$W$39+Y1316*(方案参数!$AN$39+MIN(方案参数!$AO$39,P1316*0.03))+AB1316*方案参数!$BZ$39*0.025-配置与结果!$B$28)</f>
        <v>0.98299999999999998</v>
      </c>
      <c r="AH1316" s="1">
        <f>MAX(0,1+INDEX(配置与结果!$G$15:$G$18,F1316)+W1316*方案参数!$AG$39)</f>
        <v>1.3</v>
      </c>
      <c r="AI1316" s="1">
        <f>IF(OR(INDEX(配置与结果!$K$15:$K$18,F1316)=1,G1316="RHI_BERRY"),1+配置与结果!$B$33+P1316*方案参数!$AH$39,1)</f>
        <v>1</v>
      </c>
      <c r="AJ1316" s="1">
        <f>MIN(1,MAX(0,J1316+方案参数!$AB$39-配置与结果!$B$27))</f>
        <v>0.55499999999999994</v>
      </c>
      <c r="AK1316" s="1">
        <f>MAX(1,K1316+IF(F1316=2,0.15+方案参数!$CH$39,0)+BN1316*方案参数!$X$39+R1316*方案参数!$AA$39+0-配置与结果!$B$26+Z1316*(方案参数!$AP$39+MIN(方案参数!$AQ$39,P1316*0.03)))</f>
        <v>1.55</v>
      </c>
      <c r="AL1316" s="7">
        <f>ROUNDDOWN(MAX(AD1316*配置与结果!$B$31,AD1316-AE1316)*AF1316*AG1316*AH1316*AI1316,0)</f>
        <v>10949</v>
      </c>
      <c r="AM1316" s="7">
        <f>ROUNDDOWN(MAX(AD1316*配置与结果!$B$31,AD1316-AE1316)*AF1316*AG1316*AH1316*AI1316*AK1316,0)</f>
        <v>16971</v>
      </c>
      <c r="AN1316" s="7">
        <f t="shared" si="1817"/>
        <v>14291.21</v>
      </c>
      <c r="AO1316" s="7">
        <f>0</f>
        <v>0</v>
      </c>
      <c r="AP1316" s="7">
        <f>MAX(0,1+INDEX(配置与结果!$J$15:$J$18,F1316)+IF(T1316&gt;0,方案参数!$BY$39,0)-配置与结果!$B$30)</f>
        <v>1</v>
      </c>
      <c r="AQ1316" s="7">
        <f t="shared" si="1818"/>
        <v>0</v>
      </c>
      <c r="AR1316" s="7">
        <f t="shared" si="1819"/>
        <v>0</v>
      </c>
      <c r="AS1316" s="7">
        <f t="shared" si="1820"/>
        <v>0</v>
      </c>
      <c r="AT1316" s="7">
        <f>0</f>
        <v>0</v>
      </c>
      <c r="AU1316" s="7">
        <f t="shared" si="1821"/>
        <v>14291.21</v>
      </c>
      <c r="AV1316" s="1">
        <f t="shared" si="1822"/>
        <v>2</v>
      </c>
      <c r="AW1316" s="1">
        <f t="shared" si="1855"/>
        <v>10</v>
      </c>
      <c r="AX1316" s="1">
        <f t="shared" si="1823"/>
        <v>2</v>
      </c>
      <c r="AY1316" s="1">
        <f t="shared" si="1849"/>
        <v>6</v>
      </c>
      <c r="AZ1316" s="1">
        <f t="shared" si="1824"/>
        <v>5</v>
      </c>
      <c r="BA1316" s="1">
        <f>MIN(6,Q1316+1)</f>
        <v>5</v>
      </c>
      <c r="BB1316" s="1">
        <f t="shared" si="1842"/>
        <v>5</v>
      </c>
      <c r="BC1316" s="1">
        <f t="shared" si="1856"/>
        <v>2</v>
      </c>
      <c r="BD1316" s="1">
        <f t="shared" si="1850"/>
        <v>0</v>
      </c>
      <c r="BE1316" s="1">
        <f t="shared" si="1843"/>
        <v>0</v>
      </c>
      <c r="BF1316" s="1">
        <f>MIN(4,V1316+0)</f>
        <v>2</v>
      </c>
      <c r="BG1316" s="1">
        <f t="shared" ref="BG1316:BG1338" si="1860">MAX(W1316,0)</f>
        <v>1</v>
      </c>
      <c r="BH1316" s="1">
        <f t="shared" si="1844"/>
        <v>1</v>
      </c>
      <c r="BI1316" s="1">
        <f t="shared" ref="BI1316:BI1338" si="1861">MAX(Y1316,0)</f>
        <v>1</v>
      </c>
      <c r="BJ1316" s="1">
        <f>MAX(Z1316,1)</f>
        <v>1</v>
      </c>
      <c r="BK1316" s="1">
        <f>MAX(AA1316,1)</f>
        <v>1</v>
      </c>
      <c r="BL1316" s="1">
        <f t="shared" si="1816"/>
        <v>0</v>
      </c>
      <c r="BM1316" s="1">
        <f t="shared" si="1814"/>
        <v>0</v>
      </c>
      <c r="BN1316" s="1">
        <f t="shared" si="1845"/>
        <v>1</v>
      </c>
      <c r="BO1316" s="1">
        <f t="shared" si="1846"/>
        <v>1</v>
      </c>
    </row>
    <row r="1317" spans="1:67" ht="30.95" customHeight="1">
      <c r="A1317" s="1">
        <f>36</f>
        <v>36</v>
      </c>
      <c r="B1317" s="1">
        <f>固定流程!A21</f>
        <v>16</v>
      </c>
      <c r="C1317" s="1">
        <f>39</f>
        <v>39</v>
      </c>
      <c r="D1317" s="1">
        <f>1</f>
        <v>1</v>
      </c>
      <c r="E1317" s="1">
        <f>固定流程!C21</f>
        <v>3</v>
      </c>
      <c r="F1317" s="1">
        <f>固定流程!G21</f>
        <v>2</v>
      </c>
      <c r="G1317" s="1" t="str">
        <f>固定流程!H21</f>
        <v>37_ULT</v>
      </c>
      <c r="H1317" s="1">
        <f>固定流程!F21</f>
        <v>1</v>
      </c>
      <c r="I1317" s="1">
        <f>INDEX(配置与结果!$B$15:$B$18,F1317)</f>
        <v>2306</v>
      </c>
      <c r="J1317" s="1">
        <f>INDEX(配置与结果!$D$15:$D$18,F1317)</f>
        <v>0.46</v>
      </c>
      <c r="K1317" s="1">
        <f>INDEX(配置与结果!$E$15:$E$18,F1317)</f>
        <v>1.9279999999999999</v>
      </c>
      <c r="L1317" s="1">
        <f t="shared" si="1857"/>
        <v>2</v>
      </c>
      <c r="M1317" s="1">
        <f t="shared" si="1858"/>
        <v>10</v>
      </c>
      <c r="N1317" s="1">
        <f t="shared" si="1859"/>
        <v>2</v>
      </c>
      <c r="O1317" s="1">
        <f t="shared" si="1851"/>
        <v>6</v>
      </c>
      <c r="P1317" s="1">
        <f>MIN(方案参数!$AI$39,AZ1316+0+0)</f>
        <v>5</v>
      </c>
      <c r="Q1317" s="1">
        <f t="shared" si="1829"/>
        <v>5</v>
      </c>
      <c r="R1317" s="1">
        <f t="shared" si="1830"/>
        <v>5</v>
      </c>
      <c r="S1317" s="1">
        <f t="shared" si="1831"/>
        <v>2</v>
      </c>
      <c r="T1317" s="1">
        <f>BD1316+方案参数!$BX$39</f>
        <v>2</v>
      </c>
      <c r="U1317" s="1">
        <f t="shared" si="1833"/>
        <v>0</v>
      </c>
      <c r="V1317" s="1">
        <f t="shared" si="1834"/>
        <v>2</v>
      </c>
      <c r="W1317" s="1">
        <f t="shared" si="1835"/>
        <v>1</v>
      </c>
      <c r="X1317" s="1">
        <f t="shared" si="1836"/>
        <v>1</v>
      </c>
      <c r="Y1317" s="1">
        <f t="shared" si="1837"/>
        <v>1</v>
      </c>
      <c r="Z1317" s="1">
        <f t="shared" si="1838"/>
        <v>1</v>
      </c>
      <c r="AA1317" s="1">
        <f t="shared" ref="AA1317:AA1337" si="1862">MAX(BK1316,0)</f>
        <v>1</v>
      </c>
      <c r="AB1317" s="1">
        <f t="shared" si="1840"/>
        <v>0</v>
      </c>
      <c r="AC1317" s="1">
        <f>MAX(BM1316,1)</f>
        <v>1</v>
      </c>
      <c r="AD1317" s="1">
        <f>ROUNDDOWN(I1317*(1+IF(F1317=3,0.05+方案参数!$Y$39+AA1317*0.12,IF(F1317=4,方案参数!$BZ$39*方案参数!$AS$39,0)))+IF(AND(X1317=1,F1317&lt;&gt;3),方案参数!$CC$39,0)+AC1317*方案参数!$CB$39,0)</f>
        <v>3032</v>
      </c>
      <c r="AE1317" s="1">
        <f>IF(OR(F1317=1,F1317=4),配置与结果!$B$24,配置与结果!$B$25)*MAX(0,1-INDEX(配置与结果!$I$15:$I$18,F1317))</f>
        <v>1000</v>
      </c>
      <c r="AF1317" s="1">
        <f>0</f>
        <v>0</v>
      </c>
      <c r="AG1317" s="1">
        <f>MAX(配置与结果!$B$32,1+INDEX(配置与结果!$F$15:$F$18,F1317)+0+Q1317*方案参数!$W$39+Y1317*(方案参数!$AN$39+MIN(方案参数!$AO$39,P1317*0.03))+AB1317*方案参数!$BZ$39*0.025-配置与结果!$B$28)</f>
        <v>0.96499999999999997</v>
      </c>
      <c r="AH1317" s="1">
        <f>MAX(0,1+INDEX(配置与结果!$G$15:$G$18,F1317)+W1317*方案参数!$AG$39)</f>
        <v>1.3</v>
      </c>
      <c r="AI1317" s="1">
        <f>IF(OR(INDEX(配置与结果!$K$15:$K$18,F1317)=1,G1317="RHI_BERRY"),1+配置与结果!$B$33+P1317*方案参数!$AH$39,1)</f>
        <v>1</v>
      </c>
      <c r="AJ1317" s="1">
        <f>MIN(1,MAX(0,J1317+方案参数!$AB$39-配置与结果!$B$27))</f>
        <v>0.76</v>
      </c>
      <c r="AK1317" s="1">
        <f>MAX(1,K1317+IF(F1317=2,0.15+方案参数!$CH$39,0)+BN1317*方案参数!$X$39+R1317*方案参数!$AA$39+0-配置与结果!$B$26+Z1317*(方案参数!$AP$39+MIN(方案参数!$AQ$39,P1317*0.03)))</f>
        <v>2.198</v>
      </c>
      <c r="AL1317" s="7">
        <f>ROUNDDOWN(MAX(AD1317*配置与结果!$B$31,AD1317-AE1317)*AF1317*AG1317*AH1317*AI1317,0)</f>
        <v>0</v>
      </c>
      <c r="AM1317" s="7">
        <f>ROUNDDOWN(MAX(AD1317*配置与结果!$B$31,AD1317-AE1317)*AF1317*AG1317*AH1317*AI1317*AK1317,0)</f>
        <v>0</v>
      </c>
      <c r="AN1317" s="7">
        <f t="shared" si="1817"/>
        <v>0</v>
      </c>
      <c r="AO1317" s="7">
        <f>0</f>
        <v>0</v>
      </c>
      <c r="AP1317" s="7">
        <f>MAX(0,1+INDEX(配置与结果!$J$15:$J$18,F1317)+IF(T1317&gt;0,方案参数!$BY$39,0)-配置与结果!$B$30)</f>
        <v>2</v>
      </c>
      <c r="AQ1317" s="7">
        <f t="shared" si="1818"/>
        <v>0</v>
      </c>
      <c r="AR1317" s="7">
        <f t="shared" si="1819"/>
        <v>0</v>
      </c>
      <c r="AS1317" s="7">
        <f t="shared" si="1820"/>
        <v>0</v>
      </c>
      <c r="AT1317" s="7">
        <f>0</f>
        <v>0</v>
      </c>
      <c r="AU1317" s="7">
        <f t="shared" si="1821"/>
        <v>0</v>
      </c>
      <c r="AV1317" s="1">
        <f t="shared" si="1822"/>
        <v>2</v>
      </c>
      <c r="AW1317" s="1">
        <f t="shared" si="1855"/>
        <v>10</v>
      </c>
      <c r="AX1317" s="1">
        <f t="shared" si="1823"/>
        <v>2</v>
      </c>
      <c r="AY1317" s="1">
        <f t="shared" si="1849"/>
        <v>6</v>
      </c>
      <c r="AZ1317" s="1">
        <f t="shared" si="1824"/>
        <v>5</v>
      </c>
      <c r="BA1317" s="1">
        <f t="shared" ref="BA1317:BA1337" si="1863">MIN(6,Q1317+0)</f>
        <v>5</v>
      </c>
      <c r="BB1317" s="1">
        <f>MIN(30,R1317+5)</f>
        <v>10</v>
      </c>
      <c r="BC1317" s="1">
        <f t="shared" si="1856"/>
        <v>2</v>
      </c>
      <c r="BD1317" s="1">
        <f t="shared" si="1850"/>
        <v>2</v>
      </c>
      <c r="BE1317" s="1">
        <f t="shared" si="1843"/>
        <v>0</v>
      </c>
      <c r="BF1317" s="1">
        <f>MIN(4,V1317+0)</f>
        <v>2</v>
      </c>
      <c r="BG1317" s="1">
        <f t="shared" si="1860"/>
        <v>1</v>
      </c>
      <c r="BH1317" s="1">
        <f t="shared" si="1844"/>
        <v>1</v>
      </c>
      <c r="BI1317" s="1">
        <f t="shared" si="1861"/>
        <v>1</v>
      </c>
      <c r="BJ1317" s="1">
        <f t="shared" ref="BJ1317:BJ1344" si="1864">MAX(Z1317,0)</f>
        <v>1</v>
      </c>
      <c r="BK1317" s="1">
        <f t="shared" ref="BK1317:BK1344" si="1865">MAX(AA1317,0)</f>
        <v>1</v>
      </c>
      <c r="BL1317" s="1">
        <f t="shared" si="1816"/>
        <v>0</v>
      </c>
      <c r="BM1317" s="1">
        <f>MAX(AC1317,1)</f>
        <v>1</v>
      </c>
      <c r="BN1317" s="1">
        <f t="shared" si="1845"/>
        <v>1</v>
      </c>
      <c r="BO1317" s="1">
        <f t="shared" si="1846"/>
        <v>1</v>
      </c>
    </row>
    <row r="1318" spans="1:67" ht="30.95" customHeight="1">
      <c r="A1318" s="1">
        <f>36</f>
        <v>36</v>
      </c>
      <c r="B1318" s="1">
        <f>固定流程!A22</f>
        <v>17</v>
      </c>
      <c r="C1318" s="1">
        <f>39</f>
        <v>39</v>
      </c>
      <c r="D1318" s="1">
        <f>1</f>
        <v>1</v>
      </c>
      <c r="E1318" s="1">
        <f>固定流程!C22</f>
        <v>3</v>
      </c>
      <c r="F1318" s="1">
        <f>固定流程!G22</f>
        <v>2</v>
      </c>
      <c r="G1318" s="1" t="str">
        <f>固定流程!H22</f>
        <v>37_FOLLOW</v>
      </c>
      <c r="H1318" s="1">
        <f>固定流程!F22</f>
        <v>1</v>
      </c>
      <c r="I1318" s="1">
        <f>INDEX(配置与结果!$B$15:$B$18,F1318)</f>
        <v>2306</v>
      </c>
      <c r="J1318" s="1">
        <f>INDEX(配置与结果!$D$15:$D$18,F1318)</f>
        <v>0.46</v>
      </c>
      <c r="K1318" s="1">
        <f>INDEX(配置与结果!$E$15:$E$18,F1318)</f>
        <v>1.9279999999999999</v>
      </c>
      <c r="L1318" s="1">
        <f t="shared" si="1857"/>
        <v>2</v>
      </c>
      <c r="M1318" s="1">
        <f t="shared" si="1858"/>
        <v>10</v>
      </c>
      <c r="N1318" s="1">
        <f t="shared" si="1859"/>
        <v>2</v>
      </c>
      <c r="O1318" s="1">
        <f t="shared" si="1851"/>
        <v>6</v>
      </c>
      <c r="P1318" s="1">
        <f>MIN(方案参数!$AI$39,AZ1317+0+0)</f>
        <v>5</v>
      </c>
      <c r="Q1318" s="1">
        <f t="shared" si="1829"/>
        <v>5</v>
      </c>
      <c r="R1318" s="1">
        <f t="shared" si="1830"/>
        <v>10</v>
      </c>
      <c r="S1318" s="1">
        <f t="shared" si="1831"/>
        <v>2</v>
      </c>
      <c r="T1318" s="1">
        <f t="shared" ref="T1318:T1337" si="1866">BD1317+0</f>
        <v>2</v>
      </c>
      <c r="U1318" s="1">
        <f t="shared" si="1833"/>
        <v>0</v>
      </c>
      <c r="V1318" s="1">
        <f t="shared" si="1834"/>
        <v>2</v>
      </c>
      <c r="W1318" s="1">
        <f t="shared" si="1835"/>
        <v>1</v>
      </c>
      <c r="X1318" s="1">
        <f t="shared" si="1836"/>
        <v>1</v>
      </c>
      <c r="Y1318" s="1">
        <f t="shared" si="1837"/>
        <v>1</v>
      </c>
      <c r="Z1318" s="1">
        <f t="shared" si="1838"/>
        <v>1</v>
      </c>
      <c r="AA1318" s="1">
        <f t="shared" si="1862"/>
        <v>1</v>
      </c>
      <c r="AB1318" s="1">
        <f t="shared" si="1840"/>
        <v>0</v>
      </c>
      <c r="AC1318" s="1">
        <f t="shared" ref="AC1318:AC1337" si="1867">MAX(BM1317,0)</f>
        <v>1</v>
      </c>
      <c r="AD1318" s="1">
        <f>ROUNDDOWN(I1318*(1+IF(F1318=3,0.05+方案参数!$Y$39+AA1318*0.12,IF(F1318=4,方案参数!$BZ$39*方案参数!$AS$39,0)))+IF(AND(X1318=1,F1318&lt;&gt;3),方案参数!$CC$39,0)+AC1318*方案参数!$CB$39,0)</f>
        <v>3032</v>
      </c>
      <c r="AE1318" s="1">
        <f>IF(OR(F1318=1,F1318=4),配置与结果!$B$24,配置与结果!$B$25)*MAX(0,1-INDEX(配置与结果!$I$15:$I$18,F1318))</f>
        <v>1000</v>
      </c>
      <c r="AF1318" s="1">
        <f>方案参数!$BV$39</f>
        <v>3</v>
      </c>
      <c r="AG1318" s="1">
        <f>MAX(配置与结果!$B$32,1+INDEX(配置与结果!$F$15:$F$18,F1318)+0+Q1318*方案参数!$W$39+Y1318*(方案参数!$AN$39+MIN(方案参数!$AO$39,P1318*0.03))+AB1318*方案参数!$BZ$39*0.025-配置与结果!$B$28)</f>
        <v>0.96499999999999997</v>
      </c>
      <c r="AH1318" s="1">
        <f>MAX(0,1+INDEX(配置与结果!$G$15:$G$18,F1318)+W1318*方案参数!$AG$39)</f>
        <v>1.3</v>
      </c>
      <c r="AI1318" s="1">
        <f>IF(OR(INDEX(配置与结果!$K$15:$K$18,F1318)=1,G1318="RHI_BERRY"),1+配置与结果!$B$33+P1318*方案参数!$AH$39,1)</f>
        <v>1</v>
      </c>
      <c r="AJ1318" s="1">
        <f>MIN(1,MAX(0,J1318+方案参数!$AB$39-配置与结果!$B$27))</f>
        <v>0.76</v>
      </c>
      <c r="AK1318" s="1">
        <f>MAX(1,K1318+IF(F1318=2,0.15+方案参数!$CH$39,0)+BN1318*方案参数!$X$39+R1318*方案参数!$AA$39+0-配置与结果!$B$26+Z1318*(方案参数!$AP$39+MIN(方案参数!$AQ$39,P1318*0.03)))</f>
        <v>2.218</v>
      </c>
      <c r="AL1318" s="7">
        <f>ROUNDDOWN(MAX(AD1318*配置与结果!$B$31,AD1318-AE1318)*AF1318*AG1318*AH1318*AI1318,0)</f>
        <v>7647</v>
      </c>
      <c r="AM1318" s="7">
        <f>ROUNDDOWN(MAX(AD1318*配置与结果!$B$31,AD1318-AE1318)*AF1318*AG1318*AH1318*AI1318*AK1318,0)</f>
        <v>16962</v>
      </c>
      <c r="AN1318" s="7">
        <f t="shared" si="1817"/>
        <v>14726.400000000001</v>
      </c>
      <c r="AO1318" s="7">
        <f>方案参数!$BW$39</f>
        <v>1</v>
      </c>
      <c r="AP1318" s="7">
        <f>MAX(0,1+INDEX(配置与结果!$J$15:$J$18,F1318)+IF(T1318&gt;0,方案参数!$BY$39,0)-配置与结果!$B$30)</f>
        <v>2</v>
      </c>
      <c r="AQ1318" s="7">
        <f t="shared" si="1818"/>
        <v>6064</v>
      </c>
      <c r="AR1318" s="7">
        <f t="shared" si="1819"/>
        <v>13449</v>
      </c>
      <c r="AS1318" s="7">
        <f t="shared" si="1820"/>
        <v>11676.6</v>
      </c>
      <c r="AT1318" s="7">
        <f>0</f>
        <v>0</v>
      </c>
      <c r="AU1318" s="7">
        <f t="shared" si="1821"/>
        <v>26403</v>
      </c>
      <c r="AV1318" s="1">
        <f t="shared" si="1822"/>
        <v>2</v>
      </c>
      <c r="AW1318" s="1">
        <f t="shared" si="1855"/>
        <v>10</v>
      </c>
      <c r="AX1318" s="1">
        <f t="shared" si="1823"/>
        <v>2</v>
      </c>
      <c r="AY1318" s="1">
        <f t="shared" si="1849"/>
        <v>6</v>
      </c>
      <c r="AZ1318" s="1">
        <f t="shared" si="1824"/>
        <v>5</v>
      </c>
      <c r="BA1318" s="1">
        <f t="shared" si="1863"/>
        <v>5</v>
      </c>
      <c r="BB1318" s="1">
        <f>MIN(30,R1318+0)</f>
        <v>10</v>
      </c>
      <c r="BC1318" s="1">
        <f t="shared" si="1856"/>
        <v>2</v>
      </c>
      <c r="BD1318" s="1">
        <f t="shared" si="1850"/>
        <v>1</v>
      </c>
      <c r="BE1318" s="1">
        <f t="shared" si="1843"/>
        <v>0</v>
      </c>
      <c r="BF1318" s="1">
        <f>MIN(4,V1318+1)</f>
        <v>3</v>
      </c>
      <c r="BG1318" s="1">
        <f t="shared" si="1860"/>
        <v>1</v>
      </c>
      <c r="BH1318" s="1">
        <f t="shared" si="1844"/>
        <v>1</v>
      </c>
      <c r="BI1318" s="1">
        <f t="shared" si="1861"/>
        <v>1</v>
      </c>
      <c r="BJ1318" s="1">
        <f t="shared" si="1864"/>
        <v>1</v>
      </c>
      <c r="BK1318" s="1">
        <f t="shared" si="1865"/>
        <v>1</v>
      </c>
      <c r="BL1318" s="1">
        <f t="shared" si="1816"/>
        <v>0</v>
      </c>
      <c r="BM1318" s="1">
        <f t="shared" ref="BM1318:BM1352" si="1868">MAX(AC1318,0)</f>
        <v>1</v>
      </c>
      <c r="BN1318" s="1">
        <f t="shared" si="1845"/>
        <v>1</v>
      </c>
      <c r="BO1318" s="1">
        <f t="shared" si="1846"/>
        <v>1</v>
      </c>
    </row>
    <row r="1319" spans="1:67" ht="30.95" customHeight="1">
      <c r="A1319" s="1">
        <f>36</f>
        <v>36</v>
      </c>
      <c r="B1319" s="1">
        <f>固定流程!A23</f>
        <v>18</v>
      </c>
      <c r="C1319" s="1">
        <f>39</f>
        <v>39</v>
      </c>
      <c r="D1319" s="1">
        <f>1</f>
        <v>1</v>
      </c>
      <c r="E1319" s="1">
        <f>固定流程!C23</f>
        <v>3</v>
      </c>
      <c r="F1319" s="1">
        <f>固定流程!G23</f>
        <v>4</v>
      </c>
      <c r="G1319" s="1" t="str">
        <f>固定流程!H23</f>
        <v>J_HARD</v>
      </c>
      <c r="H1319" s="1">
        <f>固定流程!F23</f>
        <v>1</v>
      </c>
      <c r="I1319" s="1">
        <f>INDEX(配置与结果!$B$15:$B$18,F1319)</f>
        <v>1906</v>
      </c>
      <c r="J1319" s="1">
        <f>INDEX(配置与结果!$D$15:$D$18,F1319)</f>
        <v>0.36699999999999999</v>
      </c>
      <c r="K1319" s="1">
        <f>INDEX(配置与结果!$E$15:$E$18,F1319)</f>
        <v>1.7170000000000001</v>
      </c>
      <c r="L1319" s="1">
        <f t="shared" si="1857"/>
        <v>2</v>
      </c>
      <c r="M1319" s="1">
        <f t="shared" si="1858"/>
        <v>10</v>
      </c>
      <c r="N1319" s="1">
        <f t="shared" si="1859"/>
        <v>2</v>
      </c>
      <c r="O1319" s="1">
        <f t="shared" si="1851"/>
        <v>6</v>
      </c>
      <c r="P1319" s="1">
        <f>MIN(方案参数!$AI$39,AZ1318+0+0)</f>
        <v>5</v>
      </c>
      <c r="Q1319" s="1">
        <f t="shared" si="1829"/>
        <v>5</v>
      </c>
      <c r="R1319" s="1">
        <f t="shared" si="1830"/>
        <v>10</v>
      </c>
      <c r="S1319" s="1">
        <f t="shared" si="1831"/>
        <v>2</v>
      </c>
      <c r="T1319" s="1">
        <f t="shared" si="1866"/>
        <v>1</v>
      </c>
      <c r="U1319" s="1">
        <f t="shared" si="1833"/>
        <v>0</v>
      </c>
      <c r="V1319" s="1">
        <f t="shared" si="1834"/>
        <v>3</v>
      </c>
      <c r="W1319" s="1">
        <f t="shared" si="1835"/>
        <v>1</v>
      </c>
      <c r="X1319" s="1">
        <f t="shared" si="1836"/>
        <v>1</v>
      </c>
      <c r="Y1319" s="1">
        <f t="shared" si="1837"/>
        <v>1</v>
      </c>
      <c r="Z1319" s="1">
        <f t="shared" si="1838"/>
        <v>1</v>
      </c>
      <c r="AA1319" s="1">
        <f t="shared" si="1862"/>
        <v>1</v>
      </c>
      <c r="AB1319" s="1">
        <f t="shared" si="1840"/>
        <v>0</v>
      </c>
      <c r="AC1319" s="1">
        <f t="shared" si="1867"/>
        <v>1</v>
      </c>
      <c r="AD1319" s="1">
        <f>ROUNDDOWN(I1319*(1+IF(F1319=3,0.05+方案参数!$Y$39+AA1319*0.12,IF(F1319=4,方案参数!$BZ$39*方案参数!$AS$39,0)))+IF(AND(X1319=1,F1319&lt;&gt;3),方案参数!$CC$39,0)+AC1319*方案参数!$CB$39,0)</f>
        <v>3299</v>
      </c>
      <c r="AE1319" s="1">
        <f>IF(OR(F1319=1,F1319=4),配置与结果!$B$24,配置与结果!$B$25)*MAX(0,1-INDEX(配置与结果!$I$15:$I$18,F1319))</f>
        <v>1200</v>
      </c>
      <c r="AF1319" s="1">
        <f>3.6*IF(H1319=1,1,IF(H1319=2,1.5,2.5))</f>
        <v>3.6</v>
      </c>
      <c r="AG1319" s="1">
        <f>MAX(配置与结果!$B$32,1+INDEX(配置与结果!$F$15:$F$18,F1319)+0.08+Q1319*方案参数!$W$39+Y1319*(方案参数!$AN$39+MIN(方案参数!$AO$39,P1319*0.03))+AB1319*方案参数!$BZ$39*0.025+0.1+IF(方案参数!$BZ$39&gt;=30,方案参数!$BZ$39*0.01,0)-配置与结果!$B$28)</f>
        <v>1.5150000000000001</v>
      </c>
      <c r="AH1319" s="1">
        <f>MAX(0,1+INDEX(配置与结果!$G$15:$G$18,F1319)+W1319*方案参数!$AG$39)</f>
        <v>1.3</v>
      </c>
      <c r="AI1319" s="1">
        <f>IF(OR(INDEX(配置与结果!$K$15:$K$18,F1319)=1,G1319="RHI_BERRY"),1+配置与结果!$B$33+P1319*方案参数!$AH$39,1)</f>
        <v>1</v>
      </c>
      <c r="AJ1319" s="1">
        <f>MIN(1,MAX(0,J1319+方案参数!$AB$39-配置与结果!$B$27))</f>
        <v>0.66700000000000004</v>
      </c>
      <c r="AK1319" s="1">
        <f>MAX(1,K1319+IF(F1319=2,0.15+方案参数!$CH$39,0)+BN1319*方案参数!$X$39+R1319*方案参数!$AA$39+0-配置与结果!$B$26+Z1319*(方案参数!$AP$39+MIN(方案参数!$AQ$39,P1319*0.03)))</f>
        <v>1.7370000000000003</v>
      </c>
      <c r="AL1319" s="7">
        <f>ROUNDDOWN(MAX(AD1319*配置与结果!$B$31,AD1319-AE1319)*AF1319*AG1319*AH1319*AI1319,0)</f>
        <v>14882</v>
      </c>
      <c r="AM1319" s="7">
        <f>ROUNDDOWN(MAX(AD1319*配置与结果!$B$31,AD1319-AE1319)*AF1319*AG1319*AH1319*AI1319*AK1319,0)</f>
        <v>25850</v>
      </c>
      <c r="AN1319" s="7">
        <f t="shared" si="1817"/>
        <v>22197.655999999999</v>
      </c>
      <c r="AO1319" s="7">
        <f>0</f>
        <v>0</v>
      </c>
      <c r="AP1319" s="7">
        <f>MAX(0,1+INDEX(配置与结果!$J$15:$J$18,F1319)+IF(T1319&gt;0,方案参数!$BY$39,0)-配置与结果!$B$30)</f>
        <v>2</v>
      </c>
      <c r="AQ1319" s="7">
        <f t="shared" si="1818"/>
        <v>0</v>
      </c>
      <c r="AR1319" s="7">
        <f t="shared" si="1819"/>
        <v>0</v>
      </c>
      <c r="AS1319" s="7">
        <f t="shared" si="1820"/>
        <v>0</v>
      </c>
      <c r="AT1319" s="7">
        <f>0</f>
        <v>0</v>
      </c>
      <c r="AU1319" s="7">
        <f t="shared" si="1821"/>
        <v>22197.655999999999</v>
      </c>
      <c r="AV1319" s="1">
        <f t="shared" si="1822"/>
        <v>2</v>
      </c>
      <c r="AW1319" s="1">
        <f t="shared" si="1855"/>
        <v>10</v>
      </c>
      <c r="AX1319" s="1">
        <f t="shared" si="1823"/>
        <v>2</v>
      </c>
      <c r="AY1319" s="1">
        <f t="shared" si="1849"/>
        <v>6</v>
      </c>
      <c r="AZ1319" s="1">
        <f t="shared" si="1824"/>
        <v>5</v>
      </c>
      <c r="BA1319" s="1">
        <f t="shared" si="1863"/>
        <v>5</v>
      </c>
      <c r="BB1319" s="1">
        <f>MIN(30,R1319+0)</f>
        <v>10</v>
      </c>
      <c r="BC1319" s="1">
        <f>MIN(3,S1319+1)</f>
        <v>3</v>
      </c>
      <c r="BD1319" s="1">
        <f t="shared" si="1850"/>
        <v>1</v>
      </c>
      <c r="BE1319" s="1">
        <f t="shared" si="1843"/>
        <v>0</v>
      </c>
      <c r="BF1319" s="1">
        <f>MIN(4,V1319+0)</f>
        <v>3</v>
      </c>
      <c r="BG1319" s="1">
        <f t="shared" si="1860"/>
        <v>1</v>
      </c>
      <c r="BH1319" s="1">
        <f t="shared" si="1844"/>
        <v>1</v>
      </c>
      <c r="BI1319" s="1">
        <f t="shared" si="1861"/>
        <v>1</v>
      </c>
      <c r="BJ1319" s="1">
        <f t="shared" si="1864"/>
        <v>1</v>
      </c>
      <c r="BK1319" s="1">
        <f t="shared" si="1865"/>
        <v>1</v>
      </c>
      <c r="BL1319" s="1">
        <f t="shared" si="1816"/>
        <v>0</v>
      </c>
      <c r="BM1319" s="1">
        <f t="shared" si="1868"/>
        <v>1</v>
      </c>
      <c r="BN1319" s="1">
        <f t="shared" si="1845"/>
        <v>1</v>
      </c>
      <c r="BO1319" s="1">
        <f t="shared" si="1846"/>
        <v>1</v>
      </c>
    </row>
    <row r="1320" spans="1:67" ht="30.95" customHeight="1">
      <c r="A1320" s="1">
        <f>36</f>
        <v>36</v>
      </c>
      <c r="B1320" s="1">
        <f>固定流程!A24</f>
        <v>19</v>
      </c>
      <c r="C1320" s="1">
        <f>39</f>
        <v>39</v>
      </c>
      <c r="D1320" s="1">
        <f>1</f>
        <v>1</v>
      </c>
      <c r="E1320" s="1">
        <f>固定流程!C24</f>
        <v>3</v>
      </c>
      <c r="F1320" s="1">
        <f>固定流程!G24</f>
        <v>4</v>
      </c>
      <c r="G1320" s="1" t="str">
        <f>固定流程!H24</f>
        <v>J_ULT</v>
      </c>
      <c r="H1320" s="1">
        <f>固定流程!F24</f>
        <v>1</v>
      </c>
      <c r="I1320" s="1">
        <f>INDEX(配置与结果!$B$15:$B$18,F1320)</f>
        <v>1906</v>
      </c>
      <c r="J1320" s="1">
        <f>INDEX(配置与结果!$D$15:$D$18,F1320)</f>
        <v>0.36699999999999999</v>
      </c>
      <c r="K1320" s="1">
        <f>INDEX(配置与结果!$E$15:$E$18,F1320)</f>
        <v>1.7170000000000001</v>
      </c>
      <c r="L1320" s="1">
        <f t="shared" si="1857"/>
        <v>2</v>
      </c>
      <c r="M1320" s="1">
        <f t="shared" si="1858"/>
        <v>10</v>
      </c>
      <c r="N1320" s="1">
        <f t="shared" si="1859"/>
        <v>2</v>
      </c>
      <c r="O1320" s="1">
        <f t="shared" si="1851"/>
        <v>6</v>
      </c>
      <c r="P1320" s="1">
        <f>MIN(方案参数!$AI$39,AZ1319+0+0)</f>
        <v>5</v>
      </c>
      <c r="Q1320" s="1">
        <f t="shared" si="1829"/>
        <v>5</v>
      </c>
      <c r="R1320" s="1">
        <f t="shared" si="1830"/>
        <v>10</v>
      </c>
      <c r="S1320" s="1">
        <f t="shared" si="1831"/>
        <v>3</v>
      </c>
      <c r="T1320" s="1">
        <f t="shared" si="1866"/>
        <v>1</v>
      </c>
      <c r="U1320" s="1">
        <f t="shared" si="1833"/>
        <v>0</v>
      </c>
      <c r="V1320" s="1">
        <f t="shared" si="1834"/>
        <v>3</v>
      </c>
      <c r="W1320" s="1">
        <f t="shared" si="1835"/>
        <v>1</v>
      </c>
      <c r="X1320" s="1">
        <f t="shared" si="1836"/>
        <v>1</v>
      </c>
      <c r="Y1320" s="1">
        <f t="shared" si="1837"/>
        <v>1</v>
      </c>
      <c r="Z1320" s="1">
        <f t="shared" si="1838"/>
        <v>1</v>
      </c>
      <c r="AA1320" s="1">
        <f t="shared" si="1862"/>
        <v>1</v>
      </c>
      <c r="AB1320" s="1">
        <f t="shared" si="1840"/>
        <v>0</v>
      </c>
      <c r="AC1320" s="1">
        <f t="shared" si="1867"/>
        <v>1</v>
      </c>
      <c r="AD1320" s="1">
        <f>ROUNDDOWN(I1320*(1+IF(F1320=3,0.05+方案参数!$Y$39+AA1320*0.12,IF(F1320=4,方案参数!$BZ$39*方案参数!$AS$39,0)))+IF(AND(X1320=1,F1320&lt;&gt;3),方案参数!$CC$39,0)+AC1320*方案参数!$CB$39,0)</f>
        <v>3299</v>
      </c>
      <c r="AE1320" s="1">
        <f>IF(OR(F1320=1,F1320=4),配置与结果!$B$24,配置与结果!$B$25)*MAX(0,1-INDEX(配置与结果!$I$15:$I$18,F1320))</f>
        <v>1200</v>
      </c>
      <c r="AF1320" s="1">
        <f>方案参数!$AT$39+MAX(0,配置与结果!$H$26+方案参数!$BZ$39-30)*方案参数!$AU$39*配置与结果!$H$27</f>
        <v>42</v>
      </c>
      <c r="AG1320" s="1">
        <f>MAX(配置与结果!$B$32,1+INDEX(配置与结果!$F$15:$F$18,F1320)+0.08+Q1320*方案参数!$W$39+Y1320*(方案参数!$AN$39+MIN(方案参数!$AO$39,P1320*0.03))+AB1320*方案参数!$BZ$39*0.025-配置与结果!$B$28)</f>
        <v>1.0649999999999999</v>
      </c>
      <c r="AH1320" s="1">
        <f>MAX(0,1+INDEX(配置与结果!$H$15:$H$18,F1320)+W1320*方案参数!$AG$39+S1320*方案参数!$Z$39)</f>
        <v>1.42</v>
      </c>
      <c r="AI1320" s="1">
        <f>IF(OR(INDEX(配置与结果!$K$15:$K$18,F1320)=1,G1320="RHI_BERRY"),1+配置与结果!$B$33+P1320*方案参数!$AH$39,1)</f>
        <v>1</v>
      </c>
      <c r="AJ1320" s="1">
        <f>MIN(1,MAX(0,J1320+方案参数!$AB$39-配置与结果!$B$27))</f>
        <v>0.66700000000000004</v>
      </c>
      <c r="AK1320" s="1">
        <f>MAX(1,K1320+IF(F1320=2,0.15+方案参数!$CH$39,0)+BN1320*方案参数!$X$39+R1320*方案参数!$AA$39+0-配置与结果!$B$26+Z1320*(方案参数!$AP$39+MIN(方案参数!$AQ$39,P1320*0.03)))</f>
        <v>1.7370000000000003</v>
      </c>
      <c r="AL1320" s="7">
        <f>ROUNDDOWN(MAX(AD1320*配置与结果!$B$31,AD1320-AE1320)*AF1320*AG1320*AH1320*AI1320,0)</f>
        <v>133321</v>
      </c>
      <c r="AM1320" s="7">
        <f>ROUNDDOWN(MAX(AD1320*配置与结果!$B$31,AD1320-AE1320)*AF1320*AG1320*AH1320*AI1320*AK1320,0)</f>
        <v>231579</v>
      </c>
      <c r="AN1320" s="7">
        <f t="shared" si="1817"/>
        <v>198859.08600000001</v>
      </c>
      <c r="AO1320" s="7">
        <f>0</f>
        <v>0</v>
      </c>
      <c r="AP1320" s="7">
        <f>MAX(0,1+INDEX(配置与结果!$J$15:$J$18,F1320)+IF(T1320&gt;0,方案参数!$BY$39,0)-配置与结果!$B$30)</f>
        <v>2</v>
      </c>
      <c r="AQ1320" s="7">
        <f t="shared" si="1818"/>
        <v>0</v>
      </c>
      <c r="AR1320" s="7">
        <f t="shared" si="1819"/>
        <v>0</v>
      </c>
      <c r="AS1320" s="7">
        <f t="shared" si="1820"/>
        <v>0</v>
      </c>
      <c r="AT1320" s="7">
        <f>0</f>
        <v>0</v>
      </c>
      <c r="AU1320" s="7">
        <f t="shared" si="1821"/>
        <v>198859.08600000001</v>
      </c>
      <c r="AV1320" s="1">
        <f t="shared" si="1822"/>
        <v>2</v>
      </c>
      <c r="AW1320" s="1">
        <f t="shared" si="1855"/>
        <v>10</v>
      </c>
      <c r="AX1320" s="1">
        <f t="shared" si="1823"/>
        <v>2</v>
      </c>
      <c r="AY1320" s="1">
        <f t="shared" si="1849"/>
        <v>6</v>
      </c>
      <c r="AZ1320" s="1">
        <f t="shared" si="1824"/>
        <v>5</v>
      </c>
      <c r="BA1320" s="1">
        <f t="shared" si="1863"/>
        <v>5</v>
      </c>
      <c r="BB1320" s="1">
        <f>MIN(30,R1320+5)</f>
        <v>15</v>
      </c>
      <c r="BC1320" s="1">
        <f t="shared" ref="BC1320:BC1343" si="1869">MIN(3,S1320+0)</f>
        <v>3</v>
      </c>
      <c r="BD1320" s="1">
        <f t="shared" si="1850"/>
        <v>1</v>
      </c>
      <c r="BE1320" s="1">
        <f t="shared" si="1843"/>
        <v>0</v>
      </c>
      <c r="BF1320" s="1">
        <f>MIN(4,V1320+0)</f>
        <v>3</v>
      </c>
      <c r="BG1320" s="1">
        <f t="shared" si="1860"/>
        <v>1</v>
      </c>
      <c r="BH1320" s="1">
        <f t="shared" si="1844"/>
        <v>1</v>
      </c>
      <c r="BI1320" s="1">
        <f t="shared" si="1861"/>
        <v>1</v>
      </c>
      <c r="BJ1320" s="1">
        <f t="shared" si="1864"/>
        <v>1</v>
      </c>
      <c r="BK1320" s="1">
        <f t="shared" si="1865"/>
        <v>1</v>
      </c>
      <c r="BL1320" s="1">
        <f>MAX(AB1320,1)</f>
        <v>1</v>
      </c>
      <c r="BM1320" s="1">
        <f t="shared" si="1868"/>
        <v>1</v>
      </c>
      <c r="BN1320" s="1">
        <f t="shared" si="1845"/>
        <v>1</v>
      </c>
      <c r="BO1320" s="1">
        <f t="shared" si="1846"/>
        <v>1</v>
      </c>
    </row>
    <row r="1321" spans="1:67" ht="30.95" customHeight="1">
      <c r="A1321" s="1">
        <f>36</f>
        <v>36</v>
      </c>
      <c r="B1321" s="1">
        <f>固定流程!A25</f>
        <v>20</v>
      </c>
      <c r="C1321" s="1">
        <f>39</f>
        <v>39</v>
      </c>
      <c r="D1321" s="1">
        <f>1</f>
        <v>1</v>
      </c>
      <c r="E1321" s="1">
        <f>固定流程!C25</f>
        <v>3</v>
      </c>
      <c r="F1321" s="1">
        <f>固定流程!G25</f>
        <v>1</v>
      </c>
      <c r="G1321" s="1" t="str">
        <f>固定流程!H25</f>
        <v>LILYA_ULT</v>
      </c>
      <c r="H1321" s="1">
        <f>固定流程!F25</f>
        <v>1</v>
      </c>
      <c r="I1321" s="1">
        <f>INDEX(配置与结果!$B$15:$B$18,F1321)</f>
        <v>2296</v>
      </c>
      <c r="J1321" s="1">
        <f>INDEX(配置与结果!$D$15:$D$18,F1321)</f>
        <v>0.7</v>
      </c>
      <c r="K1321" s="1">
        <f>INDEX(配置与结果!$E$15:$E$18,F1321)</f>
        <v>2.0249999999999999</v>
      </c>
      <c r="L1321" s="1">
        <f t="shared" si="1857"/>
        <v>2</v>
      </c>
      <c r="M1321" s="1">
        <f t="shared" si="1858"/>
        <v>10</v>
      </c>
      <c r="N1321" s="1">
        <f t="shared" si="1859"/>
        <v>2</v>
      </c>
      <c r="O1321" s="1">
        <f t="shared" si="1851"/>
        <v>6</v>
      </c>
      <c r="P1321" s="1">
        <f>MIN(方案参数!$AI$39,AZ1320+0+0)</f>
        <v>5</v>
      </c>
      <c r="Q1321" s="1">
        <f t="shared" si="1829"/>
        <v>5</v>
      </c>
      <c r="R1321" s="1">
        <f t="shared" si="1830"/>
        <v>15</v>
      </c>
      <c r="S1321" s="1">
        <f t="shared" si="1831"/>
        <v>3</v>
      </c>
      <c r="T1321" s="1">
        <f t="shared" si="1866"/>
        <v>1</v>
      </c>
      <c r="U1321" s="1">
        <f t="shared" si="1833"/>
        <v>0</v>
      </c>
      <c r="V1321" s="1">
        <f t="shared" si="1834"/>
        <v>3</v>
      </c>
      <c r="W1321" s="1">
        <f t="shared" si="1835"/>
        <v>1</v>
      </c>
      <c r="X1321" s="1">
        <f t="shared" si="1836"/>
        <v>1</v>
      </c>
      <c r="Y1321" s="1">
        <f t="shared" si="1837"/>
        <v>1</v>
      </c>
      <c r="Z1321" s="1">
        <f t="shared" si="1838"/>
        <v>1</v>
      </c>
      <c r="AA1321" s="1">
        <f t="shared" si="1862"/>
        <v>1</v>
      </c>
      <c r="AB1321" s="1">
        <f t="shared" si="1840"/>
        <v>1</v>
      </c>
      <c r="AC1321" s="1">
        <f t="shared" si="1867"/>
        <v>1</v>
      </c>
      <c r="AD1321" s="1">
        <f>ROUNDDOWN(I1321*(1+IF(F1321=3,0.05+方案参数!$Y$39+AA1321*0.12,IF(F1321=4,方案参数!$BZ$39*方案参数!$AS$39,0)))+IF(AND(X1321=1,F1321&lt;&gt;3),方案参数!$CC$39,0)+AC1321*方案参数!$CB$39,0)</f>
        <v>3022</v>
      </c>
      <c r="AE1321" s="1">
        <f>IF(OR(F1321=1,F1321=4),配置与结果!$B$24,配置与结果!$B$25)*MAX(0,1-INDEX(配置与结果!$I$15:$I$18,F1321)+IF(O1321&gt;=6,方案参数!$BK$39,0))</f>
        <v>1440</v>
      </c>
      <c r="AF1321" s="1">
        <f>方案参数!$BG$39+IF(O1321&gt;=6,方案参数!$BH$39,0)</f>
        <v>36</v>
      </c>
      <c r="AG1321" s="1">
        <f>MAX(配置与结果!$B$32,1+INDEX(配置与结果!$F$15:$F$18,F1321)+0.08+方案参数!$CD$39+Q1321*方案参数!$W$39+Y1321*(方案参数!$AN$39+MIN(方案参数!$AO$39,P1321*0.03))+AB1321*方案参数!$BZ$39*0.025-配置与结果!$B$28)</f>
        <v>2.1750000000000003</v>
      </c>
      <c r="AH1321" s="1">
        <f>MAX(0,1+INDEX(配置与结果!$H$15:$H$18,F1321)+W1321*方案参数!$AG$39+O1321*方案参数!$BF$39+IF(O1321&gt;=6,方案参数!$BI$39,0))</f>
        <v>2.4500000000000002</v>
      </c>
      <c r="AI1321" s="1">
        <f>IF(OR(INDEX(配置与结果!$K$15:$K$18,F1321)=1,G1321="RHI_BERRY"),1+配置与结果!$B$33+P1321*方案参数!$AH$39,1)</f>
        <v>1</v>
      </c>
      <c r="AJ1321" s="1">
        <f>MIN(1,MAX(0,J1321+方案参数!$AB$39-配置与结果!$B$27))</f>
        <v>1</v>
      </c>
      <c r="AK1321" s="1">
        <f>MAX(1,K1321+IF(F1321=2,0.15+方案参数!$CH$39,0)+BN1321*方案参数!$X$39+R1321*方案参数!$AA$39+IF(O1321&gt;=6,方案参数!$BJ$39,0)-配置与结果!$B$26+Z1321*(方案参数!$AP$39+MIN(方案参数!$AQ$39,P1321*0.03)))</f>
        <v>3.0649999999999999</v>
      </c>
      <c r="AL1321" s="7">
        <f>ROUNDDOWN(MAX(AD1321*配置与结果!$B$31,AD1321-AE1321)*AF1321*AG1321*AH1321*AI1321,0)</f>
        <v>303482</v>
      </c>
      <c r="AM1321" s="7">
        <f>ROUNDDOWN(MAX(AD1321*配置与结果!$B$31,AD1321-AE1321)*AF1321*AG1321*AH1321*AI1321*AK1321,0)</f>
        <v>930175</v>
      </c>
      <c r="AN1321" s="7">
        <f t="shared" si="1817"/>
        <v>930175</v>
      </c>
      <c r="AO1321" s="7">
        <f>0</f>
        <v>0</v>
      </c>
      <c r="AP1321" s="7">
        <f>MAX(0,1+INDEX(配置与结果!$J$15:$J$18,F1321)+IF(T1321&gt;0,方案参数!$BY$39,0)-配置与结果!$B$30)</f>
        <v>2</v>
      </c>
      <c r="AQ1321" s="7">
        <f t="shared" si="1818"/>
        <v>0</v>
      </c>
      <c r="AR1321" s="7">
        <f t="shared" si="1819"/>
        <v>0</v>
      </c>
      <c r="AS1321" s="7">
        <f t="shared" si="1820"/>
        <v>0</v>
      </c>
      <c r="AT1321" s="7">
        <f>0</f>
        <v>0</v>
      </c>
      <c r="AU1321" s="7">
        <f t="shared" si="1821"/>
        <v>930175</v>
      </c>
      <c r="AV1321" s="1">
        <f t="shared" si="1822"/>
        <v>2</v>
      </c>
      <c r="AW1321" s="1">
        <f t="shared" si="1855"/>
        <v>10</v>
      </c>
      <c r="AX1321" s="1">
        <f t="shared" si="1823"/>
        <v>2</v>
      </c>
      <c r="AY1321" s="1">
        <f>MIN(20,MAX(0,O1321+0+0-IF(O1321&gt;=6,6,0)))</f>
        <v>0</v>
      </c>
      <c r="AZ1321" s="1">
        <f t="shared" si="1824"/>
        <v>5</v>
      </c>
      <c r="BA1321" s="1">
        <f t="shared" si="1863"/>
        <v>5</v>
      </c>
      <c r="BB1321" s="1">
        <f>MIN(30,R1321+5)</f>
        <v>20</v>
      </c>
      <c r="BC1321" s="1">
        <f t="shared" si="1869"/>
        <v>3</v>
      </c>
      <c r="BD1321" s="1">
        <f t="shared" si="1850"/>
        <v>1</v>
      </c>
      <c r="BE1321" s="1">
        <f t="shared" si="1843"/>
        <v>0</v>
      </c>
      <c r="BF1321" s="1">
        <f>MIN(4,V1321+0)</f>
        <v>3</v>
      </c>
      <c r="BG1321" s="1">
        <f t="shared" si="1860"/>
        <v>1</v>
      </c>
      <c r="BH1321" s="1">
        <f t="shared" si="1844"/>
        <v>1</v>
      </c>
      <c r="BI1321" s="1">
        <f t="shared" si="1861"/>
        <v>1</v>
      </c>
      <c r="BJ1321" s="1">
        <f t="shared" si="1864"/>
        <v>1</v>
      </c>
      <c r="BK1321" s="1">
        <f t="shared" si="1865"/>
        <v>1</v>
      </c>
      <c r="BL1321" s="1">
        <f t="shared" ref="BL1321:BL1355" si="1870">MAX(AB1321,0)</f>
        <v>1</v>
      </c>
      <c r="BM1321" s="1">
        <f t="shared" si="1868"/>
        <v>1</v>
      </c>
      <c r="BN1321" s="1">
        <f t="shared" si="1845"/>
        <v>1</v>
      </c>
      <c r="BO1321" s="1">
        <f t="shared" si="1846"/>
        <v>1</v>
      </c>
    </row>
    <row r="1322" spans="1:67" ht="30.95" customHeight="1">
      <c r="A1322" s="1">
        <f>36</f>
        <v>36</v>
      </c>
      <c r="B1322" s="1">
        <f>固定流程!A26</f>
        <v>21</v>
      </c>
      <c r="C1322" s="1">
        <f>39</f>
        <v>39</v>
      </c>
      <c r="D1322" s="1">
        <f>1</f>
        <v>1</v>
      </c>
      <c r="E1322" s="1">
        <f>固定流程!C26</f>
        <v>3</v>
      </c>
      <c r="F1322" s="1">
        <f>固定流程!G26</f>
        <v>1</v>
      </c>
      <c r="G1322" s="1" t="str">
        <f>固定流程!H26</f>
        <v>LILYA_DIVE</v>
      </c>
      <c r="H1322" s="1">
        <f>固定流程!F26</f>
        <v>3</v>
      </c>
      <c r="I1322" s="1">
        <f>INDEX(配置与结果!$B$15:$B$18,F1322)</f>
        <v>2296</v>
      </c>
      <c r="J1322" s="1">
        <f>INDEX(配置与结果!$D$15:$D$18,F1322)</f>
        <v>0.7</v>
      </c>
      <c r="K1322" s="1">
        <f>INDEX(配置与结果!$E$15:$E$18,F1322)</f>
        <v>2.0249999999999999</v>
      </c>
      <c r="L1322" s="1">
        <f t="shared" si="1857"/>
        <v>2</v>
      </c>
      <c r="M1322" s="1">
        <f t="shared" si="1858"/>
        <v>10</v>
      </c>
      <c r="N1322" s="1">
        <f t="shared" si="1859"/>
        <v>2</v>
      </c>
      <c r="O1322" s="1">
        <f t="shared" si="1851"/>
        <v>0</v>
      </c>
      <c r="P1322" s="1">
        <f>MIN(方案参数!$AI$39,AZ1321+0+0)</f>
        <v>5</v>
      </c>
      <c r="Q1322" s="1">
        <f t="shared" si="1829"/>
        <v>5</v>
      </c>
      <c r="R1322" s="1">
        <f t="shared" si="1830"/>
        <v>20</v>
      </c>
      <c r="S1322" s="1">
        <f t="shared" si="1831"/>
        <v>3</v>
      </c>
      <c r="T1322" s="1">
        <f t="shared" si="1866"/>
        <v>1</v>
      </c>
      <c r="U1322" s="1">
        <f t="shared" si="1833"/>
        <v>0</v>
      </c>
      <c r="V1322" s="1">
        <f t="shared" si="1834"/>
        <v>3</v>
      </c>
      <c r="W1322" s="1">
        <f t="shared" si="1835"/>
        <v>1</v>
      </c>
      <c r="X1322" s="1">
        <f t="shared" si="1836"/>
        <v>1</v>
      </c>
      <c r="Y1322" s="1">
        <f t="shared" si="1837"/>
        <v>1</v>
      </c>
      <c r="Z1322" s="1">
        <f t="shared" si="1838"/>
        <v>1</v>
      </c>
      <c r="AA1322" s="1">
        <f t="shared" si="1862"/>
        <v>1</v>
      </c>
      <c r="AB1322" s="1">
        <f t="shared" si="1840"/>
        <v>1</v>
      </c>
      <c r="AC1322" s="1">
        <f t="shared" si="1867"/>
        <v>1</v>
      </c>
      <c r="AD1322" s="1">
        <f>ROUNDDOWN(I1322*(1+IF(F1322=3,0.05+方案参数!$Y$39+AA1322*0.12,IF(F1322=4,方案参数!$BZ$39*方案参数!$AS$39,0)))+IF(AND(X1322=1,F1322&lt;&gt;3),方案参数!$CC$39,0)+AC1322*方案参数!$CB$39,0)</f>
        <v>3022</v>
      </c>
      <c r="AE1322" s="1">
        <f>IF(OR(F1322=1,F1322=4),配置与结果!$B$24,配置与结果!$B$25)*MAX(0,1-INDEX(配置与结果!$I$15:$I$18,F1322))</f>
        <v>1200</v>
      </c>
      <c r="AF1322" s="1">
        <f>(IF(L1322=1,方案参数!$AW$39,IF(L1322=2,方案参数!$AX$39,0))+方案参数!$AV$39)*H1322</f>
        <v>30</v>
      </c>
      <c r="AG1322" s="1">
        <f>MAX(配置与结果!$B$32,1+INDEX(配置与结果!$F$15:$F$18,F1322)+0.08+方案参数!$CD$39+Q1322*方案参数!$W$39+Y1322*(方案参数!$AN$39+MIN(方案参数!$AO$39,P1322*0.03))+AB1322*方案参数!$BZ$39*0.025+IF(L1322=1,方案参数!$AY$39+(H1322-1)*0.1,IF(L1322=2,方案参数!$AZ$39+(H1322-1)*0.2,0))-配置与结果!$B$28)</f>
        <v>2.7750000000000004</v>
      </c>
      <c r="AH1322" s="1">
        <f>MAX(0,1+INDEX(配置与结果!$G$15:$G$18,F1322)+W1322*方案参数!$AG$39+IF(L1322=1,方案参数!$BA$39,IF(L1322=2,方案参数!$BB$39,0))+M1322*方案参数!$BC$39)</f>
        <v>3.1</v>
      </c>
      <c r="AI1322" s="1">
        <f>IF(OR(INDEX(配置与结果!$K$15:$K$18,F1322)=1,G1322="RHI_BERRY"),1+配置与结果!$B$33+P1322*方案参数!$AH$39,1)</f>
        <v>1</v>
      </c>
      <c r="AJ1322" s="1">
        <f>MIN(1,MAX(0,J1322+方案参数!$AB$39-配置与结果!$B$27))</f>
        <v>1</v>
      </c>
      <c r="AK1322" s="1">
        <f>MAX(1,K1322+IF(F1322=2,0.15+方案参数!$CH$39,0)+BN1322*方案参数!$X$39+R1322*方案参数!$AA$39+0-配置与结果!$B$26+Z1322*(方案参数!$AP$39+MIN(方案参数!$AQ$39,P1322*0.03)))</f>
        <v>2.085</v>
      </c>
      <c r="AL1322" s="7">
        <f>ROUNDDOWN(MAX(AD1322*配置与结果!$B$31,AD1322-AE1322)*AF1322*AG1322*AH1322*AI1322,0)</f>
        <v>470212</v>
      </c>
      <c r="AM1322" s="7">
        <f>ROUNDDOWN(MAX(AD1322*配置与结果!$B$31,AD1322-AE1322)*AF1322*AG1322*AH1322*AI1322*AK1322,0)</f>
        <v>980393</v>
      </c>
      <c r="AN1322" s="7">
        <f t="shared" si="1817"/>
        <v>980393</v>
      </c>
      <c r="AO1322" s="7">
        <f>0</f>
        <v>0</v>
      </c>
      <c r="AP1322" s="7">
        <f>MAX(0,1+INDEX(配置与结果!$J$15:$J$18,F1322)+IF(T1322&gt;0,方案参数!$BY$39,0)-配置与结果!$B$30)</f>
        <v>2</v>
      </c>
      <c r="AQ1322" s="7">
        <f t="shared" si="1818"/>
        <v>0</v>
      </c>
      <c r="AR1322" s="7">
        <f t="shared" si="1819"/>
        <v>0</v>
      </c>
      <c r="AS1322" s="7">
        <f t="shared" si="1820"/>
        <v>0</v>
      </c>
      <c r="AT1322" s="7">
        <f>0</f>
        <v>0</v>
      </c>
      <c r="AU1322" s="7">
        <f t="shared" si="1821"/>
        <v>980393</v>
      </c>
      <c r="AV1322" s="1">
        <f t="shared" si="1822"/>
        <v>2</v>
      </c>
      <c r="AW1322" s="1">
        <f>MIN(10,M1322+0+IF(L1322=1,方案参数!$BE$39,0))</f>
        <v>10</v>
      </c>
      <c r="AX1322" s="1">
        <f t="shared" si="1823"/>
        <v>2</v>
      </c>
      <c r="AY1322" s="1">
        <f>MIN(20,MAX(0,O1322+0+0-0))</f>
        <v>0</v>
      </c>
      <c r="AZ1322" s="1">
        <f t="shared" si="1824"/>
        <v>5</v>
      </c>
      <c r="BA1322" s="1">
        <f t="shared" si="1863"/>
        <v>5</v>
      </c>
      <c r="BB1322" s="1">
        <f t="shared" ref="BB1322:BB1337" si="1871">MIN(30,R1322+0)</f>
        <v>20</v>
      </c>
      <c r="BC1322" s="1">
        <f t="shared" si="1869"/>
        <v>3</v>
      </c>
      <c r="BD1322" s="1">
        <f t="shared" si="1850"/>
        <v>1</v>
      </c>
      <c r="BE1322" s="1">
        <f t="shared" si="1843"/>
        <v>0</v>
      </c>
      <c r="BF1322" s="1">
        <f>MIN(4,V1322+0)</f>
        <v>3</v>
      </c>
      <c r="BG1322" s="1">
        <f t="shared" si="1860"/>
        <v>1</v>
      </c>
      <c r="BH1322" s="1">
        <f t="shared" si="1844"/>
        <v>1</v>
      </c>
      <c r="BI1322" s="1">
        <f t="shared" si="1861"/>
        <v>1</v>
      </c>
      <c r="BJ1322" s="1">
        <f t="shared" si="1864"/>
        <v>1</v>
      </c>
      <c r="BK1322" s="1">
        <f t="shared" si="1865"/>
        <v>1</v>
      </c>
      <c r="BL1322" s="1">
        <f t="shared" si="1870"/>
        <v>1</v>
      </c>
      <c r="BM1322" s="1">
        <f t="shared" si="1868"/>
        <v>1</v>
      </c>
      <c r="BN1322" s="1">
        <f t="shared" si="1845"/>
        <v>1</v>
      </c>
      <c r="BO1322" s="1">
        <f t="shared" si="1846"/>
        <v>1</v>
      </c>
    </row>
    <row r="1323" spans="1:67" ht="30.95" customHeight="1">
      <c r="A1323" s="1">
        <f>36</f>
        <v>36</v>
      </c>
      <c r="B1323" s="1">
        <f>固定流程!A27</f>
        <v>22</v>
      </c>
      <c r="C1323" s="1">
        <f>39</f>
        <v>39</v>
      </c>
      <c r="D1323" s="1">
        <f>1</f>
        <v>1</v>
      </c>
      <c r="E1323" s="1">
        <f>固定流程!C27</f>
        <v>3</v>
      </c>
      <c r="F1323" s="1">
        <f>固定流程!G27</f>
        <v>3</v>
      </c>
      <c r="G1323" s="1" t="str">
        <f>固定流程!H27</f>
        <v>RHI_BERRY</v>
      </c>
      <c r="H1323" s="1">
        <f>固定流程!F27</f>
        <v>1</v>
      </c>
      <c r="I1323" s="1">
        <f>INDEX(配置与结果!$B$15:$B$18,F1323)</f>
        <v>2597</v>
      </c>
      <c r="J1323" s="1">
        <f>INDEX(配置与结果!$D$15:$D$18,F1323)</f>
        <v>0.255</v>
      </c>
      <c r="K1323" s="1">
        <f>INDEX(配置与结果!$E$15:$E$18,F1323)</f>
        <v>1.55</v>
      </c>
      <c r="L1323" s="1">
        <f t="shared" si="1857"/>
        <v>2</v>
      </c>
      <c r="M1323" s="1">
        <f t="shared" si="1858"/>
        <v>10</v>
      </c>
      <c r="N1323" s="1">
        <f t="shared" si="1859"/>
        <v>2</v>
      </c>
      <c r="O1323" s="1">
        <f t="shared" si="1851"/>
        <v>0</v>
      </c>
      <c r="P1323" s="1">
        <f>MIN(方案参数!$AI$39,AZ1322+0+0)</f>
        <v>5</v>
      </c>
      <c r="Q1323" s="1">
        <f t="shared" si="1829"/>
        <v>5</v>
      </c>
      <c r="R1323" s="1">
        <f t="shared" si="1830"/>
        <v>20</v>
      </c>
      <c r="S1323" s="1">
        <f t="shared" si="1831"/>
        <v>3</v>
      </c>
      <c r="T1323" s="1">
        <f t="shared" si="1866"/>
        <v>1</v>
      </c>
      <c r="U1323" s="1">
        <f t="shared" si="1833"/>
        <v>0</v>
      </c>
      <c r="V1323" s="1">
        <f t="shared" si="1834"/>
        <v>3</v>
      </c>
      <c r="W1323" s="1">
        <f t="shared" si="1835"/>
        <v>1</v>
      </c>
      <c r="X1323" s="1">
        <f t="shared" si="1836"/>
        <v>1</v>
      </c>
      <c r="Y1323" s="1">
        <f t="shared" si="1837"/>
        <v>1</v>
      </c>
      <c r="Z1323" s="1">
        <f t="shared" si="1838"/>
        <v>1</v>
      </c>
      <c r="AA1323" s="1">
        <f t="shared" si="1862"/>
        <v>1</v>
      </c>
      <c r="AB1323" s="1">
        <f t="shared" si="1840"/>
        <v>1</v>
      </c>
      <c r="AC1323" s="1">
        <f t="shared" si="1867"/>
        <v>1</v>
      </c>
      <c r="AD1323" s="1">
        <f>ROUNDDOWN(I1323*(1+IF(F1323=3,0.05+方案参数!$Y$39+AA1323*0.12,IF(F1323=4,方案参数!$BZ$39*方案参数!$AS$39,0)))+IF(AND(X1323=1,F1323&lt;&gt;3),方案参数!$CC$39,0)+AC1323*方案参数!$CB$39,0)</f>
        <v>3642</v>
      </c>
      <c r="AE1323" s="1">
        <f>IF(OR(F1323=1,F1323=4),配置与结果!$B$24,配置与结果!$B$25)*MAX(0,1-INDEX(配置与结果!$I$15:$I$18,F1323))</f>
        <v>1000</v>
      </c>
      <c r="AF1323" s="1">
        <f>方案参数!$CF$39+P1323*方案参数!$CG$39</f>
        <v>22.5</v>
      </c>
      <c r="AG1323" s="1">
        <f>MAX(配置与结果!$B$32,1+INDEX(配置与结果!$F$15:$F$18,F1323)+0+Q1323*方案参数!$W$39+Y1323*(方案参数!$AN$39+MIN(方案参数!$AO$39,P1323*0.03))+AB1323*方案参数!$BZ$39*0.025-配置与结果!$B$28)</f>
        <v>1.87</v>
      </c>
      <c r="AH1323" s="1">
        <f>MAX(0,1+INDEX(配置与结果!$G$15:$G$18,F1323)+W1323*方案参数!$AG$39)</f>
        <v>1.3</v>
      </c>
      <c r="AI1323" s="1">
        <f>IF(OR(INDEX(配置与结果!$K$15:$K$18,F1323)=1,G1323="RHI_BERRY"),1+配置与结果!$B$33+P1323*方案参数!$AH$39,1)</f>
        <v>1.5</v>
      </c>
      <c r="AJ1323" s="1">
        <f>MIN(1,MAX(0,J1323+方案参数!$AB$39-配置与结果!$B$27))</f>
        <v>0.55499999999999994</v>
      </c>
      <c r="AK1323" s="1">
        <f>MAX(1,K1323+IF(F1323=2,0.15+方案参数!$CH$39,0)+BN1323*方案参数!$X$39+R1323*方案参数!$AA$39+0-配置与结果!$B$26+Z1323*(方案参数!$AP$39+MIN(方案参数!$AQ$39,P1323*0.03)))</f>
        <v>1.61</v>
      </c>
      <c r="AL1323" s="7">
        <f>ROUNDDOWN(MAX(AD1323*配置与结果!$B$31,AD1323-AE1323)*AF1323*AG1323*AH1323*AI1323,0)</f>
        <v>216766</v>
      </c>
      <c r="AM1323" s="7">
        <f>ROUNDDOWN(MAX(AD1323*配置与结果!$B$31,AD1323-AE1323)*AF1323*AG1323*AH1323*AI1323*AK1323,0)</f>
        <v>348993</v>
      </c>
      <c r="AN1323" s="7">
        <f t="shared" si="1817"/>
        <v>290151.98499999999</v>
      </c>
      <c r="AO1323" s="7">
        <f>0</f>
        <v>0</v>
      </c>
      <c r="AP1323" s="7">
        <f>MAX(0,1+INDEX(配置与结果!$J$15:$J$18,F1323)+IF(T1323&gt;0,方案参数!$BY$39,0)-配置与结果!$B$30)</f>
        <v>2</v>
      </c>
      <c r="AQ1323" s="7">
        <f t="shared" si="1818"/>
        <v>0</v>
      </c>
      <c r="AR1323" s="7">
        <f t="shared" si="1819"/>
        <v>0</v>
      </c>
      <c r="AS1323" s="7">
        <f t="shared" si="1820"/>
        <v>0</v>
      </c>
      <c r="AT1323" s="7">
        <f>0</f>
        <v>0</v>
      </c>
      <c r="AU1323" s="7">
        <f t="shared" si="1821"/>
        <v>290151.98499999999</v>
      </c>
      <c r="AV1323" s="1">
        <f t="shared" si="1822"/>
        <v>2</v>
      </c>
      <c r="AW1323" s="1">
        <f t="shared" ref="AW1323:AW1339" si="1872">MIN(10,M1323+0+0)</f>
        <v>10</v>
      </c>
      <c r="AX1323" s="1">
        <f t="shared" si="1823"/>
        <v>2</v>
      </c>
      <c r="AY1323" s="1">
        <f>MIN(20,MAX(0,O1323+0+0-0))</f>
        <v>0</v>
      </c>
      <c r="AZ1323" s="1">
        <f t="shared" si="1824"/>
        <v>5</v>
      </c>
      <c r="BA1323" s="1">
        <f t="shared" si="1863"/>
        <v>5</v>
      </c>
      <c r="BB1323" s="1">
        <f t="shared" si="1871"/>
        <v>20</v>
      </c>
      <c r="BC1323" s="1">
        <f t="shared" si="1869"/>
        <v>3</v>
      </c>
      <c r="BD1323" s="1">
        <f t="shared" si="1850"/>
        <v>1</v>
      </c>
      <c r="BE1323" s="1">
        <f t="shared" si="1843"/>
        <v>0</v>
      </c>
      <c r="BF1323" s="1">
        <f>MIN(4,V1323+0)</f>
        <v>3</v>
      </c>
      <c r="BG1323" s="1">
        <f t="shared" si="1860"/>
        <v>1</v>
      </c>
      <c r="BH1323" s="1">
        <f t="shared" si="1844"/>
        <v>1</v>
      </c>
      <c r="BI1323" s="1">
        <f t="shared" si="1861"/>
        <v>1</v>
      </c>
      <c r="BJ1323" s="1">
        <f t="shared" si="1864"/>
        <v>1</v>
      </c>
      <c r="BK1323" s="1">
        <f t="shared" si="1865"/>
        <v>1</v>
      </c>
      <c r="BL1323" s="1">
        <f t="shared" si="1870"/>
        <v>1</v>
      </c>
      <c r="BM1323" s="1">
        <f t="shared" si="1868"/>
        <v>1</v>
      </c>
      <c r="BN1323" s="1">
        <f t="shared" si="1845"/>
        <v>1</v>
      </c>
      <c r="BO1323" s="1">
        <f t="shared" si="1846"/>
        <v>1</v>
      </c>
    </row>
    <row r="1324" spans="1:67" ht="30.95" customHeight="1">
      <c r="A1324" s="1">
        <f>36</f>
        <v>36</v>
      </c>
      <c r="B1324" s="1">
        <f>固定流程!A28</f>
        <v>23</v>
      </c>
      <c r="C1324" s="1">
        <f>39</f>
        <v>39</v>
      </c>
      <c r="D1324" s="1">
        <f>1</f>
        <v>1</v>
      </c>
      <c r="E1324" s="1">
        <f>固定流程!C28</f>
        <v>3</v>
      </c>
      <c r="F1324" s="1">
        <f>固定流程!G28</f>
        <v>2</v>
      </c>
      <c r="G1324" s="1" t="str">
        <f>固定流程!H28</f>
        <v>37_FOLLOW</v>
      </c>
      <c r="H1324" s="1">
        <f>固定流程!F28</f>
        <v>1</v>
      </c>
      <c r="I1324" s="1">
        <f>INDEX(配置与结果!$B$15:$B$18,F1324)</f>
        <v>2306</v>
      </c>
      <c r="J1324" s="1">
        <f>INDEX(配置与结果!$D$15:$D$18,F1324)</f>
        <v>0.46</v>
      </c>
      <c r="K1324" s="1">
        <f>INDEX(配置与结果!$E$15:$E$18,F1324)</f>
        <v>1.9279999999999999</v>
      </c>
      <c r="L1324" s="1">
        <f t="shared" si="1857"/>
        <v>2</v>
      </c>
      <c r="M1324" s="1">
        <f t="shared" si="1858"/>
        <v>10</v>
      </c>
      <c r="N1324" s="1">
        <f t="shared" si="1859"/>
        <v>2</v>
      </c>
      <c r="O1324" s="1">
        <f t="shared" si="1851"/>
        <v>0</v>
      </c>
      <c r="P1324" s="1">
        <f>MIN(方案参数!$AI$39,AZ1323+0+0)</f>
        <v>5</v>
      </c>
      <c r="Q1324" s="1">
        <f t="shared" si="1829"/>
        <v>5</v>
      </c>
      <c r="R1324" s="1">
        <f t="shared" si="1830"/>
        <v>20</v>
      </c>
      <c r="S1324" s="1">
        <f t="shared" si="1831"/>
        <v>3</v>
      </c>
      <c r="T1324" s="1">
        <f t="shared" si="1866"/>
        <v>1</v>
      </c>
      <c r="U1324" s="1">
        <f t="shared" si="1833"/>
        <v>0</v>
      </c>
      <c r="V1324" s="1">
        <f t="shared" si="1834"/>
        <v>3</v>
      </c>
      <c r="W1324" s="1">
        <f t="shared" si="1835"/>
        <v>1</v>
      </c>
      <c r="X1324" s="1">
        <f t="shared" si="1836"/>
        <v>1</v>
      </c>
      <c r="Y1324" s="1">
        <f t="shared" si="1837"/>
        <v>1</v>
      </c>
      <c r="Z1324" s="1">
        <f t="shared" si="1838"/>
        <v>1</v>
      </c>
      <c r="AA1324" s="1">
        <f t="shared" si="1862"/>
        <v>1</v>
      </c>
      <c r="AB1324" s="1">
        <f t="shared" si="1840"/>
        <v>1</v>
      </c>
      <c r="AC1324" s="1">
        <f t="shared" si="1867"/>
        <v>1</v>
      </c>
      <c r="AD1324" s="1">
        <f>ROUNDDOWN(I1324*(1+IF(F1324=3,0.05+方案参数!$Y$39+AA1324*0.12,IF(F1324=4,方案参数!$BZ$39*方案参数!$AS$39,0)))+IF(AND(X1324=1,F1324&lt;&gt;3),方案参数!$CC$39,0)+AC1324*方案参数!$CB$39,0)</f>
        <v>3032</v>
      </c>
      <c r="AE1324" s="1">
        <f>IF(OR(F1324=1,F1324=4),配置与结果!$B$24,配置与结果!$B$25)*MAX(0,1-INDEX(配置与结果!$I$15:$I$18,F1324))</f>
        <v>1000</v>
      </c>
      <c r="AF1324" s="1">
        <f>方案参数!$BV$39</f>
        <v>3</v>
      </c>
      <c r="AG1324" s="1">
        <f>MAX(配置与结果!$B$32,1+INDEX(配置与结果!$F$15:$F$18,F1324)+0+Q1324*方案参数!$W$39+Y1324*(方案参数!$AN$39+MIN(方案参数!$AO$39,P1324*0.03))+AB1324*方案参数!$BZ$39*0.025-配置与结果!$B$28)</f>
        <v>1.8400000000000003</v>
      </c>
      <c r="AH1324" s="1">
        <f>MAX(0,1+INDEX(配置与结果!$G$15:$G$18,F1324)+W1324*方案参数!$AG$39)</f>
        <v>1.3</v>
      </c>
      <c r="AI1324" s="1">
        <f>IF(OR(INDEX(配置与结果!$K$15:$K$18,F1324)=1,G1324="RHI_BERRY"),1+配置与结果!$B$33+P1324*方案参数!$AH$39,1)</f>
        <v>1</v>
      </c>
      <c r="AJ1324" s="1">
        <f>MIN(1,MAX(0,J1324+方案参数!$AB$39-配置与结果!$B$27))</f>
        <v>0.76</v>
      </c>
      <c r="AK1324" s="1">
        <f>MAX(1,K1324+IF(F1324=2,0.15+方案参数!$CH$39,0)+BN1324*方案参数!$X$39+R1324*方案参数!$AA$39+0-配置与结果!$B$26+Z1324*(方案参数!$AP$39+MIN(方案参数!$AQ$39,P1324*0.03)))</f>
        <v>2.258</v>
      </c>
      <c r="AL1324" s="7">
        <f>ROUNDDOWN(MAX(AD1324*配置与结果!$B$31,AD1324-AE1324)*AF1324*AG1324*AH1324*AI1324,0)</f>
        <v>14581</v>
      </c>
      <c r="AM1324" s="7">
        <f>ROUNDDOWN(MAX(AD1324*配置与结果!$B$31,AD1324-AE1324)*AF1324*AG1324*AH1324*AI1324*AK1324,0)</f>
        <v>32925</v>
      </c>
      <c r="AN1324" s="7">
        <f t="shared" si="1817"/>
        <v>28522.44</v>
      </c>
      <c r="AO1324" s="7">
        <f>方案参数!$BW$39</f>
        <v>1</v>
      </c>
      <c r="AP1324" s="7">
        <f>MAX(0,1+INDEX(配置与结果!$J$15:$J$18,F1324)+IF(T1324&gt;0,方案参数!$BY$39,0)-配置与结果!$B$30)</f>
        <v>2</v>
      </c>
      <c r="AQ1324" s="7">
        <f t="shared" si="1818"/>
        <v>6064</v>
      </c>
      <c r="AR1324" s="7">
        <f t="shared" si="1819"/>
        <v>13692</v>
      </c>
      <c r="AS1324" s="7">
        <f t="shared" si="1820"/>
        <v>11861.28</v>
      </c>
      <c r="AT1324" s="7">
        <f>0</f>
        <v>0</v>
      </c>
      <c r="AU1324" s="7">
        <f t="shared" si="1821"/>
        <v>40383.72</v>
      </c>
      <c r="AV1324" s="1">
        <f t="shared" si="1822"/>
        <v>2</v>
      </c>
      <c r="AW1324" s="1">
        <f t="shared" si="1872"/>
        <v>10</v>
      </c>
      <c r="AX1324" s="1">
        <f t="shared" si="1823"/>
        <v>2</v>
      </c>
      <c r="AY1324" s="1">
        <f>MIN(20,MAX(0,O1324+0+0-0))</f>
        <v>0</v>
      </c>
      <c r="AZ1324" s="1">
        <f t="shared" si="1824"/>
        <v>5</v>
      </c>
      <c r="BA1324" s="1">
        <f t="shared" si="1863"/>
        <v>5</v>
      </c>
      <c r="BB1324" s="1">
        <f t="shared" si="1871"/>
        <v>20</v>
      </c>
      <c r="BC1324" s="1">
        <f t="shared" si="1869"/>
        <v>3</v>
      </c>
      <c r="BD1324" s="1">
        <f t="shared" si="1850"/>
        <v>0</v>
      </c>
      <c r="BE1324" s="1">
        <f t="shared" si="1843"/>
        <v>0</v>
      </c>
      <c r="BF1324" s="1">
        <f>MIN(4,V1324+1)</f>
        <v>4</v>
      </c>
      <c r="BG1324" s="1">
        <f t="shared" si="1860"/>
        <v>1</v>
      </c>
      <c r="BH1324" s="1">
        <f t="shared" si="1844"/>
        <v>1</v>
      </c>
      <c r="BI1324" s="1">
        <f t="shared" si="1861"/>
        <v>1</v>
      </c>
      <c r="BJ1324" s="1">
        <f t="shared" si="1864"/>
        <v>1</v>
      </c>
      <c r="BK1324" s="1">
        <f t="shared" si="1865"/>
        <v>1</v>
      </c>
      <c r="BL1324" s="1">
        <f t="shared" si="1870"/>
        <v>1</v>
      </c>
      <c r="BM1324" s="1">
        <f t="shared" si="1868"/>
        <v>1</v>
      </c>
      <c r="BN1324" s="1">
        <f t="shared" si="1845"/>
        <v>1</v>
      </c>
      <c r="BO1324" s="1">
        <f t="shared" si="1846"/>
        <v>1</v>
      </c>
    </row>
    <row r="1325" spans="1:67" ht="30.95" customHeight="1">
      <c r="A1325" s="1">
        <f>36</f>
        <v>36</v>
      </c>
      <c r="B1325" s="1">
        <f>固定流程!A29</f>
        <v>24</v>
      </c>
      <c r="C1325" s="1">
        <f>39</f>
        <v>39</v>
      </c>
      <c r="D1325" s="1">
        <f>2</f>
        <v>2</v>
      </c>
      <c r="E1325" s="1">
        <f>固定流程!C29</f>
        <v>3</v>
      </c>
      <c r="F1325" s="1">
        <f>固定流程!G29</f>
        <v>1</v>
      </c>
      <c r="G1325" s="1" t="str">
        <f>固定流程!H29</f>
        <v>LILYA_WEAK</v>
      </c>
      <c r="H1325" s="1">
        <f>固定流程!F29</f>
        <v>1</v>
      </c>
      <c r="I1325" s="1">
        <f>INDEX(配置与结果!$B$15:$B$18,F1325)</f>
        <v>2296</v>
      </c>
      <c r="J1325" s="1">
        <f>INDEX(配置与结果!$D$15:$D$18,F1325)</f>
        <v>0.7</v>
      </c>
      <c r="K1325" s="1">
        <f>INDEX(配置与结果!$E$15:$E$18,F1325)</f>
        <v>2.0249999999999999</v>
      </c>
      <c r="L1325" s="1">
        <f t="shared" si="1857"/>
        <v>2</v>
      </c>
      <c r="M1325" s="1">
        <f t="shared" si="1858"/>
        <v>10</v>
      </c>
      <c r="N1325" s="1">
        <f t="shared" si="1859"/>
        <v>2</v>
      </c>
      <c r="O1325" s="1">
        <f t="shared" si="1851"/>
        <v>0</v>
      </c>
      <c r="P1325" s="1">
        <f>MIN(方案参数!$AI$39,AZ1324+0+0)</f>
        <v>5</v>
      </c>
      <c r="Q1325" s="1">
        <f t="shared" si="1829"/>
        <v>5</v>
      </c>
      <c r="R1325" s="1">
        <f t="shared" si="1830"/>
        <v>20</v>
      </c>
      <c r="S1325" s="1">
        <f t="shared" si="1831"/>
        <v>3</v>
      </c>
      <c r="T1325" s="1">
        <f t="shared" si="1866"/>
        <v>0</v>
      </c>
      <c r="U1325" s="1">
        <f t="shared" si="1833"/>
        <v>0</v>
      </c>
      <c r="V1325" s="1">
        <f t="shared" si="1834"/>
        <v>4</v>
      </c>
      <c r="W1325" s="1">
        <f t="shared" si="1835"/>
        <v>1</v>
      </c>
      <c r="X1325" s="1">
        <f t="shared" si="1836"/>
        <v>1</v>
      </c>
      <c r="Y1325" s="1">
        <f t="shared" si="1837"/>
        <v>1</v>
      </c>
      <c r="Z1325" s="1">
        <f t="shared" si="1838"/>
        <v>1</v>
      </c>
      <c r="AA1325" s="1">
        <f t="shared" si="1862"/>
        <v>1</v>
      </c>
      <c r="AB1325" s="1">
        <f t="shared" si="1840"/>
        <v>1</v>
      </c>
      <c r="AC1325" s="1">
        <f t="shared" si="1867"/>
        <v>1</v>
      </c>
      <c r="AD1325" s="1">
        <f>ROUNDDOWN(I1325*(1+IF(F1325=3,0.05+方案参数!$Y$39+AA1325*0.12,IF(F1325=4,方案参数!$BZ$39*方案参数!$AS$39,0)))+IF(AND(X1325=1,F1325&lt;&gt;3),方案参数!$CC$39,0)+AC1325*方案参数!$CB$39,0)</f>
        <v>3022</v>
      </c>
      <c r="AE1325" s="1">
        <f>IF(OR(F1325=1,F1325=4),配置与结果!$B$24,配置与结果!$B$25)*MAX(0,1-INDEX(配置与结果!$I$15:$I$18,F1325))</f>
        <v>1200</v>
      </c>
      <c r="AF1325" s="1">
        <f>方案参数!$BL$39</f>
        <v>9</v>
      </c>
      <c r="AG1325" s="1">
        <f>MAX(配置与结果!$B$32,1+INDEX(配置与结果!$F$15:$F$18,F1325)+0.08+方案参数!$CD$39+Q1325*方案参数!$W$39+Y1325*(方案参数!$AN$39+MIN(方案参数!$AO$39,P1325*0.03))+AB1325*方案参数!$BZ$39*0.025-配置与结果!$B$28+方案参数!$AE$39)</f>
        <v>2.5750000000000002</v>
      </c>
      <c r="AH1325" s="1">
        <f>MAX(0,1+V1325*方案参数!$U$39+0*方案参数!$V$39+方案参数!$AE$39-配置与结果!$B$29)</f>
        <v>1.56</v>
      </c>
      <c r="AI1325" s="1">
        <f>IF(OR(INDEX(配置与结果!$K$15:$K$18,F1325)=1,G1325="RHI_BERRY"),1+配置与结果!$B$33+P1325*方案参数!$AH$39,1)</f>
        <v>1</v>
      </c>
      <c r="AJ1325" s="1">
        <f>MIN(1,MAX(0,J1325+方案参数!$AB$39-配置与结果!$B$27))</f>
        <v>1</v>
      </c>
      <c r="AK1325" s="1">
        <f>MAX(1,K1325+IF(F1325=2,0.15+方案参数!$CH$39,0)+BN1325*方案参数!$X$39+R1325*方案参数!$AA$39+方案参数!$BP$39-配置与结果!$B$26+Z1325*(方案参数!$AP$39+MIN(方案参数!$AQ$39,P1325*0.03)))</f>
        <v>2.6850000000000001</v>
      </c>
      <c r="AL1325" s="7">
        <f>ROUNDDOWN(MAX(AD1325*配置与结果!$B$31,AD1325-AE1325)*AF1325*AG1325*AH1325*AI1325,0)</f>
        <v>65870</v>
      </c>
      <c r="AM1325" s="7">
        <f>ROUNDDOWN(MAX(AD1325*配置与结果!$B$31,AD1325-AE1325)*AF1325*AG1325*AH1325*AI1325*AK1325,0)</f>
        <v>176863</v>
      </c>
      <c r="AN1325" s="7">
        <f t="shared" si="1817"/>
        <v>176863</v>
      </c>
      <c r="AO1325" s="7">
        <f>0</f>
        <v>0</v>
      </c>
      <c r="AP1325" s="7">
        <f>MAX(0,1+INDEX(配置与结果!$J$15:$J$18,F1325)+IF(T1325&gt;0,方案参数!$BY$39,0)-配置与结果!$B$30)</f>
        <v>1</v>
      </c>
      <c r="AQ1325" s="7">
        <f t="shared" si="1818"/>
        <v>0</v>
      </c>
      <c r="AR1325" s="7">
        <f t="shared" si="1819"/>
        <v>0</v>
      </c>
      <c r="AS1325" s="7">
        <f t="shared" si="1820"/>
        <v>0</v>
      </c>
      <c r="AT1325" s="7">
        <f>IF(U1325&gt;0,ROUNDDOWN(AL1325*方案参数!$AF$39,0)*(1-AJ1325)+ROUNDDOWN(AM1325*方案参数!$AF$39,0)*AJ1325,0)</f>
        <v>0</v>
      </c>
      <c r="AU1325" s="7">
        <f t="shared" si="1821"/>
        <v>176863</v>
      </c>
      <c r="AV1325" s="1">
        <f t="shared" si="1822"/>
        <v>2</v>
      </c>
      <c r="AW1325" s="1">
        <f t="shared" si="1872"/>
        <v>10</v>
      </c>
      <c r="AX1325" s="1">
        <f t="shared" si="1823"/>
        <v>2</v>
      </c>
      <c r="AY1325" s="1">
        <f>MIN(20,MAX(0,O1325+0+1-0))</f>
        <v>1</v>
      </c>
      <c r="AZ1325" s="1">
        <f t="shared" si="1824"/>
        <v>5</v>
      </c>
      <c r="BA1325" s="1">
        <f t="shared" si="1863"/>
        <v>5</v>
      </c>
      <c r="BB1325" s="1">
        <f t="shared" si="1871"/>
        <v>20</v>
      </c>
      <c r="BC1325" s="1">
        <f t="shared" si="1869"/>
        <v>3</v>
      </c>
      <c r="BD1325" s="1">
        <f t="shared" si="1850"/>
        <v>0</v>
      </c>
      <c r="BE1325" s="1">
        <f>MAX(0,U1325-IF(AF1325&gt;0,1,0))+0</f>
        <v>0</v>
      </c>
      <c r="BF1325" s="1">
        <f t="shared" ref="BF1325:BF1342" si="1873">MIN(4,V1325+0)</f>
        <v>4</v>
      </c>
      <c r="BG1325" s="1">
        <f t="shared" si="1860"/>
        <v>1</v>
      </c>
      <c r="BH1325" s="1">
        <f t="shared" si="1844"/>
        <v>1</v>
      </c>
      <c r="BI1325" s="1">
        <f t="shared" si="1861"/>
        <v>1</v>
      </c>
      <c r="BJ1325" s="1">
        <f t="shared" si="1864"/>
        <v>1</v>
      </c>
      <c r="BK1325" s="1">
        <f t="shared" si="1865"/>
        <v>1</v>
      </c>
      <c r="BL1325" s="1">
        <f t="shared" si="1870"/>
        <v>1</v>
      </c>
      <c r="BM1325" s="1">
        <f t="shared" si="1868"/>
        <v>1</v>
      </c>
      <c r="BN1325" s="1">
        <f t="shared" si="1845"/>
        <v>1</v>
      </c>
      <c r="BO1325" s="1">
        <f t="shared" si="1846"/>
        <v>1</v>
      </c>
    </row>
    <row r="1326" spans="1:67" ht="30.95" customHeight="1">
      <c r="A1326" s="1">
        <f>36</f>
        <v>36</v>
      </c>
      <c r="B1326" s="1">
        <f>固定流程!A30</f>
        <v>25</v>
      </c>
      <c r="C1326" s="1">
        <f>39</f>
        <v>39</v>
      </c>
      <c r="D1326" s="1">
        <f>2</f>
        <v>2</v>
      </c>
      <c r="E1326" s="1">
        <f>固定流程!C30</f>
        <v>3</v>
      </c>
      <c r="F1326" s="1">
        <f>固定流程!G30</f>
        <v>1</v>
      </c>
      <c r="G1326" s="1" t="str">
        <f>固定流程!H30</f>
        <v>LILYA_WEAK</v>
      </c>
      <c r="H1326" s="1">
        <f>固定流程!F30</f>
        <v>1</v>
      </c>
      <c r="I1326" s="1">
        <f>INDEX(配置与结果!$B$15:$B$18,F1326)</f>
        <v>2296</v>
      </c>
      <c r="J1326" s="1">
        <f>INDEX(配置与结果!$D$15:$D$18,F1326)</f>
        <v>0.7</v>
      </c>
      <c r="K1326" s="1">
        <f>INDEX(配置与结果!$E$15:$E$18,F1326)</f>
        <v>2.0249999999999999</v>
      </c>
      <c r="L1326" s="1">
        <f t="shared" si="1857"/>
        <v>2</v>
      </c>
      <c r="M1326" s="1">
        <f t="shared" si="1858"/>
        <v>10</v>
      </c>
      <c r="N1326" s="1">
        <f t="shared" si="1859"/>
        <v>2</v>
      </c>
      <c r="O1326" s="1">
        <f t="shared" si="1851"/>
        <v>1</v>
      </c>
      <c r="P1326" s="1">
        <f>MIN(方案参数!$AI$39,AZ1325+0+0)</f>
        <v>5</v>
      </c>
      <c r="Q1326" s="1">
        <f t="shared" si="1829"/>
        <v>5</v>
      </c>
      <c r="R1326" s="1">
        <f t="shared" si="1830"/>
        <v>20</v>
      </c>
      <c r="S1326" s="1">
        <f t="shared" si="1831"/>
        <v>3</v>
      </c>
      <c r="T1326" s="1">
        <f t="shared" si="1866"/>
        <v>0</v>
      </c>
      <c r="U1326" s="1">
        <f t="shared" si="1833"/>
        <v>0</v>
      </c>
      <c r="V1326" s="1">
        <f t="shared" si="1834"/>
        <v>4</v>
      </c>
      <c r="W1326" s="1">
        <f t="shared" si="1835"/>
        <v>1</v>
      </c>
      <c r="X1326" s="1">
        <f t="shared" si="1836"/>
        <v>1</v>
      </c>
      <c r="Y1326" s="1">
        <f t="shared" si="1837"/>
        <v>1</v>
      </c>
      <c r="Z1326" s="1">
        <f t="shared" si="1838"/>
        <v>1</v>
      </c>
      <c r="AA1326" s="1">
        <f t="shared" si="1862"/>
        <v>1</v>
      </c>
      <c r="AB1326" s="1">
        <f t="shared" si="1840"/>
        <v>1</v>
      </c>
      <c r="AC1326" s="1">
        <f t="shared" si="1867"/>
        <v>1</v>
      </c>
      <c r="AD1326" s="1">
        <f>ROUNDDOWN(I1326*(1+IF(F1326=3,0.05+方案参数!$Y$39+AA1326*0.12,IF(F1326=4,方案参数!$BZ$39*方案参数!$AS$39,0)))+IF(AND(X1326=1,F1326&lt;&gt;3),方案参数!$CC$39,0)+AC1326*方案参数!$CB$39,0)</f>
        <v>3022</v>
      </c>
      <c r="AE1326" s="1">
        <f>IF(OR(F1326=1,F1326=4),配置与结果!$B$24,配置与结果!$B$25)*MAX(0,1-INDEX(配置与结果!$I$15:$I$18,F1326))</f>
        <v>1200</v>
      </c>
      <c r="AF1326" s="1">
        <f>方案参数!$BL$39</f>
        <v>9</v>
      </c>
      <c r="AG1326" s="1">
        <f>MAX(配置与结果!$B$32,1+INDEX(配置与结果!$F$15:$F$18,F1326)+0.08+方案参数!$CD$39+Q1326*方案参数!$W$39+Y1326*(方案参数!$AN$39+MIN(方案参数!$AO$39,P1326*0.03))+AB1326*方案参数!$BZ$39*0.025-配置与结果!$B$28+方案参数!$AE$39)</f>
        <v>2.5750000000000002</v>
      </c>
      <c r="AH1326" s="1">
        <f>MAX(0,1+V1326*方案参数!$U$39+1*方案参数!$V$39+方案参数!$AE$39-配置与结果!$B$29)</f>
        <v>1.62</v>
      </c>
      <c r="AI1326" s="1">
        <f>IF(OR(INDEX(配置与结果!$K$15:$K$18,F1326)=1,G1326="RHI_BERRY"),1+配置与结果!$B$33+P1326*方案参数!$AH$39,1)</f>
        <v>1</v>
      </c>
      <c r="AJ1326" s="1">
        <f>MIN(1,MAX(0,J1326+方案参数!$AB$39-配置与结果!$B$27))</f>
        <v>1</v>
      </c>
      <c r="AK1326" s="1">
        <f>MAX(1,K1326+IF(F1326=2,0.15+方案参数!$CH$39,0)+BN1326*方案参数!$X$39+R1326*方案参数!$AA$39+方案参数!$BP$39-配置与结果!$B$26+Z1326*(方案参数!$AP$39+MIN(方案参数!$AQ$39,P1326*0.03)))</f>
        <v>2.6850000000000001</v>
      </c>
      <c r="AL1326" s="7">
        <f>ROUNDDOWN(MAX(AD1326*配置与结果!$B$31,AD1326-AE1326)*AF1326*AG1326*AH1326*AI1326,0)</f>
        <v>68404</v>
      </c>
      <c r="AM1326" s="7">
        <f>ROUNDDOWN(MAX(AD1326*配置与结果!$B$31,AD1326-AE1326)*AF1326*AG1326*AH1326*AI1326*AK1326,0)</f>
        <v>183665</v>
      </c>
      <c r="AN1326" s="7">
        <f t="shared" si="1817"/>
        <v>183665</v>
      </c>
      <c r="AO1326" s="7">
        <f>0</f>
        <v>0</v>
      </c>
      <c r="AP1326" s="7">
        <f>MAX(0,1+INDEX(配置与结果!$J$15:$J$18,F1326)+IF(T1326&gt;0,方案参数!$BY$39,0)-配置与结果!$B$30)</f>
        <v>1</v>
      </c>
      <c r="AQ1326" s="7">
        <f t="shared" si="1818"/>
        <v>0</v>
      </c>
      <c r="AR1326" s="7">
        <f t="shared" si="1819"/>
        <v>0</v>
      </c>
      <c r="AS1326" s="7">
        <f t="shared" si="1820"/>
        <v>0</v>
      </c>
      <c r="AT1326" s="7">
        <f>IF(U1326&gt;0,ROUNDDOWN(AL1326*方案参数!$AF$39,0)*(1-AJ1326)+ROUNDDOWN(AM1326*方案参数!$AF$39,0)*AJ1326,0)</f>
        <v>0</v>
      </c>
      <c r="AU1326" s="7">
        <f t="shared" si="1821"/>
        <v>183665</v>
      </c>
      <c r="AV1326" s="1">
        <f t="shared" si="1822"/>
        <v>2</v>
      </c>
      <c r="AW1326" s="1">
        <f t="shared" si="1872"/>
        <v>10</v>
      </c>
      <c r="AX1326" s="1">
        <f t="shared" si="1823"/>
        <v>2</v>
      </c>
      <c r="AY1326" s="1">
        <f>MIN(20,MAX(0,O1326+0+1-0))</f>
        <v>2</v>
      </c>
      <c r="AZ1326" s="1">
        <f t="shared" si="1824"/>
        <v>5</v>
      </c>
      <c r="BA1326" s="1">
        <f t="shared" si="1863"/>
        <v>5</v>
      </c>
      <c r="BB1326" s="1">
        <f t="shared" si="1871"/>
        <v>20</v>
      </c>
      <c r="BC1326" s="1">
        <f t="shared" si="1869"/>
        <v>3</v>
      </c>
      <c r="BD1326" s="1">
        <f t="shared" si="1850"/>
        <v>0</v>
      </c>
      <c r="BE1326" s="1">
        <f>MAX(0,U1326-IF(AF1326&gt;0,1,0))+0</f>
        <v>0</v>
      </c>
      <c r="BF1326" s="1">
        <f t="shared" si="1873"/>
        <v>4</v>
      </c>
      <c r="BG1326" s="1">
        <f t="shared" si="1860"/>
        <v>1</v>
      </c>
      <c r="BH1326" s="1">
        <f t="shared" si="1844"/>
        <v>1</v>
      </c>
      <c r="BI1326" s="1">
        <f t="shared" si="1861"/>
        <v>1</v>
      </c>
      <c r="BJ1326" s="1">
        <f t="shared" si="1864"/>
        <v>1</v>
      </c>
      <c r="BK1326" s="1">
        <f t="shared" si="1865"/>
        <v>1</v>
      </c>
      <c r="BL1326" s="1">
        <f t="shared" si="1870"/>
        <v>1</v>
      </c>
      <c r="BM1326" s="1">
        <f t="shared" si="1868"/>
        <v>1</v>
      </c>
      <c r="BN1326" s="1">
        <f t="shared" si="1845"/>
        <v>1</v>
      </c>
      <c r="BO1326" s="1">
        <f t="shared" si="1846"/>
        <v>1</v>
      </c>
    </row>
    <row r="1327" spans="1:67" ht="30.95" customHeight="1">
      <c r="A1327" s="1">
        <f>36</f>
        <v>36</v>
      </c>
      <c r="B1327" s="1">
        <f>固定流程!A31</f>
        <v>26</v>
      </c>
      <c r="C1327" s="1">
        <f>39</f>
        <v>39</v>
      </c>
      <c r="D1327" s="1">
        <f>2</f>
        <v>2</v>
      </c>
      <c r="E1327" s="1">
        <f>固定流程!C31</f>
        <v>3</v>
      </c>
      <c r="F1327" s="1">
        <f>固定流程!G31</f>
        <v>2</v>
      </c>
      <c r="G1327" s="1" t="str">
        <f>固定流程!H31</f>
        <v>37_WEAK</v>
      </c>
      <c r="H1327" s="1">
        <f>固定流程!F31</f>
        <v>1</v>
      </c>
      <c r="I1327" s="1">
        <f>INDEX(配置与结果!$B$15:$B$18,F1327)</f>
        <v>2306</v>
      </c>
      <c r="J1327" s="1">
        <f>INDEX(配置与结果!$D$15:$D$18,F1327)</f>
        <v>0.46</v>
      </c>
      <c r="K1327" s="1">
        <f>INDEX(配置与结果!$E$15:$E$18,F1327)</f>
        <v>1.9279999999999999</v>
      </c>
      <c r="L1327" s="1">
        <f t="shared" si="1857"/>
        <v>2</v>
      </c>
      <c r="M1327" s="1">
        <f t="shared" si="1858"/>
        <v>10</v>
      </c>
      <c r="N1327" s="1">
        <f t="shared" si="1859"/>
        <v>2</v>
      </c>
      <c r="O1327" s="1">
        <f t="shared" si="1851"/>
        <v>2</v>
      </c>
      <c r="P1327" s="1">
        <f>MIN(方案参数!$AI$39,AZ1326+0+0)</f>
        <v>5</v>
      </c>
      <c r="Q1327" s="1">
        <f t="shared" si="1829"/>
        <v>5</v>
      </c>
      <c r="R1327" s="1">
        <f t="shared" si="1830"/>
        <v>20</v>
      </c>
      <c r="S1327" s="1">
        <f t="shared" si="1831"/>
        <v>3</v>
      </c>
      <c r="T1327" s="1">
        <f t="shared" si="1866"/>
        <v>0</v>
      </c>
      <c r="U1327" s="1">
        <f t="shared" si="1833"/>
        <v>0</v>
      </c>
      <c r="V1327" s="1">
        <f t="shared" si="1834"/>
        <v>4</v>
      </c>
      <c r="W1327" s="1">
        <f t="shared" si="1835"/>
        <v>1</v>
      </c>
      <c r="X1327" s="1">
        <f t="shared" si="1836"/>
        <v>1</v>
      </c>
      <c r="Y1327" s="1">
        <f t="shared" si="1837"/>
        <v>1</v>
      </c>
      <c r="Z1327" s="1">
        <f t="shared" si="1838"/>
        <v>1</v>
      </c>
      <c r="AA1327" s="1">
        <f t="shared" si="1862"/>
        <v>1</v>
      </c>
      <c r="AB1327" s="1">
        <f t="shared" si="1840"/>
        <v>1</v>
      </c>
      <c r="AC1327" s="1">
        <f t="shared" si="1867"/>
        <v>1</v>
      </c>
      <c r="AD1327" s="1">
        <f>ROUNDDOWN(I1327*(1+IF(F1327=3,0.05+方案参数!$Y$39+AA1327*0.12,IF(F1327=4,方案参数!$BZ$39*方案参数!$AS$39,0)))+IF(AND(X1327=1,F1327&lt;&gt;3),方案参数!$CC$39,0)+AC1327*方案参数!$CB$39,0)</f>
        <v>3032</v>
      </c>
      <c r="AE1327" s="1">
        <f>IF(OR(F1327=1,F1327=4),配置与结果!$B$24,配置与结果!$B$25)*MAX(0,1-INDEX(配置与结果!$I$15:$I$18,F1327))</f>
        <v>1000</v>
      </c>
      <c r="AF1327" s="1">
        <f>方案参数!$CE$39</f>
        <v>8</v>
      </c>
      <c r="AG1327" s="1">
        <f>MAX(配置与结果!$B$32,1+INDEX(配置与结果!$F$15:$F$18,F1327)+0+Q1327*方案参数!$W$39+Y1327*(方案参数!$AN$39+MIN(方案参数!$AO$39,P1327*0.03))+AB1327*方案参数!$BZ$39*0.025-配置与结果!$B$28+方案参数!$AE$39)</f>
        <v>2.2400000000000002</v>
      </c>
      <c r="AH1327" s="1">
        <f>MAX(0,1+V1327*方案参数!$U$39+方案参数!$AE$39-配置与结果!$B$29)</f>
        <v>1.56</v>
      </c>
      <c r="AI1327" s="1">
        <f>IF(OR(INDEX(配置与结果!$K$15:$K$18,F1327)=1,G1327="RHI_BERRY"),1+配置与结果!$B$33+P1327*方案参数!$AH$39,1)</f>
        <v>1</v>
      </c>
      <c r="AJ1327" s="1">
        <f>MIN(1,MAX(0,J1327+方案参数!$AB$39-配置与结果!$B$27))</f>
        <v>0.76</v>
      </c>
      <c r="AK1327" s="1">
        <f>MAX(1,K1327+IF(F1327=2,0.15+方案参数!$CH$39,0)+BN1327*方案参数!$X$39+R1327*方案参数!$AA$39+0-配置与结果!$B$26+Z1327*(方案参数!$AP$39+MIN(方案参数!$AQ$39,P1327*0.03)))</f>
        <v>2.258</v>
      </c>
      <c r="AL1327" s="7">
        <f>ROUNDDOWN(MAX(AD1327*配置与结果!$B$31,AD1327-AE1327)*AF1327*AG1327*AH1327*AI1327,0)</f>
        <v>56804</v>
      </c>
      <c r="AM1327" s="7">
        <f>ROUNDDOWN(MAX(AD1327*配置与结果!$B$31,AD1327-AE1327)*AF1327*AG1327*AH1327*AI1327*AK1327,0)</f>
        <v>128265</v>
      </c>
      <c r="AN1327" s="7">
        <f t="shared" si="1817"/>
        <v>111114.35999999999</v>
      </c>
      <c r="AO1327" s="7">
        <f>0</f>
        <v>0</v>
      </c>
      <c r="AP1327" s="7">
        <f>MAX(0,1+INDEX(配置与结果!$J$15:$J$18,F1327)+IF(T1327&gt;0,方案参数!$BY$39,0)-配置与结果!$B$30)</f>
        <v>1</v>
      </c>
      <c r="AQ1327" s="7">
        <f t="shared" si="1818"/>
        <v>0</v>
      </c>
      <c r="AR1327" s="7">
        <f t="shared" si="1819"/>
        <v>0</v>
      </c>
      <c r="AS1327" s="7">
        <f t="shared" si="1820"/>
        <v>0</v>
      </c>
      <c r="AT1327" s="7">
        <f>IF(U1327&gt;0,ROUNDDOWN(AL1327*方案参数!$AF$39,0)*(1-AJ1327)+ROUNDDOWN(AM1327*方案参数!$AF$39,0)*AJ1327,0)</f>
        <v>0</v>
      </c>
      <c r="AU1327" s="7">
        <f t="shared" si="1821"/>
        <v>111114.35999999999</v>
      </c>
      <c r="AV1327" s="1">
        <f t="shared" si="1822"/>
        <v>2</v>
      </c>
      <c r="AW1327" s="1">
        <f t="shared" si="1872"/>
        <v>10</v>
      </c>
      <c r="AX1327" s="1">
        <f t="shared" si="1823"/>
        <v>2</v>
      </c>
      <c r="AY1327" s="1">
        <f>MIN(20,MAX(0,O1327+0+0-0))</f>
        <v>2</v>
      </c>
      <c r="AZ1327" s="1">
        <f t="shared" si="1824"/>
        <v>5</v>
      </c>
      <c r="BA1327" s="1">
        <f t="shared" si="1863"/>
        <v>5</v>
      </c>
      <c r="BB1327" s="1">
        <f t="shared" si="1871"/>
        <v>20</v>
      </c>
      <c r="BC1327" s="1">
        <f t="shared" si="1869"/>
        <v>3</v>
      </c>
      <c r="BD1327" s="1">
        <f t="shared" si="1850"/>
        <v>0</v>
      </c>
      <c r="BE1327" s="1">
        <f>MAX(0,U1327-IF(AF1327&gt;0,1,0))+1</f>
        <v>1</v>
      </c>
      <c r="BF1327" s="1">
        <f t="shared" si="1873"/>
        <v>4</v>
      </c>
      <c r="BG1327" s="1">
        <f t="shared" si="1860"/>
        <v>1</v>
      </c>
      <c r="BH1327" s="1">
        <f t="shared" si="1844"/>
        <v>1</v>
      </c>
      <c r="BI1327" s="1">
        <f t="shared" si="1861"/>
        <v>1</v>
      </c>
      <c r="BJ1327" s="1">
        <f t="shared" si="1864"/>
        <v>1</v>
      </c>
      <c r="BK1327" s="1">
        <f t="shared" si="1865"/>
        <v>1</v>
      </c>
      <c r="BL1327" s="1">
        <f t="shared" si="1870"/>
        <v>1</v>
      </c>
      <c r="BM1327" s="1">
        <f t="shared" si="1868"/>
        <v>1</v>
      </c>
      <c r="BN1327" s="1">
        <f t="shared" si="1845"/>
        <v>1</v>
      </c>
      <c r="BO1327" s="1">
        <f t="shared" si="1846"/>
        <v>1</v>
      </c>
    </row>
    <row r="1328" spans="1:67" ht="30.95" customHeight="1">
      <c r="A1328" s="1">
        <f>36</f>
        <v>36</v>
      </c>
      <c r="B1328" s="1">
        <f>固定流程!A32</f>
        <v>27</v>
      </c>
      <c r="C1328" s="1">
        <f>39</f>
        <v>39</v>
      </c>
      <c r="D1328" s="1">
        <f>2</f>
        <v>2</v>
      </c>
      <c r="E1328" s="1">
        <f>固定流程!C32</f>
        <v>3</v>
      </c>
      <c r="F1328" s="1">
        <f>固定流程!G32</f>
        <v>1</v>
      </c>
      <c r="G1328" s="1" t="str">
        <f>固定流程!H32</f>
        <v>LILYA_THIRD</v>
      </c>
      <c r="H1328" s="1">
        <f>固定流程!F32</f>
        <v>1</v>
      </c>
      <c r="I1328" s="1">
        <f>INDEX(配置与结果!$B$15:$B$18,F1328)</f>
        <v>2296</v>
      </c>
      <c r="J1328" s="1">
        <f>INDEX(配置与结果!$D$15:$D$18,F1328)</f>
        <v>0.7</v>
      </c>
      <c r="K1328" s="1">
        <f>INDEX(配置与结果!$E$15:$E$18,F1328)</f>
        <v>2.0249999999999999</v>
      </c>
      <c r="L1328" s="1">
        <f t="shared" si="1857"/>
        <v>2</v>
      </c>
      <c r="M1328" s="1">
        <f t="shared" si="1858"/>
        <v>10</v>
      </c>
      <c r="N1328" s="1">
        <f t="shared" si="1859"/>
        <v>2</v>
      </c>
      <c r="O1328" s="1">
        <f t="shared" si="1851"/>
        <v>2</v>
      </c>
      <c r="P1328" s="1">
        <f>MIN(方案参数!$AI$39,AZ1327+0+0)</f>
        <v>5</v>
      </c>
      <c r="Q1328" s="1">
        <f t="shared" si="1829"/>
        <v>5</v>
      </c>
      <c r="R1328" s="1">
        <f t="shared" si="1830"/>
        <v>20</v>
      </c>
      <c r="S1328" s="1">
        <f t="shared" si="1831"/>
        <v>3</v>
      </c>
      <c r="T1328" s="1">
        <f t="shared" si="1866"/>
        <v>0</v>
      </c>
      <c r="U1328" s="1">
        <f t="shared" si="1833"/>
        <v>1</v>
      </c>
      <c r="V1328" s="1">
        <f t="shared" si="1834"/>
        <v>4</v>
      </c>
      <c r="W1328" s="1">
        <f t="shared" si="1835"/>
        <v>1</v>
      </c>
      <c r="X1328" s="1">
        <f t="shared" si="1836"/>
        <v>1</v>
      </c>
      <c r="Y1328" s="1">
        <f t="shared" si="1837"/>
        <v>1</v>
      </c>
      <c r="Z1328" s="1">
        <f t="shared" si="1838"/>
        <v>1</v>
      </c>
      <c r="AA1328" s="1">
        <f t="shared" si="1862"/>
        <v>1</v>
      </c>
      <c r="AB1328" s="1">
        <f t="shared" si="1840"/>
        <v>1</v>
      </c>
      <c r="AC1328" s="1">
        <f t="shared" si="1867"/>
        <v>1</v>
      </c>
      <c r="AD1328" s="1">
        <f>ROUNDDOWN(I1328*(1+IF(F1328=3,0.05+方案参数!$Y$39+AA1328*0.12,IF(F1328=4,方案参数!$BZ$39*方案参数!$AS$39,0)))+IF(AND(X1328=1,F1328&lt;&gt;3),方案参数!$CC$39,0)+AC1328*方案参数!$CB$39,0)</f>
        <v>3022</v>
      </c>
      <c r="AE1328" s="1">
        <f>IF(OR(F1328=1,F1328=4),配置与结果!$B$24,配置与结果!$B$25)*MAX(0,1-INDEX(配置与结果!$I$15:$I$18,F1328))</f>
        <v>1200</v>
      </c>
      <c r="AF1328" s="1">
        <f>方案参数!$BM$39</f>
        <v>20</v>
      </c>
      <c r="AG1328" s="1">
        <f>MAX(配置与结果!$B$32,1+INDEX(配置与结果!$F$15:$F$18,F1328)+0.08+方案参数!$CD$39+Q1328*方案参数!$W$39+Y1328*(方案参数!$AN$39+MIN(方案参数!$AO$39,P1328*0.03))+AB1328*方案参数!$BZ$39*0.025-配置与结果!$B$28+方案参数!$AE$39)</f>
        <v>2.5750000000000002</v>
      </c>
      <c r="AH1328" s="1">
        <f>MAX(0,1+V1328*方案参数!$U$39+3*方案参数!$V$39+方案参数!$AE$39-配置与结果!$B$29)</f>
        <v>1.7399999999999998</v>
      </c>
      <c r="AI1328" s="1">
        <f>IF(OR(INDEX(配置与结果!$K$15:$K$18,F1328)=1,G1328="RHI_BERRY"),1+配置与结果!$B$33+P1328*方案参数!$AH$39,1)</f>
        <v>1</v>
      </c>
      <c r="AJ1328" s="1">
        <f>MIN(1,MAX(0,J1328+方案参数!$AB$39-配置与结果!$B$27))</f>
        <v>1</v>
      </c>
      <c r="AK1328" s="1">
        <f>MAX(1,K1328+IF(F1328=2,0.15+方案参数!$CH$39,0)+BN1328*方案参数!$X$39+R1328*方案参数!$AA$39+方案参数!$BQ$39-配置与结果!$B$26+Z1328*(方案参数!$AP$39+MIN(方案参数!$AQ$39,P1328*0.03)))</f>
        <v>2.8850000000000002</v>
      </c>
      <c r="AL1328" s="7">
        <f>ROUNDDOWN(MAX(AD1328*配置与结果!$B$31,AD1328-AE1328)*AF1328*AG1328*AH1328*AI1328,0)</f>
        <v>163269</v>
      </c>
      <c r="AM1328" s="7">
        <f>ROUNDDOWN(MAX(AD1328*配置与结果!$B$31,AD1328-AE1328)*AF1328*AG1328*AH1328*AI1328*AK1328,0)</f>
        <v>471032</v>
      </c>
      <c r="AN1328" s="7">
        <f t="shared" si="1817"/>
        <v>471032</v>
      </c>
      <c r="AO1328" s="7">
        <f>0</f>
        <v>0</v>
      </c>
      <c r="AP1328" s="7">
        <f>MAX(0,1+INDEX(配置与结果!$J$15:$J$18,F1328)+IF(T1328&gt;0,方案参数!$BY$39,0)-配置与结果!$B$30)</f>
        <v>1</v>
      </c>
      <c r="AQ1328" s="7">
        <f t="shared" si="1818"/>
        <v>0</v>
      </c>
      <c r="AR1328" s="7">
        <f t="shared" si="1819"/>
        <v>0</v>
      </c>
      <c r="AS1328" s="7">
        <f t="shared" si="1820"/>
        <v>0</v>
      </c>
      <c r="AT1328" s="7">
        <f>IF(U1328&gt;0,ROUNDDOWN(AL1328*方案参数!$AF$39,0)*(1-AJ1328)+ROUNDDOWN(AM1328*方案参数!$AF$39,0)*AJ1328,0)</f>
        <v>188412</v>
      </c>
      <c r="AU1328" s="7">
        <f t="shared" si="1821"/>
        <v>659444</v>
      </c>
      <c r="AV1328" s="1">
        <f t="shared" si="1822"/>
        <v>2</v>
      </c>
      <c r="AW1328" s="1">
        <f t="shared" si="1872"/>
        <v>10</v>
      </c>
      <c r="AX1328" s="1">
        <f t="shared" si="1823"/>
        <v>2</v>
      </c>
      <c r="AY1328" s="1">
        <f>MIN(20,MAX(0,O1328+0+1-0))</f>
        <v>3</v>
      </c>
      <c r="AZ1328" s="1">
        <f t="shared" si="1824"/>
        <v>5</v>
      </c>
      <c r="BA1328" s="1">
        <f t="shared" si="1863"/>
        <v>5</v>
      </c>
      <c r="BB1328" s="1">
        <f t="shared" si="1871"/>
        <v>20</v>
      </c>
      <c r="BC1328" s="1">
        <f t="shared" si="1869"/>
        <v>3</v>
      </c>
      <c r="BD1328" s="1">
        <f t="shared" si="1850"/>
        <v>0</v>
      </c>
      <c r="BE1328" s="1">
        <f>MAX(0,U1328-IF(AF1328&gt;0,1,0))+0</f>
        <v>0</v>
      </c>
      <c r="BF1328" s="1">
        <f t="shared" si="1873"/>
        <v>4</v>
      </c>
      <c r="BG1328" s="1">
        <f t="shared" si="1860"/>
        <v>1</v>
      </c>
      <c r="BH1328" s="1">
        <f t="shared" si="1844"/>
        <v>1</v>
      </c>
      <c r="BI1328" s="1">
        <f t="shared" si="1861"/>
        <v>1</v>
      </c>
      <c r="BJ1328" s="1">
        <f t="shared" si="1864"/>
        <v>1</v>
      </c>
      <c r="BK1328" s="1">
        <f t="shared" si="1865"/>
        <v>1</v>
      </c>
      <c r="BL1328" s="1">
        <f t="shared" si="1870"/>
        <v>1</v>
      </c>
      <c r="BM1328" s="1">
        <f t="shared" si="1868"/>
        <v>1</v>
      </c>
      <c r="BN1328" s="1">
        <f t="shared" si="1845"/>
        <v>1</v>
      </c>
      <c r="BO1328" s="1">
        <f t="shared" si="1846"/>
        <v>1</v>
      </c>
    </row>
    <row r="1329" spans="1:67" ht="30.95" customHeight="1">
      <c r="A1329" s="1">
        <f>36</f>
        <v>36</v>
      </c>
      <c r="B1329" s="1">
        <f>固定流程!A33</f>
        <v>28</v>
      </c>
      <c r="C1329" s="1">
        <f>39</f>
        <v>39</v>
      </c>
      <c r="D1329" s="1">
        <f>2</f>
        <v>2</v>
      </c>
      <c r="E1329" s="1">
        <f>固定流程!C33</f>
        <v>3</v>
      </c>
      <c r="F1329" s="1">
        <f>固定流程!G33</f>
        <v>1</v>
      </c>
      <c r="G1329" s="1" t="str">
        <f>固定流程!H33</f>
        <v>LILYA_WEAK</v>
      </c>
      <c r="H1329" s="1">
        <f>固定流程!F33</f>
        <v>1</v>
      </c>
      <c r="I1329" s="1">
        <f>INDEX(配置与结果!$B$15:$B$18,F1329)</f>
        <v>2296</v>
      </c>
      <c r="J1329" s="1">
        <f>INDEX(配置与结果!$D$15:$D$18,F1329)</f>
        <v>0.7</v>
      </c>
      <c r="K1329" s="1">
        <f>INDEX(配置与结果!$E$15:$E$18,F1329)</f>
        <v>2.0249999999999999</v>
      </c>
      <c r="L1329" s="1">
        <f t="shared" si="1857"/>
        <v>2</v>
      </c>
      <c r="M1329" s="1">
        <f t="shared" si="1858"/>
        <v>10</v>
      </c>
      <c r="N1329" s="1">
        <f t="shared" si="1859"/>
        <v>2</v>
      </c>
      <c r="O1329" s="1">
        <f t="shared" si="1851"/>
        <v>3</v>
      </c>
      <c r="P1329" s="1">
        <f>MIN(方案参数!$AI$39,AZ1328+0+0)</f>
        <v>5</v>
      </c>
      <c r="Q1329" s="1">
        <f t="shared" si="1829"/>
        <v>5</v>
      </c>
      <c r="R1329" s="1">
        <f t="shared" si="1830"/>
        <v>20</v>
      </c>
      <c r="S1329" s="1">
        <f t="shared" si="1831"/>
        <v>3</v>
      </c>
      <c r="T1329" s="1">
        <f t="shared" si="1866"/>
        <v>0</v>
      </c>
      <c r="U1329" s="1">
        <f t="shared" si="1833"/>
        <v>0</v>
      </c>
      <c r="V1329" s="1">
        <f t="shared" si="1834"/>
        <v>4</v>
      </c>
      <c r="W1329" s="1">
        <f t="shared" si="1835"/>
        <v>1</v>
      </c>
      <c r="X1329" s="1">
        <f t="shared" si="1836"/>
        <v>1</v>
      </c>
      <c r="Y1329" s="1">
        <f t="shared" si="1837"/>
        <v>1</v>
      </c>
      <c r="Z1329" s="1">
        <f t="shared" si="1838"/>
        <v>1</v>
      </c>
      <c r="AA1329" s="1">
        <f t="shared" si="1862"/>
        <v>1</v>
      </c>
      <c r="AB1329" s="1">
        <f t="shared" si="1840"/>
        <v>1</v>
      </c>
      <c r="AC1329" s="1">
        <f t="shared" si="1867"/>
        <v>1</v>
      </c>
      <c r="AD1329" s="1">
        <f>ROUNDDOWN(I1329*(1+IF(F1329=3,0.05+方案参数!$Y$39+AA1329*0.12,IF(F1329=4,方案参数!$BZ$39*方案参数!$AS$39,0)))+IF(AND(X1329=1,F1329&lt;&gt;3),方案参数!$CC$39,0)+AC1329*方案参数!$CB$39,0)</f>
        <v>3022</v>
      </c>
      <c r="AE1329" s="1">
        <f>IF(OR(F1329=1,F1329=4),配置与结果!$B$24,配置与结果!$B$25)*MAX(0,1-INDEX(配置与结果!$I$15:$I$18,F1329))</f>
        <v>1200</v>
      </c>
      <c r="AF1329" s="1">
        <f>方案参数!$BL$39</f>
        <v>9</v>
      </c>
      <c r="AG1329" s="1">
        <f>MAX(配置与结果!$B$32,1+INDEX(配置与结果!$F$15:$F$18,F1329)+0.08+方案参数!$CD$39+Q1329*方案参数!$W$39+Y1329*(方案参数!$AN$39+MIN(方案参数!$AO$39,P1329*0.03))+AB1329*方案参数!$BZ$39*0.025-配置与结果!$B$28+方案参数!$AE$39)</f>
        <v>2.5750000000000002</v>
      </c>
      <c r="AH1329" s="1">
        <f>MAX(0,1+V1329*方案参数!$U$39+4*方案参数!$V$39+方案参数!$AE$39-配置与结果!$B$29)</f>
        <v>1.7999999999999998</v>
      </c>
      <c r="AI1329" s="1">
        <f>IF(OR(INDEX(配置与结果!$K$15:$K$18,F1329)=1,G1329="RHI_BERRY"),1+配置与结果!$B$33+P1329*方案参数!$AH$39,1)</f>
        <v>1</v>
      </c>
      <c r="AJ1329" s="1">
        <f>MIN(1,MAX(0,J1329+方案参数!$AB$39-配置与结果!$B$27))</f>
        <v>1</v>
      </c>
      <c r="AK1329" s="1">
        <f>MAX(1,K1329+IF(F1329=2,0.15+方案参数!$CH$39,0)+BN1329*方案参数!$X$39+R1329*方案参数!$AA$39+方案参数!$BP$39-配置与结果!$B$26+Z1329*(方案参数!$AP$39+MIN(方案参数!$AQ$39,P1329*0.03)))</f>
        <v>2.6850000000000001</v>
      </c>
      <c r="AL1329" s="7">
        <f>ROUNDDOWN(MAX(AD1329*配置与结果!$B$31,AD1329-AE1329)*AF1329*AG1329*AH1329*AI1329,0)</f>
        <v>76004</v>
      </c>
      <c r="AM1329" s="7">
        <f>ROUNDDOWN(MAX(AD1329*配置与结果!$B$31,AD1329-AE1329)*AF1329*AG1329*AH1329*AI1329*AK1329,0)</f>
        <v>204072</v>
      </c>
      <c r="AN1329" s="7">
        <f t="shared" si="1817"/>
        <v>204072</v>
      </c>
      <c r="AO1329" s="7">
        <f>0</f>
        <v>0</v>
      </c>
      <c r="AP1329" s="7">
        <f>MAX(0,1+INDEX(配置与结果!$J$15:$J$18,F1329)+IF(T1329&gt;0,方案参数!$BY$39,0)-配置与结果!$B$30)</f>
        <v>1</v>
      </c>
      <c r="AQ1329" s="7">
        <f t="shared" si="1818"/>
        <v>0</v>
      </c>
      <c r="AR1329" s="7">
        <f t="shared" si="1819"/>
        <v>0</v>
      </c>
      <c r="AS1329" s="7">
        <f t="shared" si="1820"/>
        <v>0</v>
      </c>
      <c r="AT1329" s="7">
        <f>IF(U1329&gt;0,ROUNDDOWN(AL1329*方案参数!$AF$39,0)*(1-AJ1329)+ROUNDDOWN(AM1329*方案参数!$AF$39,0)*AJ1329,0)</f>
        <v>0</v>
      </c>
      <c r="AU1329" s="7">
        <f t="shared" si="1821"/>
        <v>204072</v>
      </c>
      <c r="AV1329" s="1">
        <f t="shared" si="1822"/>
        <v>2</v>
      </c>
      <c r="AW1329" s="1">
        <f t="shared" si="1872"/>
        <v>10</v>
      </c>
      <c r="AX1329" s="1">
        <f t="shared" si="1823"/>
        <v>2</v>
      </c>
      <c r="AY1329" s="1">
        <f>MIN(20,MAX(0,O1329+0+1-0))</f>
        <v>4</v>
      </c>
      <c r="AZ1329" s="1">
        <f t="shared" si="1824"/>
        <v>5</v>
      </c>
      <c r="BA1329" s="1">
        <f t="shared" si="1863"/>
        <v>5</v>
      </c>
      <c r="BB1329" s="1">
        <f t="shared" si="1871"/>
        <v>20</v>
      </c>
      <c r="BC1329" s="1">
        <f t="shared" si="1869"/>
        <v>3</v>
      </c>
      <c r="BD1329" s="1">
        <f t="shared" si="1850"/>
        <v>0</v>
      </c>
      <c r="BE1329" s="1">
        <f>MAX(0,U1329-IF(AF1329&gt;0,1,0))+0</f>
        <v>0</v>
      </c>
      <c r="BF1329" s="1">
        <f t="shared" si="1873"/>
        <v>4</v>
      </c>
      <c r="BG1329" s="1">
        <f t="shared" si="1860"/>
        <v>1</v>
      </c>
      <c r="BH1329" s="1">
        <f t="shared" si="1844"/>
        <v>1</v>
      </c>
      <c r="BI1329" s="1">
        <f t="shared" si="1861"/>
        <v>1</v>
      </c>
      <c r="BJ1329" s="1">
        <f t="shared" si="1864"/>
        <v>1</v>
      </c>
      <c r="BK1329" s="1">
        <f t="shared" si="1865"/>
        <v>1</v>
      </c>
      <c r="BL1329" s="1">
        <f t="shared" si="1870"/>
        <v>1</v>
      </c>
      <c r="BM1329" s="1">
        <f t="shared" si="1868"/>
        <v>1</v>
      </c>
      <c r="BN1329" s="1">
        <f t="shared" si="1845"/>
        <v>1</v>
      </c>
      <c r="BO1329" s="1">
        <f t="shared" si="1846"/>
        <v>1</v>
      </c>
    </row>
    <row r="1330" spans="1:67" ht="30.95" customHeight="1">
      <c r="A1330" s="1">
        <f>36</f>
        <v>36</v>
      </c>
      <c r="B1330" s="1">
        <f>固定流程!A34</f>
        <v>29</v>
      </c>
      <c r="C1330" s="1">
        <f>39</f>
        <v>39</v>
      </c>
      <c r="D1330" s="1">
        <f>2</f>
        <v>2</v>
      </c>
      <c r="E1330" s="1">
        <f>固定流程!C34</f>
        <v>3</v>
      </c>
      <c r="F1330" s="1">
        <f>固定流程!G34</f>
        <v>1</v>
      </c>
      <c r="G1330" s="1" t="str">
        <f>固定流程!H34</f>
        <v>LILYA_WEAK</v>
      </c>
      <c r="H1330" s="1">
        <f>固定流程!F34</f>
        <v>1</v>
      </c>
      <c r="I1330" s="1">
        <f>INDEX(配置与结果!$B$15:$B$18,F1330)</f>
        <v>2296</v>
      </c>
      <c r="J1330" s="1">
        <f>INDEX(配置与结果!$D$15:$D$18,F1330)</f>
        <v>0.7</v>
      </c>
      <c r="K1330" s="1">
        <f>INDEX(配置与结果!$E$15:$E$18,F1330)</f>
        <v>2.0249999999999999</v>
      </c>
      <c r="L1330" s="1">
        <f t="shared" si="1857"/>
        <v>2</v>
      </c>
      <c r="M1330" s="1">
        <f t="shared" si="1858"/>
        <v>10</v>
      </c>
      <c r="N1330" s="1">
        <f t="shared" si="1859"/>
        <v>2</v>
      </c>
      <c r="O1330" s="1">
        <f t="shared" si="1851"/>
        <v>4</v>
      </c>
      <c r="P1330" s="1">
        <f>MIN(方案参数!$AI$39,AZ1329+0+0)</f>
        <v>5</v>
      </c>
      <c r="Q1330" s="1">
        <f t="shared" si="1829"/>
        <v>5</v>
      </c>
      <c r="R1330" s="1">
        <f t="shared" si="1830"/>
        <v>20</v>
      </c>
      <c r="S1330" s="1">
        <f t="shared" si="1831"/>
        <v>3</v>
      </c>
      <c r="T1330" s="1">
        <f t="shared" si="1866"/>
        <v>0</v>
      </c>
      <c r="U1330" s="1">
        <f t="shared" si="1833"/>
        <v>0</v>
      </c>
      <c r="V1330" s="1">
        <f t="shared" si="1834"/>
        <v>4</v>
      </c>
      <c r="W1330" s="1">
        <f t="shared" si="1835"/>
        <v>1</v>
      </c>
      <c r="X1330" s="1">
        <f t="shared" si="1836"/>
        <v>1</v>
      </c>
      <c r="Y1330" s="1">
        <f t="shared" si="1837"/>
        <v>1</v>
      </c>
      <c r="Z1330" s="1">
        <f t="shared" si="1838"/>
        <v>1</v>
      </c>
      <c r="AA1330" s="1">
        <f t="shared" si="1862"/>
        <v>1</v>
      </c>
      <c r="AB1330" s="1">
        <f t="shared" si="1840"/>
        <v>1</v>
      </c>
      <c r="AC1330" s="1">
        <f t="shared" si="1867"/>
        <v>1</v>
      </c>
      <c r="AD1330" s="1">
        <f>ROUNDDOWN(I1330*(1+IF(F1330=3,0.05+方案参数!$Y$39+AA1330*0.12,IF(F1330=4,方案参数!$BZ$39*方案参数!$AS$39,0)))+IF(AND(X1330=1,F1330&lt;&gt;3),方案参数!$CC$39,0)+AC1330*方案参数!$CB$39,0)</f>
        <v>3022</v>
      </c>
      <c r="AE1330" s="1">
        <f>IF(OR(F1330=1,F1330=4),配置与结果!$B$24,配置与结果!$B$25)*MAX(0,1-INDEX(配置与结果!$I$15:$I$18,F1330))</f>
        <v>1200</v>
      </c>
      <c r="AF1330" s="1">
        <f>方案参数!$BL$39</f>
        <v>9</v>
      </c>
      <c r="AG1330" s="1">
        <f>MAX(配置与结果!$B$32,1+INDEX(配置与结果!$F$15:$F$18,F1330)+0.08+方案参数!$CD$39+Q1330*方案参数!$W$39+Y1330*(方案参数!$AN$39+MIN(方案参数!$AO$39,P1330*0.03))+AB1330*方案参数!$BZ$39*0.025-配置与结果!$B$28+方案参数!$AE$39)</f>
        <v>2.5750000000000002</v>
      </c>
      <c r="AH1330" s="1">
        <f>MAX(0,1+V1330*方案参数!$U$39+5*方案参数!$V$39+方案参数!$AE$39-配置与结果!$B$29)</f>
        <v>1.8599999999999999</v>
      </c>
      <c r="AI1330" s="1">
        <f>IF(OR(INDEX(配置与结果!$K$15:$K$18,F1330)=1,G1330="RHI_BERRY"),1+配置与结果!$B$33+P1330*方案参数!$AH$39,1)</f>
        <v>1</v>
      </c>
      <c r="AJ1330" s="1">
        <f>MIN(1,MAX(0,J1330+方案参数!$AB$39-配置与结果!$B$27))</f>
        <v>1</v>
      </c>
      <c r="AK1330" s="1">
        <f>MAX(1,K1330+IF(F1330=2,0.15+方案参数!$CH$39,0)+BN1330*方案参数!$X$39+R1330*方案参数!$AA$39+方案参数!$BP$39-配置与结果!$B$26+Z1330*(方案参数!$AP$39+MIN(方案参数!$AQ$39,P1330*0.03)))</f>
        <v>2.6850000000000001</v>
      </c>
      <c r="AL1330" s="7">
        <f>ROUNDDOWN(MAX(AD1330*配置与结果!$B$31,AD1330-AE1330)*AF1330*AG1330*AH1330*AI1330,0)</f>
        <v>78538</v>
      </c>
      <c r="AM1330" s="7">
        <f>ROUNDDOWN(MAX(AD1330*配置与结果!$B$31,AD1330-AE1330)*AF1330*AG1330*AH1330*AI1330*AK1330,0)</f>
        <v>210875</v>
      </c>
      <c r="AN1330" s="7">
        <f t="shared" si="1817"/>
        <v>210875</v>
      </c>
      <c r="AO1330" s="7">
        <f>0</f>
        <v>0</v>
      </c>
      <c r="AP1330" s="7">
        <f>MAX(0,1+INDEX(配置与结果!$J$15:$J$18,F1330)+IF(T1330&gt;0,方案参数!$BY$39,0)-配置与结果!$B$30)</f>
        <v>1</v>
      </c>
      <c r="AQ1330" s="7">
        <f t="shared" si="1818"/>
        <v>0</v>
      </c>
      <c r="AR1330" s="7">
        <f t="shared" si="1819"/>
        <v>0</v>
      </c>
      <c r="AS1330" s="7">
        <f t="shared" si="1820"/>
        <v>0</v>
      </c>
      <c r="AT1330" s="7">
        <f>IF(U1330&gt;0,ROUNDDOWN(AL1330*方案参数!$AF$39,0)*(1-AJ1330)+ROUNDDOWN(AM1330*方案参数!$AF$39,0)*AJ1330,0)</f>
        <v>0</v>
      </c>
      <c r="AU1330" s="7">
        <f t="shared" si="1821"/>
        <v>210875</v>
      </c>
      <c r="AV1330" s="1">
        <f t="shared" si="1822"/>
        <v>2</v>
      </c>
      <c r="AW1330" s="1">
        <f t="shared" si="1872"/>
        <v>10</v>
      </c>
      <c r="AX1330" s="1">
        <f t="shared" si="1823"/>
        <v>2</v>
      </c>
      <c r="AY1330" s="1">
        <f>MIN(20,MAX(0,O1330+0+1-0))</f>
        <v>5</v>
      </c>
      <c r="AZ1330" s="1">
        <f t="shared" si="1824"/>
        <v>5</v>
      </c>
      <c r="BA1330" s="1">
        <f t="shared" si="1863"/>
        <v>5</v>
      </c>
      <c r="BB1330" s="1">
        <f t="shared" si="1871"/>
        <v>20</v>
      </c>
      <c r="BC1330" s="1">
        <f t="shared" si="1869"/>
        <v>3</v>
      </c>
      <c r="BD1330" s="1">
        <f t="shared" si="1850"/>
        <v>0</v>
      </c>
      <c r="BE1330" s="1">
        <f>MAX(0,U1330-IF(AF1330&gt;0,1,0))+0</f>
        <v>0</v>
      </c>
      <c r="BF1330" s="1">
        <f t="shared" si="1873"/>
        <v>4</v>
      </c>
      <c r="BG1330" s="1">
        <f t="shared" si="1860"/>
        <v>1</v>
      </c>
      <c r="BH1330" s="1">
        <f t="shared" si="1844"/>
        <v>1</v>
      </c>
      <c r="BI1330" s="1">
        <f t="shared" si="1861"/>
        <v>1</v>
      </c>
      <c r="BJ1330" s="1">
        <f t="shared" si="1864"/>
        <v>1</v>
      </c>
      <c r="BK1330" s="1">
        <f t="shared" si="1865"/>
        <v>1</v>
      </c>
      <c r="BL1330" s="1">
        <f t="shared" si="1870"/>
        <v>1</v>
      </c>
      <c r="BM1330" s="1">
        <f t="shared" si="1868"/>
        <v>1</v>
      </c>
      <c r="BN1330" s="1">
        <f t="shared" si="1845"/>
        <v>1</v>
      </c>
      <c r="BO1330" s="1">
        <f t="shared" si="1846"/>
        <v>1</v>
      </c>
    </row>
    <row r="1331" spans="1:67" ht="30.95" customHeight="1">
      <c r="A1331" s="1">
        <f>36</f>
        <v>36</v>
      </c>
      <c r="B1331" s="1">
        <f>固定流程!A35</f>
        <v>30</v>
      </c>
      <c r="C1331" s="1">
        <f>39</f>
        <v>39</v>
      </c>
      <c r="D1331" s="1">
        <f>2</f>
        <v>2</v>
      </c>
      <c r="E1331" s="1">
        <f>固定流程!C35</f>
        <v>3</v>
      </c>
      <c r="F1331" s="1">
        <f>固定流程!G35</f>
        <v>2</v>
      </c>
      <c r="G1331" s="1" t="str">
        <f>固定流程!H35</f>
        <v>37_WEAK</v>
      </c>
      <c r="H1331" s="1">
        <f>固定流程!F35</f>
        <v>1</v>
      </c>
      <c r="I1331" s="1">
        <f>INDEX(配置与结果!$B$15:$B$18,F1331)</f>
        <v>2306</v>
      </c>
      <c r="J1331" s="1">
        <f>INDEX(配置与结果!$D$15:$D$18,F1331)</f>
        <v>0.46</v>
      </c>
      <c r="K1331" s="1">
        <f>INDEX(配置与结果!$E$15:$E$18,F1331)</f>
        <v>1.9279999999999999</v>
      </c>
      <c r="L1331" s="1">
        <f t="shared" si="1857"/>
        <v>2</v>
      </c>
      <c r="M1331" s="1">
        <f t="shared" si="1858"/>
        <v>10</v>
      </c>
      <c r="N1331" s="1">
        <f t="shared" si="1859"/>
        <v>2</v>
      </c>
      <c r="O1331" s="1">
        <f t="shared" si="1851"/>
        <v>5</v>
      </c>
      <c r="P1331" s="1">
        <f>MIN(方案参数!$AI$39,AZ1330+0+0)</f>
        <v>5</v>
      </c>
      <c r="Q1331" s="1">
        <f t="shared" si="1829"/>
        <v>5</v>
      </c>
      <c r="R1331" s="1">
        <f t="shared" si="1830"/>
        <v>20</v>
      </c>
      <c r="S1331" s="1">
        <f t="shared" si="1831"/>
        <v>3</v>
      </c>
      <c r="T1331" s="1">
        <f t="shared" si="1866"/>
        <v>0</v>
      </c>
      <c r="U1331" s="1">
        <f t="shared" si="1833"/>
        <v>0</v>
      </c>
      <c r="V1331" s="1">
        <f t="shared" si="1834"/>
        <v>4</v>
      </c>
      <c r="W1331" s="1">
        <f t="shared" si="1835"/>
        <v>1</v>
      </c>
      <c r="X1331" s="1">
        <f t="shared" si="1836"/>
        <v>1</v>
      </c>
      <c r="Y1331" s="1">
        <f t="shared" si="1837"/>
        <v>1</v>
      </c>
      <c r="Z1331" s="1">
        <f t="shared" si="1838"/>
        <v>1</v>
      </c>
      <c r="AA1331" s="1">
        <f t="shared" si="1862"/>
        <v>1</v>
      </c>
      <c r="AB1331" s="1">
        <f t="shared" si="1840"/>
        <v>1</v>
      </c>
      <c r="AC1331" s="1">
        <f t="shared" si="1867"/>
        <v>1</v>
      </c>
      <c r="AD1331" s="1">
        <f>ROUNDDOWN(I1331*(1+IF(F1331=3,0.05+方案参数!$Y$39+AA1331*0.12,IF(F1331=4,方案参数!$BZ$39*方案参数!$AS$39,0)))+IF(AND(X1331=1,F1331&lt;&gt;3),方案参数!$CC$39,0)+AC1331*方案参数!$CB$39,0)</f>
        <v>3032</v>
      </c>
      <c r="AE1331" s="1">
        <f>IF(OR(F1331=1,F1331=4),配置与结果!$B$24,配置与结果!$B$25)*MAX(0,1-INDEX(配置与结果!$I$15:$I$18,F1331))</f>
        <v>1000</v>
      </c>
      <c r="AF1331" s="1">
        <f>方案参数!$CE$39</f>
        <v>8</v>
      </c>
      <c r="AG1331" s="1">
        <f>MAX(配置与结果!$B$32,1+INDEX(配置与结果!$F$15:$F$18,F1331)+0+Q1331*方案参数!$W$39+Y1331*(方案参数!$AN$39+MIN(方案参数!$AO$39,P1331*0.03))+AB1331*方案参数!$BZ$39*0.025-配置与结果!$B$28+方案参数!$AE$39)</f>
        <v>2.2400000000000002</v>
      </c>
      <c r="AH1331" s="1">
        <f>MAX(0,1+V1331*方案参数!$U$39+方案参数!$AE$39-配置与结果!$B$29)</f>
        <v>1.56</v>
      </c>
      <c r="AI1331" s="1">
        <f>IF(OR(INDEX(配置与结果!$K$15:$K$18,F1331)=1,G1331="RHI_BERRY"),1+配置与结果!$B$33+P1331*方案参数!$AH$39,1)</f>
        <v>1</v>
      </c>
      <c r="AJ1331" s="1">
        <f>MIN(1,MAX(0,J1331+方案参数!$AB$39-配置与结果!$B$27))</f>
        <v>0.76</v>
      </c>
      <c r="AK1331" s="1">
        <f>MAX(1,K1331+IF(F1331=2,0.15+方案参数!$CH$39,0)+BN1331*方案参数!$X$39+R1331*方案参数!$AA$39+0-配置与结果!$B$26+Z1331*(方案参数!$AP$39+MIN(方案参数!$AQ$39,P1331*0.03)))</f>
        <v>2.258</v>
      </c>
      <c r="AL1331" s="7">
        <f>ROUNDDOWN(MAX(AD1331*配置与结果!$B$31,AD1331-AE1331)*AF1331*AG1331*AH1331*AI1331,0)</f>
        <v>56804</v>
      </c>
      <c r="AM1331" s="7">
        <f>ROUNDDOWN(MAX(AD1331*配置与结果!$B$31,AD1331-AE1331)*AF1331*AG1331*AH1331*AI1331*AK1331,0)</f>
        <v>128265</v>
      </c>
      <c r="AN1331" s="7">
        <f t="shared" si="1817"/>
        <v>111114.35999999999</v>
      </c>
      <c r="AO1331" s="7">
        <f>0</f>
        <v>0</v>
      </c>
      <c r="AP1331" s="7">
        <f>MAX(0,1+INDEX(配置与结果!$J$15:$J$18,F1331)+IF(T1331&gt;0,方案参数!$BY$39,0)-配置与结果!$B$30)</f>
        <v>1</v>
      </c>
      <c r="AQ1331" s="7">
        <f t="shared" si="1818"/>
        <v>0</v>
      </c>
      <c r="AR1331" s="7">
        <f t="shared" si="1819"/>
        <v>0</v>
      </c>
      <c r="AS1331" s="7">
        <f t="shared" si="1820"/>
        <v>0</v>
      </c>
      <c r="AT1331" s="7">
        <f>IF(U1331&gt;0,ROUNDDOWN(AL1331*方案参数!$AF$39,0)*(1-AJ1331)+ROUNDDOWN(AM1331*方案参数!$AF$39,0)*AJ1331,0)</f>
        <v>0</v>
      </c>
      <c r="AU1331" s="7">
        <f t="shared" si="1821"/>
        <v>111114.35999999999</v>
      </c>
      <c r="AV1331" s="1">
        <f t="shared" si="1822"/>
        <v>2</v>
      </c>
      <c r="AW1331" s="1">
        <f t="shared" si="1872"/>
        <v>10</v>
      </c>
      <c r="AX1331" s="1">
        <f t="shared" si="1823"/>
        <v>2</v>
      </c>
      <c r="AY1331" s="1">
        <f>MIN(20,MAX(0,O1331+0+0-0))</f>
        <v>5</v>
      </c>
      <c r="AZ1331" s="1">
        <f t="shared" si="1824"/>
        <v>5</v>
      </c>
      <c r="BA1331" s="1">
        <f t="shared" si="1863"/>
        <v>5</v>
      </c>
      <c r="BB1331" s="1">
        <f t="shared" si="1871"/>
        <v>20</v>
      </c>
      <c r="BC1331" s="1">
        <f t="shared" si="1869"/>
        <v>3</v>
      </c>
      <c r="BD1331" s="1">
        <f t="shared" si="1850"/>
        <v>0</v>
      </c>
      <c r="BE1331" s="1">
        <f>MAX(0,U1331-IF(AF1331&gt;0,1,0))+1</f>
        <v>1</v>
      </c>
      <c r="BF1331" s="1">
        <f t="shared" si="1873"/>
        <v>4</v>
      </c>
      <c r="BG1331" s="1">
        <f t="shared" si="1860"/>
        <v>1</v>
      </c>
      <c r="BH1331" s="1">
        <f t="shared" si="1844"/>
        <v>1</v>
      </c>
      <c r="BI1331" s="1">
        <f t="shared" si="1861"/>
        <v>1</v>
      </c>
      <c r="BJ1331" s="1">
        <f t="shared" si="1864"/>
        <v>1</v>
      </c>
      <c r="BK1331" s="1">
        <f t="shared" si="1865"/>
        <v>1</v>
      </c>
      <c r="BL1331" s="1">
        <f t="shared" si="1870"/>
        <v>1</v>
      </c>
      <c r="BM1331" s="1">
        <f t="shared" si="1868"/>
        <v>1</v>
      </c>
      <c r="BN1331" s="1">
        <f t="shared" si="1845"/>
        <v>1</v>
      </c>
      <c r="BO1331" s="1">
        <f t="shared" si="1846"/>
        <v>1</v>
      </c>
    </row>
    <row r="1332" spans="1:67" ht="30.95" customHeight="1">
      <c r="A1332" s="1">
        <f>36</f>
        <v>36</v>
      </c>
      <c r="B1332" s="1">
        <f>固定流程!A36</f>
        <v>31</v>
      </c>
      <c r="C1332" s="1">
        <f>39</f>
        <v>39</v>
      </c>
      <c r="D1332" s="1">
        <f>2</f>
        <v>2</v>
      </c>
      <c r="E1332" s="1">
        <f>固定流程!C36</f>
        <v>3</v>
      </c>
      <c r="F1332" s="1">
        <f>固定流程!G36</f>
        <v>1</v>
      </c>
      <c r="G1332" s="1" t="str">
        <f>固定流程!H36</f>
        <v>LILYA_THIRD</v>
      </c>
      <c r="H1332" s="1">
        <f>固定流程!F36</f>
        <v>1</v>
      </c>
      <c r="I1332" s="1">
        <f>INDEX(配置与结果!$B$15:$B$18,F1332)</f>
        <v>2296</v>
      </c>
      <c r="J1332" s="1">
        <f>INDEX(配置与结果!$D$15:$D$18,F1332)</f>
        <v>0.7</v>
      </c>
      <c r="K1332" s="1">
        <f>INDEX(配置与结果!$E$15:$E$18,F1332)</f>
        <v>2.0249999999999999</v>
      </c>
      <c r="L1332" s="1">
        <f t="shared" si="1857"/>
        <v>2</v>
      </c>
      <c r="M1332" s="1">
        <f t="shared" si="1858"/>
        <v>10</v>
      </c>
      <c r="N1332" s="1">
        <f t="shared" si="1859"/>
        <v>2</v>
      </c>
      <c r="O1332" s="1">
        <f t="shared" si="1851"/>
        <v>5</v>
      </c>
      <c r="P1332" s="1">
        <f>MIN(方案参数!$AI$39,AZ1331+0+0)</f>
        <v>5</v>
      </c>
      <c r="Q1332" s="1">
        <f t="shared" si="1829"/>
        <v>5</v>
      </c>
      <c r="R1332" s="1">
        <f t="shared" si="1830"/>
        <v>20</v>
      </c>
      <c r="S1332" s="1">
        <f t="shared" si="1831"/>
        <v>3</v>
      </c>
      <c r="T1332" s="1">
        <f t="shared" si="1866"/>
        <v>0</v>
      </c>
      <c r="U1332" s="1">
        <f t="shared" si="1833"/>
        <v>1</v>
      </c>
      <c r="V1332" s="1">
        <f t="shared" si="1834"/>
        <v>4</v>
      </c>
      <c r="W1332" s="1">
        <f t="shared" si="1835"/>
        <v>1</v>
      </c>
      <c r="X1332" s="1">
        <f t="shared" si="1836"/>
        <v>1</v>
      </c>
      <c r="Y1332" s="1">
        <f t="shared" si="1837"/>
        <v>1</v>
      </c>
      <c r="Z1332" s="1">
        <f t="shared" si="1838"/>
        <v>1</v>
      </c>
      <c r="AA1332" s="1">
        <f t="shared" si="1862"/>
        <v>1</v>
      </c>
      <c r="AB1332" s="1">
        <f t="shared" si="1840"/>
        <v>1</v>
      </c>
      <c r="AC1332" s="1">
        <f t="shared" si="1867"/>
        <v>1</v>
      </c>
      <c r="AD1332" s="1">
        <f>ROUNDDOWN(I1332*(1+IF(F1332=3,0.05+方案参数!$Y$39+AA1332*0.12,IF(F1332=4,方案参数!$BZ$39*方案参数!$AS$39,0)))+IF(AND(X1332=1,F1332&lt;&gt;3),方案参数!$CC$39,0)+AC1332*方案参数!$CB$39,0)</f>
        <v>3022</v>
      </c>
      <c r="AE1332" s="1">
        <f>IF(OR(F1332=1,F1332=4),配置与结果!$B$24,配置与结果!$B$25)*MAX(0,1-INDEX(配置与结果!$I$15:$I$18,F1332))</f>
        <v>1200</v>
      </c>
      <c r="AF1332" s="1">
        <f>方案参数!$BM$39</f>
        <v>20</v>
      </c>
      <c r="AG1332" s="1">
        <f>MAX(配置与结果!$B$32,1+INDEX(配置与结果!$F$15:$F$18,F1332)+0.08+方案参数!$CD$39+Q1332*方案参数!$W$39+Y1332*(方案参数!$AN$39+MIN(方案参数!$AO$39,P1332*0.03))+AB1332*方案参数!$BZ$39*0.025-配置与结果!$B$28+方案参数!$AE$39)</f>
        <v>2.5750000000000002</v>
      </c>
      <c r="AH1332" s="1">
        <f>MAX(0,1+V1332*方案参数!$U$39+7*方案参数!$V$39+方案参数!$AE$39-配置与结果!$B$29)</f>
        <v>1.98</v>
      </c>
      <c r="AI1332" s="1">
        <f>IF(OR(INDEX(配置与结果!$K$15:$K$18,F1332)=1,G1332="RHI_BERRY"),1+配置与结果!$B$33+P1332*方案参数!$AH$39,1)</f>
        <v>1</v>
      </c>
      <c r="AJ1332" s="1">
        <f>MIN(1,MAX(0,J1332+方案参数!$AB$39-配置与结果!$B$27))</f>
        <v>1</v>
      </c>
      <c r="AK1332" s="1">
        <f>MAX(1,K1332+IF(F1332=2,0.15+方案参数!$CH$39,0)+BN1332*方案参数!$X$39+R1332*方案参数!$AA$39+方案参数!$BQ$39-配置与结果!$B$26+Z1332*(方案参数!$AP$39+MIN(方案参数!$AQ$39,P1332*0.03)))</f>
        <v>2.8850000000000002</v>
      </c>
      <c r="AL1332" s="7">
        <f>ROUNDDOWN(MAX(AD1332*配置与结果!$B$31,AD1332-AE1332)*AF1332*AG1332*AH1332*AI1332,0)</f>
        <v>185789</v>
      </c>
      <c r="AM1332" s="7">
        <f>ROUNDDOWN(MAX(AD1332*配置与结果!$B$31,AD1332-AE1332)*AF1332*AG1332*AH1332*AI1332*AK1332,0)</f>
        <v>536002</v>
      </c>
      <c r="AN1332" s="7">
        <f t="shared" si="1817"/>
        <v>536002</v>
      </c>
      <c r="AO1332" s="7">
        <f>0</f>
        <v>0</v>
      </c>
      <c r="AP1332" s="7">
        <f>MAX(0,1+INDEX(配置与结果!$J$15:$J$18,F1332)+IF(T1332&gt;0,方案参数!$BY$39,0)-配置与结果!$B$30)</f>
        <v>1</v>
      </c>
      <c r="AQ1332" s="7">
        <f t="shared" si="1818"/>
        <v>0</v>
      </c>
      <c r="AR1332" s="7">
        <f t="shared" si="1819"/>
        <v>0</v>
      </c>
      <c r="AS1332" s="7">
        <f t="shared" si="1820"/>
        <v>0</v>
      </c>
      <c r="AT1332" s="7">
        <f>IF(U1332&gt;0,ROUNDDOWN(AL1332*方案参数!$AF$39,0)*(1-AJ1332)+ROUNDDOWN(AM1332*方案参数!$AF$39,0)*AJ1332,0)</f>
        <v>214400</v>
      </c>
      <c r="AU1332" s="7">
        <f t="shared" si="1821"/>
        <v>750402</v>
      </c>
      <c r="AV1332" s="1">
        <f t="shared" si="1822"/>
        <v>2</v>
      </c>
      <c r="AW1332" s="1">
        <f t="shared" si="1872"/>
        <v>10</v>
      </c>
      <c r="AX1332" s="1">
        <f t="shared" si="1823"/>
        <v>2</v>
      </c>
      <c r="AY1332" s="1">
        <f>MIN(20,MAX(0,O1332+0+1-0))</f>
        <v>6</v>
      </c>
      <c r="AZ1332" s="1">
        <f t="shared" si="1824"/>
        <v>5</v>
      </c>
      <c r="BA1332" s="1">
        <f t="shared" si="1863"/>
        <v>5</v>
      </c>
      <c r="BB1332" s="1">
        <f t="shared" si="1871"/>
        <v>20</v>
      </c>
      <c r="BC1332" s="1">
        <f t="shared" si="1869"/>
        <v>3</v>
      </c>
      <c r="BD1332" s="1">
        <f t="shared" si="1850"/>
        <v>0</v>
      </c>
      <c r="BE1332" s="1">
        <f>MAX(0,U1332-IF(AF1332&gt;0,1,0))+0</f>
        <v>0</v>
      </c>
      <c r="BF1332" s="1">
        <f t="shared" si="1873"/>
        <v>4</v>
      </c>
      <c r="BG1332" s="1">
        <f t="shared" si="1860"/>
        <v>1</v>
      </c>
      <c r="BH1332" s="1">
        <f t="shared" si="1844"/>
        <v>1</v>
      </c>
      <c r="BI1332" s="1">
        <f t="shared" si="1861"/>
        <v>1</v>
      </c>
      <c r="BJ1332" s="1">
        <f t="shared" si="1864"/>
        <v>1</v>
      </c>
      <c r="BK1332" s="1">
        <f t="shared" si="1865"/>
        <v>1</v>
      </c>
      <c r="BL1332" s="1">
        <f t="shared" si="1870"/>
        <v>1</v>
      </c>
      <c r="BM1332" s="1">
        <f t="shared" si="1868"/>
        <v>1</v>
      </c>
      <c r="BN1332" s="1">
        <f t="shared" si="1845"/>
        <v>1</v>
      </c>
      <c r="BO1332" s="1">
        <f t="shared" si="1846"/>
        <v>1</v>
      </c>
    </row>
    <row r="1333" spans="1:67" ht="30.95" customHeight="1">
      <c r="A1333" s="1">
        <f>36</f>
        <v>36</v>
      </c>
      <c r="B1333" s="1">
        <f>固定流程!A37</f>
        <v>32</v>
      </c>
      <c r="C1333" s="1">
        <f>39</f>
        <v>39</v>
      </c>
      <c r="D1333" s="1">
        <f>2</f>
        <v>2</v>
      </c>
      <c r="E1333" s="1">
        <f>固定流程!C37</f>
        <v>3</v>
      </c>
      <c r="F1333" s="1">
        <f>固定流程!G37</f>
        <v>1</v>
      </c>
      <c r="G1333" s="1" t="str">
        <f>固定流程!H37</f>
        <v>LILYA_WEAK</v>
      </c>
      <c r="H1333" s="1">
        <f>固定流程!F37</f>
        <v>1</v>
      </c>
      <c r="I1333" s="1">
        <f>INDEX(配置与结果!$B$15:$B$18,F1333)</f>
        <v>2296</v>
      </c>
      <c r="J1333" s="1">
        <f>INDEX(配置与结果!$D$15:$D$18,F1333)</f>
        <v>0.7</v>
      </c>
      <c r="K1333" s="1">
        <f>INDEX(配置与结果!$E$15:$E$18,F1333)</f>
        <v>2.0249999999999999</v>
      </c>
      <c r="L1333" s="1">
        <f t="shared" si="1857"/>
        <v>2</v>
      </c>
      <c r="M1333" s="1">
        <f t="shared" si="1858"/>
        <v>10</v>
      </c>
      <c r="N1333" s="1">
        <f t="shared" si="1859"/>
        <v>2</v>
      </c>
      <c r="O1333" s="1">
        <f t="shared" si="1851"/>
        <v>6</v>
      </c>
      <c r="P1333" s="1">
        <f>MIN(方案参数!$AI$39,AZ1332+0+0)</f>
        <v>5</v>
      </c>
      <c r="Q1333" s="1">
        <f t="shared" si="1829"/>
        <v>5</v>
      </c>
      <c r="R1333" s="1">
        <f t="shared" si="1830"/>
        <v>20</v>
      </c>
      <c r="S1333" s="1">
        <f t="shared" si="1831"/>
        <v>3</v>
      </c>
      <c r="T1333" s="1">
        <f t="shared" si="1866"/>
        <v>0</v>
      </c>
      <c r="U1333" s="1">
        <f t="shared" si="1833"/>
        <v>0</v>
      </c>
      <c r="V1333" s="1">
        <f t="shared" si="1834"/>
        <v>4</v>
      </c>
      <c r="W1333" s="1">
        <f t="shared" si="1835"/>
        <v>1</v>
      </c>
      <c r="X1333" s="1">
        <f t="shared" si="1836"/>
        <v>1</v>
      </c>
      <c r="Y1333" s="1">
        <f t="shared" si="1837"/>
        <v>1</v>
      </c>
      <c r="Z1333" s="1">
        <f t="shared" si="1838"/>
        <v>1</v>
      </c>
      <c r="AA1333" s="1">
        <f t="shared" si="1862"/>
        <v>1</v>
      </c>
      <c r="AB1333" s="1">
        <f t="shared" si="1840"/>
        <v>1</v>
      </c>
      <c r="AC1333" s="1">
        <f t="shared" si="1867"/>
        <v>1</v>
      </c>
      <c r="AD1333" s="1">
        <f>ROUNDDOWN(I1333*(1+IF(F1333=3,0.05+方案参数!$Y$39+AA1333*0.12,IF(F1333=4,方案参数!$BZ$39*方案参数!$AS$39,0)))+IF(AND(X1333=1,F1333&lt;&gt;3),方案参数!$CC$39,0)+AC1333*方案参数!$CB$39,0)</f>
        <v>3022</v>
      </c>
      <c r="AE1333" s="1">
        <f>IF(OR(F1333=1,F1333=4),配置与结果!$B$24,配置与结果!$B$25)*MAX(0,1-INDEX(配置与结果!$I$15:$I$18,F1333))</f>
        <v>1200</v>
      </c>
      <c r="AF1333" s="1">
        <f>方案参数!$BL$39</f>
        <v>9</v>
      </c>
      <c r="AG1333" s="1">
        <f>MAX(配置与结果!$B$32,1+INDEX(配置与结果!$F$15:$F$18,F1333)+0.08+方案参数!$CD$39+Q1333*方案参数!$W$39+Y1333*(方案参数!$AN$39+MIN(方案参数!$AO$39,P1333*0.03))+AB1333*方案参数!$BZ$39*0.025-配置与结果!$B$28+方案参数!$AE$39)</f>
        <v>2.5750000000000002</v>
      </c>
      <c r="AH1333" s="1">
        <f>MAX(0,1+V1333*方案参数!$U$39+8*方案参数!$V$39+方案参数!$AE$39-配置与结果!$B$29)</f>
        <v>2.04</v>
      </c>
      <c r="AI1333" s="1">
        <f>IF(OR(INDEX(配置与结果!$K$15:$K$18,F1333)=1,G1333="RHI_BERRY"),1+配置与结果!$B$33+P1333*方案参数!$AH$39,1)</f>
        <v>1</v>
      </c>
      <c r="AJ1333" s="1">
        <f>MIN(1,MAX(0,J1333+方案参数!$AB$39-配置与结果!$B$27))</f>
        <v>1</v>
      </c>
      <c r="AK1333" s="1">
        <f>MAX(1,K1333+IF(F1333=2,0.15+方案参数!$CH$39,0)+BN1333*方案参数!$X$39+R1333*方案参数!$AA$39+方案参数!$BP$39-配置与结果!$B$26+Z1333*(方案参数!$AP$39+MIN(方案参数!$AQ$39,P1333*0.03)))</f>
        <v>2.6850000000000001</v>
      </c>
      <c r="AL1333" s="7">
        <f>ROUNDDOWN(MAX(AD1333*配置与结果!$B$31,AD1333-AE1333)*AF1333*AG1333*AH1333*AI1333,0)</f>
        <v>86138</v>
      </c>
      <c r="AM1333" s="7">
        <f>ROUNDDOWN(MAX(AD1333*配置与结果!$B$31,AD1333-AE1333)*AF1333*AG1333*AH1333*AI1333*AK1333,0)</f>
        <v>231282</v>
      </c>
      <c r="AN1333" s="7">
        <f t="shared" si="1817"/>
        <v>231282</v>
      </c>
      <c r="AO1333" s="7">
        <f>0</f>
        <v>0</v>
      </c>
      <c r="AP1333" s="7">
        <f>MAX(0,1+INDEX(配置与结果!$J$15:$J$18,F1333)+IF(T1333&gt;0,方案参数!$BY$39,0)-配置与结果!$B$30)</f>
        <v>1</v>
      </c>
      <c r="AQ1333" s="7">
        <f t="shared" si="1818"/>
        <v>0</v>
      </c>
      <c r="AR1333" s="7">
        <f t="shared" si="1819"/>
        <v>0</v>
      </c>
      <c r="AS1333" s="7">
        <f t="shared" si="1820"/>
        <v>0</v>
      </c>
      <c r="AT1333" s="7">
        <f>IF(U1333&gt;0,ROUNDDOWN(AL1333*方案参数!$AF$39,0)*(1-AJ1333)+ROUNDDOWN(AM1333*方案参数!$AF$39,0)*AJ1333,0)</f>
        <v>0</v>
      </c>
      <c r="AU1333" s="7">
        <f t="shared" si="1821"/>
        <v>231282</v>
      </c>
      <c r="AV1333" s="1">
        <f t="shared" si="1822"/>
        <v>2</v>
      </c>
      <c r="AW1333" s="1">
        <f t="shared" si="1872"/>
        <v>10</v>
      </c>
      <c r="AX1333" s="1">
        <f t="shared" si="1823"/>
        <v>2</v>
      </c>
      <c r="AY1333" s="1">
        <f>MIN(20,MAX(0,O1333+0+1-0))</f>
        <v>7</v>
      </c>
      <c r="AZ1333" s="1">
        <f t="shared" si="1824"/>
        <v>5</v>
      </c>
      <c r="BA1333" s="1">
        <f t="shared" si="1863"/>
        <v>5</v>
      </c>
      <c r="BB1333" s="1">
        <f t="shared" si="1871"/>
        <v>20</v>
      </c>
      <c r="BC1333" s="1">
        <f t="shared" si="1869"/>
        <v>3</v>
      </c>
      <c r="BD1333" s="1">
        <f t="shared" si="1850"/>
        <v>0</v>
      </c>
      <c r="BE1333" s="1">
        <f>MAX(0,U1333-IF(AF1333&gt;0,1,0))+0</f>
        <v>0</v>
      </c>
      <c r="BF1333" s="1">
        <f t="shared" si="1873"/>
        <v>4</v>
      </c>
      <c r="BG1333" s="1">
        <f t="shared" si="1860"/>
        <v>1</v>
      </c>
      <c r="BH1333" s="1">
        <f t="shared" si="1844"/>
        <v>1</v>
      </c>
      <c r="BI1333" s="1">
        <f t="shared" si="1861"/>
        <v>1</v>
      </c>
      <c r="BJ1333" s="1">
        <f t="shared" si="1864"/>
        <v>1</v>
      </c>
      <c r="BK1333" s="1">
        <f t="shared" si="1865"/>
        <v>1</v>
      </c>
      <c r="BL1333" s="1">
        <f t="shared" si="1870"/>
        <v>1</v>
      </c>
      <c r="BM1333" s="1">
        <f t="shared" si="1868"/>
        <v>1</v>
      </c>
      <c r="BN1333" s="1">
        <f t="shared" si="1845"/>
        <v>1</v>
      </c>
      <c r="BO1333" s="1">
        <f t="shared" si="1846"/>
        <v>1</v>
      </c>
    </row>
    <row r="1334" spans="1:67" ht="30.95" customHeight="1">
      <c r="A1334" s="1">
        <f>36</f>
        <v>36</v>
      </c>
      <c r="B1334" s="1">
        <f>固定流程!A38</f>
        <v>33</v>
      </c>
      <c r="C1334" s="1">
        <f>39</f>
        <v>39</v>
      </c>
      <c r="D1334" s="1">
        <f>2</f>
        <v>2</v>
      </c>
      <c r="E1334" s="1">
        <f>固定流程!C38</f>
        <v>3</v>
      </c>
      <c r="F1334" s="1">
        <f>固定流程!G38</f>
        <v>1</v>
      </c>
      <c r="G1334" s="1" t="str">
        <f>固定流程!H38</f>
        <v>LILYA_WEAK</v>
      </c>
      <c r="H1334" s="1">
        <f>固定流程!F38</f>
        <v>1</v>
      </c>
      <c r="I1334" s="1">
        <f>INDEX(配置与结果!$B$15:$B$18,F1334)</f>
        <v>2296</v>
      </c>
      <c r="J1334" s="1">
        <f>INDEX(配置与结果!$D$15:$D$18,F1334)</f>
        <v>0.7</v>
      </c>
      <c r="K1334" s="1">
        <f>INDEX(配置与结果!$E$15:$E$18,F1334)</f>
        <v>2.0249999999999999</v>
      </c>
      <c r="L1334" s="1">
        <f t="shared" si="1857"/>
        <v>2</v>
      </c>
      <c r="M1334" s="1">
        <f t="shared" si="1858"/>
        <v>10</v>
      </c>
      <c r="N1334" s="1">
        <f t="shared" si="1859"/>
        <v>2</v>
      </c>
      <c r="O1334" s="1">
        <f t="shared" si="1851"/>
        <v>7</v>
      </c>
      <c r="P1334" s="1">
        <f>MIN(方案参数!$AI$39,AZ1333+0+0)</f>
        <v>5</v>
      </c>
      <c r="Q1334" s="1">
        <f t="shared" si="1829"/>
        <v>5</v>
      </c>
      <c r="R1334" s="1">
        <f t="shared" si="1830"/>
        <v>20</v>
      </c>
      <c r="S1334" s="1">
        <f t="shared" si="1831"/>
        <v>3</v>
      </c>
      <c r="T1334" s="1">
        <f t="shared" si="1866"/>
        <v>0</v>
      </c>
      <c r="U1334" s="1">
        <f t="shared" si="1833"/>
        <v>0</v>
      </c>
      <c r="V1334" s="1">
        <f t="shared" si="1834"/>
        <v>4</v>
      </c>
      <c r="W1334" s="1">
        <f t="shared" si="1835"/>
        <v>1</v>
      </c>
      <c r="X1334" s="1">
        <f t="shared" si="1836"/>
        <v>1</v>
      </c>
      <c r="Y1334" s="1">
        <f t="shared" si="1837"/>
        <v>1</v>
      </c>
      <c r="Z1334" s="1">
        <f t="shared" si="1838"/>
        <v>1</v>
      </c>
      <c r="AA1334" s="1">
        <f t="shared" si="1862"/>
        <v>1</v>
      </c>
      <c r="AB1334" s="1">
        <f t="shared" si="1840"/>
        <v>1</v>
      </c>
      <c r="AC1334" s="1">
        <f t="shared" si="1867"/>
        <v>1</v>
      </c>
      <c r="AD1334" s="1">
        <f>ROUNDDOWN(I1334*(1+IF(F1334=3,0.05+方案参数!$Y$39+AA1334*0.12,IF(F1334=4,方案参数!$BZ$39*方案参数!$AS$39,0)))+IF(AND(X1334=1,F1334&lt;&gt;3),方案参数!$CC$39,0)+AC1334*方案参数!$CB$39,0)</f>
        <v>3022</v>
      </c>
      <c r="AE1334" s="1">
        <f>IF(OR(F1334=1,F1334=4),配置与结果!$B$24,配置与结果!$B$25)*MAX(0,1-INDEX(配置与结果!$I$15:$I$18,F1334))</f>
        <v>1200</v>
      </c>
      <c r="AF1334" s="1">
        <f>方案参数!$BL$39</f>
        <v>9</v>
      </c>
      <c r="AG1334" s="1">
        <f>MAX(配置与结果!$B$32,1+INDEX(配置与结果!$F$15:$F$18,F1334)+0.08+方案参数!$CD$39+Q1334*方案参数!$W$39+Y1334*(方案参数!$AN$39+MIN(方案参数!$AO$39,P1334*0.03))+AB1334*方案参数!$BZ$39*0.025-配置与结果!$B$28+方案参数!$AE$39)</f>
        <v>2.5750000000000002</v>
      </c>
      <c r="AH1334" s="1">
        <f>MAX(0,1+V1334*方案参数!$U$39+9*方案参数!$V$39+方案参数!$AE$39-配置与结果!$B$29)</f>
        <v>2.1</v>
      </c>
      <c r="AI1334" s="1">
        <f>IF(OR(INDEX(配置与结果!$K$15:$K$18,F1334)=1,G1334="RHI_BERRY"),1+配置与结果!$B$33+P1334*方案参数!$AH$39,1)</f>
        <v>1</v>
      </c>
      <c r="AJ1334" s="1">
        <f>MIN(1,MAX(0,J1334+方案参数!$AB$39-配置与结果!$B$27))</f>
        <v>1</v>
      </c>
      <c r="AK1334" s="1">
        <f>MAX(1,K1334+IF(F1334=2,0.15+方案参数!$CH$39,0)+BN1334*方案参数!$X$39+R1334*方案参数!$AA$39+方案参数!$BP$39-配置与结果!$B$26+Z1334*(方案参数!$AP$39+MIN(方案参数!$AQ$39,P1334*0.03)))</f>
        <v>2.6850000000000001</v>
      </c>
      <c r="AL1334" s="7">
        <f>ROUNDDOWN(MAX(AD1334*配置与结果!$B$31,AD1334-AE1334)*AF1334*AG1334*AH1334*AI1334,0)</f>
        <v>88672</v>
      </c>
      <c r="AM1334" s="7">
        <f>ROUNDDOWN(MAX(AD1334*配置与结果!$B$31,AD1334-AE1334)*AF1334*AG1334*AH1334*AI1334*AK1334,0)</f>
        <v>238084</v>
      </c>
      <c r="AN1334" s="7">
        <f t="shared" si="1817"/>
        <v>238084</v>
      </c>
      <c r="AO1334" s="7">
        <f>0</f>
        <v>0</v>
      </c>
      <c r="AP1334" s="7">
        <f>MAX(0,1+INDEX(配置与结果!$J$15:$J$18,F1334)+IF(T1334&gt;0,方案参数!$BY$39,0)-配置与结果!$B$30)</f>
        <v>1</v>
      </c>
      <c r="AQ1334" s="7">
        <f t="shared" si="1818"/>
        <v>0</v>
      </c>
      <c r="AR1334" s="7">
        <f t="shared" si="1819"/>
        <v>0</v>
      </c>
      <c r="AS1334" s="7">
        <f t="shared" si="1820"/>
        <v>0</v>
      </c>
      <c r="AT1334" s="7">
        <f>IF(U1334&gt;0,ROUNDDOWN(AL1334*方案参数!$AF$39,0)*(1-AJ1334)+ROUNDDOWN(AM1334*方案参数!$AF$39,0)*AJ1334,0)</f>
        <v>0</v>
      </c>
      <c r="AU1334" s="7">
        <f t="shared" si="1821"/>
        <v>238084</v>
      </c>
      <c r="AV1334" s="1">
        <f t="shared" si="1822"/>
        <v>2</v>
      </c>
      <c r="AW1334" s="1">
        <f t="shared" si="1872"/>
        <v>10</v>
      </c>
      <c r="AX1334" s="1">
        <f t="shared" si="1823"/>
        <v>2</v>
      </c>
      <c r="AY1334" s="1">
        <f>MIN(20,MAX(0,O1334+0+1-0))</f>
        <v>8</v>
      </c>
      <c r="AZ1334" s="1">
        <f t="shared" si="1824"/>
        <v>5</v>
      </c>
      <c r="BA1334" s="1">
        <f t="shared" si="1863"/>
        <v>5</v>
      </c>
      <c r="BB1334" s="1">
        <f t="shared" si="1871"/>
        <v>20</v>
      </c>
      <c r="BC1334" s="1">
        <f t="shared" si="1869"/>
        <v>3</v>
      </c>
      <c r="BD1334" s="1">
        <f t="shared" si="1850"/>
        <v>0</v>
      </c>
      <c r="BE1334" s="1">
        <f>MAX(0,U1334-IF(AF1334&gt;0,1,0))+0</f>
        <v>0</v>
      </c>
      <c r="BF1334" s="1">
        <f t="shared" si="1873"/>
        <v>4</v>
      </c>
      <c r="BG1334" s="1">
        <f t="shared" si="1860"/>
        <v>1</v>
      </c>
      <c r="BH1334" s="1">
        <f t="shared" si="1844"/>
        <v>1</v>
      </c>
      <c r="BI1334" s="1">
        <f t="shared" si="1861"/>
        <v>1</v>
      </c>
      <c r="BJ1334" s="1">
        <f t="shared" si="1864"/>
        <v>1</v>
      </c>
      <c r="BK1334" s="1">
        <f t="shared" si="1865"/>
        <v>1</v>
      </c>
      <c r="BL1334" s="1">
        <f t="shared" si="1870"/>
        <v>1</v>
      </c>
      <c r="BM1334" s="1">
        <f t="shared" si="1868"/>
        <v>1</v>
      </c>
      <c r="BN1334" s="1">
        <f t="shared" si="1845"/>
        <v>1</v>
      </c>
      <c r="BO1334" s="1">
        <f t="shared" si="1846"/>
        <v>1</v>
      </c>
    </row>
    <row r="1335" spans="1:67" ht="30.95" customHeight="1">
      <c r="A1335" s="1">
        <f>36</f>
        <v>36</v>
      </c>
      <c r="B1335" s="1">
        <f>固定流程!A39</f>
        <v>34</v>
      </c>
      <c r="C1335" s="1">
        <f>39</f>
        <v>39</v>
      </c>
      <c r="D1335" s="1">
        <f>2</f>
        <v>2</v>
      </c>
      <c r="E1335" s="1">
        <f>固定流程!C39</f>
        <v>3</v>
      </c>
      <c r="F1335" s="1">
        <f>固定流程!G39</f>
        <v>2</v>
      </c>
      <c r="G1335" s="1" t="str">
        <f>固定流程!H39</f>
        <v>37_WEAK</v>
      </c>
      <c r="H1335" s="1">
        <f>固定流程!F39</f>
        <v>1</v>
      </c>
      <c r="I1335" s="1">
        <f>INDEX(配置与结果!$B$15:$B$18,F1335)</f>
        <v>2306</v>
      </c>
      <c r="J1335" s="1">
        <f>INDEX(配置与结果!$D$15:$D$18,F1335)</f>
        <v>0.46</v>
      </c>
      <c r="K1335" s="1">
        <f>INDEX(配置与结果!$E$15:$E$18,F1335)</f>
        <v>1.9279999999999999</v>
      </c>
      <c r="L1335" s="1">
        <f t="shared" si="1857"/>
        <v>2</v>
      </c>
      <c r="M1335" s="1">
        <f t="shared" si="1858"/>
        <v>10</v>
      </c>
      <c r="N1335" s="1">
        <f t="shared" si="1859"/>
        <v>2</v>
      </c>
      <c r="O1335" s="1">
        <f t="shared" si="1851"/>
        <v>8</v>
      </c>
      <c r="P1335" s="1">
        <f>MIN(方案参数!$AI$39,AZ1334+0+0)</f>
        <v>5</v>
      </c>
      <c r="Q1335" s="1">
        <f t="shared" si="1829"/>
        <v>5</v>
      </c>
      <c r="R1335" s="1">
        <f t="shared" si="1830"/>
        <v>20</v>
      </c>
      <c r="S1335" s="1">
        <f t="shared" si="1831"/>
        <v>3</v>
      </c>
      <c r="T1335" s="1">
        <f t="shared" si="1866"/>
        <v>0</v>
      </c>
      <c r="U1335" s="1">
        <f t="shared" si="1833"/>
        <v>0</v>
      </c>
      <c r="V1335" s="1">
        <f t="shared" si="1834"/>
        <v>4</v>
      </c>
      <c r="W1335" s="1">
        <f t="shared" si="1835"/>
        <v>1</v>
      </c>
      <c r="X1335" s="1">
        <f t="shared" si="1836"/>
        <v>1</v>
      </c>
      <c r="Y1335" s="1">
        <f t="shared" si="1837"/>
        <v>1</v>
      </c>
      <c r="Z1335" s="1">
        <f t="shared" si="1838"/>
        <v>1</v>
      </c>
      <c r="AA1335" s="1">
        <f t="shared" si="1862"/>
        <v>1</v>
      </c>
      <c r="AB1335" s="1">
        <f t="shared" si="1840"/>
        <v>1</v>
      </c>
      <c r="AC1335" s="1">
        <f t="shared" si="1867"/>
        <v>1</v>
      </c>
      <c r="AD1335" s="1">
        <f>ROUNDDOWN(I1335*(1+IF(F1335=3,0.05+方案参数!$Y$39+AA1335*0.12,IF(F1335=4,方案参数!$BZ$39*方案参数!$AS$39,0)))+IF(AND(X1335=1,F1335&lt;&gt;3),方案参数!$CC$39,0)+AC1335*方案参数!$CB$39,0)</f>
        <v>3032</v>
      </c>
      <c r="AE1335" s="1">
        <f>IF(OR(F1335=1,F1335=4),配置与结果!$B$24,配置与结果!$B$25)*MAX(0,1-INDEX(配置与结果!$I$15:$I$18,F1335))</f>
        <v>1000</v>
      </c>
      <c r="AF1335" s="1">
        <f>方案参数!$CE$39</f>
        <v>8</v>
      </c>
      <c r="AG1335" s="1">
        <f>MAX(配置与结果!$B$32,1+INDEX(配置与结果!$F$15:$F$18,F1335)+0+Q1335*方案参数!$W$39+Y1335*(方案参数!$AN$39+MIN(方案参数!$AO$39,P1335*0.03))+AB1335*方案参数!$BZ$39*0.025-配置与结果!$B$28+方案参数!$AE$39)</f>
        <v>2.2400000000000002</v>
      </c>
      <c r="AH1335" s="1">
        <f>MAX(0,1+V1335*方案参数!$U$39+方案参数!$AE$39-配置与结果!$B$29)</f>
        <v>1.56</v>
      </c>
      <c r="AI1335" s="1">
        <f>IF(OR(INDEX(配置与结果!$K$15:$K$18,F1335)=1,G1335="RHI_BERRY"),1+配置与结果!$B$33+P1335*方案参数!$AH$39,1)</f>
        <v>1</v>
      </c>
      <c r="AJ1335" s="1">
        <f>MIN(1,MAX(0,J1335+方案参数!$AB$39-配置与结果!$B$27))</f>
        <v>0.76</v>
      </c>
      <c r="AK1335" s="1">
        <f>MAX(1,K1335+IF(F1335=2,0.15+方案参数!$CH$39,0)+BN1335*方案参数!$X$39+R1335*方案参数!$AA$39+0-配置与结果!$B$26+Z1335*(方案参数!$AP$39+MIN(方案参数!$AQ$39,P1335*0.03)))</f>
        <v>2.258</v>
      </c>
      <c r="AL1335" s="7">
        <f>ROUNDDOWN(MAX(AD1335*配置与结果!$B$31,AD1335-AE1335)*AF1335*AG1335*AH1335*AI1335,0)</f>
        <v>56804</v>
      </c>
      <c r="AM1335" s="7">
        <f>ROUNDDOWN(MAX(AD1335*配置与结果!$B$31,AD1335-AE1335)*AF1335*AG1335*AH1335*AI1335*AK1335,0)</f>
        <v>128265</v>
      </c>
      <c r="AN1335" s="7">
        <f t="shared" si="1817"/>
        <v>111114.35999999999</v>
      </c>
      <c r="AO1335" s="7">
        <f>0</f>
        <v>0</v>
      </c>
      <c r="AP1335" s="7">
        <f>MAX(0,1+INDEX(配置与结果!$J$15:$J$18,F1335)+IF(T1335&gt;0,方案参数!$BY$39,0)-配置与结果!$B$30)</f>
        <v>1</v>
      </c>
      <c r="AQ1335" s="7">
        <f t="shared" si="1818"/>
        <v>0</v>
      </c>
      <c r="AR1335" s="7">
        <f t="shared" si="1819"/>
        <v>0</v>
      </c>
      <c r="AS1335" s="7">
        <f t="shared" si="1820"/>
        <v>0</v>
      </c>
      <c r="AT1335" s="7">
        <f>IF(U1335&gt;0,ROUNDDOWN(AL1335*方案参数!$AF$39,0)*(1-AJ1335)+ROUNDDOWN(AM1335*方案参数!$AF$39,0)*AJ1335,0)</f>
        <v>0</v>
      </c>
      <c r="AU1335" s="7">
        <f t="shared" si="1821"/>
        <v>111114.35999999999</v>
      </c>
      <c r="AV1335" s="1">
        <f t="shared" si="1822"/>
        <v>2</v>
      </c>
      <c r="AW1335" s="1">
        <f t="shared" si="1872"/>
        <v>10</v>
      </c>
      <c r="AX1335" s="1">
        <f t="shared" si="1823"/>
        <v>2</v>
      </c>
      <c r="AY1335" s="1">
        <f>MIN(20,MAX(0,O1335+0+0-0))</f>
        <v>8</v>
      </c>
      <c r="AZ1335" s="1">
        <f t="shared" si="1824"/>
        <v>5</v>
      </c>
      <c r="BA1335" s="1">
        <f t="shared" si="1863"/>
        <v>5</v>
      </c>
      <c r="BB1335" s="1">
        <f t="shared" si="1871"/>
        <v>20</v>
      </c>
      <c r="BC1335" s="1">
        <f t="shared" si="1869"/>
        <v>3</v>
      </c>
      <c r="BD1335" s="1">
        <f t="shared" si="1850"/>
        <v>0</v>
      </c>
      <c r="BE1335" s="1">
        <f>MAX(0,U1335-IF(AF1335&gt;0,1,0))+1</f>
        <v>1</v>
      </c>
      <c r="BF1335" s="1">
        <f t="shared" si="1873"/>
        <v>4</v>
      </c>
      <c r="BG1335" s="1">
        <f t="shared" si="1860"/>
        <v>1</v>
      </c>
      <c r="BH1335" s="1">
        <f t="shared" si="1844"/>
        <v>1</v>
      </c>
      <c r="BI1335" s="1">
        <f t="shared" si="1861"/>
        <v>1</v>
      </c>
      <c r="BJ1335" s="1">
        <f t="shared" si="1864"/>
        <v>1</v>
      </c>
      <c r="BK1335" s="1">
        <f t="shared" si="1865"/>
        <v>1</v>
      </c>
      <c r="BL1335" s="1">
        <f t="shared" si="1870"/>
        <v>1</v>
      </c>
      <c r="BM1335" s="1">
        <f t="shared" si="1868"/>
        <v>1</v>
      </c>
      <c r="BN1335" s="1">
        <f t="shared" si="1845"/>
        <v>1</v>
      </c>
      <c r="BO1335" s="1">
        <f t="shared" si="1846"/>
        <v>1</v>
      </c>
    </row>
    <row r="1336" spans="1:67" ht="30.95" customHeight="1">
      <c r="A1336" s="1">
        <f>36</f>
        <v>36</v>
      </c>
      <c r="B1336" s="1">
        <f>固定流程!A40</f>
        <v>35</v>
      </c>
      <c r="C1336" s="1">
        <f>39</f>
        <v>39</v>
      </c>
      <c r="D1336" s="1">
        <f>2</f>
        <v>2</v>
      </c>
      <c r="E1336" s="1">
        <f>固定流程!C40</f>
        <v>3</v>
      </c>
      <c r="F1336" s="1">
        <f>固定流程!G40</f>
        <v>2</v>
      </c>
      <c r="G1336" s="1" t="str">
        <f>固定流程!H40</f>
        <v>37_WEAK</v>
      </c>
      <c r="H1336" s="1">
        <f>固定流程!F40</f>
        <v>1</v>
      </c>
      <c r="I1336" s="1">
        <f>INDEX(配置与结果!$B$15:$B$18,F1336)</f>
        <v>2306</v>
      </c>
      <c r="J1336" s="1">
        <f>INDEX(配置与结果!$D$15:$D$18,F1336)</f>
        <v>0.46</v>
      </c>
      <c r="K1336" s="1">
        <f>INDEX(配置与结果!$E$15:$E$18,F1336)</f>
        <v>1.9279999999999999</v>
      </c>
      <c r="L1336" s="1">
        <f t="shared" si="1857"/>
        <v>2</v>
      </c>
      <c r="M1336" s="1">
        <f t="shared" si="1858"/>
        <v>10</v>
      </c>
      <c r="N1336" s="1">
        <f t="shared" si="1859"/>
        <v>2</v>
      </c>
      <c r="O1336" s="1">
        <f t="shared" si="1851"/>
        <v>8</v>
      </c>
      <c r="P1336" s="1">
        <f>MIN(方案参数!$AI$39,AZ1335+0+0)</f>
        <v>5</v>
      </c>
      <c r="Q1336" s="1">
        <f t="shared" si="1829"/>
        <v>5</v>
      </c>
      <c r="R1336" s="1">
        <f t="shared" si="1830"/>
        <v>20</v>
      </c>
      <c r="S1336" s="1">
        <f t="shared" si="1831"/>
        <v>3</v>
      </c>
      <c r="T1336" s="1">
        <f t="shared" si="1866"/>
        <v>0</v>
      </c>
      <c r="U1336" s="1">
        <f t="shared" si="1833"/>
        <v>1</v>
      </c>
      <c r="V1336" s="1">
        <f t="shared" si="1834"/>
        <v>4</v>
      </c>
      <c r="W1336" s="1">
        <f t="shared" si="1835"/>
        <v>1</v>
      </c>
      <c r="X1336" s="1">
        <f t="shared" si="1836"/>
        <v>1</v>
      </c>
      <c r="Y1336" s="1">
        <f t="shared" si="1837"/>
        <v>1</v>
      </c>
      <c r="Z1336" s="1">
        <f t="shared" si="1838"/>
        <v>1</v>
      </c>
      <c r="AA1336" s="1">
        <f t="shared" si="1862"/>
        <v>1</v>
      </c>
      <c r="AB1336" s="1">
        <f t="shared" si="1840"/>
        <v>1</v>
      </c>
      <c r="AC1336" s="1">
        <f t="shared" si="1867"/>
        <v>1</v>
      </c>
      <c r="AD1336" s="1">
        <f>ROUNDDOWN(I1336*(1+IF(F1336=3,0.05+方案参数!$Y$39+AA1336*0.12,IF(F1336=4,方案参数!$BZ$39*方案参数!$AS$39,0)))+IF(AND(X1336=1,F1336&lt;&gt;3),方案参数!$CC$39,0)+AC1336*方案参数!$CB$39,0)</f>
        <v>3032</v>
      </c>
      <c r="AE1336" s="1">
        <f>IF(OR(F1336=1,F1336=4),配置与结果!$B$24,配置与结果!$B$25)*MAX(0,1-INDEX(配置与结果!$I$15:$I$18,F1336))</f>
        <v>1000</v>
      </c>
      <c r="AF1336" s="1">
        <f>方案参数!$CE$39</f>
        <v>8</v>
      </c>
      <c r="AG1336" s="1">
        <f>MAX(配置与结果!$B$32,1+INDEX(配置与结果!$F$15:$F$18,F1336)+0+Q1336*方案参数!$W$39+Y1336*(方案参数!$AN$39+MIN(方案参数!$AO$39,P1336*0.03))+AB1336*方案参数!$BZ$39*0.025-配置与结果!$B$28+方案参数!$AE$39)</f>
        <v>2.2400000000000002</v>
      </c>
      <c r="AH1336" s="1">
        <f>MAX(0,1+V1336*方案参数!$U$39+方案参数!$AE$39-配置与结果!$B$29)</f>
        <v>1.56</v>
      </c>
      <c r="AI1336" s="1">
        <f>IF(OR(INDEX(配置与结果!$K$15:$K$18,F1336)=1,G1336="RHI_BERRY"),1+配置与结果!$B$33+P1336*方案参数!$AH$39,1)</f>
        <v>1</v>
      </c>
      <c r="AJ1336" s="1">
        <f>MIN(1,MAX(0,J1336+方案参数!$AB$39-配置与结果!$B$27))</f>
        <v>0.76</v>
      </c>
      <c r="AK1336" s="1">
        <f>MAX(1,K1336+IF(F1336=2,0.15+方案参数!$CH$39,0)+BN1336*方案参数!$X$39+R1336*方案参数!$AA$39+0-配置与结果!$B$26+Z1336*(方案参数!$AP$39+MIN(方案参数!$AQ$39,P1336*0.03)))</f>
        <v>2.258</v>
      </c>
      <c r="AL1336" s="7">
        <f>ROUNDDOWN(MAX(AD1336*配置与结果!$B$31,AD1336-AE1336)*AF1336*AG1336*AH1336*AI1336,0)</f>
        <v>56804</v>
      </c>
      <c r="AM1336" s="7">
        <f>ROUNDDOWN(MAX(AD1336*配置与结果!$B$31,AD1336-AE1336)*AF1336*AG1336*AH1336*AI1336*AK1336,0)</f>
        <v>128265</v>
      </c>
      <c r="AN1336" s="7">
        <f t="shared" si="1817"/>
        <v>111114.35999999999</v>
      </c>
      <c r="AO1336" s="7">
        <f>0</f>
        <v>0</v>
      </c>
      <c r="AP1336" s="7">
        <f>MAX(0,1+INDEX(配置与结果!$J$15:$J$18,F1336)+IF(T1336&gt;0,方案参数!$BY$39,0)-配置与结果!$B$30)</f>
        <v>1</v>
      </c>
      <c r="AQ1336" s="7">
        <f t="shared" si="1818"/>
        <v>0</v>
      </c>
      <c r="AR1336" s="7">
        <f t="shared" si="1819"/>
        <v>0</v>
      </c>
      <c r="AS1336" s="7">
        <f t="shared" si="1820"/>
        <v>0</v>
      </c>
      <c r="AT1336" s="7">
        <f>IF(U1336&gt;0,ROUNDDOWN(AL1336*方案参数!$AF$39,0)*(1-AJ1336)+ROUNDDOWN(AM1336*方案参数!$AF$39,0)*AJ1336,0)</f>
        <v>44445.599999999999</v>
      </c>
      <c r="AU1336" s="7">
        <f t="shared" si="1821"/>
        <v>155559.96</v>
      </c>
      <c r="AV1336" s="1">
        <f t="shared" si="1822"/>
        <v>2</v>
      </c>
      <c r="AW1336" s="1">
        <f t="shared" si="1872"/>
        <v>10</v>
      </c>
      <c r="AX1336" s="1">
        <f t="shared" si="1823"/>
        <v>2</v>
      </c>
      <c r="AY1336" s="1">
        <f>MIN(20,MAX(0,O1336+0+0-0))</f>
        <v>8</v>
      </c>
      <c r="AZ1336" s="1">
        <f t="shared" si="1824"/>
        <v>5</v>
      </c>
      <c r="BA1336" s="1">
        <f t="shared" si="1863"/>
        <v>5</v>
      </c>
      <c r="BB1336" s="1">
        <f t="shared" si="1871"/>
        <v>20</v>
      </c>
      <c r="BC1336" s="1">
        <f t="shared" si="1869"/>
        <v>3</v>
      </c>
      <c r="BD1336" s="1">
        <f t="shared" si="1850"/>
        <v>0</v>
      </c>
      <c r="BE1336" s="1">
        <f>MAX(0,U1336-IF(AF1336&gt;0,1,0))+1</f>
        <v>1</v>
      </c>
      <c r="BF1336" s="1">
        <f t="shared" si="1873"/>
        <v>4</v>
      </c>
      <c r="BG1336" s="1">
        <f t="shared" si="1860"/>
        <v>1</v>
      </c>
      <c r="BH1336" s="1">
        <f t="shared" si="1844"/>
        <v>1</v>
      </c>
      <c r="BI1336" s="1">
        <f t="shared" si="1861"/>
        <v>1</v>
      </c>
      <c r="BJ1336" s="1">
        <f t="shared" si="1864"/>
        <v>1</v>
      </c>
      <c r="BK1336" s="1">
        <f t="shared" si="1865"/>
        <v>1</v>
      </c>
      <c r="BL1336" s="1">
        <f t="shared" si="1870"/>
        <v>1</v>
      </c>
      <c r="BM1336" s="1">
        <f t="shared" si="1868"/>
        <v>1</v>
      </c>
      <c r="BN1336" s="1">
        <f t="shared" si="1845"/>
        <v>1</v>
      </c>
      <c r="BO1336" s="1">
        <f t="shared" si="1846"/>
        <v>1</v>
      </c>
    </row>
    <row r="1337" spans="1:67" ht="30.95" customHeight="1">
      <c r="A1337" s="1">
        <f>36</f>
        <v>36</v>
      </c>
      <c r="B1337" s="1">
        <f>固定流程!A41</f>
        <v>36</v>
      </c>
      <c r="C1337" s="1">
        <f>39</f>
        <v>39</v>
      </c>
      <c r="D1337" s="1">
        <f>2</f>
        <v>2</v>
      </c>
      <c r="E1337" s="1">
        <f>固定流程!C41</f>
        <v>3</v>
      </c>
      <c r="F1337" s="1">
        <f>固定流程!G41</f>
        <v>1</v>
      </c>
      <c r="G1337" s="1" t="str">
        <f>固定流程!H41</f>
        <v>LILYA_FINISH</v>
      </c>
      <c r="H1337" s="1">
        <f>固定流程!F41</f>
        <v>1</v>
      </c>
      <c r="I1337" s="1">
        <f>INDEX(配置与结果!$B$15:$B$18,F1337)</f>
        <v>2296</v>
      </c>
      <c r="J1337" s="1">
        <f>INDEX(配置与结果!$D$15:$D$18,F1337)</f>
        <v>0.7</v>
      </c>
      <c r="K1337" s="1">
        <f>INDEX(配置与结果!$E$15:$E$18,F1337)</f>
        <v>2.0249999999999999</v>
      </c>
      <c r="L1337" s="1">
        <f t="shared" si="1857"/>
        <v>2</v>
      </c>
      <c r="M1337" s="1">
        <f t="shared" si="1858"/>
        <v>10</v>
      </c>
      <c r="N1337" s="1">
        <f t="shared" si="1859"/>
        <v>2</v>
      </c>
      <c r="O1337" s="1">
        <f t="shared" si="1851"/>
        <v>8</v>
      </c>
      <c r="P1337" s="1">
        <f>MIN(方案参数!$AI$39,AZ1336+0+0)</f>
        <v>5</v>
      </c>
      <c r="Q1337" s="1">
        <f t="shared" si="1829"/>
        <v>5</v>
      </c>
      <c r="R1337" s="1">
        <f t="shared" si="1830"/>
        <v>20</v>
      </c>
      <c r="S1337" s="1">
        <f t="shared" si="1831"/>
        <v>3</v>
      </c>
      <c r="T1337" s="1">
        <f t="shared" si="1866"/>
        <v>0</v>
      </c>
      <c r="U1337" s="1">
        <f t="shared" si="1833"/>
        <v>1</v>
      </c>
      <c r="V1337" s="1">
        <f t="shared" si="1834"/>
        <v>4</v>
      </c>
      <c r="W1337" s="1">
        <f t="shared" si="1835"/>
        <v>1</v>
      </c>
      <c r="X1337" s="1">
        <f t="shared" si="1836"/>
        <v>1</v>
      </c>
      <c r="Y1337" s="1">
        <f t="shared" si="1837"/>
        <v>1</v>
      </c>
      <c r="Z1337" s="1">
        <f t="shared" si="1838"/>
        <v>1</v>
      </c>
      <c r="AA1337" s="1">
        <f t="shared" si="1862"/>
        <v>1</v>
      </c>
      <c r="AB1337" s="1">
        <f t="shared" si="1840"/>
        <v>1</v>
      </c>
      <c r="AC1337" s="1">
        <f t="shared" si="1867"/>
        <v>1</v>
      </c>
      <c r="AD1337" s="1">
        <f>ROUNDDOWN(I1337*(1+IF(F1337=3,0.05+方案参数!$Y$39+AA1337*0.12,IF(F1337=4,方案参数!$BZ$39*方案参数!$AS$39,0)))+IF(AND(X1337=1,F1337&lt;&gt;3),方案参数!$CC$39,0)+AC1337*方案参数!$CB$39,0)</f>
        <v>3022</v>
      </c>
      <c r="AE1337" s="1">
        <f>IF(OR(F1337=1,F1337=4),配置与结果!$B$24,配置与结果!$B$25)*MAX(0,1-INDEX(配置与结果!$I$15:$I$18,F1337))</f>
        <v>1200</v>
      </c>
      <c r="AF1337" s="1">
        <f>方案参数!$BN$39+12*方案参数!$BO$39</f>
        <v>48</v>
      </c>
      <c r="AG1337" s="1">
        <f>MAX(配置与结果!$B$32,1+INDEX(配置与结果!$F$15:$F$18,F1337)+0.08+方案参数!$CD$39+Q1337*方案参数!$W$39+Y1337*(方案参数!$AN$39+MIN(方案参数!$AO$39,P1337*0.03))+AB1337*方案参数!$BZ$39*0.025-配置与结果!$B$28+方案参数!$AE$39)</f>
        <v>2.5750000000000002</v>
      </c>
      <c r="AH1337" s="1">
        <f>MAX(0,1+V1337*方案参数!$U$39+12*方案参数!$V$39+方案参数!$AE$39-配置与结果!$B$29)</f>
        <v>2.2799999999999998</v>
      </c>
      <c r="AI1337" s="1">
        <f>IF(OR(INDEX(配置与结果!$K$15:$K$18,F1337)=1,G1337="RHI_BERRY"),1+配置与结果!$B$33+P1337*方案参数!$AH$39,1)</f>
        <v>1</v>
      </c>
      <c r="AJ1337" s="1">
        <f>MIN(1,MAX(0,J1337+方案参数!$AB$39-配置与结果!$B$27))</f>
        <v>1</v>
      </c>
      <c r="AK1337" s="1">
        <f>MAX(1,K1337+IF(F1337=2,0.15+方案参数!$CH$39,0)+BN1337*方案参数!$X$39+R1337*方案参数!$AA$39+方案参数!$BR$39-配置与结果!$B$26+Z1337*(方案参数!$AP$39+MIN(方案参数!$AQ$39,P1337*0.03)))</f>
        <v>3.085</v>
      </c>
      <c r="AL1337" s="7">
        <f>ROUNDDOWN(MAX(AD1337*配置与结果!$B$31,AD1337-AE1337)*AF1337*AG1337*AH1337*AI1337,0)</f>
        <v>513454</v>
      </c>
      <c r="AM1337" s="7">
        <f>ROUNDDOWN(MAX(AD1337*配置与结果!$B$31,AD1337-AE1337)*AF1337*AG1337*AH1337*AI1337*AK1337,0)</f>
        <v>1584006</v>
      </c>
      <c r="AN1337" s="7">
        <f t="shared" si="1817"/>
        <v>1584006</v>
      </c>
      <c r="AO1337" s="7">
        <f>0</f>
        <v>0</v>
      </c>
      <c r="AP1337" s="7">
        <f>MAX(0,1+INDEX(配置与结果!$J$15:$J$18,F1337)+IF(T1337&gt;0,方案参数!$BY$39,0)-配置与结果!$B$30)</f>
        <v>1</v>
      </c>
      <c r="AQ1337" s="7">
        <f t="shared" si="1818"/>
        <v>0</v>
      </c>
      <c r="AR1337" s="7">
        <f t="shared" si="1819"/>
        <v>0</v>
      </c>
      <c r="AS1337" s="7">
        <f t="shared" si="1820"/>
        <v>0</v>
      </c>
      <c r="AT1337" s="7">
        <f>IF(U1337&gt;0,ROUNDDOWN(AL1337*方案参数!$AF$39,0)*(1-AJ1337)+ROUNDDOWN(AM1337*方案参数!$AF$39,0)*AJ1337,0)</f>
        <v>633602</v>
      </c>
      <c r="AU1337" s="7">
        <f t="shared" si="1821"/>
        <v>2217608</v>
      </c>
      <c r="AV1337" s="1">
        <f t="shared" si="1822"/>
        <v>2</v>
      </c>
      <c r="AW1337" s="1">
        <f t="shared" si="1872"/>
        <v>10</v>
      </c>
      <c r="AX1337" s="1">
        <f t="shared" si="1823"/>
        <v>2</v>
      </c>
      <c r="AY1337" s="1">
        <f>MIN(20,MAX(0,O1337+0+1-0))</f>
        <v>9</v>
      </c>
      <c r="AZ1337" s="1">
        <f t="shared" si="1824"/>
        <v>5</v>
      </c>
      <c r="BA1337" s="1">
        <f t="shared" si="1863"/>
        <v>5</v>
      </c>
      <c r="BB1337" s="1">
        <f t="shared" si="1871"/>
        <v>20</v>
      </c>
      <c r="BC1337" s="1">
        <f t="shared" si="1869"/>
        <v>3</v>
      </c>
      <c r="BD1337" s="1">
        <f t="shared" si="1850"/>
        <v>0</v>
      </c>
      <c r="BE1337" s="1">
        <f>MAX(0,U1337-IF(AF1337&gt;0,1,0))+0</f>
        <v>0</v>
      </c>
      <c r="BF1337" s="1">
        <f t="shared" si="1873"/>
        <v>4</v>
      </c>
      <c r="BG1337" s="1">
        <f t="shared" si="1860"/>
        <v>1</v>
      </c>
      <c r="BH1337" s="1">
        <f t="shared" si="1844"/>
        <v>1</v>
      </c>
      <c r="BI1337" s="1">
        <f t="shared" si="1861"/>
        <v>1</v>
      </c>
      <c r="BJ1337" s="1">
        <f t="shared" si="1864"/>
        <v>1</v>
      </c>
      <c r="BK1337" s="1">
        <f t="shared" si="1865"/>
        <v>1</v>
      </c>
      <c r="BL1337" s="1">
        <f t="shared" si="1870"/>
        <v>1</v>
      </c>
      <c r="BM1337" s="1">
        <f t="shared" si="1868"/>
        <v>1</v>
      </c>
      <c r="BN1337" s="1">
        <f t="shared" si="1845"/>
        <v>1</v>
      </c>
      <c r="BO1337" s="1">
        <f t="shared" si="1846"/>
        <v>1</v>
      </c>
    </row>
    <row r="1338" spans="1:67" ht="30.95" customHeight="1">
      <c r="A1338" s="1">
        <f>37</f>
        <v>37</v>
      </c>
      <c r="B1338" s="1">
        <f>固定流程!A6</f>
        <v>1</v>
      </c>
      <c r="C1338" s="1">
        <f>40</f>
        <v>40</v>
      </c>
      <c r="D1338" s="1">
        <f>1</f>
        <v>1</v>
      </c>
      <c r="E1338" s="1">
        <f>固定流程!C6</f>
        <v>1</v>
      </c>
      <c r="F1338" s="1">
        <f>固定流程!G6</f>
        <v>3</v>
      </c>
      <c r="G1338" s="1" t="str">
        <f>固定流程!H6</f>
        <v>RHI_ULT</v>
      </c>
      <c r="H1338" s="1">
        <f>固定流程!F6</f>
        <v>1</v>
      </c>
      <c r="I1338" s="1">
        <f>INDEX(配置与结果!$B$15:$B$18,F1338)</f>
        <v>2597</v>
      </c>
      <c r="J1338" s="1">
        <f>INDEX(配置与结果!$D$15:$D$18,F1338)</f>
        <v>0.255</v>
      </c>
      <c r="K1338" s="1">
        <f>INDEX(配置与结果!$E$15:$E$18,F1338)</f>
        <v>1.55</v>
      </c>
      <c r="L1338" s="1">
        <f>0</f>
        <v>0</v>
      </c>
      <c r="M1338" s="1">
        <f>0</f>
        <v>0</v>
      </c>
      <c r="N1338" s="1">
        <f>0</f>
        <v>0</v>
      </c>
      <c r="O1338" s="1">
        <f>0</f>
        <v>0</v>
      </c>
      <c r="P1338" s="1">
        <f>MIN(方案参数!$AI$40,0+方案参数!$AJ$40+0)</f>
        <v>1</v>
      </c>
      <c r="Q1338" s="1">
        <f>0</f>
        <v>0</v>
      </c>
      <c r="R1338" s="1">
        <f>0</f>
        <v>0</v>
      </c>
      <c r="S1338" s="1">
        <f>0</f>
        <v>0</v>
      </c>
      <c r="T1338" s="1">
        <f>0+0</f>
        <v>0</v>
      </c>
      <c r="U1338" s="1">
        <f>0</f>
        <v>0</v>
      </c>
      <c r="V1338" s="1">
        <f>0</f>
        <v>0</v>
      </c>
      <c r="W1338" s="1">
        <f>0</f>
        <v>0</v>
      </c>
      <c r="X1338" s="1">
        <f>0</f>
        <v>0</v>
      </c>
      <c r="Y1338" s="1">
        <f>0</f>
        <v>0</v>
      </c>
      <c r="Z1338" s="1">
        <f>0</f>
        <v>0</v>
      </c>
      <c r="AA1338" s="1">
        <f>MAX(0,0)</f>
        <v>0</v>
      </c>
      <c r="AB1338" s="1">
        <f>0</f>
        <v>0</v>
      </c>
      <c r="AC1338" s="1">
        <f>MAX(0,0)</f>
        <v>0</v>
      </c>
      <c r="AD1338" s="1">
        <f>ROUNDDOWN(I1338*(1+IF(F1338=3,0.05+方案参数!$Y$40+AA1338*0.12,IF(F1338=4,方案参数!$BZ$40*方案参数!$AS$40,0)))+IF(AND(X1338=1,F1338&lt;&gt;3),方案参数!$CC$40,0)+AC1338*方案参数!$CB$40,0)</f>
        <v>2856</v>
      </c>
      <c r="AE1338" s="1">
        <f>IF(OR(F1338=1,F1338=4),配置与结果!$B$24,配置与结果!$B$25)*MAX(0,1-INDEX(配置与结果!$I$15:$I$18,F1338))</f>
        <v>1000</v>
      </c>
      <c r="AF1338" s="1">
        <f>0</f>
        <v>0</v>
      </c>
      <c r="AG1338" s="1">
        <f>MAX(配置与结果!$B$32,1+INDEX(配置与结果!$F$15:$F$18,F1338)+0+Q1338*方案参数!$W$40+Y1338*(方案参数!$AN$40+MIN(方案参数!$AO$40,P1338*0.03))+AB1338*方案参数!$BZ$40*0.025-配置与结果!$B$28)</f>
        <v>0.6349999999999999</v>
      </c>
      <c r="AH1338" s="1">
        <f>MAX(0,1+INDEX(配置与结果!$G$15:$G$18,F1338)+W1338*方案参数!$AG$40)</f>
        <v>1</v>
      </c>
      <c r="AI1338" s="1">
        <f>IF(OR(INDEX(配置与结果!$K$15:$K$18,F1338)=1,G1338="RHI_BERRY"),1+配置与结果!$B$33+P1338*方案参数!$AH$40,1)</f>
        <v>1</v>
      </c>
      <c r="AJ1338" s="1">
        <f>MIN(1,MAX(0,J1338+方案参数!$AB$40-配置与结果!$B$27))</f>
        <v>0.55499999999999994</v>
      </c>
      <c r="AK1338" s="1">
        <f>MAX(1,K1338+IF(F1338=2,0.15+方案参数!$CH$40,0)+BN1338*方案参数!$X$40+R1338*方案参数!$AA$40+0-配置与结果!$B$26+Z1338*(方案参数!$AP$40+MIN(方案参数!$AQ$40,P1338*0.03)))</f>
        <v>1.1499999999999999</v>
      </c>
      <c r="AL1338" s="7">
        <f>ROUNDDOWN(MAX(AD1338*配置与结果!$B$31,AD1338-AE1338)*AF1338*AG1338*AH1338*AI1338,0)</f>
        <v>0</v>
      </c>
      <c r="AM1338" s="7">
        <f>ROUNDDOWN(MAX(AD1338*配置与结果!$B$31,AD1338-AE1338)*AF1338*AG1338*AH1338*AI1338*AK1338,0)</f>
        <v>0</v>
      </c>
      <c r="AN1338" s="7">
        <f t="shared" si="1817"/>
        <v>0</v>
      </c>
      <c r="AO1338" s="7">
        <f>0</f>
        <v>0</v>
      </c>
      <c r="AP1338" s="7">
        <f>MAX(0,1+INDEX(配置与结果!$J$15:$J$18,F1338)+IF(T1338&gt;0,方案参数!$BY$40,0)-配置与结果!$B$30)</f>
        <v>1</v>
      </c>
      <c r="AQ1338" s="7">
        <f t="shared" si="1818"/>
        <v>0</v>
      </c>
      <c r="AR1338" s="7">
        <f t="shared" si="1819"/>
        <v>0</v>
      </c>
      <c r="AS1338" s="7">
        <f t="shared" si="1820"/>
        <v>0</v>
      </c>
      <c r="AT1338" s="7">
        <f>0</f>
        <v>0</v>
      </c>
      <c r="AU1338" s="7">
        <f t="shared" si="1821"/>
        <v>0</v>
      </c>
      <c r="AV1338" s="1">
        <f t="shared" si="1822"/>
        <v>0</v>
      </c>
      <c r="AW1338" s="1">
        <f t="shared" si="1872"/>
        <v>0</v>
      </c>
      <c r="AX1338" s="1">
        <f t="shared" si="1823"/>
        <v>0</v>
      </c>
      <c r="AY1338" s="1">
        <f>MIN(20,MAX(0,O1338+0+0-0))</f>
        <v>0</v>
      </c>
      <c r="AZ1338" s="1">
        <f t="shared" si="1824"/>
        <v>1</v>
      </c>
      <c r="BA1338" s="1">
        <f>MIN(6,Q1338+1)</f>
        <v>1</v>
      </c>
      <c r="BB1338" s="1">
        <f>MIN(30,R1338+5)</f>
        <v>5</v>
      </c>
      <c r="BC1338" s="1">
        <f t="shared" si="1869"/>
        <v>0</v>
      </c>
      <c r="BD1338" s="1">
        <f t="shared" si="1850"/>
        <v>0</v>
      </c>
      <c r="BE1338" s="1">
        <f>0</f>
        <v>0</v>
      </c>
      <c r="BF1338" s="1">
        <f t="shared" si="1873"/>
        <v>0</v>
      </c>
      <c r="BG1338" s="1">
        <f t="shared" si="1860"/>
        <v>0</v>
      </c>
      <c r="BH1338" s="1">
        <f>MAX(X1338,1)</f>
        <v>1</v>
      </c>
      <c r="BI1338" s="1">
        <f t="shared" si="1861"/>
        <v>0</v>
      </c>
      <c r="BJ1338" s="1">
        <f t="shared" si="1864"/>
        <v>0</v>
      </c>
      <c r="BK1338" s="1">
        <f t="shared" si="1865"/>
        <v>0</v>
      </c>
      <c r="BL1338" s="1">
        <f t="shared" si="1870"/>
        <v>0</v>
      </c>
      <c r="BM1338" s="1">
        <f t="shared" si="1868"/>
        <v>0</v>
      </c>
      <c r="BN1338" s="1">
        <f>0</f>
        <v>0</v>
      </c>
      <c r="BO1338" s="1">
        <f>MAX(BN1338,1)</f>
        <v>1</v>
      </c>
    </row>
    <row r="1339" spans="1:67" ht="30.95" customHeight="1">
      <c r="A1339" s="1">
        <f>37</f>
        <v>37</v>
      </c>
      <c r="B1339" s="1">
        <f>固定流程!A7</f>
        <v>2</v>
      </c>
      <c r="C1339" s="1">
        <f>40</f>
        <v>40</v>
      </c>
      <c r="D1339" s="1">
        <f>1</f>
        <v>1</v>
      </c>
      <c r="E1339" s="1">
        <f>固定流程!C7</f>
        <v>1</v>
      </c>
      <c r="F1339" s="1">
        <f>固定流程!G7</f>
        <v>3</v>
      </c>
      <c r="G1339" s="1" t="str">
        <f>固定流程!H7</f>
        <v>RHI_BUFF</v>
      </c>
      <c r="H1339" s="1">
        <f>固定流程!F7</f>
        <v>1</v>
      </c>
      <c r="I1339" s="1">
        <f>INDEX(配置与结果!$B$15:$B$18,F1339)</f>
        <v>2597</v>
      </c>
      <c r="J1339" s="1">
        <f>INDEX(配置与结果!$D$15:$D$18,F1339)</f>
        <v>0.255</v>
      </c>
      <c r="K1339" s="1">
        <f>INDEX(配置与结果!$E$15:$E$18,F1339)</f>
        <v>1.55</v>
      </c>
      <c r="L1339" s="1">
        <f t="shared" ref="L1339:O1344" si="1874">AV1338</f>
        <v>0</v>
      </c>
      <c r="M1339" s="1">
        <f t="shared" si="1874"/>
        <v>0</v>
      </c>
      <c r="N1339" s="1">
        <f t="shared" si="1874"/>
        <v>0</v>
      </c>
      <c r="O1339" s="1">
        <f t="shared" si="1874"/>
        <v>0</v>
      </c>
      <c r="P1339" s="1">
        <f>MIN(方案参数!$AI$40,AZ1338+0+方案参数!$AK$40)</f>
        <v>3</v>
      </c>
      <c r="Q1339" s="1">
        <f t="shared" ref="Q1339:Q1373" si="1875">BA1338</f>
        <v>1</v>
      </c>
      <c r="R1339" s="1">
        <f t="shared" ref="R1339:R1373" si="1876">BB1338</f>
        <v>5</v>
      </c>
      <c r="S1339" s="1">
        <f t="shared" ref="S1339:S1373" si="1877">BC1338</f>
        <v>0</v>
      </c>
      <c r="T1339" s="1">
        <f t="shared" ref="T1339:T1352" si="1878">BD1338+0</f>
        <v>0</v>
      </c>
      <c r="U1339" s="1">
        <f t="shared" ref="U1339:U1373" si="1879">BE1338</f>
        <v>0</v>
      </c>
      <c r="V1339" s="1">
        <f t="shared" ref="V1339:V1373" si="1880">BF1338</f>
        <v>0</v>
      </c>
      <c r="W1339" s="1">
        <f t="shared" ref="W1339:W1373" si="1881">BG1338</f>
        <v>0</v>
      </c>
      <c r="X1339" s="1">
        <f t="shared" ref="X1339:X1373" si="1882">BH1338</f>
        <v>1</v>
      </c>
      <c r="Y1339" s="1">
        <f t="shared" ref="Y1339:Y1373" si="1883">BI1338</f>
        <v>0</v>
      </c>
      <c r="Z1339" s="1">
        <f t="shared" ref="Z1339:Z1373" si="1884">BJ1338</f>
        <v>0</v>
      </c>
      <c r="AA1339" s="1">
        <f t="shared" ref="AA1339:AA1344" si="1885">MAX(BK1338,0)</f>
        <v>0</v>
      </c>
      <c r="AB1339" s="1">
        <f t="shared" ref="AB1339:AB1373" si="1886">BL1338</f>
        <v>0</v>
      </c>
      <c r="AC1339" s="1">
        <f t="shared" ref="AC1339:AC1352" si="1887">MAX(BM1338,0)</f>
        <v>0</v>
      </c>
      <c r="AD1339" s="1">
        <f>ROUNDDOWN(I1339*(1+IF(F1339=3,0.05+方案参数!$Y$40+AA1339*0.12,IF(F1339=4,方案参数!$BZ$40*方案参数!$AS$40,0)))+IF(AND(X1339=1,F1339&lt;&gt;3),方案参数!$CC$40,0)+AC1339*方案参数!$CB$40,0)</f>
        <v>2856</v>
      </c>
      <c r="AE1339" s="1">
        <f>IF(OR(F1339=1,F1339=4),配置与结果!$B$24,配置与结果!$B$25)*MAX(0,1-INDEX(配置与结果!$I$15:$I$18,F1339))</f>
        <v>1000</v>
      </c>
      <c r="AF1339" s="1">
        <f>0</f>
        <v>0</v>
      </c>
      <c r="AG1339" s="1">
        <f>MAX(配置与结果!$B$32,1+INDEX(配置与结果!$F$15:$F$18,F1339)+0+Q1339*方案参数!$W$40+Y1339*(方案参数!$AN$40+MIN(方案参数!$AO$40,P1339*0.03))+AB1339*方案参数!$BZ$40*0.025-配置与结果!$B$28)</f>
        <v>0.64899999999999991</v>
      </c>
      <c r="AH1339" s="1">
        <f>MAX(0,1+INDEX(配置与结果!$G$15:$G$18,F1339)+W1339*方案参数!$AG$40)</f>
        <v>1</v>
      </c>
      <c r="AI1339" s="1">
        <f>IF(OR(INDEX(配置与结果!$K$15:$K$18,F1339)=1,G1339="RHI_BERRY"),1+配置与结果!$B$33+P1339*方案参数!$AH$40,1)</f>
        <v>1</v>
      </c>
      <c r="AJ1339" s="1">
        <f>MIN(1,MAX(0,J1339+方案参数!$AB$40-配置与结果!$B$27))</f>
        <v>0.55499999999999994</v>
      </c>
      <c r="AK1339" s="1">
        <f>MAX(1,K1339+IF(F1339=2,0.15+方案参数!$CH$40,0)+BN1339*方案参数!$X$40+R1339*方案参数!$AA$40+0-配置与结果!$B$26+Z1339*(方案参数!$AP$40+MIN(方案参数!$AQ$40,P1339*0.03)))</f>
        <v>1.27</v>
      </c>
      <c r="AL1339" s="7">
        <f>ROUNDDOWN(MAX(AD1339*配置与结果!$B$31,AD1339-AE1339)*AF1339*AG1339*AH1339*AI1339,0)</f>
        <v>0</v>
      </c>
      <c r="AM1339" s="7">
        <f>ROUNDDOWN(MAX(AD1339*配置与结果!$B$31,AD1339-AE1339)*AF1339*AG1339*AH1339*AI1339*AK1339,0)</f>
        <v>0</v>
      </c>
      <c r="AN1339" s="7">
        <f t="shared" si="1817"/>
        <v>0</v>
      </c>
      <c r="AO1339" s="7">
        <f>0</f>
        <v>0</v>
      </c>
      <c r="AP1339" s="7">
        <f>MAX(0,1+INDEX(配置与结果!$J$15:$J$18,F1339)+IF(T1339&gt;0,方案参数!$BY$40,0)-配置与结果!$B$30)</f>
        <v>1</v>
      </c>
      <c r="AQ1339" s="7">
        <f t="shared" si="1818"/>
        <v>0</v>
      </c>
      <c r="AR1339" s="7">
        <f t="shared" si="1819"/>
        <v>0</v>
      </c>
      <c r="AS1339" s="7">
        <f t="shared" si="1820"/>
        <v>0</v>
      </c>
      <c r="AT1339" s="7">
        <f>0</f>
        <v>0</v>
      </c>
      <c r="AU1339" s="7">
        <f t="shared" si="1821"/>
        <v>0</v>
      </c>
      <c r="AV1339" s="1">
        <f t="shared" si="1822"/>
        <v>0</v>
      </c>
      <c r="AW1339" s="1">
        <f t="shared" si="1872"/>
        <v>0</v>
      </c>
      <c r="AX1339" s="1">
        <f t="shared" si="1823"/>
        <v>0</v>
      </c>
      <c r="AY1339" s="1">
        <f>MIN(20,MAX(0,O1339+0+0-0))</f>
        <v>0</v>
      </c>
      <c r="AZ1339" s="1">
        <f t="shared" si="1824"/>
        <v>3</v>
      </c>
      <c r="BA1339" s="1">
        <f>MIN(6,Q1339+1)</f>
        <v>2</v>
      </c>
      <c r="BB1339" s="1">
        <f t="shared" ref="BB1339:BB1352" si="1888">MIN(30,R1339+0)</f>
        <v>5</v>
      </c>
      <c r="BC1339" s="1">
        <f t="shared" si="1869"/>
        <v>0</v>
      </c>
      <c r="BD1339" s="1">
        <f t="shared" si="1850"/>
        <v>0</v>
      </c>
      <c r="BE1339" s="1">
        <f t="shared" ref="BE1339:BE1360" si="1889">BE1338</f>
        <v>0</v>
      </c>
      <c r="BF1339" s="1">
        <f t="shared" si="1873"/>
        <v>0</v>
      </c>
      <c r="BG1339" s="1">
        <f>MAX(W1339,1)</f>
        <v>1</v>
      </c>
      <c r="BH1339" s="1">
        <f t="shared" ref="BH1339:BH1373" si="1890">MAX(X1339,0)</f>
        <v>1</v>
      </c>
      <c r="BI1339" s="1">
        <f>MAX(Y1339,1)</f>
        <v>1</v>
      </c>
      <c r="BJ1339" s="1">
        <f t="shared" si="1864"/>
        <v>0</v>
      </c>
      <c r="BK1339" s="1">
        <f t="shared" si="1865"/>
        <v>0</v>
      </c>
      <c r="BL1339" s="1">
        <f t="shared" si="1870"/>
        <v>0</v>
      </c>
      <c r="BM1339" s="1">
        <f t="shared" si="1868"/>
        <v>0</v>
      </c>
      <c r="BN1339" s="1">
        <f t="shared" ref="BN1339:BN1373" si="1891">BO1338</f>
        <v>1</v>
      </c>
      <c r="BO1339" s="1">
        <f t="shared" ref="BO1339:BO1373" si="1892">MAX(BN1339,0)</f>
        <v>1</v>
      </c>
    </row>
    <row r="1340" spans="1:67" ht="30.95" customHeight="1">
      <c r="A1340" s="1">
        <f>37</f>
        <v>37</v>
      </c>
      <c r="B1340" s="1">
        <f>固定流程!A8</f>
        <v>3</v>
      </c>
      <c r="C1340" s="1">
        <f>40</f>
        <v>40</v>
      </c>
      <c r="D1340" s="1">
        <f>1</f>
        <v>1</v>
      </c>
      <c r="E1340" s="1">
        <f>固定流程!C8</f>
        <v>1</v>
      </c>
      <c r="F1340" s="1">
        <f>固定流程!G8</f>
        <v>1</v>
      </c>
      <c r="G1340" s="1" t="str">
        <f>固定流程!H8</f>
        <v>LILYA_COBRA</v>
      </c>
      <c r="H1340" s="1">
        <f>固定流程!F8</f>
        <v>1</v>
      </c>
      <c r="I1340" s="1">
        <f>INDEX(配置与结果!$B$15:$B$18,F1340)</f>
        <v>2296</v>
      </c>
      <c r="J1340" s="1">
        <f>INDEX(配置与结果!$D$15:$D$18,F1340)</f>
        <v>0.7</v>
      </c>
      <c r="K1340" s="1">
        <f>INDEX(配置与结果!$E$15:$E$18,F1340)</f>
        <v>2.0249999999999999</v>
      </c>
      <c r="L1340" s="1">
        <f t="shared" si="1874"/>
        <v>0</v>
      </c>
      <c r="M1340" s="1">
        <f t="shared" si="1874"/>
        <v>0</v>
      </c>
      <c r="N1340" s="1">
        <f t="shared" si="1874"/>
        <v>0</v>
      </c>
      <c r="O1340" s="1">
        <f t="shared" si="1874"/>
        <v>0</v>
      </c>
      <c r="P1340" s="1">
        <f>MIN(方案参数!$AI$40,AZ1339+0+0)</f>
        <v>3</v>
      </c>
      <c r="Q1340" s="1">
        <f t="shared" si="1875"/>
        <v>2</v>
      </c>
      <c r="R1340" s="1">
        <f t="shared" si="1876"/>
        <v>5</v>
      </c>
      <c r="S1340" s="1">
        <f t="shared" si="1877"/>
        <v>0</v>
      </c>
      <c r="T1340" s="1">
        <f t="shared" si="1878"/>
        <v>0</v>
      </c>
      <c r="U1340" s="1">
        <f t="shared" si="1879"/>
        <v>0</v>
      </c>
      <c r="V1340" s="1">
        <f t="shared" si="1880"/>
        <v>0</v>
      </c>
      <c r="W1340" s="1">
        <f t="shared" si="1881"/>
        <v>1</v>
      </c>
      <c r="X1340" s="1">
        <f t="shared" si="1882"/>
        <v>1</v>
      </c>
      <c r="Y1340" s="1">
        <f t="shared" si="1883"/>
        <v>1</v>
      </c>
      <c r="Z1340" s="1">
        <f t="shared" si="1884"/>
        <v>0</v>
      </c>
      <c r="AA1340" s="1">
        <f t="shared" si="1885"/>
        <v>0</v>
      </c>
      <c r="AB1340" s="1">
        <f t="shared" si="1886"/>
        <v>0</v>
      </c>
      <c r="AC1340" s="1">
        <f t="shared" si="1887"/>
        <v>0</v>
      </c>
      <c r="AD1340" s="1">
        <f>ROUNDDOWN(I1340*(1+IF(F1340=3,0.05+方案参数!$Y$40+AA1340*0.12,IF(F1340=4,方案参数!$BZ$40*方案参数!$AS$40,0)))+IF(AND(X1340=1,F1340&lt;&gt;3),方案参数!$CC$40,0)+AC1340*方案参数!$CB$40,0)</f>
        <v>2524</v>
      </c>
      <c r="AE1340" s="1">
        <f>IF(OR(F1340=1,F1340=4),配置与结果!$B$24,配置与结果!$B$25)*MAX(0,1-INDEX(配置与结果!$I$15:$I$18,F1340))</f>
        <v>1200</v>
      </c>
      <c r="AF1340" s="1">
        <f>0</f>
        <v>0</v>
      </c>
      <c r="AG1340" s="1">
        <f>MAX(配置与结果!$B$32,1+INDEX(配置与结果!$F$15:$F$18,F1340)+0.08+方案参数!$CD$40+Q1340*方案参数!$W$40+Y1340*(方案参数!$AN$40+MIN(方案参数!$AO$40,P1340*0.03))+AB1340*方案参数!$BZ$40*0.025-配置与结果!$B$28)</f>
        <v>1.2080000000000002</v>
      </c>
      <c r="AH1340" s="1">
        <f>MAX(0,1+INDEX(配置与结果!$G$15:$G$18,F1340)+W1340*方案参数!$AG$40)</f>
        <v>1.3</v>
      </c>
      <c r="AI1340" s="1">
        <f>IF(OR(INDEX(配置与结果!$K$15:$K$18,F1340)=1,G1340="RHI_BERRY"),1+配置与结果!$B$33+P1340*方案参数!$AH$40,1)</f>
        <v>1</v>
      </c>
      <c r="AJ1340" s="1">
        <f>MIN(1,MAX(0,J1340+方案参数!$AB$40-配置与结果!$B$27))</f>
        <v>1</v>
      </c>
      <c r="AK1340" s="1">
        <f>MAX(1,K1340+IF(F1340=2,0.15+方案参数!$CH$40,0)+BN1340*方案参数!$X$40+R1340*方案参数!$AA$40+0-配置与结果!$B$26+Z1340*(方案参数!$AP$40+MIN(方案参数!$AQ$40,P1340*0.03)))</f>
        <v>1.7450000000000001</v>
      </c>
      <c r="AL1340" s="7">
        <f>ROUNDDOWN(MAX(AD1340*配置与结果!$B$31,AD1340-AE1340)*AF1340*AG1340*AH1340*AI1340,0)</f>
        <v>0</v>
      </c>
      <c r="AM1340" s="7">
        <f>ROUNDDOWN(MAX(AD1340*配置与结果!$B$31,AD1340-AE1340)*AF1340*AG1340*AH1340*AI1340*AK1340,0)</f>
        <v>0</v>
      </c>
      <c r="AN1340" s="7">
        <f t="shared" si="1817"/>
        <v>0</v>
      </c>
      <c r="AO1340" s="7">
        <f>0</f>
        <v>0</v>
      </c>
      <c r="AP1340" s="7">
        <f>MAX(0,1+INDEX(配置与结果!$J$15:$J$18,F1340)+IF(T1340&gt;0,方案参数!$BY$40,0)-配置与结果!$B$30)</f>
        <v>1</v>
      </c>
      <c r="AQ1340" s="7">
        <f t="shared" si="1818"/>
        <v>0</v>
      </c>
      <c r="AR1340" s="7">
        <f t="shared" si="1819"/>
        <v>0</v>
      </c>
      <c r="AS1340" s="7">
        <f t="shared" si="1820"/>
        <v>0</v>
      </c>
      <c r="AT1340" s="7">
        <f>0</f>
        <v>0</v>
      </c>
      <c r="AU1340" s="7">
        <f t="shared" si="1821"/>
        <v>0</v>
      </c>
      <c r="AV1340" s="1">
        <f t="shared" si="1822"/>
        <v>1</v>
      </c>
      <c r="AW1340" s="1">
        <f>MIN(10,M1340+方案参数!$BD$40+0)</f>
        <v>3</v>
      </c>
      <c r="AX1340" s="1">
        <f t="shared" si="1823"/>
        <v>0</v>
      </c>
      <c r="AY1340" s="1">
        <f>MIN(20,MAX(0,O1340+6+0-0))</f>
        <v>6</v>
      </c>
      <c r="AZ1340" s="1">
        <f t="shared" si="1824"/>
        <v>3</v>
      </c>
      <c r="BA1340" s="1">
        <f>MIN(6,Q1340+0)</f>
        <v>2</v>
      </c>
      <c r="BB1340" s="1">
        <f t="shared" si="1888"/>
        <v>5</v>
      </c>
      <c r="BC1340" s="1">
        <f t="shared" si="1869"/>
        <v>0</v>
      </c>
      <c r="BD1340" s="1">
        <f t="shared" si="1850"/>
        <v>0</v>
      </c>
      <c r="BE1340" s="1">
        <f t="shared" si="1889"/>
        <v>0</v>
      </c>
      <c r="BF1340" s="1">
        <f t="shared" si="1873"/>
        <v>0</v>
      </c>
      <c r="BG1340" s="1">
        <f t="shared" ref="BG1340:BG1350" si="1893">MAX(W1340,0)</f>
        <v>1</v>
      </c>
      <c r="BH1340" s="1">
        <f t="shared" si="1890"/>
        <v>1</v>
      </c>
      <c r="BI1340" s="1">
        <f t="shared" ref="BI1340:BI1350" si="1894">MAX(Y1340,0)</f>
        <v>1</v>
      </c>
      <c r="BJ1340" s="1">
        <f t="shared" si="1864"/>
        <v>0</v>
      </c>
      <c r="BK1340" s="1">
        <f t="shared" si="1865"/>
        <v>0</v>
      </c>
      <c r="BL1340" s="1">
        <f t="shared" si="1870"/>
        <v>0</v>
      </c>
      <c r="BM1340" s="1">
        <f t="shared" si="1868"/>
        <v>0</v>
      </c>
      <c r="BN1340" s="1">
        <f t="shared" si="1891"/>
        <v>1</v>
      </c>
      <c r="BO1340" s="1">
        <f t="shared" si="1892"/>
        <v>1</v>
      </c>
    </row>
    <row r="1341" spans="1:67" ht="30.95" customHeight="1">
      <c r="A1341" s="1">
        <f>37</f>
        <v>37</v>
      </c>
      <c r="B1341" s="1">
        <f>固定流程!A9</f>
        <v>4</v>
      </c>
      <c r="C1341" s="1">
        <f>40</f>
        <v>40</v>
      </c>
      <c r="D1341" s="1">
        <f>1</f>
        <v>1</v>
      </c>
      <c r="E1341" s="1">
        <f>固定流程!C9</f>
        <v>1</v>
      </c>
      <c r="F1341" s="1">
        <f>固定流程!G9</f>
        <v>1</v>
      </c>
      <c r="G1341" s="1" t="str">
        <f>固定流程!H9</f>
        <v>LILYA_DIVE</v>
      </c>
      <c r="H1341" s="1">
        <f>固定流程!F9</f>
        <v>1</v>
      </c>
      <c r="I1341" s="1">
        <f>INDEX(配置与结果!$B$15:$B$18,F1341)</f>
        <v>2296</v>
      </c>
      <c r="J1341" s="1">
        <f>INDEX(配置与结果!$D$15:$D$18,F1341)</f>
        <v>0.7</v>
      </c>
      <c r="K1341" s="1">
        <f>INDEX(配置与结果!$E$15:$E$18,F1341)</f>
        <v>2.0249999999999999</v>
      </c>
      <c r="L1341" s="1">
        <f t="shared" si="1874"/>
        <v>1</v>
      </c>
      <c r="M1341" s="1">
        <f t="shared" si="1874"/>
        <v>3</v>
      </c>
      <c r="N1341" s="1">
        <f t="shared" si="1874"/>
        <v>0</v>
      </c>
      <c r="O1341" s="1">
        <f t="shared" si="1874"/>
        <v>6</v>
      </c>
      <c r="P1341" s="1">
        <f>MIN(方案参数!$AI$40,AZ1340+0+0)</f>
        <v>3</v>
      </c>
      <c r="Q1341" s="1">
        <f t="shared" si="1875"/>
        <v>2</v>
      </c>
      <c r="R1341" s="1">
        <f t="shared" si="1876"/>
        <v>5</v>
      </c>
      <c r="S1341" s="1">
        <f t="shared" si="1877"/>
        <v>0</v>
      </c>
      <c r="T1341" s="1">
        <f t="shared" si="1878"/>
        <v>0</v>
      </c>
      <c r="U1341" s="1">
        <f t="shared" si="1879"/>
        <v>0</v>
      </c>
      <c r="V1341" s="1">
        <f t="shared" si="1880"/>
        <v>0</v>
      </c>
      <c r="W1341" s="1">
        <f t="shared" si="1881"/>
        <v>1</v>
      </c>
      <c r="X1341" s="1">
        <f t="shared" si="1882"/>
        <v>1</v>
      </c>
      <c r="Y1341" s="1">
        <f t="shared" si="1883"/>
        <v>1</v>
      </c>
      <c r="Z1341" s="1">
        <f t="shared" si="1884"/>
        <v>0</v>
      </c>
      <c r="AA1341" s="1">
        <f t="shared" si="1885"/>
        <v>0</v>
      </c>
      <c r="AB1341" s="1">
        <f t="shared" si="1886"/>
        <v>0</v>
      </c>
      <c r="AC1341" s="1">
        <f t="shared" si="1887"/>
        <v>0</v>
      </c>
      <c r="AD1341" s="1">
        <f>ROUNDDOWN(I1341*(1+IF(F1341=3,0.05+方案参数!$Y$40+AA1341*0.12,IF(F1341=4,方案参数!$BZ$40*方案参数!$AS$40,0)))+IF(AND(X1341=1,F1341&lt;&gt;3),方案参数!$CC$40,0)+AC1341*方案参数!$CB$40,0)</f>
        <v>2524</v>
      </c>
      <c r="AE1341" s="1">
        <f>IF(OR(F1341=1,F1341=4),配置与结果!$B$24,配置与结果!$B$25)*MAX(0,1-INDEX(配置与结果!$I$15:$I$18,F1341))</f>
        <v>1200</v>
      </c>
      <c r="AF1341" s="1">
        <f>(IF(L1341=1,方案参数!$AW$40,IF(L1341=2,方案参数!$AX$40,0))+方案参数!$AV$40)*H1341</f>
        <v>6</v>
      </c>
      <c r="AG1341" s="1">
        <f>MAX(配置与结果!$B$32,1+INDEX(配置与结果!$F$15:$F$18,F1341)+0.08+方案参数!$CD$40+Q1341*方案参数!$W$40+Y1341*(方案参数!$AN$40+MIN(方案参数!$AO$40,P1341*0.03))+AB1341*方案参数!$BZ$40*0.025+IF(L1341=1,方案参数!$AY$40+(H1341-1)*0.1,IF(L1341=2,方案参数!$AZ$40+(H1341-1)*0.2,0))-配置与结果!$B$28)</f>
        <v>1.3080000000000003</v>
      </c>
      <c r="AH1341" s="1">
        <f>MAX(0,1+INDEX(配置与结果!$G$15:$G$18,F1341)+W1341*方案参数!$AG$40+IF(L1341=1,方案参数!$BA$40,IF(L1341=2,方案参数!$BB$40,0))+M1341*方案参数!$BC$40)</f>
        <v>2.08</v>
      </c>
      <c r="AI1341" s="1">
        <f>IF(OR(INDEX(配置与结果!$K$15:$K$18,F1341)=1,G1341="RHI_BERRY"),1+配置与结果!$B$33+P1341*方案参数!$AH$40,1)</f>
        <v>1</v>
      </c>
      <c r="AJ1341" s="1">
        <f>MIN(1,MAX(0,J1341+方案参数!$AB$40-配置与结果!$B$27))</f>
        <v>1</v>
      </c>
      <c r="AK1341" s="1">
        <f>MAX(1,K1341+IF(F1341=2,0.15+方案参数!$CH$40,0)+BN1341*方案参数!$X$40+R1341*方案参数!$AA$40+0-配置与结果!$B$26+Z1341*(方案参数!$AP$40+MIN(方案参数!$AQ$40,P1341*0.03)))</f>
        <v>1.7450000000000001</v>
      </c>
      <c r="AL1341" s="7">
        <f>ROUNDDOWN(MAX(AD1341*配置与结果!$B$31,AD1341-AE1341)*AF1341*AG1341*AH1341*AI1341,0)</f>
        <v>21612</v>
      </c>
      <c r="AM1341" s="7">
        <f>ROUNDDOWN(MAX(AD1341*配置与结果!$B$31,AD1341-AE1341)*AF1341*AG1341*AH1341*AI1341*AK1341,0)</f>
        <v>37714</v>
      </c>
      <c r="AN1341" s="7">
        <f t="shared" si="1817"/>
        <v>37714</v>
      </c>
      <c r="AO1341" s="7">
        <f>0</f>
        <v>0</v>
      </c>
      <c r="AP1341" s="7">
        <f>MAX(0,1+INDEX(配置与结果!$J$15:$J$18,F1341)+IF(T1341&gt;0,方案参数!$BY$40,0)-配置与结果!$B$30)</f>
        <v>1</v>
      </c>
      <c r="AQ1341" s="7">
        <f t="shared" si="1818"/>
        <v>0</v>
      </c>
      <c r="AR1341" s="7">
        <f t="shared" si="1819"/>
        <v>0</v>
      </c>
      <c r="AS1341" s="7">
        <f t="shared" si="1820"/>
        <v>0</v>
      </c>
      <c r="AT1341" s="7">
        <f>0</f>
        <v>0</v>
      </c>
      <c r="AU1341" s="7">
        <f t="shared" si="1821"/>
        <v>37714</v>
      </c>
      <c r="AV1341" s="1">
        <f t="shared" si="1822"/>
        <v>1</v>
      </c>
      <c r="AW1341" s="1">
        <f>MIN(10,M1341+0+IF(L1341=1,方案参数!$BE$40,0))</f>
        <v>4</v>
      </c>
      <c r="AX1341" s="1">
        <f t="shared" si="1823"/>
        <v>0</v>
      </c>
      <c r="AY1341" s="1">
        <f t="shared" ref="AY1341:AY1356" si="1895">MIN(20,MAX(0,O1341+0+0-0))</f>
        <v>6</v>
      </c>
      <c r="AZ1341" s="1">
        <f t="shared" si="1824"/>
        <v>3</v>
      </c>
      <c r="BA1341" s="1">
        <f>MIN(6,Q1341+0)</f>
        <v>2</v>
      </c>
      <c r="BB1341" s="1">
        <f t="shared" si="1888"/>
        <v>5</v>
      </c>
      <c r="BC1341" s="1">
        <f t="shared" si="1869"/>
        <v>0</v>
      </c>
      <c r="BD1341" s="1">
        <f t="shared" si="1850"/>
        <v>0</v>
      </c>
      <c r="BE1341" s="1">
        <f t="shared" si="1889"/>
        <v>0</v>
      </c>
      <c r="BF1341" s="1">
        <f t="shared" si="1873"/>
        <v>0</v>
      </c>
      <c r="BG1341" s="1">
        <f t="shared" si="1893"/>
        <v>1</v>
      </c>
      <c r="BH1341" s="1">
        <f t="shared" si="1890"/>
        <v>1</v>
      </c>
      <c r="BI1341" s="1">
        <f t="shared" si="1894"/>
        <v>1</v>
      </c>
      <c r="BJ1341" s="1">
        <f t="shared" si="1864"/>
        <v>0</v>
      </c>
      <c r="BK1341" s="1">
        <f t="shared" si="1865"/>
        <v>0</v>
      </c>
      <c r="BL1341" s="1">
        <f t="shared" si="1870"/>
        <v>0</v>
      </c>
      <c r="BM1341" s="1">
        <f t="shared" si="1868"/>
        <v>0</v>
      </c>
      <c r="BN1341" s="1">
        <f t="shared" si="1891"/>
        <v>1</v>
      </c>
      <c r="BO1341" s="1">
        <f t="shared" si="1892"/>
        <v>1</v>
      </c>
    </row>
    <row r="1342" spans="1:67" ht="30.95" customHeight="1">
      <c r="A1342" s="1">
        <f>37</f>
        <v>37</v>
      </c>
      <c r="B1342" s="1">
        <f>固定流程!A10</f>
        <v>5</v>
      </c>
      <c r="C1342" s="1">
        <f>40</f>
        <v>40</v>
      </c>
      <c r="D1342" s="1">
        <f>1</f>
        <v>1</v>
      </c>
      <c r="E1342" s="1">
        <f>固定流程!C10</f>
        <v>1</v>
      </c>
      <c r="F1342" s="1">
        <f>固定流程!G10</f>
        <v>2</v>
      </c>
      <c r="G1342" s="1" t="str">
        <f>固定流程!H10</f>
        <v>37_TRIANGLE</v>
      </c>
      <c r="H1342" s="1">
        <f>固定流程!F10</f>
        <v>1</v>
      </c>
      <c r="I1342" s="1">
        <f>INDEX(配置与结果!$B$15:$B$18,F1342)</f>
        <v>2306</v>
      </c>
      <c r="J1342" s="1">
        <f>INDEX(配置与结果!$D$15:$D$18,F1342)</f>
        <v>0.46</v>
      </c>
      <c r="K1342" s="1">
        <f>INDEX(配置与结果!$E$15:$E$18,F1342)</f>
        <v>1.9279999999999999</v>
      </c>
      <c r="L1342" s="1">
        <f t="shared" si="1874"/>
        <v>1</v>
      </c>
      <c r="M1342" s="1">
        <f t="shared" si="1874"/>
        <v>4</v>
      </c>
      <c r="N1342" s="1">
        <f t="shared" si="1874"/>
        <v>0</v>
      </c>
      <c r="O1342" s="1">
        <f t="shared" si="1874"/>
        <v>6</v>
      </c>
      <c r="P1342" s="1">
        <f>MIN(方案参数!$AI$40,AZ1341+0+0)</f>
        <v>3</v>
      </c>
      <c r="Q1342" s="1">
        <f t="shared" si="1875"/>
        <v>2</v>
      </c>
      <c r="R1342" s="1">
        <f t="shared" si="1876"/>
        <v>5</v>
      </c>
      <c r="S1342" s="1">
        <f t="shared" si="1877"/>
        <v>0</v>
      </c>
      <c r="T1342" s="1">
        <f t="shared" si="1878"/>
        <v>0</v>
      </c>
      <c r="U1342" s="1">
        <f t="shared" si="1879"/>
        <v>0</v>
      </c>
      <c r="V1342" s="1">
        <f t="shared" si="1880"/>
        <v>0</v>
      </c>
      <c r="W1342" s="1">
        <f t="shared" si="1881"/>
        <v>1</v>
      </c>
      <c r="X1342" s="1">
        <f t="shared" si="1882"/>
        <v>1</v>
      </c>
      <c r="Y1342" s="1">
        <f t="shared" si="1883"/>
        <v>1</v>
      </c>
      <c r="Z1342" s="1">
        <f t="shared" si="1884"/>
        <v>0</v>
      </c>
      <c r="AA1342" s="1">
        <f t="shared" si="1885"/>
        <v>0</v>
      </c>
      <c r="AB1342" s="1">
        <f t="shared" si="1886"/>
        <v>0</v>
      </c>
      <c r="AC1342" s="1">
        <f t="shared" si="1887"/>
        <v>0</v>
      </c>
      <c r="AD1342" s="1">
        <f>ROUNDDOWN(I1342*(1+IF(F1342=3,0.05+方案参数!$Y$40+AA1342*0.12,IF(F1342=4,方案参数!$BZ$40*方案参数!$AS$40,0)))+IF(AND(X1342=1,F1342&lt;&gt;3),方案参数!$CC$40,0)+AC1342*方案参数!$CB$40,0)</f>
        <v>2534</v>
      </c>
      <c r="AE1342" s="1">
        <f>IF(OR(F1342=1,F1342=4),配置与结果!$B$24,配置与结果!$B$25)*MAX(0,1-INDEX(配置与结果!$I$15:$I$18,F1342))</f>
        <v>1000</v>
      </c>
      <c r="AF1342" s="1">
        <f>方案参数!$BS$40*IF(H1342=1,1,IF(H1342=2,1.5,2.5))</f>
        <v>2.8</v>
      </c>
      <c r="AG1342" s="1">
        <f>MAX(配置与结果!$B$32,1+INDEX(配置与结果!$F$15:$F$18,F1342)+0+Q1342*方案参数!$W$40+Y1342*(方案参数!$AN$40+MIN(方案参数!$AO$40,P1342*0.03))+AB1342*方案参数!$BZ$40*0.025-配置与结果!$B$28)</f>
        <v>0.87299999999999989</v>
      </c>
      <c r="AH1342" s="1">
        <f>MAX(0,1+INDEX(配置与结果!$G$15:$G$18,F1342)+W1342*方案参数!$AG$40)</f>
        <v>1.3</v>
      </c>
      <c r="AI1342" s="1">
        <f>IF(OR(INDEX(配置与结果!$K$15:$K$18,F1342)=1,G1342="RHI_BERRY"),1+配置与结果!$B$33+P1342*方案参数!$AH$40,1)</f>
        <v>1</v>
      </c>
      <c r="AJ1342" s="1">
        <f>MIN(1,MAX(0,J1342+方案参数!$AB$40-配置与结果!$B$27))</f>
        <v>0.76</v>
      </c>
      <c r="AK1342" s="1">
        <f>MAX(1,K1342+IF(F1342=2,0.15+方案参数!$CH$40,0)+BN1342*方案参数!$X$40+R1342*方案参数!$AA$40+0-配置与结果!$B$26+Z1342*(方案参数!$AP$40+MIN(方案参数!$AQ$40,P1342*0.03)))</f>
        <v>1.9180000000000001</v>
      </c>
      <c r="AL1342" s="7">
        <f>ROUNDDOWN(MAX(AD1342*配置与结果!$B$31,AD1342-AE1342)*AF1342*AG1342*AH1342*AI1342,0)</f>
        <v>4874</v>
      </c>
      <c r="AM1342" s="7">
        <f>ROUNDDOWN(MAX(AD1342*配置与结果!$B$31,AD1342-AE1342)*AF1342*AG1342*AH1342*AI1342*AK1342,0)</f>
        <v>9349</v>
      </c>
      <c r="AN1342" s="7">
        <f t="shared" si="1817"/>
        <v>8275</v>
      </c>
      <c r="AO1342" s="7">
        <f>方案参数!$BU$40*IF(H1342=1,1,IF(H1342=2,1.5,2.5))</f>
        <v>0.8</v>
      </c>
      <c r="AP1342" s="7">
        <f>MAX(0,1+INDEX(配置与结果!$J$15:$J$18,F1342)+IF(T1342&gt;0,方案参数!$BY$40,0)-配置与结果!$B$30)</f>
        <v>1</v>
      </c>
      <c r="AQ1342" s="7">
        <f t="shared" si="1818"/>
        <v>2027</v>
      </c>
      <c r="AR1342" s="7">
        <f t="shared" si="1819"/>
        <v>3887</v>
      </c>
      <c r="AS1342" s="7">
        <f t="shared" si="1820"/>
        <v>3440.6</v>
      </c>
      <c r="AT1342" s="7">
        <f>0</f>
        <v>0</v>
      </c>
      <c r="AU1342" s="7">
        <f t="shared" si="1821"/>
        <v>11715.6</v>
      </c>
      <c r="AV1342" s="1">
        <f t="shared" si="1822"/>
        <v>1</v>
      </c>
      <c r="AW1342" s="1">
        <f>MIN(10,M1342+0+0)</f>
        <v>4</v>
      </c>
      <c r="AX1342" s="1">
        <f t="shared" si="1823"/>
        <v>0</v>
      </c>
      <c r="AY1342" s="1">
        <f t="shared" si="1895"/>
        <v>6</v>
      </c>
      <c r="AZ1342" s="1">
        <f t="shared" si="1824"/>
        <v>3</v>
      </c>
      <c r="BA1342" s="1">
        <f>MIN(6,Q1342+0)</f>
        <v>2</v>
      </c>
      <c r="BB1342" s="1">
        <f t="shared" si="1888"/>
        <v>5</v>
      </c>
      <c r="BC1342" s="1">
        <f t="shared" si="1869"/>
        <v>0</v>
      </c>
      <c r="BD1342" s="1">
        <f>MAX(0,T1342-IF(AO1342&gt;0,1,0))+1</f>
        <v>1</v>
      </c>
      <c r="BE1342" s="1">
        <f t="shared" si="1889"/>
        <v>0</v>
      </c>
      <c r="BF1342" s="1">
        <f t="shared" si="1873"/>
        <v>0</v>
      </c>
      <c r="BG1342" s="1">
        <f t="shared" si="1893"/>
        <v>1</v>
      </c>
      <c r="BH1342" s="1">
        <f t="shared" si="1890"/>
        <v>1</v>
      </c>
      <c r="BI1342" s="1">
        <f t="shared" si="1894"/>
        <v>1</v>
      </c>
      <c r="BJ1342" s="1">
        <f t="shared" si="1864"/>
        <v>0</v>
      </c>
      <c r="BK1342" s="1">
        <f t="shared" si="1865"/>
        <v>0</v>
      </c>
      <c r="BL1342" s="1">
        <f t="shared" si="1870"/>
        <v>0</v>
      </c>
      <c r="BM1342" s="1">
        <f t="shared" si="1868"/>
        <v>0</v>
      </c>
      <c r="BN1342" s="1">
        <f t="shared" si="1891"/>
        <v>1</v>
      </c>
      <c r="BO1342" s="1">
        <f t="shared" si="1892"/>
        <v>1</v>
      </c>
    </row>
    <row r="1343" spans="1:67" ht="30.95" customHeight="1">
      <c r="A1343" s="1">
        <f>37</f>
        <v>37</v>
      </c>
      <c r="B1343" s="1">
        <f>固定流程!A11</f>
        <v>6</v>
      </c>
      <c r="C1343" s="1">
        <f>40</f>
        <v>40</v>
      </c>
      <c r="D1343" s="1">
        <f>1</f>
        <v>1</v>
      </c>
      <c r="E1343" s="1">
        <f>固定流程!C11</f>
        <v>1</v>
      </c>
      <c r="F1343" s="1">
        <f>固定流程!G11</f>
        <v>2</v>
      </c>
      <c r="G1343" s="1" t="str">
        <f>固定流程!H11</f>
        <v>37_FOLLOW</v>
      </c>
      <c r="H1343" s="1">
        <f>固定流程!F11</f>
        <v>1</v>
      </c>
      <c r="I1343" s="1">
        <f>INDEX(配置与结果!$B$15:$B$18,F1343)</f>
        <v>2306</v>
      </c>
      <c r="J1343" s="1">
        <f>INDEX(配置与结果!$D$15:$D$18,F1343)</f>
        <v>0.46</v>
      </c>
      <c r="K1343" s="1">
        <f>INDEX(配置与结果!$E$15:$E$18,F1343)</f>
        <v>1.9279999999999999</v>
      </c>
      <c r="L1343" s="1">
        <f t="shared" si="1874"/>
        <v>1</v>
      </c>
      <c r="M1343" s="1">
        <f t="shared" si="1874"/>
        <v>4</v>
      </c>
      <c r="N1343" s="1">
        <f t="shared" si="1874"/>
        <v>0</v>
      </c>
      <c r="O1343" s="1">
        <f t="shared" si="1874"/>
        <v>6</v>
      </c>
      <c r="P1343" s="1">
        <f>MIN(方案参数!$AI$40,AZ1342+0+0)</f>
        <v>3</v>
      </c>
      <c r="Q1343" s="1">
        <f t="shared" si="1875"/>
        <v>2</v>
      </c>
      <c r="R1343" s="1">
        <f t="shared" si="1876"/>
        <v>5</v>
      </c>
      <c r="S1343" s="1">
        <f t="shared" si="1877"/>
        <v>0</v>
      </c>
      <c r="T1343" s="1">
        <f t="shared" si="1878"/>
        <v>1</v>
      </c>
      <c r="U1343" s="1">
        <f t="shared" si="1879"/>
        <v>0</v>
      </c>
      <c r="V1343" s="1">
        <f t="shared" si="1880"/>
        <v>0</v>
      </c>
      <c r="W1343" s="1">
        <f t="shared" si="1881"/>
        <v>1</v>
      </c>
      <c r="X1343" s="1">
        <f t="shared" si="1882"/>
        <v>1</v>
      </c>
      <c r="Y1343" s="1">
        <f t="shared" si="1883"/>
        <v>1</v>
      </c>
      <c r="Z1343" s="1">
        <f t="shared" si="1884"/>
        <v>0</v>
      </c>
      <c r="AA1343" s="1">
        <f t="shared" si="1885"/>
        <v>0</v>
      </c>
      <c r="AB1343" s="1">
        <f t="shared" si="1886"/>
        <v>0</v>
      </c>
      <c r="AC1343" s="1">
        <f t="shared" si="1887"/>
        <v>0</v>
      </c>
      <c r="AD1343" s="1">
        <f>ROUNDDOWN(I1343*(1+IF(F1343=3,0.05+方案参数!$Y$40+AA1343*0.12,IF(F1343=4,方案参数!$BZ$40*方案参数!$AS$40,0)))+IF(AND(X1343=1,F1343&lt;&gt;3),方案参数!$CC$40,0)+AC1343*方案参数!$CB$40,0)</f>
        <v>2534</v>
      </c>
      <c r="AE1343" s="1">
        <f>IF(OR(F1343=1,F1343=4),配置与结果!$B$24,配置与结果!$B$25)*MAX(0,1-INDEX(配置与结果!$I$15:$I$18,F1343))</f>
        <v>1000</v>
      </c>
      <c r="AF1343" s="1">
        <f>方案参数!$BV$40</f>
        <v>3</v>
      </c>
      <c r="AG1343" s="1">
        <f>MAX(配置与结果!$B$32,1+INDEX(配置与结果!$F$15:$F$18,F1343)+0+Q1343*方案参数!$W$40+Y1343*(方案参数!$AN$40+MIN(方案参数!$AO$40,P1343*0.03))+AB1343*方案参数!$BZ$40*0.025-配置与结果!$B$28)</f>
        <v>0.87299999999999989</v>
      </c>
      <c r="AH1343" s="1">
        <f>MAX(0,1+INDEX(配置与结果!$G$15:$G$18,F1343)+W1343*方案参数!$AG$40)</f>
        <v>1.3</v>
      </c>
      <c r="AI1343" s="1">
        <f>IF(OR(INDEX(配置与结果!$K$15:$K$18,F1343)=1,G1343="RHI_BERRY"),1+配置与结果!$B$33+P1343*方案参数!$AH$40,1)</f>
        <v>1</v>
      </c>
      <c r="AJ1343" s="1">
        <f>MIN(1,MAX(0,J1343+方案参数!$AB$40-配置与结果!$B$27))</f>
        <v>0.76</v>
      </c>
      <c r="AK1343" s="1">
        <f>MAX(1,K1343+IF(F1343=2,0.15+方案参数!$CH$40,0)+BN1343*方案参数!$X$40+R1343*方案参数!$AA$40+0-配置与结果!$B$26+Z1343*(方案参数!$AP$40+MIN(方案参数!$AQ$40,P1343*0.03)))</f>
        <v>1.9180000000000001</v>
      </c>
      <c r="AL1343" s="7">
        <f>ROUNDDOWN(MAX(AD1343*配置与结果!$B$31,AD1343-AE1343)*AF1343*AG1343*AH1343*AI1343,0)</f>
        <v>5222</v>
      </c>
      <c r="AM1343" s="7">
        <f>ROUNDDOWN(MAX(AD1343*配置与结果!$B$31,AD1343-AE1343)*AF1343*AG1343*AH1343*AI1343*AK1343,0)</f>
        <v>10017</v>
      </c>
      <c r="AN1343" s="7">
        <f t="shared" si="1817"/>
        <v>8866.2000000000007</v>
      </c>
      <c r="AO1343" s="7">
        <f>方案参数!$BW$40</f>
        <v>1</v>
      </c>
      <c r="AP1343" s="7">
        <f>MAX(0,1+INDEX(配置与结果!$J$15:$J$18,F1343)+IF(T1343&gt;0,方案参数!$BY$40,0)-配置与结果!$B$30)</f>
        <v>2</v>
      </c>
      <c r="AQ1343" s="7">
        <f t="shared" si="1818"/>
        <v>5068</v>
      </c>
      <c r="AR1343" s="7">
        <f t="shared" si="1819"/>
        <v>9720</v>
      </c>
      <c r="AS1343" s="7">
        <f t="shared" si="1820"/>
        <v>8603.52</v>
      </c>
      <c r="AT1343" s="7">
        <f>0</f>
        <v>0</v>
      </c>
      <c r="AU1343" s="7">
        <f t="shared" si="1821"/>
        <v>17469.72</v>
      </c>
      <c r="AV1343" s="1">
        <f t="shared" si="1822"/>
        <v>1</v>
      </c>
      <c r="AW1343" s="1">
        <f>MIN(10,M1343+0+0)</f>
        <v>4</v>
      </c>
      <c r="AX1343" s="1">
        <f t="shared" si="1823"/>
        <v>0</v>
      </c>
      <c r="AY1343" s="1">
        <f t="shared" si="1895"/>
        <v>6</v>
      </c>
      <c r="AZ1343" s="1">
        <f t="shared" si="1824"/>
        <v>3</v>
      </c>
      <c r="BA1343" s="1">
        <f>MIN(6,Q1343+0)</f>
        <v>2</v>
      </c>
      <c r="BB1343" s="1">
        <f t="shared" si="1888"/>
        <v>5</v>
      </c>
      <c r="BC1343" s="1">
        <f t="shared" si="1869"/>
        <v>0</v>
      </c>
      <c r="BD1343" s="1">
        <f t="shared" ref="BD1343:BD1377" si="1896">MAX(0,T1343-IF(AO1343&gt;0,1,0))+0</f>
        <v>0</v>
      </c>
      <c r="BE1343" s="1">
        <f t="shared" si="1889"/>
        <v>0</v>
      </c>
      <c r="BF1343" s="1">
        <f>MIN(4,V1343+1)</f>
        <v>1</v>
      </c>
      <c r="BG1343" s="1">
        <f t="shared" si="1893"/>
        <v>1</v>
      </c>
      <c r="BH1343" s="1">
        <f t="shared" si="1890"/>
        <v>1</v>
      </c>
      <c r="BI1343" s="1">
        <f t="shared" si="1894"/>
        <v>1</v>
      </c>
      <c r="BJ1343" s="1">
        <f t="shared" si="1864"/>
        <v>0</v>
      </c>
      <c r="BK1343" s="1">
        <f t="shared" si="1865"/>
        <v>0</v>
      </c>
      <c r="BL1343" s="1">
        <f t="shared" si="1870"/>
        <v>0</v>
      </c>
      <c r="BM1343" s="1">
        <f t="shared" si="1868"/>
        <v>0</v>
      </c>
      <c r="BN1343" s="1">
        <f t="shared" si="1891"/>
        <v>1</v>
      </c>
      <c r="BO1343" s="1">
        <f t="shared" si="1892"/>
        <v>1</v>
      </c>
    </row>
    <row r="1344" spans="1:67" ht="30.95" customHeight="1">
      <c r="A1344" s="1">
        <f>37</f>
        <v>37</v>
      </c>
      <c r="B1344" s="1">
        <f>固定流程!A12</f>
        <v>7</v>
      </c>
      <c r="C1344" s="1">
        <f>40</f>
        <v>40</v>
      </c>
      <c r="D1344" s="1">
        <f>1</f>
        <v>1</v>
      </c>
      <c r="E1344" s="1">
        <f>固定流程!C12</f>
        <v>1</v>
      </c>
      <c r="F1344" s="1">
        <f>固定流程!G12</f>
        <v>4</v>
      </c>
      <c r="G1344" s="1" t="str">
        <f>固定流程!H12</f>
        <v>J_HARD</v>
      </c>
      <c r="H1344" s="1">
        <f>固定流程!F12</f>
        <v>1</v>
      </c>
      <c r="I1344" s="1">
        <f>INDEX(配置与结果!$B$15:$B$18,F1344)</f>
        <v>1906</v>
      </c>
      <c r="J1344" s="1">
        <f>INDEX(配置与结果!$D$15:$D$18,F1344)</f>
        <v>0.36699999999999999</v>
      </c>
      <c r="K1344" s="1">
        <f>INDEX(配置与结果!$E$15:$E$18,F1344)</f>
        <v>1.7170000000000001</v>
      </c>
      <c r="L1344" s="1">
        <f t="shared" si="1874"/>
        <v>1</v>
      </c>
      <c r="M1344" s="1">
        <f t="shared" si="1874"/>
        <v>4</v>
      </c>
      <c r="N1344" s="1">
        <f t="shared" si="1874"/>
        <v>0</v>
      </c>
      <c r="O1344" s="1">
        <f t="shared" si="1874"/>
        <v>6</v>
      </c>
      <c r="P1344" s="1">
        <f>MIN(方案参数!$AI$40,AZ1343+0+0)</f>
        <v>3</v>
      </c>
      <c r="Q1344" s="1">
        <f t="shared" si="1875"/>
        <v>2</v>
      </c>
      <c r="R1344" s="1">
        <f t="shared" si="1876"/>
        <v>5</v>
      </c>
      <c r="S1344" s="1">
        <f t="shared" si="1877"/>
        <v>0</v>
      </c>
      <c r="T1344" s="1">
        <f t="shared" si="1878"/>
        <v>0</v>
      </c>
      <c r="U1344" s="1">
        <f t="shared" si="1879"/>
        <v>0</v>
      </c>
      <c r="V1344" s="1">
        <f t="shared" si="1880"/>
        <v>1</v>
      </c>
      <c r="W1344" s="1">
        <f t="shared" si="1881"/>
        <v>1</v>
      </c>
      <c r="X1344" s="1">
        <f t="shared" si="1882"/>
        <v>1</v>
      </c>
      <c r="Y1344" s="1">
        <f t="shared" si="1883"/>
        <v>1</v>
      </c>
      <c r="Z1344" s="1">
        <f t="shared" si="1884"/>
        <v>0</v>
      </c>
      <c r="AA1344" s="1">
        <f t="shared" si="1885"/>
        <v>0</v>
      </c>
      <c r="AB1344" s="1">
        <f t="shared" si="1886"/>
        <v>0</v>
      </c>
      <c r="AC1344" s="1">
        <f t="shared" si="1887"/>
        <v>0</v>
      </c>
      <c r="AD1344" s="1">
        <f>ROUNDDOWN(I1344*(1+IF(F1344=3,0.05+方案参数!$Y$40+AA1344*0.12,IF(F1344=4,方案参数!$BZ$40*方案参数!$AS$40,0)))+IF(AND(X1344=1,F1344&lt;&gt;3),方案参数!$CC$40,0)+AC1344*方案参数!$CB$40,0)</f>
        <v>2801</v>
      </c>
      <c r="AE1344" s="1">
        <f>IF(OR(F1344=1,F1344=4),配置与结果!$B$24,配置与结果!$B$25)*MAX(0,1-INDEX(配置与结果!$I$15:$I$18,F1344))</f>
        <v>1200</v>
      </c>
      <c r="AF1344" s="1">
        <f>3.6*IF(H1344=1,1,IF(H1344=2,1.5,2.5))</f>
        <v>3.6</v>
      </c>
      <c r="AG1344" s="1">
        <f>MAX(配置与结果!$B$32,1+INDEX(配置与结果!$F$15:$F$18,F1344)+0.08+Q1344*方案参数!$W$40+Y1344*(方案参数!$AN$40+MIN(方案参数!$AO$40,P1344*0.03))+AB1344*方案参数!$BZ$40*0.025+0.1+IF(方案参数!$BZ$40&gt;=30,方案参数!$BZ$40*0.01,0)-配置与结果!$B$28)</f>
        <v>1.423</v>
      </c>
      <c r="AH1344" s="1">
        <f>MAX(0,1+INDEX(配置与结果!$G$15:$G$18,F1344)+W1344*方案参数!$AG$40)</f>
        <v>1.3</v>
      </c>
      <c r="AI1344" s="1">
        <f>IF(OR(INDEX(配置与结果!$K$15:$K$18,F1344)=1,G1344="RHI_BERRY"),1+配置与结果!$B$33+P1344*方案参数!$AH$40,1)</f>
        <v>1</v>
      </c>
      <c r="AJ1344" s="1">
        <f>MIN(1,MAX(0,J1344+方案参数!$AB$40-配置与结果!$B$27))</f>
        <v>0.66700000000000004</v>
      </c>
      <c r="AK1344" s="1">
        <f>MAX(1,K1344+IF(F1344=2,0.15+方案参数!$CH$40,0)+BN1344*方案参数!$X$40+R1344*方案参数!$AA$40+0-配置与结果!$B$26+Z1344*(方案参数!$AP$40+MIN(方案参数!$AQ$40,P1344*0.03)))</f>
        <v>1.4370000000000003</v>
      </c>
      <c r="AL1344" s="7">
        <f>ROUNDDOWN(MAX(AD1344*配置与结果!$B$31,AD1344-AE1344)*AF1344*AG1344*AH1344*AI1344,0)</f>
        <v>10662</v>
      </c>
      <c r="AM1344" s="7">
        <f>ROUNDDOWN(MAX(AD1344*配置与结果!$B$31,AD1344-AE1344)*AF1344*AG1344*AH1344*AI1344*AK1344,0)</f>
        <v>15321</v>
      </c>
      <c r="AN1344" s="7">
        <f t="shared" si="1817"/>
        <v>13769.553</v>
      </c>
      <c r="AO1344" s="7">
        <f>0</f>
        <v>0</v>
      </c>
      <c r="AP1344" s="7">
        <f>MAX(0,1+INDEX(配置与结果!$J$15:$J$18,F1344)+IF(T1344&gt;0,方案参数!$BY$40,0)-配置与结果!$B$30)</f>
        <v>1</v>
      </c>
      <c r="AQ1344" s="7">
        <f t="shared" si="1818"/>
        <v>0</v>
      </c>
      <c r="AR1344" s="7">
        <f t="shared" si="1819"/>
        <v>0</v>
      </c>
      <c r="AS1344" s="7">
        <f t="shared" si="1820"/>
        <v>0</v>
      </c>
      <c r="AT1344" s="7">
        <f>0</f>
        <v>0</v>
      </c>
      <c r="AU1344" s="7">
        <f t="shared" si="1821"/>
        <v>13769.553</v>
      </c>
      <c r="AV1344" s="1">
        <f t="shared" si="1822"/>
        <v>1</v>
      </c>
      <c r="AW1344" s="1">
        <f>MIN(10,M1344+0+0)</f>
        <v>4</v>
      </c>
      <c r="AX1344" s="1">
        <f t="shared" si="1823"/>
        <v>0</v>
      </c>
      <c r="AY1344" s="1">
        <f t="shared" si="1895"/>
        <v>6</v>
      </c>
      <c r="AZ1344" s="1">
        <f t="shared" si="1824"/>
        <v>3</v>
      </c>
      <c r="BA1344" s="1">
        <f>MIN(6,Q1344+0)</f>
        <v>2</v>
      </c>
      <c r="BB1344" s="1">
        <f t="shared" si="1888"/>
        <v>5</v>
      </c>
      <c r="BC1344" s="1">
        <f>MIN(3,S1344+1)</f>
        <v>1</v>
      </c>
      <c r="BD1344" s="1">
        <f t="shared" si="1896"/>
        <v>0</v>
      </c>
      <c r="BE1344" s="1">
        <f t="shared" si="1889"/>
        <v>0</v>
      </c>
      <c r="BF1344" s="1">
        <f>MIN(4,V1344+0)</f>
        <v>1</v>
      </c>
      <c r="BG1344" s="1">
        <f t="shared" si="1893"/>
        <v>1</v>
      </c>
      <c r="BH1344" s="1">
        <f t="shared" si="1890"/>
        <v>1</v>
      </c>
      <c r="BI1344" s="1">
        <f t="shared" si="1894"/>
        <v>1</v>
      </c>
      <c r="BJ1344" s="1">
        <f t="shared" si="1864"/>
        <v>0</v>
      </c>
      <c r="BK1344" s="1">
        <f t="shared" si="1865"/>
        <v>0</v>
      </c>
      <c r="BL1344" s="1">
        <f t="shared" si="1870"/>
        <v>0</v>
      </c>
      <c r="BM1344" s="1">
        <f t="shared" si="1868"/>
        <v>0</v>
      </c>
      <c r="BN1344" s="1">
        <f t="shared" si="1891"/>
        <v>1</v>
      </c>
      <c r="BO1344" s="1">
        <f t="shared" si="1892"/>
        <v>1</v>
      </c>
    </row>
    <row r="1345" spans="1:67" ht="30.95" customHeight="1">
      <c r="A1345" s="1">
        <f>37</f>
        <v>37</v>
      </c>
      <c r="B1345" s="1">
        <f>固定流程!A13</f>
        <v>8</v>
      </c>
      <c r="C1345" s="1">
        <f>40</f>
        <v>40</v>
      </c>
      <c r="D1345" s="1">
        <f>1</f>
        <v>1</v>
      </c>
      <c r="E1345" s="1">
        <f>固定流程!C13</f>
        <v>2</v>
      </c>
      <c r="F1345" s="1">
        <f>固定流程!G13</f>
        <v>3</v>
      </c>
      <c r="G1345" s="1" t="str">
        <f>固定流程!H13</f>
        <v>RHI_ATTACK</v>
      </c>
      <c r="H1345" s="1">
        <f>固定流程!F13</f>
        <v>1</v>
      </c>
      <c r="I1345" s="1">
        <f>INDEX(配置与结果!$B$15:$B$18,F1345)</f>
        <v>2597</v>
      </c>
      <c r="J1345" s="1">
        <f>INDEX(配置与结果!$D$15:$D$18,F1345)</f>
        <v>0.255</v>
      </c>
      <c r="K1345" s="1">
        <f>INDEX(配置与结果!$E$15:$E$18,F1345)</f>
        <v>1.55</v>
      </c>
      <c r="L1345" s="1">
        <f>IF(AV1344=1,IF(M1345&gt;=10,2,1),IF(AV1344=2,IF(AX1344&lt;=1,0,2),0))</f>
        <v>1</v>
      </c>
      <c r="M1345" s="1">
        <f>IF(AND(AV1344=2,AX1344&lt;=1),0,MIN(10,AW1344+IF(AV1344=1,3,0)))</f>
        <v>7</v>
      </c>
      <c r="N1345" s="1">
        <f>IF(AND(AV1344=1,M1345&gt;=10),2,IF(AV1344=2,MAX(0,AX1344-1),0))</f>
        <v>0</v>
      </c>
      <c r="O1345" s="1">
        <f t="shared" ref="O1345:O1373" si="1897">AY1344</f>
        <v>6</v>
      </c>
      <c r="P1345" s="1">
        <f>MIN(方案参数!$AI$40,AZ1344+方案参数!$AJ$40+方案参数!$AK$40)</f>
        <v>5</v>
      </c>
      <c r="Q1345" s="1">
        <f t="shared" si="1875"/>
        <v>2</v>
      </c>
      <c r="R1345" s="1">
        <f t="shared" si="1876"/>
        <v>5</v>
      </c>
      <c r="S1345" s="1">
        <f t="shared" si="1877"/>
        <v>1</v>
      </c>
      <c r="T1345" s="1">
        <f t="shared" si="1878"/>
        <v>0</v>
      </c>
      <c r="U1345" s="1">
        <f t="shared" si="1879"/>
        <v>0</v>
      </c>
      <c r="V1345" s="1">
        <f t="shared" si="1880"/>
        <v>1</v>
      </c>
      <c r="W1345" s="1">
        <f t="shared" si="1881"/>
        <v>1</v>
      </c>
      <c r="X1345" s="1">
        <f t="shared" si="1882"/>
        <v>1</v>
      </c>
      <c r="Y1345" s="1">
        <f t="shared" si="1883"/>
        <v>1</v>
      </c>
      <c r="Z1345" s="1">
        <f t="shared" si="1884"/>
        <v>0</v>
      </c>
      <c r="AA1345" s="1">
        <f>MAX(BK1344,1)</f>
        <v>1</v>
      </c>
      <c r="AB1345" s="1">
        <f t="shared" si="1886"/>
        <v>0</v>
      </c>
      <c r="AC1345" s="1">
        <f t="shared" si="1887"/>
        <v>0</v>
      </c>
      <c r="AD1345" s="1">
        <f>ROUNDDOWN(I1345*(1+IF(F1345=3,0.05+方案参数!$Y$40+AA1345*0.12,IF(F1345=4,方案参数!$BZ$40*方案参数!$AS$40,0)))+IF(AND(X1345=1,F1345&lt;&gt;3),方案参数!$CC$40,0)+AC1345*方案参数!$CB$40,0)</f>
        <v>3168</v>
      </c>
      <c r="AE1345" s="1">
        <f>IF(OR(F1345=1,F1345=4),配置与结果!$B$24,配置与结果!$B$25)*MAX(0,1-INDEX(配置与结果!$I$15:$I$18,F1345))</f>
        <v>1000</v>
      </c>
      <c r="AF1345" s="1">
        <f>4</f>
        <v>4</v>
      </c>
      <c r="AG1345" s="1">
        <f>MAX(配置与结果!$B$32,1+INDEX(配置与结果!$F$15:$F$18,F1345)+0+Q1345*方案参数!$W$40+Y1345*(方案参数!$AN$40+MIN(方案参数!$AO$40,P1345*0.03))+AB1345*方案参数!$BZ$40*0.025-配置与结果!$B$28)</f>
        <v>0.96299999999999997</v>
      </c>
      <c r="AH1345" s="1">
        <f>MAX(0,1+INDEX(配置与结果!$G$15:$G$18,F1345)+W1345*方案参数!$AG$40)</f>
        <v>1.3</v>
      </c>
      <c r="AI1345" s="1">
        <f>IF(OR(INDEX(配置与结果!$K$15:$K$18,F1345)=1,G1345="RHI_BERRY"),1+配置与结果!$B$33+P1345*方案参数!$AH$40,1)</f>
        <v>1</v>
      </c>
      <c r="AJ1345" s="1">
        <f>MIN(1,MAX(0,J1345+方案参数!$AB$40-配置与结果!$B$27))</f>
        <v>0.55499999999999994</v>
      </c>
      <c r="AK1345" s="1">
        <f>MAX(1,K1345+IF(F1345=2,0.15+方案参数!$CH$40,0)+BN1345*方案参数!$X$40+R1345*方案参数!$AA$40+0-配置与结果!$B$26+Z1345*(方案参数!$AP$40+MIN(方案参数!$AQ$40,P1345*0.03)))</f>
        <v>1.27</v>
      </c>
      <c r="AL1345" s="7">
        <f>ROUNDDOWN(MAX(AD1345*配置与结果!$B$31,AD1345-AE1345)*AF1345*AG1345*AH1345*AI1345,0)</f>
        <v>10856</v>
      </c>
      <c r="AM1345" s="7">
        <f>ROUNDDOWN(MAX(AD1345*配置与结果!$B$31,AD1345-AE1345)*AF1345*AG1345*AH1345*AI1345*AK1345,0)</f>
        <v>13787</v>
      </c>
      <c r="AN1345" s="7">
        <f t="shared" si="1817"/>
        <v>12482.705</v>
      </c>
      <c r="AO1345" s="7">
        <f>0</f>
        <v>0</v>
      </c>
      <c r="AP1345" s="7">
        <f>MAX(0,1+INDEX(配置与结果!$J$15:$J$18,F1345)+IF(T1345&gt;0,方案参数!$BY$40,0)-配置与结果!$B$30)</f>
        <v>1</v>
      </c>
      <c r="AQ1345" s="7">
        <f t="shared" si="1818"/>
        <v>0</v>
      </c>
      <c r="AR1345" s="7">
        <f t="shared" si="1819"/>
        <v>0</v>
      </c>
      <c r="AS1345" s="7">
        <f t="shared" si="1820"/>
        <v>0</v>
      </c>
      <c r="AT1345" s="7">
        <f>0</f>
        <v>0</v>
      </c>
      <c r="AU1345" s="7">
        <f t="shared" si="1821"/>
        <v>12482.705</v>
      </c>
      <c r="AV1345" s="1">
        <f t="shared" si="1822"/>
        <v>1</v>
      </c>
      <c r="AW1345" s="1">
        <f>MIN(10,M1345+0+0)</f>
        <v>7</v>
      </c>
      <c r="AX1345" s="1">
        <f t="shared" si="1823"/>
        <v>0</v>
      </c>
      <c r="AY1345" s="1">
        <f t="shared" si="1895"/>
        <v>6</v>
      </c>
      <c r="AZ1345" s="1">
        <f t="shared" si="1824"/>
        <v>5</v>
      </c>
      <c r="BA1345" s="1">
        <f>MIN(6,Q1345+1)</f>
        <v>3</v>
      </c>
      <c r="BB1345" s="1">
        <f t="shared" si="1888"/>
        <v>5</v>
      </c>
      <c r="BC1345" s="1">
        <f>MIN(3,S1345+0)</f>
        <v>1</v>
      </c>
      <c r="BD1345" s="1">
        <f t="shared" si="1896"/>
        <v>0</v>
      </c>
      <c r="BE1345" s="1">
        <f t="shared" si="1889"/>
        <v>0</v>
      </c>
      <c r="BF1345" s="1">
        <f>MIN(4,V1345+0)</f>
        <v>1</v>
      </c>
      <c r="BG1345" s="1">
        <f t="shared" si="1893"/>
        <v>1</v>
      </c>
      <c r="BH1345" s="1">
        <f t="shared" si="1890"/>
        <v>1</v>
      </c>
      <c r="BI1345" s="1">
        <f t="shared" si="1894"/>
        <v>1</v>
      </c>
      <c r="BJ1345" s="1">
        <f>MAX(Z1345,1)</f>
        <v>1</v>
      </c>
      <c r="BK1345" s="1">
        <f>MAX(AA1345,1)</f>
        <v>1</v>
      </c>
      <c r="BL1345" s="1">
        <f t="shared" si="1870"/>
        <v>0</v>
      </c>
      <c r="BM1345" s="1">
        <f t="shared" si="1868"/>
        <v>0</v>
      </c>
      <c r="BN1345" s="1">
        <f t="shared" si="1891"/>
        <v>1</v>
      </c>
      <c r="BO1345" s="1">
        <f t="shared" si="1892"/>
        <v>1</v>
      </c>
    </row>
    <row r="1346" spans="1:67" ht="30.95" customHeight="1">
      <c r="A1346" s="1">
        <f>37</f>
        <v>37</v>
      </c>
      <c r="B1346" s="1">
        <f>固定流程!A14</f>
        <v>9</v>
      </c>
      <c r="C1346" s="1">
        <f>40</f>
        <v>40</v>
      </c>
      <c r="D1346" s="1">
        <f>1</f>
        <v>1</v>
      </c>
      <c r="E1346" s="1">
        <f>固定流程!C14</f>
        <v>2</v>
      </c>
      <c r="F1346" s="1">
        <f>固定流程!G14</f>
        <v>1</v>
      </c>
      <c r="G1346" s="1" t="str">
        <f>固定流程!H14</f>
        <v>LILYA_DIVE</v>
      </c>
      <c r="H1346" s="1">
        <f>固定流程!F14</f>
        <v>3</v>
      </c>
      <c r="I1346" s="1">
        <f>INDEX(配置与结果!$B$15:$B$18,F1346)</f>
        <v>2296</v>
      </c>
      <c r="J1346" s="1">
        <f>INDEX(配置与结果!$D$15:$D$18,F1346)</f>
        <v>0.7</v>
      </c>
      <c r="K1346" s="1">
        <f>INDEX(配置与结果!$E$15:$E$18,F1346)</f>
        <v>2.0249999999999999</v>
      </c>
      <c r="L1346" s="1">
        <f t="shared" ref="L1346:N1350" si="1898">AV1345</f>
        <v>1</v>
      </c>
      <c r="M1346" s="1">
        <f t="shared" si="1898"/>
        <v>7</v>
      </c>
      <c r="N1346" s="1">
        <f t="shared" si="1898"/>
        <v>0</v>
      </c>
      <c r="O1346" s="1">
        <f t="shared" si="1897"/>
        <v>6</v>
      </c>
      <c r="P1346" s="1">
        <f>MIN(方案参数!$AI$40,AZ1345+0+0)</f>
        <v>5</v>
      </c>
      <c r="Q1346" s="1">
        <f t="shared" si="1875"/>
        <v>3</v>
      </c>
      <c r="R1346" s="1">
        <f t="shared" si="1876"/>
        <v>5</v>
      </c>
      <c r="S1346" s="1">
        <f t="shared" si="1877"/>
        <v>1</v>
      </c>
      <c r="T1346" s="1">
        <f t="shared" si="1878"/>
        <v>0</v>
      </c>
      <c r="U1346" s="1">
        <f t="shared" si="1879"/>
        <v>0</v>
      </c>
      <c r="V1346" s="1">
        <f t="shared" si="1880"/>
        <v>1</v>
      </c>
      <c r="W1346" s="1">
        <f t="shared" si="1881"/>
        <v>1</v>
      </c>
      <c r="X1346" s="1">
        <f t="shared" si="1882"/>
        <v>1</v>
      </c>
      <c r="Y1346" s="1">
        <f t="shared" si="1883"/>
        <v>1</v>
      </c>
      <c r="Z1346" s="1">
        <f t="shared" si="1884"/>
        <v>1</v>
      </c>
      <c r="AA1346" s="1">
        <f t="shared" ref="AA1346:AA1351" si="1899">MAX(BK1345,0)</f>
        <v>1</v>
      </c>
      <c r="AB1346" s="1">
        <f t="shared" si="1886"/>
        <v>0</v>
      </c>
      <c r="AC1346" s="1">
        <f t="shared" si="1887"/>
        <v>0</v>
      </c>
      <c r="AD1346" s="1">
        <f>ROUNDDOWN(I1346*(1+IF(F1346=3,0.05+方案参数!$Y$40+AA1346*0.12,IF(F1346=4,方案参数!$BZ$40*方案参数!$AS$40,0)))+IF(AND(X1346=1,F1346&lt;&gt;3),方案参数!$CC$40,0)+AC1346*方案参数!$CB$40,0)</f>
        <v>2524</v>
      </c>
      <c r="AE1346" s="1">
        <f>IF(OR(F1346=1,F1346=4),配置与结果!$B$24,配置与结果!$B$25)*MAX(0,1-INDEX(配置与结果!$I$15:$I$18,F1346))</f>
        <v>1200</v>
      </c>
      <c r="AF1346" s="1">
        <f>(IF(L1346=1,方案参数!$AW$40,IF(L1346=2,方案参数!$AX$40,0))+方案参数!$AV$40)*H1346</f>
        <v>18</v>
      </c>
      <c r="AG1346" s="1">
        <f>MAX(配置与结果!$B$32,1+INDEX(配置与结果!$F$15:$F$18,F1346)+0.08+方案参数!$CD$40+Q1346*方案参数!$W$40+Y1346*(方案参数!$AN$40+MIN(方案参数!$AO$40,P1346*0.03))+AB1346*方案参数!$BZ$40*0.025+IF(L1346=1,方案参数!$AY$40+(H1346-1)*0.1,IF(L1346=2,方案参数!$AZ$40+(H1346-1)*0.2,0))-配置与结果!$B$28)</f>
        <v>1.5820000000000003</v>
      </c>
      <c r="AH1346" s="1">
        <f>MAX(0,1+INDEX(配置与结果!$G$15:$G$18,F1346)+W1346*方案参数!$AG$40+IF(L1346=1,方案参数!$BA$40,IF(L1346=2,方案参数!$BB$40,0))+M1346*方案参数!$BC$40)</f>
        <v>2.3199999999999998</v>
      </c>
      <c r="AI1346" s="1">
        <f>IF(OR(INDEX(配置与结果!$K$15:$K$18,F1346)=1,G1346="RHI_BERRY"),1+配置与结果!$B$33+P1346*方案参数!$AH$40,1)</f>
        <v>1</v>
      </c>
      <c r="AJ1346" s="1">
        <f>MIN(1,MAX(0,J1346+方案参数!$AB$40-配置与结果!$B$27))</f>
        <v>1</v>
      </c>
      <c r="AK1346" s="1">
        <f>MAX(1,K1346+IF(F1346=2,0.15+方案参数!$CH$40,0)+BN1346*方案参数!$X$40+R1346*方案参数!$AA$40+0-配置与结果!$B$26+Z1346*(方案参数!$AP$40+MIN(方案参数!$AQ$40,P1346*0.03)))</f>
        <v>2.0449999999999999</v>
      </c>
      <c r="AL1346" s="7">
        <f>ROUNDDOWN(MAX(AD1346*配置与结果!$B$31,AD1346-AE1346)*AF1346*AG1346*AH1346*AI1346,0)</f>
        <v>87469</v>
      </c>
      <c r="AM1346" s="7">
        <f>ROUNDDOWN(MAX(AD1346*配置与结果!$B$31,AD1346-AE1346)*AF1346*AG1346*AH1346*AI1346*AK1346,0)</f>
        <v>178874</v>
      </c>
      <c r="AN1346" s="7">
        <f t="shared" si="1817"/>
        <v>178874</v>
      </c>
      <c r="AO1346" s="7">
        <f>0</f>
        <v>0</v>
      </c>
      <c r="AP1346" s="7">
        <f>MAX(0,1+INDEX(配置与结果!$J$15:$J$18,F1346)+IF(T1346&gt;0,方案参数!$BY$40,0)-配置与结果!$B$30)</f>
        <v>1</v>
      </c>
      <c r="AQ1346" s="7">
        <f t="shared" si="1818"/>
        <v>0</v>
      </c>
      <c r="AR1346" s="7">
        <f t="shared" si="1819"/>
        <v>0</v>
      </c>
      <c r="AS1346" s="7">
        <f t="shared" si="1820"/>
        <v>0</v>
      </c>
      <c r="AT1346" s="7">
        <f>0</f>
        <v>0</v>
      </c>
      <c r="AU1346" s="7">
        <f t="shared" si="1821"/>
        <v>178874</v>
      </c>
      <c r="AV1346" s="1">
        <f t="shared" si="1822"/>
        <v>1</v>
      </c>
      <c r="AW1346" s="1">
        <f>MIN(10,M1346+0+IF(L1346=1,方案参数!$BE$40,0))</f>
        <v>8</v>
      </c>
      <c r="AX1346" s="1">
        <f t="shared" si="1823"/>
        <v>0</v>
      </c>
      <c r="AY1346" s="1">
        <f t="shared" si="1895"/>
        <v>6</v>
      </c>
      <c r="AZ1346" s="1">
        <f t="shared" si="1824"/>
        <v>5</v>
      </c>
      <c r="BA1346" s="1">
        <f>MIN(6,Q1346+0)</f>
        <v>3</v>
      </c>
      <c r="BB1346" s="1">
        <f t="shared" si="1888"/>
        <v>5</v>
      </c>
      <c r="BC1346" s="1">
        <f>MIN(3,S1346+0)</f>
        <v>1</v>
      </c>
      <c r="BD1346" s="1">
        <f t="shared" si="1896"/>
        <v>0</v>
      </c>
      <c r="BE1346" s="1">
        <f t="shared" si="1889"/>
        <v>0</v>
      </c>
      <c r="BF1346" s="1">
        <f>MIN(4,V1346+0)</f>
        <v>1</v>
      </c>
      <c r="BG1346" s="1">
        <f t="shared" si="1893"/>
        <v>1</v>
      </c>
      <c r="BH1346" s="1">
        <f t="shared" si="1890"/>
        <v>1</v>
      </c>
      <c r="BI1346" s="1">
        <f t="shared" si="1894"/>
        <v>1</v>
      </c>
      <c r="BJ1346" s="1">
        <f t="shared" ref="BJ1346:BK1351" si="1900">MAX(Z1346,0)</f>
        <v>1</v>
      </c>
      <c r="BK1346" s="1">
        <f t="shared" si="1900"/>
        <v>1</v>
      </c>
      <c r="BL1346" s="1">
        <f t="shared" si="1870"/>
        <v>0</v>
      </c>
      <c r="BM1346" s="1">
        <f t="shared" si="1868"/>
        <v>0</v>
      </c>
      <c r="BN1346" s="1">
        <f t="shared" si="1891"/>
        <v>1</v>
      </c>
      <c r="BO1346" s="1">
        <f t="shared" si="1892"/>
        <v>1</v>
      </c>
    </row>
    <row r="1347" spans="1:67" ht="30.95" customHeight="1">
      <c r="A1347" s="1">
        <f>37</f>
        <v>37</v>
      </c>
      <c r="B1347" s="1">
        <f>固定流程!A15</f>
        <v>10</v>
      </c>
      <c r="C1347" s="1">
        <f>40</f>
        <v>40</v>
      </c>
      <c r="D1347" s="1">
        <f>1</f>
        <v>1</v>
      </c>
      <c r="E1347" s="1">
        <f>固定流程!C15</f>
        <v>2</v>
      </c>
      <c r="F1347" s="1">
        <f>固定流程!G15</f>
        <v>4</v>
      </c>
      <c r="G1347" s="1" t="str">
        <f>固定流程!H15</f>
        <v>J_HARD</v>
      </c>
      <c r="H1347" s="1">
        <f>固定流程!F15</f>
        <v>1</v>
      </c>
      <c r="I1347" s="1">
        <f>INDEX(配置与结果!$B$15:$B$18,F1347)</f>
        <v>1906</v>
      </c>
      <c r="J1347" s="1">
        <f>INDEX(配置与结果!$D$15:$D$18,F1347)</f>
        <v>0.36699999999999999</v>
      </c>
      <c r="K1347" s="1">
        <f>INDEX(配置与结果!$E$15:$E$18,F1347)</f>
        <v>1.7170000000000001</v>
      </c>
      <c r="L1347" s="1">
        <f t="shared" si="1898"/>
        <v>1</v>
      </c>
      <c r="M1347" s="1">
        <f t="shared" si="1898"/>
        <v>8</v>
      </c>
      <c r="N1347" s="1">
        <f t="shared" si="1898"/>
        <v>0</v>
      </c>
      <c r="O1347" s="1">
        <f t="shared" si="1897"/>
        <v>6</v>
      </c>
      <c r="P1347" s="1">
        <f>MIN(方案参数!$AI$40,AZ1346+0+0)</f>
        <v>5</v>
      </c>
      <c r="Q1347" s="1">
        <f t="shared" si="1875"/>
        <v>3</v>
      </c>
      <c r="R1347" s="1">
        <f t="shared" si="1876"/>
        <v>5</v>
      </c>
      <c r="S1347" s="1">
        <f t="shared" si="1877"/>
        <v>1</v>
      </c>
      <c r="T1347" s="1">
        <f t="shared" si="1878"/>
        <v>0</v>
      </c>
      <c r="U1347" s="1">
        <f t="shared" si="1879"/>
        <v>0</v>
      </c>
      <c r="V1347" s="1">
        <f t="shared" si="1880"/>
        <v>1</v>
      </c>
      <c r="W1347" s="1">
        <f t="shared" si="1881"/>
        <v>1</v>
      </c>
      <c r="X1347" s="1">
        <f t="shared" si="1882"/>
        <v>1</v>
      </c>
      <c r="Y1347" s="1">
        <f t="shared" si="1883"/>
        <v>1</v>
      </c>
      <c r="Z1347" s="1">
        <f t="shared" si="1884"/>
        <v>1</v>
      </c>
      <c r="AA1347" s="1">
        <f t="shared" si="1899"/>
        <v>1</v>
      </c>
      <c r="AB1347" s="1">
        <f t="shared" si="1886"/>
        <v>0</v>
      </c>
      <c r="AC1347" s="1">
        <f t="shared" si="1887"/>
        <v>0</v>
      </c>
      <c r="AD1347" s="1">
        <f>ROUNDDOWN(I1347*(1+IF(F1347=3,0.05+方案参数!$Y$40+AA1347*0.12,IF(F1347=4,方案参数!$BZ$40*方案参数!$AS$40,0)))+IF(AND(X1347=1,F1347&lt;&gt;3),方案参数!$CC$40,0)+AC1347*方案参数!$CB$40,0)</f>
        <v>2801</v>
      </c>
      <c r="AE1347" s="1">
        <f>IF(OR(F1347=1,F1347=4),配置与结果!$B$24,配置与结果!$B$25)*MAX(0,1-INDEX(配置与结果!$I$15:$I$18,F1347))</f>
        <v>1200</v>
      </c>
      <c r="AF1347" s="1">
        <f>3.6*IF(H1347=1,1,IF(H1347=2,1.5,2.5))</f>
        <v>3.6</v>
      </c>
      <c r="AG1347" s="1">
        <f>MAX(配置与结果!$B$32,1+INDEX(配置与结果!$F$15:$F$18,F1347)+0.08+Q1347*方案参数!$W$40+Y1347*(方案参数!$AN$40+MIN(方案参数!$AO$40,P1347*0.03))+AB1347*方案参数!$BZ$40*0.025+0.1+IF(方案参数!$BZ$40&gt;=30,方案参数!$BZ$40*0.01,0)-配置与结果!$B$28)</f>
        <v>1.4970000000000003</v>
      </c>
      <c r="AH1347" s="1">
        <f>MAX(0,1+INDEX(配置与结果!$G$15:$G$18,F1347)+W1347*方案参数!$AG$40)</f>
        <v>1.3</v>
      </c>
      <c r="AI1347" s="1">
        <f>IF(OR(INDEX(配置与结果!$K$15:$K$18,F1347)=1,G1347="RHI_BERRY"),1+配置与结果!$B$33+P1347*方案参数!$AH$40,1)</f>
        <v>1</v>
      </c>
      <c r="AJ1347" s="1">
        <f>MIN(1,MAX(0,J1347+方案参数!$AB$40-配置与结果!$B$27))</f>
        <v>0.66700000000000004</v>
      </c>
      <c r="AK1347" s="1">
        <f>MAX(1,K1347+IF(F1347=2,0.15+方案参数!$CH$40,0)+BN1347*方案参数!$X$40+R1347*方案参数!$AA$40+0-配置与结果!$B$26+Z1347*(方案参数!$AP$40+MIN(方案参数!$AQ$40,P1347*0.03)))</f>
        <v>1.7370000000000003</v>
      </c>
      <c r="AL1347" s="7">
        <f>ROUNDDOWN(MAX(AD1347*配置与结果!$B$31,AD1347-AE1347)*AF1347*AG1347*AH1347*AI1347,0)</f>
        <v>11216</v>
      </c>
      <c r="AM1347" s="7">
        <f>ROUNDDOWN(MAX(AD1347*配置与结果!$B$31,AD1347-AE1347)*AF1347*AG1347*AH1347*AI1347*AK1347,0)</f>
        <v>19483</v>
      </c>
      <c r="AN1347" s="7">
        <f t="shared" si="1817"/>
        <v>16730.089</v>
      </c>
      <c r="AO1347" s="7">
        <f>0</f>
        <v>0</v>
      </c>
      <c r="AP1347" s="7">
        <f>MAX(0,1+INDEX(配置与结果!$J$15:$J$18,F1347)+IF(T1347&gt;0,方案参数!$BY$40,0)-配置与结果!$B$30)</f>
        <v>1</v>
      </c>
      <c r="AQ1347" s="7">
        <f t="shared" si="1818"/>
        <v>0</v>
      </c>
      <c r="AR1347" s="7">
        <f t="shared" si="1819"/>
        <v>0</v>
      </c>
      <c r="AS1347" s="7">
        <f t="shared" si="1820"/>
        <v>0</v>
      </c>
      <c r="AT1347" s="7">
        <f>0</f>
        <v>0</v>
      </c>
      <c r="AU1347" s="7">
        <f t="shared" si="1821"/>
        <v>16730.089</v>
      </c>
      <c r="AV1347" s="1">
        <f t="shared" si="1822"/>
        <v>1</v>
      </c>
      <c r="AW1347" s="1">
        <f t="shared" ref="AW1347:AW1357" si="1901">MIN(10,M1347+0+0)</f>
        <v>8</v>
      </c>
      <c r="AX1347" s="1">
        <f t="shared" si="1823"/>
        <v>0</v>
      </c>
      <c r="AY1347" s="1">
        <f t="shared" si="1895"/>
        <v>6</v>
      </c>
      <c r="AZ1347" s="1">
        <f t="shared" si="1824"/>
        <v>5</v>
      </c>
      <c r="BA1347" s="1">
        <f>MIN(6,Q1347+0)</f>
        <v>3</v>
      </c>
      <c r="BB1347" s="1">
        <f t="shared" si="1888"/>
        <v>5</v>
      </c>
      <c r="BC1347" s="1">
        <f>MIN(3,S1347+1)</f>
        <v>2</v>
      </c>
      <c r="BD1347" s="1">
        <f t="shared" si="1896"/>
        <v>0</v>
      </c>
      <c r="BE1347" s="1">
        <f t="shared" si="1889"/>
        <v>0</v>
      </c>
      <c r="BF1347" s="1">
        <f>MIN(4,V1347+0)</f>
        <v>1</v>
      </c>
      <c r="BG1347" s="1">
        <f t="shared" si="1893"/>
        <v>1</v>
      </c>
      <c r="BH1347" s="1">
        <f t="shared" si="1890"/>
        <v>1</v>
      </c>
      <c r="BI1347" s="1">
        <f t="shared" si="1894"/>
        <v>1</v>
      </c>
      <c r="BJ1347" s="1">
        <f t="shared" si="1900"/>
        <v>1</v>
      </c>
      <c r="BK1347" s="1">
        <f t="shared" si="1900"/>
        <v>1</v>
      </c>
      <c r="BL1347" s="1">
        <f t="shared" si="1870"/>
        <v>0</v>
      </c>
      <c r="BM1347" s="1">
        <f t="shared" si="1868"/>
        <v>0</v>
      </c>
      <c r="BN1347" s="1">
        <f t="shared" si="1891"/>
        <v>1</v>
      </c>
      <c r="BO1347" s="1">
        <f t="shared" si="1892"/>
        <v>1</v>
      </c>
    </row>
    <row r="1348" spans="1:67" ht="30.95" customHeight="1">
      <c r="A1348" s="1">
        <f>37</f>
        <v>37</v>
      </c>
      <c r="B1348" s="1">
        <f>固定流程!A16</f>
        <v>11</v>
      </c>
      <c r="C1348" s="1">
        <f>40</f>
        <v>40</v>
      </c>
      <c r="D1348" s="1">
        <f>1</f>
        <v>1</v>
      </c>
      <c r="E1348" s="1">
        <f>固定流程!C16</f>
        <v>2</v>
      </c>
      <c r="F1348" s="1">
        <f>固定流程!G16</f>
        <v>2</v>
      </c>
      <c r="G1348" s="1" t="str">
        <f>固定流程!H16</f>
        <v>37_CURVE</v>
      </c>
      <c r="H1348" s="1">
        <f>固定流程!F16</f>
        <v>1</v>
      </c>
      <c r="I1348" s="1">
        <f>INDEX(配置与结果!$B$15:$B$18,F1348)</f>
        <v>2306</v>
      </c>
      <c r="J1348" s="1">
        <f>INDEX(配置与结果!$D$15:$D$18,F1348)</f>
        <v>0.46</v>
      </c>
      <c r="K1348" s="1">
        <f>INDEX(配置与结果!$E$15:$E$18,F1348)</f>
        <v>1.9279999999999999</v>
      </c>
      <c r="L1348" s="1">
        <f t="shared" si="1898"/>
        <v>1</v>
      </c>
      <c r="M1348" s="1">
        <f t="shared" si="1898"/>
        <v>8</v>
      </c>
      <c r="N1348" s="1">
        <f t="shared" si="1898"/>
        <v>0</v>
      </c>
      <c r="O1348" s="1">
        <f t="shared" si="1897"/>
        <v>6</v>
      </c>
      <c r="P1348" s="1">
        <f>MIN(方案参数!$AI$40,AZ1347+0+0)</f>
        <v>5</v>
      </c>
      <c r="Q1348" s="1">
        <f t="shared" si="1875"/>
        <v>3</v>
      </c>
      <c r="R1348" s="1">
        <f t="shared" si="1876"/>
        <v>5</v>
      </c>
      <c r="S1348" s="1">
        <f t="shared" si="1877"/>
        <v>2</v>
      </c>
      <c r="T1348" s="1">
        <f t="shared" si="1878"/>
        <v>0</v>
      </c>
      <c r="U1348" s="1">
        <f t="shared" si="1879"/>
        <v>0</v>
      </c>
      <c r="V1348" s="1">
        <f t="shared" si="1880"/>
        <v>1</v>
      </c>
      <c r="W1348" s="1">
        <f t="shared" si="1881"/>
        <v>1</v>
      </c>
      <c r="X1348" s="1">
        <f t="shared" si="1882"/>
        <v>1</v>
      </c>
      <c r="Y1348" s="1">
        <f t="shared" si="1883"/>
        <v>1</v>
      </c>
      <c r="Z1348" s="1">
        <f t="shared" si="1884"/>
        <v>1</v>
      </c>
      <c r="AA1348" s="1">
        <f t="shared" si="1899"/>
        <v>1</v>
      </c>
      <c r="AB1348" s="1">
        <f t="shared" si="1886"/>
        <v>0</v>
      </c>
      <c r="AC1348" s="1">
        <f t="shared" si="1887"/>
        <v>0</v>
      </c>
      <c r="AD1348" s="1">
        <f>ROUNDDOWN(I1348*(1+IF(F1348=3,0.05+方案参数!$Y$40+AA1348*0.12,IF(F1348=4,方案参数!$BZ$40*方案参数!$AS$40,0)))+IF(AND(X1348=1,F1348&lt;&gt;3),方案参数!$CC$40,0)+AC1348*方案参数!$CB$40,0)</f>
        <v>2534</v>
      </c>
      <c r="AE1348" s="1">
        <f>IF(OR(F1348=1,F1348=4),配置与结果!$B$24,配置与结果!$B$25)*MAX(0,1-INDEX(配置与结果!$I$15:$I$18,F1348))</f>
        <v>1000</v>
      </c>
      <c r="AF1348" s="1">
        <f>方案参数!$BT$40*IF(H1348=1,1,IF(H1348=2,1.5,2.5))</f>
        <v>1.4</v>
      </c>
      <c r="AG1348" s="1">
        <f>MAX(配置与结果!$B$32,1+INDEX(配置与结果!$F$15:$F$18,F1348)+0+Q1348*方案参数!$W$40+Y1348*(方案参数!$AN$40+MIN(方案参数!$AO$40,P1348*0.03))+AB1348*方案参数!$BZ$40*0.025-配置与结果!$B$28)</f>
        <v>0.94699999999999995</v>
      </c>
      <c r="AH1348" s="1">
        <f>MAX(0,1+INDEX(配置与结果!$G$15:$G$18,F1348)+W1348*方案参数!$AG$40)</f>
        <v>1.3</v>
      </c>
      <c r="AI1348" s="1">
        <f>IF(OR(INDEX(配置与结果!$K$15:$K$18,F1348)=1,G1348="RHI_BERRY"),1+配置与结果!$B$33+P1348*方案参数!$AH$40,1)</f>
        <v>1</v>
      </c>
      <c r="AJ1348" s="1">
        <f>MIN(1,MAX(0,J1348+方案参数!$AB$40-配置与结果!$B$27))</f>
        <v>0.76</v>
      </c>
      <c r="AK1348" s="1">
        <f>MAX(1,K1348+IF(F1348=2,0.15+方案参数!$CH$40,0)+BN1348*方案参数!$X$40+R1348*方案参数!$AA$40+0-配置与结果!$B$26+Z1348*(方案参数!$AP$40+MIN(方案参数!$AQ$40,P1348*0.03)))</f>
        <v>2.218</v>
      </c>
      <c r="AL1348" s="7">
        <f>ROUNDDOWN(MAX(AD1348*配置与结果!$B$31,AD1348-AE1348)*AF1348*AG1348*AH1348*AI1348,0)</f>
        <v>2643</v>
      </c>
      <c r="AM1348" s="7">
        <f>ROUNDDOWN(MAX(AD1348*配置与结果!$B$31,AD1348-AE1348)*AF1348*AG1348*AH1348*AI1348*AK1348,0)</f>
        <v>5864</v>
      </c>
      <c r="AN1348" s="7">
        <f t="shared" si="1817"/>
        <v>5090.96</v>
      </c>
      <c r="AO1348" s="7">
        <f>方案参数!$BU$40*IF(H1348=1,1,IF(H1348=2,1.5,2.5))</f>
        <v>0.8</v>
      </c>
      <c r="AP1348" s="7">
        <f>MAX(0,1+INDEX(配置与结果!$J$15:$J$18,F1348)+IF(T1348&gt;0,方案参数!$BY$40,0)-配置与结果!$B$30)</f>
        <v>1</v>
      </c>
      <c r="AQ1348" s="7">
        <f t="shared" si="1818"/>
        <v>2027</v>
      </c>
      <c r="AR1348" s="7">
        <f t="shared" si="1819"/>
        <v>4495</v>
      </c>
      <c r="AS1348" s="7">
        <f t="shared" si="1820"/>
        <v>3902.68</v>
      </c>
      <c r="AT1348" s="7">
        <f>0</f>
        <v>0</v>
      </c>
      <c r="AU1348" s="7">
        <f t="shared" si="1821"/>
        <v>8993.64</v>
      </c>
      <c r="AV1348" s="1">
        <f t="shared" si="1822"/>
        <v>1</v>
      </c>
      <c r="AW1348" s="1">
        <f t="shared" si="1901"/>
        <v>8</v>
      </c>
      <c r="AX1348" s="1">
        <f t="shared" si="1823"/>
        <v>0</v>
      </c>
      <c r="AY1348" s="1">
        <f t="shared" si="1895"/>
        <v>6</v>
      </c>
      <c r="AZ1348" s="1">
        <f t="shared" si="1824"/>
        <v>5</v>
      </c>
      <c r="BA1348" s="1">
        <f>MIN(6,Q1348+0)</f>
        <v>3</v>
      </c>
      <c r="BB1348" s="1">
        <f t="shared" si="1888"/>
        <v>5</v>
      </c>
      <c r="BC1348" s="1">
        <f t="shared" ref="BC1348:BC1354" si="1902">MIN(3,S1348+0)</f>
        <v>2</v>
      </c>
      <c r="BD1348" s="1">
        <f t="shared" si="1896"/>
        <v>0</v>
      </c>
      <c r="BE1348" s="1">
        <f t="shared" si="1889"/>
        <v>0</v>
      </c>
      <c r="BF1348" s="1">
        <f>MIN(4,V1348+0)</f>
        <v>1</v>
      </c>
      <c r="BG1348" s="1">
        <f t="shared" si="1893"/>
        <v>1</v>
      </c>
      <c r="BH1348" s="1">
        <f t="shared" si="1890"/>
        <v>1</v>
      </c>
      <c r="BI1348" s="1">
        <f t="shared" si="1894"/>
        <v>1</v>
      </c>
      <c r="BJ1348" s="1">
        <f t="shared" si="1900"/>
        <v>1</v>
      </c>
      <c r="BK1348" s="1">
        <f t="shared" si="1900"/>
        <v>1</v>
      </c>
      <c r="BL1348" s="1">
        <f t="shared" si="1870"/>
        <v>0</v>
      </c>
      <c r="BM1348" s="1">
        <f t="shared" si="1868"/>
        <v>0</v>
      </c>
      <c r="BN1348" s="1">
        <f t="shared" si="1891"/>
        <v>1</v>
      </c>
      <c r="BO1348" s="1">
        <f t="shared" si="1892"/>
        <v>1</v>
      </c>
    </row>
    <row r="1349" spans="1:67" ht="30.95" customHeight="1">
      <c r="A1349" s="1">
        <f>37</f>
        <v>37</v>
      </c>
      <c r="B1349" s="1">
        <f>固定流程!A17</f>
        <v>12</v>
      </c>
      <c r="C1349" s="1">
        <f>40</f>
        <v>40</v>
      </c>
      <c r="D1349" s="1">
        <f>1</f>
        <v>1</v>
      </c>
      <c r="E1349" s="1">
        <f>固定流程!C17</f>
        <v>2</v>
      </c>
      <c r="F1349" s="1">
        <f>固定流程!G17</f>
        <v>2</v>
      </c>
      <c r="G1349" s="1" t="str">
        <f>固定流程!H17</f>
        <v>37_FOLLOW</v>
      </c>
      <c r="H1349" s="1">
        <f>固定流程!F17</f>
        <v>1</v>
      </c>
      <c r="I1349" s="1">
        <f>INDEX(配置与结果!$B$15:$B$18,F1349)</f>
        <v>2306</v>
      </c>
      <c r="J1349" s="1">
        <f>INDEX(配置与结果!$D$15:$D$18,F1349)</f>
        <v>0.46</v>
      </c>
      <c r="K1349" s="1">
        <f>INDEX(配置与结果!$E$15:$E$18,F1349)</f>
        <v>1.9279999999999999</v>
      </c>
      <c r="L1349" s="1">
        <f t="shared" si="1898"/>
        <v>1</v>
      </c>
      <c r="M1349" s="1">
        <f t="shared" si="1898"/>
        <v>8</v>
      </c>
      <c r="N1349" s="1">
        <f t="shared" si="1898"/>
        <v>0</v>
      </c>
      <c r="O1349" s="1">
        <f t="shared" si="1897"/>
        <v>6</v>
      </c>
      <c r="P1349" s="1">
        <f>MIN(方案参数!$AI$40,AZ1348+0+0)</f>
        <v>5</v>
      </c>
      <c r="Q1349" s="1">
        <f t="shared" si="1875"/>
        <v>3</v>
      </c>
      <c r="R1349" s="1">
        <f t="shared" si="1876"/>
        <v>5</v>
      </c>
      <c r="S1349" s="1">
        <f t="shared" si="1877"/>
        <v>2</v>
      </c>
      <c r="T1349" s="1">
        <f t="shared" si="1878"/>
        <v>0</v>
      </c>
      <c r="U1349" s="1">
        <f t="shared" si="1879"/>
        <v>0</v>
      </c>
      <c r="V1349" s="1">
        <f t="shared" si="1880"/>
        <v>1</v>
      </c>
      <c r="W1349" s="1">
        <f t="shared" si="1881"/>
        <v>1</v>
      </c>
      <c r="X1349" s="1">
        <f t="shared" si="1882"/>
        <v>1</v>
      </c>
      <c r="Y1349" s="1">
        <f t="shared" si="1883"/>
        <v>1</v>
      </c>
      <c r="Z1349" s="1">
        <f t="shared" si="1884"/>
        <v>1</v>
      </c>
      <c r="AA1349" s="1">
        <f t="shared" si="1899"/>
        <v>1</v>
      </c>
      <c r="AB1349" s="1">
        <f t="shared" si="1886"/>
        <v>0</v>
      </c>
      <c r="AC1349" s="1">
        <f t="shared" si="1887"/>
        <v>0</v>
      </c>
      <c r="AD1349" s="1">
        <f>ROUNDDOWN(I1349*(1+IF(F1349=3,0.05+方案参数!$Y$40+AA1349*0.12,IF(F1349=4,方案参数!$BZ$40*方案参数!$AS$40,0)))+IF(AND(X1349=1,F1349&lt;&gt;3),方案参数!$CC$40,0)+AC1349*方案参数!$CB$40,0)</f>
        <v>2534</v>
      </c>
      <c r="AE1349" s="1">
        <f>IF(OR(F1349=1,F1349=4),配置与结果!$B$24,配置与结果!$B$25)*MAX(0,1-INDEX(配置与结果!$I$15:$I$18,F1349))</f>
        <v>1000</v>
      </c>
      <c r="AF1349" s="1">
        <f>方案参数!$BV$40</f>
        <v>3</v>
      </c>
      <c r="AG1349" s="1">
        <f>MAX(配置与结果!$B$32,1+INDEX(配置与结果!$F$15:$F$18,F1349)+0+Q1349*方案参数!$W$40+Y1349*(方案参数!$AN$40+MIN(方案参数!$AO$40,P1349*0.03))+AB1349*方案参数!$BZ$40*0.025-配置与结果!$B$28)</f>
        <v>0.94699999999999995</v>
      </c>
      <c r="AH1349" s="1">
        <f>MAX(0,1+INDEX(配置与结果!$G$15:$G$18,F1349)+W1349*方案参数!$AG$40)</f>
        <v>1.3</v>
      </c>
      <c r="AI1349" s="1">
        <f>IF(OR(INDEX(配置与结果!$K$15:$K$18,F1349)=1,G1349="RHI_BERRY"),1+配置与结果!$B$33+P1349*方案参数!$AH$40,1)</f>
        <v>1</v>
      </c>
      <c r="AJ1349" s="1">
        <f>MIN(1,MAX(0,J1349+方案参数!$AB$40-配置与结果!$B$27))</f>
        <v>0.76</v>
      </c>
      <c r="AK1349" s="1">
        <f>MAX(1,K1349+IF(F1349=2,0.15+方案参数!$CH$40,0)+BN1349*方案参数!$X$40+R1349*方案参数!$AA$40+0-配置与结果!$B$26+Z1349*(方案参数!$AP$40+MIN(方案参数!$AQ$40,P1349*0.03)))</f>
        <v>2.218</v>
      </c>
      <c r="AL1349" s="7">
        <f>ROUNDDOWN(MAX(AD1349*配置与结果!$B$31,AD1349-AE1349)*AF1349*AG1349*AH1349*AI1349,0)</f>
        <v>5665</v>
      </c>
      <c r="AM1349" s="7">
        <f>ROUNDDOWN(MAX(AD1349*配置与结果!$B$31,AD1349-AE1349)*AF1349*AG1349*AH1349*AI1349*AK1349,0)</f>
        <v>12566</v>
      </c>
      <c r="AN1349" s="7">
        <f t="shared" si="1817"/>
        <v>10909.76</v>
      </c>
      <c r="AO1349" s="7">
        <f>方案参数!$BW$40</f>
        <v>1</v>
      </c>
      <c r="AP1349" s="7">
        <f>MAX(0,1+INDEX(配置与结果!$J$15:$J$18,F1349)+IF(T1349&gt;0,方案参数!$BY$40,0)-配置与结果!$B$30)</f>
        <v>1</v>
      </c>
      <c r="AQ1349" s="7">
        <f t="shared" si="1818"/>
        <v>2534</v>
      </c>
      <c r="AR1349" s="7">
        <f t="shared" si="1819"/>
        <v>5620</v>
      </c>
      <c r="AS1349" s="7">
        <f t="shared" si="1820"/>
        <v>4879.3599999999997</v>
      </c>
      <c r="AT1349" s="7">
        <f>0</f>
        <v>0</v>
      </c>
      <c r="AU1349" s="7">
        <f t="shared" si="1821"/>
        <v>15789.119999999999</v>
      </c>
      <c r="AV1349" s="1">
        <f t="shared" si="1822"/>
        <v>1</v>
      </c>
      <c r="AW1349" s="1">
        <f t="shared" si="1901"/>
        <v>8</v>
      </c>
      <c r="AX1349" s="1">
        <f t="shared" si="1823"/>
        <v>0</v>
      </c>
      <c r="AY1349" s="1">
        <f t="shared" si="1895"/>
        <v>6</v>
      </c>
      <c r="AZ1349" s="1">
        <f t="shared" si="1824"/>
        <v>5</v>
      </c>
      <c r="BA1349" s="1">
        <f>MIN(6,Q1349+0)</f>
        <v>3</v>
      </c>
      <c r="BB1349" s="1">
        <f t="shared" si="1888"/>
        <v>5</v>
      </c>
      <c r="BC1349" s="1">
        <f t="shared" si="1902"/>
        <v>2</v>
      </c>
      <c r="BD1349" s="1">
        <f t="shared" si="1896"/>
        <v>0</v>
      </c>
      <c r="BE1349" s="1">
        <f t="shared" si="1889"/>
        <v>0</v>
      </c>
      <c r="BF1349" s="1">
        <f>MIN(4,V1349+1)</f>
        <v>2</v>
      </c>
      <c r="BG1349" s="1">
        <f t="shared" si="1893"/>
        <v>1</v>
      </c>
      <c r="BH1349" s="1">
        <f t="shared" si="1890"/>
        <v>1</v>
      </c>
      <c r="BI1349" s="1">
        <f t="shared" si="1894"/>
        <v>1</v>
      </c>
      <c r="BJ1349" s="1">
        <f t="shared" si="1900"/>
        <v>1</v>
      </c>
      <c r="BK1349" s="1">
        <f t="shared" si="1900"/>
        <v>1</v>
      </c>
      <c r="BL1349" s="1">
        <f t="shared" si="1870"/>
        <v>0</v>
      </c>
      <c r="BM1349" s="1">
        <f t="shared" si="1868"/>
        <v>0</v>
      </c>
      <c r="BN1349" s="1">
        <f t="shared" si="1891"/>
        <v>1</v>
      </c>
      <c r="BO1349" s="1">
        <f t="shared" si="1892"/>
        <v>1</v>
      </c>
    </row>
    <row r="1350" spans="1:67" ht="30.95" customHeight="1">
      <c r="A1350" s="1">
        <f>37</f>
        <v>37</v>
      </c>
      <c r="B1350" s="1">
        <f>固定流程!A18</f>
        <v>13</v>
      </c>
      <c r="C1350" s="1">
        <f>40</f>
        <v>40</v>
      </c>
      <c r="D1350" s="1">
        <f>1</f>
        <v>1</v>
      </c>
      <c r="E1350" s="1">
        <f>固定流程!C18</f>
        <v>2</v>
      </c>
      <c r="F1350" s="1">
        <f>固定流程!G18</f>
        <v>3</v>
      </c>
      <c r="G1350" s="1" t="str">
        <f>固定流程!H18</f>
        <v>RHI_BERRY</v>
      </c>
      <c r="H1350" s="1">
        <f>固定流程!F18</f>
        <v>1</v>
      </c>
      <c r="I1350" s="1">
        <f>INDEX(配置与结果!$B$15:$B$18,F1350)</f>
        <v>2597</v>
      </c>
      <c r="J1350" s="1">
        <f>INDEX(配置与结果!$D$15:$D$18,F1350)</f>
        <v>0.255</v>
      </c>
      <c r="K1350" s="1">
        <f>INDEX(配置与结果!$E$15:$E$18,F1350)</f>
        <v>1.55</v>
      </c>
      <c r="L1350" s="1">
        <f t="shared" si="1898"/>
        <v>1</v>
      </c>
      <c r="M1350" s="1">
        <f t="shared" si="1898"/>
        <v>8</v>
      </c>
      <c r="N1350" s="1">
        <f t="shared" si="1898"/>
        <v>0</v>
      </c>
      <c r="O1350" s="1">
        <f t="shared" si="1897"/>
        <v>6</v>
      </c>
      <c r="P1350" s="1">
        <f>MIN(方案参数!$AI$40,AZ1349+0+0)</f>
        <v>5</v>
      </c>
      <c r="Q1350" s="1">
        <f t="shared" si="1875"/>
        <v>3</v>
      </c>
      <c r="R1350" s="1">
        <f t="shared" si="1876"/>
        <v>5</v>
      </c>
      <c r="S1350" s="1">
        <f t="shared" si="1877"/>
        <v>2</v>
      </c>
      <c r="T1350" s="1">
        <f t="shared" si="1878"/>
        <v>0</v>
      </c>
      <c r="U1350" s="1">
        <f t="shared" si="1879"/>
        <v>0</v>
      </c>
      <c r="V1350" s="1">
        <f t="shared" si="1880"/>
        <v>2</v>
      </c>
      <c r="W1350" s="1">
        <f t="shared" si="1881"/>
        <v>1</v>
      </c>
      <c r="X1350" s="1">
        <f t="shared" si="1882"/>
        <v>1</v>
      </c>
      <c r="Y1350" s="1">
        <f t="shared" si="1883"/>
        <v>1</v>
      </c>
      <c r="Z1350" s="1">
        <f t="shared" si="1884"/>
        <v>1</v>
      </c>
      <c r="AA1350" s="1">
        <f t="shared" si="1899"/>
        <v>1</v>
      </c>
      <c r="AB1350" s="1">
        <f t="shared" si="1886"/>
        <v>0</v>
      </c>
      <c r="AC1350" s="1">
        <f t="shared" si="1887"/>
        <v>0</v>
      </c>
      <c r="AD1350" s="1">
        <f>ROUNDDOWN(I1350*(1+IF(F1350=3,0.05+方案参数!$Y$40+AA1350*0.12,IF(F1350=4,方案参数!$BZ$40*方案参数!$AS$40,0)))+IF(AND(X1350=1,F1350&lt;&gt;3),方案参数!$CC$40,0)+AC1350*方案参数!$CB$40,0)</f>
        <v>3168</v>
      </c>
      <c r="AE1350" s="1">
        <f>IF(OR(F1350=1,F1350=4),配置与结果!$B$24,配置与结果!$B$25)*MAX(0,1-INDEX(配置与结果!$I$15:$I$18,F1350))</f>
        <v>1000</v>
      </c>
      <c r="AF1350" s="1">
        <f>方案参数!$CF$40+P1350*方案参数!$CG$40</f>
        <v>22.5</v>
      </c>
      <c r="AG1350" s="1">
        <f>MAX(配置与结果!$B$32,1+INDEX(配置与结果!$F$15:$F$18,F1350)+0+Q1350*方案参数!$W$40+Y1350*(方案参数!$AN$40+MIN(方案参数!$AO$40,P1350*0.03))+AB1350*方案参数!$BZ$40*0.025-配置与结果!$B$28)</f>
        <v>0.97699999999999998</v>
      </c>
      <c r="AH1350" s="1">
        <f>MAX(0,1+INDEX(配置与结果!$G$15:$G$18,F1350)+W1350*方案参数!$AG$40)</f>
        <v>1.3</v>
      </c>
      <c r="AI1350" s="1">
        <f>IF(OR(INDEX(配置与结果!$K$15:$K$18,F1350)=1,G1350="RHI_BERRY"),1+配置与结果!$B$33+P1350*方案参数!$AH$40,1)</f>
        <v>1.5</v>
      </c>
      <c r="AJ1350" s="1">
        <f>MIN(1,MAX(0,J1350+方案参数!$AB$40-配置与结果!$B$27))</f>
        <v>0.55499999999999994</v>
      </c>
      <c r="AK1350" s="1">
        <f>MAX(1,K1350+IF(F1350=2,0.15+方案参数!$CH$40,0)+BN1350*方案参数!$X$40+R1350*方案参数!$AA$40+0-配置与结果!$B$26+Z1350*(方案参数!$AP$40+MIN(方案参数!$AQ$40,P1350*0.03)))</f>
        <v>1.57</v>
      </c>
      <c r="AL1350" s="7">
        <f>ROUNDDOWN(MAX(AD1350*配置与结果!$B$31,AD1350-AE1350)*AF1350*AG1350*AH1350*AI1350,0)</f>
        <v>92933</v>
      </c>
      <c r="AM1350" s="7">
        <f>ROUNDDOWN(MAX(AD1350*配置与结果!$B$31,AD1350-AE1350)*AF1350*AG1350*AH1350*AI1350*AK1350,0)</f>
        <v>145905</v>
      </c>
      <c r="AN1350" s="7">
        <f t="shared" ref="AN1350:AN1413" si="1903">AL1350*(1-AJ1350)+AM1350*AJ1350</f>
        <v>122332.45999999999</v>
      </c>
      <c r="AO1350" s="7">
        <f>0</f>
        <v>0</v>
      </c>
      <c r="AP1350" s="7">
        <f>MAX(0,1+INDEX(配置与结果!$J$15:$J$18,F1350)+IF(T1350&gt;0,方案参数!$BY$40,0)-配置与结果!$B$30)</f>
        <v>1</v>
      </c>
      <c r="AQ1350" s="7">
        <f t="shared" ref="AQ1350:AQ1413" si="1904">ROUNDDOWN(ROUNDDOWN(AD1350*AO1350,0)*AP1350,0)</f>
        <v>0</v>
      </c>
      <c r="AR1350" s="7">
        <f t="shared" ref="AR1350:AR1413" si="1905">ROUNDDOWN(ROUNDDOWN(AD1350*AO1350,0)*AP1350*AK1350,0)</f>
        <v>0</v>
      </c>
      <c r="AS1350" s="7">
        <f t="shared" ref="AS1350:AS1413" si="1906">AQ1350*(1-AJ1350)+AR1350*AJ1350</f>
        <v>0</v>
      </c>
      <c r="AT1350" s="7">
        <f>0</f>
        <v>0</v>
      </c>
      <c r="AU1350" s="7">
        <f t="shared" ref="AU1350:AU1413" si="1907">AN1350+AS1350+AT1350</f>
        <v>122332.45999999999</v>
      </c>
      <c r="AV1350" s="1">
        <f t="shared" ref="AV1350:AV1413" si="1908">IF(G1350="LILYA_COBRA",IF(L1350=0,1,L1350),L1350)</f>
        <v>1</v>
      </c>
      <c r="AW1350" s="1">
        <f t="shared" si="1901"/>
        <v>8</v>
      </c>
      <c r="AX1350" s="1">
        <f t="shared" ref="AX1350:AX1413" si="1909">N1350</f>
        <v>0</v>
      </c>
      <c r="AY1350" s="1">
        <f t="shared" si="1895"/>
        <v>6</v>
      </c>
      <c r="AZ1350" s="1">
        <f t="shared" ref="AZ1350:AZ1413" si="1910">P1350</f>
        <v>5</v>
      </c>
      <c r="BA1350" s="1">
        <f>MIN(6,Q1350+0)</f>
        <v>3</v>
      </c>
      <c r="BB1350" s="1">
        <f t="shared" si="1888"/>
        <v>5</v>
      </c>
      <c r="BC1350" s="1">
        <f t="shared" si="1902"/>
        <v>2</v>
      </c>
      <c r="BD1350" s="1">
        <f t="shared" si="1896"/>
        <v>0</v>
      </c>
      <c r="BE1350" s="1">
        <f t="shared" si="1889"/>
        <v>0</v>
      </c>
      <c r="BF1350" s="1">
        <f>MIN(4,V1350+0)</f>
        <v>2</v>
      </c>
      <c r="BG1350" s="1">
        <f t="shared" si="1893"/>
        <v>1</v>
      </c>
      <c r="BH1350" s="1">
        <f t="shared" si="1890"/>
        <v>1</v>
      </c>
      <c r="BI1350" s="1">
        <f t="shared" si="1894"/>
        <v>1</v>
      </c>
      <c r="BJ1350" s="1">
        <f t="shared" si="1900"/>
        <v>1</v>
      </c>
      <c r="BK1350" s="1">
        <f t="shared" si="1900"/>
        <v>1</v>
      </c>
      <c r="BL1350" s="1">
        <f t="shared" si="1870"/>
        <v>0</v>
      </c>
      <c r="BM1350" s="1">
        <f t="shared" si="1868"/>
        <v>0</v>
      </c>
      <c r="BN1350" s="1">
        <f t="shared" si="1891"/>
        <v>1</v>
      </c>
      <c r="BO1350" s="1">
        <f t="shared" si="1892"/>
        <v>1</v>
      </c>
    </row>
    <row r="1351" spans="1:67" ht="30.95" customHeight="1">
      <c r="A1351" s="1">
        <f>37</f>
        <v>37</v>
      </c>
      <c r="B1351" s="1">
        <f>固定流程!A19</f>
        <v>14</v>
      </c>
      <c r="C1351" s="1">
        <f>40</f>
        <v>40</v>
      </c>
      <c r="D1351" s="1">
        <f>1</f>
        <v>1</v>
      </c>
      <c r="E1351" s="1">
        <f>固定流程!C19</f>
        <v>3</v>
      </c>
      <c r="F1351" s="1">
        <f>固定流程!G19</f>
        <v>3</v>
      </c>
      <c r="G1351" s="1" t="str">
        <f>固定流程!H19</f>
        <v>RHI_BUFF</v>
      </c>
      <c r="H1351" s="1">
        <f>固定流程!F19</f>
        <v>1</v>
      </c>
      <c r="I1351" s="1">
        <f>INDEX(配置与结果!$B$15:$B$18,F1351)</f>
        <v>2597</v>
      </c>
      <c r="J1351" s="1">
        <f>INDEX(配置与结果!$D$15:$D$18,F1351)</f>
        <v>0.255</v>
      </c>
      <c r="K1351" s="1">
        <f>INDEX(配置与结果!$E$15:$E$18,F1351)</f>
        <v>1.55</v>
      </c>
      <c r="L1351" s="1">
        <f>IF(AV1350=1,IF(M1351&gt;=10,2,1),IF(AV1350=2,IF(AX1350&lt;=1,0,2),0))</f>
        <v>2</v>
      </c>
      <c r="M1351" s="1">
        <f>IF(AND(AV1350=2,AX1350&lt;=1),0,MIN(10,AW1350+IF(AV1350=1,3,0)))</f>
        <v>10</v>
      </c>
      <c r="N1351" s="1">
        <f>IF(AND(AV1350=1,M1351&gt;=10),2,IF(AV1350=2,MAX(0,AX1350-1),0))</f>
        <v>2</v>
      </c>
      <c r="O1351" s="1">
        <f t="shared" si="1897"/>
        <v>6</v>
      </c>
      <c r="P1351" s="1">
        <f>MIN(方案参数!$AI$40,AZ1350+方案参数!$AJ$40+方案参数!$AK$40)</f>
        <v>5</v>
      </c>
      <c r="Q1351" s="1">
        <f t="shared" si="1875"/>
        <v>3</v>
      </c>
      <c r="R1351" s="1">
        <f t="shared" si="1876"/>
        <v>5</v>
      </c>
      <c r="S1351" s="1">
        <f t="shared" si="1877"/>
        <v>2</v>
      </c>
      <c r="T1351" s="1">
        <f t="shared" si="1878"/>
        <v>0</v>
      </c>
      <c r="U1351" s="1">
        <f t="shared" si="1879"/>
        <v>0</v>
      </c>
      <c r="V1351" s="1">
        <f t="shared" si="1880"/>
        <v>2</v>
      </c>
      <c r="W1351" s="1">
        <f t="shared" si="1881"/>
        <v>1</v>
      </c>
      <c r="X1351" s="1">
        <f t="shared" si="1882"/>
        <v>1</v>
      </c>
      <c r="Y1351" s="1">
        <f t="shared" si="1883"/>
        <v>1</v>
      </c>
      <c r="Z1351" s="1">
        <f t="shared" si="1884"/>
        <v>1</v>
      </c>
      <c r="AA1351" s="1">
        <f t="shared" si="1899"/>
        <v>1</v>
      </c>
      <c r="AB1351" s="1">
        <f t="shared" si="1886"/>
        <v>0</v>
      </c>
      <c r="AC1351" s="1">
        <f t="shared" si="1887"/>
        <v>0</v>
      </c>
      <c r="AD1351" s="1">
        <f>ROUNDDOWN(I1351*(1+IF(F1351=3,0.05+方案参数!$Y$40+AA1351*0.12,IF(F1351=4,方案参数!$BZ$40*方案参数!$AS$40,0)))+IF(AND(X1351=1,F1351&lt;&gt;3),方案参数!$CC$40,0)+AC1351*方案参数!$CB$40,0)</f>
        <v>3168</v>
      </c>
      <c r="AE1351" s="1">
        <f>IF(OR(F1351=1,F1351=4),配置与结果!$B$24,配置与结果!$B$25)*MAX(0,1-INDEX(配置与结果!$I$15:$I$18,F1351))</f>
        <v>1000</v>
      </c>
      <c r="AF1351" s="1">
        <f>0</f>
        <v>0</v>
      </c>
      <c r="AG1351" s="1">
        <f>MAX(配置与结果!$B$32,1+INDEX(配置与结果!$F$15:$F$18,F1351)+0+Q1351*方案参数!$W$40+Y1351*(方案参数!$AN$40+MIN(方案参数!$AO$40,P1351*0.03))+AB1351*方案参数!$BZ$40*0.025-配置与结果!$B$28)</f>
        <v>0.97699999999999998</v>
      </c>
      <c r="AH1351" s="1">
        <f>MAX(0,1+INDEX(配置与结果!$G$15:$G$18,F1351)+W1351*方案参数!$AG$40)</f>
        <v>1.3</v>
      </c>
      <c r="AI1351" s="1">
        <f>IF(OR(INDEX(配置与结果!$K$15:$K$18,F1351)=1,G1351="RHI_BERRY"),1+配置与结果!$B$33+P1351*方案参数!$AH$40,1)</f>
        <v>1</v>
      </c>
      <c r="AJ1351" s="1">
        <f>MIN(1,MAX(0,J1351+方案参数!$AB$40-配置与结果!$B$27))</f>
        <v>0.55499999999999994</v>
      </c>
      <c r="AK1351" s="1">
        <f>MAX(1,K1351+IF(F1351=2,0.15+方案参数!$CH$40,0)+BN1351*方案参数!$X$40+R1351*方案参数!$AA$40+0-配置与结果!$B$26+Z1351*(方案参数!$AP$40+MIN(方案参数!$AQ$40,P1351*0.03)))</f>
        <v>1.57</v>
      </c>
      <c r="AL1351" s="7">
        <f>ROUNDDOWN(MAX(AD1351*配置与结果!$B$31,AD1351-AE1351)*AF1351*AG1351*AH1351*AI1351,0)</f>
        <v>0</v>
      </c>
      <c r="AM1351" s="7">
        <f>ROUNDDOWN(MAX(AD1351*配置与结果!$B$31,AD1351-AE1351)*AF1351*AG1351*AH1351*AI1351*AK1351,0)</f>
        <v>0</v>
      </c>
      <c r="AN1351" s="7">
        <f t="shared" si="1903"/>
        <v>0</v>
      </c>
      <c r="AO1351" s="7">
        <f>0</f>
        <v>0</v>
      </c>
      <c r="AP1351" s="7">
        <f>MAX(0,1+INDEX(配置与结果!$J$15:$J$18,F1351)+IF(T1351&gt;0,方案参数!$BY$40,0)-配置与结果!$B$30)</f>
        <v>1</v>
      </c>
      <c r="AQ1351" s="7">
        <f t="shared" si="1904"/>
        <v>0</v>
      </c>
      <c r="AR1351" s="7">
        <f t="shared" si="1905"/>
        <v>0</v>
      </c>
      <c r="AS1351" s="7">
        <f t="shared" si="1906"/>
        <v>0</v>
      </c>
      <c r="AT1351" s="7">
        <f>0</f>
        <v>0</v>
      </c>
      <c r="AU1351" s="7">
        <f t="shared" si="1907"/>
        <v>0</v>
      </c>
      <c r="AV1351" s="1">
        <f t="shared" si="1908"/>
        <v>2</v>
      </c>
      <c r="AW1351" s="1">
        <f t="shared" si="1901"/>
        <v>10</v>
      </c>
      <c r="AX1351" s="1">
        <f t="shared" si="1909"/>
        <v>2</v>
      </c>
      <c r="AY1351" s="1">
        <f t="shared" si="1895"/>
        <v>6</v>
      </c>
      <c r="AZ1351" s="1">
        <f t="shared" si="1910"/>
        <v>5</v>
      </c>
      <c r="BA1351" s="1">
        <f>MIN(6,Q1351+1)</f>
        <v>4</v>
      </c>
      <c r="BB1351" s="1">
        <f t="shared" si="1888"/>
        <v>5</v>
      </c>
      <c r="BC1351" s="1">
        <f t="shared" si="1902"/>
        <v>2</v>
      </c>
      <c r="BD1351" s="1">
        <f t="shared" si="1896"/>
        <v>0</v>
      </c>
      <c r="BE1351" s="1">
        <f t="shared" si="1889"/>
        <v>0</v>
      </c>
      <c r="BF1351" s="1">
        <f>MIN(4,V1351+0)</f>
        <v>2</v>
      </c>
      <c r="BG1351" s="1">
        <f>MAX(W1351,1)</f>
        <v>1</v>
      </c>
      <c r="BH1351" s="1">
        <f t="shared" si="1890"/>
        <v>1</v>
      </c>
      <c r="BI1351" s="1">
        <f>MAX(Y1351,1)</f>
        <v>1</v>
      </c>
      <c r="BJ1351" s="1">
        <f t="shared" si="1900"/>
        <v>1</v>
      </c>
      <c r="BK1351" s="1">
        <f t="shared" si="1900"/>
        <v>1</v>
      </c>
      <c r="BL1351" s="1">
        <f t="shared" si="1870"/>
        <v>0</v>
      </c>
      <c r="BM1351" s="1">
        <f t="shared" si="1868"/>
        <v>0</v>
      </c>
      <c r="BN1351" s="1">
        <f t="shared" si="1891"/>
        <v>1</v>
      </c>
      <c r="BO1351" s="1">
        <f t="shared" si="1892"/>
        <v>1</v>
      </c>
    </row>
    <row r="1352" spans="1:67" ht="30.95" customHeight="1">
      <c r="A1352" s="1">
        <f>37</f>
        <v>37</v>
      </c>
      <c r="B1352" s="1">
        <f>固定流程!A20</f>
        <v>15</v>
      </c>
      <c r="C1352" s="1">
        <f>40</f>
        <v>40</v>
      </c>
      <c r="D1352" s="1">
        <f>1</f>
        <v>1</v>
      </c>
      <c r="E1352" s="1">
        <f>固定流程!C20</f>
        <v>3</v>
      </c>
      <c r="F1352" s="1">
        <f>固定流程!G20</f>
        <v>3</v>
      </c>
      <c r="G1352" s="1" t="str">
        <f>固定流程!H20</f>
        <v>RHI_ATTACK</v>
      </c>
      <c r="H1352" s="1">
        <f>固定流程!F20</f>
        <v>1</v>
      </c>
      <c r="I1352" s="1">
        <f>INDEX(配置与结果!$B$15:$B$18,F1352)</f>
        <v>2597</v>
      </c>
      <c r="J1352" s="1">
        <f>INDEX(配置与结果!$D$15:$D$18,F1352)</f>
        <v>0.255</v>
      </c>
      <c r="K1352" s="1">
        <f>INDEX(配置与结果!$E$15:$E$18,F1352)</f>
        <v>1.55</v>
      </c>
      <c r="L1352" s="1">
        <f t="shared" ref="L1352:L1373" si="1911">AV1351</f>
        <v>2</v>
      </c>
      <c r="M1352" s="1">
        <f t="shared" ref="M1352:M1373" si="1912">AW1351</f>
        <v>10</v>
      </c>
      <c r="N1352" s="1">
        <f t="shared" ref="N1352:N1373" si="1913">AX1351</f>
        <v>2</v>
      </c>
      <c r="O1352" s="1">
        <f t="shared" si="1897"/>
        <v>6</v>
      </c>
      <c r="P1352" s="1">
        <f>MIN(方案参数!$AI$40,AZ1351+0+方案参数!$AK$40)</f>
        <v>5</v>
      </c>
      <c r="Q1352" s="1">
        <f t="shared" si="1875"/>
        <v>4</v>
      </c>
      <c r="R1352" s="1">
        <f t="shared" si="1876"/>
        <v>5</v>
      </c>
      <c r="S1352" s="1">
        <f t="shared" si="1877"/>
        <v>2</v>
      </c>
      <c r="T1352" s="1">
        <f t="shared" si="1878"/>
        <v>0</v>
      </c>
      <c r="U1352" s="1">
        <f t="shared" si="1879"/>
        <v>0</v>
      </c>
      <c r="V1352" s="1">
        <f t="shared" si="1880"/>
        <v>2</v>
      </c>
      <c r="W1352" s="1">
        <f t="shared" si="1881"/>
        <v>1</v>
      </c>
      <c r="X1352" s="1">
        <f t="shared" si="1882"/>
        <v>1</v>
      </c>
      <c r="Y1352" s="1">
        <f t="shared" si="1883"/>
        <v>1</v>
      </c>
      <c r="Z1352" s="1">
        <f t="shared" si="1884"/>
        <v>1</v>
      </c>
      <c r="AA1352" s="1">
        <f>MAX(BK1351,1)</f>
        <v>1</v>
      </c>
      <c r="AB1352" s="1">
        <f t="shared" si="1886"/>
        <v>0</v>
      </c>
      <c r="AC1352" s="1">
        <f t="shared" si="1887"/>
        <v>0</v>
      </c>
      <c r="AD1352" s="1">
        <f>ROUNDDOWN(I1352*(1+IF(F1352=3,0.05+方案参数!$Y$40+AA1352*0.12,IF(F1352=4,方案参数!$BZ$40*方案参数!$AS$40,0)))+IF(AND(X1352=1,F1352&lt;&gt;3),方案参数!$CC$40,0)+AC1352*方案参数!$CB$40,0)</f>
        <v>3168</v>
      </c>
      <c r="AE1352" s="1">
        <f>IF(OR(F1352=1,F1352=4),配置与结果!$B$24,配置与结果!$B$25)*MAX(0,1-INDEX(配置与结果!$I$15:$I$18,F1352))</f>
        <v>1000</v>
      </c>
      <c r="AF1352" s="1">
        <f>4</f>
        <v>4</v>
      </c>
      <c r="AG1352" s="1">
        <f>MAX(配置与结果!$B$32,1+INDEX(配置与结果!$F$15:$F$18,F1352)+0+Q1352*方案参数!$W$40+Y1352*(方案参数!$AN$40+MIN(方案参数!$AO$40,P1352*0.03))+AB1352*方案参数!$BZ$40*0.025-配置与结果!$B$28)</f>
        <v>0.99099999999999999</v>
      </c>
      <c r="AH1352" s="1">
        <f>MAX(0,1+INDEX(配置与结果!$G$15:$G$18,F1352)+W1352*方案参数!$AG$40)</f>
        <v>1.3</v>
      </c>
      <c r="AI1352" s="1">
        <f>IF(OR(INDEX(配置与结果!$K$15:$K$18,F1352)=1,G1352="RHI_BERRY"),1+配置与结果!$B$33+P1352*方案参数!$AH$40,1)</f>
        <v>1</v>
      </c>
      <c r="AJ1352" s="1">
        <f>MIN(1,MAX(0,J1352+方案参数!$AB$40-配置与结果!$B$27))</f>
        <v>0.55499999999999994</v>
      </c>
      <c r="AK1352" s="1">
        <f>MAX(1,K1352+IF(F1352=2,0.15+方案参数!$CH$40,0)+BN1352*方案参数!$X$40+R1352*方案参数!$AA$40+0-配置与结果!$B$26+Z1352*(方案参数!$AP$40+MIN(方案参数!$AQ$40,P1352*0.03)))</f>
        <v>1.57</v>
      </c>
      <c r="AL1352" s="7">
        <f>ROUNDDOWN(MAX(AD1352*配置与结果!$B$31,AD1352-AE1352)*AF1352*AG1352*AH1352*AI1352,0)</f>
        <v>11172</v>
      </c>
      <c r="AM1352" s="7">
        <f>ROUNDDOWN(MAX(AD1352*配置与结果!$B$31,AD1352-AE1352)*AF1352*AG1352*AH1352*AI1352*AK1352,0)</f>
        <v>17540</v>
      </c>
      <c r="AN1352" s="7">
        <f t="shared" si="1903"/>
        <v>14706.24</v>
      </c>
      <c r="AO1352" s="7">
        <f>0</f>
        <v>0</v>
      </c>
      <c r="AP1352" s="7">
        <f>MAX(0,1+INDEX(配置与结果!$J$15:$J$18,F1352)+IF(T1352&gt;0,方案参数!$BY$40,0)-配置与结果!$B$30)</f>
        <v>1</v>
      </c>
      <c r="AQ1352" s="7">
        <f t="shared" si="1904"/>
        <v>0</v>
      </c>
      <c r="AR1352" s="7">
        <f t="shared" si="1905"/>
        <v>0</v>
      </c>
      <c r="AS1352" s="7">
        <f t="shared" si="1906"/>
        <v>0</v>
      </c>
      <c r="AT1352" s="7">
        <f>0</f>
        <v>0</v>
      </c>
      <c r="AU1352" s="7">
        <f t="shared" si="1907"/>
        <v>14706.24</v>
      </c>
      <c r="AV1352" s="1">
        <f t="shared" si="1908"/>
        <v>2</v>
      </c>
      <c r="AW1352" s="1">
        <f t="shared" si="1901"/>
        <v>10</v>
      </c>
      <c r="AX1352" s="1">
        <f t="shared" si="1909"/>
        <v>2</v>
      </c>
      <c r="AY1352" s="1">
        <f t="shared" si="1895"/>
        <v>6</v>
      </c>
      <c r="AZ1352" s="1">
        <f t="shared" si="1910"/>
        <v>5</v>
      </c>
      <c r="BA1352" s="1">
        <f>MIN(6,Q1352+1)</f>
        <v>5</v>
      </c>
      <c r="BB1352" s="1">
        <f t="shared" si="1888"/>
        <v>5</v>
      </c>
      <c r="BC1352" s="1">
        <f t="shared" si="1902"/>
        <v>2</v>
      </c>
      <c r="BD1352" s="1">
        <f t="shared" si="1896"/>
        <v>0</v>
      </c>
      <c r="BE1352" s="1">
        <f t="shared" si="1889"/>
        <v>0</v>
      </c>
      <c r="BF1352" s="1">
        <f>MIN(4,V1352+0)</f>
        <v>2</v>
      </c>
      <c r="BG1352" s="1">
        <f t="shared" ref="BG1352:BG1374" si="1914">MAX(W1352,0)</f>
        <v>1</v>
      </c>
      <c r="BH1352" s="1">
        <f t="shared" si="1890"/>
        <v>1</v>
      </c>
      <c r="BI1352" s="1">
        <f t="shared" ref="BI1352:BI1374" si="1915">MAX(Y1352,0)</f>
        <v>1</v>
      </c>
      <c r="BJ1352" s="1">
        <f>MAX(Z1352,1)</f>
        <v>1</v>
      </c>
      <c r="BK1352" s="1">
        <f>MAX(AA1352,1)</f>
        <v>1</v>
      </c>
      <c r="BL1352" s="1">
        <f t="shared" si="1870"/>
        <v>0</v>
      </c>
      <c r="BM1352" s="1">
        <f t="shared" si="1868"/>
        <v>0</v>
      </c>
      <c r="BN1352" s="1">
        <f t="shared" si="1891"/>
        <v>1</v>
      </c>
      <c r="BO1352" s="1">
        <f t="shared" si="1892"/>
        <v>1</v>
      </c>
    </row>
    <row r="1353" spans="1:67" ht="30.95" customHeight="1">
      <c r="A1353" s="1">
        <f>37</f>
        <v>37</v>
      </c>
      <c r="B1353" s="1">
        <f>固定流程!A21</f>
        <v>16</v>
      </c>
      <c r="C1353" s="1">
        <f>40</f>
        <v>40</v>
      </c>
      <c r="D1353" s="1">
        <f>1</f>
        <v>1</v>
      </c>
      <c r="E1353" s="1">
        <f>固定流程!C21</f>
        <v>3</v>
      </c>
      <c r="F1353" s="1">
        <f>固定流程!G21</f>
        <v>2</v>
      </c>
      <c r="G1353" s="1" t="str">
        <f>固定流程!H21</f>
        <v>37_ULT</v>
      </c>
      <c r="H1353" s="1">
        <f>固定流程!F21</f>
        <v>1</v>
      </c>
      <c r="I1353" s="1">
        <f>INDEX(配置与结果!$B$15:$B$18,F1353)</f>
        <v>2306</v>
      </c>
      <c r="J1353" s="1">
        <f>INDEX(配置与结果!$D$15:$D$18,F1353)</f>
        <v>0.46</v>
      </c>
      <c r="K1353" s="1">
        <f>INDEX(配置与结果!$E$15:$E$18,F1353)</f>
        <v>1.9279999999999999</v>
      </c>
      <c r="L1353" s="1">
        <f t="shared" si="1911"/>
        <v>2</v>
      </c>
      <c r="M1353" s="1">
        <f t="shared" si="1912"/>
        <v>10</v>
      </c>
      <c r="N1353" s="1">
        <f t="shared" si="1913"/>
        <v>2</v>
      </c>
      <c r="O1353" s="1">
        <f t="shared" si="1897"/>
        <v>6</v>
      </c>
      <c r="P1353" s="1">
        <f>MIN(方案参数!$AI$40,AZ1352+0+0)</f>
        <v>5</v>
      </c>
      <c r="Q1353" s="1">
        <f t="shared" si="1875"/>
        <v>5</v>
      </c>
      <c r="R1353" s="1">
        <f t="shared" si="1876"/>
        <v>5</v>
      </c>
      <c r="S1353" s="1">
        <f t="shared" si="1877"/>
        <v>2</v>
      </c>
      <c r="T1353" s="1">
        <f>BD1352+方案参数!$BX$40</f>
        <v>2</v>
      </c>
      <c r="U1353" s="1">
        <f t="shared" si="1879"/>
        <v>0</v>
      </c>
      <c r="V1353" s="1">
        <f t="shared" si="1880"/>
        <v>2</v>
      </c>
      <c r="W1353" s="1">
        <f t="shared" si="1881"/>
        <v>1</v>
      </c>
      <c r="X1353" s="1">
        <f t="shared" si="1882"/>
        <v>1</v>
      </c>
      <c r="Y1353" s="1">
        <f t="shared" si="1883"/>
        <v>1</v>
      </c>
      <c r="Z1353" s="1">
        <f t="shared" si="1884"/>
        <v>1</v>
      </c>
      <c r="AA1353" s="1">
        <f t="shared" ref="AA1353:AA1373" si="1916">MAX(BK1352,0)</f>
        <v>1</v>
      </c>
      <c r="AB1353" s="1">
        <f t="shared" si="1886"/>
        <v>0</v>
      </c>
      <c r="AC1353" s="1">
        <f>MAX(BM1352,1)</f>
        <v>1</v>
      </c>
      <c r="AD1353" s="1">
        <f>ROUNDDOWN(I1353*(1+IF(F1353=3,0.05+方案参数!$Y$40+AA1353*0.12,IF(F1353=4,方案参数!$BZ$40*方案参数!$AS$40,0)))+IF(AND(X1353=1,F1353&lt;&gt;3),方案参数!$CC$40,0)+AC1353*方案参数!$CB$40,0)</f>
        <v>3034</v>
      </c>
      <c r="AE1353" s="1">
        <f>IF(OR(F1353=1,F1353=4),配置与结果!$B$24,配置与结果!$B$25)*MAX(0,1-INDEX(配置与结果!$I$15:$I$18,F1353))</f>
        <v>1000</v>
      </c>
      <c r="AF1353" s="1">
        <f>0</f>
        <v>0</v>
      </c>
      <c r="AG1353" s="1">
        <f>MAX(配置与结果!$B$32,1+INDEX(配置与结果!$F$15:$F$18,F1353)+0+Q1353*方案参数!$W$40+Y1353*(方案参数!$AN$40+MIN(方案参数!$AO$40,P1353*0.03))+AB1353*方案参数!$BZ$40*0.025-配置与结果!$B$28)</f>
        <v>0.97499999999999998</v>
      </c>
      <c r="AH1353" s="1">
        <f>MAX(0,1+INDEX(配置与结果!$G$15:$G$18,F1353)+W1353*方案参数!$AG$40)</f>
        <v>1.3</v>
      </c>
      <c r="AI1353" s="1">
        <f>IF(OR(INDEX(配置与结果!$K$15:$K$18,F1353)=1,G1353="RHI_BERRY"),1+配置与结果!$B$33+P1353*方案参数!$AH$40,1)</f>
        <v>1</v>
      </c>
      <c r="AJ1353" s="1">
        <f>MIN(1,MAX(0,J1353+方案参数!$AB$40-配置与结果!$B$27))</f>
        <v>0.76</v>
      </c>
      <c r="AK1353" s="1">
        <f>MAX(1,K1353+IF(F1353=2,0.15+方案参数!$CH$40,0)+BN1353*方案参数!$X$40+R1353*方案参数!$AA$40+0-配置与结果!$B$26+Z1353*(方案参数!$AP$40+MIN(方案参数!$AQ$40,P1353*0.03)))</f>
        <v>2.218</v>
      </c>
      <c r="AL1353" s="7">
        <f>ROUNDDOWN(MAX(AD1353*配置与结果!$B$31,AD1353-AE1353)*AF1353*AG1353*AH1353*AI1353,0)</f>
        <v>0</v>
      </c>
      <c r="AM1353" s="7">
        <f>ROUNDDOWN(MAX(AD1353*配置与结果!$B$31,AD1353-AE1353)*AF1353*AG1353*AH1353*AI1353*AK1353,0)</f>
        <v>0</v>
      </c>
      <c r="AN1353" s="7">
        <f t="shared" si="1903"/>
        <v>0</v>
      </c>
      <c r="AO1353" s="7">
        <f>0</f>
        <v>0</v>
      </c>
      <c r="AP1353" s="7">
        <f>MAX(0,1+INDEX(配置与结果!$J$15:$J$18,F1353)+IF(T1353&gt;0,方案参数!$BY$40,0)-配置与结果!$B$30)</f>
        <v>2</v>
      </c>
      <c r="AQ1353" s="7">
        <f t="shared" si="1904"/>
        <v>0</v>
      </c>
      <c r="AR1353" s="7">
        <f t="shared" si="1905"/>
        <v>0</v>
      </c>
      <c r="AS1353" s="7">
        <f t="shared" si="1906"/>
        <v>0</v>
      </c>
      <c r="AT1353" s="7">
        <f>0</f>
        <v>0</v>
      </c>
      <c r="AU1353" s="7">
        <f t="shared" si="1907"/>
        <v>0</v>
      </c>
      <c r="AV1353" s="1">
        <f t="shared" si="1908"/>
        <v>2</v>
      </c>
      <c r="AW1353" s="1">
        <f t="shared" si="1901"/>
        <v>10</v>
      </c>
      <c r="AX1353" s="1">
        <f t="shared" si="1909"/>
        <v>2</v>
      </c>
      <c r="AY1353" s="1">
        <f t="shared" si="1895"/>
        <v>6</v>
      </c>
      <c r="AZ1353" s="1">
        <f t="shared" si="1910"/>
        <v>5</v>
      </c>
      <c r="BA1353" s="1">
        <f t="shared" ref="BA1353:BA1373" si="1917">MIN(6,Q1353+0)</f>
        <v>5</v>
      </c>
      <c r="BB1353" s="1">
        <f>MIN(30,R1353+5)</f>
        <v>10</v>
      </c>
      <c r="BC1353" s="1">
        <f t="shared" si="1902"/>
        <v>2</v>
      </c>
      <c r="BD1353" s="1">
        <f t="shared" si="1896"/>
        <v>2</v>
      </c>
      <c r="BE1353" s="1">
        <f t="shared" si="1889"/>
        <v>0</v>
      </c>
      <c r="BF1353" s="1">
        <f>MIN(4,V1353+0)</f>
        <v>2</v>
      </c>
      <c r="BG1353" s="1">
        <f t="shared" si="1914"/>
        <v>1</v>
      </c>
      <c r="BH1353" s="1">
        <f t="shared" si="1890"/>
        <v>1</v>
      </c>
      <c r="BI1353" s="1">
        <f t="shared" si="1915"/>
        <v>1</v>
      </c>
      <c r="BJ1353" s="1">
        <f t="shared" ref="BJ1353:BJ1380" si="1918">MAX(Z1353,0)</f>
        <v>1</v>
      </c>
      <c r="BK1353" s="1">
        <f t="shared" ref="BK1353:BK1380" si="1919">MAX(AA1353,0)</f>
        <v>1</v>
      </c>
      <c r="BL1353" s="1">
        <f t="shared" si="1870"/>
        <v>0</v>
      </c>
      <c r="BM1353" s="1">
        <f>MAX(AC1353,1)</f>
        <v>1</v>
      </c>
      <c r="BN1353" s="1">
        <f t="shared" si="1891"/>
        <v>1</v>
      </c>
      <c r="BO1353" s="1">
        <f t="shared" si="1892"/>
        <v>1</v>
      </c>
    </row>
    <row r="1354" spans="1:67" ht="30.95" customHeight="1">
      <c r="A1354" s="1">
        <f>37</f>
        <v>37</v>
      </c>
      <c r="B1354" s="1">
        <f>固定流程!A22</f>
        <v>17</v>
      </c>
      <c r="C1354" s="1">
        <f>40</f>
        <v>40</v>
      </c>
      <c r="D1354" s="1">
        <f>1</f>
        <v>1</v>
      </c>
      <c r="E1354" s="1">
        <f>固定流程!C22</f>
        <v>3</v>
      </c>
      <c r="F1354" s="1">
        <f>固定流程!G22</f>
        <v>2</v>
      </c>
      <c r="G1354" s="1" t="str">
        <f>固定流程!H22</f>
        <v>37_FOLLOW</v>
      </c>
      <c r="H1354" s="1">
        <f>固定流程!F22</f>
        <v>1</v>
      </c>
      <c r="I1354" s="1">
        <f>INDEX(配置与结果!$B$15:$B$18,F1354)</f>
        <v>2306</v>
      </c>
      <c r="J1354" s="1">
        <f>INDEX(配置与结果!$D$15:$D$18,F1354)</f>
        <v>0.46</v>
      </c>
      <c r="K1354" s="1">
        <f>INDEX(配置与结果!$E$15:$E$18,F1354)</f>
        <v>1.9279999999999999</v>
      </c>
      <c r="L1354" s="1">
        <f t="shared" si="1911"/>
        <v>2</v>
      </c>
      <c r="M1354" s="1">
        <f t="shared" si="1912"/>
        <v>10</v>
      </c>
      <c r="N1354" s="1">
        <f t="shared" si="1913"/>
        <v>2</v>
      </c>
      <c r="O1354" s="1">
        <f t="shared" si="1897"/>
        <v>6</v>
      </c>
      <c r="P1354" s="1">
        <f>MIN(方案参数!$AI$40,AZ1353+0+0)</f>
        <v>5</v>
      </c>
      <c r="Q1354" s="1">
        <f t="shared" si="1875"/>
        <v>5</v>
      </c>
      <c r="R1354" s="1">
        <f t="shared" si="1876"/>
        <v>10</v>
      </c>
      <c r="S1354" s="1">
        <f t="shared" si="1877"/>
        <v>2</v>
      </c>
      <c r="T1354" s="1">
        <f t="shared" ref="T1354:T1373" si="1920">BD1353+0</f>
        <v>2</v>
      </c>
      <c r="U1354" s="1">
        <f t="shared" si="1879"/>
        <v>0</v>
      </c>
      <c r="V1354" s="1">
        <f t="shared" si="1880"/>
        <v>2</v>
      </c>
      <c r="W1354" s="1">
        <f t="shared" si="1881"/>
        <v>1</v>
      </c>
      <c r="X1354" s="1">
        <f t="shared" si="1882"/>
        <v>1</v>
      </c>
      <c r="Y1354" s="1">
        <f t="shared" si="1883"/>
        <v>1</v>
      </c>
      <c r="Z1354" s="1">
        <f t="shared" si="1884"/>
        <v>1</v>
      </c>
      <c r="AA1354" s="1">
        <f t="shared" si="1916"/>
        <v>1</v>
      </c>
      <c r="AB1354" s="1">
        <f t="shared" si="1886"/>
        <v>0</v>
      </c>
      <c r="AC1354" s="1">
        <f t="shared" ref="AC1354:AC1373" si="1921">MAX(BM1353,0)</f>
        <v>1</v>
      </c>
      <c r="AD1354" s="1">
        <f>ROUNDDOWN(I1354*(1+IF(F1354=3,0.05+方案参数!$Y$40+AA1354*0.12,IF(F1354=4,方案参数!$BZ$40*方案参数!$AS$40,0)))+IF(AND(X1354=1,F1354&lt;&gt;3),方案参数!$CC$40,0)+AC1354*方案参数!$CB$40,0)</f>
        <v>3034</v>
      </c>
      <c r="AE1354" s="1">
        <f>IF(OR(F1354=1,F1354=4),配置与结果!$B$24,配置与结果!$B$25)*MAX(0,1-INDEX(配置与结果!$I$15:$I$18,F1354))</f>
        <v>1000</v>
      </c>
      <c r="AF1354" s="1">
        <f>方案参数!$BV$40</f>
        <v>3</v>
      </c>
      <c r="AG1354" s="1">
        <f>MAX(配置与结果!$B$32,1+INDEX(配置与结果!$F$15:$F$18,F1354)+0+Q1354*方案参数!$W$40+Y1354*(方案参数!$AN$40+MIN(方案参数!$AO$40,P1354*0.03))+AB1354*方案参数!$BZ$40*0.025-配置与结果!$B$28)</f>
        <v>0.97499999999999998</v>
      </c>
      <c r="AH1354" s="1">
        <f>MAX(0,1+INDEX(配置与结果!$G$15:$G$18,F1354)+W1354*方案参数!$AG$40)</f>
        <v>1.3</v>
      </c>
      <c r="AI1354" s="1">
        <f>IF(OR(INDEX(配置与结果!$K$15:$K$18,F1354)=1,G1354="RHI_BERRY"),1+配置与结果!$B$33+P1354*方案参数!$AH$40,1)</f>
        <v>1</v>
      </c>
      <c r="AJ1354" s="1">
        <f>MIN(1,MAX(0,J1354+方案参数!$AB$40-配置与结果!$B$27))</f>
        <v>0.76</v>
      </c>
      <c r="AK1354" s="1">
        <f>MAX(1,K1354+IF(F1354=2,0.15+方案参数!$CH$40,0)+BN1354*方案参数!$X$40+R1354*方案参数!$AA$40+0-配置与结果!$B$26+Z1354*(方案参数!$AP$40+MIN(方案参数!$AQ$40,P1354*0.03)))</f>
        <v>2.238</v>
      </c>
      <c r="AL1354" s="7">
        <f>ROUNDDOWN(MAX(AD1354*配置与结果!$B$31,AD1354-AE1354)*AF1354*AG1354*AH1354*AI1354,0)</f>
        <v>7734</v>
      </c>
      <c r="AM1354" s="7">
        <f>ROUNDDOWN(MAX(AD1354*配置与结果!$B$31,AD1354-AE1354)*AF1354*AG1354*AH1354*AI1354*AK1354,0)</f>
        <v>17309</v>
      </c>
      <c r="AN1354" s="7">
        <f t="shared" si="1903"/>
        <v>15011</v>
      </c>
      <c r="AO1354" s="7">
        <f>方案参数!$BW$40</f>
        <v>1</v>
      </c>
      <c r="AP1354" s="7">
        <f>MAX(0,1+INDEX(配置与结果!$J$15:$J$18,F1354)+IF(T1354&gt;0,方案参数!$BY$40,0)-配置与结果!$B$30)</f>
        <v>2</v>
      </c>
      <c r="AQ1354" s="7">
        <f t="shared" si="1904"/>
        <v>6068</v>
      </c>
      <c r="AR1354" s="7">
        <f t="shared" si="1905"/>
        <v>13580</v>
      </c>
      <c r="AS1354" s="7">
        <f t="shared" si="1906"/>
        <v>11777.119999999999</v>
      </c>
      <c r="AT1354" s="7">
        <f>0</f>
        <v>0</v>
      </c>
      <c r="AU1354" s="7">
        <f t="shared" si="1907"/>
        <v>26788.12</v>
      </c>
      <c r="AV1354" s="1">
        <f t="shared" si="1908"/>
        <v>2</v>
      </c>
      <c r="AW1354" s="1">
        <f t="shared" si="1901"/>
        <v>10</v>
      </c>
      <c r="AX1354" s="1">
        <f t="shared" si="1909"/>
        <v>2</v>
      </c>
      <c r="AY1354" s="1">
        <f t="shared" si="1895"/>
        <v>6</v>
      </c>
      <c r="AZ1354" s="1">
        <f t="shared" si="1910"/>
        <v>5</v>
      </c>
      <c r="BA1354" s="1">
        <f t="shared" si="1917"/>
        <v>5</v>
      </c>
      <c r="BB1354" s="1">
        <f>MIN(30,R1354+0)</f>
        <v>10</v>
      </c>
      <c r="BC1354" s="1">
        <f t="shared" si="1902"/>
        <v>2</v>
      </c>
      <c r="BD1354" s="1">
        <f t="shared" si="1896"/>
        <v>1</v>
      </c>
      <c r="BE1354" s="1">
        <f t="shared" si="1889"/>
        <v>0</v>
      </c>
      <c r="BF1354" s="1">
        <f>MIN(4,V1354+1)</f>
        <v>3</v>
      </c>
      <c r="BG1354" s="1">
        <f t="shared" si="1914"/>
        <v>1</v>
      </c>
      <c r="BH1354" s="1">
        <f t="shared" si="1890"/>
        <v>1</v>
      </c>
      <c r="BI1354" s="1">
        <f t="shared" si="1915"/>
        <v>1</v>
      </c>
      <c r="BJ1354" s="1">
        <f t="shared" si="1918"/>
        <v>1</v>
      </c>
      <c r="BK1354" s="1">
        <f t="shared" si="1919"/>
        <v>1</v>
      </c>
      <c r="BL1354" s="1">
        <f t="shared" si="1870"/>
        <v>0</v>
      </c>
      <c r="BM1354" s="1">
        <f t="shared" ref="BM1354:BM1388" si="1922">MAX(AC1354,0)</f>
        <v>1</v>
      </c>
      <c r="BN1354" s="1">
        <f t="shared" si="1891"/>
        <v>1</v>
      </c>
      <c r="BO1354" s="1">
        <f t="shared" si="1892"/>
        <v>1</v>
      </c>
    </row>
    <row r="1355" spans="1:67" ht="30.95" customHeight="1">
      <c r="A1355" s="1">
        <f>37</f>
        <v>37</v>
      </c>
      <c r="B1355" s="1">
        <f>固定流程!A23</f>
        <v>18</v>
      </c>
      <c r="C1355" s="1">
        <f>40</f>
        <v>40</v>
      </c>
      <c r="D1355" s="1">
        <f>1</f>
        <v>1</v>
      </c>
      <c r="E1355" s="1">
        <f>固定流程!C23</f>
        <v>3</v>
      </c>
      <c r="F1355" s="1">
        <f>固定流程!G23</f>
        <v>4</v>
      </c>
      <c r="G1355" s="1" t="str">
        <f>固定流程!H23</f>
        <v>J_HARD</v>
      </c>
      <c r="H1355" s="1">
        <f>固定流程!F23</f>
        <v>1</v>
      </c>
      <c r="I1355" s="1">
        <f>INDEX(配置与结果!$B$15:$B$18,F1355)</f>
        <v>1906</v>
      </c>
      <c r="J1355" s="1">
        <f>INDEX(配置与结果!$D$15:$D$18,F1355)</f>
        <v>0.36699999999999999</v>
      </c>
      <c r="K1355" s="1">
        <f>INDEX(配置与结果!$E$15:$E$18,F1355)</f>
        <v>1.7170000000000001</v>
      </c>
      <c r="L1355" s="1">
        <f t="shared" si="1911"/>
        <v>2</v>
      </c>
      <c r="M1355" s="1">
        <f t="shared" si="1912"/>
        <v>10</v>
      </c>
      <c r="N1355" s="1">
        <f t="shared" si="1913"/>
        <v>2</v>
      </c>
      <c r="O1355" s="1">
        <f t="shared" si="1897"/>
        <v>6</v>
      </c>
      <c r="P1355" s="1">
        <f>MIN(方案参数!$AI$40,AZ1354+0+0)</f>
        <v>5</v>
      </c>
      <c r="Q1355" s="1">
        <f t="shared" si="1875"/>
        <v>5</v>
      </c>
      <c r="R1355" s="1">
        <f t="shared" si="1876"/>
        <v>10</v>
      </c>
      <c r="S1355" s="1">
        <f t="shared" si="1877"/>
        <v>2</v>
      </c>
      <c r="T1355" s="1">
        <f t="shared" si="1920"/>
        <v>1</v>
      </c>
      <c r="U1355" s="1">
        <f t="shared" si="1879"/>
        <v>0</v>
      </c>
      <c r="V1355" s="1">
        <f t="shared" si="1880"/>
        <v>3</v>
      </c>
      <c r="W1355" s="1">
        <f t="shared" si="1881"/>
        <v>1</v>
      </c>
      <c r="X1355" s="1">
        <f t="shared" si="1882"/>
        <v>1</v>
      </c>
      <c r="Y1355" s="1">
        <f t="shared" si="1883"/>
        <v>1</v>
      </c>
      <c r="Z1355" s="1">
        <f t="shared" si="1884"/>
        <v>1</v>
      </c>
      <c r="AA1355" s="1">
        <f t="shared" si="1916"/>
        <v>1</v>
      </c>
      <c r="AB1355" s="1">
        <f t="shared" si="1886"/>
        <v>0</v>
      </c>
      <c r="AC1355" s="1">
        <f t="shared" si="1921"/>
        <v>1</v>
      </c>
      <c r="AD1355" s="1">
        <f>ROUNDDOWN(I1355*(1+IF(F1355=3,0.05+方案参数!$Y$40+AA1355*0.12,IF(F1355=4,方案参数!$BZ$40*方案参数!$AS$40,0)))+IF(AND(X1355=1,F1355&lt;&gt;3),方案参数!$CC$40,0)+AC1355*方案参数!$CB$40,0)</f>
        <v>3301</v>
      </c>
      <c r="AE1355" s="1">
        <f>IF(OR(F1355=1,F1355=4),配置与结果!$B$24,配置与结果!$B$25)*MAX(0,1-INDEX(配置与结果!$I$15:$I$18,F1355))</f>
        <v>1200</v>
      </c>
      <c r="AF1355" s="1">
        <f>3.6*IF(H1355=1,1,IF(H1355=2,1.5,2.5))</f>
        <v>3.6</v>
      </c>
      <c r="AG1355" s="1">
        <f>MAX(配置与结果!$B$32,1+INDEX(配置与结果!$F$15:$F$18,F1355)+0.08+Q1355*方案参数!$W$40+Y1355*(方案参数!$AN$40+MIN(方案参数!$AO$40,P1355*0.03))+AB1355*方案参数!$BZ$40*0.025+0.1+IF(方案参数!$BZ$40&gt;=30,方案参数!$BZ$40*0.01,0)-配置与结果!$B$28)</f>
        <v>1.5250000000000004</v>
      </c>
      <c r="AH1355" s="1">
        <f>MAX(0,1+INDEX(配置与结果!$G$15:$G$18,F1355)+W1355*方案参数!$AG$40)</f>
        <v>1.3</v>
      </c>
      <c r="AI1355" s="1">
        <f>IF(OR(INDEX(配置与结果!$K$15:$K$18,F1355)=1,G1355="RHI_BERRY"),1+配置与结果!$B$33+P1355*方案参数!$AH$40,1)</f>
        <v>1</v>
      </c>
      <c r="AJ1355" s="1">
        <f>MIN(1,MAX(0,J1355+方案参数!$AB$40-配置与结果!$B$27))</f>
        <v>0.66700000000000004</v>
      </c>
      <c r="AK1355" s="1">
        <f>MAX(1,K1355+IF(F1355=2,0.15+方案参数!$CH$40,0)+BN1355*方案参数!$X$40+R1355*方案参数!$AA$40+0-配置与结果!$B$26+Z1355*(方案参数!$AP$40+MIN(方案参数!$AQ$40,P1355*0.03)))</f>
        <v>1.7570000000000003</v>
      </c>
      <c r="AL1355" s="7">
        <f>ROUNDDOWN(MAX(AD1355*配置与结果!$B$31,AD1355-AE1355)*AF1355*AG1355*AH1355*AI1355,0)</f>
        <v>14994</v>
      </c>
      <c r="AM1355" s="7">
        <f>ROUNDDOWN(MAX(AD1355*配置与结果!$B$31,AD1355-AE1355)*AF1355*AG1355*AH1355*AI1355*AK1355,0)</f>
        <v>26345</v>
      </c>
      <c r="AN1355" s="7">
        <f t="shared" si="1903"/>
        <v>22565.117000000002</v>
      </c>
      <c r="AO1355" s="7">
        <f>0</f>
        <v>0</v>
      </c>
      <c r="AP1355" s="7">
        <f>MAX(0,1+INDEX(配置与结果!$J$15:$J$18,F1355)+IF(T1355&gt;0,方案参数!$BY$40,0)-配置与结果!$B$30)</f>
        <v>2</v>
      </c>
      <c r="AQ1355" s="7">
        <f t="shared" si="1904"/>
        <v>0</v>
      </c>
      <c r="AR1355" s="7">
        <f t="shared" si="1905"/>
        <v>0</v>
      </c>
      <c r="AS1355" s="7">
        <f t="shared" si="1906"/>
        <v>0</v>
      </c>
      <c r="AT1355" s="7">
        <f>0</f>
        <v>0</v>
      </c>
      <c r="AU1355" s="7">
        <f t="shared" si="1907"/>
        <v>22565.117000000002</v>
      </c>
      <c r="AV1355" s="1">
        <f t="shared" si="1908"/>
        <v>2</v>
      </c>
      <c r="AW1355" s="1">
        <f t="shared" si="1901"/>
        <v>10</v>
      </c>
      <c r="AX1355" s="1">
        <f t="shared" si="1909"/>
        <v>2</v>
      </c>
      <c r="AY1355" s="1">
        <f t="shared" si="1895"/>
        <v>6</v>
      </c>
      <c r="AZ1355" s="1">
        <f t="shared" si="1910"/>
        <v>5</v>
      </c>
      <c r="BA1355" s="1">
        <f t="shared" si="1917"/>
        <v>5</v>
      </c>
      <c r="BB1355" s="1">
        <f>MIN(30,R1355+0)</f>
        <v>10</v>
      </c>
      <c r="BC1355" s="1">
        <f>MIN(3,S1355+1)</f>
        <v>3</v>
      </c>
      <c r="BD1355" s="1">
        <f t="shared" si="1896"/>
        <v>1</v>
      </c>
      <c r="BE1355" s="1">
        <f t="shared" si="1889"/>
        <v>0</v>
      </c>
      <c r="BF1355" s="1">
        <f>MIN(4,V1355+0)</f>
        <v>3</v>
      </c>
      <c r="BG1355" s="1">
        <f t="shared" si="1914"/>
        <v>1</v>
      </c>
      <c r="BH1355" s="1">
        <f t="shared" si="1890"/>
        <v>1</v>
      </c>
      <c r="BI1355" s="1">
        <f t="shared" si="1915"/>
        <v>1</v>
      </c>
      <c r="BJ1355" s="1">
        <f t="shared" si="1918"/>
        <v>1</v>
      </c>
      <c r="BK1355" s="1">
        <f t="shared" si="1919"/>
        <v>1</v>
      </c>
      <c r="BL1355" s="1">
        <f t="shared" si="1870"/>
        <v>0</v>
      </c>
      <c r="BM1355" s="1">
        <f t="shared" si="1922"/>
        <v>1</v>
      </c>
      <c r="BN1355" s="1">
        <f t="shared" si="1891"/>
        <v>1</v>
      </c>
      <c r="BO1355" s="1">
        <f t="shared" si="1892"/>
        <v>1</v>
      </c>
    </row>
    <row r="1356" spans="1:67" ht="30.95" customHeight="1">
      <c r="A1356" s="1">
        <f>37</f>
        <v>37</v>
      </c>
      <c r="B1356" s="1">
        <f>固定流程!A24</f>
        <v>19</v>
      </c>
      <c r="C1356" s="1">
        <f>40</f>
        <v>40</v>
      </c>
      <c r="D1356" s="1">
        <f>1</f>
        <v>1</v>
      </c>
      <c r="E1356" s="1">
        <f>固定流程!C24</f>
        <v>3</v>
      </c>
      <c r="F1356" s="1">
        <f>固定流程!G24</f>
        <v>4</v>
      </c>
      <c r="G1356" s="1" t="str">
        <f>固定流程!H24</f>
        <v>J_ULT</v>
      </c>
      <c r="H1356" s="1">
        <f>固定流程!F24</f>
        <v>1</v>
      </c>
      <c r="I1356" s="1">
        <f>INDEX(配置与结果!$B$15:$B$18,F1356)</f>
        <v>1906</v>
      </c>
      <c r="J1356" s="1">
        <f>INDEX(配置与结果!$D$15:$D$18,F1356)</f>
        <v>0.36699999999999999</v>
      </c>
      <c r="K1356" s="1">
        <f>INDEX(配置与结果!$E$15:$E$18,F1356)</f>
        <v>1.7170000000000001</v>
      </c>
      <c r="L1356" s="1">
        <f t="shared" si="1911"/>
        <v>2</v>
      </c>
      <c r="M1356" s="1">
        <f t="shared" si="1912"/>
        <v>10</v>
      </c>
      <c r="N1356" s="1">
        <f t="shared" si="1913"/>
        <v>2</v>
      </c>
      <c r="O1356" s="1">
        <f t="shared" si="1897"/>
        <v>6</v>
      </c>
      <c r="P1356" s="1">
        <f>MIN(方案参数!$AI$40,AZ1355+0+0)</f>
        <v>5</v>
      </c>
      <c r="Q1356" s="1">
        <f t="shared" si="1875"/>
        <v>5</v>
      </c>
      <c r="R1356" s="1">
        <f t="shared" si="1876"/>
        <v>10</v>
      </c>
      <c r="S1356" s="1">
        <f t="shared" si="1877"/>
        <v>3</v>
      </c>
      <c r="T1356" s="1">
        <f t="shared" si="1920"/>
        <v>1</v>
      </c>
      <c r="U1356" s="1">
        <f t="shared" si="1879"/>
        <v>0</v>
      </c>
      <c r="V1356" s="1">
        <f t="shared" si="1880"/>
        <v>3</v>
      </c>
      <c r="W1356" s="1">
        <f t="shared" si="1881"/>
        <v>1</v>
      </c>
      <c r="X1356" s="1">
        <f t="shared" si="1882"/>
        <v>1</v>
      </c>
      <c r="Y1356" s="1">
        <f t="shared" si="1883"/>
        <v>1</v>
      </c>
      <c r="Z1356" s="1">
        <f t="shared" si="1884"/>
        <v>1</v>
      </c>
      <c r="AA1356" s="1">
        <f t="shared" si="1916"/>
        <v>1</v>
      </c>
      <c r="AB1356" s="1">
        <f t="shared" si="1886"/>
        <v>0</v>
      </c>
      <c r="AC1356" s="1">
        <f t="shared" si="1921"/>
        <v>1</v>
      </c>
      <c r="AD1356" s="1">
        <f>ROUNDDOWN(I1356*(1+IF(F1356=3,0.05+方案参数!$Y$40+AA1356*0.12,IF(F1356=4,方案参数!$BZ$40*方案参数!$AS$40,0)))+IF(AND(X1356=1,F1356&lt;&gt;3),方案参数!$CC$40,0)+AC1356*方案参数!$CB$40,0)</f>
        <v>3301</v>
      </c>
      <c r="AE1356" s="1">
        <f>IF(OR(F1356=1,F1356=4),配置与结果!$B$24,配置与结果!$B$25)*MAX(0,1-INDEX(配置与结果!$I$15:$I$18,F1356))</f>
        <v>1200</v>
      </c>
      <c r="AF1356" s="1">
        <f>方案参数!$AT$40+MAX(0,配置与结果!$H$26+方案参数!$BZ$40-30)*方案参数!$AU$40*配置与结果!$H$27</f>
        <v>42</v>
      </c>
      <c r="AG1356" s="1">
        <f>MAX(配置与结果!$B$32,1+INDEX(配置与结果!$F$15:$F$18,F1356)+0.08+Q1356*方案参数!$W$40+Y1356*(方案参数!$AN$40+MIN(方案参数!$AO$40,P1356*0.03))+AB1356*方案参数!$BZ$40*0.025-配置与结果!$B$28)</f>
        <v>1.0750000000000002</v>
      </c>
      <c r="AH1356" s="1">
        <f>MAX(0,1+INDEX(配置与结果!$H$15:$H$18,F1356)+W1356*方案参数!$AG$40+S1356*方案参数!$Z$40)</f>
        <v>1.42</v>
      </c>
      <c r="AI1356" s="1">
        <f>IF(OR(INDEX(配置与结果!$K$15:$K$18,F1356)=1,G1356="RHI_BERRY"),1+配置与结果!$B$33+P1356*方案参数!$AH$40,1)</f>
        <v>1</v>
      </c>
      <c r="AJ1356" s="1">
        <f>MIN(1,MAX(0,J1356+方案参数!$AB$40-配置与结果!$B$27))</f>
        <v>0.66700000000000004</v>
      </c>
      <c r="AK1356" s="1">
        <f>MAX(1,K1356+IF(F1356=2,0.15+方案参数!$CH$40,0)+BN1356*方案参数!$X$40+R1356*方案参数!$AA$40+0-配置与结果!$B$26+Z1356*(方案参数!$AP$40+MIN(方案参数!$AQ$40,P1356*0.03)))</f>
        <v>1.7570000000000003</v>
      </c>
      <c r="AL1356" s="7">
        <f>ROUNDDOWN(MAX(AD1356*配置与结果!$B$31,AD1356-AE1356)*AF1356*AG1356*AH1356*AI1356,0)</f>
        <v>134701</v>
      </c>
      <c r="AM1356" s="7">
        <f>ROUNDDOWN(MAX(AD1356*配置与结果!$B$31,AD1356-AE1356)*AF1356*AG1356*AH1356*AI1356*AK1356,0)</f>
        <v>236670</v>
      </c>
      <c r="AN1356" s="7">
        <f t="shared" si="1903"/>
        <v>202714.323</v>
      </c>
      <c r="AO1356" s="7">
        <f>0</f>
        <v>0</v>
      </c>
      <c r="AP1356" s="7">
        <f>MAX(0,1+INDEX(配置与结果!$J$15:$J$18,F1356)+IF(T1356&gt;0,方案参数!$BY$40,0)-配置与结果!$B$30)</f>
        <v>2</v>
      </c>
      <c r="AQ1356" s="7">
        <f t="shared" si="1904"/>
        <v>0</v>
      </c>
      <c r="AR1356" s="7">
        <f t="shared" si="1905"/>
        <v>0</v>
      </c>
      <c r="AS1356" s="7">
        <f t="shared" si="1906"/>
        <v>0</v>
      </c>
      <c r="AT1356" s="7">
        <f>0</f>
        <v>0</v>
      </c>
      <c r="AU1356" s="7">
        <f t="shared" si="1907"/>
        <v>202714.323</v>
      </c>
      <c r="AV1356" s="1">
        <f t="shared" si="1908"/>
        <v>2</v>
      </c>
      <c r="AW1356" s="1">
        <f t="shared" si="1901"/>
        <v>10</v>
      </c>
      <c r="AX1356" s="1">
        <f t="shared" si="1909"/>
        <v>2</v>
      </c>
      <c r="AY1356" s="1">
        <f t="shared" si="1895"/>
        <v>6</v>
      </c>
      <c r="AZ1356" s="1">
        <f t="shared" si="1910"/>
        <v>5</v>
      </c>
      <c r="BA1356" s="1">
        <f t="shared" si="1917"/>
        <v>5</v>
      </c>
      <c r="BB1356" s="1">
        <f>MIN(30,R1356+5)</f>
        <v>15</v>
      </c>
      <c r="BC1356" s="1">
        <f t="shared" ref="BC1356:BC1379" si="1923">MIN(3,S1356+0)</f>
        <v>3</v>
      </c>
      <c r="BD1356" s="1">
        <f t="shared" si="1896"/>
        <v>1</v>
      </c>
      <c r="BE1356" s="1">
        <f t="shared" si="1889"/>
        <v>0</v>
      </c>
      <c r="BF1356" s="1">
        <f>MIN(4,V1356+0)</f>
        <v>3</v>
      </c>
      <c r="BG1356" s="1">
        <f t="shared" si="1914"/>
        <v>1</v>
      </c>
      <c r="BH1356" s="1">
        <f t="shared" si="1890"/>
        <v>1</v>
      </c>
      <c r="BI1356" s="1">
        <f t="shared" si="1915"/>
        <v>1</v>
      </c>
      <c r="BJ1356" s="1">
        <f t="shared" si="1918"/>
        <v>1</v>
      </c>
      <c r="BK1356" s="1">
        <f t="shared" si="1919"/>
        <v>1</v>
      </c>
      <c r="BL1356" s="1">
        <f>MAX(AB1356,1)</f>
        <v>1</v>
      </c>
      <c r="BM1356" s="1">
        <f t="shared" si="1922"/>
        <v>1</v>
      </c>
      <c r="BN1356" s="1">
        <f t="shared" si="1891"/>
        <v>1</v>
      </c>
      <c r="BO1356" s="1">
        <f t="shared" si="1892"/>
        <v>1</v>
      </c>
    </row>
    <row r="1357" spans="1:67" ht="30.95" customHeight="1">
      <c r="A1357" s="1">
        <f>37</f>
        <v>37</v>
      </c>
      <c r="B1357" s="1">
        <f>固定流程!A25</f>
        <v>20</v>
      </c>
      <c r="C1357" s="1">
        <f>40</f>
        <v>40</v>
      </c>
      <c r="D1357" s="1">
        <f>1</f>
        <v>1</v>
      </c>
      <c r="E1357" s="1">
        <f>固定流程!C25</f>
        <v>3</v>
      </c>
      <c r="F1357" s="1">
        <f>固定流程!G25</f>
        <v>1</v>
      </c>
      <c r="G1357" s="1" t="str">
        <f>固定流程!H25</f>
        <v>LILYA_ULT</v>
      </c>
      <c r="H1357" s="1">
        <f>固定流程!F25</f>
        <v>1</v>
      </c>
      <c r="I1357" s="1">
        <f>INDEX(配置与结果!$B$15:$B$18,F1357)</f>
        <v>2296</v>
      </c>
      <c r="J1357" s="1">
        <f>INDEX(配置与结果!$D$15:$D$18,F1357)</f>
        <v>0.7</v>
      </c>
      <c r="K1357" s="1">
        <f>INDEX(配置与结果!$E$15:$E$18,F1357)</f>
        <v>2.0249999999999999</v>
      </c>
      <c r="L1357" s="1">
        <f t="shared" si="1911"/>
        <v>2</v>
      </c>
      <c r="M1357" s="1">
        <f t="shared" si="1912"/>
        <v>10</v>
      </c>
      <c r="N1357" s="1">
        <f t="shared" si="1913"/>
        <v>2</v>
      </c>
      <c r="O1357" s="1">
        <f t="shared" si="1897"/>
        <v>6</v>
      </c>
      <c r="P1357" s="1">
        <f>MIN(方案参数!$AI$40,AZ1356+0+0)</f>
        <v>5</v>
      </c>
      <c r="Q1357" s="1">
        <f t="shared" si="1875"/>
        <v>5</v>
      </c>
      <c r="R1357" s="1">
        <f t="shared" si="1876"/>
        <v>15</v>
      </c>
      <c r="S1357" s="1">
        <f t="shared" si="1877"/>
        <v>3</v>
      </c>
      <c r="T1357" s="1">
        <f t="shared" si="1920"/>
        <v>1</v>
      </c>
      <c r="U1357" s="1">
        <f t="shared" si="1879"/>
        <v>0</v>
      </c>
      <c r="V1357" s="1">
        <f t="shared" si="1880"/>
        <v>3</v>
      </c>
      <c r="W1357" s="1">
        <f t="shared" si="1881"/>
        <v>1</v>
      </c>
      <c r="X1357" s="1">
        <f t="shared" si="1882"/>
        <v>1</v>
      </c>
      <c r="Y1357" s="1">
        <f t="shared" si="1883"/>
        <v>1</v>
      </c>
      <c r="Z1357" s="1">
        <f t="shared" si="1884"/>
        <v>1</v>
      </c>
      <c r="AA1357" s="1">
        <f t="shared" si="1916"/>
        <v>1</v>
      </c>
      <c r="AB1357" s="1">
        <f t="shared" si="1886"/>
        <v>1</v>
      </c>
      <c r="AC1357" s="1">
        <f t="shared" si="1921"/>
        <v>1</v>
      </c>
      <c r="AD1357" s="1">
        <f>ROUNDDOWN(I1357*(1+IF(F1357=3,0.05+方案参数!$Y$40+AA1357*0.12,IF(F1357=4,方案参数!$BZ$40*方案参数!$AS$40,0)))+IF(AND(X1357=1,F1357&lt;&gt;3),方案参数!$CC$40,0)+AC1357*方案参数!$CB$40,0)</f>
        <v>3024</v>
      </c>
      <c r="AE1357" s="1">
        <f>IF(OR(F1357=1,F1357=4),配置与结果!$B$24,配置与结果!$B$25)*MAX(0,1-INDEX(配置与结果!$I$15:$I$18,F1357)+IF(O1357&gt;=6,方案参数!$BK$40,0))</f>
        <v>1440</v>
      </c>
      <c r="AF1357" s="1">
        <f>方案参数!$BG$40+IF(O1357&gt;=6,方案参数!$BH$40,0)</f>
        <v>36</v>
      </c>
      <c r="AG1357" s="1">
        <f>MAX(配置与结果!$B$32,1+INDEX(配置与结果!$F$15:$F$18,F1357)+0.08+方案参数!$CD$40+Q1357*方案参数!$W$40+Y1357*(方案参数!$AN$40+MIN(方案参数!$AO$40,P1357*0.03))+AB1357*方案参数!$BZ$40*0.025-配置与结果!$B$28)</f>
        <v>2.1850000000000001</v>
      </c>
      <c r="AH1357" s="1">
        <f>MAX(0,1+INDEX(配置与结果!$H$15:$H$18,F1357)+W1357*方案参数!$AG$40+O1357*方案参数!$BF$40+IF(O1357&gt;=6,方案参数!$BI$40,0))</f>
        <v>2.4500000000000002</v>
      </c>
      <c r="AI1357" s="1">
        <f>IF(OR(INDEX(配置与结果!$K$15:$K$18,F1357)=1,G1357="RHI_BERRY"),1+配置与结果!$B$33+P1357*方案参数!$AH$40,1)</f>
        <v>1</v>
      </c>
      <c r="AJ1357" s="1">
        <f>MIN(1,MAX(0,J1357+方案参数!$AB$40-配置与结果!$B$27))</f>
        <v>1</v>
      </c>
      <c r="AK1357" s="1">
        <f>MAX(1,K1357+IF(F1357=2,0.15+方案参数!$CH$40,0)+BN1357*方案参数!$X$40+R1357*方案参数!$AA$40+IF(O1357&gt;=6,方案参数!$BJ$40,0)-配置与结果!$B$26+Z1357*(方案参数!$AP$40+MIN(方案参数!$AQ$40,P1357*0.03)))</f>
        <v>3.085</v>
      </c>
      <c r="AL1357" s="7">
        <f>ROUNDDOWN(MAX(AD1357*配置与结果!$B$31,AD1357-AE1357)*AF1357*AG1357*AH1357*AI1357,0)</f>
        <v>305263</v>
      </c>
      <c r="AM1357" s="7">
        <f>ROUNDDOWN(MAX(AD1357*配置与结果!$B$31,AD1357-AE1357)*AF1357*AG1357*AH1357*AI1357*AK1357,0)</f>
        <v>941738</v>
      </c>
      <c r="AN1357" s="7">
        <f t="shared" si="1903"/>
        <v>941738</v>
      </c>
      <c r="AO1357" s="7">
        <f>0</f>
        <v>0</v>
      </c>
      <c r="AP1357" s="7">
        <f>MAX(0,1+INDEX(配置与结果!$J$15:$J$18,F1357)+IF(T1357&gt;0,方案参数!$BY$40,0)-配置与结果!$B$30)</f>
        <v>2</v>
      </c>
      <c r="AQ1357" s="7">
        <f t="shared" si="1904"/>
        <v>0</v>
      </c>
      <c r="AR1357" s="7">
        <f t="shared" si="1905"/>
        <v>0</v>
      </c>
      <c r="AS1357" s="7">
        <f t="shared" si="1906"/>
        <v>0</v>
      </c>
      <c r="AT1357" s="7">
        <f>0</f>
        <v>0</v>
      </c>
      <c r="AU1357" s="7">
        <f t="shared" si="1907"/>
        <v>941738</v>
      </c>
      <c r="AV1357" s="1">
        <f t="shared" si="1908"/>
        <v>2</v>
      </c>
      <c r="AW1357" s="1">
        <f t="shared" si="1901"/>
        <v>10</v>
      </c>
      <c r="AX1357" s="1">
        <f t="shared" si="1909"/>
        <v>2</v>
      </c>
      <c r="AY1357" s="1">
        <f>MIN(20,MAX(0,O1357+0+0-IF(O1357&gt;=6,6,0)))</f>
        <v>0</v>
      </c>
      <c r="AZ1357" s="1">
        <f t="shared" si="1910"/>
        <v>5</v>
      </c>
      <c r="BA1357" s="1">
        <f t="shared" si="1917"/>
        <v>5</v>
      </c>
      <c r="BB1357" s="1">
        <f>MIN(30,R1357+5)</f>
        <v>20</v>
      </c>
      <c r="BC1357" s="1">
        <f t="shared" si="1923"/>
        <v>3</v>
      </c>
      <c r="BD1357" s="1">
        <f t="shared" si="1896"/>
        <v>1</v>
      </c>
      <c r="BE1357" s="1">
        <f t="shared" si="1889"/>
        <v>0</v>
      </c>
      <c r="BF1357" s="1">
        <f>MIN(4,V1357+0)</f>
        <v>3</v>
      </c>
      <c r="BG1357" s="1">
        <f t="shared" si="1914"/>
        <v>1</v>
      </c>
      <c r="BH1357" s="1">
        <f t="shared" si="1890"/>
        <v>1</v>
      </c>
      <c r="BI1357" s="1">
        <f t="shared" si="1915"/>
        <v>1</v>
      </c>
      <c r="BJ1357" s="1">
        <f t="shared" si="1918"/>
        <v>1</v>
      </c>
      <c r="BK1357" s="1">
        <f t="shared" si="1919"/>
        <v>1</v>
      </c>
      <c r="BL1357" s="1">
        <f t="shared" ref="BL1357:BL1391" si="1924">MAX(AB1357,0)</f>
        <v>1</v>
      </c>
      <c r="BM1357" s="1">
        <f t="shared" si="1922"/>
        <v>1</v>
      </c>
      <c r="BN1357" s="1">
        <f t="shared" si="1891"/>
        <v>1</v>
      </c>
      <c r="BO1357" s="1">
        <f t="shared" si="1892"/>
        <v>1</v>
      </c>
    </row>
    <row r="1358" spans="1:67" ht="30.95" customHeight="1">
      <c r="A1358" s="1">
        <f>37</f>
        <v>37</v>
      </c>
      <c r="B1358" s="1">
        <f>固定流程!A26</f>
        <v>21</v>
      </c>
      <c r="C1358" s="1">
        <f>40</f>
        <v>40</v>
      </c>
      <c r="D1358" s="1">
        <f>1</f>
        <v>1</v>
      </c>
      <c r="E1358" s="1">
        <f>固定流程!C26</f>
        <v>3</v>
      </c>
      <c r="F1358" s="1">
        <f>固定流程!G26</f>
        <v>1</v>
      </c>
      <c r="G1358" s="1" t="str">
        <f>固定流程!H26</f>
        <v>LILYA_DIVE</v>
      </c>
      <c r="H1358" s="1">
        <f>固定流程!F26</f>
        <v>3</v>
      </c>
      <c r="I1358" s="1">
        <f>INDEX(配置与结果!$B$15:$B$18,F1358)</f>
        <v>2296</v>
      </c>
      <c r="J1358" s="1">
        <f>INDEX(配置与结果!$D$15:$D$18,F1358)</f>
        <v>0.7</v>
      </c>
      <c r="K1358" s="1">
        <f>INDEX(配置与结果!$E$15:$E$18,F1358)</f>
        <v>2.0249999999999999</v>
      </c>
      <c r="L1358" s="1">
        <f t="shared" si="1911"/>
        <v>2</v>
      </c>
      <c r="M1358" s="1">
        <f t="shared" si="1912"/>
        <v>10</v>
      </c>
      <c r="N1358" s="1">
        <f t="shared" si="1913"/>
        <v>2</v>
      </c>
      <c r="O1358" s="1">
        <f t="shared" si="1897"/>
        <v>0</v>
      </c>
      <c r="P1358" s="1">
        <f>MIN(方案参数!$AI$40,AZ1357+0+0)</f>
        <v>5</v>
      </c>
      <c r="Q1358" s="1">
        <f t="shared" si="1875"/>
        <v>5</v>
      </c>
      <c r="R1358" s="1">
        <f t="shared" si="1876"/>
        <v>20</v>
      </c>
      <c r="S1358" s="1">
        <f t="shared" si="1877"/>
        <v>3</v>
      </c>
      <c r="T1358" s="1">
        <f t="shared" si="1920"/>
        <v>1</v>
      </c>
      <c r="U1358" s="1">
        <f t="shared" si="1879"/>
        <v>0</v>
      </c>
      <c r="V1358" s="1">
        <f t="shared" si="1880"/>
        <v>3</v>
      </c>
      <c r="W1358" s="1">
        <f t="shared" si="1881"/>
        <v>1</v>
      </c>
      <c r="X1358" s="1">
        <f t="shared" si="1882"/>
        <v>1</v>
      </c>
      <c r="Y1358" s="1">
        <f t="shared" si="1883"/>
        <v>1</v>
      </c>
      <c r="Z1358" s="1">
        <f t="shared" si="1884"/>
        <v>1</v>
      </c>
      <c r="AA1358" s="1">
        <f t="shared" si="1916"/>
        <v>1</v>
      </c>
      <c r="AB1358" s="1">
        <f t="shared" si="1886"/>
        <v>1</v>
      </c>
      <c r="AC1358" s="1">
        <f t="shared" si="1921"/>
        <v>1</v>
      </c>
      <c r="AD1358" s="1">
        <f>ROUNDDOWN(I1358*(1+IF(F1358=3,0.05+方案参数!$Y$40+AA1358*0.12,IF(F1358=4,方案参数!$BZ$40*方案参数!$AS$40,0)))+IF(AND(X1358=1,F1358&lt;&gt;3),方案参数!$CC$40,0)+AC1358*方案参数!$CB$40,0)</f>
        <v>3024</v>
      </c>
      <c r="AE1358" s="1">
        <f>IF(OR(F1358=1,F1358=4),配置与结果!$B$24,配置与结果!$B$25)*MAX(0,1-INDEX(配置与结果!$I$15:$I$18,F1358))</f>
        <v>1200</v>
      </c>
      <c r="AF1358" s="1">
        <f>(IF(L1358=1,方案参数!$AW$40,IF(L1358=2,方案参数!$AX$40,0))+方案参数!$AV$40)*H1358</f>
        <v>30</v>
      </c>
      <c r="AG1358" s="1">
        <f>MAX(配置与结果!$B$32,1+INDEX(配置与结果!$F$15:$F$18,F1358)+0.08+方案参数!$CD$40+Q1358*方案参数!$W$40+Y1358*(方案参数!$AN$40+MIN(方案参数!$AO$40,P1358*0.03))+AB1358*方案参数!$BZ$40*0.025+IF(L1358=1,方案参数!$AY$40+(H1358-1)*0.1,IF(L1358=2,方案参数!$AZ$40+(H1358-1)*0.2,0))-配置与结果!$B$28)</f>
        <v>2.7850000000000001</v>
      </c>
      <c r="AH1358" s="1">
        <f>MAX(0,1+INDEX(配置与结果!$G$15:$G$18,F1358)+W1358*方案参数!$AG$40+IF(L1358=1,方案参数!$BA$40,IF(L1358=2,方案参数!$BB$40,0))+M1358*方案参数!$BC$40)</f>
        <v>3.1</v>
      </c>
      <c r="AI1358" s="1">
        <f>IF(OR(INDEX(配置与结果!$K$15:$K$18,F1358)=1,G1358="RHI_BERRY"),1+配置与结果!$B$33+P1358*方案参数!$AH$40,1)</f>
        <v>1</v>
      </c>
      <c r="AJ1358" s="1">
        <f>MIN(1,MAX(0,J1358+方案参数!$AB$40-配置与结果!$B$27))</f>
        <v>1</v>
      </c>
      <c r="AK1358" s="1">
        <f>MAX(1,K1358+IF(F1358=2,0.15+方案参数!$CH$40,0)+BN1358*方案参数!$X$40+R1358*方案参数!$AA$40+0-配置与结果!$B$26+Z1358*(方案参数!$AP$40+MIN(方案参数!$AQ$40,P1358*0.03)))</f>
        <v>2.105</v>
      </c>
      <c r="AL1358" s="7">
        <f>ROUNDDOWN(MAX(AD1358*配置与结果!$B$31,AD1358-AE1358)*AF1358*AG1358*AH1358*AI1358,0)</f>
        <v>472425</v>
      </c>
      <c r="AM1358" s="7">
        <f>ROUNDDOWN(MAX(AD1358*配置与结果!$B$31,AD1358-AE1358)*AF1358*AG1358*AH1358*AI1358*AK1358,0)</f>
        <v>994454</v>
      </c>
      <c r="AN1358" s="7">
        <f t="shared" si="1903"/>
        <v>994454</v>
      </c>
      <c r="AO1358" s="7">
        <f>0</f>
        <v>0</v>
      </c>
      <c r="AP1358" s="7">
        <f>MAX(0,1+INDEX(配置与结果!$J$15:$J$18,F1358)+IF(T1358&gt;0,方案参数!$BY$40,0)-配置与结果!$B$30)</f>
        <v>2</v>
      </c>
      <c r="AQ1358" s="7">
        <f t="shared" si="1904"/>
        <v>0</v>
      </c>
      <c r="AR1358" s="7">
        <f t="shared" si="1905"/>
        <v>0</v>
      </c>
      <c r="AS1358" s="7">
        <f t="shared" si="1906"/>
        <v>0</v>
      </c>
      <c r="AT1358" s="7">
        <f>0</f>
        <v>0</v>
      </c>
      <c r="AU1358" s="7">
        <f t="shared" si="1907"/>
        <v>994454</v>
      </c>
      <c r="AV1358" s="1">
        <f t="shared" si="1908"/>
        <v>2</v>
      </c>
      <c r="AW1358" s="1">
        <f>MIN(10,M1358+0+IF(L1358=1,方案参数!$BE$40,0))</f>
        <v>10</v>
      </c>
      <c r="AX1358" s="1">
        <f t="shared" si="1909"/>
        <v>2</v>
      </c>
      <c r="AY1358" s="1">
        <f>MIN(20,MAX(0,O1358+0+0-0))</f>
        <v>0</v>
      </c>
      <c r="AZ1358" s="1">
        <f t="shared" si="1910"/>
        <v>5</v>
      </c>
      <c r="BA1358" s="1">
        <f t="shared" si="1917"/>
        <v>5</v>
      </c>
      <c r="BB1358" s="1">
        <f t="shared" ref="BB1358:BB1373" si="1925">MIN(30,R1358+0)</f>
        <v>20</v>
      </c>
      <c r="BC1358" s="1">
        <f t="shared" si="1923"/>
        <v>3</v>
      </c>
      <c r="BD1358" s="1">
        <f t="shared" si="1896"/>
        <v>1</v>
      </c>
      <c r="BE1358" s="1">
        <f t="shared" si="1889"/>
        <v>0</v>
      </c>
      <c r="BF1358" s="1">
        <f>MIN(4,V1358+0)</f>
        <v>3</v>
      </c>
      <c r="BG1358" s="1">
        <f t="shared" si="1914"/>
        <v>1</v>
      </c>
      <c r="BH1358" s="1">
        <f t="shared" si="1890"/>
        <v>1</v>
      </c>
      <c r="BI1358" s="1">
        <f t="shared" si="1915"/>
        <v>1</v>
      </c>
      <c r="BJ1358" s="1">
        <f t="shared" si="1918"/>
        <v>1</v>
      </c>
      <c r="BK1358" s="1">
        <f t="shared" si="1919"/>
        <v>1</v>
      </c>
      <c r="BL1358" s="1">
        <f t="shared" si="1924"/>
        <v>1</v>
      </c>
      <c r="BM1358" s="1">
        <f t="shared" si="1922"/>
        <v>1</v>
      </c>
      <c r="BN1358" s="1">
        <f t="shared" si="1891"/>
        <v>1</v>
      </c>
      <c r="BO1358" s="1">
        <f t="shared" si="1892"/>
        <v>1</v>
      </c>
    </row>
    <row r="1359" spans="1:67" ht="30.95" customHeight="1">
      <c r="A1359" s="1">
        <f>37</f>
        <v>37</v>
      </c>
      <c r="B1359" s="1">
        <f>固定流程!A27</f>
        <v>22</v>
      </c>
      <c r="C1359" s="1">
        <f>40</f>
        <v>40</v>
      </c>
      <c r="D1359" s="1">
        <f>1</f>
        <v>1</v>
      </c>
      <c r="E1359" s="1">
        <f>固定流程!C27</f>
        <v>3</v>
      </c>
      <c r="F1359" s="1">
        <f>固定流程!G27</f>
        <v>3</v>
      </c>
      <c r="G1359" s="1" t="str">
        <f>固定流程!H27</f>
        <v>RHI_BERRY</v>
      </c>
      <c r="H1359" s="1">
        <f>固定流程!F27</f>
        <v>1</v>
      </c>
      <c r="I1359" s="1">
        <f>INDEX(配置与结果!$B$15:$B$18,F1359)</f>
        <v>2597</v>
      </c>
      <c r="J1359" s="1">
        <f>INDEX(配置与结果!$D$15:$D$18,F1359)</f>
        <v>0.255</v>
      </c>
      <c r="K1359" s="1">
        <f>INDEX(配置与结果!$E$15:$E$18,F1359)</f>
        <v>1.55</v>
      </c>
      <c r="L1359" s="1">
        <f t="shared" si="1911"/>
        <v>2</v>
      </c>
      <c r="M1359" s="1">
        <f t="shared" si="1912"/>
        <v>10</v>
      </c>
      <c r="N1359" s="1">
        <f t="shared" si="1913"/>
        <v>2</v>
      </c>
      <c r="O1359" s="1">
        <f t="shared" si="1897"/>
        <v>0</v>
      </c>
      <c r="P1359" s="1">
        <f>MIN(方案参数!$AI$40,AZ1358+0+0)</f>
        <v>5</v>
      </c>
      <c r="Q1359" s="1">
        <f t="shared" si="1875"/>
        <v>5</v>
      </c>
      <c r="R1359" s="1">
        <f t="shared" si="1876"/>
        <v>20</v>
      </c>
      <c r="S1359" s="1">
        <f t="shared" si="1877"/>
        <v>3</v>
      </c>
      <c r="T1359" s="1">
        <f t="shared" si="1920"/>
        <v>1</v>
      </c>
      <c r="U1359" s="1">
        <f t="shared" si="1879"/>
        <v>0</v>
      </c>
      <c r="V1359" s="1">
        <f t="shared" si="1880"/>
        <v>3</v>
      </c>
      <c r="W1359" s="1">
        <f t="shared" si="1881"/>
        <v>1</v>
      </c>
      <c r="X1359" s="1">
        <f t="shared" si="1882"/>
        <v>1</v>
      </c>
      <c r="Y1359" s="1">
        <f t="shared" si="1883"/>
        <v>1</v>
      </c>
      <c r="Z1359" s="1">
        <f t="shared" si="1884"/>
        <v>1</v>
      </c>
      <c r="AA1359" s="1">
        <f t="shared" si="1916"/>
        <v>1</v>
      </c>
      <c r="AB1359" s="1">
        <f t="shared" si="1886"/>
        <v>1</v>
      </c>
      <c r="AC1359" s="1">
        <f t="shared" si="1921"/>
        <v>1</v>
      </c>
      <c r="AD1359" s="1">
        <f>ROUNDDOWN(I1359*(1+IF(F1359=3,0.05+方案参数!$Y$40+AA1359*0.12,IF(F1359=4,方案参数!$BZ$40*方案参数!$AS$40,0)))+IF(AND(X1359=1,F1359&lt;&gt;3),方案参数!$CC$40,0)+AC1359*方案参数!$CB$40,0)</f>
        <v>3668</v>
      </c>
      <c r="AE1359" s="1">
        <f>IF(OR(F1359=1,F1359=4),配置与结果!$B$24,配置与结果!$B$25)*MAX(0,1-INDEX(配置与结果!$I$15:$I$18,F1359))</f>
        <v>1000</v>
      </c>
      <c r="AF1359" s="1">
        <f>方案参数!$CF$40+P1359*方案参数!$CG$40</f>
        <v>22.5</v>
      </c>
      <c r="AG1359" s="1">
        <f>MAX(配置与结果!$B$32,1+INDEX(配置与结果!$F$15:$F$18,F1359)+0+Q1359*方案参数!$W$40+Y1359*(方案参数!$AN$40+MIN(方案参数!$AO$40,P1359*0.03))+AB1359*方案参数!$BZ$40*0.025-配置与结果!$B$28)</f>
        <v>1.8800000000000003</v>
      </c>
      <c r="AH1359" s="1">
        <f>MAX(0,1+INDEX(配置与结果!$G$15:$G$18,F1359)+W1359*方案参数!$AG$40)</f>
        <v>1.3</v>
      </c>
      <c r="AI1359" s="1">
        <f>IF(OR(INDEX(配置与结果!$K$15:$K$18,F1359)=1,G1359="RHI_BERRY"),1+配置与结果!$B$33+P1359*方案参数!$AH$40,1)</f>
        <v>1.5</v>
      </c>
      <c r="AJ1359" s="1">
        <f>MIN(1,MAX(0,J1359+方案参数!$AB$40-配置与结果!$B$27))</f>
        <v>0.55499999999999994</v>
      </c>
      <c r="AK1359" s="1">
        <f>MAX(1,K1359+IF(F1359=2,0.15+方案参数!$CH$40,0)+BN1359*方案参数!$X$40+R1359*方案参数!$AA$40+0-配置与结果!$B$26+Z1359*(方案参数!$AP$40+MIN(方案参数!$AQ$40,P1359*0.03)))</f>
        <v>1.6300000000000001</v>
      </c>
      <c r="AL1359" s="7">
        <f>ROUNDDOWN(MAX(AD1359*配置与结果!$B$31,AD1359-AE1359)*AF1359*AG1359*AH1359*AI1359,0)</f>
        <v>220069</v>
      </c>
      <c r="AM1359" s="7">
        <f>ROUNDDOWN(MAX(AD1359*配置与结果!$B$31,AD1359-AE1359)*AF1359*AG1359*AH1359*AI1359*AK1359,0)</f>
        <v>358714</v>
      </c>
      <c r="AN1359" s="7">
        <f t="shared" si="1903"/>
        <v>297016.97499999998</v>
      </c>
      <c r="AO1359" s="7">
        <f>0</f>
        <v>0</v>
      </c>
      <c r="AP1359" s="7">
        <f>MAX(0,1+INDEX(配置与结果!$J$15:$J$18,F1359)+IF(T1359&gt;0,方案参数!$BY$40,0)-配置与结果!$B$30)</f>
        <v>2</v>
      </c>
      <c r="AQ1359" s="7">
        <f t="shared" si="1904"/>
        <v>0</v>
      </c>
      <c r="AR1359" s="7">
        <f t="shared" si="1905"/>
        <v>0</v>
      </c>
      <c r="AS1359" s="7">
        <f t="shared" si="1906"/>
        <v>0</v>
      </c>
      <c r="AT1359" s="7">
        <f>0</f>
        <v>0</v>
      </c>
      <c r="AU1359" s="7">
        <f t="shared" si="1907"/>
        <v>297016.97499999998</v>
      </c>
      <c r="AV1359" s="1">
        <f t="shared" si="1908"/>
        <v>2</v>
      </c>
      <c r="AW1359" s="1">
        <f t="shared" ref="AW1359:AW1375" si="1926">MIN(10,M1359+0+0)</f>
        <v>10</v>
      </c>
      <c r="AX1359" s="1">
        <f t="shared" si="1909"/>
        <v>2</v>
      </c>
      <c r="AY1359" s="1">
        <f>MIN(20,MAX(0,O1359+0+0-0))</f>
        <v>0</v>
      </c>
      <c r="AZ1359" s="1">
        <f t="shared" si="1910"/>
        <v>5</v>
      </c>
      <c r="BA1359" s="1">
        <f t="shared" si="1917"/>
        <v>5</v>
      </c>
      <c r="BB1359" s="1">
        <f t="shared" si="1925"/>
        <v>20</v>
      </c>
      <c r="BC1359" s="1">
        <f t="shared" si="1923"/>
        <v>3</v>
      </c>
      <c r="BD1359" s="1">
        <f t="shared" si="1896"/>
        <v>1</v>
      </c>
      <c r="BE1359" s="1">
        <f t="shared" si="1889"/>
        <v>0</v>
      </c>
      <c r="BF1359" s="1">
        <f>MIN(4,V1359+0)</f>
        <v>3</v>
      </c>
      <c r="BG1359" s="1">
        <f t="shared" si="1914"/>
        <v>1</v>
      </c>
      <c r="BH1359" s="1">
        <f t="shared" si="1890"/>
        <v>1</v>
      </c>
      <c r="BI1359" s="1">
        <f t="shared" si="1915"/>
        <v>1</v>
      </c>
      <c r="BJ1359" s="1">
        <f t="shared" si="1918"/>
        <v>1</v>
      </c>
      <c r="BK1359" s="1">
        <f t="shared" si="1919"/>
        <v>1</v>
      </c>
      <c r="BL1359" s="1">
        <f t="shared" si="1924"/>
        <v>1</v>
      </c>
      <c r="BM1359" s="1">
        <f t="shared" si="1922"/>
        <v>1</v>
      </c>
      <c r="BN1359" s="1">
        <f t="shared" si="1891"/>
        <v>1</v>
      </c>
      <c r="BO1359" s="1">
        <f t="shared" si="1892"/>
        <v>1</v>
      </c>
    </row>
    <row r="1360" spans="1:67" ht="30.95" customHeight="1">
      <c r="A1360" s="1">
        <f>37</f>
        <v>37</v>
      </c>
      <c r="B1360" s="1">
        <f>固定流程!A28</f>
        <v>23</v>
      </c>
      <c r="C1360" s="1">
        <f>40</f>
        <v>40</v>
      </c>
      <c r="D1360" s="1">
        <f>1</f>
        <v>1</v>
      </c>
      <c r="E1360" s="1">
        <f>固定流程!C28</f>
        <v>3</v>
      </c>
      <c r="F1360" s="1">
        <f>固定流程!G28</f>
        <v>2</v>
      </c>
      <c r="G1360" s="1" t="str">
        <f>固定流程!H28</f>
        <v>37_FOLLOW</v>
      </c>
      <c r="H1360" s="1">
        <f>固定流程!F28</f>
        <v>1</v>
      </c>
      <c r="I1360" s="1">
        <f>INDEX(配置与结果!$B$15:$B$18,F1360)</f>
        <v>2306</v>
      </c>
      <c r="J1360" s="1">
        <f>INDEX(配置与结果!$D$15:$D$18,F1360)</f>
        <v>0.46</v>
      </c>
      <c r="K1360" s="1">
        <f>INDEX(配置与结果!$E$15:$E$18,F1360)</f>
        <v>1.9279999999999999</v>
      </c>
      <c r="L1360" s="1">
        <f t="shared" si="1911"/>
        <v>2</v>
      </c>
      <c r="M1360" s="1">
        <f t="shared" si="1912"/>
        <v>10</v>
      </c>
      <c r="N1360" s="1">
        <f t="shared" si="1913"/>
        <v>2</v>
      </c>
      <c r="O1360" s="1">
        <f t="shared" si="1897"/>
        <v>0</v>
      </c>
      <c r="P1360" s="1">
        <f>MIN(方案参数!$AI$40,AZ1359+0+0)</f>
        <v>5</v>
      </c>
      <c r="Q1360" s="1">
        <f t="shared" si="1875"/>
        <v>5</v>
      </c>
      <c r="R1360" s="1">
        <f t="shared" si="1876"/>
        <v>20</v>
      </c>
      <c r="S1360" s="1">
        <f t="shared" si="1877"/>
        <v>3</v>
      </c>
      <c r="T1360" s="1">
        <f t="shared" si="1920"/>
        <v>1</v>
      </c>
      <c r="U1360" s="1">
        <f t="shared" si="1879"/>
        <v>0</v>
      </c>
      <c r="V1360" s="1">
        <f t="shared" si="1880"/>
        <v>3</v>
      </c>
      <c r="W1360" s="1">
        <f t="shared" si="1881"/>
        <v>1</v>
      </c>
      <c r="X1360" s="1">
        <f t="shared" si="1882"/>
        <v>1</v>
      </c>
      <c r="Y1360" s="1">
        <f t="shared" si="1883"/>
        <v>1</v>
      </c>
      <c r="Z1360" s="1">
        <f t="shared" si="1884"/>
        <v>1</v>
      </c>
      <c r="AA1360" s="1">
        <f t="shared" si="1916"/>
        <v>1</v>
      </c>
      <c r="AB1360" s="1">
        <f t="shared" si="1886"/>
        <v>1</v>
      </c>
      <c r="AC1360" s="1">
        <f t="shared" si="1921"/>
        <v>1</v>
      </c>
      <c r="AD1360" s="1">
        <f>ROUNDDOWN(I1360*(1+IF(F1360=3,0.05+方案参数!$Y$40+AA1360*0.12,IF(F1360=4,方案参数!$BZ$40*方案参数!$AS$40,0)))+IF(AND(X1360=1,F1360&lt;&gt;3),方案参数!$CC$40,0)+AC1360*方案参数!$CB$40,0)</f>
        <v>3034</v>
      </c>
      <c r="AE1360" s="1">
        <f>IF(OR(F1360=1,F1360=4),配置与结果!$B$24,配置与结果!$B$25)*MAX(0,1-INDEX(配置与结果!$I$15:$I$18,F1360))</f>
        <v>1000</v>
      </c>
      <c r="AF1360" s="1">
        <f>方案参数!$BV$40</f>
        <v>3</v>
      </c>
      <c r="AG1360" s="1">
        <f>MAX(配置与结果!$B$32,1+INDEX(配置与结果!$F$15:$F$18,F1360)+0+Q1360*方案参数!$W$40+Y1360*(方案参数!$AN$40+MIN(方案参数!$AO$40,P1360*0.03))+AB1360*方案参数!$BZ$40*0.025-配置与结果!$B$28)</f>
        <v>1.85</v>
      </c>
      <c r="AH1360" s="1">
        <f>MAX(0,1+INDEX(配置与结果!$G$15:$G$18,F1360)+W1360*方案参数!$AG$40)</f>
        <v>1.3</v>
      </c>
      <c r="AI1360" s="1">
        <f>IF(OR(INDEX(配置与结果!$K$15:$K$18,F1360)=1,G1360="RHI_BERRY"),1+配置与结果!$B$33+P1360*方案参数!$AH$40,1)</f>
        <v>1</v>
      </c>
      <c r="AJ1360" s="1">
        <f>MIN(1,MAX(0,J1360+方案参数!$AB$40-配置与结果!$B$27))</f>
        <v>0.76</v>
      </c>
      <c r="AK1360" s="1">
        <f>MAX(1,K1360+IF(F1360=2,0.15+方案参数!$CH$40,0)+BN1360*方案参数!$X$40+R1360*方案参数!$AA$40+0-配置与结果!$B$26+Z1360*(方案参数!$AP$40+MIN(方案参数!$AQ$40,P1360*0.03)))</f>
        <v>2.278</v>
      </c>
      <c r="AL1360" s="7">
        <f>ROUNDDOWN(MAX(AD1360*配置与结果!$B$31,AD1360-AE1360)*AF1360*AG1360*AH1360*AI1360,0)</f>
        <v>14675</v>
      </c>
      <c r="AM1360" s="7">
        <f>ROUNDDOWN(MAX(AD1360*配置与结果!$B$31,AD1360-AE1360)*AF1360*AG1360*AH1360*AI1360*AK1360,0)</f>
        <v>33430</v>
      </c>
      <c r="AN1360" s="7">
        <f t="shared" si="1903"/>
        <v>28928.799999999999</v>
      </c>
      <c r="AO1360" s="7">
        <f>方案参数!$BW$40</f>
        <v>1</v>
      </c>
      <c r="AP1360" s="7">
        <f>MAX(0,1+INDEX(配置与结果!$J$15:$J$18,F1360)+IF(T1360&gt;0,方案参数!$BY$40,0)-配置与结果!$B$30)</f>
        <v>2</v>
      </c>
      <c r="AQ1360" s="7">
        <f t="shared" si="1904"/>
        <v>6068</v>
      </c>
      <c r="AR1360" s="7">
        <f t="shared" si="1905"/>
        <v>13822</v>
      </c>
      <c r="AS1360" s="7">
        <f t="shared" si="1906"/>
        <v>11961.039999999999</v>
      </c>
      <c r="AT1360" s="7">
        <f>0</f>
        <v>0</v>
      </c>
      <c r="AU1360" s="7">
        <f t="shared" si="1907"/>
        <v>40889.839999999997</v>
      </c>
      <c r="AV1360" s="1">
        <f t="shared" si="1908"/>
        <v>2</v>
      </c>
      <c r="AW1360" s="1">
        <f t="shared" si="1926"/>
        <v>10</v>
      </c>
      <c r="AX1360" s="1">
        <f t="shared" si="1909"/>
        <v>2</v>
      </c>
      <c r="AY1360" s="1">
        <f>MIN(20,MAX(0,O1360+0+0-0))</f>
        <v>0</v>
      </c>
      <c r="AZ1360" s="1">
        <f t="shared" si="1910"/>
        <v>5</v>
      </c>
      <c r="BA1360" s="1">
        <f t="shared" si="1917"/>
        <v>5</v>
      </c>
      <c r="BB1360" s="1">
        <f t="shared" si="1925"/>
        <v>20</v>
      </c>
      <c r="BC1360" s="1">
        <f t="shared" si="1923"/>
        <v>3</v>
      </c>
      <c r="BD1360" s="1">
        <f t="shared" si="1896"/>
        <v>0</v>
      </c>
      <c r="BE1360" s="1">
        <f t="shared" si="1889"/>
        <v>0</v>
      </c>
      <c r="BF1360" s="1">
        <f>MIN(4,V1360+1)</f>
        <v>4</v>
      </c>
      <c r="BG1360" s="1">
        <f t="shared" si="1914"/>
        <v>1</v>
      </c>
      <c r="BH1360" s="1">
        <f t="shared" si="1890"/>
        <v>1</v>
      </c>
      <c r="BI1360" s="1">
        <f t="shared" si="1915"/>
        <v>1</v>
      </c>
      <c r="BJ1360" s="1">
        <f t="shared" si="1918"/>
        <v>1</v>
      </c>
      <c r="BK1360" s="1">
        <f t="shared" si="1919"/>
        <v>1</v>
      </c>
      <c r="BL1360" s="1">
        <f t="shared" si="1924"/>
        <v>1</v>
      </c>
      <c r="BM1360" s="1">
        <f t="shared" si="1922"/>
        <v>1</v>
      </c>
      <c r="BN1360" s="1">
        <f t="shared" si="1891"/>
        <v>1</v>
      </c>
      <c r="BO1360" s="1">
        <f t="shared" si="1892"/>
        <v>1</v>
      </c>
    </row>
    <row r="1361" spans="1:67" ht="30.95" customHeight="1">
      <c r="A1361" s="1">
        <f>37</f>
        <v>37</v>
      </c>
      <c r="B1361" s="1">
        <f>固定流程!A29</f>
        <v>24</v>
      </c>
      <c r="C1361" s="1">
        <f>40</f>
        <v>40</v>
      </c>
      <c r="D1361" s="1">
        <f>2</f>
        <v>2</v>
      </c>
      <c r="E1361" s="1">
        <f>固定流程!C29</f>
        <v>3</v>
      </c>
      <c r="F1361" s="1">
        <f>固定流程!G29</f>
        <v>1</v>
      </c>
      <c r="G1361" s="1" t="str">
        <f>固定流程!H29</f>
        <v>LILYA_WEAK</v>
      </c>
      <c r="H1361" s="1">
        <f>固定流程!F29</f>
        <v>1</v>
      </c>
      <c r="I1361" s="1">
        <f>INDEX(配置与结果!$B$15:$B$18,F1361)</f>
        <v>2296</v>
      </c>
      <c r="J1361" s="1">
        <f>INDEX(配置与结果!$D$15:$D$18,F1361)</f>
        <v>0.7</v>
      </c>
      <c r="K1361" s="1">
        <f>INDEX(配置与结果!$E$15:$E$18,F1361)</f>
        <v>2.0249999999999999</v>
      </c>
      <c r="L1361" s="1">
        <f t="shared" si="1911"/>
        <v>2</v>
      </c>
      <c r="M1361" s="1">
        <f t="shared" si="1912"/>
        <v>10</v>
      </c>
      <c r="N1361" s="1">
        <f t="shared" si="1913"/>
        <v>2</v>
      </c>
      <c r="O1361" s="1">
        <f t="shared" si="1897"/>
        <v>0</v>
      </c>
      <c r="P1361" s="1">
        <f>MIN(方案参数!$AI$40,AZ1360+0+0)</f>
        <v>5</v>
      </c>
      <c r="Q1361" s="1">
        <f t="shared" si="1875"/>
        <v>5</v>
      </c>
      <c r="R1361" s="1">
        <f t="shared" si="1876"/>
        <v>20</v>
      </c>
      <c r="S1361" s="1">
        <f t="shared" si="1877"/>
        <v>3</v>
      </c>
      <c r="T1361" s="1">
        <f t="shared" si="1920"/>
        <v>0</v>
      </c>
      <c r="U1361" s="1">
        <f t="shared" si="1879"/>
        <v>0</v>
      </c>
      <c r="V1361" s="1">
        <f t="shared" si="1880"/>
        <v>4</v>
      </c>
      <c r="W1361" s="1">
        <f t="shared" si="1881"/>
        <v>1</v>
      </c>
      <c r="X1361" s="1">
        <f t="shared" si="1882"/>
        <v>1</v>
      </c>
      <c r="Y1361" s="1">
        <f t="shared" si="1883"/>
        <v>1</v>
      </c>
      <c r="Z1361" s="1">
        <f t="shared" si="1884"/>
        <v>1</v>
      </c>
      <c r="AA1361" s="1">
        <f t="shared" si="1916"/>
        <v>1</v>
      </c>
      <c r="AB1361" s="1">
        <f t="shared" si="1886"/>
        <v>1</v>
      </c>
      <c r="AC1361" s="1">
        <f t="shared" si="1921"/>
        <v>1</v>
      </c>
      <c r="AD1361" s="1">
        <f>ROUNDDOWN(I1361*(1+IF(F1361=3,0.05+方案参数!$Y$40+AA1361*0.12,IF(F1361=4,方案参数!$BZ$40*方案参数!$AS$40,0)))+IF(AND(X1361=1,F1361&lt;&gt;3),方案参数!$CC$40,0)+AC1361*方案参数!$CB$40,0)</f>
        <v>3024</v>
      </c>
      <c r="AE1361" s="1">
        <f>IF(OR(F1361=1,F1361=4),配置与结果!$B$24,配置与结果!$B$25)*MAX(0,1-INDEX(配置与结果!$I$15:$I$18,F1361))</f>
        <v>1200</v>
      </c>
      <c r="AF1361" s="1">
        <f>方案参数!$BL$40</f>
        <v>9</v>
      </c>
      <c r="AG1361" s="1">
        <f>MAX(配置与结果!$B$32,1+INDEX(配置与结果!$F$15:$F$18,F1361)+0.08+方案参数!$CD$40+Q1361*方案参数!$W$40+Y1361*(方案参数!$AN$40+MIN(方案参数!$AO$40,P1361*0.03))+AB1361*方案参数!$BZ$40*0.025-配置与结果!$B$28+方案参数!$AE$40)</f>
        <v>2.585</v>
      </c>
      <c r="AH1361" s="1">
        <f>MAX(0,1+V1361*方案参数!$U$40+0*方案参数!$V$40+方案参数!$AE$40-配置与结果!$B$29)</f>
        <v>1.56</v>
      </c>
      <c r="AI1361" s="1">
        <f>IF(OR(INDEX(配置与结果!$K$15:$K$18,F1361)=1,G1361="RHI_BERRY"),1+配置与结果!$B$33+P1361*方案参数!$AH$40,1)</f>
        <v>1</v>
      </c>
      <c r="AJ1361" s="1">
        <f>MIN(1,MAX(0,J1361+方案参数!$AB$40-配置与结果!$B$27))</f>
        <v>1</v>
      </c>
      <c r="AK1361" s="1">
        <f>MAX(1,K1361+IF(F1361=2,0.15+方案参数!$CH$40,0)+BN1361*方案参数!$X$40+R1361*方案参数!$AA$40+方案参数!$BP$40-配置与结果!$B$26+Z1361*(方案参数!$AP$40+MIN(方案参数!$AQ$40,P1361*0.03)))</f>
        <v>2.7050000000000001</v>
      </c>
      <c r="AL1361" s="7">
        <f>ROUNDDOWN(MAX(AD1361*配置与结果!$B$31,AD1361-AE1361)*AF1361*AG1361*AH1361*AI1361,0)</f>
        <v>66199</v>
      </c>
      <c r="AM1361" s="7">
        <f>ROUNDDOWN(MAX(AD1361*配置与结果!$B$31,AD1361-AE1361)*AF1361*AG1361*AH1361*AI1361*AK1361,0)</f>
        <v>179068</v>
      </c>
      <c r="AN1361" s="7">
        <f t="shared" si="1903"/>
        <v>179068</v>
      </c>
      <c r="AO1361" s="7">
        <f>0</f>
        <v>0</v>
      </c>
      <c r="AP1361" s="7">
        <f>MAX(0,1+INDEX(配置与结果!$J$15:$J$18,F1361)+IF(T1361&gt;0,方案参数!$BY$40,0)-配置与结果!$B$30)</f>
        <v>1</v>
      </c>
      <c r="AQ1361" s="7">
        <f t="shared" si="1904"/>
        <v>0</v>
      </c>
      <c r="AR1361" s="7">
        <f t="shared" si="1905"/>
        <v>0</v>
      </c>
      <c r="AS1361" s="7">
        <f t="shared" si="1906"/>
        <v>0</v>
      </c>
      <c r="AT1361" s="7">
        <f>IF(U1361&gt;0,ROUNDDOWN(AL1361*方案参数!$AF$40,0)*(1-AJ1361)+ROUNDDOWN(AM1361*方案参数!$AF$40,0)*AJ1361,0)</f>
        <v>0</v>
      </c>
      <c r="AU1361" s="7">
        <f t="shared" si="1907"/>
        <v>179068</v>
      </c>
      <c r="AV1361" s="1">
        <f t="shared" si="1908"/>
        <v>2</v>
      </c>
      <c r="AW1361" s="1">
        <f t="shared" si="1926"/>
        <v>10</v>
      </c>
      <c r="AX1361" s="1">
        <f t="shared" si="1909"/>
        <v>2</v>
      </c>
      <c r="AY1361" s="1">
        <f>MIN(20,MAX(0,O1361+0+1-0))</f>
        <v>1</v>
      </c>
      <c r="AZ1361" s="1">
        <f t="shared" si="1910"/>
        <v>5</v>
      </c>
      <c r="BA1361" s="1">
        <f t="shared" si="1917"/>
        <v>5</v>
      </c>
      <c r="BB1361" s="1">
        <f t="shared" si="1925"/>
        <v>20</v>
      </c>
      <c r="BC1361" s="1">
        <f t="shared" si="1923"/>
        <v>3</v>
      </c>
      <c r="BD1361" s="1">
        <f t="shared" si="1896"/>
        <v>0</v>
      </c>
      <c r="BE1361" s="1">
        <f>MAX(0,U1361-IF(AF1361&gt;0,1,0))+0</f>
        <v>0</v>
      </c>
      <c r="BF1361" s="1">
        <f t="shared" ref="BF1361:BF1378" si="1927">MIN(4,V1361+0)</f>
        <v>4</v>
      </c>
      <c r="BG1361" s="1">
        <f t="shared" si="1914"/>
        <v>1</v>
      </c>
      <c r="BH1361" s="1">
        <f t="shared" si="1890"/>
        <v>1</v>
      </c>
      <c r="BI1361" s="1">
        <f t="shared" si="1915"/>
        <v>1</v>
      </c>
      <c r="BJ1361" s="1">
        <f t="shared" si="1918"/>
        <v>1</v>
      </c>
      <c r="BK1361" s="1">
        <f t="shared" si="1919"/>
        <v>1</v>
      </c>
      <c r="BL1361" s="1">
        <f t="shared" si="1924"/>
        <v>1</v>
      </c>
      <c r="BM1361" s="1">
        <f t="shared" si="1922"/>
        <v>1</v>
      </c>
      <c r="BN1361" s="1">
        <f t="shared" si="1891"/>
        <v>1</v>
      </c>
      <c r="BO1361" s="1">
        <f t="shared" si="1892"/>
        <v>1</v>
      </c>
    </row>
    <row r="1362" spans="1:67" ht="30.95" customHeight="1">
      <c r="A1362" s="1">
        <f>37</f>
        <v>37</v>
      </c>
      <c r="B1362" s="1">
        <f>固定流程!A30</f>
        <v>25</v>
      </c>
      <c r="C1362" s="1">
        <f>40</f>
        <v>40</v>
      </c>
      <c r="D1362" s="1">
        <f>2</f>
        <v>2</v>
      </c>
      <c r="E1362" s="1">
        <f>固定流程!C30</f>
        <v>3</v>
      </c>
      <c r="F1362" s="1">
        <f>固定流程!G30</f>
        <v>1</v>
      </c>
      <c r="G1362" s="1" t="str">
        <f>固定流程!H30</f>
        <v>LILYA_WEAK</v>
      </c>
      <c r="H1362" s="1">
        <f>固定流程!F30</f>
        <v>1</v>
      </c>
      <c r="I1362" s="1">
        <f>INDEX(配置与结果!$B$15:$B$18,F1362)</f>
        <v>2296</v>
      </c>
      <c r="J1362" s="1">
        <f>INDEX(配置与结果!$D$15:$D$18,F1362)</f>
        <v>0.7</v>
      </c>
      <c r="K1362" s="1">
        <f>INDEX(配置与结果!$E$15:$E$18,F1362)</f>
        <v>2.0249999999999999</v>
      </c>
      <c r="L1362" s="1">
        <f t="shared" si="1911"/>
        <v>2</v>
      </c>
      <c r="M1362" s="1">
        <f t="shared" si="1912"/>
        <v>10</v>
      </c>
      <c r="N1362" s="1">
        <f t="shared" si="1913"/>
        <v>2</v>
      </c>
      <c r="O1362" s="1">
        <f t="shared" si="1897"/>
        <v>1</v>
      </c>
      <c r="P1362" s="1">
        <f>MIN(方案参数!$AI$40,AZ1361+0+0)</f>
        <v>5</v>
      </c>
      <c r="Q1362" s="1">
        <f t="shared" si="1875"/>
        <v>5</v>
      </c>
      <c r="R1362" s="1">
        <f t="shared" si="1876"/>
        <v>20</v>
      </c>
      <c r="S1362" s="1">
        <f t="shared" si="1877"/>
        <v>3</v>
      </c>
      <c r="T1362" s="1">
        <f t="shared" si="1920"/>
        <v>0</v>
      </c>
      <c r="U1362" s="1">
        <f t="shared" si="1879"/>
        <v>0</v>
      </c>
      <c r="V1362" s="1">
        <f t="shared" si="1880"/>
        <v>4</v>
      </c>
      <c r="W1362" s="1">
        <f t="shared" si="1881"/>
        <v>1</v>
      </c>
      <c r="X1362" s="1">
        <f t="shared" si="1882"/>
        <v>1</v>
      </c>
      <c r="Y1362" s="1">
        <f t="shared" si="1883"/>
        <v>1</v>
      </c>
      <c r="Z1362" s="1">
        <f t="shared" si="1884"/>
        <v>1</v>
      </c>
      <c r="AA1362" s="1">
        <f t="shared" si="1916"/>
        <v>1</v>
      </c>
      <c r="AB1362" s="1">
        <f t="shared" si="1886"/>
        <v>1</v>
      </c>
      <c r="AC1362" s="1">
        <f t="shared" si="1921"/>
        <v>1</v>
      </c>
      <c r="AD1362" s="1">
        <f>ROUNDDOWN(I1362*(1+IF(F1362=3,0.05+方案参数!$Y$40+AA1362*0.12,IF(F1362=4,方案参数!$BZ$40*方案参数!$AS$40,0)))+IF(AND(X1362=1,F1362&lt;&gt;3),方案参数!$CC$40,0)+AC1362*方案参数!$CB$40,0)</f>
        <v>3024</v>
      </c>
      <c r="AE1362" s="1">
        <f>IF(OR(F1362=1,F1362=4),配置与结果!$B$24,配置与结果!$B$25)*MAX(0,1-INDEX(配置与结果!$I$15:$I$18,F1362))</f>
        <v>1200</v>
      </c>
      <c r="AF1362" s="1">
        <f>方案参数!$BL$40</f>
        <v>9</v>
      </c>
      <c r="AG1362" s="1">
        <f>MAX(配置与结果!$B$32,1+INDEX(配置与结果!$F$15:$F$18,F1362)+0.08+方案参数!$CD$40+Q1362*方案参数!$W$40+Y1362*(方案参数!$AN$40+MIN(方案参数!$AO$40,P1362*0.03))+AB1362*方案参数!$BZ$40*0.025-配置与结果!$B$28+方案参数!$AE$40)</f>
        <v>2.585</v>
      </c>
      <c r="AH1362" s="1">
        <f>MAX(0,1+V1362*方案参数!$U$40+1*方案参数!$V$40+方案参数!$AE$40-配置与结果!$B$29)</f>
        <v>1.62</v>
      </c>
      <c r="AI1362" s="1">
        <f>IF(OR(INDEX(配置与结果!$K$15:$K$18,F1362)=1,G1362="RHI_BERRY"),1+配置与结果!$B$33+P1362*方案参数!$AH$40,1)</f>
        <v>1</v>
      </c>
      <c r="AJ1362" s="1">
        <f>MIN(1,MAX(0,J1362+方案参数!$AB$40-配置与结果!$B$27))</f>
        <v>1</v>
      </c>
      <c r="AK1362" s="1">
        <f>MAX(1,K1362+IF(F1362=2,0.15+方案参数!$CH$40,0)+BN1362*方案参数!$X$40+R1362*方案参数!$AA$40+方案参数!$BP$40-配置与结果!$B$26+Z1362*(方案参数!$AP$40+MIN(方案参数!$AQ$40,P1362*0.03)))</f>
        <v>2.7050000000000001</v>
      </c>
      <c r="AL1362" s="7">
        <f>ROUNDDOWN(MAX(AD1362*配置与结果!$B$31,AD1362-AE1362)*AF1362*AG1362*AH1362*AI1362,0)</f>
        <v>68745</v>
      </c>
      <c r="AM1362" s="7">
        <f>ROUNDDOWN(MAX(AD1362*配置与结果!$B$31,AD1362-AE1362)*AF1362*AG1362*AH1362*AI1362*AK1362,0)</f>
        <v>185955</v>
      </c>
      <c r="AN1362" s="7">
        <f t="shared" si="1903"/>
        <v>185955</v>
      </c>
      <c r="AO1362" s="7">
        <f>0</f>
        <v>0</v>
      </c>
      <c r="AP1362" s="7">
        <f>MAX(0,1+INDEX(配置与结果!$J$15:$J$18,F1362)+IF(T1362&gt;0,方案参数!$BY$40,0)-配置与结果!$B$30)</f>
        <v>1</v>
      </c>
      <c r="AQ1362" s="7">
        <f t="shared" si="1904"/>
        <v>0</v>
      </c>
      <c r="AR1362" s="7">
        <f t="shared" si="1905"/>
        <v>0</v>
      </c>
      <c r="AS1362" s="7">
        <f t="shared" si="1906"/>
        <v>0</v>
      </c>
      <c r="AT1362" s="7">
        <f>IF(U1362&gt;0,ROUNDDOWN(AL1362*方案参数!$AF$40,0)*(1-AJ1362)+ROUNDDOWN(AM1362*方案参数!$AF$40,0)*AJ1362,0)</f>
        <v>0</v>
      </c>
      <c r="AU1362" s="7">
        <f t="shared" si="1907"/>
        <v>185955</v>
      </c>
      <c r="AV1362" s="1">
        <f t="shared" si="1908"/>
        <v>2</v>
      </c>
      <c r="AW1362" s="1">
        <f t="shared" si="1926"/>
        <v>10</v>
      </c>
      <c r="AX1362" s="1">
        <f t="shared" si="1909"/>
        <v>2</v>
      </c>
      <c r="AY1362" s="1">
        <f>MIN(20,MAX(0,O1362+0+1-0))</f>
        <v>2</v>
      </c>
      <c r="AZ1362" s="1">
        <f t="shared" si="1910"/>
        <v>5</v>
      </c>
      <c r="BA1362" s="1">
        <f t="shared" si="1917"/>
        <v>5</v>
      </c>
      <c r="BB1362" s="1">
        <f t="shared" si="1925"/>
        <v>20</v>
      </c>
      <c r="BC1362" s="1">
        <f t="shared" si="1923"/>
        <v>3</v>
      </c>
      <c r="BD1362" s="1">
        <f t="shared" si="1896"/>
        <v>0</v>
      </c>
      <c r="BE1362" s="1">
        <f>MAX(0,U1362-IF(AF1362&gt;0,1,0))+0</f>
        <v>0</v>
      </c>
      <c r="BF1362" s="1">
        <f t="shared" si="1927"/>
        <v>4</v>
      </c>
      <c r="BG1362" s="1">
        <f t="shared" si="1914"/>
        <v>1</v>
      </c>
      <c r="BH1362" s="1">
        <f t="shared" si="1890"/>
        <v>1</v>
      </c>
      <c r="BI1362" s="1">
        <f t="shared" si="1915"/>
        <v>1</v>
      </c>
      <c r="BJ1362" s="1">
        <f t="shared" si="1918"/>
        <v>1</v>
      </c>
      <c r="BK1362" s="1">
        <f t="shared" si="1919"/>
        <v>1</v>
      </c>
      <c r="BL1362" s="1">
        <f t="shared" si="1924"/>
        <v>1</v>
      </c>
      <c r="BM1362" s="1">
        <f t="shared" si="1922"/>
        <v>1</v>
      </c>
      <c r="BN1362" s="1">
        <f t="shared" si="1891"/>
        <v>1</v>
      </c>
      <c r="BO1362" s="1">
        <f t="shared" si="1892"/>
        <v>1</v>
      </c>
    </row>
    <row r="1363" spans="1:67" ht="30.95" customHeight="1">
      <c r="A1363" s="1">
        <f>37</f>
        <v>37</v>
      </c>
      <c r="B1363" s="1">
        <f>固定流程!A31</f>
        <v>26</v>
      </c>
      <c r="C1363" s="1">
        <f>40</f>
        <v>40</v>
      </c>
      <c r="D1363" s="1">
        <f>2</f>
        <v>2</v>
      </c>
      <c r="E1363" s="1">
        <f>固定流程!C31</f>
        <v>3</v>
      </c>
      <c r="F1363" s="1">
        <f>固定流程!G31</f>
        <v>2</v>
      </c>
      <c r="G1363" s="1" t="str">
        <f>固定流程!H31</f>
        <v>37_WEAK</v>
      </c>
      <c r="H1363" s="1">
        <f>固定流程!F31</f>
        <v>1</v>
      </c>
      <c r="I1363" s="1">
        <f>INDEX(配置与结果!$B$15:$B$18,F1363)</f>
        <v>2306</v>
      </c>
      <c r="J1363" s="1">
        <f>INDEX(配置与结果!$D$15:$D$18,F1363)</f>
        <v>0.46</v>
      </c>
      <c r="K1363" s="1">
        <f>INDEX(配置与结果!$E$15:$E$18,F1363)</f>
        <v>1.9279999999999999</v>
      </c>
      <c r="L1363" s="1">
        <f t="shared" si="1911"/>
        <v>2</v>
      </c>
      <c r="M1363" s="1">
        <f t="shared" si="1912"/>
        <v>10</v>
      </c>
      <c r="N1363" s="1">
        <f t="shared" si="1913"/>
        <v>2</v>
      </c>
      <c r="O1363" s="1">
        <f t="shared" si="1897"/>
        <v>2</v>
      </c>
      <c r="P1363" s="1">
        <f>MIN(方案参数!$AI$40,AZ1362+0+0)</f>
        <v>5</v>
      </c>
      <c r="Q1363" s="1">
        <f t="shared" si="1875"/>
        <v>5</v>
      </c>
      <c r="R1363" s="1">
        <f t="shared" si="1876"/>
        <v>20</v>
      </c>
      <c r="S1363" s="1">
        <f t="shared" si="1877"/>
        <v>3</v>
      </c>
      <c r="T1363" s="1">
        <f t="shared" si="1920"/>
        <v>0</v>
      </c>
      <c r="U1363" s="1">
        <f t="shared" si="1879"/>
        <v>0</v>
      </c>
      <c r="V1363" s="1">
        <f t="shared" si="1880"/>
        <v>4</v>
      </c>
      <c r="W1363" s="1">
        <f t="shared" si="1881"/>
        <v>1</v>
      </c>
      <c r="X1363" s="1">
        <f t="shared" si="1882"/>
        <v>1</v>
      </c>
      <c r="Y1363" s="1">
        <f t="shared" si="1883"/>
        <v>1</v>
      </c>
      <c r="Z1363" s="1">
        <f t="shared" si="1884"/>
        <v>1</v>
      </c>
      <c r="AA1363" s="1">
        <f t="shared" si="1916"/>
        <v>1</v>
      </c>
      <c r="AB1363" s="1">
        <f t="shared" si="1886"/>
        <v>1</v>
      </c>
      <c r="AC1363" s="1">
        <f t="shared" si="1921"/>
        <v>1</v>
      </c>
      <c r="AD1363" s="1">
        <f>ROUNDDOWN(I1363*(1+IF(F1363=3,0.05+方案参数!$Y$40+AA1363*0.12,IF(F1363=4,方案参数!$BZ$40*方案参数!$AS$40,0)))+IF(AND(X1363=1,F1363&lt;&gt;3),方案参数!$CC$40,0)+AC1363*方案参数!$CB$40,0)</f>
        <v>3034</v>
      </c>
      <c r="AE1363" s="1">
        <f>IF(OR(F1363=1,F1363=4),配置与结果!$B$24,配置与结果!$B$25)*MAX(0,1-INDEX(配置与结果!$I$15:$I$18,F1363))</f>
        <v>1000</v>
      </c>
      <c r="AF1363" s="1">
        <f>方案参数!$CE$40</f>
        <v>8</v>
      </c>
      <c r="AG1363" s="1">
        <f>MAX(配置与结果!$B$32,1+INDEX(配置与结果!$F$15:$F$18,F1363)+0+Q1363*方案参数!$W$40+Y1363*(方案参数!$AN$40+MIN(方案参数!$AO$40,P1363*0.03))+AB1363*方案参数!$BZ$40*0.025-配置与结果!$B$28+方案参数!$AE$40)</f>
        <v>2.25</v>
      </c>
      <c r="AH1363" s="1">
        <f>MAX(0,1+V1363*方案参数!$U$40+方案参数!$AE$40-配置与结果!$B$29)</f>
        <v>1.56</v>
      </c>
      <c r="AI1363" s="1">
        <f>IF(OR(INDEX(配置与结果!$K$15:$K$18,F1363)=1,G1363="RHI_BERRY"),1+配置与结果!$B$33+P1363*方案参数!$AH$40,1)</f>
        <v>1</v>
      </c>
      <c r="AJ1363" s="1">
        <f>MIN(1,MAX(0,J1363+方案参数!$AB$40-配置与结果!$B$27))</f>
        <v>0.76</v>
      </c>
      <c r="AK1363" s="1">
        <f>MAX(1,K1363+IF(F1363=2,0.15+方案参数!$CH$40,0)+BN1363*方案参数!$X$40+R1363*方案参数!$AA$40+0-配置与结果!$B$26+Z1363*(方案参数!$AP$40+MIN(方案参数!$AQ$40,P1363*0.03)))</f>
        <v>2.278</v>
      </c>
      <c r="AL1363" s="7">
        <f>ROUNDDOWN(MAX(AD1363*配置与结果!$B$31,AD1363-AE1363)*AF1363*AG1363*AH1363*AI1363,0)</f>
        <v>57114</v>
      </c>
      <c r="AM1363" s="7">
        <f>ROUNDDOWN(MAX(AD1363*配置与结果!$B$31,AD1363-AE1363)*AF1363*AG1363*AH1363*AI1363*AK1363,0)</f>
        <v>130107</v>
      </c>
      <c r="AN1363" s="7">
        <f t="shared" si="1903"/>
        <v>112588.68000000001</v>
      </c>
      <c r="AO1363" s="7">
        <f>0</f>
        <v>0</v>
      </c>
      <c r="AP1363" s="7">
        <f>MAX(0,1+INDEX(配置与结果!$J$15:$J$18,F1363)+IF(T1363&gt;0,方案参数!$BY$40,0)-配置与结果!$B$30)</f>
        <v>1</v>
      </c>
      <c r="AQ1363" s="7">
        <f t="shared" si="1904"/>
        <v>0</v>
      </c>
      <c r="AR1363" s="7">
        <f t="shared" si="1905"/>
        <v>0</v>
      </c>
      <c r="AS1363" s="7">
        <f t="shared" si="1906"/>
        <v>0</v>
      </c>
      <c r="AT1363" s="7">
        <f>IF(U1363&gt;0,ROUNDDOWN(AL1363*方案参数!$AF$40,0)*(1-AJ1363)+ROUNDDOWN(AM1363*方案参数!$AF$40,0)*AJ1363,0)</f>
        <v>0</v>
      </c>
      <c r="AU1363" s="7">
        <f t="shared" si="1907"/>
        <v>112588.68000000001</v>
      </c>
      <c r="AV1363" s="1">
        <f t="shared" si="1908"/>
        <v>2</v>
      </c>
      <c r="AW1363" s="1">
        <f t="shared" si="1926"/>
        <v>10</v>
      </c>
      <c r="AX1363" s="1">
        <f t="shared" si="1909"/>
        <v>2</v>
      </c>
      <c r="AY1363" s="1">
        <f>MIN(20,MAX(0,O1363+0+0-0))</f>
        <v>2</v>
      </c>
      <c r="AZ1363" s="1">
        <f t="shared" si="1910"/>
        <v>5</v>
      </c>
      <c r="BA1363" s="1">
        <f t="shared" si="1917"/>
        <v>5</v>
      </c>
      <c r="BB1363" s="1">
        <f t="shared" si="1925"/>
        <v>20</v>
      </c>
      <c r="BC1363" s="1">
        <f t="shared" si="1923"/>
        <v>3</v>
      </c>
      <c r="BD1363" s="1">
        <f t="shared" si="1896"/>
        <v>0</v>
      </c>
      <c r="BE1363" s="1">
        <f>MAX(0,U1363-IF(AF1363&gt;0,1,0))+1</f>
        <v>1</v>
      </c>
      <c r="BF1363" s="1">
        <f t="shared" si="1927"/>
        <v>4</v>
      </c>
      <c r="BG1363" s="1">
        <f t="shared" si="1914"/>
        <v>1</v>
      </c>
      <c r="BH1363" s="1">
        <f t="shared" si="1890"/>
        <v>1</v>
      </c>
      <c r="BI1363" s="1">
        <f t="shared" si="1915"/>
        <v>1</v>
      </c>
      <c r="BJ1363" s="1">
        <f t="shared" si="1918"/>
        <v>1</v>
      </c>
      <c r="BK1363" s="1">
        <f t="shared" si="1919"/>
        <v>1</v>
      </c>
      <c r="BL1363" s="1">
        <f t="shared" si="1924"/>
        <v>1</v>
      </c>
      <c r="BM1363" s="1">
        <f t="shared" si="1922"/>
        <v>1</v>
      </c>
      <c r="BN1363" s="1">
        <f t="shared" si="1891"/>
        <v>1</v>
      </c>
      <c r="BO1363" s="1">
        <f t="shared" si="1892"/>
        <v>1</v>
      </c>
    </row>
    <row r="1364" spans="1:67" ht="30.95" customHeight="1">
      <c r="A1364" s="1">
        <f>37</f>
        <v>37</v>
      </c>
      <c r="B1364" s="1">
        <f>固定流程!A32</f>
        <v>27</v>
      </c>
      <c r="C1364" s="1">
        <f>40</f>
        <v>40</v>
      </c>
      <c r="D1364" s="1">
        <f>2</f>
        <v>2</v>
      </c>
      <c r="E1364" s="1">
        <f>固定流程!C32</f>
        <v>3</v>
      </c>
      <c r="F1364" s="1">
        <f>固定流程!G32</f>
        <v>1</v>
      </c>
      <c r="G1364" s="1" t="str">
        <f>固定流程!H32</f>
        <v>LILYA_THIRD</v>
      </c>
      <c r="H1364" s="1">
        <f>固定流程!F32</f>
        <v>1</v>
      </c>
      <c r="I1364" s="1">
        <f>INDEX(配置与结果!$B$15:$B$18,F1364)</f>
        <v>2296</v>
      </c>
      <c r="J1364" s="1">
        <f>INDEX(配置与结果!$D$15:$D$18,F1364)</f>
        <v>0.7</v>
      </c>
      <c r="K1364" s="1">
        <f>INDEX(配置与结果!$E$15:$E$18,F1364)</f>
        <v>2.0249999999999999</v>
      </c>
      <c r="L1364" s="1">
        <f t="shared" si="1911"/>
        <v>2</v>
      </c>
      <c r="M1364" s="1">
        <f t="shared" si="1912"/>
        <v>10</v>
      </c>
      <c r="N1364" s="1">
        <f t="shared" si="1913"/>
        <v>2</v>
      </c>
      <c r="O1364" s="1">
        <f t="shared" si="1897"/>
        <v>2</v>
      </c>
      <c r="P1364" s="1">
        <f>MIN(方案参数!$AI$40,AZ1363+0+0)</f>
        <v>5</v>
      </c>
      <c r="Q1364" s="1">
        <f t="shared" si="1875"/>
        <v>5</v>
      </c>
      <c r="R1364" s="1">
        <f t="shared" si="1876"/>
        <v>20</v>
      </c>
      <c r="S1364" s="1">
        <f t="shared" si="1877"/>
        <v>3</v>
      </c>
      <c r="T1364" s="1">
        <f t="shared" si="1920"/>
        <v>0</v>
      </c>
      <c r="U1364" s="1">
        <f t="shared" si="1879"/>
        <v>1</v>
      </c>
      <c r="V1364" s="1">
        <f t="shared" si="1880"/>
        <v>4</v>
      </c>
      <c r="W1364" s="1">
        <f t="shared" si="1881"/>
        <v>1</v>
      </c>
      <c r="X1364" s="1">
        <f t="shared" si="1882"/>
        <v>1</v>
      </c>
      <c r="Y1364" s="1">
        <f t="shared" si="1883"/>
        <v>1</v>
      </c>
      <c r="Z1364" s="1">
        <f t="shared" si="1884"/>
        <v>1</v>
      </c>
      <c r="AA1364" s="1">
        <f t="shared" si="1916"/>
        <v>1</v>
      </c>
      <c r="AB1364" s="1">
        <f t="shared" si="1886"/>
        <v>1</v>
      </c>
      <c r="AC1364" s="1">
        <f t="shared" si="1921"/>
        <v>1</v>
      </c>
      <c r="AD1364" s="1">
        <f>ROUNDDOWN(I1364*(1+IF(F1364=3,0.05+方案参数!$Y$40+AA1364*0.12,IF(F1364=4,方案参数!$BZ$40*方案参数!$AS$40,0)))+IF(AND(X1364=1,F1364&lt;&gt;3),方案参数!$CC$40,0)+AC1364*方案参数!$CB$40,0)</f>
        <v>3024</v>
      </c>
      <c r="AE1364" s="1">
        <f>IF(OR(F1364=1,F1364=4),配置与结果!$B$24,配置与结果!$B$25)*MAX(0,1-INDEX(配置与结果!$I$15:$I$18,F1364))</f>
        <v>1200</v>
      </c>
      <c r="AF1364" s="1">
        <f>方案参数!$BM$40</f>
        <v>20</v>
      </c>
      <c r="AG1364" s="1">
        <f>MAX(配置与结果!$B$32,1+INDEX(配置与结果!$F$15:$F$18,F1364)+0.08+方案参数!$CD$40+Q1364*方案参数!$W$40+Y1364*(方案参数!$AN$40+MIN(方案参数!$AO$40,P1364*0.03))+AB1364*方案参数!$BZ$40*0.025-配置与结果!$B$28+方案参数!$AE$40)</f>
        <v>2.585</v>
      </c>
      <c r="AH1364" s="1">
        <f>MAX(0,1+V1364*方案参数!$U$40+3*方案参数!$V$40+方案参数!$AE$40-配置与结果!$B$29)</f>
        <v>1.7399999999999998</v>
      </c>
      <c r="AI1364" s="1">
        <f>IF(OR(INDEX(配置与结果!$K$15:$K$18,F1364)=1,G1364="RHI_BERRY"),1+配置与结果!$B$33+P1364*方案参数!$AH$40,1)</f>
        <v>1</v>
      </c>
      <c r="AJ1364" s="1">
        <f>MIN(1,MAX(0,J1364+方案参数!$AB$40-配置与结果!$B$27))</f>
        <v>1</v>
      </c>
      <c r="AK1364" s="1">
        <f>MAX(1,K1364+IF(F1364=2,0.15+方案参数!$CH$40,0)+BN1364*方案参数!$X$40+R1364*方案参数!$AA$40+方案参数!$BQ$40-配置与结果!$B$26+Z1364*(方案参数!$AP$40+MIN(方案参数!$AQ$40,P1364*0.03)))</f>
        <v>2.9049999999999998</v>
      </c>
      <c r="AL1364" s="7">
        <f>ROUNDDOWN(MAX(AD1364*配置与结果!$B$31,AD1364-AE1364)*AF1364*AG1364*AH1364*AI1364,0)</f>
        <v>164083</v>
      </c>
      <c r="AM1364" s="7">
        <f>ROUNDDOWN(MAX(AD1364*配置与结果!$B$31,AD1364-AE1364)*AF1364*AG1364*AH1364*AI1364*AK1364,0)</f>
        <v>476662</v>
      </c>
      <c r="AN1364" s="7">
        <f t="shared" si="1903"/>
        <v>476662</v>
      </c>
      <c r="AO1364" s="7">
        <f>0</f>
        <v>0</v>
      </c>
      <c r="AP1364" s="7">
        <f>MAX(0,1+INDEX(配置与结果!$J$15:$J$18,F1364)+IF(T1364&gt;0,方案参数!$BY$40,0)-配置与结果!$B$30)</f>
        <v>1</v>
      </c>
      <c r="AQ1364" s="7">
        <f t="shared" si="1904"/>
        <v>0</v>
      </c>
      <c r="AR1364" s="7">
        <f t="shared" si="1905"/>
        <v>0</v>
      </c>
      <c r="AS1364" s="7">
        <f t="shared" si="1906"/>
        <v>0</v>
      </c>
      <c r="AT1364" s="7">
        <f>IF(U1364&gt;0,ROUNDDOWN(AL1364*方案参数!$AF$40,0)*(1-AJ1364)+ROUNDDOWN(AM1364*方案参数!$AF$40,0)*AJ1364,0)</f>
        <v>190664</v>
      </c>
      <c r="AU1364" s="7">
        <f t="shared" si="1907"/>
        <v>667326</v>
      </c>
      <c r="AV1364" s="1">
        <f t="shared" si="1908"/>
        <v>2</v>
      </c>
      <c r="AW1364" s="1">
        <f t="shared" si="1926"/>
        <v>10</v>
      </c>
      <c r="AX1364" s="1">
        <f t="shared" si="1909"/>
        <v>2</v>
      </c>
      <c r="AY1364" s="1">
        <f>MIN(20,MAX(0,O1364+0+1-0))</f>
        <v>3</v>
      </c>
      <c r="AZ1364" s="1">
        <f t="shared" si="1910"/>
        <v>5</v>
      </c>
      <c r="BA1364" s="1">
        <f t="shared" si="1917"/>
        <v>5</v>
      </c>
      <c r="BB1364" s="1">
        <f t="shared" si="1925"/>
        <v>20</v>
      </c>
      <c r="BC1364" s="1">
        <f t="shared" si="1923"/>
        <v>3</v>
      </c>
      <c r="BD1364" s="1">
        <f t="shared" si="1896"/>
        <v>0</v>
      </c>
      <c r="BE1364" s="1">
        <f>MAX(0,U1364-IF(AF1364&gt;0,1,0))+0</f>
        <v>0</v>
      </c>
      <c r="BF1364" s="1">
        <f t="shared" si="1927"/>
        <v>4</v>
      </c>
      <c r="BG1364" s="1">
        <f t="shared" si="1914"/>
        <v>1</v>
      </c>
      <c r="BH1364" s="1">
        <f t="shared" si="1890"/>
        <v>1</v>
      </c>
      <c r="BI1364" s="1">
        <f t="shared" si="1915"/>
        <v>1</v>
      </c>
      <c r="BJ1364" s="1">
        <f t="shared" si="1918"/>
        <v>1</v>
      </c>
      <c r="BK1364" s="1">
        <f t="shared" si="1919"/>
        <v>1</v>
      </c>
      <c r="BL1364" s="1">
        <f t="shared" si="1924"/>
        <v>1</v>
      </c>
      <c r="BM1364" s="1">
        <f t="shared" si="1922"/>
        <v>1</v>
      </c>
      <c r="BN1364" s="1">
        <f t="shared" si="1891"/>
        <v>1</v>
      </c>
      <c r="BO1364" s="1">
        <f t="shared" si="1892"/>
        <v>1</v>
      </c>
    </row>
    <row r="1365" spans="1:67" ht="30.95" customHeight="1">
      <c r="A1365" s="1">
        <f>37</f>
        <v>37</v>
      </c>
      <c r="B1365" s="1">
        <f>固定流程!A33</f>
        <v>28</v>
      </c>
      <c r="C1365" s="1">
        <f>40</f>
        <v>40</v>
      </c>
      <c r="D1365" s="1">
        <f>2</f>
        <v>2</v>
      </c>
      <c r="E1365" s="1">
        <f>固定流程!C33</f>
        <v>3</v>
      </c>
      <c r="F1365" s="1">
        <f>固定流程!G33</f>
        <v>1</v>
      </c>
      <c r="G1365" s="1" t="str">
        <f>固定流程!H33</f>
        <v>LILYA_WEAK</v>
      </c>
      <c r="H1365" s="1">
        <f>固定流程!F33</f>
        <v>1</v>
      </c>
      <c r="I1365" s="1">
        <f>INDEX(配置与结果!$B$15:$B$18,F1365)</f>
        <v>2296</v>
      </c>
      <c r="J1365" s="1">
        <f>INDEX(配置与结果!$D$15:$D$18,F1365)</f>
        <v>0.7</v>
      </c>
      <c r="K1365" s="1">
        <f>INDEX(配置与结果!$E$15:$E$18,F1365)</f>
        <v>2.0249999999999999</v>
      </c>
      <c r="L1365" s="1">
        <f t="shared" si="1911"/>
        <v>2</v>
      </c>
      <c r="M1365" s="1">
        <f t="shared" si="1912"/>
        <v>10</v>
      </c>
      <c r="N1365" s="1">
        <f t="shared" si="1913"/>
        <v>2</v>
      </c>
      <c r="O1365" s="1">
        <f t="shared" si="1897"/>
        <v>3</v>
      </c>
      <c r="P1365" s="1">
        <f>MIN(方案参数!$AI$40,AZ1364+0+0)</f>
        <v>5</v>
      </c>
      <c r="Q1365" s="1">
        <f t="shared" si="1875"/>
        <v>5</v>
      </c>
      <c r="R1365" s="1">
        <f t="shared" si="1876"/>
        <v>20</v>
      </c>
      <c r="S1365" s="1">
        <f t="shared" si="1877"/>
        <v>3</v>
      </c>
      <c r="T1365" s="1">
        <f t="shared" si="1920"/>
        <v>0</v>
      </c>
      <c r="U1365" s="1">
        <f t="shared" si="1879"/>
        <v>0</v>
      </c>
      <c r="V1365" s="1">
        <f t="shared" si="1880"/>
        <v>4</v>
      </c>
      <c r="W1365" s="1">
        <f t="shared" si="1881"/>
        <v>1</v>
      </c>
      <c r="X1365" s="1">
        <f t="shared" si="1882"/>
        <v>1</v>
      </c>
      <c r="Y1365" s="1">
        <f t="shared" si="1883"/>
        <v>1</v>
      </c>
      <c r="Z1365" s="1">
        <f t="shared" si="1884"/>
        <v>1</v>
      </c>
      <c r="AA1365" s="1">
        <f t="shared" si="1916"/>
        <v>1</v>
      </c>
      <c r="AB1365" s="1">
        <f t="shared" si="1886"/>
        <v>1</v>
      </c>
      <c r="AC1365" s="1">
        <f t="shared" si="1921"/>
        <v>1</v>
      </c>
      <c r="AD1365" s="1">
        <f>ROUNDDOWN(I1365*(1+IF(F1365=3,0.05+方案参数!$Y$40+AA1365*0.12,IF(F1365=4,方案参数!$BZ$40*方案参数!$AS$40,0)))+IF(AND(X1365=1,F1365&lt;&gt;3),方案参数!$CC$40,0)+AC1365*方案参数!$CB$40,0)</f>
        <v>3024</v>
      </c>
      <c r="AE1365" s="1">
        <f>IF(OR(F1365=1,F1365=4),配置与结果!$B$24,配置与结果!$B$25)*MAX(0,1-INDEX(配置与结果!$I$15:$I$18,F1365))</f>
        <v>1200</v>
      </c>
      <c r="AF1365" s="1">
        <f>方案参数!$BL$40</f>
        <v>9</v>
      </c>
      <c r="AG1365" s="1">
        <f>MAX(配置与结果!$B$32,1+INDEX(配置与结果!$F$15:$F$18,F1365)+0.08+方案参数!$CD$40+Q1365*方案参数!$W$40+Y1365*(方案参数!$AN$40+MIN(方案参数!$AO$40,P1365*0.03))+AB1365*方案参数!$BZ$40*0.025-配置与结果!$B$28+方案参数!$AE$40)</f>
        <v>2.585</v>
      </c>
      <c r="AH1365" s="1">
        <f>MAX(0,1+V1365*方案参数!$U$40+4*方案参数!$V$40+方案参数!$AE$40-配置与结果!$B$29)</f>
        <v>1.7999999999999998</v>
      </c>
      <c r="AI1365" s="1">
        <f>IF(OR(INDEX(配置与结果!$K$15:$K$18,F1365)=1,G1365="RHI_BERRY"),1+配置与结果!$B$33+P1365*方案参数!$AH$40,1)</f>
        <v>1</v>
      </c>
      <c r="AJ1365" s="1">
        <f>MIN(1,MAX(0,J1365+方案参数!$AB$40-配置与结果!$B$27))</f>
        <v>1</v>
      </c>
      <c r="AK1365" s="1">
        <f>MAX(1,K1365+IF(F1365=2,0.15+方案参数!$CH$40,0)+BN1365*方案参数!$X$40+R1365*方案参数!$AA$40+方案参数!$BP$40-配置与结果!$B$26+Z1365*(方案参数!$AP$40+MIN(方案参数!$AQ$40,P1365*0.03)))</f>
        <v>2.7050000000000001</v>
      </c>
      <c r="AL1365" s="7">
        <f>ROUNDDOWN(MAX(AD1365*配置与结果!$B$31,AD1365-AE1365)*AF1365*AG1365*AH1365*AI1365,0)</f>
        <v>76383</v>
      </c>
      <c r="AM1365" s="7">
        <f>ROUNDDOWN(MAX(AD1365*配置与结果!$B$31,AD1365-AE1365)*AF1365*AG1365*AH1365*AI1365*AK1365,0)</f>
        <v>206617</v>
      </c>
      <c r="AN1365" s="7">
        <f t="shared" si="1903"/>
        <v>206617</v>
      </c>
      <c r="AO1365" s="7">
        <f>0</f>
        <v>0</v>
      </c>
      <c r="AP1365" s="7">
        <f>MAX(0,1+INDEX(配置与结果!$J$15:$J$18,F1365)+IF(T1365&gt;0,方案参数!$BY$40,0)-配置与结果!$B$30)</f>
        <v>1</v>
      </c>
      <c r="AQ1365" s="7">
        <f t="shared" si="1904"/>
        <v>0</v>
      </c>
      <c r="AR1365" s="7">
        <f t="shared" si="1905"/>
        <v>0</v>
      </c>
      <c r="AS1365" s="7">
        <f t="shared" si="1906"/>
        <v>0</v>
      </c>
      <c r="AT1365" s="7">
        <f>IF(U1365&gt;0,ROUNDDOWN(AL1365*方案参数!$AF$40,0)*(1-AJ1365)+ROUNDDOWN(AM1365*方案参数!$AF$40,0)*AJ1365,0)</f>
        <v>0</v>
      </c>
      <c r="AU1365" s="7">
        <f t="shared" si="1907"/>
        <v>206617</v>
      </c>
      <c r="AV1365" s="1">
        <f t="shared" si="1908"/>
        <v>2</v>
      </c>
      <c r="AW1365" s="1">
        <f t="shared" si="1926"/>
        <v>10</v>
      </c>
      <c r="AX1365" s="1">
        <f t="shared" si="1909"/>
        <v>2</v>
      </c>
      <c r="AY1365" s="1">
        <f>MIN(20,MAX(0,O1365+0+1-0))</f>
        <v>4</v>
      </c>
      <c r="AZ1365" s="1">
        <f t="shared" si="1910"/>
        <v>5</v>
      </c>
      <c r="BA1365" s="1">
        <f t="shared" si="1917"/>
        <v>5</v>
      </c>
      <c r="BB1365" s="1">
        <f t="shared" si="1925"/>
        <v>20</v>
      </c>
      <c r="BC1365" s="1">
        <f t="shared" si="1923"/>
        <v>3</v>
      </c>
      <c r="BD1365" s="1">
        <f t="shared" si="1896"/>
        <v>0</v>
      </c>
      <c r="BE1365" s="1">
        <f>MAX(0,U1365-IF(AF1365&gt;0,1,0))+0</f>
        <v>0</v>
      </c>
      <c r="BF1365" s="1">
        <f t="shared" si="1927"/>
        <v>4</v>
      </c>
      <c r="BG1365" s="1">
        <f t="shared" si="1914"/>
        <v>1</v>
      </c>
      <c r="BH1365" s="1">
        <f t="shared" si="1890"/>
        <v>1</v>
      </c>
      <c r="BI1365" s="1">
        <f t="shared" si="1915"/>
        <v>1</v>
      </c>
      <c r="BJ1365" s="1">
        <f t="shared" si="1918"/>
        <v>1</v>
      </c>
      <c r="BK1365" s="1">
        <f t="shared" si="1919"/>
        <v>1</v>
      </c>
      <c r="BL1365" s="1">
        <f t="shared" si="1924"/>
        <v>1</v>
      </c>
      <c r="BM1365" s="1">
        <f t="shared" si="1922"/>
        <v>1</v>
      </c>
      <c r="BN1365" s="1">
        <f t="shared" si="1891"/>
        <v>1</v>
      </c>
      <c r="BO1365" s="1">
        <f t="shared" si="1892"/>
        <v>1</v>
      </c>
    </row>
    <row r="1366" spans="1:67" ht="30.95" customHeight="1">
      <c r="A1366" s="1">
        <f>37</f>
        <v>37</v>
      </c>
      <c r="B1366" s="1">
        <f>固定流程!A34</f>
        <v>29</v>
      </c>
      <c r="C1366" s="1">
        <f>40</f>
        <v>40</v>
      </c>
      <c r="D1366" s="1">
        <f>2</f>
        <v>2</v>
      </c>
      <c r="E1366" s="1">
        <f>固定流程!C34</f>
        <v>3</v>
      </c>
      <c r="F1366" s="1">
        <f>固定流程!G34</f>
        <v>1</v>
      </c>
      <c r="G1366" s="1" t="str">
        <f>固定流程!H34</f>
        <v>LILYA_WEAK</v>
      </c>
      <c r="H1366" s="1">
        <f>固定流程!F34</f>
        <v>1</v>
      </c>
      <c r="I1366" s="1">
        <f>INDEX(配置与结果!$B$15:$B$18,F1366)</f>
        <v>2296</v>
      </c>
      <c r="J1366" s="1">
        <f>INDEX(配置与结果!$D$15:$D$18,F1366)</f>
        <v>0.7</v>
      </c>
      <c r="K1366" s="1">
        <f>INDEX(配置与结果!$E$15:$E$18,F1366)</f>
        <v>2.0249999999999999</v>
      </c>
      <c r="L1366" s="1">
        <f t="shared" si="1911"/>
        <v>2</v>
      </c>
      <c r="M1366" s="1">
        <f t="shared" si="1912"/>
        <v>10</v>
      </c>
      <c r="N1366" s="1">
        <f t="shared" si="1913"/>
        <v>2</v>
      </c>
      <c r="O1366" s="1">
        <f t="shared" si="1897"/>
        <v>4</v>
      </c>
      <c r="P1366" s="1">
        <f>MIN(方案参数!$AI$40,AZ1365+0+0)</f>
        <v>5</v>
      </c>
      <c r="Q1366" s="1">
        <f t="shared" si="1875"/>
        <v>5</v>
      </c>
      <c r="R1366" s="1">
        <f t="shared" si="1876"/>
        <v>20</v>
      </c>
      <c r="S1366" s="1">
        <f t="shared" si="1877"/>
        <v>3</v>
      </c>
      <c r="T1366" s="1">
        <f t="shared" si="1920"/>
        <v>0</v>
      </c>
      <c r="U1366" s="1">
        <f t="shared" si="1879"/>
        <v>0</v>
      </c>
      <c r="V1366" s="1">
        <f t="shared" si="1880"/>
        <v>4</v>
      </c>
      <c r="W1366" s="1">
        <f t="shared" si="1881"/>
        <v>1</v>
      </c>
      <c r="X1366" s="1">
        <f t="shared" si="1882"/>
        <v>1</v>
      </c>
      <c r="Y1366" s="1">
        <f t="shared" si="1883"/>
        <v>1</v>
      </c>
      <c r="Z1366" s="1">
        <f t="shared" si="1884"/>
        <v>1</v>
      </c>
      <c r="AA1366" s="1">
        <f t="shared" si="1916"/>
        <v>1</v>
      </c>
      <c r="AB1366" s="1">
        <f t="shared" si="1886"/>
        <v>1</v>
      </c>
      <c r="AC1366" s="1">
        <f t="shared" si="1921"/>
        <v>1</v>
      </c>
      <c r="AD1366" s="1">
        <f>ROUNDDOWN(I1366*(1+IF(F1366=3,0.05+方案参数!$Y$40+AA1366*0.12,IF(F1366=4,方案参数!$BZ$40*方案参数!$AS$40,0)))+IF(AND(X1366=1,F1366&lt;&gt;3),方案参数!$CC$40,0)+AC1366*方案参数!$CB$40,0)</f>
        <v>3024</v>
      </c>
      <c r="AE1366" s="1">
        <f>IF(OR(F1366=1,F1366=4),配置与结果!$B$24,配置与结果!$B$25)*MAX(0,1-INDEX(配置与结果!$I$15:$I$18,F1366))</f>
        <v>1200</v>
      </c>
      <c r="AF1366" s="1">
        <f>方案参数!$BL$40</f>
        <v>9</v>
      </c>
      <c r="AG1366" s="1">
        <f>MAX(配置与结果!$B$32,1+INDEX(配置与结果!$F$15:$F$18,F1366)+0.08+方案参数!$CD$40+Q1366*方案参数!$W$40+Y1366*(方案参数!$AN$40+MIN(方案参数!$AO$40,P1366*0.03))+AB1366*方案参数!$BZ$40*0.025-配置与结果!$B$28+方案参数!$AE$40)</f>
        <v>2.585</v>
      </c>
      <c r="AH1366" s="1">
        <f>MAX(0,1+V1366*方案参数!$U$40+5*方案参数!$V$40+方案参数!$AE$40-配置与结果!$B$29)</f>
        <v>1.8599999999999999</v>
      </c>
      <c r="AI1366" s="1">
        <f>IF(OR(INDEX(配置与结果!$K$15:$K$18,F1366)=1,G1366="RHI_BERRY"),1+配置与结果!$B$33+P1366*方案参数!$AH$40,1)</f>
        <v>1</v>
      </c>
      <c r="AJ1366" s="1">
        <f>MIN(1,MAX(0,J1366+方案参数!$AB$40-配置与结果!$B$27))</f>
        <v>1</v>
      </c>
      <c r="AK1366" s="1">
        <f>MAX(1,K1366+IF(F1366=2,0.15+方案参数!$CH$40,0)+BN1366*方案参数!$X$40+R1366*方案参数!$AA$40+方案参数!$BP$40-配置与结果!$B$26+Z1366*(方案参数!$AP$40+MIN(方案参数!$AQ$40,P1366*0.03)))</f>
        <v>2.7050000000000001</v>
      </c>
      <c r="AL1366" s="7">
        <f>ROUNDDOWN(MAX(AD1366*配置与结果!$B$31,AD1366-AE1366)*AF1366*AG1366*AH1366*AI1366,0)</f>
        <v>78929</v>
      </c>
      <c r="AM1366" s="7">
        <f>ROUNDDOWN(MAX(AD1366*配置与结果!$B$31,AD1366-AE1366)*AF1366*AG1366*AH1366*AI1366*AK1366,0)</f>
        <v>213505</v>
      </c>
      <c r="AN1366" s="7">
        <f t="shared" si="1903"/>
        <v>213505</v>
      </c>
      <c r="AO1366" s="7">
        <f>0</f>
        <v>0</v>
      </c>
      <c r="AP1366" s="7">
        <f>MAX(0,1+INDEX(配置与结果!$J$15:$J$18,F1366)+IF(T1366&gt;0,方案参数!$BY$40,0)-配置与结果!$B$30)</f>
        <v>1</v>
      </c>
      <c r="AQ1366" s="7">
        <f t="shared" si="1904"/>
        <v>0</v>
      </c>
      <c r="AR1366" s="7">
        <f t="shared" si="1905"/>
        <v>0</v>
      </c>
      <c r="AS1366" s="7">
        <f t="shared" si="1906"/>
        <v>0</v>
      </c>
      <c r="AT1366" s="7">
        <f>IF(U1366&gt;0,ROUNDDOWN(AL1366*方案参数!$AF$40,0)*(1-AJ1366)+ROUNDDOWN(AM1366*方案参数!$AF$40,0)*AJ1366,0)</f>
        <v>0</v>
      </c>
      <c r="AU1366" s="7">
        <f t="shared" si="1907"/>
        <v>213505</v>
      </c>
      <c r="AV1366" s="1">
        <f t="shared" si="1908"/>
        <v>2</v>
      </c>
      <c r="AW1366" s="1">
        <f t="shared" si="1926"/>
        <v>10</v>
      </c>
      <c r="AX1366" s="1">
        <f t="shared" si="1909"/>
        <v>2</v>
      </c>
      <c r="AY1366" s="1">
        <f>MIN(20,MAX(0,O1366+0+1-0))</f>
        <v>5</v>
      </c>
      <c r="AZ1366" s="1">
        <f t="shared" si="1910"/>
        <v>5</v>
      </c>
      <c r="BA1366" s="1">
        <f t="shared" si="1917"/>
        <v>5</v>
      </c>
      <c r="BB1366" s="1">
        <f t="shared" si="1925"/>
        <v>20</v>
      </c>
      <c r="BC1366" s="1">
        <f t="shared" si="1923"/>
        <v>3</v>
      </c>
      <c r="BD1366" s="1">
        <f t="shared" si="1896"/>
        <v>0</v>
      </c>
      <c r="BE1366" s="1">
        <f>MAX(0,U1366-IF(AF1366&gt;0,1,0))+0</f>
        <v>0</v>
      </c>
      <c r="BF1366" s="1">
        <f t="shared" si="1927"/>
        <v>4</v>
      </c>
      <c r="BG1366" s="1">
        <f t="shared" si="1914"/>
        <v>1</v>
      </c>
      <c r="BH1366" s="1">
        <f t="shared" si="1890"/>
        <v>1</v>
      </c>
      <c r="BI1366" s="1">
        <f t="shared" si="1915"/>
        <v>1</v>
      </c>
      <c r="BJ1366" s="1">
        <f t="shared" si="1918"/>
        <v>1</v>
      </c>
      <c r="BK1366" s="1">
        <f t="shared" si="1919"/>
        <v>1</v>
      </c>
      <c r="BL1366" s="1">
        <f t="shared" si="1924"/>
        <v>1</v>
      </c>
      <c r="BM1366" s="1">
        <f t="shared" si="1922"/>
        <v>1</v>
      </c>
      <c r="BN1366" s="1">
        <f t="shared" si="1891"/>
        <v>1</v>
      </c>
      <c r="BO1366" s="1">
        <f t="shared" si="1892"/>
        <v>1</v>
      </c>
    </row>
    <row r="1367" spans="1:67" ht="30.95" customHeight="1">
      <c r="A1367" s="1">
        <f>37</f>
        <v>37</v>
      </c>
      <c r="B1367" s="1">
        <f>固定流程!A35</f>
        <v>30</v>
      </c>
      <c r="C1367" s="1">
        <f>40</f>
        <v>40</v>
      </c>
      <c r="D1367" s="1">
        <f>2</f>
        <v>2</v>
      </c>
      <c r="E1367" s="1">
        <f>固定流程!C35</f>
        <v>3</v>
      </c>
      <c r="F1367" s="1">
        <f>固定流程!G35</f>
        <v>2</v>
      </c>
      <c r="G1367" s="1" t="str">
        <f>固定流程!H35</f>
        <v>37_WEAK</v>
      </c>
      <c r="H1367" s="1">
        <f>固定流程!F35</f>
        <v>1</v>
      </c>
      <c r="I1367" s="1">
        <f>INDEX(配置与结果!$B$15:$B$18,F1367)</f>
        <v>2306</v>
      </c>
      <c r="J1367" s="1">
        <f>INDEX(配置与结果!$D$15:$D$18,F1367)</f>
        <v>0.46</v>
      </c>
      <c r="K1367" s="1">
        <f>INDEX(配置与结果!$E$15:$E$18,F1367)</f>
        <v>1.9279999999999999</v>
      </c>
      <c r="L1367" s="1">
        <f t="shared" si="1911"/>
        <v>2</v>
      </c>
      <c r="M1367" s="1">
        <f t="shared" si="1912"/>
        <v>10</v>
      </c>
      <c r="N1367" s="1">
        <f t="shared" si="1913"/>
        <v>2</v>
      </c>
      <c r="O1367" s="1">
        <f t="shared" si="1897"/>
        <v>5</v>
      </c>
      <c r="P1367" s="1">
        <f>MIN(方案参数!$AI$40,AZ1366+0+0)</f>
        <v>5</v>
      </c>
      <c r="Q1367" s="1">
        <f t="shared" si="1875"/>
        <v>5</v>
      </c>
      <c r="R1367" s="1">
        <f t="shared" si="1876"/>
        <v>20</v>
      </c>
      <c r="S1367" s="1">
        <f t="shared" si="1877"/>
        <v>3</v>
      </c>
      <c r="T1367" s="1">
        <f t="shared" si="1920"/>
        <v>0</v>
      </c>
      <c r="U1367" s="1">
        <f t="shared" si="1879"/>
        <v>0</v>
      </c>
      <c r="V1367" s="1">
        <f t="shared" si="1880"/>
        <v>4</v>
      </c>
      <c r="W1367" s="1">
        <f t="shared" si="1881"/>
        <v>1</v>
      </c>
      <c r="X1367" s="1">
        <f t="shared" si="1882"/>
        <v>1</v>
      </c>
      <c r="Y1367" s="1">
        <f t="shared" si="1883"/>
        <v>1</v>
      </c>
      <c r="Z1367" s="1">
        <f t="shared" si="1884"/>
        <v>1</v>
      </c>
      <c r="AA1367" s="1">
        <f t="shared" si="1916"/>
        <v>1</v>
      </c>
      <c r="AB1367" s="1">
        <f t="shared" si="1886"/>
        <v>1</v>
      </c>
      <c r="AC1367" s="1">
        <f t="shared" si="1921"/>
        <v>1</v>
      </c>
      <c r="AD1367" s="1">
        <f>ROUNDDOWN(I1367*(1+IF(F1367=3,0.05+方案参数!$Y$40+AA1367*0.12,IF(F1367=4,方案参数!$BZ$40*方案参数!$AS$40,0)))+IF(AND(X1367=1,F1367&lt;&gt;3),方案参数!$CC$40,0)+AC1367*方案参数!$CB$40,0)</f>
        <v>3034</v>
      </c>
      <c r="AE1367" s="1">
        <f>IF(OR(F1367=1,F1367=4),配置与结果!$B$24,配置与结果!$B$25)*MAX(0,1-INDEX(配置与结果!$I$15:$I$18,F1367))</f>
        <v>1000</v>
      </c>
      <c r="AF1367" s="1">
        <f>方案参数!$CE$40</f>
        <v>8</v>
      </c>
      <c r="AG1367" s="1">
        <f>MAX(配置与结果!$B$32,1+INDEX(配置与结果!$F$15:$F$18,F1367)+0+Q1367*方案参数!$W$40+Y1367*(方案参数!$AN$40+MIN(方案参数!$AO$40,P1367*0.03))+AB1367*方案参数!$BZ$40*0.025-配置与结果!$B$28+方案参数!$AE$40)</f>
        <v>2.25</v>
      </c>
      <c r="AH1367" s="1">
        <f>MAX(0,1+V1367*方案参数!$U$40+方案参数!$AE$40-配置与结果!$B$29)</f>
        <v>1.56</v>
      </c>
      <c r="AI1367" s="1">
        <f>IF(OR(INDEX(配置与结果!$K$15:$K$18,F1367)=1,G1367="RHI_BERRY"),1+配置与结果!$B$33+P1367*方案参数!$AH$40,1)</f>
        <v>1</v>
      </c>
      <c r="AJ1367" s="1">
        <f>MIN(1,MAX(0,J1367+方案参数!$AB$40-配置与结果!$B$27))</f>
        <v>0.76</v>
      </c>
      <c r="AK1367" s="1">
        <f>MAX(1,K1367+IF(F1367=2,0.15+方案参数!$CH$40,0)+BN1367*方案参数!$X$40+R1367*方案参数!$AA$40+0-配置与结果!$B$26+Z1367*(方案参数!$AP$40+MIN(方案参数!$AQ$40,P1367*0.03)))</f>
        <v>2.278</v>
      </c>
      <c r="AL1367" s="7">
        <f>ROUNDDOWN(MAX(AD1367*配置与结果!$B$31,AD1367-AE1367)*AF1367*AG1367*AH1367*AI1367,0)</f>
        <v>57114</v>
      </c>
      <c r="AM1367" s="7">
        <f>ROUNDDOWN(MAX(AD1367*配置与结果!$B$31,AD1367-AE1367)*AF1367*AG1367*AH1367*AI1367*AK1367,0)</f>
        <v>130107</v>
      </c>
      <c r="AN1367" s="7">
        <f t="shared" si="1903"/>
        <v>112588.68000000001</v>
      </c>
      <c r="AO1367" s="7">
        <f>0</f>
        <v>0</v>
      </c>
      <c r="AP1367" s="7">
        <f>MAX(0,1+INDEX(配置与结果!$J$15:$J$18,F1367)+IF(T1367&gt;0,方案参数!$BY$40,0)-配置与结果!$B$30)</f>
        <v>1</v>
      </c>
      <c r="AQ1367" s="7">
        <f t="shared" si="1904"/>
        <v>0</v>
      </c>
      <c r="AR1367" s="7">
        <f t="shared" si="1905"/>
        <v>0</v>
      </c>
      <c r="AS1367" s="7">
        <f t="shared" si="1906"/>
        <v>0</v>
      </c>
      <c r="AT1367" s="7">
        <f>IF(U1367&gt;0,ROUNDDOWN(AL1367*方案参数!$AF$40,0)*(1-AJ1367)+ROUNDDOWN(AM1367*方案参数!$AF$40,0)*AJ1367,0)</f>
        <v>0</v>
      </c>
      <c r="AU1367" s="7">
        <f t="shared" si="1907"/>
        <v>112588.68000000001</v>
      </c>
      <c r="AV1367" s="1">
        <f t="shared" si="1908"/>
        <v>2</v>
      </c>
      <c r="AW1367" s="1">
        <f t="shared" si="1926"/>
        <v>10</v>
      </c>
      <c r="AX1367" s="1">
        <f t="shared" si="1909"/>
        <v>2</v>
      </c>
      <c r="AY1367" s="1">
        <f>MIN(20,MAX(0,O1367+0+0-0))</f>
        <v>5</v>
      </c>
      <c r="AZ1367" s="1">
        <f t="shared" si="1910"/>
        <v>5</v>
      </c>
      <c r="BA1367" s="1">
        <f t="shared" si="1917"/>
        <v>5</v>
      </c>
      <c r="BB1367" s="1">
        <f t="shared" si="1925"/>
        <v>20</v>
      </c>
      <c r="BC1367" s="1">
        <f t="shared" si="1923"/>
        <v>3</v>
      </c>
      <c r="BD1367" s="1">
        <f t="shared" si="1896"/>
        <v>0</v>
      </c>
      <c r="BE1367" s="1">
        <f>MAX(0,U1367-IF(AF1367&gt;0,1,0))+1</f>
        <v>1</v>
      </c>
      <c r="BF1367" s="1">
        <f t="shared" si="1927"/>
        <v>4</v>
      </c>
      <c r="BG1367" s="1">
        <f t="shared" si="1914"/>
        <v>1</v>
      </c>
      <c r="BH1367" s="1">
        <f t="shared" si="1890"/>
        <v>1</v>
      </c>
      <c r="BI1367" s="1">
        <f t="shared" si="1915"/>
        <v>1</v>
      </c>
      <c r="BJ1367" s="1">
        <f t="shared" si="1918"/>
        <v>1</v>
      </c>
      <c r="BK1367" s="1">
        <f t="shared" si="1919"/>
        <v>1</v>
      </c>
      <c r="BL1367" s="1">
        <f t="shared" si="1924"/>
        <v>1</v>
      </c>
      <c r="BM1367" s="1">
        <f t="shared" si="1922"/>
        <v>1</v>
      </c>
      <c r="BN1367" s="1">
        <f t="shared" si="1891"/>
        <v>1</v>
      </c>
      <c r="BO1367" s="1">
        <f t="shared" si="1892"/>
        <v>1</v>
      </c>
    </row>
    <row r="1368" spans="1:67" ht="30.95" customHeight="1">
      <c r="A1368" s="1">
        <f>37</f>
        <v>37</v>
      </c>
      <c r="B1368" s="1">
        <f>固定流程!A36</f>
        <v>31</v>
      </c>
      <c r="C1368" s="1">
        <f>40</f>
        <v>40</v>
      </c>
      <c r="D1368" s="1">
        <f>2</f>
        <v>2</v>
      </c>
      <c r="E1368" s="1">
        <f>固定流程!C36</f>
        <v>3</v>
      </c>
      <c r="F1368" s="1">
        <f>固定流程!G36</f>
        <v>1</v>
      </c>
      <c r="G1368" s="1" t="str">
        <f>固定流程!H36</f>
        <v>LILYA_THIRD</v>
      </c>
      <c r="H1368" s="1">
        <f>固定流程!F36</f>
        <v>1</v>
      </c>
      <c r="I1368" s="1">
        <f>INDEX(配置与结果!$B$15:$B$18,F1368)</f>
        <v>2296</v>
      </c>
      <c r="J1368" s="1">
        <f>INDEX(配置与结果!$D$15:$D$18,F1368)</f>
        <v>0.7</v>
      </c>
      <c r="K1368" s="1">
        <f>INDEX(配置与结果!$E$15:$E$18,F1368)</f>
        <v>2.0249999999999999</v>
      </c>
      <c r="L1368" s="1">
        <f t="shared" si="1911"/>
        <v>2</v>
      </c>
      <c r="M1368" s="1">
        <f t="shared" si="1912"/>
        <v>10</v>
      </c>
      <c r="N1368" s="1">
        <f t="shared" si="1913"/>
        <v>2</v>
      </c>
      <c r="O1368" s="1">
        <f t="shared" si="1897"/>
        <v>5</v>
      </c>
      <c r="P1368" s="1">
        <f>MIN(方案参数!$AI$40,AZ1367+0+0)</f>
        <v>5</v>
      </c>
      <c r="Q1368" s="1">
        <f t="shared" si="1875"/>
        <v>5</v>
      </c>
      <c r="R1368" s="1">
        <f t="shared" si="1876"/>
        <v>20</v>
      </c>
      <c r="S1368" s="1">
        <f t="shared" si="1877"/>
        <v>3</v>
      </c>
      <c r="T1368" s="1">
        <f t="shared" si="1920"/>
        <v>0</v>
      </c>
      <c r="U1368" s="1">
        <f t="shared" si="1879"/>
        <v>1</v>
      </c>
      <c r="V1368" s="1">
        <f t="shared" si="1880"/>
        <v>4</v>
      </c>
      <c r="W1368" s="1">
        <f t="shared" si="1881"/>
        <v>1</v>
      </c>
      <c r="X1368" s="1">
        <f t="shared" si="1882"/>
        <v>1</v>
      </c>
      <c r="Y1368" s="1">
        <f t="shared" si="1883"/>
        <v>1</v>
      </c>
      <c r="Z1368" s="1">
        <f t="shared" si="1884"/>
        <v>1</v>
      </c>
      <c r="AA1368" s="1">
        <f t="shared" si="1916"/>
        <v>1</v>
      </c>
      <c r="AB1368" s="1">
        <f t="shared" si="1886"/>
        <v>1</v>
      </c>
      <c r="AC1368" s="1">
        <f t="shared" si="1921"/>
        <v>1</v>
      </c>
      <c r="AD1368" s="1">
        <f>ROUNDDOWN(I1368*(1+IF(F1368=3,0.05+方案参数!$Y$40+AA1368*0.12,IF(F1368=4,方案参数!$BZ$40*方案参数!$AS$40,0)))+IF(AND(X1368=1,F1368&lt;&gt;3),方案参数!$CC$40,0)+AC1368*方案参数!$CB$40,0)</f>
        <v>3024</v>
      </c>
      <c r="AE1368" s="1">
        <f>IF(OR(F1368=1,F1368=4),配置与结果!$B$24,配置与结果!$B$25)*MAX(0,1-INDEX(配置与结果!$I$15:$I$18,F1368))</f>
        <v>1200</v>
      </c>
      <c r="AF1368" s="1">
        <f>方案参数!$BM$40</f>
        <v>20</v>
      </c>
      <c r="AG1368" s="1">
        <f>MAX(配置与结果!$B$32,1+INDEX(配置与结果!$F$15:$F$18,F1368)+0.08+方案参数!$CD$40+Q1368*方案参数!$W$40+Y1368*(方案参数!$AN$40+MIN(方案参数!$AO$40,P1368*0.03))+AB1368*方案参数!$BZ$40*0.025-配置与结果!$B$28+方案参数!$AE$40)</f>
        <v>2.585</v>
      </c>
      <c r="AH1368" s="1">
        <f>MAX(0,1+V1368*方案参数!$U$40+7*方案参数!$V$40+方案参数!$AE$40-配置与结果!$B$29)</f>
        <v>1.98</v>
      </c>
      <c r="AI1368" s="1">
        <f>IF(OR(INDEX(配置与结果!$K$15:$K$18,F1368)=1,G1368="RHI_BERRY"),1+配置与结果!$B$33+P1368*方案参数!$AH$40,1)</f>
        <v>1</v>
      </c>
      <c r="AJ1368" s="1">
        <f>MIN(1,MAX(0,J1368+方案参数!$AB$40-配置与结果!$B$27))</f>
        <v>1</v>
      </c>
      <c r="AK1368" s="1">
        <f>MAX(1,K1368+IF(F1368=2,0.15+方案参数!$CH$40,0)+BN1368*方案参数!$X$40+R1368*方案参数!$AA$40+方案参数!$BQ$40-配置与结果!$B$26+Z1368*(方案参数!$AP$40+MIN(方案参数!$AQ$40,P1368*0.03)))</f>
        <v>2.9049999999999998</v>
      </c>
      <c r="AL1368" s="7">
        <f>ROUNDDOWN(MAX(AD1368*配置与结果!$B$31,AD1368-AE1368)*AF1368*AG1368*AH1368*AI1368,0)</f>
        <v>186715</v>
      </c>
      <c r="AM1368" s="7">
        <f>ROUNDDOWN(MAX(AD1368*配置与结果!$B$31,AD1368-AE1368)*AF1368*AG1368*AH1368*AI1368*AK1368,0)</f>
        <v>542408</v>
      </c>
      <c r="AN1368" s="7">
        <f t="shared" si="1903"/>
        <v>542408</v>
      </c>
      <c r="AO1368" s="7">
        <f>0</f>
        <v>0</v>
      </c>
      <c r="AP1368" s="7">
        <f>MAX(0,1+INDEX(配置与结果!$J$15:$J$18,F1368)+IF(T1368&gt;0,方案参数!$BY$40,0)-配置与结果!$B$30)</f>
        <v>1</v>
      </c>
      <c r="AQ1368" s="7">
        <f t="shared" si="1904"/>
        <v>0</v>
      </c>
      <c r="AR1368" s="7">
        <f t="shared" si="1905"/>
        <v>0</v>
      </c>
      <c r="AS1368" s="7">
        <f t="shared" si="1906"/>
        <v>0</v>
      </c>
      <c r="AT1368" s="7">
        <f>IF(U1368&gt;0,ROUNDDOWN(AL1368*方案参数!$AF$40,0)*(1-AJ1368)+ROUNDDOWN(AM1368*方案参数!$AF$40,0)*AJ1368,0)</f>
        <v>216963</v>
      </c>
      <c r="AU1368" s="7">
        <f t="shared" si="1907"/>
        <v>759371</v>
      </c>
      <c r="AV1368" s="1">
        <f t="shared" si="1908"/>
        <v>2</v>
      </c>
      <c r="AW1368" s="1">
        <f t="shared" si="1926"/>
        <v>10</v>
      </c>
      <c r="AX1368" s="1">
        <f t="shared" si="1909"/>
        <v>2</v>
      </c>
      <c r="AY1368" s="1">
        <f>MIN(20,MAX(0,O1368+0+1-0))</f>
        <v>6</v>
      </c>
      <c r="AZ1368" s="1">
        <f t="shared" si="1910"/>
        <v>5</v>
      </c>
      <c r="BA1368" s="1">
        <f t="shared" si="1917"/>
        <v>5</v>
      </c>
      <c r="BB1368" s="1">
        <f t="shared" si="1925"/>
        <v>20</v>
      </c>
      <c r="BC1368" s="1">
        <f t="shared" si="1923"/>
        <v>3</v>
      </c>
      <c r="BD1368" s="1">
        <f t="shared" si="1896"/>
        <v>0</v>
      </c>
      <c r="BE1368" s="1">
        <f>MAX(0,U1368-IF(AF1368&gt;0,1,0))+0</f>
        <v>0</v>
      </c>
      <c r="BF1368" s="1">
        <f t="shared" si="1927"/>
        <v>4</v>
      </c>
      <c r="BG1368" s="1">
        <f t="shared" si="1914"/>
        <v>1</v>
      </c>
      <c r="BH1368" s="1">
        <f t="shared" si="1890"/>
        <v>1</v>
      </c>
      <c r="BI1368" s="1">
        <f t="shared" si="1915"/>
        <v>1</v>
      </c>
      <c r="BJ1368" s="1">
        <f t="shared" si="1918"/>
        <v>1</v>
      </c>
      <c r="BK1368" s="1">
        <f t="shared" si="1919"/>
        <v>1</v>
      </c>
      <c r="BL1368" s="1">
        <f t="shared" si="1924"/>
        <v>1</v>
      </c>
      <c r="BM1368" s="1">
        <f t="shared" si="1922"/>
        <v>1</v>
      </c>
      <c r="BN1368" s="1">
        <f t="shared" si="1891"/>
        <v>1</v>
      </c>
      <c r="BO1368" s="1">
        <f t="shared" si="1892"/>
        <v>1</v>
      </c>
    </row>
    <row r="1369" spans="1:67" ht="30.95" customHeight="1">
      <c r="A1369" s="1">
        <f>37</f>
        <v>37</v>
      </c>
      <c r="B1369" s="1">
        <f>固定流程!A37</f>
        <v>32</v>
      </c>
      <c r="C1369" s="1">
        <f>40</f>
        <v>40</v>
      </c>
      <c r="D1369" s="1">
        <f>2</f>
        <v>2</v>
      </c>
      <c r="E1369" s="1">
        <f>固定流程!C37</f>
        <v>3</v>
      </c>
      <c r="F1369" s="1">
        <f>固定流程!G37</f>
        <v>1</v>
      </c>
      <c r="G1369" s="1" t="str">
        <f>固定流程!H37</f>
        <v>LILYA_WEAK</v>
      </c>
      <c r="H1369" s="1">
        <f>固定流程!F37</f>
        <v>1</v>
      </c>
      <c r="I1369" s="1">
        <f>INDEX(配置与结果!$B$15:$B$18,F1369)</f>
        <v>2296</v>
      </c>
      <c r="J1369" s="1">
        <f>INDEX(配置与结果!$D$15:$D$18,F1369)</f>
        <v>0.7</v>
      </c>
      <c r="K1369" s="1">
        <f>INDEX(配置与结果!$E$15:$E$18,F1369)</f>
        <v>2.0249999999999999</v>
      </c>
      <c r="L1369" s="1">
        <f t="shared" si="1911"/>
        <v>2</v>
      </c>
      <c r="M1369" s="1">
        <f t="shared" si="1912"/>
        <v>10</v>
      </c>
      <c r="N1369" s="1">
        <f t="shared" si="1913"/>
        <v>2</v>
      </c>
      <c r="O1369" s="1">
        <f t="shared" si="1897"/>
        <v>6</v>
      </c>
      <c r="P1369" s="1">
        <f>MIN(方案参数!$AI$40,AZ1368+0+0)</f>
        <v>5</v>
      </c>
      <c r="Q1369" s="1">
        <f t="shared" si="1875"/>
        <v>5</v>
      </c>
      <c r="R1369" s="1">
        <f t="shared" si="1876"/>
        <v>20</v>
      </c>
      <c r="S1369" s="1">
        <f t="shared" si="1877"/>
        <v>3</v>
      </c>
      <c r="T1369" s="1">
        <f t="shared" si="1920"/>
        <v>0</v>
      </c>
      <c r="U1369" s="1">
        <f t="shared" si="1879"/>
        <v>0</v>
      </c>
      <c r="V1369" s="1">
        <f t="shared" si="1880"/>
        <v>4</v>
      </c>
      <c r="W1369" s="1">
        <f t="shared" si="1881"/>
        <v>1</v>
      </c>
      <c r="X1369" s="1">
        <f t="shared" si="1882"/>
        <v>1</v>
      </c>
      <c r="Y1369" s="1">
        <f t="shared" si="1883"/>
        <v>1</v>
      </c>
      <c r="Z1369" s="1">
        <f t="shared" si="1884"/>
        <v>1</v>
      </c>
      <c r="AA1369" s="1">
        <f t="shared" si="1916"/>
        <v>1</v>
      </c>
      <c r="AB1369" s="1">
        <f t="shared" si="1886"/>
        <v>1</v>
      </c>
      <c r="AC1369" s="1">
        <f t="shared" si="1921"/>
        <v>1</v>
      </c>
      <c r="AD1369" s="1">
        <f>ROUNDDOWN(I1369*(1+IF(F1369=3,0.05+方案参数!$Y$40+AA1369*0.12,IF(F1369=4,方案参数!$BZ$40*方案参数!$AS$40,0)))+IF(AND(X1369=1,F1369&lt;&gt;3),方案参数!$CC$40,0)+AC1369*方案参数!$CB$40,0)</f>
        <v>3024</v>
      </c>
      <c r="AE1369" s="1">
        <f>IF(OR(F1369=1,F1369=4),配置与结果!$B$24,配置与结果!$B$25)*MAX(0,1-INDEX(配置与结果!$I$15:$I$18,F1369))</f>
        <v>1200</v>
      </c>
      <c r="AF1369" s="1">
        <f>方案参数!$BL$40</f>
        <v>9</v>
      </c>
      <c r="AG1369" s="1">
        <f>MAX(配置与结果!$B$32,1+INDEX(配置与结果!$F$15:$F$18,F1369)+0.08+方案参数!$CD$40+Q1369*方案参数!$W$40+Y1369*(方案参数!$AN$40+MIN(方案参数!$AO$40,P1369*0.03))+AB1369*方案参数!$BZ$40*0.025-配置与结果!$B$28+方案参数!$AE$40)</f>
        <v>2.585</v>
      </c>
      <c r="AH1369" s="1">
        <f>MAX(0,1+V1369*方案参数!$U$40+8*方案参数!$V$40+方案参数!$AE$40-配置与结果!$B$29)</f>
        <v>2.04</v>
      </c>
      <c r="AI1369" s="1">
        <f>IF(OR(INDEX(配置与结果!$K$15:$K$18,F1369)=1,G1369="RHI_BERRY"),1+配置与结果!$B$33+P1369*方案参数!$AH$40,1)</f>
        <v>1</v>
      </c>
      <c r="AJ1369" s="1">
        <f>MIN(1,MAX(0,J1369+方案参数!$AB$40-配置与结果!$B$27))</f>
        <v>1</v>
      </c>
      <c r="AK1369" s="1">
        <f>MAX(1,K1369+IF(F1369=2,0.15+方案参数!$CH$40,0)+BN1369*方案参数!$X$40+R1369*方案参数!$AA$40+方案参数!$BP$40-配置与结果!$B$26+Z1369*(方案参数!$AP$40+MIN(方案参数!$AQ$40,P1369*0.03)))</f>
        <v>2.7050000000000001</v>
      </c>
      <c r="AL1369" s="7">
        <f>ROUNDDOWN(MAX(AD1369*配置与结果!$B$31,AD1369-AE1369)*AF1369*AG1369*AH1369*AI1369,0)</f>
        <v>86568</v>
      </c>
      <c r="AM1369" s="7">
        <f>ROUNDDOWN(MAX(AD1369*配置与结果!$B$31,AD1369-AE1369)*AF1369*AG1369*AH1369*AI1369*AK1369,0)</f>
        <v>234166</v>
      </c>
      <c r="AN1369" s="7">
        <f t="shared" si="1903"/>
        <v>234166</v>
      </c>
      <c r="AO1369" s="7">
        <f>0</f>
        <v>0</v>
      </c>
      <c r="AP1369" s="7">
        <f>MAX(0,1+INDEX(配置与结果!$J$15:$J$18,F1369)+IF(T1369&gt;0,方案参数!$BY$40,0)-配置与结果!$B$30)</f>
        <v>1</v>
      </c>
      <c r="AQ1369" s="7">
        <f t="shared" si="1904"/>
        <v>0</v>
      </c>
      <c r="AR1369" s="7">
        <f t="shared" si="1905"/>
        <v>0</v>
      </c>
      <c r="AS1369" s="7">
        <f t="shared" si="1906"/>
        <v>0</v>
      </c>
      <c r="AT1369" s="7">
        <f>IF(U1369&gt;0,ROUNDDOWN(AL1369*方案参数!$AF$40,0)*(1-AJ1369)+ROUNDDOWN(AM1369*方案参数!$AF$40,0)*AJ1369,0)</f>
        <v>0</v>
      </c>
      <c r="AU1369" s="7">
        <f t="shared" si="1907"/>
        <v>234166</v>
      </c>
      <c r="AV1369" s="1">
        <f t="shared" si="1908"/>
        <v>2</v>
      </c>
      <c r="AW1369" s="1">
        <f t="shared" si="1926"/>
        <v>10</v>
      </c>
      <c r="AX1369" s="1">
        <f t="shared" si="1909"/>
        <v>2</v>
      </c>
      <c r="AY1369" s="1">
        <f>MIN(20,MAX(0,O1369+0+1-0))</f>
        <v>7</v>
      </c>
      <c r="AZ1369" s="1">
        <f t="shared" si="1910"/>
        <v>5</v>
      </c>
      <c r="BA1369" s="1">
        <f t="shared" si="1917"/>
        <v>5</v>
      </c>
      <c r="BB1369" s="1">
        <f t="shared" si="1925"/>
        <v>20</v>
      </c>
      <c r="BC1369" s="1">
        <f t="shared" si="1923"/>
        <v>3</v>
      </c>
      <c r="BD1369" s="1">
        <f t="shared" si="1896"/>
        <v>0</v>
      </c>
      <c r="BE1369" s="1">
        <f>MAX(0,U1369-IF(AF1369&gt;0,1,0))+0</f>
        <v>0</v>
      </c>
      <c r="BF1369" s="1">
        <f t="shared" si="1927"/>
        <v>4</v>
      </c>
      <c r="BG1369" s="1">
        <f t="shared" si="1914"/>
        <v>1</v>
      </c>
      <c r="BH1369" s="1">
        <f t="shared" si="1890"/>
        <v>1</v>
      </c>
      <c r="BI1369" s="1">
        <f t="shared" si="1915"/>
        <v>1</v>
      </c>
      <c r="BJ1369" s="1">
        <f t="shared" si="1918"/>
        <v>1</v>
      </c>
      <c r="BK1369" s="1">
        <f t="shared" si="1919"/>
        <v>1</v>
      </c>
      <c r="BL1369" s="1">
        <f t="shared" si="1924"/>
        <v>1</v>
      </c>
      <c r="BM1369" s="1">
        <f t="shared" si="1922"/>
        <v>1</v>
      </c>
      <c r="BN1369" s="1">
        <f t="shared" si="1891"/>
        <v>1</v>
      </c>
      <c r="BO1369" s="1">
        <f t="shared" si="1892"/>
        <v>1</v>
      </c>
    </row>
    <row r="1370" spans="1:67" ht="30.95" customHeight="1">
      <c r="A1370" s="1">
        <f>37</f>
        <v>37</v>
      </c>
      <c r="B1370" s="1">
        <f>固定流程!A38</f>
        <v>33</v>
      </c>
      <c r="C1370" s="1">
        <f>40</f>
        <v>40</v>
      </c>
      <c r="D1370" s="1">
        <f>2</f>
        <v>2</v>
      </c>
      <c r="E1370" s="1">
        <f>固定流程!C38</f>
        <v>3</v>
      </c>
      <c r="F1370" s="1">
        <f>固定流程!G38</f>
        <v>1</v>
      </c>
      <c r="G1370" s="1" t="str">
        <f>固定流程!H38</f>
        <v>LILYA_WEAK</v>
      </c>
      <c r="H1370" s="1">
        <f>固定流程!F38</f>
        <v>1</v>
      </c>
      <c r="I1370" s="1">
        <f>INDEX(配置与结果!$B$15:$B$18,F1370)</f>
        <v>2296</v>
      </c>
      <c r="J1370" s="1">
        <f>INDEX(配置与结果!$D$15:$D$18,F1370)</f>
        <v>0.7</v>
      </c>
      <c r="K1370" s="1">
        <f>INDEX(配置与结果!$E$15:$E$18,F1370)</f>
        <v>2.0249999999999999</v>
      </c>
      <c r="L1370" s="1">
        <f t="shared" si="1911"/>
        <v>2</v>
      </c>
      <c r="M1370" s="1">
        <f t="shared" si="1912"/>
        <v>10</v>
      </c>
      <c r="N1370" s="1">
        <f t="shared" si="1913"/>
        <v>2</v>
      </c>
      <c r="O1370" s="1">
        <f t="shared" si="1897"/>
        <v>7</v>
      </c>
      <c r="P1370" s="1">
        <f>MIN(方案参数!$AI$40,AZ1369+0+0)</f>
        <v>5</v>
      </c>
      <c r="Q1370" s="1">
        <f t="shared" si="1875"/>
        <v>5</v>
      </c>
      <c r="R1370" s="1">
        <f t="shared" si="1876"/>
        <v>20</v>
      </c>
      <c r="S1370" s="1">
        <f t="shared" si="1877"/>
        <v>3</v>
      </c>
      <c r="T1370" s="1">
        <f t="shared" si="1920"/>
        <v>0</v>
      </c>
      <c r="U1370" s="1">
        <f t="shared" si="1879"/>
        <v>0</v>
      </c>
      <c r="V1370" s="1">
        <f t="shared" si="1880"/>
        <v>4</v>
      </c>
      <c r="W1370" s="1">
        <f t="shared" si="1881"/>
        <v>1</v>
      </c>
      <c r="X1370" s="1">
        <f t="shared" si="1882"/>
        <v>1</v>
      </c>
      <c r="Y1370" s="1">
        <f t="shared" si="1883"/>
        <v>1</v>
      </c>
      <c r="Z1370" s="1">
        <f t="shared" si="1884"/>
        <v>1</v>
      </c>
      <c r="AA1370" s="1">
        <f t="shared" si="1916"/>
        <v>1</v>
      </c>
      <c r="AB1370" s="1">
        <f t="shared" si="1886"/>
        <v>1</v>
      </c>
      <c r="AC1370" s="1">
        <f t="shared" si="1921"/>
        <v>1</v>
      </c>
      <c r="AD1370" s="1">
        <f>ROUNDDOWN(I1370*(1+IF(F1370=3,0.05+方案参数!$Y$40+AA1370*0.12,IF(F1370=4,方案参数!$BZ$40*方案参数!$AS$40,0)))+IF(AND(X1370=1,F1370&lt;&gt;3),方案参数!$CC$40,0)+AC1370*方案参数!$CB$40,0)</f>
        <v>3024</v>
      </c>
      <c r="AE1370" s="1">
        <f>IF(OR(F1370=1,F1370=4),配置与结果!$B$24,配置与结果!$B$25)*MAX(0,1-INDEX(配置与结果!$I$15:$I$18,F1370))</f>
        <v>1200</v>
      </c>
      <c r="AF1370" s="1">
        <f>方案参数!$BL$40</f>
        <v>9</v>
      </c>
      <c r="AG1370" s="1">
        <f>MAX(配置与结果!$B$32,1+INDEX(配置与结果!$F$15:$F$18,F1370)+0.08+方案参数!$CD$40+Q1370*方案参数!$W$40+Y1370*(方案参数!$AN$40+MIN(方案参数!$AO$40,P1370*0.03))+AB1370*方案参数!$BZ$40*0.025-配置与结果!$B$28+方案参数!$AE$40)</f>
        <v>2.585</v>
      </c>
      <c r="AH1370" s="1">
        <f>MAX(0,1+V1370*方案参数!$U$40+9*方案参数!$V$40+方案参数!$AE$40-配置与结果!$B$29)</f>
        <v>2.1</v>
      </c>
      <c r="AI1370" s="1">
        <f>IF(OR(INDEX(配置与结果!$K$15:$K$18,F1370)=1,G1370="RHI_BERRY"),1+配置与结果!$B$33+P1370*方案参数!$AH$40,1)</f>
        <v>1</v>
      </c>
      <c r="AJ1370" s="1">
        <f>MIN(1,MAX(0,J1370+方案参数!$AB$40-配置与结果!$B$27))</f>
        <v>1</v>
      </c>
      <c r="AK1370" s="1">
        <f>MAX(1,K1370+IF(F1370=2,0.15+方案参数!$CH$40,0)+BN1370*方案参数!$X$40+R1370*方案参数!$AA$40+方案参数!$BP$40-配置与结果!$B$26+Z1370*(方案参数!$AP$40+MIN(方案参数!$AQ$40,P1370*0.03)))</f>
        <v>2.7050000000000001</v>
      </c>
      <c r="AL1370" s="7">
        <f>ROUNDDOWN(MAX(AD1370*配置与结果!$B$31,AD1370-AE1370)*AF1370*AG1370*AH1370*AI1370,0)</f>
        <v>89114</v>
      </c>
      <c r="AM1370" s="7">
        <f>ROUNDDOWN(MAX(AD1370*配置与结果!$B$31,AD1370-AE1370)*AF1370*AG1370*AH1370*AI1370*AK1370,0)</f>
        <v>241054</v>
      </c>
      <c r="AN1370" s="7">
        <f t="shared" si="1903"/>
        <v>241054</v>
      </c>
      <c r="AO1370" s="7">
        <f>0</f>
        <v>0</v>
      </c>
      <c r="AP1370" s="7">
        <f>MAX(0,1+INDEX(配置与结果!$J$15:$J$18,F1370)+IF(T1370&gt;0,方案参数!$BY$40,0)-配置与结果!$B$30)</f>
        <v>1</v>
      </c>
      <c r="AQ1370" s="7">
        <f t="shared" si="1904"/>
        <v>0</v>
      </c>
      <c r="AR1370" s="7">
        <f t="shared" si="1905"/>
        <v>0</v>
      </c>
      <c r="AS1370" s="7">
        <f t="shared" si="1906"/>
        <v>0</v>
      </c>
      <c r="AT1370" s="7">
        <f>IF(U1370&gt;0,ROUNDDOWN(AL1370*方案参数!$AF$40,0)*(1-AJ1370)+ROUNDDOWN(AM1370*方案参数!$AF$40,0)*AJ1370,0)</f>
        <v>0</v>
      </c>
      <c r="AU1370" s="7">
        <f t="shared" si="1907"/>
        <v>241054</v>
      </c>
      <c r="AV1370" s="1">
        <f t="shared" si="1908"/>
        <v>2</v>
      </c>
      <c r="AW1370" s="1">
        <f t="shared" si="1926"/>
        <v>10</v>
      </c>
      <c r="AX1370" s="1">
        <f t="shared" si="1909"/>
        <v>2</v>
      </c>
      <c r="AY1370" s="1">
        <f>MIN(20,MAX(0,O1370+0+1-0))</f>
        <v>8</v>
      </c>
      <c r="AZ1370" s="1">
        <f t="shared" si="1910"/>
        <v>5</v>
      </c>
      <c r="BA1370" s="1">
        <f t="shared" si="1917"/>
        <v>5</v>
      </c>
      <c r="BB1370" s="1">
        <f t="shared" si="1925"/>
        <v>20</v>
      </c>
      <c r="BC1370" s="1">
        <f t="shared" si="1923"/>
        <v>3</v>
      </c>
      <c r="BD1370" s="1">
        <f t="shared" si="1896"/>
        <v>0</v>
      </c>
      <c r="BE1370" s="1">
        <f>MAX(0,U1370-IF(AF1370&gt;0,1,0))+0</f>
        <v>0</v>
      </c>
      <c r="BF1370" s="1">
        <f t="shared" si="1927"/>
        <v>4</v>
      </c>
      <c r="BG1370" s="1">
        <f t="shared" si="1914"/>
        <v>1</v>
      </c>
      <c r="BH1370" s="1">
        <f t="shared" si="1890"/>
        <v>1</v>
      </c>
      <c r="BI1370" s="1">
        <f t="shared" si="1915"/>
        <v>1</v>
      </c>
      <c r="BJ1370" s="1">
        <f t="shared" si="1918"/>
        <v>1</v>
      </c>
      <c r="BK1370" s="1">
        <f t="shared" si="1919"/>
        <v>1</v>
      </c>
      <c r="BL1370" s="1">
        <f t="shared" si="1924"/>
        <v>1</v>
      </c>
      <c r="BM1370" s="1">
        <f t="shared" si="1922"/>
        <v>1</v>
      </c>
      <c r="BN1370" s="1">
        <f t="shared" si="1891"/>
        <v>1</v>
      </c>
      <c r="BO1370" s="1">
        <f t="shared" si="1892"/>
        <v>1</v>
      </c>
    </row>
    <row r="1371" spans="1:67" ht="30.95" customHeight="1">
      <c r="A1371" s="1">
        <f>37</f>
        <v>37</v>
      </c>
      <c r="B1371" s="1">
        <f>固定流程!A39</f>
        <v>34</v>
      </c>
      <c r="C1371" s="1">
        <f>40</f>
        <v>40</v>
      </c>
      <c r="D1371" s="1">
        <f>2</f>
        <v>2</v>
      </c>
      <c r="E1371" s="1">
        <f>固定流程!C39</f>
        <v>3</v>
      </c>
      <c r="F1371" s="1">
        <f>固定流程!G39</f>
        <v>2</v>
      </c>
      <c r="G1371" s="1" t="str">
        <f>固定流程!H39</f>
        <v>37_WEAK</v>
      </c>
      <c r="H1371" s="1">
        <f>固定流程!F39</f>
        <v>1</v>
      </c>
      <c r="I1371" s="1">
        <f>INDEX(配置与结果!$B$15:$B$18,F1371)</f>
        <v>2306</v>
      </c>
      <c r="J1371" s="1">
        <f>INDEX(配置与结果!$D$15:$D$18,F1371)</f>
        <v>0.46</v>
      </c>
      <c r="K1371" s="1">
        <f>INDEX(配置与结果!$E$15:$E$18,F1371)</f>
        <v>1.9279999999999999</v>
      </c>
      <c r="L1371" s="1">
        <f t="shared" si="1911"/>
        <v>2</v>
      </c>
      <c r="M1371" s="1">
        <f t="shared" si="1912"/>
        <v>10</v>
      </c>
      <c r="N1371" s="1">
        <f t="shared" si="1913"/>
        <v>2</v>
      </c>
      <c r="O1371" s="1">
        <f t="shared" si="1897"/>
        <v>8</v>
      </c>
      <c r="P1371" s="1">
        <f>MIN(方案参数!$AI$40,AZ1370+0+0)</f>
        <v>5</v>
      </c>
      <c r="Q1371" s="1">
        <f t="shared" si="1875"/>
        <v>5</v>
      </c>
      <c r="R1371" s="1">
        <f t="shared" si="1876"/>
        <v>20</v>
      </c>
      <c r="S1371" s="1">
        <f t="shared" si="1877"/>
        <v>3</v>
      </c>
      <c r="T1371" s="1">
        <f t="shared" si="1920"/>
        <v>0</v>
      </c>
      <c r="U1371" s="1">
        <f t="shared" si="1879"/>
        <v>0</v>
      </c>
      <c r="V1371" s="1">
        <f t="shared" si="1880"/>
        <v>4</v>
      </c>
      <c r="W1371" s="1">
        <f t="shared" si="1881"/>
        <v>1</v>
      </c>
      <c r="X1371" s="1">
        <f t="shared" si="1882"/>
        <v>1</v>
      </c>
      <c r="Y1371" s="1">
        <f t="shared" si="1883"/>
        <v>1</v>
      </c>
      <c r="Z1371" s="1">
        <f t="shared" si="1884"/>
        <v>1</v>
      </c>
      <c r="AA1371" s="1">
        <f t="shared" si="1916"/>
        <v>1</v>
      </c>
      <c r="AB1371" s="1">
        <f t="shared" si="1886"/>
        <v>1</v>
      </c>
      <c r="AC1371" s="1">
        <f t="shared" si="1921"/>
        <v>1</v>
      </c>
      <c r="AD1371" s="1">
        <f>ROUNDDOWN(I1371*(1+IF(F1371=3,0.05+方案参数!$Y$40+AA1371*0.12,IF(F1371=4,方案参数!$BZ$40*方案参数!$AS$40,0)))+IF(AND(X1371=1,F1371&lt;&gt;3),方案参数!$CC$40,0)+AC1371*方案参数!$CB$40,0)</f>
        <v>3034</v>
      </c>
      <c r="AE1371" s="1">
        <f>IF(OR(F1371=1,F1371=4),配置与结果!$B$24,配置与结果!$B$25)*MAX(0,1-INDEX(配置与结果!$I$15:$I$18,F1371))</f>
        <v>1000</v>
      </c>
      <c r="AF1371" s="1">
        <f>方案参数!$CE$40</f>
        <v>8</v>
      </c>
      <c r="AG1371" s="1">
        <f>MAX(配置与结果!$B$32,1+INDEX(配置与结果!$F$15:$F$18,F1371)+0+Q1371*方案参数!$W$40+Y1371*(方案参数!$AN$40+MIN(方案参数!$AO$40,P1371*0.03))+AB1371*方案参数!$BZ$40*0.025-配置与结果!$B$28+方案参数!$AE$40)</f>
        <v>2.25</v>
      </c>
      <c r="AH1371" s="1">
        <f>MAX(0,1+V1371*方案参数!$U$40+方案参数!$AE$40-配置与结果!$B$29)</f>
        <v>1.56</v>
      </c>
      <c r="AI1371" s="1">
        <f>IF(OR(INDEX(配置与结果!$K$15:$K$18,F1371)=1,G1371="RHI_BERRY"),1+配置与结果!$B$33+P1371*方案参数!$AH$40,1)</f>
        <v>1</v>
      </c>
      <c r="AJ1371" s="1">
        <f>MIN(1,MAX(0,J1371+方案参数!$AB$40-配置与结果!$B$27))</f>
        <v>0.76</v>
      </c>
      <c r="AK1371" s="1">
        <f>MAX(1,K1371+IF(F1371=2,0.15+方案参数!$CH$40,0)+BN1371*方案参数!$X$40+R1371*方案参数!$AA$40+0-配置与结果!$B$26+Z1371*(方案参数!$AP$40+MIN(方案参数!$AQ$40,P1371*0.03)))</f>
        <v>2.278</v>
      </c>
      <c r="AL1371" s="7">
        <f>ROUNDDOWN(MAX(AD1371*配置与结果!$B$31,AD1371-AE1371)*AF1371*AG1371*AH1371*AI1371,0)</f>
        <v>57114</v>
      </c>
      <c r="AM1371" s="7">
        <f>ROUNDDOWN(MAX(AD1371*配置与结果!$B$31,AD1371-AE1371)*AF1371*AG1371*AH1371*AI1371*AK1371,0)</f>
        <v>130107</v>
      </c>
      <c r="AN1371" s="7">
        <f t="shared" si="1903"/>
        <v>112588.68000000001</v>
      </c>
      <c r="AO1371" s="7">
        <f>0</f>
        <v>0</v>
      </c>
      <c r="AP1371" s="7">
        <f>MAX(0,1+INDEX(配置与结果!$J$15:$J$18,F1371)+IF(T1371&gt;0,方案参数!$BY$40,0)-配置与结果!$B$30)</f>
        <v>1</v>
      </c>
      <c r="AQ1371" s="7">
        <f t="shared" si="1904"/>
        <v>0</v>
      </c>
      <c r="AR1371" s="7">
        <f t="shared" si="1905"/>
        <v>0</v>
      </c>
      <c r="AS1371" s="7">
        <f t="shared" si="1906"/>
        <v>0</v>
      </c>
      <c r="AT1371" s="7">
        <f>IF(U1371&gt;0,ROUNDDOWN(AL1371*方案参数!$AF$40,0)*(1-AJ1371)+ROUNDDOWN(AM1371*方案参数!$AF$40,0)*AJ1371,0)</f>
        <v>0</v>
      </c>
      <c r="AU1371" s="7">
        <f t="shared" si="1907"/>
        <v>112588.68000000001</v>
      </c>
      <c r="AV1371" s="1">
        <f t="shared" si="1908"/>
        <v>2</v>
      </c>
      <c r="AW1371" s="1">
        <f t="shared" si="1926"/>
        <v>10</v>
      </c>
      <c r="AX1371" s="1">
        <f t="shared" si="1909"/>
        <v>2</v>
      </c>
      <c r="AY1371" s="1">
        <f>MIN(20,MAX(0,O1371+0+0-0))</f>
        <v>8</v>
      </c>
      <c r="AZ1371" s="1">
        <f t="shared" si="1910"/>
        <v>5</v>
      </c>
      <c r="BA1371" s="1">
        <f t="shared" si="1917"/>
        <v>5</v>
      </c>
      <c r="BB1371" s="1">
        <f t="shared" si="1925"/>
        <v>20</v>
      </c>
      <c r="BC1371" s="1">
        <f t="shared" si="1923"/>
        <v>3</v>
      </c>
      <c r="BD1371" s="1">
        <f t="shared" si="1896"/>
        <v>0</v>
      </c>
      <c r="BE1371" s="1">
        <f>MAX(0,U1371-IF(AF1371&gt;0,1,0))+1</f>
        <v>1</v>
      </c>
      <c r="BF1371" s="1">
        <f t="shared" si="1927"/>
        <v>4</v>
      </c>
      <c r="BG1371" s="1">
        <f t="shared" si="1914"/>
        <v>1</v>
      </c>
      <c r="BH1371" s="1">
        <f t="shared" si="1890"/>
        <v>1</v>
      </c>
      <c r="BI1371" s="1">
        <f t="shared" si="1915"/>
        <v>1</v>
      </c>
      <c r="BJ1371" s="1">
        <f t="shared" si="1918"/>
        <v>1</v>
      </c>
      <c r="BK1371" s="1">
        <f t="shared" si="1919"/>
        <v>1</v>
      </c>
      <c r="BL1371" s="1">
        <f t="shared" si="1924"/>
        <v>1</v>
      </c>
      <c r="BM1371" s="1">
        <f t="shared" si="1922"/>
        <v>1</v>
      </c>
      <c r="BN1371" s="1">
        <f t="shared" si="1891"/>
        <v>1</v>
      </c>
      <c r="BO1371" s="1">
        <f t="shared" si="1892"/>
        <v>1</v>
      </c>
    </row>
    <row r="1372" spans="1:67" ht="30.95" customHeight="1">
      <c r="A1372" s="1">
        <f>37</f>
        <v>37</v>
      </c>
      <c r="B1372" s="1">
        <f>固定流程!A40</f>
        <v>35</v>
      </c>
      <c r="C1372" s="1">
        <f>40</f>
        <v>40</v>
      </c>
      <c r="D1372" s="1">
        <f>2</f>
        <v>2</v>
      </c>
      <c r="E1372" s="1">
        <f>固定流程!C40</f>
        <v>3</v>
      </c>
      <c r="F1372" s="1">
        <f>固定流程!G40</f>
        <v>2</v>
      </c>
      <c r="G1372" s="1" t="str">
        <f>固定流程!H40</f>
        <v>37_WEAK</v>
      </c>
      <c r="H1372" s="1">
        <f>固定流程!F40</f>
        <v>1</v>
      </c>
      <c r="I1372" s="1">
        <f>INDEX(配置与结果!$B$15:$B$18,F1372)</f>
        <v>2306</v>
      </c>
      <c r="J1372" s="1">
        <f>INDEX(配置与结果!$D$15:$D$18,F1372)</f>
        <v>0.46</v>
      </c>
      <c r="K1372" s="1">
        <f>INDEX(配置与结果!$E$15:$E$18,F1372)</f>
        <v>1.9279999999999999</v>
      </c>
      <c r="L1372" s="1">
        <f t="shared" si="1911"/>
        <v>2</v>
      </c>
      <c r="M1372" s="1">
        <f t="shared" si="1912"/>
        <v>10</v>
      </c>
      <c r="N1372" s="1">
        <f t="shared" si="1913"/>
        <v>2</v>
      </c>
      <c r="O1372" s="1">
        <f t="shared" si="1897"/>
        <v>8</v>
      </c>
      <c r="P1372" s="1">
        <f>MIN(方案参数!$AI$40,AZ1371+0+0)</f>
        <v>5</v>
      </c>
      <c r="Q1372" s="1">
        <f t="shared" si="1875"/>
        <v>5</v>
      </c>
      <c r="R1372" s="1">
        <f t="shared" si="1876"/>
        <v>20</v>
      </c>
      <c r="S1372" s="1">
        <f t="shared" si="1877"/>
        <v>3</v>
      </c>
      <c r="T1372" s="1">
        <f t="shared" si="1920"/>
        <v>0</v>
      </c>
      <c r="U1372" s="1">
        <f t="shared" si="1879"/>
        <v>1</v>
      </c>
      <c r="V1372" s="1">
        <f t="shared" si="1880"/>
        <v>4</v>
      </c>
      <c r="W1372" s="1">
        <f t="shared" si="1881"/>
        <v>1</v>
      </c>
      <c r="X1372" s="1">
        <f t="shared" si="1882"/>
        <v>1</v>
      </c>
      <c r="Y1372" s="1">
        <f t="shared" si="1883"/>
        <v>1</v>
      </c>
      <c r="Z1372" s="1">
        <f t="shared" si="1884"/>
        <v>1</v>
      </c>
      <c r="AA1372" s="1">
        <f t="shared" si="1916"/>
        <v>1</v>
      </c>
      <c r="AB1372" s="1">
        <f t="shared" si="1886"/>
        <v>1</v>
      </c>
      <c r="AC1372" s="1">
        <f t="shared" si="1921"/>
        <v>1</v>
      </c>
      <c r="AD1372" s="1">
        <f>ROUNDDOWN(I1372*(1+IF(F1372=3,0.05+方案参数!$Y$40+AA1372*0.12,IF(F1372=4,方案参数!$BZ$40*方案参数!$AS$40,0)))+IF(AND(X1372=1,F1372&lt;&gt;3),方案参数!$CC$40,0)+AC1372*方案参数!$CB$40,0)</f>
        <v>3034</v>
      </c>
      <c r="AE1372" s="1">
        <f>IF(OR(F1372=1,F1372=4),配置与结果!$B$24,配置与结果!$B$25)*MAX(0,1-INDEX(配置与结果!$I$15:$I$18,F1372))</f>
        <v>1000</v>
      </c>
      <c r="AF1372" s="1">
        <f>方案参数!$CE$40</f>
        <v>8</v>
      </c>
      <c r="AG1372" s="1">
        <f>MAX(配置与结果!$B$32,1+INDEX(配置与结果!$F$15:$F$18,F1372)+0+Q1372*方案参数!$W$40+Y1372*(方案参数!$AN$40+MIN(方案参数!$AO$40,P1372*0.03))+AB1372*方案参数!$BZ$40*0.025-配置与结果!$B$28+方案参数!$AE$40)</f>
        <v>2.25</v>
      </c>
      <c r="AH1372" s="1">
        <f>MAX(0,1+V1372*方案参数!$U$40+方案参数!$AE$40-配置与结果!$B$29)</f>
        <v>1.56</v>
      </c>
      <c r="AI1372" s="1">
        <f>IF(OR(INDEX(配置与结果!$K$15:$K$18,F1372)=1,G1372="RHI_BERRY"),1+配置与结果!$B$33+P1372*方案参数!$AH$40,1)</f>
        <v>1</v>
      </c>
      <c r="AJ1372" s="1">
        <f>MIN(1,MAX(0,J1372+方案参数!$AB$40-配置与结果!$B$27))</f>
        <v>0.76</v>
      </c>
      <c r="AK1372" s="1">
        <f>MAX(1,K1372+IF(F1372=2,0.15+方案参数!$CH$40,0)+BN1372*方案参数!$X$40+R1372*方案参数!$AA$40+0-配置与结果!$B$26+Z1372*(方案参数!$AP$40+MIN(方案参数!$AQ$40,P1372*0.03)))</f>
        <v>2.278</v>
      </c>
      <c r="AL1372" s="7">
        <f>ROUNDDOWN(MAX(AD1372*配置与结果!$B$31,AD1372-AE1372)*AF1372*AG1372*AH1372*AI1372,0)</f>
        <v>57114</v>
      </c>
      <c r="AM1372" s="7">
        <f>ROUNDDOWN(MAX(AD1372*配置与结果!$B$31,AD1372-AE1372)*AF1372*AG1372*AH1372*AI1372*AK1372,0)</f>
        <v>130107</v>
      </c>
      <c r="AN1372" s="7">
        <f t="shared" si="1903"/>
        <v>112588.68000000001</v>
      </c>
      <c r="AO1372" s="7">
        <f>0</f>
        <v>0</v>
      </c>
      <c r="AP1372" s="7">
        <f>MAX(0,1+INDEX(配置与结果!$J$15:$J$18,F1372)+IF(T1372&gt;0,方案参数!$BY$40,0)-配置与结果!$B$30)</f>
        <v>1</v>
      </c>
      <c r="AQ1372" s="7">
        <f t="shared" si="1904"/>
        <v>0</v>
      </c>
      <c r="AR1372" s="7">
        <f t="shared" si="1905"/>
        <v>0</v>
      </c>
      <c r="AS1372" s="7">
        <f t="shared" si="1906"/>
        <v>0</v>
      </c>
      <c r="AT1372" s="7">
        <f>IF(U1372&gt;0,ROUNDDOWN(AL1372*方案参数!$AF$40,0)*(1-AJ1372)+ROUNDDOWN(AM1372*方案参数!$AF$40,0)*AJ1372,0)</f>
        <v>45034.720000000001</v>
      </c>
      <c r="AU1372" s="7">
        <f t="shared" si="1907"/>
        <v>157623.40000000002</v>
      </c>
      <c r="AV1372" s="1">
        <f t="shared" si="1908"/>
        <v>2</v>
      </c>
      <c r="AW1372" s="1">
        <f t="shared" si="1926"/>
        <v>10</v>
      </c>
      <c r="AX1372" s="1">
        <f t="shared" si="1909"/>
        <v>2</v>
      </c>
      <c r="AY1372" s="1">
        <f>MIN(20,MAX(0,O1372+0+0-0))</f>
        <v>8</v>
      </c>
      <c r="AZ1372" s="1">
        <f t="shared" si="1910"/>
        <v>5</v>
      </c>
      <c r="BA1372" s="1">
        <f t="shared" si="1917"/>
        <v>5</v>
      </c>
      <c r="BB1372" s="1">
        <f t="shared" si="1925"/>
        <v>20</v>
      </c>
      <c r="BC1372" s="1">
        <f t="shared" si="1923"/>
        <v>3</v>
      </c>
      <c r="BD1372" s="1">
        <f t="shared" si="1896"/>
        <v>0</v>
      </c>
      <c r="BE1372" s="1">
        <f>MAX(0,U1372-IF(AF1372&gt;0,1,0))+1</f>
        <v>1</v>
      </c>
      <c r="BF1372" s="1">
        <f t="shared" si="1927"/>
        <v>4</v>
      </c>
      <c r="BG1372" s="1">
        <f t="shared" si="1914"/>
        <v>1</v>
      </c>
      <c r="BH1372" s="1">
        <f t="shared" si="1890"/>
        <v>1</v>
      </c>
      <c r="BI1372" s="1">
        <f t="shared" si="1915"/>
        <v>1</v>
      </c>
      <c r="BJ1372" s="1">
        <f t="shared" si="1918"/>
        <v>1</v>
      </c>
      <c r="BK1372" s="1">
        <f t="shared" si="1919"/>
        <v>1</v>
      </c>
      <c r="BL1372" s="1">
        <f t="shared" si="1924"/>
        <v>1</v>
      </c>
      <c r="BM1372" s="1">
        <f t="shared" si="1922"/>
        <v>1</v>
      </c>
      <c r="BN1372" s="1">
        <f t="shared" si="1891"/>
        <v>1</v>
      </c>
      <c r="BO1372" s="1">
        <f t="shared" si="1892"/>
        <v>1</v>
      </c>
    </row>
    <row r="1373" spans="1:67" ht="30.95" customHeight="1">
      <c r="A1373" s="1">
        <f>37</f>
        <v>37</v>
      </c>
      <c r="B1373" s="1">
        <f>固定流程!A41</f>
        <v>36</v>
      </c>
      <c r="C1373" s="1">
        <f>40</f>
        <v>40</v>
      </c>
      <c r="D1373" s="1">
        <f>2</f>
        <v>2</v>
      </c>
      <c r="E1373" s="1">
        <f>固定流程!C41</f>
        <v>3</v>
      </c>
      <c r="F1373" s="1">
        <f>固定流程!G41</f>
        <v>1</v>
      </c>
      <c r="G1373" s="1" t="str">
        <f>固定流程!H41</f>
        <v>LILYA_FINISH</v>
      </c>
      <c r="H1373" s="1">
        <f>固定流程!F41</f>
        <v>1</v>
      </c>
      <c r="I1373" s="1">
        <f>INDEX(配置与结果!$B$15:$B$18,F1373)</f>
        <v>2296</v>
      </c>
      <c r="J1373" s="1">
        <f>INDEX(配置与结果!$D$15:$D$18,F1373)</f>
        <v>0.7</v>
      </c>
      <c r="K1373" s="1">
        <f>INDEX(配置与结果!$E$15:$E$18,F1373)</f>
        <v>2.0249999999999999</v>
      </c>
      <c r="L1373" s="1">
        <f t="shared" si="1911"/>
        <v>2</v>
      </c>
      <c r="M1373" s="1">
        <f t="shared" si="1912"/>
        <v>10</v>
      </c>
      <c r="N1373" s="1">
        <f t="shared" si="1913"/>
        <v>2</v>
      </c>
      <c r="O1373" s="1">
        <f t="shared" si="1897"/>
        <v>8</v>
      </c>
      <c r="P1373" s="1">
        <f>MIN(方案参数!$AI$40,AZ1372+0+0)</f>
        <v>5</v>
      </c>
      <c r="Q1373" s="1">
        <f t="shared" si="1875"/>
        <v>5</v>
      </c>
      <c r="R1373" s="1">
        <f t="shared" si="1876"/>
        <v>20</v>
      </c>
      <c r="S1373" s="1">
        <f t="shared" si="1877"/>
        <v>3</v>
      </c>
      <c r="T1373" s="1">
        <f t="shared" si="1920"/>
        <v>0</v>
      </c>
      <c r="U1373" s="1">
        <f t="shared" si="1879"/>
        <v>1</v>
      </c>
      <c r="V1373" s="1">
        <f t="shared" si="1880"/>
        <v>4</v>
      </c>
      <c r="W1373" s="1">
        <f t="shared" si="1881"/>
        <v>1</v>
      </c>
      <c r="X1373" s="1">
        <f t="shared" si="1882"/>
        <v>1</v>
      </c>
      <c r="Y1373" s="1">
        <f t="shared" si="1883"/>
        <v>1</v>
      </c>
      <c r="Z1373" s="1">
        <f t="shared" si="1884"/>
        <v>1</v>
      </c>
      <c r="AA1373" s="1">
        <f t="shared" si="1916"/>
        <v>1</v>
      </c>
      <c r="AB1373" s="1">
        <f t="shared" si="1886"/>
        <v>1</v>
      </c>
      <c r="AC1373" s="1">
        <f t="shared" si="1921"/>
        <v>1</v>
      </c>
      <c r="AD1373" s="1">
        <f>ROUNDDOWN(I1373*(1+IF(F1373=3,0.05+方案参数!$Y$40+AA1373*0.12,IF(F1373=4,方案参数!$BZ$40*方案参数!$AS$40,0)))+IF(AND(X1373=1,F1373&lt;&gt;3),方案参数!$CC$40,0)+AC1373*方案参数!$CB$40,0)</f>
        <v>3024</v>
      </c>
      <c r="AE1373" s="1">
        <f>IF(OR(F1373=1,F1373=4),配置与结果!$B$24,配置与结果!$B$25)*MAX(0,1-INDEX(配置与结果!$I$15:$I$18,F1373))</f>
        <v>1200</v>
      </c>
      <c r="AF1373" s="1">
        <f>方案参数!$BN$40+12*方案参数!$BO$40</f>
        <v>48</v>
      </c>
      <c r="AG1373" s="1">
        <f>MAX(配置与结果!$B$32,1+INDEX(配置与结果!$F$15:$F$18,F1373)+0.08+方案参数!$CD$40+Q1373*方案参数!$W$40+Y1373*(方案参数!$AN$40+MIN(方案参数!$AO$40,P1373*0.03))+AB1373*方案参数!$BZ$40*0.025-配置与结果!$B$28+方案参数!$AE$40)</f>
        <v>2.585</v>
      </c>
      <c r="AH1373" s="1">
        <f>MAX(0,1+V1373*方案参数!$U$40+12*方案参数!$V$40+方案参数!$AE$40-配置与结果!$B$29)</f>
        <v>2.2799999999999998</v>
      </c>
      <c r="AI1373" s="1">
        <f>IF(OR(INDEX(配置与结果!$K$15:$K$18,F1373)=1,G1373="RHI_BERRY"),1+配置与结果!$B$33+P1373*方案参数!$AH$40,1)</f>
        <v>1</v>
      </c>
      <c r="AJ1373" s="1">
        <f>MIN(1,MAX(0,J1373+方案参数!$AB$40-配置与结果!$B$27))</f>
        <v>1</v>
      </c>
      <c r="AK1373" s="1">
        <f>MAX(1,K1373+IF(F1373=2,0.15+方案参数!$CH$40,0)+BN1373*方案参数!$X$40+R1373*方案参数!$AA$40+方案参数!$BR$40-配置与结果!$B$26+Z1373*(方案参数!$AP$40+MIN(方案参数!$AQ$40,P1373*0.03)))</f>
        <v>3.105</v>
      </c>
      <c r="AL1373" s="7">
        <f>ROUNDDOWN(MAX(AD1373*配置与结果!$B$31,AD1373-AE1373)*AF1373*AG1373*AH1373*AI1373,0)</f>
        <v>516013</v>
      </c>
      <c r="AM1373" s="7">
        <f>ROUNDDOWN(MAX(AD1373*配置与结果!$B$31,AD1373-AE1373)*AF1373*AG1373*AH1373*AI1373*AK1373,0)</f>
        <v>1602223</v>
      </c>
      <c r="AN1373" s="7">
        <f t="shared" si="1903"/>
        <v>1602223</v>
      </c>
      <c r="AO1373" s="7">
        <f>0</f>
        <v>0</v>
      </c>
      <c r="AP1373" s="7">
        <f>MAX(0,1+INDEX(配置与结果!$J$15:$J$18,F1373)+IF(T1373&gt;0,方案参数!$BY$40,0)-配置与结果!$B$30)</f>
        <v>1</v>
      </c>
      <c r="AQ1373" s="7">
        <f t="shared" si="1904"/>
        <v>0</v>
      </c>
      <c r="AR1373" s="7">
        <f t="shared" si="1905"/>
        <v>0</v>
      </c>
      <c r="AS1373" s="7">
        <f t="shared" si="1906"/>
        <v>0</v>
      </c>
      <c r="AT1373" s="7">
        <f>IF(U1373&gt;0,ROUNDDOWN(AL1373*方案参数!$AF$40,0)*(1-AJ1373)+ROUNDDOWN(AM1373*方案参数!$AF$40,0)*AJ1373,0)</f>
        <v>640889</v>
      </c>
      <c r="AU1373" s="7">
        <f t="shared" si="1907"/>
        <v>2243112</v>
      </c>
      <c r="AV1373" s="1">
        <f t="shared" si="1908"/>
        <v>2</v>
      </c>
      <c r="AW1373" s="1">
        <f t="shared" si="1926"/>
        <v>10</v>
      </c>
      <c r="AX1373" s="1">
        <f t="shared" si="1909"/>
        <v>2</v>
      </c>
      <c r="AY1373" s="1">
        <f>MIN(20,MAX(0,O1373+0+1-0))</f>
        <v>9</v>
      </c>
      <c r="AZ1373" s="1">
        <f t="shared" si="1910"/>
        <v>5</v>
      </c>
      <c r="BA1373" s="1">
        <f t="shared" si="1917"/>
        <v>5</v>
      </c>
      <c r="BB1373" s="1">
        <f t="shared" si="1925"/>
        <v>20</v>
      </c>
      <c r="BC1373" s="1">
        <f t="shared" si="1923"/>
        <v>3</v>
      </c>
      <c r="BD1373" s="1">
        <f t="shared" si="1896"/>
        <v>0</v>
      </c>
      <c r="BE1373" s="1">
        <f>MAX(0,U1373-IF(AF1373&gt;0,1,0))+0</f>
        <v>0</v>
      </c>
      <c r="BF1373" s="1">
        <f t="shared" si="1927"/>
        <v>4</v>
      </c>
      <c r="BG1373" s="1">
        <f t="shared" si="1914"/>
        <v>1</v>
      </c>
      <c r="BH1373" s="1">
        <f t="shared" si="1890"/>
        <v>1</v>
      </c>
      <c r="BI1373" s="1">
        <f t="shared" si="1915"/>
        <v>1</v>
      </c>
      <c r="BJ1373" s="1">
        <f t="shared" si="1918"/>
        <v>1</v>
      </c>
      <c r="BK1373" s="1">
        <f t="shared" si="1919"/>
        <v>1</v>
      </c>
      <c r="BL1373" s="1">
        <f t="shared" si="1924"/>
        <v>1</v>
      </c>
      <c r="BM1373" s="1">
        <f t="shared" si="1922"/>
        <v>1</v>
      </c>
      <c r="BN1373" s="1">
        <f t="shared" si="1891"/>
        <v>1</v>
      </c>
      <c r="BO1373" s="1">
        <f t="shared" si="1892"/>
        <v>1</v>
      </c>
    </row>
    <row r="1374" spans="1:67" ht="30.95" customHeight="1">
      <c r="A1374" s="1">
        <f>38</f>
        <v>38</v>
      </c>
      <c r="B1374" s="1">
        <f>固定流程!A6</f>
        <v>1</v>
      </c>
      <c r="C1374" s="1">
        <f>41</f>
        <v>41</v>
      </c>
      <c r="D1374" s="1">
        <f>1</f>
        <v>1</v>
      </c>
      <c r="E1374" s="1">
        <f>固定流程!C6</f>
        <v>1</v>
      </c>
      <c r="F1374" s="1">
        <f>固定流程!G6</f>
        <v>3</v>
      </c>
      <c r="G1374" s="1" t="str">
        <f>固定流程!H6</f>
        <v>RHI_ULT</v>
      </c>
      <c r="H1374" s="1">
        <f>固定流程!F6</f>
        <v>1</v>
      </c>
      <c r="I1374" s="1">
        <f>INDEX(配置与结果!$B$15:$B$18,F1374)</f>
        <v>2597</v>
      </c>
      <c r="J1374" s="1">
        <f>INDEX(配置与结果!$D$15:$D$18,F1374)</f>
        <v>0.255</v>
      </c>
      <c r="K1374" s="1">
        <f>INDEX(配置与结果!$E$15:$E$18,F1374)</f>
        <v>1.55</v>
      </c>
      <c r="L1374" s="1">
        <f>0</f>
        <v>0</v>
      </c>
      <c r="M1374" s="1">
        <f>0</f>
        <v>0</v>
      </c>
      <c r="N1374" s="1">
        <f>0</f>
        <v>0</v>
      </c>
      <c r="O1374" s="1">
        <f>0</f>
        <v>0</v>
      </c>
      <c r="P1374" s="1">
        <f>MIN(方案参数!$AI$41,0+方案参数!$AJ$41+0)</f>
        <v>1</v>
      </c>
      <c r="Q1374" s="1">
        <f>0</f>
        <v>0</v>
      </c>
      <c r="R1374" s="1">
        <f>0</f>
        <v>0</v>
      </c>
      <c r="S1374" s="1">
        <f>0</f>
        <v>0</v>
      </c>
      <c r="T1374" s="1">
        <f>0+0</f>
        <v>0</v>
      </c>
      <c r="U1374" s="1">
        <f>0</f>
        <v>0</v>
      </c>
      <c r="V1374" s="1">
        <f>0</f>
        <v>0</v>
      </c>
      <c r="W1374" s="1">
        <f>0</f>
        <v>0</v>
      </c>
      <c r="X1374" s="1">
        <f>0</f>
        <v>0</v>
      </c>
      <c r="Y1374" s="1">
        <f>0</f>
        <v>0</v>
      </c>
      <c r="Z1374" s="1">
        <f>0</f>
        <v>0</v>
      </c>
      <c r="AA1374" s="1">
        <f>MAX(0,0)</f>
        <v>0</v>
      </c>
      <c r="AB1374" s="1">
        <f>0</f>
        <v>0</v>
      </c>
      <c r="AC1374" s="1">
        <f>MAX(0,0)</f>
        <v>0</v>
      </c>
      <c r="AD1374" s="1">
        <f>ROUNDDOWN(I1374*(1+IF(F1374=3,0.05+方案参数!$Y$41+AA1374*0.12,IF(F1374=4,方案参数!$BZ$41*方案参数!$AS$41,0)))+IF(AND(X1374=1,F1374&lt;&gt;3),方案参数!$CC$41,0)+AC1374*方案参数!$CB$41,0)</f>
        <v>2882</v>
      </c>
      <c r="AE1374" s="1">
        <f>IF(OR(F1374=1,F1374=4),配置与结果!$B$24,配置与结果!$B$25)*MAX(0,1-INDEX(配置与结果!$I$15:$I$18,F1374))</f>
        <v>1000</v>
      </c>
      <c r="AF1374" s="1">
        <f>0</f>
        <v>0</v>
      </c>
      <c r="AG1374" s="1">
        <f>MAX(配置与结果!$B$32,1+INDEX(配置与结果!$F$15:$F$18,F1374)+0+Q1374*方案参数!$W$41+Y1374*(方案参数!$AN$41+MIN(方案参数!$AO$41,P1374*0.03))+AB1374*方案参数!$BZ$41*0.025-配置与结果!$B$28)</f>
        <v>0.6349999999999999</v>
      </c>
      <c r="AH1374" s="1">
        <f>MAX(0,1+INDEX(配置与结果!$G$15:$G$18,F1374)+W1374*方案参数!$AG$41)</f>
        <v>1</v>
      </c>
      <c r="AI1374" s="1">
        <f>IF(OR(INDEX(配置与结果!$K$15:$K$18,F1374)=1,G1374="RHI_BERRY"),1+配置与结果!$B$33+P1374*方案参数!$AH$41,1)</f>
        <v>1</v>
      </c>
      <c r="AJ1374" s="1">
        <f>MIN(1,MAX(0,J1374+方案参数!$AB$41-配置与结果!$B$27))</f>
        <v>0.55499999999999994</v>
      </c>
      <c r="AK1374" s="1">
        <f>MAX(1,K1374+IF(F1374=2,0.15+方案参数!$CH$41,0)+BN1374*方案参数!$X$41+R1374*方案参数!$AA$41+0-配置与结果!$B$26+Z1374*(方案参数!$AP$41+MIN(方案参数!$AQ$41,P1374*0.03)))</f>
        <v>1.1499999999999999</v>
      </c>
      <c r="AL1374" s="7">
        <f>ROUNDDOWN(MAX(AD1374*配置与结果!$B$31,AD1374-AE1374)*AF1374*AG1374*AH1374*AI1374,0)</f>
        <v>0</v>
      </c>
      <c r="AM1374" s="7">
        <f>ROUNDDOWN(MAX(AD1374*配置与结果!$B$31,AD1374-AE1374)*AF1374*AG1374*AH1374*AI1374*AK1374,0)</f>
        <v>0</v>
      </c>
      <c r="AN1374" s="7">
        <f t="shared" si="1903"/>
        <v>0</v>
      </c>
      <c r="AO1374" s="7">
        <f>0</f>
        <v>0</v>
      </c>
      <c r="AP1374" s="7">
        <f>MAX(0,1+INDEX(配置与结果!$J$15:$J$18,F1374)+IF(T1374&gt;0,方案参数!$BY$41,0)-配置与结果!$B$30)</f>
        <v>1</v>
      </c>
      <c r="AQ1374" s="7">
        <f t="shared" si="1904"/>
        <v>0</v>
      </c>
      <c r="AR1374" s="7">
        <f t="shared" si="1905"/>
        <v>0</v>
      </c>
      <c r="AS1374" s="7">
        <f t="shared" si="1906"/>
        <v>0</v>
      </c>
      <c r="AT1374" s="7">
        <f>0</f>
        <v>0</v>
      </c>
      <c r="AU1374" s="7">
        <f t="shared" si="1907"/>
        <v>0</v>
      </c>
      <c r="AV1374" s="1">
        <f t="shared" si="1908"/>
        <v>0</v>
      </c>
      <c r="AW1374" s="1">
        <f t="shared" si="1926"/>
        <v>0</v>
      </c>
      <c r="AX1374" s="1">
        <f t="shared" si="1909"/>
        <v>0</v>
      </c>
      <c r="AY1374" s="1">
        <f>MIN(20,MAX(0,O1374+0+0-0))</f>
        <v>0</v>
      </c>
      <c r="AZ1374" s="1">
        <f t="shared" si="1910"/>
        <v>1</v>
      </c>
      <c r="BA1374" s="1">
        <f>MIN(6,Q1374+1)</f>
        <v>1</v>
      </c>
      <c r="BB1374" s="1">
        <f>MIN(30,R1374+5)</f>
        <v>5</v>
      </c>
      <c r="BC1374" s="1">
        <f t="shared" si="1923"/>
        <v>0</v>
      </c>
      <c r="BD1374" s="1">
        <f t="shared" si="1896"/>
        <v>0</v>
      </c>
      <c r="BE1374" s="1">
        <f>0</f>
        <v>0</v>
      </c>
      <c r="BF1374" s="1">
        <f t="shared" si="1927"/>
        <v>0</v>
      </c>
      <c r="BG1374" s="1">
        <f t="shared" si="1914"/>
        <v>0</v>
      </c>
      <c r="BH1374" s="1">
        <f>MAX(X1374,1)</f>
        <v>1</v>
      </c>
      <c r="BI1374" s="1">
        <f t="shared" si="1915"/>
        <v>0</v>
      </c>
      <c r="BJ1374" s="1">
        <f t="shared" si="1918"/>
        <v>0</v>
      </c>
      <c r="BK1374" s="1">
        <f t="shared" si="1919"/>
        <v>0</v>
      </c>
      <c r="BL1374" s="1">
        <f t="shared" si="1924"/>
        <v>0</v>
      </c>
      <c r="BM1374" s="1">
        <f t="shared" si="1922"/>
        <v>0</v>
      </c>
      <c r="BN1374" s="1">
        <f>0</f>
        <v>0</v>
      </c>
      <c r="BO1374" s="1">
        <f>MAX(BN1374,1)</f>
        <v>1</v>
      </c>
    </row>
    <row r="1375" spans="1:67" ht="30.95" customHeight="1">
      <c r="A1375" s="1">
        <f>38</f>
        <v>38</v>
      </c>
      <c r="B1375" s="1">
        <f>固定流程!A7</f>
        <v>2</v>
      </c>
      <c r="C1375" s="1">
        <f>41</f>
        <v>41</v>
      </c>
      <c r="D1375" s="1">
        <f>1</f>
        <v>1</v>
      </c>
      <c r="E1375" s="1">
        <f>固定流程!C7</f>
        <v>1</v>
      </c>
      <c r="F1375" s="1">
        <f>固定流程!G7</f>
        <v>3</v>
      </c>
      <c r="G1375" s="1" t="str">
        <f>固定流程!H7</f>
        <v>RHI_BUFF</v>
      </c>
      <c r="H1375" s="1">
        <f>固定流程!F7</f>
        <v>1</v>
      </c>
      <c r="I1375" s="1">
        <f>INDEX(配置与结果!$B$15:$B$18,F1375)</f>
        <v>2597</v>
      </c>
      <c r="J1375" s="1">
        <f>INDEX(配置与结果!$D$15:$D$18,F1375)</f>
        <v>0.255</v>
      </c>
      <c r="K1375" s="1">
        <f>INDEX(配置与结果!$E$15:$E$18,F1375)</f>
        <v>1.55</v>
      </c>
      <c r="L1375" s="1">
        <f t="shared" ref="L1375:O1380" si="1928">AV1374</f>
        <v>0</v>
      </c>
      <c r="M1375" s="1">
        <f t="shared" si="1928"/>
        <v>0</v>
      </c>
      <c r="N1375" s="1">
        <f t="shared" si="1928"/>
        <v>0</v>
      </c>
      <c r="O1375" s="1">
        <f t="shared" si="1928"/>
        <v>0</v>
      </c>
      <c r="P1375" s="1">
        <f>MIN(方案参数!$AI$41,AZ1374+0+方案参数!$AK$41)</f>
        <v>3</v>
      </c>
      <c r="Q1375" s="1">
        <f t="shared" ref="Q1375:Q1409" si="1929">BA1374</f>
        <v>1</v>
      </c>
      <c r="R1375" s="1">
        <f t="shared" ref="R1375:R1409" si="1930">BB1374</f>
        <v>5</v>
      </c>
      <c r="S1375" s="1">
        <f t="shared" ref="S1375:S1409" si="1931">BC1374</f>
        <v>0</v>
      </c>
      <c r="T1375" s="1">
        <f t="shared" ref="T1375:T1388" si="1932">BD1374+0</f>
        <v>0</v>
      </c>
      <c r="U1375" s="1">
        <f t="shared" ref="U1375:U1409" si="1933">BE1374</f>
        <v>0</v>
      </c>
      <c r="V1375" s="1">
        <f t="shared" ref="V1375:V1409" si="1934">BF1374</f>
        <v>0</v>
      </c>
      <c r="W1375" s="1">
        <f t="shared" ref="W1375:W1409" si="1935">BG1374</f>
        <v>0</v>
      </c>
      <c r="X1375" s="1">
        <f t="shared" ref="X1375:X1409" si="1936">BH1374</f>
        <v>1</v>
      </c>
      <c r="Y1375" s="1">
        <f t="shared" ref="Y1375:Y1409" si="1937">BI1374</f>
        <v>0</v>
      </c>
      <c r="Z1375" s="1">
        <f t="shared" ref="Z1375:Z1409" si="1938">BJ1374</f>
        <v>0</v>
      </c>
      <c r="AA1375" s="1">
        <f t="shared" ref="AA1375:AA1380" si="1939">MAX(BK1374,0)</f>
        <v>0</v>
      </c>
      <c r="AB1375" s="1">
        <f t="shared" ref="AB1375:AB1409" si="1940">BL1374</f>
        <v>0</v>
      </c>
      <c r="AC1375" s="1">
        <f t="shared" ref="AC1375:AC1388" si="1941">MAX(BM1374,0)</f>
        <v>0</v>
      </c>
      <c r="AD1375" s="1">
        <f>ROUNDDOWN(I1375*(1+IF(F1375=3,0.05+方案参数!$Y$41+AA1375*0.12,IF(F1375=4,方案参数!$BZ$41*方案参数!$AS$41,0)))+IF(AND(X1375=1,F1375&lt;&gt;3),方案参数!$CC$41,0)+AC1375*方案参数!$CB$41,0)</f>
        <v>2882</v>
      </c>
      <c r="AE1375" s="1">
        <f>IF(OR(F1375=1,F1375=4),配置与结果!$B$24,配置与结果!$B$25)*MAX(0,1-INDEX(配置与结果!$I$15:$I$18,F1375))</f>
        <v>1000</v>
      </c>
      <c r="AF1375" s="1">
        <f>0</f>
        <v>0</v>
      </c>
      <c r="AG1375" s="1">
        <f>MAX(配置与结果!$B$32,1+INDEX(配置与结果!$F$15:$F$18,F1375)+0+Q1375*方案参数!$W$41+Y1375*(方案参数!$AN$41+MIN(方案参数!$AO$41,P1375*0.03))+AB1375*方案参数!$BZ$41*0.025-配置与结果!$B$28)</f>
        <v>0.65099999999999991</v>
      </c>
      <c r="AH1375" s="1">
        <f>MAX(0,1+INDEX(配置与结果!$G$15:$G$18,F1375)+W1375*方案参数!$AG$41)</f>
        <v>1</v>
      </c>
      <c r="AI1375" s="1">
        <f>IF(OR(INDEX(配置与结果!$K$15:$K$18,F1375)=1,G1375="RHI_BERRY"),1+配置与结果!$B$33+P1375*方案参数!$AH$41,1)</f>
        <v>1</v>
      </c>
      <c r="AJ1375" s="1">
        <f>MIN(1,MAX(0,J1375+方案参数!$AB$41-配置与结果!$B$27))</f>
        <v>0.55499999999999994</v>
      </c>
      <c r="AK1375" s="1">
        <f>MAX(1,K1375+IF(F1375=2,0.15+方案参数!$CH$41,0)+BN1375*方案参数!$X$41+R1375*方案参数!$AA$41+0-配置与结果!$B$26+Z1375*(方案参数!$AP$41+MIN(方案参数!$AQ$41,P1375*0.03)))</f>
        <v>1.29</v>
      </c>
      <c r="AL1375" s="7">
        <f>ROUNDDOWN(MAX(AD1375*配置与结果!$B$31,AD1375-AE1375)*AF1375*AG1375*AH1375*AI1375,0)</f>
        <v>0</v>
      </c>
      <c r="AM1375" s="7">
        <f>ROUNDDOWN(MAX(AD1375*配置与结果!$B$31,AD1375-AE1375)*AF1375*AG1375*AH1375*AI1375*AK1375,0)</f>
        <v>0</v>
      </c>
      <c r="AN1375" s="7">
        <f t="shared" si="1903"/>
        <v>0</v>
      </c>
      <c r="AO1375" s="7">
        <f>0</f>
        <v>0</v>
      </c>
      <c r="AP1375" s="7">
        <f>MAX(0,1+INDEX(配置与结果!$J$15:$J$18,F1375)+IF(T1375&gt;0,方案参数!$BY$41,0)-配置与结果!$B$30)</f>
        <v>1</v>
      </c>
      <c r="AQ1375" s="7">
        <f t="shared" si="1904"/>
        <v>0</v>
      </c>
      <c r="AR1375" s="7">
        <f t="shared" si="1905"/>
        <v>0</v>
      </c>
      <c r="AS1375" s="7">
        <f t="shared" si="1906"/>
        <v>0</v>
      </c>
      <c r="AT1375" s="7">
        <f>0</f>
        <v>0</v>
      </c>
      <c r="AU1375" s="7">
        <f t="shared" si="1907"/>
        <v>0</v>
      </c>
      <c r="AV1375" s="1">
        <f t="shared" si="1908"/>
        <v>0</v>
      </c>
      <c r="AW1375" s="1">
        <f t="shared" si="1926"/>
        <v>0</v>
      </c>
      <c r="AX1375" s="1">
        <f t="shared" si="1909"/>
        <v>0</v>
      </c>
      <c r="AY1375" s="1">
        <f>MIN(20,MAX(0,O1375+0+0-0))</f>
        <v>0</v>
      </c>
      <c r="AZ1375" s="1">
        <f t="shared" si="1910"/>
        <v>3</v>
      </c>
      <c r="BA1375" s="1">
        <f>MIN(6,Q1375+1)</f>
        <v>2</v>
      </c>
      <c r="BB1375" s="1">
        <f t="shared" ref="BB1375:BB1388" si="1942">MIN(30,R1375+0)</f>
        <v>5</v>
      </c>
      <c r="BC1375" s="1">
        <f t="shared" si="1923"/>
        <v>0</v>
      </c>
      <c r="BD1375" s="1">
        <f t="shared" si="1896"/>
        <v>0</v>
      </c>
      <c r="BE1375" s="1">
        <f t="shared" ref="BE1375:BE1396" si="1943">BE1374</f>
        <v>0</v>
      </c>
      <c r="BF1375" s="1">
        <f t="shared" si="1927"/>
        <v>0</v>
      </c>
      <c r="BG1375" s="1">
        <f>MAX(W1375,1)</f>
        <v>1</v>
      </c>
      <c r="BH1375" s="1">
        <f t="shared" ref="BH1375:BH1409" si="1944">MAX(X1375,0)</f>
        <v>1</v>
      </c>
      <c r="BI1375" s="1">
        <f>MAX(Y1375,1)</f>
        <v>1</v>
      </c>
      <c r="BJ1375" s="1">
        <f t="shared" si="1918"/>
        <v>0</v>
      </c>
      <c r="BK1375" s="1">
        <f t="shared" si="1919"/>
        <v>0</v>
      </c>
      <c r="BL1375" s="1">
        <f t="shared" si="1924"/>
        <v>0</v>
      </c>
      <c r="BM1375" s="1">
        <f t="shared" si="1922"/>
        <v>0</v>
      </c>
      <c r="BN1375" s="1">
        <f t="shared" ref="BN1375:BN1409" si="1945">BO1374</f>
        <v>1</v>
      </c>
      <c r="BO1375" s="1">
        <f t="shared" ref="BO1375:BO1409" si="1946">MAX(BN1375,0)</f>
        <v>1</v>
      </c>
    </row>
    <row r="1376" spans="1:67" ht="30.95" customHeight="1">
      <c r="A1376" s="1">
        <f>38</f>
        <v>38</v>
      </c>
      <c r="B1376" s="1">
        <f>固定流程!A8</f>
        <v>3</v>
      </c>
      <c r="C1376" s="1">
        <f>41</f>
        <v>41</v>
      </c>
      <c r="D1376" s="1">
        <f>1</f>
        <v>1</v>
      </c>
      <c r="E1376" s="1">
        <f>固定流程!C8</f>
        <v>1</v>
      </c>
      <c r="F1376" s="1">
        <f>固定流程!G8</f>
        <v>1</v>
      </c>
      <c r="G1376" s="1" t="str">
        <f>固定流程!H8</f>
        <v>LILYA_COBRA</v>
      </c>
      <c r="H1376" s="1">
        <f>固定流程!F8</f>
        <v>1</v>
      </c>
      <c r="I1376" s="1">
        <f>INDEX(配置与结果!$B$15:$B$18,F1376)</f>
        <v>2296</v>
      </c>
      <c r="J1376" s="1">
        <f>INDEX(配置与结果!$D$15:$D$18,F1376)</f>
        <v>0.7</v>
      </c>
      <c r="K1376" s="1">
        <f>INDEX(配置与结果!$E$15:$E$18,F1376)</f>
        <v>2.0249999999999999</v>
      </c>
      <c r="L1376" s="1">
        <f t="shared" si="1928"/>
        <v>0</v>
      </c>
      <c r="M1376" s="1">
        <f t="shared" si="1928"/>
        <v>0</v>
      </c>
      <c r="N1376" s="1">
        <f t="shared" si="1928"/>
        <v>0</v>
      </c>
      <c r="O1376" s="1">
        <f t="shared" si="1928"/>
        <v>0</v>
      </c>
      <c r="P1376" s="1">
        <f>MIN(方案参数!$AI$41,AZ1375+0+0)</f>
        <v>3</v>
      </c>
      <c r="Q1376" s="1">
        <f t="shared" si="1929"/>
        <v>2</v>
      </c>
      <c r="R1376" s="1">
        <f t="shared" si="1930"/>
        <v>5</v>
      </c>
      <c r="S1376" s="1">
        <f t="shared" si="1931"/>
        <v>0</v>
      </c>
      <c r="T1376" s="1">
        <f t="shared" si="1932"/>
        <v>0</v>
      </c>
      <c r="U1376" s="1">
        <f t="shared" si="1933"/>
        <v>0</v>
      </c>
      <c r="V1376" s="1">
        <f t="shared" si="1934"/>
        <v>0</v>
      </c>
      <c r="W1376" s="1">
        <f t="shared" si="1935"/>
        <v>1</v>
      </c>
      <c r="X1376" s="1">
        <f t="shared" si="1936"/>
        <v>1</v>
      </c>
      <c r="Y1376" s="1">
        <f t="shared" si="1937"/>
        <v>1</v>
      </c>
      <c r="Z1376" s="1">
        <f t="shared" si="1938"/>
        <v>0</v>
      </c>
      <c r="AA1376" s="1">
        <f t="shared" si="1939"/>
        <v>0</v>
      </c>
      <c r="AB1376" s="1">
        <f t="shared" si="1940"/>
        <v>0</v>
      </c>
      <c r="AC1376" s="1">
        <f t="shared" si="1941"/>
        <v>0</v>
      </c>
      <c r="AD1376" s="1">
        <f>ROUNDDOWN(I1376*(1+IF(F1376=3,0.05+方案参数!$Y$41+AA1376*0.12,IF(F1376=4,方案参数!$BZ$41*方案参数!$AS$41,0)))+IF(AND(X1376=1,F1376&lt;&gt;3),方案参数!$CC$41,0)+AC1376*方案参数!$CB$41,0)</f>
        <v>2526</v>
      </c>
      <c r="AE1376" s="1">
        <f>IF(OR(F1376=1,F1376=4),配置与结果!$B$24,配置与结果!$B$25)*MAX(0,1-INDEX(配置与结果!$I$15:$I$18,F1376))</f>
        <v>1200</v>
      </c>
      <c r="AF1376" s="1">
        <f>0</f>
        <v>0</v>
      </c>
      <c r="AG1376" s="1">
        <f>MAX(配置与结果!$B$32,1+INDEX(配置与结果!$F$15:$F$18,F1376)+0.08+方案参数!$CD$41+Q1376*方案参数!$W$41+Y1376*(方案参数!$AN$41+MIN(方案参数!$AO$41,P1376*0.03))+AB1376*方案参数!$BZ$41*0.025-配置与结果!$B$28)</f>
        <v>1.2120000000000002</v>
      </c>
      <c r="AH1376" s="1">
        <f>MAX(0,1+INDEX(配置与结果!$G$15:$G$18,F1376)+W1376*方案参数!$AG$41)</f>
        <v>1.3</v>
      </c>
      <c r="AI1376" s="1">
        <f>IF(OR(INDEX(配置与结果!$K$15:$K$18,F1376)=1,G1376="RHI_BERRY"),1+配置与结果!$B$33+P1376*方案参数!$AH$41,1)</f>
        <v>1</v>
      </c>
      <c r="AJ1376" s="1">
        <f>MIN(1,MAX(0,J1376+方案参数!$AB$41-配置与结果!$B$27))</f>
        <v>1</v>
      </c>
      <c r="AK1376" s="1">
        <f>MAX(1,K1376+IF(F1376=2,0.15+方案参数!$CH$41,0)+BN1376*方案参数!$X$41+R1376*方案参数!$AA$41+0-配置与结果!$B$26+Z1376*(方案参数!$AP$41+MIN(方案参数!$AQ$41,P1376*0.03)))</f>
        <v>1.7650000000000001</v>
      </c>
      <c r="AL1376" s="7">
        <f>ROUNDDOWN(MAX(AD1376*配置与结果!$B$31,AD1376-AE1376)*AF1376*AG1376*AH1376*AI1376,0)</f>
        <v>0</v>
      </c>
      <c r="AM1376" s="7">
        <f>ROUNDDOWN(MAX(AD1376*配置与结果!$B$31,AD1376-AE1376)*AF1376*AG1376*AH1376*AI1376*AK1376,0)</f>
        <v>0</v>
      </c>
      <c r="AN1376" s="7">
        <f t="shared" si="1903"/>
        <v>0</v>
      </c>
      <c r="AO1376" s="7">
        <f>0</f>
        <v>0</v>
      </c>
      <c r="AP1376" s="7">
        <f>MAX(0,1+INDEX(配置与结果!$J$15:$J$18,F1376)+IF(T1376&gt;0,方案参数!$BY$41,0)-配置与结果!$B$30)</f>
        <v>1</v>
      </c>
      <c r="AQ1376" s="7">
        <f t="shared" si="1904"/>
        <v>0</v>
      </c>
      <c r="AR1376" s="7">
        <f t="shared" si="1905"/>
        <v>0</v>
      </c>
      <c r="AS1376" s="7">
        <f t="shared" si="1906"/>
        <v>0</v>
      </c>
      <c r="AT1376" s="7">
        <f>0</f>
        <v>0</v>
      </c>
      <c r="AU1376" s="7">
        <f t="shared" si="1907"/>
        <v>0</v>
      </c>
      <c r="AV1376" s="1">
        <f t="shared" si="1908"/>
        <v>1</v>
      </c>
      <c r="AW1376" s="1">
        <f>MIN(10,M1376+方案参数!$BD$41+0)</f>
        <v>3</v>
      </c>
      <c r="AX1376" s="1">
        <f t="shared" si="1909"/>
        <v>0</v>
      </c>
      <c r="AY1376" s="1">
        <f>MIN(20,MAX(0,O1376+6+0-0))</f>
        <v>6</v>
      </c>
      <c r="AZ1376" s="1">
        <f t="shared" si="1910"/>
        <v>3</v>
      </c>
      <c r="BA1376" s="1">
        <f>MIN(6,Q1376+0)</f>
        <v>2</v>
      </c>
      <c r="BB1376" s="1">
        <f t="shared" si="1942"/>
        <v>5</v>
      </c>
      <c r="BC1376" s="1">
        <f t="shared" si="1923"/>
        <v>0</v>
      </c>
      <c r="BD1376" s="1">
        <f t="shared" si="1896"/>
        <v>0</v>
      </c>
      <c r="BE1376" s="1">
        <f t="shared" si="1943"/>
        <v>0</v>
      </c>
      <c r="BF1376" s="1">
        <f t="shared" si="1927"/>
        <v>0</v>
      </c>
      <c r="BG1376" s="1">
        <f t="shared" ref="BG1376:BG1386" si="1947">MAX(W1376,0)</f>
        <v>1</v>
      </c>
      <c r="BH1376" s="1">
        <f t="shared" si="1944"/>
        <v>1</v>
      </c>
      <c r="BI1376" s="1">
        <f t="shared" ref="BI1376:BI1386" si="1948">MAX(Y1376,0)</f>
        <v>1</v>
      </c>
      <c r="BJ1376" s="1">
        <f t="shared" si="1918"/>
        <v>0</v>
      </c>
      <c r="BK1376" s="1">
        <f t="shared" si="1919"/>
        <v>0</v>
      </c>
      <c r="BL1376" s="1">
        <f t="shared" si="1924"/>
        <v>0</v>
      </c>
      <c r="BM1376" s="1">
        <f t="shared" si="1922"/>
        <v>0</v>
      </c>
      <c r="BN1376" s="1">
        <f t="shared" si="1945"/>
        <v>1</v>
      </c>
      <c r="BO1376" s="1">
        <f t="shared" si="1946"/>
        <v>1</v>
      </c>
    </row>
    <row r="1377" spans="1:67" ht="30.95" customHeight="1">
      <c r="A1377" s="1">
        <f>38</f>
        <v>38</v>
      </c>
      <c r="B1377" s="1">
        <f>固定流程!A9</f>
        <v>4</v>
      </c>
      <c r="C1377" s="1">
        <f>41</f>
        <v>41</v>
      </c>
      <c r="D1377" s="1">
        <f>1</f>
        <v>1</v>
      </c>
      <c r="E1377" s="1">
        <f>固定流程!C9</f>
        <v>1</v>
      </c>
      <c r="F1377" s="1">
        <f>固定流程!G9</f>
        <v>1</v>
      </c>
      <c r="G1377" s="1" t="str">
        <f>固定流程!H9</f>
        <v>LILYA_DIVE</v>
      </c>
      <c r="H1377" s="1">
        <f>固定流程!F9</f>
        <v>1</v>
      </c>
      <c r="I1377" s="1">
        <f>INDEX(配置与结果!$B$15:$B$18,F1377)</f>
        <v>2296</v>
      </c>
      <c r="J1377" s="1">
        <f>INDEX(配置与结果!$D$15:$D$18,F1377)</f>
        <v>0.7</v>
      </c>
      <c r="K1377" s="1">
        <f>INDEX(配置与结果!$E$15:$E$18,F1377)</f>
        <v>2.0249999999999999</v>
      </c>
      <c r="L1377" s="1">
        <f t="shared" si="1928"/>
        <v>1</v>
      </c>
      <c r="M1377" s="1">
        <f t="shared" si="1928"/>
        <v>3</v>
      </c>
      <c r="N1377" s="1">
        <f t="shared" si="1928"/>
        <v>0</v>
      </c>
      <c r="O1377" s="1">
        <f t="shared" si="1928"/>
        <v>6</v>
      </c>
      <c r="P1377" s="1">
        <f>MIN(方案参数!$AI$41,AZ1376+0+0)</f>
        <v>3</v>
      </c>
      <c r="Q1377" s="1">
        <f t="shared" si="1929"/>
        <v>2</v>
      </c>
      <c r="R1377" s="1">
        <f t="shared" si="1930"/>
        <v>5</v>
      </c>
      <c r="S1377" s="1">
        <f t="shared" si="1931"/>
        <v>0</v>
      </c>
      <c r="T1377" s="1">
        <f t="shared" si="1932"/>
        <v>0</v>
      </c>
      <c r="U1377" s="1">
        <f t="shared" si="1933"/>
        <v>0</v>
      </c>
      <c r="V1377" s="1">
        <f t="shared" si="1934"/>
        <v>0</v>
      </c>
      <c r="W1377" s="1">
        <f t="shared" si="1935"/>
        <v>1</v>
      </c>
      <c r="X1377" s="1">
        <f t="shared" si="1936"/>
        <v>1</v>
      </c>
      <c r="Y1377" s="1">
        <f t="shared" si="1937"/>
        <v>1</v>
      </c>
      <c r="Z1377" s="1">
        <f t="shared" si="1938"/>
        <v>0</v>
      </c>
      <c r="AA1377" s="1">
        <f t="shared" si="1939"/>
        <v>0</v>
      </c>
      <c r="AB1377" s="1">
        <f t="shared" si="1940"/>
        <v>0</v>
      </c>
      <c r="AC1377" s="1">
        <f t="shared" si="1941"/>
        <v>0</v>
      </c>
      <c r="AD1377" s="1">
        <f>ROUNDDOWN(I1377*(1+IF(F1377=3,0.05+方案参数!$Y$41+AA1377*0.12,IF(F1377=4,方案参数!$BZ$41*方案参数!$AS$41,0)))+IF(AND(X1377=1,F1377&lt;&gt;3),方案参数!$CC$41,0)+AC1377*方案参数!$CB$41,0)</f>
        <v>2526</v>
      </c>
      <c r="AE1377" s="1">
        <f>IF(OR(F1377=1,F1377=4),配置与结果!$B$24,配置与结果!$B$25)*MAX(0,1-INDEX(配置与结果!$I$15:$I$18,F1377))</f>
        <v>1200</v>
      </c>
      <c r="AF1377" s="1">
        <f>(IF(L1377=1,方案参数!$AW$41,IF(L1377=2,方案参数!$AX$41,0))+方案参数!$AV$41)*H1377</f>
        <v>6</v>
      </c>
      <c r="AG1377" s="1">
        <f>MAX(配置与结果!$B$32,1+INDEX(配置与结果!$F$15:$F$18,F1377)+0.08+方案参数!$CD$41+Q1377*方案参数!$W$41+Y1377*(方案参数!$AN$41+MIN(方案参数!$AO$41,P1377*0.03))+AB1377*方案参数!$BZ$41*0.025+IF(L1377=1,方案参数!$AY$41+(H1377-1)*0.1,IF(L1377=2,方案参数!$AZ$41+(H1377-1)*0.2,0))-配置与结果!$B$28)</f>
        <v>1.3120000000000003</v>
      </c>
      <c r="AH1377" s="1">
        <f>MAX(0,1+INDEX(配置与结果!$G$15:$G$18,F1377)+W1377*方案参数!$AG$41+IF(L1377=1,方案参数!$BA$41,IF(L1377=2,方案参数!$BB$41,0))+M1377*方案参数!$BC$41)</f>
        <v>2.08</v>
      </c>
      <c r="AI1377" s="1">
        <f>IF(OR(INDEX(配置与结果!$K$15:$K$18,F1377)=1,G1377="RHI_BERRY"),1+配置与结果!$B$33+P1377*方案参数!$AH$41,1)</f>
        <v>1</v>
      </c>
      <c r="AJ1377" s="1">
        <f>MIN(1,MAX(0,J1377+方案参数!$AB$41-配置与结果!$B$27))</f>
        <v>1</v>
      </c>
      <c r="AK1377" s="1">
        <f>MAX(1,K1377+IF(F1377=2,0.15+方案参数!$CH$41,0)+BN1377*方案参数!$X$41+R1377*方案参数!$AA$41+0-配置与结果!$B$26+Z1377*(方案参数!$AP$41+MIN(方案参数!$AQ$41,P1377*0.03)))</f>
        <v>1.7650000000000001</v>
      </c>
      <c r="AL1377" s="7">
        <f>ROUNDDOWN(MAX(AD1377*配置与结果!$B$31,AD1377-AE1377)*AF1377*AG1377*AH1377*AI1377,0)</f>
        <v>21711</v>
      </c>
      <c r="AM1377" s="7">
        <f>ROUNDDOWN(MAX(AD1377*配置与结果!$B$31,AD1377-AE1377)*AF1377*AG1377*AH1377*AI1377*AK1377,0)</f>
        <v>38320</v>
      </c>
      <c r="AN1377" s="7">
        <f t="shared" si="1903"/>
        <v>38320</v>
      </c>
      <c r="AO1377" s="7">
        <f>0</f>
        <v>0</v>
      </c>
      <c r="AP1377" s="7">
        <f>MAX(0,1+INDEX(配置与结果!$J$15:$J$18,F1377)+IF(T1377&gt;0,方案参数!$BY$41,0)-配置与结果!$B$30)</f>
        <v>1</v>
      </c>
      <c r="AQ1377" s="7">
        <f t="shared" si="1904"/>
        <v>0</v>
      </c>
      <c r="AR1377" s="7">
        <f t="shared" si="1905"/>
        <v>0</v>
      </c>
      <c r="AS1377" s="7">
        <f t="shared" si="1906"/>
        <v>0</v>
      </c>
      <c r="AT1377" s="7">
        <f>0</f>
        <v>0</v>
      </c>
      <c r="AU1377" s="7">
        <f t="shared" si="1907"/>
        <v>38320</v>
      </c>
      <c r="AV1377" s="1">
        <f t="shared" si="1908"/>
        <v>1</v>
      </c>
      <c r="AW1377" s="1">
        <f>MIN(10,M1377+0+IF(L1377=1,方案参数!$BE$41,0))</f>
        <v>4</v>
      </c>
      <c r="AX1377" s="1">
        <f t="shared" si="1909"/>
        <v>0</v>
      </c>
      <c r="AY1377" s="1">
        <f t="shared" ref="AY1377:AY1392" si="1949">MIN(20,MAX(0,O1377+0+0-0))</f>
        <v>6</v>
      </c>
      <c r="AZ1377" s="1">
        <f t="shared" si="1910"/>
        <v>3</v>
      </c>
      <c r="BA1377" s="1">
        <f>MIN(6,Q1377+0)</f>
        <v>2</v>
      </c>
      <c r="BB1377" s="1">
        <f t="shared" si="1942"/>
        <v>5</v>
      </c>
      <c r="BC1377" s="1">
        <f t="shared" si="1923"/>
        <v>0</v>
      </c>
      <c r="BD1377" s="1">
        <f t="shared" si="1896"/>
        <v>0</v>
      </c>
      <c r="BE1377" s="1">
        <f t="shared" si="1943"/>
        <v>0</v>
      </c>
      <c r="BF1377" s="1">
        <f t="shared" si="1927"/>
        <v>0</v>
      </c>
      <c r="BG1377" s="1">
        <f t="shared" si="1947"/>
        <v>1</v>
      </c>
      <c r="BH1377" s="1">
        <f t="shared" si="1944"/>
        <v>1</v>
      </c>
      <c r="BI1377" s="1">
        <f t="shared" si="1948"/>
        <v>1</v>
      </c>
      <c r="BJ1377" s="1">
        <f t="shared" si="1918"/>
        <v>0</v>
      </c>
      <c r="BK1377" s="1">
        <f t="shared" si="1919"/>
        <v>0</v>
      </c>
      <c r="BL1377" s="1">
        <f t="shared" si="1924"/>
        <v>0</v>
      </c>
      <c r="BM1377" s="1">
        <f t="shared" si="1922"/>
        <v>0</v>
      </c>
      <c r="BN1377" s="1">
        <f t="shared" si="1945"/>
        <v>1</v>
      </c>
      <c r="BO1377" s="1">
        <f t="shared" si="1946"/>
        <v>1</v>
      </c>
    </row>
    <row r="1378" spans="1:67" ht="30.95" customHeight="1">
      <c r="A1378" s="1">
        <f>38</f>
        <v>38</v>
      </c>
      <c r="B1378" s="1">
        <f>固定流程!A10</f>
        <v>5</v>
      </c>
      <c r="C1378" s="1">
        <f>41</f>
        <v>41</v>
      </c>
      <c r="D1378" s="1">
        <f>1</f>
        <v>1</v>
      </c>
      <c r="E1378" s="1">
        <f>固定流程!C10</f>
        <v>1</v>
      </c>
      <c r="F1378" s="1">
        <f>固定流程!G10</f>
        <v>2</v>
      </c>
      <c r="G1378" s="1" t="str">
        <f>固定流程!H10</f>
        <v>37_TRIANGLE</v>
      </c>
      <c r="H1378" s="1">
        <f>固定流程!F10</f>
        <v>1</v>
      </c>
      <c r="I1378" s="1">
        <f>INDEX(配置与结果!$B$15:$B$18,F1378)</f>
        <v>2306</v>
      </c>
      <c r="J1378" s="1">
        <f>INDEX(配置与结果!$D$15:$D$18,F1378)</f>
        <v>0.46</v>
      </c>
      <c r="K1378" s="1">
        <f>INDEX(配置与结果!$E$15:$E$18,F1378)</f>
        <v>1.9279999999999999</v>
      </c>
      <c r="L1378" s="1">
        <f t="shared" si="1928"/>
        <v>1</v>
      </c>
      <c r="M1378" s="1">
        <f t="shared" si="1928"/>
        <v>4</v>
      </c>
      <c r="N1378" s="1">
        <f t="shared" si="1928"/>
        <v>0</v>
      </c>
      <c r="O1378" s="1">
        <f t="shared" si="1928"/>
        <v>6</v>
      </c>
      <c r="P1378" s="1">
        <f>MIN(方案参数!$AI$41,AZ1377+0+0)</f>
        <v>3</v>
      </c>
      <c r="Q1378" s="1">
        <f t="shared" si="1929"/>
        <v>2</v>
      </c>
      <c r="R1378" s="1">
        <f t="shared" si="1930"/>
        <v>5</v>
      </c>
      <c r="S1378" s="1">
        <f t="shared" si="1931"/>
        <v>0</v>
      </c>
      <c r="T1378" s="1">
        <f t="shared" si="1932"/>
        <v>0</v>
      </c>
      <c r="U1378" s="1">
        <f t="shared" si="1933"/>
        <v>0</v>
      </c>
      <c r="V1378" s="1">
        <f t="shared" si="1934"/>
        <v>0</v>
      </c>
      <c r="W1378" s="1">
        <f t="shared" si="1935"/>
        <v>1</v>
      </c>
      <c r="X1378" s="1">
        <f t="shared" si="1936"/>
        <v>1</v>
      </c>
      <c r="Y1378" s="1">
        <f t="shared" si="1937"/>
        <v>1</v>
      </c>
      <c r="Z1378" s="1">
        <f t="shared" si="1938"/>
        <v>0</v>
      </c>
      <c r="AA1378" s="1">
        <f t="shared" si="1939"/>
        <v>0</v>
      </c>
      <c r="AB1378" s="1">
        <f t="shared" si="1940"/>
        <v>0</v>
      </c>
      <c r="AC1378" s="1">
        <f t="shared" si="1941"/>
        <v>0</v>
      </c>
      <c r="AD1378" s="1">
        <f>ROUNDDOWN(I1378*(1+IF(F1378=3,0.05+方案参数!$Y$41+AA1378*0.12,IF(F1378=4,方案参数!$BZ$41*方案参数!$AS$41,0)))+IF(AND(X1378=1,F1378&lt;&gt;3),方案参数!$CC$41,0)+AC1378*方案参数!$CB$41,0)</f>
        <v>2536</v>
      </c>
      <c r="AE1378" s="1">
        <f>IF(OR(F1378=1,F1378=4),配置与结果!$B$24,配置与结果!$B$25)*MAX(0,1-INDEX(配置与结果!$I$15:$I$18,F1378))</f>
        <v>1000</v>
      </c>
      <c r="AF1378" s="1">
        <f>方案参数!$BS$41*IF(H1378=1,1,IF(H1378=2,1.5,2.5))</f>
        <v>2.8</v>
      </c>
      <c r="AG1378" s="1">
        <f>MAX(配置与结果!$B$32,1+INDEX(配置与结果!$F$15:$F$18,F1378)+0+Q1378*方案参数!$W$41+Y1378*(方案参数!$AN$41+MIN(方案参数!$AO$41,P1378*0.03))+AB1378*方案参数!$BZ$41*0.025-配置与结果!$B$28)</f>
        <v>0.87699999999999989</v>
      </c>
      <c r="AH1378" s="1">
        <f>MAX(0,1+INDEX(配置与结果!$G$15:$G$18,F1378)+W1378*方案参数!$AG$41)</f>
        <v>1.3</v>
      </c>
      <c r="AI1378" s="1">
        <f>IF(OR(INDEX(配置与结果!$K$15:$K$18,F1378)=1,G1378="RHI_BERRY"),1+配置与结果!$B$33+P1378*方案参数!$AH$41,1)</f>
        <v>1</v>
      </c>
      <c r="AJ1378" s="1">
        <f>MIN(1,MAX(0,J1378+方案参数!$AB$41-配置与结果!$B$27))</f>
        <v>0.76</v>
      </c>
      <c r="AK1378" s="1">
        <f>MAX(1,K1378+IF(F1378=2,0.15+方案参数!$CH$41,0)+BN1378*方案参数!$X$41+R1378*方案参数!$AA$41+0-配置与结果!$B$26+Z1378*(方案参数!$AP$41+MIN(方案参数!$AQ$41,P1378*0.03)))</f>
        <v>1.9380000000000002</v>
      </c>
      <c r="AL1378" s="7">
        <f>ROUNDDOWN(MAX(AD1378*配置与结果!$B$31,AD1378-AE1378)*AF1378*AG1378*AH1378*AI1378,0)</f>
        <v>4903</v>
      </c>
      <c r="AM1378" s="7">
        <f>ROUNDDOWN(MAX(AD1378*配置与结果!$B$31,AD1378-AE1378)*AF1378*AG1378*AH1378*AI1378*AK1378,0)</f>
        <v>9502</v>
      </c>
      <c r="AN1378" s="7">
        <f t="shared" si="1903"/>
        <v>8398.24</v>
      </c>
      <c r="AO1378" s="7">
        <f>方案参数!$BU$41*IF(H1378=1,1,IF(H1378=2,1.5,2.5))</f>
        <v>0.8</v>
      </c>
      <c r="AP1378" s="7">
        <f>MAX(0,1+INDEX(配置与结果!$J$15:$J$18,F1378)+IF(T1378&gt;0,方案参数!$BY$41,0)-配置与结果!$B$30)</f>
        <v>1</v>
      </c>
      <c r="AQ1378" s="7">
        <f t="shared" si="1904"/>
        <v>2028</v>
      </c>
      <c r="AR1378" s="7">
        <f t="shared" si="1905"/>
        <v>3930</v>
      </c>
      <c r="AS1378" s="7">
        <f t="shared" si="1906"/>
        <v>3473.52</v>
      </c>
      <c r="AT1378" s="7">
        <f>0</f>
        <v>0</v>
      </c>
      <c r="AU1378" s="7">
        <f t="shared" si="1907"/>
        <v>11871.76</v>
      </c>
      <c r="AV1378" s="1">
        <f t="shared" si="1908"/>
        <v>1</v>
      </c>
      <c r="AW1378" s="1">
        <f>MIN(10,M1378+0+0)</f>
        <v>4</v>
      </c>
      <c r="AX1378" s="1">
        <f t="shared" si="1909"/>
        <v>0</v>
      </c>
      <c r="AY1378" s="1">
        <f t="shared" si="1949"/>
        <v>6</v>
      </c>
      <c r="AZ1378" s="1">
        <f t="shared" si="1910"/>
        <v>3</v>
      </c>
      <c r="BA1378" s="1">
        <f>MIN(6,Q1378+0)</f>
        <v>2</v>
      </c>
      <c r="BB1378" s="1">
        <f t="shared" si="1942"/>
        <v>5</v>
      </c>
      <c r="BC1378" s="1">
        <f t="shared" si="1923"/>
        <v>0</v>
      </c>
      <c r="BD1378" s="1">
        <f>MAX(0,T1378-IF(AO1378&gt;0,1,0))+1</f>
        <v>1</v>
      </c>
      <c r="BE1378" s="1">
        <f t="shared" si="1943"/>
        <v>0</v>
      </c>
      <c r="BF1378" s="1">
        <f t="shared" si="1927"/>
        <v>0</v>
      </c>
      <c r="BG1378" s="1">
        <f t="shared" si="1947"/>
        <v>1</v>
      </c>
      <c r="BH1378" s="1">
        <f t="shared" si="1944"/>
        <v>1</v>
      </c>
      <c r="BI1378" s="1">
        <f t="shared" si="1948"/>
        <v>1</v>
      </c>
      <c r="BJ1378" s="1">
        <f t="shared" si="1918"/>
        <v>0</v>
      </c>
      <c r="BK1378" s="1">
        <f t="shared" si="1919"/>
        <v>0</v>
      </c>
      <c r="BL1378" s="1">
        <f t="shared" si="1924"/>
        <v>0</v>
      </c>
      <c r="BM1378" s="1">
        <f t="shared" si="1922"/>
        <v>0</v>
      </c>
      <c r="BN1378" s="1">
        <f t="shared" si="1945"/>
        <v>1</v>
      </c>
      <c r="BO1378" s="1">
        <f t="shared" si="1946"/>
        <v>1</v>
      </c>
    </row>
    <row r="1379" spans="1:67" ht="30.95" customHeight="1">
      <c r="A1379" s="1">
        <f>38</f>
        <v>38</v>
      </c>
      <c r="B1379" s="1">
        <f>固定流程!A11</f>
        <v>6</v>
      </c>
      <c r="C1379" s="1">
        <f>41</f>
        <v>41</v>
      </c>
      <c r="D1379" s="1">
        <f>1</f>
        <v>1</v>
      </c>
      <c r="E1379" s="1">
        <f>固定流程!C11</f>
        <v>1</v>
      </c>
      <c r="F1379" s="1">
        <f>固定流程!G11</f>
        <v>2</v>
      </c>
      <c r="G1379" s="1" t="str">
        <f>固定流程!H11</f>
        <v>37_FOLLOW</v>
      </c>
      <c r="H1379" s="1">
        <f>固定流程!F11</f>
        <v>1</v>
      </c>
      <c r="I1379" s="1">
        <f>INDEX(配置与结果!$B$15:$B$18,F1379)</f>
        <v>2306</v>
      </c>
      <c r="J1379" s="1">
        <f>INDEX(配置与结果!$D$15:$D$18,F1379)</f>
        <v>0.46</v>
      </c>
      <c r="K1379" s="1">
        <f>INDEX(配置与结果!$E$15:$E$18,F1379)</f>
        <v>1.9279999999999999</v>
      </c>
      <c r="L1379" s="1">
        <f t="shared" si="1928"/>
        <v>1</v>
      </c>
      <c r="M1379" s="1">
        <f t="shared" si="1928"/>
        <v>4</v>
      </c>
      <c r="N1379" s="1">
        <f t="shared" si="1928"/>
        <v>0</v>
      </c>
      <c r="O1379" s="1">
        <f t="shared" si="1928"/>
        <v>6</v>
      </c>
      <c r="P1379" s="1">
        <f>MIN(方案参数!$AI$41,AZ1378+0+0)</f>
        <v>3</v>
      </c>
      <c r="Q1379" s="1">
        <f t="shared" si="1929"/>
        <v>2</v>
      </c>
      <c r="R1379" s="1">
        <f t="shared" si="1930"/>
        <v>5</v>
      </c>
      <c r="S1379" s="1">
        <f t="shared" si="1931"/>
        <v>0</v>
      </c>
      <c r="T1379" s="1">
        <f t="shared" si="1932"/>
        <v>1</v>
      </c>
      <c r="U1379" s="1">
        <f t="shared" si="1933"/>
        <v>0</v>
      </c>
      <c r="V1379" s="1">
        <f t="shared" si="1934"/>
        <v>0</v>
      </c>
      <c r="W1379" s="1">
        <f t="shared" si="1935"/>
        <v>1</v>
      </c>
      <c r="X1379" s="1">
        <f t="shared" si="1936"/>
        <v>1</v>
      </c>
      <c r="Y1379" s="1">
        <f t="shared" si="1937"/>
        <v>1</v>
      </c>
      <c r="Z1379" s="1">
        <f t="shared" si="1938"/>
        <v>0</v>
      </c>
      <c r="AA1379" s="1">
        <f t="shared" si="1939"/>
        <v>0</v>
      </c>
      <c r="AB1379" s="1">
        <f t="shared" si="1940"/>
        <v>0</v>
      </c>
      <c r="AC1379" s="1">
        <f t="shared" si="1941"/>
        <v>0</v>
      </c>
      <c r="AD1379" s="1">
        <f>ROUNDDOWN(I1379*(1+IF(F1379=3,0.05+方案参数!$Y$41+AA1379*0.12,IF(F1379=4,方案参数!$BZ$41*方案参数!$AS$41,0)))+IF(AND(X1379=1,F1379&lt;&gt;3),方案参数!$CC$41,0)+AC1379*方案参数!$CB$41,0)</f>
        <v>2536</v>
      </c>
      <c r="AE1379" s="1">
        <f>IF(OR(F1379=1,F1379=4),配置与结果!$B$24,配置与结果!$B$25)*MAX(0,1-INDEX(配置与结果!$I$15:$I$18,F1379))</f>
        <v>1000</v>
      </c>
      <c r="AF1379" s="1">
        <f>方案参数!$BV$41</f>
        <v>3</v>
      </c>
      <c r="AG1379" s="1">
        <f>MAX(配置与结果!$B$32,1+INDEX(配置与结果!$F$15:$F$18,F1379)+0+Q1379*方案参数!$W$41+Y1379*(方案参数!$AN$41+MIN(方案参数!$AO$41,P1379*0.03))+AB1379*方案参数!$BZ$41*0.025-配置与结果!$B$28)</f>
        <v>0.87699999999999989</v>
      </c>
      <c r="AH1379" s="1">
        <f>MAX(0,1+INDEX(配置与结果!$G$15:$G$18,F1379)+W1379*方案参数!$AG$41)</f>
        <v>1.3</v>
      </c>
      <c r="AI1379" s="1">
        <f>IF(OR(INDEX(配置与结果!$K$15:$K$18,F1379)=1,G1379="RHI_BERRY"),1+配置与结果!$B$33+P1379*方案参数!$AH$41,1)</f>
        <v>1</v>
      </c>
      <c r="AJ1379" s="1">
        <f>MIN(1,MAX(0,J1379+方案参数!$AB$41-配置与结果!$B$27))</f>
        <v>0.76</v>
      </c>
      <c r="AK1379" s="1">
        <f>MAX(1,K1379+IF(F1379=2,0.15+方案参数!$CH$41,0)+BN1379*方案参数!$X$41+R1379*方案参数!$AA$41+0-配置与结果!$B$26+Z1379*(方案参数!$AP$41+MIN(方案参数!$AQ$41,P1379*0.03)))</f>
        <v>1.9380000000000002</v>
      </c>
      <c r="AL1379" s="7">
        <f>ROUNDDOWN(MAX(AD1379*配置与结果!$B$31,AD1379-AE1379)*AF1379*AG1379*AH1379*AI1379,0)</f>
        <v>5253</v>
      </c>
      <c r="AM1379" s="7">
        <f>ROUNDDOWN(MAX(AD1379*配置与结果!$B$31,AD1379-AE1379)*AF1379*AG1379*AH1379*AI1379*AK1379,0)</f>
        <v>10181</v>
      </c>
      <c r="AN1379" s="7">
        <f t="shared" si="1903"/>
        <v>8998.2800000000007</v>
      </c>
      <c r="AO1379" s="7">
        <f>方案参数!$BW$41</f>
        <v>1</v>
      </c>
      <c r="AP1379" s="7">
        <f>MAX(0,1+INDEX(配置与结果!$J$15:$J$18,F1379)+IF(T1379&gt;0,方案参数!$BY$41,0)-配置与结果!$B$30)</f>
        <v>2</v>
      </c>
      <c r="AQ1379" s="7">
        <f t="shared" si="1904"/>
        <v>5072</v>
      </c>
      <c r="AR1379" s="7">
        <f t="shared" si="1905"/>
        <v>9829</v>
      </c>
      <c r="AS1379" s="7">
        <f t="shared" si="1906"/>
        <v>8687.32</v>
      </c>
      <c r="AT1379" s="7">
        <f>0</f>
        <v>0</v>
      </c>
      <c r="AU1379" s="7">
        <f t="shared" si="1907"/>
        <v>17685.599999999999</v>
      </c>
      <c r="AV1379" s="1">
        <f t="shared" si="1908"/>
        <v>1</v>
      </c>
      <c r="AW1379" s="1">
        <f>MIN(10,M1379+0+0)</f>
        <v>4</v>
      </c>
      <c r="AX1379" s="1">
        <f t="shared" si="1909"/>
        <v>0</v>
      </c>
      <c r="AY1379" s="1">
        <f t="shared" si="1949"/>
        <v>6</v>
      </c>
      <c r="AZ1379" s="1">
        <f t="shared" si="1910"/>
        <v>3</v>
      </c>
      <c r="BA1379" s="1">
        <f>MIN(6,Q1379+0)</f>
        <v>2</v>
      </c>
      <c r="BB1379" s="1">
        <f t="shared" si="1942"/>
        <v>5</v>
      </c>
      <c r="BC1379" s="1">
        <f t="shared" si="1923"/>
        <v>0</v>
      </c>
      <c r="BD1379" s="1">
        <f t="shared" ref="BD1379:BD1413" si="1950">MAX(0,T1379-IF(AO1379&gt;0,1,0))+0</f>
        <v>0</v>
      </c>
      <c r="BE1379" s="1">
        <f t="shared" si="1943"/>
        <v>0</v>
      </c>
      <c r="BF1379" s="1">
        <f>MIN(4,V1379+1)</f>
        <v>1</v>
      </c>
      <c r="BG1379" s="1">
        <f t="shared" si="1947"/>
        <v>1</v>
      </c>
      <c r="BH1379" s="1">
        <f t="shared" si="1944"/>
        <v>1</v>
      </c>
      <c r="BI1379" s="1">
        <f t="shared" si="1948"/>
        <v>1</v>
      </c>
      <c r="BJ1379" s="1">
        <f t="shared" si="1918"/>
        <v>0</v>
      </c>
      <c r="BK1379" s="1">
        <f t="shared" si="1919"/>
        <v>0</v>
      </c>
      <c r="BL1379" s="1">
        <f t="shared" si="1924"/>
        <v>0</v>
      </c>
      <c r="BM1379" s="1">
        <f t="shared" si="1922"/>
        <v>0</v>
      </c>
      <c r="BN1379" s="1">
        <f t="shared" si="1945"/>
        <v>1</v>
      </c>
      <c r="BO1379" s="1">
        <f t="shared" si="1946"/>
        <v>1</v>
      </c>
    </row>
    <row r="1380" spans="1:67" ht="30.95" customHeight="1">
      <c r="A1380" s="1">
        <f>38</f>
        <v>38</v>
      </c>
      <c r="B1380" s="1">
        <f>固定流程!A12</f>
        <v>7</v>
      </c>
      <c r="C1380" s="1">
        <f>41</f>
        <v>41</v>
      </c>
      <c r="D1380" s="1">
        <f>1</f>
        <v>1</v>
      </c>
      <c r="E1380" s="1">
        <f>固定流程!C12</f>
        <v>1</v>
      </c>
      <c r="F1380" s="1">
        <f>固定流程!G12</f>
        <v>4</v>
      </c>
      <c r="G1380" s="1" t="str">
        <f>固定流程!H12</f>
        <v>J_HARD</v>
      </c>
      <c r="H1380" s="1">
        <f>固定流程!F12</f>
        <v>1</v>
      </c>
      <c r="I1380" s="1">
        <f>INDEX(配置与结果!$B$15:$B$18,F1380)</f>
        <v>1906</v>
      </c>
      <c r="J1380" s="1">
        <f>INDEX(配置与结果!$D$15:$D$18,F1380)</f>
        <v>0.36699999999999999</v>
      </c>
      <c r="K1380" s="1">
        <f>INDEX(配置与结果!$E$15:$E$18,F1380)</f>
        <v>1.7170000000000001</v>
      </c>
      <c r="L1380" s="1">
        <f t="shared" si="1928"/>
        <v>1</v>
      </c>
      <c r="M1380" s="1">
        <f t="shared" si="1928"/>
        <v>4</v>
      </c>
      <c r="N1380" s="1">
        <f t="shared" si="1928"/>
        <v>0</v>
      </c>
      <c r="O1380" s="1">
        <f t="shared" si="1928"/>
        <v>6</v>
      </c>
      <c r="P1380" s="1">
        <f>MIN(方案参数!$AI$41,AZ1379+0+0)</f>
        <v>3</v>
      </c>
      <c r="Q1380" s="1">
        <f t="shared" si="1929"/>
        <v>2</v>
      </c>
      <c r="R1380" s="1">
        <f t="shared" si="1930"/>
        <v>5</v>
      </c>
      <c r="S1380" s="1">
        <f t="shared" si="1931"/>
        <v>0</v>
      </c>
      <c r="T1380" s="1">
        <f t="shared" si="1932"/>
        <v>0</v>
      </c>
      <c r="U1380" s="1">
        <f t="shared" si="1933"/>
        <v>0</v>
      </c>
      <c r="V1380" s="1">
        <f t="shared" si="1934"/>
        <v>1</v>
      </c>
      <c r="W1380" s="1">
        <f t="shared" si="1935"/>
        <v>1</v>
      </c>
      <c r="X1380" s="1">
        <f t="shared" si="1936"/>
        <v>1</v>
      </c>
      <c r="Y1380" s="1">
        <f t="shared" si="1937"/>
        <v>1</v>
      </c>
      <c r="Z1380" s="1">
        <f t="shared" si="1938"/>
        <v>0</v>
      </c>
      <c r="AA1380" s="1">
        <f t="shared" si="1939"/>
        <v>0</v>
      </c>
      <c r="AB1380" s="1">
        <f t="shared" si="1940"/>
        <v>0</v>
      </c>
      <c r="AC1380" s="1">
        <f t="shared" si="1941"/>
        <v>0</v>
      </c>
      <c r="AD1380" s="1">
        <f>ROUNDDOWN(I1380*(1+IF(F1380=3,0.05+方案参数!$Y$41+AA1380*0.12,IF(F1380=4,方案参数!$BZ$41*方案参数!$AS$41,0)))+IF(AND(X1380=1,F1380&lt;&gt;3),方案参数!$CC$41,0)+AC1380*方案参数!$CB$41,0)</f>
        <v>2803</v>
      </c>
      <c r="AE1380" s="1">
        <f>IF(OR(F1380=1,F1380=4),配置与结果!$B$24,配置与结果!$B$25)*MAX(0,1-INDEX(配置与结果!$I$15:$I$18,F1380))</f>
        <v>1200</v>
      </c>
      <c r="AF1380" s="1">
        <f>3.6*IF(H1380=1,1,IF(H1380=2,1.5,2.5))</f>
        <v>3.6</v>
      </c>
      <c r="AG1380" s="1">
        <f>MAX(配置与结果!$B$32,1+INDEX(配置与结果!$F$15:$F$18,F1380)+0.08+Q1380*方案参数!$W$41+Y1380*(方案参数!$AN$41+MIN(方案参数!$AO$41,P1380*0.03))+AB1380*方案参数!$BZ$41*0.025+0.1+IF(方案参数!$BZ$41&gt;=30,方案参数!$BZ$41*0.01,0)-配置与结果!$B$28)</f>
        <v>1.427</v>
      </c>
      <c r="AH1380" s="1">
        <f>MAX(0,1+INDEX(配置与结果!$G$15:$G$18,F1380)+W1380*方案参数!$AG$41)</f>
        <v>1.3</v>
      </c>
      <c r="AI1380" s="1">
        <f>IF(OR(INDEX(配置与结果!$K$15:$K$18,F1380)=1,G1380="RHI_BERRY"),1+配置与结果!$B$33+P1380*方案参数!$AH$41,1)</f>
        <v>1</v>
      </c>
      <c r="AJ1380" s="1">
        <f>MIN(1,MAX(0,J1380+方案参数!$AB$41-配置与结果!$B$27))</f>
        <v>0.66700000000000004</v>
      </c>
      <c r="AK1380" s="1">
        <f>MAX(1,K1380+IF(F1380=2,0.15+方案参数!$CH$41,0)+BN1380*方案参数!$X$41+R1380*方案参数!$AA$41+0-配置与结果!$B$26+Z1380*(方案参数!$AP$41+MIN(方案参数!$AQ$41,P1380*0.03)))</f>
        <v>1.4570000000000003</v>
      </c>
      <c r="AL1380" s="7">
        <f>ROUNDDOWN(MAX(AD1380*配置与结果!$B$31,AD1380-AE1380)*AF1380*AG1380*AH1380*AI1380,0)</f>
        <v>10705</v>
      </c>
      <c r="AM1380" s="7">
        <f>ROUNDDOWN(MAX(AD1380*配置与结果!$B$31,AD1380-AE1380)*AF1380*AG1380*AH1380*AI1380*AK1380,0)</f>
        <v>15597</v>
      </c>
      <c r="AN1380" s="7">
        <f t="shared" si="1903"/>
        <v>13967.964</v>
      </c>
      <c r="AO1380" s="7">
        <f>0</f>
        <v>0</v>
      </c>
      <c r="AP1380" s="7">
        <f>MAX(0,1+INDEX(配置与结果!$J$15:$J$18,F1380)+IF(T1380&gt;0,方案参数!$BY$41,0)-配置与结果!$B$30)</f>
        <v>1</v>
      </c>
      <c r="AQ1380" s="7">
        <f t="shared" si="1904"/>
        <v>0</v>
      </c>
      <c r="AR1380" s="7">
        <f t="shared" si="1905"/>
        <v>0</v>
      </c>
      <c r="AS1380" s="7">
        <f t="shared" si="1906"/>
        <v>0</v>
      </c>
      <c r="AT1380" s="7">
        <f>0</f>
        <v>0</v>
      </c>
      <c r="AU1380" s="7">
        <f t="shared" si="1907"/>
        <v>13967.964</v>
      </c>
      <c r="AV1380" s="1">
        <f t="shared" si="1908"/>
        <v>1</v>
      </c>
      <c r="AW1380" s="1">
        <f>MIN(10,M1380+0+0)</f>
        <v>4</v>
      </c>
      <c r="AX1380" s="1">
        <f t="shared" si="1909"/>
        <v>0</v>
      </c>
      <c r="AY1380" s="1">
        <f t="shared" si="1949"/>
        <v>6</v>
      </c>
      <c r="AZ1380" s="1">
        <f t="shared" si="1910"/>
        <v>3</v>
      </c>
      <c r="BA1380" s="1">
        <f>MIN(6,Q1380+0)</f>
        <v>2</v>
      </c>
      <c r="BB1380" s="1">
        <f t="shared" si="1942"/>
        <v>5</v>
      </c>
      <c r="BC1380" s="1">
        <f>MIN(3,S1380+1)</f>
        <v>1</v>
      </c>
      <c r="BD1380" s="1">
        <f t="shared" si="1950"/>
        <v>0</v>
      </c>
      <c r="BE1380" s="1">
        <f t="shared" si="1943"/>
        <v>0</v>
      </c>
      <c r="BF1380" s="1">
        <f>MIN(4,V1380+0)</f>
        <v>1</v>
      </c>
      <c r="BG1380" s="1">
        <f t="shared" si="1947"/>
        <v>1</v>
      </c>
      <c r="BH1380" s="1">
        <f t="shared" si="1944"/>
        <v>1</v>
      </c>
      <c r="BI1380" s="1">
        <f t="shared" si="1948"/>
        <v>1</v>
      </c>
      <c r="BJ1380" s="1">
        <f t="shared" si="1918"/>
        <v>0</v>
      </c>
      <c r="BK1380" s="1">
        <f t="shared" si="1919"/>
        <v>0</v>
      </c>
      <c r="BL1380" s="1">
        <f t="shared" si="1924"/>
        <v>0</v>
      </c>
      <c r="BM1380" s="1">
        <f t="shared" si="1922"/>
        <v>0</v>
      </c>
      <c r="BN1380" s="1">
        <f t="shared" si="1945"/>
        <v>1</v>
      </c>
      <c r="BO1380" s="1">
        <f t="shared" si="1946"/>
        <v>1</v>
      </c>
    </row>
    <row r="1381" spans="1:67" ht="30.95" customHeight="1">
      <c r="A1381" s="1">
        <f>38</f>
        <v>38</v>
      </c>
      <c r="B1381" s="1">
        <f>固定流程!A13</f>
        <v>8</v>
      </c>
      <c r="C1381" s="1">
        <f>41</f>
        <v>41</v>
      </c>
      <c r="D1381" s="1">
        <f>1</f>
        <v>1</v>
      </c>
      <c r="E1381" s="1">
        <f>固定流程!C13</f>
        <v>2</v>
      </c>
      <c r="F1381" s="1">
        <f>固定流程!G13</f>
        <v>3</v>
      </c>
      <c r="G1381" s="1" t="str">
        <f>固定流程!H13</f>
        <v>RHI_ATTACK</v>
      </c>
      <c r="H1381" s="1">
        <f>固定流程!F13</f>
        <v>1</v>
      </c>
      <c r="I1381" s="1">
        <f>INDEX(配置与结果!$B$15:$B$18,F1381)</f>
        <v>2597</v>
      </c>
      <c r="J1381" s="1">
        <f>INDEX(配置与结果!$D$15:$D$18,F1381)</f>
        <v>0.255</v>
      </c>
      <c r="K1381" s="1">
        <f>INDEX(配置与结果!$E$15:$E$18,F1381)</f>
        <v>1.55</v>
      </c>
      <c r="L1381" s="1">
        <f>IF(AV1380=1,IF(M1381&gt;=10,2,1),IF(AV1380=2,IF(AX1380&lt;=1,0,2),0))</f>
        <v>1</v>
      </c>
      <c r="M1381" s="1">
        <f>IF(AND(AV1380=2,AX1380&lt;=1),0,MIN(10,AW1380+IF(AV1380=1,3,0)))</f>
        <v>7</v>
      </c>
      <c r="N1381" s="1">
        <f>IF(AND(AV1380=1,M1381&gt;=10),2,IF(AV1380=2,MAX(0,AX1380-1),0))</f>
        <v>0</v>
      </c>
      <c r="O1381" s="1">
        <f t="shared" ref="O1381:O1409" si="1951">AY1380</f>
        <v>6</v>
      </c>
      <c r="P1381" s="1">
        <f>MIN(方案参数!$AI$41,AZ1380+方案参数!$AJ$41+方案参数!$AK$41)</f>
        <v>5</v>
      </c>
      <c r="Q1381" s="1">
        <f t="shared" si="1929"/>
        <v>2</v>
      </c>
      <c r="R1381" s="1">
        <f t="shared" si="1930"/>
        <v>5</v>
      </c>
      <c r="S1381" s="1">
        <f t="shared" si="1931"/>
        <v>1</v>
      </c>
      <c r="T1381" s="1">
        <f t="shared" si="1932"/>
        <v>0</v>
      </c>
      <c r="U1381" s="1">
        <f t="shared" si="1933"/>
        <v>0</v>
      </c>
      <c r="V1381" s="1">
        <f t="shared" si="1934"/>
        <v>1</v>
      </c>
      <c r="W1381" s="1">
        <f t="shared" si="1935"/>
        <v>1</v>
      </c>
      <c r="X1381" s="1">
        <f t="shared" si="1936"/>
        <v>1</v>
      </c>
      <c r="Y1381" s="1">
        <f t="shared" si="1937"/>
        <v>1</v>
      </c>
      <c r="Z1381" s="1">
        <f t="shared" si="1938"/>
        <v>0</v>
      </c>
      <c r="AA1381" s="1">
        <f>MAX(BK1380,1)</f>
        <v>1</v>
      </c>
      <c r="AB1381" s="1">
        <f t="shared" si="1940"/>
        <v>0</v>
      </c>
      <c r="AC1381" s="1">
        <f t="shared" si="1941"/>
        <v>0</v>
      </c>
      <c r="AD1381" s="1">
        <f>ROUNDDOWN(I1381*(1+IF(F1381=3,0.05+方案参数!$Y$41+AA1381*0.12,IF(F1381=4,方案参数!$BZ$41*方案参数!$AS$41,0)))+IF(AND(X1381=1,F1381&lt;&gt;3),方案参数!$CC$41,0)+AC1381*方案参数!$CB$41,0)</f>
        <v>3194</v>
      </c>
      <c r="AE1381" s="1">
        <f>IF(OR(F1381=1,F1381=4),配置与结果!$B$24,配置与结果!$B$25)*MAX(0,1-INDEX(配置与结果!$I$15:$I$18,F1381))</f>
        <v>1000</v>
      </c>
      <c r="AF1381" s="1">
        <f>4</f>
        <v>4</v>
      </c>
      <c r="AG1381" s="1">
        <f>MAX(配置与结果!$B$32,1+INDEX(配置与结果!$F$15:$F$18,F1381)+0+Q1381*方案参数!$W$41+Y1381*(方案参数!$AN$41+MIN(方案参数!$AO$41,P1381*0.03))+AB1381*方案参数!$BZ$41*0.025-配置与结果!$B$28)</f>
        <v>0.96699999999999997</v>
      </c>
      <c r="AH1381" s="1">
        <f>MAX(0,1+INDEX(配置与结果!$G$15:$G$18,F1381)+W1381*方案参数!$AG$41)</f>
        <v>1.3</v>
      </c>
      <c r="AI1381" s="1">
        <f>IF(OR(INDEX(配置与结果!$K$15:$K$18,F1381)=1,G1381="RHI_BERRY"),1+配置与结果!$B$33+P1381*方案参数!$AH$41,1)</f>
        <v>1</v>
      </c>
      <c r="AJ1381" s="1">
        <f>MIN(1,MAX(0,J1381+方案参数!$AB$41-配置与结果!$B$27))</f>
        <v>0.55499999999999994</v>
      </c>
      <c r="AK1381" s="1">
        <f>MAX(1,K1381+IF(F1381=2,0.15+方案参数!$CH$41,0)+BN1381*方案参数!$X$41+R1381*方案参数!$AA$41+0-配置与结果!$B$26+Z1381*(方案参数!$AP$41+MIN(方案参数!$AQ$41,P1381*0.03)))</f>
        <v>1.29</v>
      </c>
      <c r="AL1381" s="7">
        <f>ROUNDDOWN(MAX(AD1381*配置与结果!$B$31,AD1381-AE1381)*AF1381*AG1381*AH1381*AI1381,0)</f>
        <v>11032</v>
      </c>
      <c r="AM1381" s="7">
        <f>ROUNDDOWN(MAX(AD1381*配置与结果!$B$31,AD1381-AE1381)*AF1381*AG1381*AH1381*AI1381*AK1381,0)</f>
        <v>14231</v>
      </c>
      <c r="AN1381" s="7">
        <f t="shared" si="1903"/>
        <v>12807.445</v>
      </c>
      <c r="AO1381" s="7">
        <f>0</f>
        <v>0</v>
      </c>
      <c r="AP1381" s="7">
        <f>MAX(0,1+INDEX(配置与结果!$J$15:$J$18,F1381)+IF(T1381&gt;0,方案参数!$BY$41,0)-配置与结果!$B$30)</f>
        <v>1</v>
      </c>
      <c r="AQ1381" s="7">
        <f t="shared" si="1904"/>
        <v>0</v>
      </c>
      <c r="AR1381" s="7">
        <f t="shared" si="1905"/>
        <v>0</v>
      </c>
      <c r="AS1381" s="7">
        <f t="shared" si="1906"/>
        <v>0</v>
      </c>
      <c r="AT1381" s="7">
        <f>0</f>
        <v>0</v>
      </c>
      <c r="AU1381" s="7">
        <f t="shared" si="1907"/>
        <v>12807.445</v>
      </c>
      <c r="AV1381" s="1">
        <f t="shared" si="1908"/>
        <v>1</v>
      </c>
      <c r="AW1381" s="1">
        <f>MIN(10,M1381+0+0)</f>
        <v>7</v>
      </c>
      <c r="AX1381" s="1">
        <f t="shared" si="1909"/>
        <v>0</v>
      </c>
      <c r="AY1381" s="1">
        <f t="shared" si="1949"/>
        <v>6</v>
      </c>
      <c r="AZ1381" s="1">
        <f t="shared" si="1910"/>
        <v>5</v>
      </c>
      <c r="BA1381" s="1">
        <f>MIN(6,Q1381+1)</f>
        <v>3</v>
      </c>
      <c r="BB1381" s="1">
        <f t="shared" si="1942"/>
        <v>5</v>
      </c>
      <c r="BC1381" s="1">
        <f>MIN(3,S1381+0)</f>
        <v>1</v>
      </c>
      <c r="BD1381" s="1">
        <f t="shared" si="1950"/>
        <v>0</v>
      </c>
      <c r="BE1381" s="1">
        <f t="shared" si="1943"/>
        <v>0</v>
      </c>
      <c r="BF1381" s="1">
        <f>MIN(4,V1381+0)</f>
        <v>1</v>
      </c>
      <c r="BG1381" s="1">
        <f t="shared" si="1947"/>
        <v>1</v>
      </c>
      <c r="BH1381" s="1">
        <f t="shared" si="1944"/>
        <v>1</v>
      </c>
      <c r="BI1381" s="1">
        <f t="shared" si="1948"/>
        <v>1</v>
      </c>
      <c r="BJ1381" s="1">
        <f>MAX(Z1381,1)</f>
        <v>1</v>
      </c>
      <c r="BK1381" s="1">
        <f>MAX(AA1381,1)</f>
        <v>1</v>
      </c>
      <c r="BL1381" s="1">
        <f t="shared" si="1924"/>
        <v>0</v>
      </c>
      <c r="BM1381" s="1">
        <f t="shared" si="1922"/>
        <v>0</v>
      </c>
      <c r="BN1381" s="1">
        <f t="shared" si="1945"/>
        <v>1</v>
      </c>
      <c r="BO1381" s="1">
        <f t="shared" si="1946"/>
        <v>1</v>
      </c>
    </row>
    <row r="1382" spans="1:67" ht="30.95" customHeight="1">
      <c r="A1382" s="1">
        <f>38</f>
        <v>38</v>
      </c>
      <c r="B1382" s="1">
        <f>固定流程!A14</f>
        <v>9</v>
      </c>
      <c r="C1382" s="1">
        <f>41</f>
        <v>41</v>
      </c>
      <c r="D1382" s="1">
        <f>1</f>
        <v>1</v>
      </c>
      <c r="E1382" s="1">
        <f>固定流程!C14</f>
        <v>2</v>
      </c>
      <c r="F1382" s="1">
        <f>固定流程!G14</f>
        <v>1</v>
      </c>
      <c r="G1382" s="1" t="str">
        <f>固定流程!H14</f>
        <v>LILYA_DIVE</v>
      </c>
      <c r="H1382" s="1">
        <f>固定流程!F14</f>
        <v>3</v>
      </c>
      <c r="I1382" s="1">
        <f>INDEX(配置与结果!$B$15:$B$18,F1382)</f>
        <v>2296</v>
      </c>
      <c r="J1382" s="1">
        <f>INDEX(配置与结果!$D$15:$D$18,F1382)</f>
        <v>0.7</v>
      </c>
      <c r="K1382" s="1">
        <f>INDEX(配置与结果!$E$15:$E$18,F1382)</f>
        <v>2.0249999999999999</v>
      </c>
      <c r="L1382" s="1">
        <f t="shared" ref="L1382:N1386" si="1952">AV1381</f>
        <v>1</v>
      </c>
      <c r="M1382" s="1">
        <f t="shared" si="1952"/>
        <v>7</v>
      </c>
      <c r="N1382" s="1">
        <f t="shared" si="1952"/>
        <v>0</v>
      </c>
      <c r="O1382" s="1">
        <f t="shared" si="1951"/>
        <v>6</v>
      </c>
      <c r="P1382" s="1">
        <f>MIN(方案参数!$AI$41,AZ1381+0+0)</f>
        <v>5</v>
      </c>
      <c r="Q1382" s="1">
        <f t="shared" si="1929"/>
        <v>3</v>
      </c>
      <c r="R1382" s="1">
        <f t="shared" si="1930"/>
        <v>5</v>
      </c>
      <c r="S1382" s="1">
        <f t="shared" si="1931"/>
        <v>1</v>
      </c>
      <c r="T1382" s="1">
        <f t="shared" si="1932"/>
        <v>0</v>
      </c>
      <c r="U1382" s="1">
        <f t="shared" si="1933"/>
        <v>0</v>
      </c>
      <c r="V1382" s="1">
        <f t="shared" si="1934"/>
        <v>1</v>
      </c>
      <c r="W1382" s="1">
        <f t="shared" si="1935"/>
        <v>1</v>
      </c>
      <c r="X1382" s="1">
        <f t="shared" si="1936"/>
        <v>1</v>
      </c>
      <c r="Y1382" s="1">
        <f t="shared" si="1937"/>
        <v>1</v>
      </c>
      <c r="Z1382" s="1">
        <f t="shared" si="1938"/>
        <v>1</v>
      </c>
      <c r="AA1382" s="1">
        <f t="shared" ref="AA1382:AA1387" si="1953">MAX(BK1381,0)</f>
        <v>1</v>
      </c>
      <c r="AB1382" s="1">
        <f t="shared" si="1940"/>
        <v>0</v>
      </c>
      <c r="AC1382" s="1">
        <f t="shared" si="1941"/>
        <v>0</v>
      </c>
      <c r="AD1382" s="1">
        <f>ROUNDDOWN(I1382*(1+IF(F1382=3,0.05+方案参数!$Y$41+AA1382*0.12,IF(F1382=4,方案参数!$BZ$41*方案参数!$AS$41,0)))+IF(AND(X1382=1,F1382&lt;&gt;3),方案参数!$CC$41,0)+AC1382*方案参数!$CB$41,0)</f>
        <v>2526</v>
      </c>
      <c r="AE1382" s="1">
        <f>IF(OR(F1382=1,F1382=4),配置与结果!$B$24,配置与结果!$B$25)*MAX(0,1-INDEX(配置与结果!$I$15:$I$18,F1382))</f>
        <v>1200</v>
      </c>
      <c r="AF1382" s="1">
        <f>(IF(L1382=1,方案参数!$AW$41,IF(L1382=2,方案参数!$AX$41,0))+方案参数!$AV$41)*H1382</f>
        <v>18</v>
      </c>
      <c r="AG1382" s="1">
        <f>MAX(配置与结果!$B$32,1+INDEX(配置与结果!$F$15:$F$18,F1382)+0.08+方案参数!$CD$41+Q1382*方案参数!$W$41+Y1382*(方案参数!$AN$41+MIN(方案参数!$AO$41,P1382*0.03))+AB1382*方案参数!$BZ$41*0.025+IF(L1382=1,方案参数!$AY$41+(H1382-1)*0.1,IF(L1382=2,方案参数!$AZ$41+(H1382-1)*0.2,0))-配置与结果!$B$28)</f>
        <v>1.5880000000000001</v>
      </c>
      <c r="AH1382" s="1">
        <f>MAX(0,1+INDEX(配置与结果!$G$15:$G$18,F1382)+W1382*方案参数!$AG$41+IF(L1382=1,方案参数!$BA$41,IF(L1382=2,方案参数!$BB$41,0))+M1382*方案参数!$BC$41)</f>
        <v>2.3199999999999998</v>
      </c>
      <c r="AI1382" s="1">
        <f>IF(OR(INDEX(配置与结果!$K$15:$K$18,F1382)=1,G1382="RHI_BERRY"),1+配置与结果!$B$33+P1382*方案参数!$AH$41,1)</f>
        <v>1</v>
      </c>
      <c r="AJ1382" s="1">
        <f>MIN(1,MAX(0,J1382+方案参数!$AB$41-配置与结果!$B$27))</f>
        <v>1</v>
      </c>
      <c r="AK1382" s="1">
        <f>MAX(1,K1382+IF(F1382=2,0.15+方案参数!$CH$41,0)+BN1382*方案参数!$X$41+R1382*方案参数!$AA$41+0-配置与结果!$B$26+Z1382*(方案参数!$AP$41+MIN(方案参数!$AQ$41,P1382*0.03)))</f>
        <v>2.0649999999999999</v>
      </c>
      <c r="AL1382" s="7">
        <f>ROUNDDOWN(MAX(AD1382*配置与结果!$B$31,AD1382-AE1382)*AF1382*AG1382*AH1382*AI1382,0)</f>
        <v>87933</v>
      </c>
      <c r="AM1382" s="7">
        <f>ROUNDDOWN(MAX(AD1382*配置与结果!$B$31,AD1382-AE1382)*AF1382*AG1382*AH1382*AI1382*AK1382,0)</f>
        <v>181582</v>
      </c>
      <c r="AN1382" s="7">
        <f t="shared" si="1903"/>
        <v>181582</v>
      </c>
      <c r="AO1382" s="7">
        <f>0</f>
        <v>0</v>
      </c>
      <c r="AP1382" s="7">
        <f>MAX(0,1+INDEX(配置与结果!$J$15:$J$18,F1382)+IF(T1382&gt;0,方案参数!$BY$41,0)-配置与结果!$B$30)</f>
        <v>1</v>
      </c>
      <c r="AQ1382" s="7">
        <f t="shared" si="1904"/>
        <v>0</v>
      </c>
      <c r="AR1382" s="7">
        <f t="shared" si="1905"/>
        <v>0</v>
      </c>
      <c r="AS1382" s="7">
        <f t="shared" si="1906"/>
        <v>0</v>
      </c>
      <c r="AT1382" s="7">
        <f>0</f>
        <v>0</v>
      </c>
      <c r="AU1382" s="7">
        <f t="shared" si="1907"/>
        <v>181582</v>
      </c>
      <c r="AV1382" s="1">
        <f t="shared" si="1908"/>
        <v>1</v>
      </c>
      <c r="AW1382" s="1">
        <f>MIN(10,M1382+0+IF(L1382=1,方案参数!$BE$41,0))</f>
        <v>8</v>
      </c>
      <c r="AX1382" s="1">
        <f t="shared" si="1909"/>
        <v>0</v>
      </c>
      <c r="AY1382" s="1">
        <f t="shared" si="1949"/>
        <v>6</v>
      </c>
      <c r="AZ1382" s="1">
        <f t="shared" si="1910"/>
        <v>5</v>
      </c>
      <c r="BA1382" s="1">
        <f>MIN(6,Q1382+0)</f>
        <v>3</v>
      </c>
      <c r="BB1382" s="1">
        <f t="shared" si="1942"/>
        <v>5</v>
      </c>
      <c r="BC1382" s="1">
        <f>MIN(3,S1382+0)</f>
        <v>1</v>
      </c>
      <c r="BD1382" s="1">
        <f t="shared" si="1950"/>
        <v>0</v>
      </c>
      <c r="BE1382" s="1">
        <f t="shared" si="1943"/>
        <v>0</v>
      </c>
      <c r="BF1382" s="1">
        <f>MIN(4,V1382+0)</f>
        <v>1</v>
      </c>
      <c r="BG1382" s="1">
        <f t="shared" si="1947"/>
        <v>1</v>
      </c>
      <c r="BH1382" s="1">
        <f t="shared" si="1944"/>
        <v>1</v>
      </c>
      <c r="BI1382" s="1">
        <f t="shared" si="1948"/>
        <v>1</v>
      </c>
      <c r="BJ1382" s="1">
        <f t="shared" ref="BJ1382:BK1387" si="1954">MAX(Z1382,0)</f>
        <v>1</v>
      </c>
      <c r="BK1382" s="1">
        <f t="shared" si="1954"/>
        <v>1</v>
      </c>
      <c r="BL1382" s="1">
        <f t="shared" si="1924"/>
        <v>0</v>
      </c>
      <c r="BM1382" s="1">
        <f t="shared" si="1922"/>
        <v>0</v>
      </c>
      <c r="BN1382" s="1">
        <f t="shared" si="1945"/>
        <v>1</v>
      </c>
      <c r="BO1382" s="1">
        <f t="shared" si="1946"/>
        <v>1</v>
      </c>
    </row>
    <row r="1383" spans="1:67" ht="30.95" customHeight="1">
      <c r="A1383" s="1">
        <f>38</f>
        <v>38</v>
      </c>
      <c r="B1383" s="1">
        <f>固定流程!A15</f>
        <v>10</v>
      </c>
      <c r="C1383" s="1">
        <f>41</f>
        <v>41</v>
      </c>
      <c r="D1383" s="1">
        <f>1</f>
        <v>1</v>
      </c>
      <c r="E1383" s="1">
        <f>固定流程!C15</f>
        <v>2</v>
      </c>
      <c r="F1383" s="1">
        <f>固定流程!G15</f>
        <v>4</v>
      </c>
      <c r="G1383" s="1" t="str">
        <f>固定流程!H15</f>
        <v>J_HARD</v>
      </c>
      <c r="H1383" s="1">
        <f>固定流程!F15</f>
        <v>1</v>
      </c>
      <c r="I1383" s="1">
        <f>INDEX(配置与结果!$B$15:$B$18,F1383)</f>
        <v>1906</v>
      </c>
      <c r="J1383" s="1">
        <f>INDEX(配置与结果!$D$15:$D$18,F1383)</f>
        <v>0.36699999999999999</v>
      </c>
      <c r="K1383" s="1">
        <f>INDEX(配置与结果!$E$15:$E$18,F1383)</f>
        <v>1.7170000000000001</v>
      </c>
      <c r="L1383" s="1">
        <f t="shared" si="1952"/>
        <v>1</v>
      </c>
      <c r="M1383" s="1">
        <f t="shared" si="1952"/>
        <v>8</v>
      </c>
      <c r="N1383" s="1">
        <f t="shared" si="1952"/>
        <v>0</v>
      </c>
      <c r="O1383" s="1">
        <f t="shared" si="1951"/>
        <v>6</v>
      </c>
      <c r="P1383" s="1">
        <f>MIN(方案参数!$AI$41,AZ1382+0+0)</f>
        <v>5</v>
      </c>
      <c r="Q1383" s="1">
        <f t="shared" si="1929"/>
        <v>3</v>
      </c>
      <c r="R1383" s="1">
        <f t="shared" si="1930"/>
        <v>5</v>
      </c>
      <c r="S1383" s="1">
        <f t="shared" si="1931"/>
        <v>1</v>
      </c>
      <c r="T1383" s="1">
        <f t="shared" si="1932"/>
        <v>0</v>
      </c>
      <c r="U1383" s="1">
        <f t="shared" si="1933"/>
        <v>0</v>
      </c>
      <c r="V1383" s="1">
        <f t="shared" si="1934"/>
        <v>1</v>
      </c>
      <c r="W1383" s="1">
        <f t="shared" si="1935"/>
        <v>1</v>
      </c>
      <c r="X1383" s="1">
        <f t="shared" si="1936"/>
        <v>1</v>
      </c>
      <c r="Y1383" s="1">
        <f t="shared" si="1937"/>
        <v>1</v>
      </c>
      <c r="Z1383" s="1">
        <f t="shared" si="1938"/>
        <v>1</v>
      </c>
      <c r="AA1383" s="1">
        <f t="shared" si="1953"/>
        <v>1</v>
      </c>
      <c r="AB1383" s="1">
        <f t="shared" si="1940"/>
        <v>0</v>
      </c>
      <c r="AC1383" s="1">
        <f t="shared" si="1941"/>
        <v>0</v>
      </c>
      <c r="AD1383" s="1">
        <f>ROUNDDOWN(I1383*(1+IF(F1383=3,0.05+方案参数!$Y$41+AA1383*0.12,IF(F1383=4,方案参数!$BZ$41*方案参数!$AS$41,0)))+IF(AND(X1383=1,F1383&lt;&gt;3),方案参数!$CC$41,0)+AC1383*方案参数!$CB$41,0)</f>
        <v>2803</v>
      </c>
      <c r="AE1383" s="1">
        <f>IF(OR(F1383=1,F1383=4),配置与结果!$B$24,配置与结果!$B$25)*MAX(0,1-INDEX(配置与结果!$I$15:$I$18,F1383))</f>
        <v>1200</v>
      </c>
      <c r="AF1383" s="1">
        <f>3.6*IF(H1383=1,1,IF(H1383=2,1.5,2.5))</f>
        <v>3.6</v>
      </c>
      <c r="AG1383" s="1">
        <f>MAX(配置与结果!$B$32,1+INDEX(配置与结果!$F$15:$F$18,F1383)+0.08+Q1383*方案参数!$W$41+Y1383*(方案参数!$AN$41+MIN(方案参数!$AO$41,P1383*0.03))+AB1383*方案参数!$BZ$41*0.025+0.1+IF(方案参数!$BZ$41&gt;=30,方案参数!$BZ$41*0.01,0)-配置与结果!$B$28)</f>
        <v>1.5030000000000001</v>
      </c>
      <c r="AH1383" s="1">
        <f>MAX(0,1+INDEX(配置与结果!$G$15:$G$18,F1383)+W1383*方案参数!$AG$41)</f>
        <v>1.3</v>
      </c>
      <c r="AI1383" s="1">
        <f>IF(OR(INDEX(配置与结果!$K$15:$K$18,F1383)=1,G1383="RHI_BERRY"),1+配置与结果!$B$33+P1383*方案参数!$AH$41,1)</f>
        <v>1</v>
      </c>
      <c r="AJ1383" s="1">
        <f>MIN(1,MAX(0,J1383+方案参数!$AB$41-配置与结果!$B$27))</f>
        <v>0.66700000000000004</v>
      </c>
      <c r="AK1383" s="1">
        <f>MAX(1,K1383+IF(F1383=2,0.15+方案参数!$CH$41,0)+BN1383*方案参数!$X$41+R1383*方案参数!$AA$41+0-配置与结果!$B$26+Z1383*(方案参数!$AP$41+MIN(方案参数!$AQ$41,P1383*0.03)))</f>
        <v>1.7570000000000003</v>
      </c>
      <c r="AL1383" s="7">
        <f>ROUNDDOWN(MAX(AD1383*配置与结果!$B$31,AD1383-AE1383)*AF1383*AG1383*AH1383*AI1383,0)</f>
        <v>11275</v>
      </c>
      <c r="AM1383" s="7">
        <f>ROUNDDOWN(MAX(AD1383*配置与结果!$B$31,AD1383-AE1383)*AF1383*AG1383*AH1383*AI1383*AK1383,0)</f>
        <v>19811</v>
      </c>
      <c r="AN1383" s="7">
        <f t="shared" si="1903"/>
        <v>16968.511999999999</v>
      </c>
      <c r="AO1383" s="7">
        <f>0</f>
        <v>0</v>
      </c>
      <c r="AP1383" s="7">
        <f>MAX(0,1+INDEX(配置与结果!$J$15:$J$18,F1383)+IF(T1383&gt;0,方案参数!$BY$41,0)-配置与结果!$B$30)</f>
        <v>1</v>
      </c>
      <c r="AQ1383" s="7">
        <f t="shared" si="1904"/>
        <v>0</v>
      </c>
      <c r="AR1383" s="7">
        <f t="shared" si="1905"/>
        <v>0</v>
      </c>
      <c r="AS1383" s="7">
        <f t="shared" si="1906"/>
        <v>0</v>
      </c>
      <c r="AT1383" s="7">
        <f>0</f>
        <v>0</v>
      </c>
      <c r="AU1383" s="7">
        <f t="shared" si="1907"/>
        <v>16968.511999999999</v>
      </c>
      <c r="AV1383" s="1">
        <f t="shared" si="1908"/>
        <v>1</v>
      </c>
      <c r="AW1383" s="1">
        <f t="shared" ref="AW1383:AW1393" si="1955">MIN(10,M1383+0+0)</f>
        <v>8</v>
      </c>
      <c r="AX1383" s="1">
        <f t="shared" si="1909"/>
        <v>0</v>
      </c>
      <c r="AY1383" s="1">
        <f t="shared" si="1949"/>
        <v>6</v>
      </c>
      <c r="AZ1383" s="1">
        <f t="shared" si="1910"/>
        <v>5</v>
      </c>
      <c r="BA1383" s="1">
        <f>MIN(6,Q1383+0)</f>
        <v>3</v>
      </c>
      <c r="BB1383" s="1">
        <f t="shared" si="1942"/>
        <v>5</v>
      </c>
      <c r="BC1383" s="1">
        <f>MIN(3,S1383+1)</f>
        <v>2</v>
      </c>
      <c r="BD1383" s="1">
        <f t="shared" si="1950"/>
        <v>0</v>
      </c>
      <c r="BE1383" s="1">
        <f t="shared" si="1943"/>
        <v>0</v>
      </c>
      <c r="BF1383" s="1">
        <f>MIN(4,V1383+0)</f>
        <v>1</v>
      </c>
      <c r="BG1383" s="1">
        <f t="shared" si="1947"/>
        <v>1</v>
      </c>
      <c r="BH1383" s="1">
        <f t="shared" si="1944"/>
        <v>1</v>
      </c>
      <c r="BI1383" s="1">
        <f t="shared" si="1948"/>
        <v>1</v>
      </c>
      <c r="BJ1383" s="1">
        <f t="shared" si="1954"/>
        <v>1</v>
      </c>
      <c r="BK1383" s="1">
        <f t="shared" si="1954"/>
        <v>1</v>
      </c>
      <c r="BL1383" s="1">
        <f t="shared" si="1924"/>
        <v>0</v>
      </c>
      <c r="BM1383" s="1">
        <f t="shared" si="1922"/>
        <v>0</v>
      </c>
      <c r="BN1383" s="1">
        <f t="shared" si="1945"/>
        <v>1</v>
      </c>
      <c r="BO1383" s="1">
        <f t="shared" si="1946"/>
        <v>1</v>
      </c>
    </row>
    <row r="1384" spans="1:67" ht="30.95" customHeight="1">
      <c r="A1384" s="1">
        <f>38</f>
        <v>38</v>
      </c>
      <c r="B1384" s="1">
        <f>固定流程!A16</f>
        <v>11</v>
      </c>
      <c r="C1384" s="1">
        <f>41</f>
        <v>41</v>
      </c>
      <c r="D1384" s="1">
        <f>1</f>
        <v>1</v>
      </c>
      <c r="E1384" s="1">
        <f>固定流程!C16</f>
        <v>2</v>
      </c>
      <c r="F1384" s="1">
        <f>固定流程!G16</f>
        <v>2</v>
      </c>
      <c r="G1384" s="1" t="str">
        <f>固定流程!H16</f>
        <v>37_CURVE</v>
      </c>
      <c r="H1384" s="1">
        <f>固定流程!F16</f>
        <v>1</v>
      </c>
      <c r="I1384" s="1">
        <f>INDEX(配置与结果!$B$15:$B$18,F1384)</f>
        <v>2306</v>
      </c>
      <c r="J1384" s="1">
        <f>INDEX(配置与结果!$D$15:$D$18,F1384)</f>
        <v>0.46</v>
      </c>
      <c r="K1384" s="1">
        <f>INDEX(配置与结果!$E$15:$E$18,F1384)</f>
        <v>1.9279999999999999</v>
      </c>
      <c r="L1384" s="1">
        <f t="shared" si="1952"/>
        <v>1</v>
      </c>
      <c r="M1384" s="1">
        <f t="shared" si="1952"/>
        <v>8</v>
      </c>
      <c r="N1384" s="1">
        <f t="shared" si="1952"/>
        <v>0</v>
      </c>
      <c r="O1384" s="1">
        <f t="shared" si="1951"/>
        <v>6</v>
      </c>
      <c r="P1384" s="1">
        <f>MIN(方案参数!$AI$41,AZ1383+0+0)</f>
        <v>5</v>
      </c>
      <c r="Q1384" s="1">
        <f t="shared" si="1929"/>
        <v>3</v>
      </c>
      <c r="R1384" s="1">
        <f t="shared" si="1930"/>
        <v>5</v>
      </c>
      <c r="S1384" s="1">
        <f t="shared" si="1931"/>
        <v>2</v>
      </c>
      <c r="T1384" s="1">
        <f t="shared" si="1932"/>
        <v>0</v>
      </c>
      <c r="U1384" s="1">
        <f t="shared" si="1933"/>
        <v>0</v>
      </c>
      <c r="V1384" s="1">
        <f t="shared" si="1934"/>
        <v>1</v>
      </c>
      <c r="W1384" s="1">
        <f t="shared" si="1935"/>
        <v>1</v>
      </c>
      <c r="X1384" s="1">
        <f t="shared" si="1936"/>
        <v>1</v>
      </c>
      <c r="Y1384" s="1">
        <f t="shared" si="1937"/>
        <v>1</v>
      </c>
      <c r="Z1384" s="1">
        <f t="shared" si="1938"/>
        <v>1</v>
      </c>
      <c r="AA1384" s="1">
        <f t="shared" si="1953"/>
        <v>1</v>
      </c>
      <c r="AB1384" s="1">
        <f t="shared" si="1940"/>
        <v>0</v>
      </c>
      <c r="AC1384" s="1">
        <f t="shared" si="1941"/>
        <v>0</v>
      </c>
      <c r="AD1384" s="1">
        <f>ROUNDDOWN(I1384*(1+IF(F1384=3,0.05+方案参数!$Y$41+AA1384*0.12,IF(F1384=4,方案参数!$BZ$41*方案参数!$AS$41,0)))+IF(AND(X1384=1,F1384&lt;&gt;3),方案参数!$CC$41,0)+AC1384*方案参数!$CB$41,0)</f>
        <v>2536</v>
      </c>
      <c r="AE1384" s="1">
        <f>IF(OR(F1384=1,F1384=4),配置与结果!$B$24,配置与结果!$B$25)*MAX(0,1-INDEX(配置与结果!$I$15:$I$18,F1384))</f>
        <v>1000</v>
      </c>
      <c r="AF1384" s="1">
        <f>方案参数!$BT$41*IF(H1384=1,1,IF(H1384=2,1.5,2.5))</f>
        <v>1.4</v>
      </c>
      <c r="AG1384" s="1">
        <f>MAX(配置与结果!$B$32,1+INDEX(配置与结果!$F$15:$F$18,F1384)+0+Q1384*方案参数!$W$41+Y1384*(方案参数!$AN$41+MIN(方案参数!$AO$41,P1384*0.03))+AB1384*方案参数!$BZ$41*0.025-配置与结果!$B$28)</f>
        <v>0.95299999999999996</v>
      </c>
      <c r="AH1384" s="1">
        <f>MAX(0,1+INDEX(配置与结果!$G$15:$G$18,F1384)+W1384*方案参数!$AG$41)</f>
        <v>1.3</v>
      </c>
      <c r="AI1384" s="1">
        <f>IF(OR(INDEX(配置与结果!$K$15:$K$18,F1384)=1,G1384="RHI_BERRY"),1+配置与结果!$B$33+P1384*方案参数!$AH$41,1)</f>
        <v>1</v>
      </c>
      <c r="AJ1384" s="1">
        <f>MIN(1,MAX(0,J1384+方案参数!$AB$41-配置与结果!$B$27))</f>
        <v>0.76</v>
      </c>
      <c r="AK1384" s="1">
        <f>MAX(1,K1384+IF(F1384=2,0.15+方案参数!$CH$41,0)+BN1384*方案参数!$X$41+R1384*方案参数!$AA$41+0-配置与结果!$B$26+Z1384*(方案参数!$AP$41+MIN(方案参数!$AQ$41,P1384*0.03)))</f>
        <v>2.238</v>
      </c>
      <c r="AL1384" s="7">
        <f>ROUNDDOWN(MAX(AD1384*配置与结果!$B$31,AD1384-AE1384)*AF1384*AG1384*AH1384*AI1384,0)</f>
        <v>2664</v>
      </c>
      <c r="AM1384" s="7">
        <f>ROUNDDOWN(MAX(AD1384*配置与结果!$B$31,AD1384-AE1384)*AF1384*AG1384*AH1384*AI1384*AK1384,0)</f>
        <v>5962</v>
      </c>
      <c r="AN1384" s="7">
        <f t="shared" si="1903"/>
        <v>5170.4799999999996</v>
      </c>
      <c r="AO1384" s="7">
        <f>方案参数!$BU$41*IF(H1384=1,1,IF(H1384=2,1.5,2.5))</f>
        <v>0.8</v>
      </c>
      <c r="AP1384" s="7">
        <f>MAX(0,1+INDEX(配置与结果!$J$15:$J$18,F1384)+IF(T1384&gt;0,方案参数!$BY$41,0)-配置与结果!$B$30)</f>
        <v>1</v>
      </c>
      <c r="AQ1384" s="7">
        <f t="shared" si="1904"/>
        <v>2028</v>
      </c>
      <c r="AR1384" s="7">
        <f t="shared" si="1905"/>
        <v>4538</v>
      </c>
      <c r="AS1384" s="7">
        <f t="shared" si="1906"/>
        <v>3935.6</v>
      </c>
      <c r="AT1384" s="7">
        <f>0</f>
        <v>0</v>
      </c>
      <c r="AU1384" s="7">
        <f t="shared" si="1907"/>
        <v>9106.08</v>
      </c>
      <c r="AV1384" s="1">
        <f t="shared" si="1908"/>
        <v>1</v>
      </c>
      <c r="AW1384" s="1">
        <f t="shared" si="1955"/>
        <v>8</v>
      </c>
      <c r="AX1384" s="1">
        <f t="shared" si="1909"/>
        <v>0</v>
      </c>
      <c r="AY1384" s="1">
        <f t="shared" si="1949"/>
        <v>6</v>
      </c>
      <c r="AZ1384" s="1">
        <f t="shared" si="1910"/>
        <v>5</v>
      </c>
      <c r="BA1384" s="1">
        <f>MIN(6,Q1384+0)</f>
        <v>3</v>
      </c>
      <c r="BB1384" s="1">
        <f t="shared" si="1942"/>
        <v>5</v>
      </c>
      <c r="BC1384" s="1">
        <f t="shared" ref="BC1384:BC1390" si="1956">MIN(3,S1384+0)</f>
        <v>2</v>
      </c>
      <c r="BD1384" s="1">
        <f t="shared" si="1950"/>
        <v>0</v>
      </c>
      <c r="BE1384" s="1">
        <f t="shared" si="1943"/>
        <v>0</v>
      </c>
      <c r="BF1384" s="1">
        <f>MIN(4,V1384+0)</f>
        <v>1</v>
      </c>
      <c r="BG1384" s="1">
        <f t="shared" si="1947"/>
        <v>1</v>
      </c>
      <c r="BH1384" s="1">
        <f t="shared" si="1944"/>
        <v>1</v>
      </c>
      <c r="BI1384" s="1">
        <f t="shared" si="1948"/>
        <v>1</v>
      </c>
      <c r="BJ1384" s="1">
        <f t="shared" si="1954"/>
        <v>1</v>
      </c>
      <c r="BK1384" s="1">
        <f t="shared" si="1954"/>
        <v>1</v>
      </c>
      <c r="BL1384" s="1">
        <f t="shared" si="1924"/>
        <v>0</v>
      </c>
      <c r="BM1384" s="1">
        <f t="shared" si="1922"/>
        <v>0</v>
      </c>
      <c r="BN1384" s="1">
        <f t="shared" si="1945"/>
        <v>1</v>
      </c>
      <c r="BO1384" s="1">
        <f t="shared" si="1946"/>
        <v>1</v>
      </c>
    </row>
    <row r="1385" spans="1:67" ht="30.95" customHeight="1">
      <c r="A1385" s="1">
        <f>38</f>
        <v>38</v>
      </c>
      <c r="B1385" s="1">
        <f>固定流程!A17</f>
        <v>12</v>
      </c>
      <c r="C1385" s="1">
        <f>41</f>
        <v>41</v>
      </c>
      <c r="D1385" s="1">
        <f>1</f>
        <v>1</v>
      </c>
      <c r="E1385" s="1">
        <f>固定流程!C17</f>
        <v>2</v>
      </c>
      <c r="F1385" s="1">
        <f>固定流程!G17</f>
        <v>2</v>
      </c>
      <c r="G1385" s="1" t="str">
        <f>固定流程!H17</f>
        <v>37_FOLLOW</v>
      </c>
      <c r="H1385" s="1">
        <f>固定流程!F17</f>
        <v>1</v>
      </c>
      <c r="I1385" s="1">
        <f>INDEX(配置与结果!$B$15:$B$18,F1385)</f>
        <v>2306</v>
      </c>
      <c r="J1385" s="1">
        <f>INDEX(配置与结果!$D$15:$D$18,F1385)</f>
        <v>0.46</v>
      </c>
      <c r="K1385" s="1">
        <f>INDEX(配置与结果!$E$15:$E$18,F1385)</f>
        <v>1.9279999999999999</v>
      </c>
      <c r="L1385" s="1">
        <f t="shared" si="1952"/>
        <v>1</v>
      </c>
      <c r="M1385" s="1">
        <f t="shared" si="1952"/>
        <v>8</v>
      </c>
      <c r="N1385" s="1">
        <f t="shared" si="1952"/>
        <v>0</v>
      </c>
      <c r="O1385" s="1">
        <f t="shared" si="1951"/>
        <v>6</v>
      </c>
      <c r="P1385" s="1">
        <f>MIN(方案参数!$AI$41,AZ1384+0+0)</f>
        <v>5</v>
      </c>
      <c r="Q1385" s="1">
        <f t="shared" si="1929"/>
        <v>3</v>
      </c>
      <c r="R1385" s="1">
        <f t="shared" si="1930"/>
        <v>5</v>
      </c>
      <c r="S1385" s="1">
        <f t="shared" si="1931"/>
        <v>2</v>
      </c>
      <c r="T1385" s="1">
        <f t="shared" si="1932"/>
        <v>0</v>
      </c>
      <c r="U1385" s="1">
        <f t="shared" si="1933"/>
        <v>0</v>
      </c>
      <c r="V1385" s="1">
        <f t="shared" si="1934"/>
        <v>1</v>
      </c>
      <c r="W1385" s="1">
        <f t="shared" si="1935"/>
        <v>1</v>
      </c>
      <c r="X1385" s="1">
        <f t="shared" si="1936"/>
        <v>1</v>
      </c>
      <c r="Y1385" s="1">
        <f t="shared" si="1937"/>
        <v>1</v>
      </c>
      <c r="Z1385" s="1">
        <f t="shared" si="1938"/>
        <v>1</v>
      </c>
      <c r="AA1385" s="1">
        <f t="shared" si="1953"/>
        <v>1</v>
      </c>
      <c r="AB1385" s="1">
        <f t="shared" si="1940"/>
        <v>0</v>
      </c>
      <c r="AC1385" s="1">
        <f t="shared" si="1941"/>
        <v>0</v>
      </c>
      <c r="AD1385" s="1">
        <f>ROUNDDOWN(I1385*(1+IF(F1385=3,0.05+方案参数!$Y$41+AA1385*0.12,IF(F1385=4,方案参数!$BZ$41*方案参数!$AS$41,0)))+IF(AND(X1385=1,F1385&lt;&gt;3),方案参数!$CC$41,0)+AC1385*方案参数!$CB$41,0)</f>
        <v>2536</v>
      </c>
      <c r="AE1385" s="1">
        <f>IF(OR(F1385=1,F1385=4),配置与结果!$B$24,配置与结果!$B$25)*MAX(0,1-INDEX(配置与结果!$I$15:$I$18,F1385))</f>
        <v>1000</v>
      </c>
      <c r="AF1385" s="1">
        <f>方案参数!$BV$41</f>
        <v>3</v>
      </c>
      <c r="AG1385" s="1">
        <f>MAX(配置与结果!$B$32,1+INDEX(配置与结果!$F$15:$F$18,F1385)+0+Q1385*方案参数!$W$41+Y1385*(方案参数!$AN$41+MIN(方案参数!$AO$41,P1385*0.03))+AB1385*方案参数!$BZ$41*0.025-配置与结果!$B$28)</f>
        <v>0.95299999999999996</v>
      </c>
      <c r="AH1385" s="1">
        <f>MAX(0,1+INDEX(配置与结果!$G$15:$G$18,F1385)+W1385*方案参数!$AG$41)</f>
        <v>1.3</v>
      </c>
      <c r="AI1385" s="1">
        <f>IF(OR(INDEX(配置与结果!$K$15:$K$18,F1385)=1,G1385="RHI_BERRY"),1+配置与结果!$B$33+P1385*方案参数!$AH$41,1)</f>
        <v>1</v>
      </c>
      <c r="AJ1385" s="1">
        <f>MIN(1,MAX(0,J1385+方案参数!$AB$41-配置与结果!$B$27))</f>
        <v>0.76</v>
      </c>
      <c r="AK1385" s="1">
        <f>MAX(1,K1385+IF(F1385=2,0.15+方案参数!$CH$41,0)+BN1385*方案参数!$X$41+R1385*方案参数!$AA$41+0-配置与结果!$B$26+Z1385*(方案参数!$AP$41+MIN(方案参数!$AQ$41,P1385*0.03)))</f>
        <v>2.238</v>
      </c>
      <c r="AL1385" s="7">
        <f>ROUNDDOWN(MAX(AD1385*配置与结果!$B$31,AD1385-AE1385)*AF1385*AG1385*AH1385*AI1385,0)</f>
        <v>5708</v>
      </c>
      <c r="AM1385" s="7">
        <f>ROUNDDOWN(MAX(AD1385*配置与结果!$B$31,AD1385-AE1385)*AF1385*AG1385*AH1385*AI1385*AK1385,0)</f>
        <v>12776</v>
      </c>
      <c r="AN1385" s="7">
        <f t="shared" si="1903"/>
        <v>11079.68</v>
      </c>
      <c r="AO1385" s="7">
        <f>方案参数!$BW$41</f>
        <v>1</v>
      </c>
      <c r="AP1385" s="7">
        <f>MAX(0,1+INDEX(配置与结果!$J$15:$J$18,F1385)+IF(T1385&gt;0,方案参数!$BY$41,0)-配置与结果!$B$30)</f>
        <v>1</v>
      </c>
      <c r="AQ1385" s="7">
        <f t="shared" si="1904"/>
        <v>2536</v>
      </c>
      <c r="AR1385" s="7">
        <f t="shared" si="1905"/>
        <v>5675</v>
      </c>
      <c r="AS1385" s="7">
        <f t="shared" si="1906"/>
        <v>4921.6400000000003</v>
      </c>
      <c r="AT1385" s="7">
        <f>0</f>
        <v>0</v>
      </c>
      <c r="AU1385" s="7">
        <f t="shared" si="1907"/>
        <v>16001.32</v>
      </c>
      <c r="AV1385" s="1">
        <f t="shared" si="1908"/>
        <v>1</v>
      </c>
      <c r="AW1385" s="1">
        <f t="shared" si="1955"/>
        <v>8</v>
      </c>
      <c r="AX1385" s="1">
        <f t="shared" si="1909"/>
        <v>0</v>
      </c>
      <c r="AY1385" s="1">
        <f t="shared" si="1949"/>
        <v>6</v>
      </c>
      <c r="AZ1385" s="1">
        <f t="shared" si="1910"/>
        <v>5</v>
      </c>
      <c r="BA1385" s="1">
        <f>MIN(6,Q1385+0)</f>
        <v>3</v>
      </c>
      <c r="BB1385" s="1">
        <f t="shared" si="1942"/>
        <v>5</v>
      </c>
      <c r="BC1385" s="1">
        <f t="shared" si="1956"/>
        <v>2</v>
      </c>
      <c r="BD1385" s="1">
        <f t="shared" si="1950"/>
        <v>0</v>
      </c>
      <c r="BE1385" s="1">
        <f t="shared" si="1943"/>
        <v>0</v>
      </c>
      <c r="BF1385" s="1">
        <f>MIN(4,V1385+1)</f>
        <v>2</v>
      </c>
      <c r="BG1385" s="1">
        <f t="shared" si="1947"/>
        <v>1</v>
      </c>
      <c r="BH1385" s="1">
        <f t="shared" si="1944"/>
        <v>1</v>
      </c>
      <c r="BI1385" s="1">
        <f t="shared" si="1948"/>
        <v>1</v>
      </c>
      <c r="BJ1385" s="1">
        <f t="shared" si="1954"/>
        <v>1</v>
      </c>
      <c r="BK1385" s="1">
        <f t="shared" si="1954"/>
        <v>1</v>
      </c>
      <c r="BL1385" s="1">
        <f t="shared" si="1924"/>
        <v>0</v>
      </c>
      <c r="BM1385" s="1">
        <f t="shared" si="1922"/>
        <v>0</v>
      </c>
      <c r="BN1385" s="1">
        <f t="shared" si="1945"/>
        <v>1</v>
      </c>
      <c r="BO1385" s="1">
        <f t="shared" si="1946"/>
        <v>1</v>
      </c>
    </row>
    <row r="1386" spans="1:67" ht="30.95" customHeight="1">
      <c r="A1386" s="1">
        <f>38</f>
        <v>38</v>
      </c>
      <c r="B1386" s="1">
        <f>固定流程!A18</f>
        <v>13</v>
      </c>
      <c r="C1386" s="1">
        <f>41</f>
        <v>41</v>
      </c>
      <c r="D1386" s="1">
        <f>1</f>
        <v>1</v>
      </c>
      <c r="E1386" s="1">
        <f>固定流程!C18</f>
        <v>2</v>
      </c>
      <c r="F1386" s="1">
        <f>固定流程!G18</f>
        <v>3</v>
      </c>
      <c r="G1386" s="1" t="str">
        <f>固定流程!H18</f>
        <v>RHI_BERRY</v>
      </c>
      <c r="H1386" s="1">
        <f>固定流程!F18</f>
        <v>1</v>
      </c>
      <c r="I1386" s="1">
        <f>INDEX(配置与结果!$B$15:$B$18,F1386)</f>
        <v>2597</v>
      </c>
      <c r="J1386" s="1">
        <f>INDEX(配置与结果!$D$15:$D$18,F1386)</f>
        <v>0.255</v>
      </c>
      <c r="K1386" s="1">
        <f>INDEX(配置与结果!$E$15:$E$18,F1386)</f>
        <v>1.55</v>
      </c>
      <c r="L1386" s="1">
        <f t="shared" si="1952"/>
        <v>1</v>
      </c>
      <c r="M1386" s="1">
        <f t="shared" si="1952"/>
        <v>8</v>
      </c>
      <c r="N1386" s="1">
        <f t="shared" si="1952"/>
        <v>0</v>
      </c>
      <c r="O1386" s="1">
        <f t="shared" si="1951"/>
        <v>6</v>
      </c>
      <c r="P1386" s="1">
        <f>MIN(方案参数!$AI$41,AZ1385+0+0)</f>
        <v>5</v>
      </c>
      <c r="Q1386" s="1">
        <f t="shared" si="1929"/>
        <v>3</v>
      </c>
      <c r="R1386" s="1">
        <f t="shared" si="1930"/>
        <v>5</v>
      </c>
      <c r="S1386" s="1">
        <f t="shared" si="1931"/>
        <v>2</v>
      </c>
      <c r="T1386" s="1">
        <f t="shared" si="1932"/>
        <v>0</v>
      </c>
      <c r="U1386" s="1">
        <f t="shared" si="1933"/>
        <v>0</v>
      </c>
      <c r="V1386" s="1">
        <f t="shared" si="1934"/>
        <v>2</v>
      </c>
      <c r="W1386" s="1">
        <f t="shared" si="1935"/>
        <v>1</v>
      </c>
      <c r="X1386" s="1">
        <f t="shared" si="1936"/>
        <v>1</v>
      </c>
      <c r="Y1386" s="1">
        <f t="shared" si="1937"/>
        <v>1</v>
      </c>
      <c r="Z1386" s="1">
        <f t="shared" si="1938"/>
        <v>1</v>
      </c>
      <c r="AA1386" s="1">
        <f t="shared" si="1953"/>
        <v>1</v>
      </c>
      <c r="AB1386" s="1">
        <f t="shared" si="1940"/>
        <v>0</v>
      </c>
      <c r="AC1386" s="1">
        <f t="shared" si="1941"/>
        <v>0</v>
      </c>
      <c r="AD1386" s="1">
        <f>ROUNDDOWN(I1386*(1+IF(F1386=3,0.05+方案参数!$Y$41+AA1386*0.12,IF(F1386=4,方案参数!$BZ$41*方案参数!$AS$41,0)))+IF(AND(X1386=1,F1386&lt;&gt;3),方案参数!$CC$41,0)+AC1386*方案参数!$CB$41,0)</f>
        <v>3194</v>
      </c>
      <c r="AE1386" s="1">
        <f>IF(OR(F1386=1,F1386=4),配置与结果!$B$24,配置与结果!$B$25)*MAX(0,1-INDEX(配置与结果!$I$15:$I$18,F1386))</f>
        <v>1000</v>
      </c>
      <c r="AF1386" s="1">
        <f>方案参数!$CF$41+P1386*方案参数!$CG$41</f>
        <v>22.5</v>
      </c>
      <c r="AG1386" s="1">
        <f>MAX(配置与结果!$B$32,1+INDEX(配置与结果!$F$15:$F$18,F1386)+0+Q1386*方案参数!$W$41+Y1386*(方案参数!$AN$41+MIN(方案参数!$AO$41,P1386*0.03))+AB1386*方案参数!$BZ$41*0.025-配置与结果!$B$28)</f>
        <v>0.98299999999999998</v>
      </c>
      <c r="AH1386" s="1">
        <f>MAX(0,1+INDEX(配置与结果!$G$15:$G$18,F1386)+W1386*方案参数!$AG$41)</f>
        <v>1.3</v>
      </c>
      <c r="AI1386" s="1">
        <f>IF(OR(INDEX(配置与结果!$K$15:$K$18,F1386)=1,G1386="RHI_BERRY"),1+配置与结果!$B$33+P1386*方案参数!$AH$41,1)</f>
        <v>1.5</v>
      </c>
      <c r="AJ1386" s="1">
        <f>MIN(1,MAX(0,J1386+方案参数!$AB$41-配置与结果!$B$27))</f>
        <v>0.55499999999999994</v>
      </c>
      <c r="AK1386" s="1">
        <f>MAX(1,K1386+IF(F1386=2,0.15+方案参数!$CH$41,0)+BN1386*方案参数!$X$41+R1386*方案参数!$AA$41+0-配置与结果!$B$26+Z1386*(方案参数!$AP$41+MIN(方案参数!$AQ$41,P1386*0.03)))</f>
        <v>1.59</v>
      </c>
      <c r="AL1386" s="7">
        <f>ROUNDDOWN(MAX(AD1386*配置与结果!$B$31,AD1386-AE1386)*AF1386*AG1386*AH1386*AI1386,0)</f>
        <v>94625</v>
      </c>
      <c r="AM1386" s="7">
        <f>ROUNDDOWN(MAX(AD1386*配置与结果!$B$31,AD1386-AE1386)*AF1386*AG1386*AH1386*AI1386*AK1386,0)</f>
        <v>150454</v>
      </c>
      <c r="AN1386" s="7">
        <f t="shared" si="1903"/>
        <v>125610.095</v>
      </c>
      <c r="AO1386" s="7">
        <f>0</f>
        <v>0</v>
      </c>
      <c r="AP1386" s="7">
        <f>MAX(0,1+INDEX(配置与结果!$J$15:$J$18,F1386)+IF(T1386&gt;0,方案参数!$BY$41,0)-配置与结果!$B$30)</f>
        <v>1</v>
      </c>
      <c r="AQ1386" s="7">
        <f t="shared" si="1904"/>
        <v>0</v>
      </c>
      <c r="AR1386" s="7">
        <f t="shared" si="1905"/>
        <v>0</v>
      </c>
      <c r="AS1386" s="7">
        <f t="shared" si="1906"/>
        <v>0</v>
      </c>
      <c r="AT1386" s="7">
        <f>0</f>
        <v>0</v>
      </c>
      <c r="AU1386" s="7">
        <f t="shared" si="1907"/>
        <v>125610.095</v>
      </c>
      <c r="AV1386" s="1">
        <f t="shared" si="1908"/>
        <v>1</v>
      </c>
      <c r="AW1386" s="1">
        <f t="shared" si="1955"/>
        <v>8</v>
      </c>
      <c r="AX1386" s="1">
        <f t="shared" si="1909"/>
        <v>0</v>
      </c>
      <c r="AY1386" s="1">
        <f t="shared" si="1949"/>
        <v>6</v>
      </c>
      <c r="AZ1386" s="1">
        <f t="shared" si="1910"/>
        <v>5</v>
      </c>
      <c r="BA1386" s="1">
        <f>MIN(6,Q1386+0)</f>
        <v>3</v>
      </c>
      <c r="BB1386" s="1">
        <f t="shared" si="1942"/>
        <v>5</v>
      </c>
      <c r="BC1386" s="1">
        <f t="shared" si="1956"/>
        <v>2</v>
      </c>
      <c r="BD1386" s="1">
        <f t="shared" si="1950"/>
        <v>0</v>
      </c>
      <c r="BE1386" s="1">
        <f t="shared" si="1943"/>
        <v>0</v>
      </c>
      <c r="BF1386" s="1">
        <f>MIN(4,V1386+0)</f>
        <v>2</v>
      </c>
      <c r="BG1386" s="1">
        <f t="shared" si="1947"/>
        <v>1</v>
      </c>
      <c r="BH1386" s="1">
        <f t="shared" si="1944"/>
        <v>1</v>
      </c>
      <c r="BI1386" s="1">
        <f t="shared" si="1948"/>
        <v>1</v>
      </c>
      <c r="BJ1386" s="1">
        <f t="shared" si="1954"/>
        <v>1</v>
      </c>
      <c r="BK1386" s="1">
        <f t="shared" si="1954"/>
        <v>1</v>
      </c>
      <c r="BL1386" s="1">
        <f t="shared" si="1924"/>
        <v>0</v>
      </c>
      <c r="BM1386" s="1">
        <f t="shared" si="1922"/>
        <v>0</v>
      </c>
      <c r="BN1386" s="1">
        <f t="shared" si="1945"/>
        <v>1</v>
      </c>
      <c r="BO1386" s="1">
        <f t="shared" si="1946"/>
        <v>1</v>
      </c>
    </row>
    <row r="1387" spans="1:67" ht="30.95" customHeight="1">
      <c r="A1387" s="1">
        <f>38</f>
        <v>38</v>
      </c>
      <c r="B1387" s="1">
        <f>固定流程!A19</f>
        <v>14</v>
      </c>
      <c r="C1387" s="1">
        <f>41</f>
        <v>41</v>
      </c>
      <c r="D1387" s="1">
        <f>1</f>
        <v>1</v>
      </c>
      <c r="E1387" s="1">
        <f>固定流程!C19</f>
        <v>3</v>
      </c>
      <c r="F1387" s="1">
        <f>固定流程!G19</f>
        <v>3</v>
      </c>
      <c r="G1387" s="1" t="str">
        <f>固定流程!H19</f>
        <v>RHI_BUFF</v>
      </c>
      <c r="H1387" s="1">
        <f>固定流程!F19</f>
        <v>1</v>
      </c>
      <c r="I1387" s="1">
        <f>INDEX(配置与结果!$B$15:$B$18,F1387)</f>
        <v>2597</v>
      </c>
      <c r="J1387" s="1">
        <f>INDEX(配置与结果!$D$15:$D$18,F1387)</f>
        <v>0.255</v>
      </c>
      <c r="K1387" s="1">
        <f>INDEX(配置与结果!$E$15:$E$18,F1387)</f>
        <v>1.55</v>
      </c>
      <c r="L1387" s="1">
        <f>IF(AV1386=1,IF(M1387&gt;=10,2,1),IF(AV1386=2,IF(AX1386&lt;=1,0,2),0))</f>
        <v>2</v>
      </c>
      <c r="M1387" s="1">
        <f>IF(AND(AV1386=2,AX1386&lt;=1),0,MIN(10,AW1386+IF(AV1386=1,3,0)))</f>
        <v>10</v>
      </c>
      <c r="N1387" s="1">
        <f>IF(AND(AV1386=1,M1387&gt;=10),2,IF(AV1386=2,MAX(0,AX1386-1),0))</f>
        <v>2</v>
      </c>
      <c r="O1387" s="1">
        <f t="shared" si="1951"/>
        <v>6</v>
      </c>
      <c r="P1387" s="1">
        <f>MIN(方案参数!$AI$41,AZ1386+方案参数!$AJ$41+方案参数!$AK$41)</f>
        <v>5</v>
      </c>
      <c r="Q1387" s="1">
        <f t="shared" si="1929"/>
        <v>3</v>
      </c>
      <c r="R1387" s="1">
        <f t="shared" si="1930"/>
        <v>5</v>
      </c>
      <c r="S1387" s="1">
        <f t="shared" si="1931"/>
        <v>2</v>
      </c>
      <c r="T1387" s="1">
        <f t="shared" si="1932"/>
        <v>0</v>
      </c>
      <c r="U1387" s="1">
        <f t="shared" si="1933"/>
        <v>0</v>
      </c>
      <c r="V1387" s="1">
        <f t="shared" si="1934"/>
        <v>2</v>
      </c>
      <c r="W1387" s="1">
        <f t="shared" si="1935"/>
        <v>1</v>
      </c>
      <c r="X1387" s="1">
        <f t="shared" si="1936"/>
        <v>1</v>
      </c>
      <c r="Y1387" s="1">
        <f t="shared" si="1937"/>
        <v>1</v>
      </c>
      <c r="Z1387" s="1">
        <f t="shared" si="1938"/>
        <v>1</v>
      </c>
      <c r="AA1387" s="1">
        <f t="shared" si="1953"/>
        <v>1</v>
      </c>
      <c r="AB1387" s="1">
        <f t="shared" si="1940"/>
        <v>0</v>
      </c>
      <c r="AC1387" s="1">
        <f t="shared" si="1941"/>
        <v>0</v>
      </c>
      <c r="AD1387" s="1">
        <f>ROUNDDOWN(I1387*(1+IF(F1387=3,0.05+方案参数!$Y$41+AA1387*0.12,IF(F1387=4,方案参数!$BZ$41*方案参数!$AS$41,0)))+IF(AND(X1387=1,F1387&lt;&gt;3),方案参数!$CC$41,0)+AC1387*方案参数!$CB$41,0)</f>
        <v>3194</v>
      </c>
      <c r="AE1387" s="1">
        <f>IF(OR(F1387=1,F1387=4),配置与结果!$B$24,配置与结果!$B$25)*MAX(0,1-INDEX(配置与结果!$I$15:$I$18,F1387))</f>
        <v>1000</v>
      </c>
      <c r="AF1387" s="1">
        <f>0</f>
        <v>0</v>
      </c>
      <c r="AG1387" s="1">
        <f>MAX(配置与结果!$B$32,1+INDEX(配置与结果!$F$15:$F$18,F1387)+0+Q1387*方案参数!$W$41+Y1387*(方案参数!$AN$41+MIN(方案参数!$AO$41,P1387*0.03))+AB1387*方案参数!$BZ$41*0.025-配置与结果!$B$28)</f>
        <v>0.98299999999999998</v>
      </c>
      <c r="AH1387" s="1">
        <f>MAX(0,1+INDEX(配置与结果!$G$15:$G$18,F1387)+W1387*方案参数!$AG$41)</f>
        <v>1.3</v>
      </c>
      <c r="AI1387" s="1">
        <f>IF(OR(INDEX(配置与结果!$K$15:$K$18,F1387)=1,G1387="RHI_BERRY"),1+配置与结果!$B$33+P1387*方案参数!$AH$41,1)</f>
        <v>1</v>
      </c>
      <c r="AJ1387" s="1">
        <f>MIN(1,MAX(0,J1387+方案参数!$AB$41-配置与结果!$B$27))</f>
        <v>0.55499999999999994</v>
      </c>
      <c r="AK1387" s="1">
        <f>MAX(1,K1387+IF(F1387=2,0.15+方案参数!$CH$41,0)+BN1387*方案参数!$X$41+R1387*方案参数!$AA$41+0-配置与结果!$B$26+Z1387*(方案参数!$AP$41+MIN(方案参数!$AQ$41,P1387*0.03)))</f>
        <v>1.59</v>
      </c>
      <c r="AL1387" s="7">
        <f>ROUNDDOWN(MAX(AD1387*配置与结果!$B$31,AD1387-AE1387)*AF1387*AG1387*AH1387*AI1387,0)</f>
        <v>0</v>
      </c>
      <c r="AM1387" s="7">
        <f>ROUNDDOWN(MAX(AD1387*配置与结果!$B$31,AD1387-AE1387)*AF1387*AG1387*AH1387*AI1387*AK1387,0)</f>
        <v>0</v>
      </c>
      <c r="AN1387" s="7">
        <f t="shared" si="1903"/>
        <v>0</v>
      </c>
      <c r="AO1387" s="7">
        <f>0</f>
        <v>0</v>
      </c>
      <c r="AP1387" s="7">
        <f>MAX(0,1+INDEX(配置与结果!$J$15:$J$18,F1387)+IF(T1387&gt;0,方案参数!$BY$41,0)-配置与结果!$B$30)</f>
        <v>1</v>
      </c>
      <c r="AQ1387" s="7">
        <f t="shared" si="1904"/>
        <v>0</v>
      </c>
      <c r="AR1387" s="7">
        <f t="shared" si="1905"/>
        <v>0</v>
      </c>
      <c r="AS1387" s="7">
        <f t="shared" si="1906"/>
        <v>0</v>
      </c>
      <c r="AT1387" s="7">
        <f>0</f>
        <v>0</v>
      </c>
      <c r="AU1387" s="7">
        <f t="shared" si="1907"/>
        <v>0</v>
      </c>
      <c r="AV1387" s="1">
        <f t="shared" si="1908"/>
        <v>2</v>
      </c>
      <c r="AW1387" s="1">
        <f t="shared" si="1955"/>
        <v>10</v>
      </c>
      <c r="AX1387" s="1">
        <f t="shared" si="1909"/>
        <v>2</v>
      </c>
      <c r="AY1387" s="1">
        <f t="shared" si="1949"/>
        <v>6</v>
      </c>
      <c r="AZ1387" s="1">
        <f t="shared" si="1910"/>
        <v>5</v>
      </c>
      <c r="BA1387" s="1">
        <f>MIN(6,Q1387+1)</f>
        <v>4</v>
      </c>
      <c r="BB1387" s="1">
        <f t="shared" si="1942"/>
        <v>5</v>
      </c>
      <c r="BC1387" s="1">
        <f t="shared" si="1956"/>
        <v>2</v>
      </c>
      <c r="BD1387" s="1">
        <f t="shared" si="1950"/>
        <v>0</v>
      </c>
      <c r="BE1387" s="1">
        <f t="shared" si="1943"/>
        <v>0</v>
      </c>
      <c r="BF1387" s="1">
        <f>MIN(4,V1387+0)</f>
        <v>2</v>
      </c>
      <c r="BG1387" s="1">
        <f>MAX(W1387,1)</f>
        <v>1</v>
      </c>
      <c r="BH1387" s="1">
        <f t="shared" si="1944"/>
        <v>1</v>
      </c>
      <c r="BI1387" s="1">
        <f>MAX(Y1387,1)</f>
        <v>1</v>
      </c>
      <c r="BJ1387" s="1">
        <f t="shared" si="1954"/>
        <v>1</v>
      </c>
      <c r="BK1387" s="1">
        <f t="shared" si="1954"/>
        <v>1</v>
      </c>
      <c r="BL1387" s="1">
        <f t="shared" si="1924"/>
        <v>0</v>
      </c>
      <c r="BM1387" s="1">
        <f t="shared" si="1922"/>
        <v>0</v>
      </c>
      <c r="BN1387" s="1">
        <f t="shared" si="1945"/>
        <v>1</v>
      </c>
      <c r="BO1387" s="1">
        <f t="shared" si="1946"/>
        <v>1</v>
      </c>
    </row>
    <row r="1388" spans="1:67" ht="30.95" customHeight="1">
      <c r="A1388" s="1">
        <f>38</f>
        <v>38</v>
      </c>
      <c r="B1388" s="1">
        <f>固定流程!A20</f>
        <v>15</v>
      </c>
      <c r="C1388" s="1">
        <f>41</f>
        <v>41</v>
      </c>
      <c r="D1388" s="1">
        <f>1</f>
        <v>1</v>
      </c>
      <c r="E1388" s="1">
        <f>固定流程!C20</f>
        <v>3</v>
      </c>
      <c r="F1388" s="1">
        <f>固定流程!G20</f>
        <v>3</v>
      </c>
      <c r="G1388" s="1" t="str">
        <f>固定流程!H20</f>
        <v>RHI_ATTACK</v>
      </c>
      <c r="H1388" s="1">
        <f>固定流程!F20</f>
        <v>1</v>
      </c>
      <c r="I1388" s="1">
        <f>INDEX(配置与结果!$B$15:$B$18,F1388)</f>
        <v>2597</v>
      </c>
      <c r="J1388" s="1">
        <f>INDEX(配置与结果!$D$15:$D$18,F1388)</f>
        <v>0.255</v>
      </c>
      <c r="K1388" s="1">
        <f>INDEX(配置与结果!$E$15:$E$18,F1388)</f>
        <v>1.55</v>
      </c>
      <c r="L1388" s="1">
        <f t="shared" ref="L1388:L1409" si="1957">AV1387</f>
        <v>2</v>
      </c>
      <c r="M1388" s="1">
        <f t="shared" ref="M1388:M1409" si="1958">AW1387</f>
        <v>10</v>
      </c>
      <c r="N1388" s="1">
        <f t="shared" ref="N1388:N1409" si="1959">AX1387</f>
        <v>2</v>
      </c>
      <c r="O1388" s="1">
        <f t="shared" si="1951"/>
        <v>6</v>
      </c>
      <c r="P1388" s="1">
        <f>MIN(方案参数!$AI$41,AZ1387+0+方案参数!$AK$41)</f>
        <v>5</v>
      </c>
      <c r="Q1388" s="1">
        <f t="shared" si="1929"/>
        <v>4</v>
      </c>
      <c r="R1388" s="1">
        <f t="shared" si="1930"/>
        <v>5</v>
      </c>
      <c r="S1388" s="1">
        <f t="shared" si="1931"/>
        <v>2</v>
      </c>
      <c r="T1388" s="1">
        <f t="shared" si="1932"/>
        <v>0</v>
      </c>
      <c r="U1388" s="1">
        <f t="shared" si="1933"/>
        <v>0</v>
      </c>
      <c r="V1388" s="1">
        <f t="shared" si="1934"/>
        <v>2</v>
      </c>
      <c r="W1388" s="1">
        <f t="shared" si="1935"/>
        <v>1</v>
      </c>
      <c r="X1388" s="1">
        <f t="shared" si="1936"/>
        <v>1</v>
      </c>
      <c r="Y1388" s="1">
        <f t="shared" si="1937"/>
        <v>1</v>
      </c>
      <c r="Z1388" s="1">
        <f t="shared" si="1938"/>
        <v>1</v>
      </c>
      <c r="AA1388" s="1">
        <f>MAX(BK1387,1)</f>
        <v>1</v>
      </c>
      <c r="AB1388" s="1">
        <f t="shared" si="1940"/>
        <v>0</v>
      </c>
      <c r="AC1388" s="1">
        <f t="shared" si="1941"/>
        <v>0</v>
      </c>
      <c r="AD1388" s="1">
        <f>ROUNDDOWN(I1388*(1+IF(F1388=3,0.05+方案参数!$Y$41+AA1388*0.12,IF(F1388=4,方案参数!$BZ$41*方案参数!$AS$41,0)))+IF(AND(X1388=1,F1388&lt;&gt;3),方案参数!$CC$41,0)+AC1388*方案参数!$CB$41,0)</f>
        <v>3194</v>
      </c>
      <c r="AE1388" s="1">
        <f>IF(OR(F1388=1,F1388=4),配置与结果!$B$24,配置与结果!$B$25)*MAX(0,1-INDEX(配置与结果!$I$15:$I$18,F1388))</f>
        <v>1000</v>
      </c>
      <c r="AF1388" s="1">
        <f>4</f>
        <v>4</v>
      </c>
      <c r="AG1388" s="1">
        <f>MAX(配置与结果!$B$32,1+INDEX(配置与结果!$F$15:$F$18,F1388)+0+Q1388*方案参数!$W$41+Y1388*(方案参数!$AN$41+MIN(方案参数!$AO$41,P1388*0.03))+AB1388*方案参数!$BZ$41*0.025-配置与结果!$B$28)</f>
        <v>0.999</v>
      </c>
      <c r="AH1388" s="1">
        <f>MAX(0,1+INDEX(配置与结果!$G$15:$G$18,F1388)+W1388*方案参数!$AG$41)</f>
        <v>1.3</v>
      </c>
      <c r="AI1388" s="1">
        <f>IF(OR(INDEX(配置与结果!$K$15:$K$18,F1388)=1,G1388="RHI_BERRY"),1+配置与结果!$B$33+P1388*方案参数!$AH$41,1)</f>
        <v>1</v>
      </c>
      <c r="AJ1388" s="1">
        <f>MIN(1,MAX(0,J1388+方案参数!$AB$41-配置与结果!$B$27))</f>
        <v>0.55499999999999994</v>
      </c>
      <c r="AK1388" s="1">
        <f>MAX(1,K1388+IF(F1388=2,0.15+方案参数!$CH$41,0)+BN1388*方案参数!$X$41+R1388*方案参数!$AA$41+0-配置与结果!$B$26+Z1388*(方案参数!$AP$41+MIN(方案参数!$AQ$41,P1388*0.03)))</f>
        <v>1.59</v>
      </c>
      <c r="AL1388" s="7">
        <f>ROUNDDOWN(MAX(AD1388*配置与结果!$B$31,AD1388-AE1388)*AF1388*AG1388*AH1388*AI1388,0)</f>
        <v>11397</v>
      </c>
      <c r="AM1388" s="7">
        <f>ROUNDDOWN(MAX(AD1388*配置与结果!$B$31,AD1388-AE1388)*AF1388*AG1388*AH1388*AI1388*AK1388,0)</f>
        <v>18121</v>
      </c>
      <c r="AN1388" s="7">
        <f t="shared" si="1903"/>
        <v>15128.82</v>
      </c>
      <c r="AO1388" s="7">
        <f>0</f>
        <v>0</v>
      </c>
      <c r="AP1388" s="7">
        <f>MAX(0,1+INDEX(配置与结果!$J$15:$J$18,F1388)+IF(T1388&gt;0,方案参数!$BY$41,0)-配置与结果!$B$30)</f>
        <v>1</v>
      </c>
      <c r="AQ1388" s="7">
        <f t="shared" si="1904"/>
        <v>0</v>
      </c>
      <c r="AR1388" s="7">
        <f t="shared" si="1905"/>
        <v>0</v>
      </c>
      <c r="AS1388" s="7">
        <f t="shared" si="1906"/>
        <v>0</v>
      </c>
      <c r="AT1388" s="7">
        <f>0</f>
        <v>0</v>
      </c>
      <c r="AU1388" s="7">
        <f t="shared" si="1907"/>
        <v>15128.82</v>
      </c>
      <c r="AV1388" s="1">
        <f t="shared" si="1908"/>
        <v>2</v>
      </c>
      <c r="AW1388" s="1">
        <f t="shared" si="1955"/>
        <v>10</v>
      </c>
      <c r="AX1388" s="1">
        <f t="shared" si="1909"/>
        <v>2</v>
      </c>
      <c r="AY1388" s="1">
        <f t="shared" si="1949"/>
        <v>6</v>
      </c>
      <c r="AZ1388" s="1">
        <f t="shared" si="1910"/>
        <v>5</v>
      </c>
      <c r="BA1388" s="1">
        <f>MIN(6,Q1388+1)</f>
        <v>5</v>
      </c>
      <c r="BB1388" s="1">
        <f t="shared" si="1942"/>
        <v>5</v>
      </c>
      <c r="BC1388" s="1">
        <f t="shared" si="1956"/>
        <v>2</v>
      </c>
      <c r="BD1388" s="1">
        <f t="shared" si="1950"/>
        <v>0</v>
      </c>
      <c r="BE1388" s="1">
        <f t="shared" si="1943"/>
        <v>0</v>
      </c>
      <c r="BF1388" s="1">
        <f>MIN(4,V1388+0)</f>
        <v>2</v>
      </c>
      <c r="BG1388" s="1">
        <f t="shared" ref="BG1388:BG1410" si="1960">MAX(W1388,0)</f>
        <v>1</v>
      </c>
      <c r="BH1388" s="1">
        <f t="shared" si="1944"/>
        <v>1</v>
      </c>
      <c r="BI1388" s="1">
        <f t="shared" ref="BI1388:BI1410" si="1961">MAX(Y1388,0)</f>
        <v>1</v>
      </c>
      <c r="BJ1388" s="1">
        <f>MAX(Z1388,1)</f>
        <v>1</v>
      </c>
      <c r="BK1388" s="1">
        <f>MAX(AA1388,1)</f>
        <v>1</v>
      </c>
      <c r="BL1388" s="1">
        <f t="shared" si="1924"/>
        <v>0</v>
      </c>
      <c r="BM1388" s="1">
        <f t="shared" si="1922"/>
        <v>0</v>
      </c>
      <c r="BN1388" s="1">
        <f t="shared" si="1945"/>
        <v>1</v>
      </c>
      <c r="BO1388" s="1">
        <f t="shared" si="1946"/>
        <v>1</v>
      </c>
    </row>
    <row r="1389" spans="1:67" ht="30.95" customHeight="1">
      <c r="A1389" s="1">
        <f>38</f>
        <v>38</v>
      </c>
      <c r="B1389" s="1">
        <f>固定流程!A21</f>
        <v>16</v>
      </c>
      <c r="C1389" s="1">
        <f>41</f>
        <v>41</v>
      </c>
      <c r="D1389" s="1">
        <f>1</f>
        <v>1</v>
      </c>
      <c r="E1389" s="1">
        <f>固定流程!C21</f>
        <v>3</v>
      </c>
      <c r="F1389" s="1">
        <f>固定流程!G21</f>
        <v>2</v>
      </c>
      <c r="G1389" s="1" t="str">
        <f>固定流程!H21</f>
        <v>37_ULT</v>
      </c>
      <c r="H1389" s="1">
        <f>固定流程!F21</f>
        <v>1</v>
      </c>
      <c r="I1389" s="1">
        <f>INDEX(配置与结果!$B$15:$B$18,F1389)</f>
        <v>2306</v>
      </c>
      <c r="J1389" s="1">
        <f>INDEX(配置与结果!$D$15:$D$18,F1389)</f>
        <v>0.46</v>
      </c>
      <c r="K1389" s="1">
        <f>INDEX(配置与结果!$E$15:$E$18,F1389)</f>
        <v>1.9279999999999999</v>
      </c>
      <c r="L1389" s="1">
        <f t="shared" si="1957"/>
        <v>2</v>
      </c>
      <c r="M1389" s="1">
        <f t="shared" si="1958"/>
        <v>10</v>
      </c>
      <c r="N1389" s="1">
        <f t="shared" si="1959"/>
        <v>2</v>
      </c>
      <c r="O1389" s="1">
        <f t="shared" si="1951"/>
        <v>6</v>
      </c>
      <c r="P1389" s="1">
        <f>MIN(方案参数!$AI$41,AZ1388+0+0)</f>
        <v>5</v>
      </c>
      <c r="Q1389" s="1">
        <f t="shared" si="1929"/>
        <v>5</v>
      </c>
      <c r="R1389" s="1">
        <f t="shared" si="1930"/>
        <v>5</v>
      </c>
      <c r="S1389" s="1">
        <f t="shared" si="1931"/>
        <v>2</v>
      </c>
      <c r="T1389" s="1">
        <f>BD1388+方案参数!$BX$41</f>
        <v>2</v>
      </c>
      <c r="U1389" s="1">
        <f t="shared" si="1933"/>
        <v>0</v>
      </c>
      <c r="V1389" s="1">
        <f t="shared" si="1934"/>
        <v>2</v>
      </c>
      <c r="W1389" s="1">
        <f t="shared" si="1935"/>
        <v>1</v>
      </c>
      <c r="X1389" s="1">
        <f t="shared" si="1936"/>
        <v>1</v>
      </c>
      <c r="Y1389" s="1">
        <f t="shared" si="1937"/>
        <v>1</v>
      </c>
      <c r="Z1389" s="1">
        <f t="shared" si="1938"/>
        <v>1</v>
      </c>
      <c r="AA1389" s="1">
        <f t="shared" ref="AA1389:AA1409" si="1962">MAX(BK1388,0)</f>
        <v>1</v>
      </c>
      <c r="AB1389" s="1">
        <f t="shared" si="1940"/>
        <v>0</v>
      </c>
      <c r="AC1389" s="1">
        <f>MAX(BM1388,1)</f>
        <v>1</v>
      </c>
      <c r="AD1389" s="1">
        <f>ROUNDDOWN(I1389*(1+IF(F1389=3,0.05+方案参数!$Y$41+AA1389*0.12,IF(F1389=4,方案参数!$BZ$41*方案参数!$AS$41,0)))+IF(AND(X1389=1,F1389&lt;&gt;3),方案参数!$CC$41,0)+AC1389*方案参数!$CB$41,0)</f>
        <v>3036</v>
      </c>
      <c r="AE1389" s="1">
        <f>IF(OR(F1389=1,F1389=4),配置与结果!$B$24,配置与结果!$B$25)*MAX(0,1-INDEX(配置与结果!$I$15:$I$18,F1389))</f>
        <v>1000</v>
      </c>
      <c r="AF1389" s="1">
        <f>0</f>
        <v>0</v>
      </c>
      <c r="AG1389" s="1">
        <f>MAX(配置与结果!$B$32,1+INDEX(配置与结果!$F$15:$F$18,F1389)+0+Q1389*方案参数!$W$41+Y1389*(方案参数!$AN$41+MIN(方案参数!$AO$41,P1389*0.03))+AB1389*方案参数!$BZ$41*0.025-配置与结果!$B$28)</f>
        <v>0.98499999999999999</v>
      </c>
      <c r="AH1389" s="1">
        <f>MAX(0,1+INDEX(配置与结果!$G$15:$G$18,F1389)+W1389*方案参数!$AG$41)</f>
        <v>1.3</v>
      </c>
      <c r="AI1389" s="1">
        <f>IF(OR(INDEX(配置与结果!$K$15:$K$18,F1389)=1,G1389="RHI_BERRY"),1+配置与结果!$B$33+P1389*方案参数!$AH$41,1)</f>
        <v>1</v>
      </c>
      <c r="AJ1389" s="1">
        <f>MIN(1,MAX(0,J1389+方案参数!$AB$41-配置与结果!$B$27))</f>
        <v>0.76</v>
      </c>
      <c r="AK1389" s="1">
        <f>MAX(1,K1389+IF(F1389=2,0.15+方案参数!$CH$41,0)+BN1389*方案参数!$X$41+R1389*方案参数!$AA$41+0-配置与结果!$B$26+Z1389*(方案参数!$AP$41+MIN(方案参数!$AQ$41,P1389*0.03)))</f>
        <v>2.238</v>
      </c>
      <c r="AL1389" s="7">
        <f>ROUNDDOWN(MAX(AD1389*配置与结果!$B$31,AD1389-AE1389)*AF1389*AG1389*AH1389*AI1389,0)</f>
        <v>0</v>
      </c>
      <c r="AM1389" s="7">
        <f>ROUNDDOWN(MAX(AD1389*配置与结果!$B$31,AD1389-AE1389)*AF1389*AG1389*AH1389*AI1389*AK1389,0)</f>
        <v>0</v>
      </c>
      <c r="AN1389" s="7">
        <f t="shared" si="1903"/>
        <v>0</v>
      </c>
      <c r="AO1389" s="7">
        <f>0</f>
        <v>0</v>
      </c>
      <c r="AP1389" s="7">
        <f>MAX(0,1+INDEX(配置与结果!$J$15:$J$18,F1389)+IF(T1389&gt;0,方案参数!$BY$41,0)-配置与结果!$B$30)</f>
        <v>2</v>
      </c>
      <c r="AQ1389" s="7">
        <f t="shared" si="1904"/>
        <v>0</v>
      </c>
      <c r="AR1389" s="7">
        <f t="shared" si="1905"/>
        <v>0</v>
      </c>
      <c r="AS1389" s="7">
        <f t="shared" si="1906"/>
        <v>0</v>
      </c>
      <c r="AT1389" s="7">
        <f>0</f>
        <v>0</v>
      </c>
      <c r="AU1389" s="7">
        <f t="shared" si="1907"/>
        <v>0</v>
      </c>
      <c r="AV1389" s="1">
        <f t="shared" si="1908"/>
        <v>2</v>
      </c>
      <c r="AW1389" s="1">
        <f t="shared" si="1955"/>
        <v>10</v>
      </c>
      <c r="AX1389" s="1">
        <f t="shared" si="1909"/>
        <v>2</v>
      </c>
      <c r="AY1389" s="1">
        <f t="shared" si="1949"/>
        <v>6</v>
      </c>
      <c r="AZ1389" s="1">
        <f t="shared" si="1910"/>
        <v>5</v>
      </c>
      <c r="BA1389" s="1">
        <f t="shared" ref="BA1389:BA1409" si="1963">MIN(6,Q1389+0)</f>
        <v>5</v>
      </c>
      <c r="BB1389" s="1">
        <f>MIN(30,R1389+5)</f>
        <v>10</v>
      </c>
      <c r="BC1389" s="1">
        <f t="shared" si="1956"/>
        <v>2</v>
      </c>
      <c r="BD1389" s="1">
        <f t="shared" si="1950"/>
        <v>2</v>
      </c>
      <c r="BE1389" s="1">
        <f t="shared" si="1943"/>
        <v>0</v>
      </c>
      <c r="BF1389" s="1">
        <f>MIN(4,V1389+0)</f>
        <v>2</v>
      </c>
      <c r="BG1389" s="1">
        <f t="shared" si="1960"/>
        <v>1</v>
      </c>
      <c r="BH1389" s="1">
        <f t="shared" si="1944"/>
        <v>1</v>
      </c>
      <c r="BI1389" s="1">
        <f t="shared" si="1961"/>
        <v>1</v>
      </c>
      <c r="BJ1389" s="1">
        <f t="shared" ref="BJ1389:BJ1416" si="1964">MAX(Z1389,0)</f>
        <v>1</v>
      </c>
      <c r="BK1389" s="1">
        <f t="shared" ref="BK1389:BK1416" si="1965">MAX(AA1389,0)</f>
        <v>1</v>
      </c>
      <c r="BL1389" s="1">
        <f t="shared" si="1924"/>
        <v>0</v>
      </c>
      <c r="BM1389" s="1">
        <f>MAX(AC1389,1)</f>
        <v>1</v>
      </c>
      <c r="BN1389" s="1">
        <f t="shared" si="1945"/>
        <v>1</v>
      </c>
      <c r="BO1389" s="1">
        <f t="shared" si="1946"/>
        <v>1</v>
      </c>
    </row>
    <row r="1390" spans="1:67" ht="30.95" customHeight="1">
      <c r="A1390" s="1">
        <f>38</f>
        <v>38</v>
      </c>
      <c r="B1390" s="1">
        <f>固定流程!A22</f>
        <v>17</v>
      </c>
      <c r="C1390" s="1">
        <f>41</f>
        <v>41</v>
      </c>
      <c r="D1390" s="1">
        <f>1</f>
        <v>1</v>
      </c>
      <c r="E1390" s="1">
        <f>固定流程!C22</f>
        <v>3</v>
      </c>
      <c r="F1390" s="1">
        <f>固定流程!G22</f>
        <v>2</v>
      </c>
      <c r="G1390" s="1" t="str">
        <f>固定流程!H22</f>
        <v>37_FOLLOW</v>
      </c>
      <c r="H1390" s="1">
        <f>固定流程!F22</f>
        <v>1</v>
      </c>
      <c r="I1390" s="1">
        <f>INDEX(配置与结果!$B$15:$B$18,F1390)</f>
        <v>2306</v>
      </c>
      <c r="J1390" s="1">
        <f>INDEX(配置与结果!$D$15:$D$18,F1390)</f>
        <v>0.46</v>
      </c>
      <c r="K1390" s="1">
        <f>INDEX(配置与结果!$E$15:$E$18,F1390)</f>
        <v>1.9279999999999999</v>
      </c>
      <c r="L1390" s="1">
        <f t="shared" si="1957"/>
        <v>2</v>
      </c>
      <c r="M1390" s="1">
        <f t="shared" si="1958"/>
        <v>10</v>
      </c>
      <c r="N1390" s="1">
        <f t="shared" si="1959"/>
        <v>2</v>
      </c>
      <c r="O1390" s="1">
        <f t="shared" si="1951"/>
        <v>6</v>
      </c>
      <c r="P1390" s="1">
        <f>MIN(方案参数!$AI$41,AZ1389+0+0)</f>
        <v>5</v>
      </c>
      <c r="Q1390" s="1">
        <f t="shared" si="1929"/>
        <v>5</v>
      </c>
      <c r="R1390" s="1">
        <f t="shared" si="1930"/>
        <v>10</v>
      </c>
      <c r="S1390" s="1">
        <f t="shared" si="1931"/>
        <v>2</v>
      </c>
      <c r="T1390" s="1">
        <f t="shared" ref="T1390:T1409" si="1966">BD1389+0</f>
        <v>2</v>
      </c>
      <c r="U1390" s="1">
        <f t="shared" si="1933"/>
        <v>0</v>
      </c>
      <c r="V1390" s="1">
        <f t="shared" si="1934"/>
        <v>2</v>
      </c>
      <c r="W1390" s="1">
        <f t="shared" si="1935"/>
        <v>1</v>
      </c>
      <c r="X1390" s="1">
        <f t="shared" si="1936"/>
        <v>1</v>
      </c>
      <c r="Y1390" s="1">
        <f t="shared" si="1937"/>
        <v>1</v>
      </c>
      <c r="Z1390" s="1">
        <f t="shared" si="1938"/>
        <v>1</v>
      </c>
      <c r="AA1390" s="1">
        <f t="shared" si="1962"/>
        <v>1</v>
      </c>
      <c r="AB1390" s="1">
        <f t="shared" si="1940"/>
        <v>0</v>
      </c>
      <c r="AC1390" s="1">
        <f t="shared" ref="AC1390:AC1409" si="1967">MAX(BM1389,0)</f>
        <v>1</v>
      </c>
      <c r="AD1390" s="1">
        <f>ROUNDDOWN(I1390*(1+IF(F1390=3,0.05+方案参数!$Y$41+AA1390*0.12,IF(F1390=4,方案参数!$BZ$41*方案参数!$AS$41,0)))+IF(AND(X1390=1,F1390&lt;&gt;3),方案参数!$CC$41,0)+AC1390*方案参数!$CB$41,0)</f>
        <v>3036</v>
      </c>
      <c r="AE1390" s="1">
        <f>IF(OR(F1390=1,F1390=4),配置与结果!$B$24,配置与结果!$B$25)*MAX(0,1-INDEX(配置与结果!$I$15:$I$18,F1390))</f>
        <v>1000</v>
      </c>
      <c r="AF1390" s="1">
        <f>方案参数!$BV$41</f>
        <v>3</v>
      </c>
      <c r="AG1390" s="1">
        <f>MAX(配置与结果!$B$32,1+INDEX(配置与结果!$F$15:$F$18,F1390)+0+Q1390*方案参数!$W$41+Y1390*(方案参数!$AN$41+MIN(方案参数!$AO$41,P1390*0.03))+AB1390*方案参数!$BZ$41*0.025-配置与结果!$B$28)</f>
        <v>0.98499999999999999</v>
      </c>
      <c r="AH1390" s="1">
        <f>MAX(0,1+INDEX(配置与结果!$G$15:$G$18,F1390)+W1390*方案参数!$AG$41)</f>
        <v>1.3</v>
      </c>
      <c r="AI1390" s="1">
        <f>IF(OR(INDEX(配置与结果!$K$15:$K$18,F1390)=1,G1390="RHI_BERRY"),1+配置与结果!$B$33+P1390*方案参数!$AH$41,1)</f>
        <v>1</v>
      </c>
      <c r="AJ1390" s="1">
        <f>MIN(1,MAX(0,J1390+方案参数!$AB$41-配置与结果!$B$27))</f>
        <v>0.76</v>
      </c>
      <c r="AK1390" s="1">
        <f>MAX(1,K1390+IF(F1390=2,0.15+方案参数!$CH$41,0)+BN1390*方案参数!$X$41+R1390*方案参数!$AA$41+0-配置与结果!$B$26+Z1390*(方案参数!$AP$41+MIN(方案参数!$AQ$41,P1390*0.03)))</f>
        <v>2.258</v>
      </c>
      <c r="AL1390" s="7">
        <f>ROUNDDOWN(MAX(AD1390*配置与结果!$B$31,AD1390-AE1390)*AF1390*AG1390*AH1390*AI1390,0)</f>
        <v>7821</v>
      </c>
      <c r="AM1390" s="7">
        <f>ROUNDDOWN(MAX(AD1390*配置与结果!$B$31,AD1390-AE1390)*AF1390*AG1390*AH1390*AI1390*AK1390,0)</f>
        <v>17660</v>
      </c>
      <c r="AN1390" s="7">
        <f t="shared" si="1903"/>
        <v>15298.64</v>
      </c>
      <c r="AO1390" s="7">
        <f>方案参数!$BW$41</f>
        <v>1</v>
      </c>
      <c r="AP1390" s="7">
        <f>MAX(0,1+INDEX(配置与结果!$J$15:$J$18,F1390)+IF(T1390&gt;0,方案参数!$BY$41,0)-配置与结果!$B$30)</f>
        <v>2</v>
      </c>
      <c r="AQ1390" s="7">
        <f t="shared" si="1904"/>
        <v>6072</v>
      </c>
      <c r="AR1390" s="7">
        <f t="shared" si="1905"/>
        <v>13710</v>
      </c>
      <c r="AS1390" s="7">
        <f t="shared" si="1906"/>
        <v>11876.880000000001</v>
      </c>
      <c r="AT1390" s="7">
        <f>0</f>
        <v>0</v>
      </c>
      <c r="AU1390" s="7">
        <f t="shared" si="1907"/>
        <v>27175.52</v>
      </c>
      <c r="AV1390" s="1">
        <f t="shared" si="1908"/>
        <v>2</v>
      </c>
      <c r="AW1390" s="1">
        <f t="shared" si="1955"/>
        <v>10</v>
      </c>
      <c r="AX1390" s="1">
        <f t="shared" si="1909"/>
        <v>2</v>
      </c>
      <c r="AY1390" s="1">
        <f t="shared" si="1949"/>
        <v>6</v>
      </c>
      <c r="AZ1390" s="1">
        <f t="shared" si="1910"/>
        <v>5</v>
      </c>
      <c r="BA1390" s="1">
        <f t="shared" si="1963"/>
        <v>5</v>
      </c>
      <c r="BB1390" s="1">
        <f>MIN(30,R1390+0)</f>
        <v>10</v>
      </c>
      <c r="BC1390" s="1">
        <f t="shared" si="1956"/>
        <v>2</v>
      </c>
      <c r="BD1390" s="1">
        <f t="shared" si="1950"/>
        <v>1</v>
      </c>
      <c r="BE1390" s="1">
        <f t="shared" si="1943"/>
        <v>0</v>
      </c>
      <c r="BF1390" s="1">
        <f>MIN(4,V1390+1)</f>
        <v>3</v>
      </c>
      <c r="BG1390" s="1">
        <f t="shared" si="1960"/>
        <v>1</v>
      </c>
      <c r="BH1390" s="1">
        <f t="shared" si="1944"/>
        <v>1</v>
      </c>
      <c r="BI1390" s="1">
        <f t="shared" si="1961"/>
        <v>1</v>
      </c>
      <c r="BJ1390" s="1">
        <f t="shared" si="1964"/>
        <v>1</v>
      </c>
      <c r="BK1390" s="1">
        <f t="shared" si="1965"/>
        <v>1</v>
      </c>
      <c r="BL1390" s="1">
        <f t="shared" si="1924"/>
        <v>0</v>
      </c>
      <c r="BM1390" s="1">
        <f t="shared" ref="BM1390:BM1424" si="1968">MAX(AC1390,0)</f>
        <v>1</v>
      </c>
      <c r="BN1390" s="1">
        <f t="shared" si="1945"/>
        <v>1</v>
      </c>
      <c r="BO1390" s="1">
        <f t="shared" si="1946"/>
        <v>1</v>
      </c>
    </row>
    <row r="1391" spans="1:67" ht="30.95" customHeight="1">
      <c r="A1391" s="1">
        <f>38</f>
        <v>38</v>
      </c>
      <c r="B1391" s="1">
        <f>固定流程!A23</f>
        <v>18</v>
      </c>
      <c r="C1391" s="1">
        <f>41</f>
        <v>41</v>
      </c>
      <c r="D1391" s="1">
        <f>1</f>
        <v>1</v>
      </c>
      <c r="E1391" s="1">
        <f>固定流程!C23</f>
        <v>3</v>
      </c>
      <c r="F1391" s="1">
        <f>固定流程!G23</f>
        <v>4</v>
      </c>
      <c r="G1391" s="1" t="str">
        <f>固定流程!H23</f>
        <v>J_HARD</v>
      </c>
      <c r="H1391" s="1">
        <f>固定流程!F23</f>
        <v>1</v>
      </c>
      <c r="I1391" s="1">
        <f>INDEX(配置与结果!$B$15:$B$18,F1391)</f>
        <v>1906</v>
      </c>
      <c r="J1391" s="1">
        <f>INDEX(配置与结果!$D$15:$D$18,F1391)</f>
        <v>0.36699999999999999</v>
      </c>
      <c r="K1391" s="1">
        <f>INDEX(配置与结果!$E$15:$E$18,F1391)</f>
        <v>1.7170000000000001</v>
      </c>
      <c r="L1391" s="1">
        <f t="shared" si="1957"/>
        <v>2</v>
      </c>
      <c r="M1391" s="1">
        <f t="shared" si="1958"/>
        <v>10</v>
      </c>
      <c r="N1391" s="1">
        <f t="shared" si="1959"/>
        <v>2</v>
      </c>
      <c r="O1391" s="1">
        <f t="shared" si="1951"/>
        <v>6</v>
      </c>
      <c r="P1391" s="1">
        <f>MIN(方案参数!$AI$41,AZ1390+0+0)</f>
        <v>5</v>
      </c>
      <c r="Q1391" s="1">
        <f t="shared" si="1929"/>
        <v>5</v>
      </c>
      <c r="R1391" s="1">
        <f t="shared" si="1930"/>
        <v>10</v>
      </c>
      <c r="S1391" s="1">
        <f t="shared" si="1931"/>
        <v>2</v>
      </c>
      <c r="T1391" s="1">
        <f t="shared" si="1966"/>
        <v>1</v>
      </c>
      <c r="U1391" s="1">
        <f t="shared" si="1933"/>
        <v>0</v>
      </c>
      <c r="V1391" s="1">
        <f t="shared" si="1934"/>
        <v>3</v>
      </c>
      <c r="W1391" s="1">
        <f t="shared" si="1935"/>
        <v>1</v>
      </c>
      <c r="X1391" s="1">
        <f t="shared" si="1936"/>
        <v>1</v>
      </c>
      <c r="Y1391" s="1">
        <f t="shared" si="1937"/>
        <v>1</v>
      </c>
      <c r="Z1391" s="1">
        <f t="shared" si="1938"/>
        <v>1</v>
      </c>
      <c r="AA1391" s="1">
        <f t="shared" si="1962"/>
        <v>1</v>
      </c>
      <c r="AB1391" s="1">
        <f t="shared" si="1940"/>
        <v>0</v>
      </c>
      <c r="AC1391" s="1">
        <f t="shared" si="1967"/>
        <v>1</v>
      </c>
      <c r="AD1391" s="1">
        <f>ROUNDDOWN(I1391*(1+IF(F1391=3,0.05+方案参数!$Y$41+AA1391*0.12,IF(F1391=4,方案参数!$BZ$41*方案参数!$AS$41,0)))+IF(AND(X1391=1,F1391&lt;&gt;3),方案参数!$CC$41,0)+AC1391*方案参数!$CB$41,0)</f>
        <v>3303</v>
      </c>
      <c r="AE1391" s="1">
        <f>IF(OR(F1391=1,F1391=4),配置与结果!$B$24,配置与结果!$B$25)*MAX(0,1-INDEX(配置与结果!$I$15:$I$18,F1391))</f>
        <v>1200</v>
      </c>
      <c r="AF1391" s="1">
        <f>3.6*IF(H1391=1,1,IF(H1391=2,1.5,2.5))</f>
        <v>3.6</v>
      </c>
      <c r="AG1391" s="1">
        <f>MAX(配置与结果!$B$32,1+INDEX(配置与结果!$F$15:$F$18,F1391)+0.08+Q1391*方案参数!$W$41+Y1391*(方案参数!$AN$41+MIN(方案参数!$AO$41,P1391*0.03))+AB1391*方案参数!$BZ$41*0.025+0.1+IF(方案参数!$BZ$41&gt;=30,方案参数!$BZ$41*0.01,0)-配置与结果!$B$28)</f>
        <v>1.5350000000000001</v>
      </c>
      <c r="AH1391" s="1">
        <f>MAX(0,1+INDEX(配置与结果!$G$15:$G$18,F1391)+W1391*方案参数!$AG$41)</f>
        <v>1.3</v>
      </c>
      <c r="AI1391" s="1">
        <f>IF(OR(INDEX(配置与结果!$K$15:$K$18,F1391)=1,G1391="RHI_BERRY"),1+配置与结果!$B$33+P1391*方案参数!$AH$41,1)</f>
        <v>1</v>
      </c>
      <c r="AJ1391" s="1">
        <f>MIN(1,MAX(0,J1391+方案参数!$AB$41-配置与结果!$B$27))</f>
        <v>0.66700000000000004</v>
      </c>
      <c r="AK1391" s="1">
        <f>MAX(1,K1391+IF(F1391=2,0.15+方案参数!$CH$41,0)+BN1391*方案参数!$X$41+R1391*方案参数!$AA$41+0-配置与结果!$B$26+Z1391*(方案参数!$AP$41+MIN(方案参数!$AQ$41,P1391*0.03)))</f>
        <v>1.7770000000000004</v>
      </c>
      <c r="AL1391" s="7">
        <f>ROUNDDOWN(MAX(AD1391*配置与结果!$B$31,AD1391-AE1391)*AF1391*AG1391*AH1391*AI1391,0)</f>
        <v>15107</v>
      </c>
      <c r="AM1391" s="7">
        <f>ROUNDDOWN(MAX(AD1391*配置与结果!$B$31,AD1391-AE1391)*AF1391*AG1391*AH1391*AI1391*AK1391,0)</f>
        <v>26846</v>
      </c>
      <c r="AN1391" s="7">
        <f t="shared" si="1903"/>
        <v>22936.913</v>
      </c>
      <c r="AO1391" s="7">
        <f>0</f>
        <v>0</v>
      </c>
      <c r="AP1391" s="7">
        <f>MAX(0,1+INDEX(配置与结果!$J$15:$J$18,F1391)+IF(T1391&gt;0,方案参数!$BY$41,0)-配置与结果!$B$30)</f>
        <v>2</v>
      </c>
      <c r="AQ1391" s="7">
        <f t="shared" si="1904"/>
        <v>0</v>
      </c>
      <c r="AR1391" s="7">
        <f t="shared" si="1905"/>
        <v>0</v>
      </c>
      <c r="AS1391" s="7">
        <f t="shared" si="1906"/>
        <v>0</v>
      </c>
      <c r="AT1391" s="7">
        <f>0</f>
        <v>0</v>
      </c>
      <c r="AU1391" s="7">
        <f t="shared" si="1907"/>
        <v>22936.913</v>
      </c>
      <c r="AV1391" s="1">
        <f t="shared" si="1908"/>
        <v>2</v>
      </c>
      <c r="AW1391" s="1">
        <f t="shared" si="1955"/>
        <v>10</v>
      </c>
      <c r="AX1391" s="1">
        <f t="shared" si="1909"/>
        <v>2</v>
      </c>
      <c r="AY1391" s="1">
        <f t="shared" si="1949"/>
        <v>6</v>
      </c>
      <c r="AZ1391" s="1">
        <f t="shared" si="1910"/>
        <v>5</v>
      </c>
      <c r="BA1391" s="1">
        <f t="shared" si="1963"/>
        <v>5</v>
      </c>
      <c r="BB1391" s="1">
        <f>MIN(30,R1391+0)</f>
        <v>10</v>
      </c>
      <c r="BC1391" s="1">
        <f>MIN(3,S1391+1)</f>
        <v>3</v>
      </c>
      <c r="BD1391" s="1">
        <f t="shared" si="1950"/>
        <v>1</v>
      </c>
      <c r="BE1391" s="1">
        <f t="shared" si="1943"/>
        <v>0</v>
      </c>
      <c r="BF1391" s="1">
        <f>MIN(4,V1391+0)</f>
        <v>3</v>
      </c>
      <c r="BG1391" s="1">
        <f t="shared" si="1960"/>
        <v>1</v>
      </c>
      <c r="BH1391" s="1">
        <f t="shared" si="1944"/>
        <v>1</v>
      </c>
      <c r="BI1391" s="1">
        <f t="shared" si="1961"/>
        <v>1</v>
      </c>
      <c r="BJ1391" s="1">
        <f t="shared" si="1964"/>
        <v>1</v>
      </c>
      <c r="BK1391" s="1">
        <f t="shared" si="1965"/>
        <v>1</v>
      </c>
      <c r="BL1391" s="1">
        <f t="shared" si="1924"/>
        <v>0</v>
      </c>
      <c r="BM1391" s="1">
        <f t="shared" si="1968"/>
        <v>1</v>
      </c>
      <c r="BN1391" s="1">
        <f t="shared" si="1945"/>
        <v>1</v>
      </c>
      <c r="BO1391" s="1">
        <f t="shared" si="1946"/>
        <v>1</v>
      </c>
    </row>
    <row r="1392" spans="1:67" ht="30.95" customHeight="1">
      <c r="A1392" s="1">
        <f>38</f>
        <v>38</v>
      </c>
      <c r="B1392" s="1">
        <f>固定流程!A24</f>
        <v>19</v>
      </c>
      <c r="C1392" s="1">
        <f>41</f>
        <v>41</v>
      </c>
      <c r="D1392" s="1">
        <f>1</f>
        <v>1</v>
      </c>
      <c r="E1392" s="1">
        <f>固定流程!C24</f>
        <v>3</v>
      </c>
      <c r="F1392" s="1">
        <f>固定流程!G24</f>
        <v>4</v>
      </c>
      <c r="G1392" s="1" t="str">
        <f>固定流程!H24</f>
        <v>J_ULT</v>
      </c>
      <c r="H1392" s="1">
        <f>固定流程!F24</f>
        <v>1</v>
      </c>
      <c r="I1392" s="1">
        <f>INDEX(配置与结果!$B$15:$B$18,F1392)</f>
        <v>1906</v>
      </c>
      <c r="J1392" s="1">
        <f>INDEX(配置与结果!$D$15:$D$18,F1392)</f>
        <v>0.36699999999999999</v>
      </c>
      <c r="K1392" s="1">
        <f>INDEX(配置与结果!$E$15:$E$18,F1392)</f>
        <v>1.7170000000000001</v>
      </c>
      <c r="L1392" s="1">
        <f t="shared" si="1957"/>
        <v>2</v>
      </c>
      <c r="M1392" s="1">
        <f t="shared" si="1958"/>
        <v>10</v>
      </c>
      <c r="N1392" s="1">
        <f t="shared" si="1959"/>
        <v>2</v>
      </c>
      <c r="O1392" s="1">
        <f t="shared" si="1951"/>
        <v>6</v>
      </c>
      <c r="P1392" s="1">
        <f>MIN(方案参数!$AI$41,AZ1391+0+0)</f>
        <v>5</v>
      </c>
      <c r="Q1392" s="1">
        <f t="shared" si="1929"/>
        <v>5</v>
      </c>
      <c r="R1392" s="1">
        <f t="shared" si="1930"/>
        <v>10</v>
      </c>
      <c r="S1392" s="1">
        <f t="shared" si="1931"/>
        <v>3</v>
      </c>
      <c r="T1392" s="1">
        <f t="shared" si="1966"/>
        <v>1</v>
      </c>
      <c r="U1392" s="1">
        <f t="shared" si="1933"/>
        <v>0</v>
      </c>
      <c r="V1392" s="1">
        <f t="shared" si="1934"/>
        <v>3</v>
      </c>
      <c r="W1392" s="1">
        <f t="shared" si="1935"/>
        <v>1</v>
      </c>
      <c r="X1392" s="1">
        <f t="shared" si="1936"/>
        <v>1</v>
      </c>
      <c r="Y1392" s="1">
        <f t="shared" si="1937"/>
        <v>1</v>
      </c>
      <c r="Z1392" s="1">
        <f t="shared" si="1938"/>
        <v>1</v>
      </c>
      <c r="AA1392" s="1">
        <f t="shared" si="1962"/>
        <v>1</v>
      </c>
      <c r="AB1392" s="1">
        <f t="shared" si="1940"/>
        <v>0</v>
      </c>
      <c r="AC1392" s="1">
        <f t="shared" si="1967"/>
        <v>1</v>
      </c>
      <c r="AD1392" s="1">
        <f>ROUNDDOWN(I1392*(1+IF(F1392=3,0.05+方案参数!$Y$41+AA1392*0.12,IF(F1392=4,方案参数!$BZ$41*方案参数!$AS$41,0)))+IF(AND(X1392=1,F1392&lt;&gt;3),方案参数!$CC$41,0)+AC1392*方案参数!$CB$41,0)</f>
        <v>3303</v>
      </c>
      <c r="AE1392" s="1">
        <f>IF(OR(F1392=1,F1392=4),配置与结果!$B$24,配置与结果!$B$25)*MAX(0,1-INDEX(配置与结果!$I$15:$I$18,F1392))</f>
        <v>1200</v>
      </c>
      <c r="AF1392" s="1">
        <f>方案参数!$AT$41+MAX(0,配置与结果!$H$26+方案参数!$BZ$41-30)*方案参数!$AU$41*配置与结果!$H$27</f>
        <v>42</v>
      </c>
      <c r="AG1392" s="1">
        <f>MAX(配置与结果!$B$32,1+INDEX(配置与结果!$F$15:$F$18,F1392)+0.08+Q1392*方案参数!$W$41+Y1392*(方案参数!$AN$41+MIN(方案参数!$AO$41,P1392*0.03))+AB1392*方案参数!$BZ$41*0.025-配置与结果!$B$28)</f>
        <v>1.085</v>
      </c>
      <c r="AH1392" s="1">
        <f>MAX(0,1+INDEX(配置与结果!$H$15:$H$18,F1392)+W1392*方案参数!$AG$41+S1392*方案参数!$Z$41)</f>
        <v>1.42</v>
      </c>
      <c r="AI1392" s="1">
        <f>IF(OR(INDEX(配置与结果!$K$15:$K$18,F1392)=1,G1392="RHI_BERRY"),1+配置与结果!$B$33+P1392*方案参数!$AH$41,1)</f>
        <v>1</v>
      </c>
      <c r="AJ1392" s="1">
        <f>MIN(1,MAX(0,J1392+方案参数!$AB$41-配置与结果!$B$27))</f>
        <v>0.66700000000000004</v>
      </c>
      <c r="AK1392" s="1">
        <f>MAX(1,K1392+IF(F1392=2,0.15+方案参数!$CH$41,0)+BN1392*方案参数!$X$41+R1392*方案参数!$AA$41+0-配置与结果!$B$26+Z1392*(方案参数!$AP$41+MIN(方案参数!$AQ$41,P1392*0.03)))</f>
        <v>1.7770000000000004</v>
      </c>
      <c r="AL1392" s="7">
        <f>ROUNDDOWN(MAX(AD1392*配置与结果!$B$31,AD1392-AE1392)*AF1392*AG1392*AH1392*AI1392,0)</f>
        <v>136083</v>
      </c>
      <c r="AM1392" s="7">
        <f>ROUNDDOWN(MAX(AD1392*配置与结果!$B$31,AD1392-AE1392)*AF1392*AG1392*AH1392*AI1392*AK1392,0)</f>
        <v>241821</v>
      </c>
      <c r="AN1392" s="7">
        <f t="shared" si="1903"/>
        <v>206610.24600000001</v>
      </c>
      <c r="AO1392" s="7">
        <f>0</f>
        <v>0</v>
      </c>
      <c r="AP1392" s="7">
        <f>MAX(0,1+INDEX(配置与结果!$J$15:$J$18,F1392)+IF(T1392&gt;0,方案参数!$BY$41,0)-配置与结果!$B$30)</f>
        <v>2</v>
      </c>
      <c r="AQ1392" s="7">
        <f t="shared" si="1904"/>
        <v>0</v>
      </c>
      <c r="AR1392" s="7">
        <f t="shared" si="1905"/>
        <v>0</v>
      </c>
      <c r="AS1392" s="7">
        <f t="shared" si="1906"/>
        <v>0</v>
      </c>
      <c r="AT1392" s="7">
        <f>0</f>
        <v>0</v>
      </c>
      <c r="AU1392" s="7">
        <f t="shared" si="1907"/>
        <v>206610.24600000001</v>
      </c>
      <c r="AV1392" s="1">
        <f t="shared" si="1908"/>
        <v>2</v>
      </c>
      <c r="AW1392" s="1">
        <f t="shared" si="1955"/>
        <v>10</v>
      </c>
      <c r="AX1392" s="1">
        <f t="shared" si="1909"/>
        <v>2</v>
      </c>
      <c r="AY1392" s="1">
        <f t="shared" si="1949"/>
        <v>6</v>
      </c>
      <c r="AZ1392" s="1">
        <f t="shared" si="1910"/>
        <v>5</v>
      </c>
      <c r="BA1392" s="1">
        <f t="shared" si="1963"/>
        <v>5</v>
      </c>
      <c r="BB1392" s="1">
        <f>MIN(30,R1392+5)</f>
        <v>15</v>
      </c>
      <c r="BC1392" s="1">
        <f t="shared" ref="BC1392:BC1415" si="1969">MIN(3,S1392+0)</f>
        <v>3</v>
      </c>
      <c r="BD1392" s="1">
        <f t="shared" si="1950"/>
        <v>1</v>
      </c>
      <c r="BE1392" s="1">
        <f t="shared" si="1943"/>
        <v>0</v>
      </c>
      <c r="BF1392" s="1">
        <f>MIN(4,V1392+0)</f>
        <v>3</v>
      </c>
      <c r="BG1392" s="1">
        <f t="shared" si="1960"/>
        <v>1</v>
      </c>
      <c r="BH1392" s="1">
        <f t="shared" si="1944"/>
        <v>1</v>
      </c>
      <c r="BI1392" s="1">
        <f t="shared" si="1961"/>
        <v>1</v>
      </c>
      <c r="BJ1392" s="1">
        <f t="shared" si="1964"/>
        <v>1</v>
      </c>
      <c r="BK1392" s="1">
        <f t="shared" si="1965"/>
        <v>1</v>
      </c>
      <c r="BL1392" s="1">
        <f>MAX(AB1392,1)</f>
        <v>1</v>
      </c>
      <c r="BM1392" s="1">
        <f t="shared" si="1968"/>
        <v>1</v>
      </c>
      <c r="BN1392" s="1">
        <f t="shared" si="1945"/>
        <v>1</v>
      </c>
      <c r="BO1392" s="1">
        <f t="shared" si="1946"/>
        <v>1</v>
      </c>
    </row>
    <row r="1393" spans="1:67" ht="30.95" customHeight="1">
      <c r="A1393" s="1">
        <f>38</f>
        <v>38</v>
      </c>
      <c r="B1393" s="1">
        <f>固定流程!A25</f>
        <v>20</v>
      </c>
      <c r="C1393" s="1">
        <f>41</f>
        <v>41</v>
      </c>
      <c r="D1393" s="1">
        <f>1</f>
        <v>1</v>
      </c>
      <c r="E1393" s="1">
        <f>固定流程!C25</f>
        <v>3</v>
      </c>
      <c r="F1393" s="1">
        <f>固定流程!G25</f>
        <v>1</v>
      </c>
      <c r="G1393" s="1" t="str">
        <f>固定流程!H25</f>
        <v>LILYA_ULT</v>
      </c>
      <c r="H1393" s="1">
        <f>固定流程!F25</f>
        <v>1</v>
      </c>
      <c r="I1393" s="1">
        <f>INDEX(配置与结果!$B$15:$B$18,F1393)</f>
        <v>2296</v>
      </c>
      <c r="J1393" s="1">
        <f>INDEX(配置与结果!$D$15:$D$18,F1393)</f>
        <v>0.7</v>
      </c>
      <c r="K1393" s="1">
        <f>INDEX(配置与结果!$E$15:$E$18,F1393)</f>
        <v>2.0249999999999999</v>
      </c>
      <c r="L1393" s="1">
        <f t="shared" si="1957"/>
        <v>2</v>
      </c>
      <c r="M1393" s="1">
        <f t="shared" si="1958"/>
        <v>10</v>
      </c>
      <c r="N1393" s="1">
        <f t="shared" si="1959"/>
        <v>2</v>
      </c>
      <c r="O1393" s="1">
        <f t="shared" si="1951"/>
        <v>6</v>
      </c>
      <c r="P1393" s="1">
        <f>MIN(方案参数!$AI$41,AZ1392+0+0)</f>
        <v>5</v>
      </c>
      <c r="Q1393" s="1">
        <f t="shared" si="1929"/>
        <v>5</v>
      </c>
      <c r="R1393" s="1">
        <f t="shared" si="1930"/>
        <v>15</v>
      </c>
      <c r="S1393" s="1">
        <f t="shared" si="1931"/>
        <v>3</v>
      </c>
      <c r="T1393" s="1">
        <f t="shared" si="1966"/>
        <v>1</v>
      </c>
      <c r="U1393" s="1">
        <f t="shared" si="1933"/>
        <v>0</v>
      </c>
      <c r="V1393" s="1">
        <f t="shared" si="1934"/>
        <v>3</v>
      </c>
      <c r="W1393" s="1">
        <f t="shared" si="1935"/>
        <v>1</v>
      </c>
      <c r="X1393" s="1">
        <f t="shared" si="1936"/>
        <v>1</v>
      </c>
      <c r="Y1393" s="1">
        <f t="shared" si="1937"/>
        <v>1</v>
      </c>
      <c r="Z1393" s="1">
        <f t="shared" si="1938"/>
        <v>1</v>
      </c>
      <c r="AA1393" s="1">
        <f t="shared" si="1962"/>
        <v>1</v>
      </c>
      <c r="AB1393" s="1">
        <f t="shared" si="1940"/>
        <v>1</v>
      </c>
      <c r="AC1393" s="1">
        <f t="shared" si="1967"/>
        <v>1</v>
      </c>
      <c r="AD1393" s="1">
        <f>ROUNDDOWN(I1393*(1+IF(F1393=3,0.05+方案参数!$Y$41+AA1393*0.12,IF(F1393=4,方案参数!$BZ$41*方案参数!$AS$41,0)))+IF(AND(X1393=1,F1393&lt;&gt;3),方案参数!$CC$41,0)+AC1393*方案参数!$CB$41,0)</f>
        <v>3026</v>
      </c>
      <c r="AE1393" s="1">
        <f>IF(OR(F1393=1,F1393=4),配置与结果!$B$24,配置与结果!$B$25)*MAX(0,1-INDEX(配置与结果!$I$15:$I$18,F1393)+IF(O1393&gt;=6,方案参数!$BK$41,0))</f>
        <v>1440</v>
      </c>
      <c r="AF1393" s="1">
        <f>方案参数!$BG$41+IF(O1393&gt;=6,方案参数!$BH$41,0)</f>
        <v>36</v>
      </c>
      <c r="AG1393" s="1">
        <f>MAX(配置与结果!$B$32,1+INDEX(配置与结果!$F$15:$F$18,F1393)+0.08+方案参数!$CD$41+Q1393*方案参数!$W$41+Y1393*(方案参数!$AN$41+MIN(方案参数!$AO$41,P1393*0.03))+AB1393*方案参数!$BZ$41*0.025-配置与结果!$B$28)</f>
        <v>2.1950000000000003</v>
      </c>
      <c r="AH1393" s="1">
        <f>MAX(0,1+INDEX(配置与结果!$H$15:$H$18,F1393)+W1393*方案参数!$AG$41+O1393*方案参数!$BF$41+IF(O1393&gt;=6,方案参数!$BI$41,0))</f>
        <v>2.4500000000000002</v>
      </c>
      <c r="AI1393" s="1">
        <f>IF(OR(INDEX(配置与结果!$K$15:$K$18,F1393)=1,G1393="RHI_BERRY"),1+配置与结果!$B$33+P1393*方案参数!$AH$41,1)</f>
        <v>1</v>
      </c>
      <c r="AJ1393" s="1">
        <f>MIN(1,MAX(0,J1393+方案参数!$AB$41-配置与结果!$B$27))</f>
        <v>1</v>
      </c>
      <c r="AK1393" s="1">
        <f>MAX(1,K1393+IF(F1393=2,0.15+方案参数!$CH$41,0)+BN1393*方案参数!$X$41+R1393*方案参数!$AA$41+IF(O1393&gt;=6,方案参数!$BJ$41,0)-配置与结果!$B$26+Z1393*(方案参数!$AP$41+MIN(方案参数!$AQ$41,P1393*0.03)))</f>
        <v>3.105</v>
      </c>
      <c r="AL1393" s="7">
        <f>ROUNDDOWN(MAX(AD1393*配置与结果!$B$31,AD1393-AE1393)*AF1393*AG1393*AH1393*AI1393,0)</f>
        <v>307048</v>
      </c>
      <c r="AM1393" s="7">
        <f>ROUNDDOWN(MAX(AD1393*配置与结果!$B$31,AD1393-AE1393)*AF1393*AG1393*AH1393*AI1393*AK1393,0)</f>
        <v>953384</v>
      </c>
      <c r="AN1393" s="7">
        <f t="shared" si="1903"/>
        <v>953384</v>
      </c>
      <c r="AO1393" s="7">
        <f>0</f>
        <v>0</v>
      </c>
      <c r="AP1393" s="7">
        <f>MAX(0,1+INDEX(配置与结果!$J$15:$J$18,F1393)+IF(T1393&gt;0,方案参数!$BY$41,0)-配置与结果!$B$30)</f>
        <v>2</v>
      </c>
      <c r="AQ1393" s="7">
        <f t="shared" si="1904"/>
        <v>0</v>
      </c>
      <c r="AR1393" s="7">
        <f t="shared" si="1905"/>
        <v>0</v>
      </c>
      <c r="AS1393" s="7">
        <f t="shared" si="1906"/>
        <v>0</v>
      </c>
      <c r="AT1393" s="7">
        <f>0</f>
        <v>0</v>
      </c>
      <c r="AU1393" s="7">
        <f t="shared" si="1907"/>
        <v>953384</v>
      </c>
      <c r="AV1393" s="1">
        <f t="shared" si="1908"/>
        <v>2</v>
      </c>
      <c r="AW1393" s="1">
        <f t="shared" si="1955"/>
        <v>10</v>
      </c>
      <c r="AX1393" s="1">
        <f t="shared" si="1909"/>
        <v>2</v>
      </c>
      <c r="AY1393" s="1">
        <f>MIN(20,MAX(0,O1393+0+0-IF(O1393&gt;=6,6,0)))</f>
        <v>0</v>
      </c>
      <c r="AZ1393" s="1">
        <f t="shared" si="1910"/>
        <v>5</v>
      </c>
      <c r="BA1393" s="1">
        <f t="shared" si="1963"/>
        <v>5</v>
      </c>
      <c r="BB1393" s="1">
        <f>MIN(30,R1393+5)</f>
        <v>20</v>
      </c>
      <c r="BC1393" s="1">
        <f t="shared" si="1969"/>
        <v>3</v>
      </c>
      <c r="BD1393" s="1">
        <f t="shared" si="1950"/>
        <v>1</v>
      </c>
      <c r="BE1393" s="1">
        <f t="shared" si="1943"/>
        <v>0</v>
      </c>
      <c r="BF1393" s="1">
        <f>MIN(4,V1393+0)</f>
        <v>3</v>
      </c>
      <c r="BG1393" s="1">
        <f t="shared" si="1960"/>
        <v>1</v>
      </c>
      <c r="BH1393" s="1">
        <f t="shared" si="1944"/>
        <v>1</v>
      </c>
      <c r="BI1393" s="1">
        <f t="shared" si="1961"/>
        <v>1</v>
      </c>
      <c r="BJ1393" s="1">
        <f t="shared" si="1964"/>
        <v>1</v>
      </c>
      <c r="BK1393" s="1">
        <f t="shared" si="1965"/>
        <v>1</v>
      </c>
      <c r="BL1393" s="1">
        <f t="shared" ref="BL1393:BL1427" si="1970">MAX(AB1393,0)</f>
        <v>1</v>
      </c>
      <c r="BM1393" s="1">
        <f t="shared" si="1968"/>
        <v>1</v>
      </c>
      <c r="BN1393" s="1">
        <f t="shared" si="1945"/>
        <v>1</v>
      </c>
      <c r="BO1393" s="1">
        <f t="shared" si="1946"/>
        <v>1</v>
      </c>
    </row>
    <row r="1394" spans="1:67" ht="30.95" customHeight="1">
      <c r="A1394" s="1">
        <f>38</f>
        <v>38</v>
      </c>
      <c r="B1394" s="1">
        <f>固定流程!A26</f>
        <v>21</v>
      </c>
      <c r="C1394" s="1">
        <f>41</f>
        <v>41</v>
      </c>
      <c r="D1394" s="1">
        <f>1</f>
        <v>1</v>
      </c>
      <c r="E1394" s="1">
        <f>固定流程!C26</f>
        <v>3</v>
      </c>
      <c r="F1394" s="1">
        <f>固定流程!G26</f>
        <v>1</v>
      </c>
      <c r="G1394" s="1" t="str">
        <f>固定流程!H26</f>
        <v>LILYA_DIVE</v>
      </c>
      <c r="H1394" s="1">
        <f>固定流程!F26</f>
        <v>3</v>
      </c>
      <c r="I1394" s="1">
        <f>INDEX(配置与结果!$B$15:$B$18,F1394)</f>
        <v>2296</v>
      </c>
      <c r="J1394" s="1">
        <f>INDEX(配置与结果!$D$15:$D$18,F1394)</f>
        <v>0.7</v>
      </c>
      <c r="K1394" s="1">
        <f>INDEX(配置与结果!$E$15:$E$18,F1394)</f>
        <v>2.0249999999999999</v>
      </c>
      <c r="L1394" s="1">
        <f t="shared" si="1957"/>
        <v>2</v>
      </c>
      <c r="M1394" s="1">
        <f t="shared" si="1958"/>
        <v>10</v>
      </c>
      <c r="N1394" s="1">
        <f t="shared" si="1959"/>
        <v>2</v>
      </c>
      <c r="O1394" s="1">
        <f t="shared" si="1951"/>
        <v>0</v>
      </c>
      <c r="P1394" s="1">
        <f>MIN(方案参数!$AI$41,AZ1393+0+0)</f>
        <v>5</v>
      </c>
      <c r="Q1394" s="1">
        <f t="shared" si="1929"/>
        <v>5</v>
      </c>
      <c r="R1394" s="1">
        <f t="shared" si="1930"/>
        <v>20</v>
      </c>
      <c r="S1394" s="1">
        <f t="shared" si="1931"/>
        <v>3</v>
      </c>
      <c r="T1394" s="1">
        <f t="shared" si="1966"/>
        <v>1</v>
      </c>
      <c r="U1394" s="1">
        <f t="shared" si="1933"/>
        <v>0</v>
      </c>
      <c r="V1394" s="1">
        <f t="shared" si="1934"/>
        <v>3</v>
      </c>
      <c r="W1394" s="1">
        <f t="shared" si="1935"/>
        <v>1</v>
      </c>
      <c r="X1394" s="1">
        <f t="shared" si="1936"/>
        <v>1</v>
      </c>
      <c r="Y1394" s="1">
        <f t="shared" si="1937"/>
        <v>1</v>
      </c>
      <c r="Z1394" s="1">
        <f t="shared" si="1938"/>
        <v>1</v>
      </c>
      <c r="AA1394" s="1">
        <f t="shared" si="1962"/>
        <v>1</v>
      </c>
      <c r="AB1394" s="1">
        <f t="shared" si="1940"/>
        <v>1</v>
      </c>
      <c r="AC1394" s="1">
        <f t="shared" si="1967"/>
        <v>1</v>
      </c>
      <c r="AD1394" s="1">
        <f>ROUNDDOWN(I1394*(1+IF(F1394=3,0.05+方案参数!$Y$41+AA1394*0.12,IF(F1394=4,方案参数!$BZ$41*方案参数!$AS$41,0)))+IF(AND(X1394=1,F1394&lt;&gt;3),方案参数!$CC$41,0)+AC1394*方案参数!$CB$41,0)</f>
        <v>3026</v>
      </c>
      <c r="AE1394" s="1">
        <f>IF(OR(F1394=1,F1394=4),配置与结果!$B$24,配置与结果!$B$25)*MAX(0,1-INDEX(配置与结果!$I$15:$I$18,F1394))</f>
        <v>1200</v>
      </c>
      <c r="AF1394" s="1">
        <f>(IF(L1394=1,方案参数!$AW$41,IF(L1394=2,方案参数!$AX$41,0))+方案参数!$AV$41)*H1394</f>
        <v>30</v>
      </c>
      <c r="AG1394" s="1">
        <f>MAX(配置与结果!$B$32,1+INDEX(配置与结果!$F$15:$F$18,F1394)+0.08+方案参数!$CD$41+Q1394*方案参数!$W$41+Y1394*(方案参数!$AN$41+MIN(方案参数!$AO$41,P1394*0.03))+AB1394*方案参数!$BZ$41*0.025+IF(L1394=1,方案参数!$AY$41+(H1394-1)*0.1,IF(L1394=2,方案参数!$AZ$41+(H1394-1)*0.2,0))-配置与结果!$B$28)</f>
        <v>2.7950000000000004</v>
      </c>
      <c r="AH1394" s="1">
        <f>MAX(0,1+INDEX(配置与结果!$G$15:$G$18,F1394)+W1394*方案参数!$AG$41+IF(L1394=1,方案参数!$BA$41,IF(L1394=2,方案参数!$BB$41,0))+M1394*方案参数!$BC$41)</f>
        <v>3.1</v>
      </c>
      <c r="AI1394" s="1">
        <f>IF(OR(INDEX(配置与结果!$K$15:$K$18,F1394)=1,G1394="RHI_BERRY"),1+配置与结果!$B$33+P1394*方案参数!$AH$41,1)</f>
        <v>1</v>
      </c>
      <c r="AJ1394" s="1">
        <f>MIN(1,MAX(0,J1394+方案参数!$AB$41-配置与结果!$B$27))</f>
        <v>1</v>
      </c>
      <c r="AK1394" s="1">
        <f>MAX(1,K1394+IF(F1394=2,0.15+方案参数!$CH$41,0)+BN1394*方案参数!$X$41+R1394*方案参数!$AA$41+0-配置与结果!$B$26+Z1394*(方案参数!$AP$41+MIN(方案参数!$AQ$41,P1394*0.03)))</f>
        <v>2.125</v>
      </c>
      <c r="AL1394" s="7">
        <f>ROUNDDOWN(MAX(AD1394*配置与结果!$B$31,AD1394-AE1394)*AF1394*AG1394*AH1394*AI1394,0)</f>
        <v>474641</v>
      </c>
      <c r="AM1394" s="7">
        <f>ROUNDDOWN(MAX(AD1394*配置与结果!$B$31,AD1394-AE1394)*AF1394*AG1394*AH1394*AI1394*AK1394,0)</f>
        <v>1008612</v>
      </c>
      <c r="AN1394" s="7">
        <f t="shared" si="1903"/>
        <v>1008612</v>
      </c>
      <c r="AO1394" s="7">
        <f>0</f>
        <v>0</v>
      </c>
      <c r="AP1394" s="7">
        <f>MAX(0,1+INDEX(配置与结果!$J$15:$J$18,F1394)+IF(T1394&gt;0,方案参数!$BY$41,0)-配置与结果!$B$30)</f>
        <v>2</v>
      </c>
      <c r="AQ1394" s="7">
        <f t="shared" si="1904"/>
        <v>0</v>
      </c>
      <c r="AR1394" s="7">
        <f t="shared" si="1905"/>
        <v>0</v>
      </c>
      <c r="AS1394" s="7">
        <f t="shared" si="1906"/>
        <v>0</v>
      </c>
      <c r="AT1394" s="7">
        <f>0</f>
        <v>0</v>
      </c>
      <c r="AU1394" s="7">
        <f t="shared" si="1907"/>
        <v>1008612</v>
      </c>
      <c r="AV1394" s="1">
        <f t="shared" si="1908"/>
        <v>2</v>
      </c>
      <c r="AW1394" s="1">
        <f>MIN(10,M1394+0+IF(L1394=1,方案参数!$BE$41,0))</f>
        <v>10</v>
      </c>
      <c r="AX1394" s="1">
        <f t="shared" si="1909"/>
        <v>2</v>
      </c>
      <c r="AY1394" s="1">
        <f>MIN(20,MAX(0,O1394+0+0-0))</f>
        <v>0</v>
      </c>
      <c r="AZ1394" s="1">
        <f t="shared" si="1910"/>
        <v>5</v>
      </c>
      <c r="BA1394" s="1">
        <f t="shared" si="1963"/>
        <v>5</v>
      </c>
      <c r="BB1394" s="1">
        <f t="shared" ref="BB1394:BB1409" si="1971">MIN(30,R1394+0)</f>
        <v>20</v>
      </c>
      <c r="BC1394" s="1">
        <f t="shared" si="1969"/>
        <v>3</v>
      </c>
      <c r="BD1394" s="1">
        <f t="shared" si="1950"/>
        <v>1</v>
      </c>
      <c r="BE1394" s="1">
        <f t="shared" si="1943"/>
        <v>0</v>
      </c>
      <c r="BF1394" s="1">
        <f>MIN(4,V1394+0)</f>
        <v>3</v>
      </c>
      <c r="BG1394" s="1">
        <f t="shared" si="1960"/>
        <v>1</v>
      </c>
      <c r="BH1394" s="1">
        <f t="shared" si="1944"/>
        <v>1</v>
      </c>
      <c r="BI1394" s="1">
        <f t="shared" si="1961"/>
        <v>1</v>
      </c>
      <c r="BJ1394" s="1">
        <f t="shared" si="1964"/>
        <v>1</v>
      </c>
      <c r="BK1394" s="1">
        <f t="shared" si="1965"/>
        <v>1</v>
      </c>
      <c r="BL1394" s="1">
        <f t="shared" si="1970"/>
        <v>1</v>
      </c>
      <c r="BM1394" s="1">
        <f t="shared" si="1968"/>
        <v>1</v>
      </c>
      <c r="BN1394" s="1">
        <f t="shared" si="1945"/>
        <v>1</v>
      </c>
      <c r="BO1394" s="1">
        <f t="shared" si="1946"/>
        <v>1</v>
      </c>
    </row>
    <row r="1395" spans="1:67" ht="30.95" customHeight="1">
      <c r="A1395" s="1">
        <f>38</f>
        <v>38</v>
      </c>
      <c r="B1395" s="1">
        <f>固定流程!A27</f>
        <v>22</v>
      </c>
      <c r="C1395" s="1">
        <f>41</f>
        <v>41</v>
      </c>
      <c r="D1395" s="1">
        <f>1</f>
        <v>1</v>
      </c>
      <c r="E1395" s="1">
        <f>固定流程!C27</f>
        <v>3</v>
      </c>
      <c r="F1395" s="1">
        <f>固定流程!G27</f>
        <v>3</v>
      </c>
      <c r="G1395" s="1" t="str">
        <f>固定流程!H27</f>
        <v>RHI_BERRY</v>
      </c>
      <c r="H1395" s="1">
        <f>固定流程!F27</f>
        <v>1</v>
      </c>
      <c r="I1395" s="1">
        <f>INDEX(配置与结果!$B$15:$B$18,F1395)</f>
        <v>2597</v>
      </c>
      <c r="J1395" s="1">
        <f>INDEX(配置与结果!$D$15:$D$18,F1395)</f>
        <v>0.255</v>
      </c>
      <c r="K1395" s="1">
        <f>INDEX(配置与结果!$E$15:$E$18,F1395)</f>
        <v>1.55</v>
      </c>
      <c r="L1395" s="1">
        <f t="shared" si="1957"/>
        <v>2</v>
      </c>
      <c r="M1395" s="1">
        <f t="shared" si="1958"/>
        <v>10</v>
      </c>
      <c r="N1395" s="1">
        <f t="shared" si="1959"/>
        <v>2</v>
      </c>
      <c r="O1395" s="1">
        <f t="shared" si="1951"/>
        <v>0</v>
      </c>
      <c r="P1395" s="1">
        <f>MIN(方案参数!$AI$41,AZ1394+0+0)</f>
        <v>5</v>
      </c>
      <c r="Q1395" s="1">
        <f t="shared" si="1929"/>
        <v>5</v>
      </c>
      <c r="R1395" s="1">
        <f t="shared" si="1930"/>
        <v>20</v>
      </c>
      <c r="S1395" s="1">
        <f t="shared" si="1931"/>
        <v>3</v>
      </c>
      <c r="T1395" s="1">
        <f t="shared" si="1966"/>
        <v>1</v>
      </c>
      <c r="U1395" s="1">
        <f t="shared" si="1933"/>
        <v>0</v>
      </c>
      <c r="V1395" s="1">
        <f t="shared" si="1934"/>
        <v>3</v>
      </c>
      <c r="W1395" s="1">
        <f t="shared" si="1935"/>
        <v>1</v>
      </c>
      <c r="X1395" s="1">
        <f t="shared" si="1936"/>
        <v>1</v>
      </c>
      <c r="Y1395" s="1">
        <f t="shared" si="1937"/>
        <v>1</v>
      </c>
      <c r="Z1395" s="1">
        <f t="shared" si="1938"/>
        <v>1</v>
      </c>
      <c r="AA1395" s="1">
        <f t="shared" si="1962"/>
        <v>1</v>
      </c>
      <c r="AB1395" s="1">
        <f t="shared" si="1940"/>
        <v>1</v>
      </c>
      <c r="AC1395" s="1">
        <f t="shared" si="1967"/>
        <v>1</v>
      </c>
      <c r="AD1395" s="1">
        <f>ROUNDDOWN(I1395*(1+IF(F1395=3,0.05+方案参数!$Y$41+AA1395*0.12,IF(F1395=4,方案参数!$BZ$41*方案参数!$AS$41,0)))+IF(AND(X1395=1,F1395&lt;&gt;3),方案参数!$CC$41,0)+AC1395*方案参数!$CB$41,0)</f>
        <v>3694</v>
      </c>
      <c r="AE1395" s="1">
        <f>IF(OR(F1395=1,F1395=4),配置与结果!$B$24,配置与结果!$B$25)*MAX(0,1-INDEX(配置与结果!$I$15:$I$18,F1395))</f>
        <v>1000</v>
      </c>
      <c r="AF1395" s="1">
        <f>方案参数!$CF$41+P1395*方案参数!$CG$41</f>
        <v>22.5</v>
      </c>
      <c r="AG1395" s="1">
        <f>MAX(配置与结果!$B$32,1+INDEX(配置与结果!$F$15:$F$18,F1395)+0+Q1395*方案参数!$W$41+Y1395*(方案参数!$AN$41+MIN(方案参数!$AO$41,P1395*0.03))+AB1395*方案参数!$BZ$41*0.025-配置与结果!$B$28)</f>
        <v>1.8900000000000001</v>
      </c>
      <c r="AH1395" s="1">
        <f>MAX(0,1+INDEX(配置与结果!$G$15:$G$18,F1395)+W1395*方案参数!$AG$41)</f>
        <v>1.3</v>
      </c>
      <c r="AI1395" s="1">
        <f>IF(OR(INDEX(配置与结果!$K$15:$K$18,F1395)=1,G1395="RHI_BERRY"),1+配置与结果!$B$33+P1395*方案参数!$AH$41,1)</f>
        <v>1.5</v>
      </c>
      <c r="AJ1395" s="1">
        <f>MIN(1,MAX(0,J1395+方案参数!$AB$41-配置与结果!$B$27))</f>
        <v>0.55499999999999994</v>
      </c>
      <c r="AK1395" s="1">
        <f>MAX(1,K1395+IF(F1395=2,0.15+方案参数!$CH$41,0)+BN1395*方案参数!$X$41+R1395*方案参数!$AA$41+0-配置与结果!$B$26+Z1395*(方案参数!$AP$41+MIN(方案参数!$AQ$41,P1395*0.03)))</f>
        <v>1.6500000000000001</v>
      </c>
      <c r="AL1395" s="7">
        <f>ROUNDDOWN(MAX(AD1395*配置与结果!$B$31,AD1395-AE1395)*AF1395*AG1395*AH1395*AI1395,0)</f>
        <v>223396</v>
      </c>
      <c r="AM1395" s="7">
        <f>ROUNDDOWN(MAX(AD1395*配置与结果!$B$31,AD1395-AE1395)*AF1395*AG1395*AH1395*AI1395*AK1395,0)</f>
        <v>368604</v>
      </c>
      <c r="AN1395" s="7">
        <f t="shared" si="1903"/>
        <v>303986.44</v>
      </c>
      <c r="AO1395" s="7">
        <f>0</f>
        <v>0</v>
      </c>
      <c r="AP1395" s="7">
        <f>MAX(0,1+INDEX(配置与结果!$J$15:$J$18,F1395)+IF(T1395&gt;0,方案参数!$BY$41,0)-配置与结果!$B$30)</f>
        <v>2</v>
      </c>
      <c r="AQ1395" s="7">
        <f t="shared" si="1904"/>
        <v>0</v>
      </c>
      <c r="AR1395" s="7">
        <f t="shared" si="1905"/>
        <v>0</v>
      </c>
      <c r="AS1395" s="7">
        <f t="shared" si="1906"/>
        <v>0</v>
      </c>
      <c r="AT1395" s="7">
        <f>0</f>
        <v>0</v>
      </c>
      <c r="AU1395" s="7">
        <f t="shared" si="1907"/>
        <v>303986.44</v>
      </c>
      <c r="AV1395" s="1">
        <f t="shared" si="1908"/>
        <v>2</v>
      </c>
      <c r="AW1395" s="1">
        <f t="shared" ref="AW1395:AW1411" si="1972">MIN(10,M1395+0+0)</f>
        <v>10</v>
      </c>
      <c r="AX1395" s="1">
        <f t="shared" si="1909"/>
        <v>2</v>
      </c>
      <c r="AY1395" s="1">
        <f>MIN(20,MAX(0,O1395+0+0-0))</f>
        <v>0</v>
      </c>
      <c r="AZ1395" s="1">
        <f t="shared" si="1910"/>
        <v>5</v>
      </c>
      <c r="BA1395" s="1">
        <f t="shared" si="1963"/>
        <v>5</v>
      </c>
      <c r="BB1395" s="1">
        <f t="shared" si="1971"/>
        <v>20</v>
      </c>
      <c r="BC1395" s="1">
        <f t="shared" si="1969"/>
        <v>3</v>
      </c>
      <c r="BD1395" s="1">
        <f t="shared" si="1950"/>
        <v>1</v>
      </c>
      <c r="BE1395" s="1">
        <f t="shared" si="1943"/>
        <v>0</v>
      </c>
      <c r="BF1395" s="1">
        <f>MIN(4,V1395+0)</f>
        <v>3</v>
      </c>
      <c r="BG1395" s="1">
        <f t="shared" si="1960"/>
        <v>1</v>
      </c>
      <c r="BH1395" s="1">
        <f t="shared" si="1944"/>
        <v>1</v>
      </c>
      <c r="BI1395" s="1">
        <f t="shared" si="1961"/>
        <v>1</v>
      </c>
      <c r="BJ1395" s="1">
        <f t="shared" si="1964"/>
        <v>1</v>
      </c>
      <c r="BK1395" s="1">
        <f t="shared" si="1965"/>
        <v>1</v>
      </c>
      <c r="BL1395" s="1">
        <f t="shared" si="1970"/>
        <v>1</v>
      </c>
      <c r="BM1395" s="1">
        <f t="shared" si="1968"/>
        <v>1</v>
      </c>
      <c r="BN1395" s="1">
        <f t="shared" si="1945"/>
        <v>1</v>
      </c>
      <c r="BO1395" s="1">
        <f t="shared" si="1946"/>
        <v>1</v>
      </c>
    </row>
    <row r="1396" spans="1:67" ht="30.95" customHeight="1">
      <c r="A1396" s="1">
        <f>38</f>
        <v>38</v>
      </c>
      <c r="B1396" s="1">
        <f>固定流程!A28</f>
        <v>23</v>
      </c>
      <c r="C1396" s="1">
        <f>41</f>
        <v>41</v>
      </c>
      <c r="D1396" s="1">
        <f>1</f>
        <v>1</v>
      </c>
      <c r="E1396" s="1">
        <f>固定流程!C28</f>
        <v>3</v>
      </c>
      <c r="F1396" s="1">
        <f>固定流程!G28</f>
        <v>2</v>
      </c>
      <c r="G1396" s="1" t="str">
        <f>固定流程!H28</f>
        <v>37_FOLLOW</v>
      </c>
      <c r="H1396" s="1">
        <f>固定流程!F28</f>
        <v>1</v>
      </c>
      <c r="I1396" s="1">
        <f>INDEX(配置与结果!$B$15:$B$18,F1396)</f>
        <v>2306</v>
      </c>
      <c r="J1396" s="1">
        <f>INDEX(配置与结果!$D$15:$D$18,F1396)</f>
        <v>0.46</v>
      </c>
      <c r="K1396" s="1">
        <f>INDEX(配置与结果!$E$15:$E$18,F1396)</f>
        <v>1.9279999999999999</v>
      </c>
      <c r="L1396" s="1">
        <f t="shared" si="1957"/>
        <v>2</v>
      </c>
      <c r="M1396" s="1">
        <f t="shared" si="1958"/>
        <v>10</v>
      </c>
      <c r="N1396" s="1">
        <f t="shared" si="1959"/>
        <v>2</v>
      </c>
      <c r="O1396" s="1">
        <f t="shared" si="1951"/>
        <v>0</v>
      </c>
      <c r="P1396" s="1">
        <f>MIN(方案参数!$AI$41,AZ1395+0+0)</f>
        <v>5</v>
      </c>
      <c r="Q1396" s="1">
        <f t="shared" si="1929"/>
        <v>5</v>
      </c>
      <c r="R1396" s="1">
        <f t="shared" si="1930"/>
        <v>20</v>
      </c>
      <c r="S1396" s="1">
        <f t="shared" si="1931"/>
        <v>3</v>
      </c>
      <c r="T1396" s="1">
        <f t="shared" si="1966"/>
        <v>1</v>
      </c>
      <c r="U1396" s="1">
        <f t="shared" si="1933"/>
        <v>0</v>
      </c>
      <c r="V1396" s="1">
        <f t="shared" si="1934"/>
        <v>3</v>
      </c>
      <c r="W1396" s="1">
        <f t="shared" si="1935"/>
        <v>1</v>
      </c>
      <c r="X1396" s="1">
        <f t="shared" si="1936"/>
        <v>1</v>
      </c>
      <c r="Y1396" s="1">
        <f t="shared" si="1937"/>
        <v>1</v>
      </c>
      <c r="Z1396" s="1">
        <f t="shared" si="1938"/>
        <v>1</v>
      </c>
      <c r="AA1396" s="1">
        <f t="shared" si="1962"/>
        <v>1</v>
      </c>
      <c r="AB1396" s="1">
        <f t="shared" si="1940"/>
        <v>1</v>
      </c>
      <c r="AC1396" s="1">
        <f t="shared" si="1967"/>
        <v>1</v>
      </c>
      <c r="AD1396" s="1">
        <f>ROUNDDOWN(I1396*(1+IF(F1396=3,0.05+方案参数!$Y$41+AA1396*0.12,IF(F1396=4,方案参数!$BZ$41*方案参数!$AS$41,0)))+IF(AND(X1396=1,F1396&lt;&gt;3),方案参数!$CC$41,0)+AC1396*方案参数!$CB$41,0)</f>
        <v>3036</v>
      </c>
      <c r="AE1396" s="1">
        <f>IF(OR(F1396=1,F1396=4),配置与结果!$B$24,配置与结果!$B$25)*MAX(0,1-INDEX(配置与结果!$I$15:$I$18,F1396))</f>
        <v>1000</v>
      </c>
      <c r="AF1396" s="1">
        <f>方案参数!$BV$41</f>
        <v>3</v>
      </c>
      <c r="AG1396" s="1">
        <f>MAX(配置与结果!$B$32,1+INDEX(配置与结果!$F$15:$F$18,F1396)+0+Q1396*方案参数!$W$41+Y1396*(方案参数!$AN$41+MIN(方案参数!$AO$41,P1396*0.03))+AB1396*方案参数!$BZ$41*0.025-配置与结果!$B$28)</f>
        <v>1.8599999999999999</v>
      </c>
      <c r="AH1396" s="1">
        <f>MAX(0,1+INDEX(配置与结果!$G$15:$G$18,F1396)+W1396*方案参数!$AG$41)</f>
        <v>1.3</v>
      </c>
      <c r="AI1396" s="1">
        <f>IF(OR(INDEX(配置与结果!$K$15:$K$18,F1396)=1,G1396="RHI_BERRY"),1+配置与结果!$B$33+P1396*方案参数!$AH$41,1)</f>
        <v>1</v>
      </c>
      <c r="AJ1396" s="1">
        <f>MIN(1,MAX(0,J1396+方案参数!$AB$41-配置与结果!$B$27))</f>
        <v>0.76</v>
      </c>
      <c r="AK1396" s="1">
        <f>MAX(1,K1396+IF(F1396=2,0.15+方案参数!$CH$41,0)+BN1396*方案参数!$X$41+R1396*方案参数!$AA$41+0-配置与结果!$B$26+Z1396*(方案参数!$AP$41+MIN(方案参数!$AQ$41,P1396*0.03)))</f>
        <v>2.298</v>
      </c>
      <c r="AL1396" s="7">
        <f>ROUNDDOWN(MAX(AD1396*配置与结果!$B$31,AD1396-AE1396)*AF1396*AG1396*AH1396*AI1396,0)</f>
        <v>14769</v>
      </c>
      <c r="AM1396" s="7">
        <f>ROUNDDOWN(MAX(AD1396*配置与结果!$B$31,AD1396-AE1396)*AF1396*AG1396*AH1396*AI1396*AK1396,0)</f>
        <v>33939</v>
      </c>
      <c r="AN1396" s="7">
        <f t="shared" si="1903"/>
        <v>29338.2</v>
      </c>
      <c r="AO1396" s="7">
        <f>方案参数!$BW$41</f>
        <v>1</v>
      </c>
      <c r="AP1396" s="7">
        <f>MAX(0,1+INDEX(配置与结果!$J$15:$J$18,F1396)+IF(T1396&gt;0,方案参数!$BY$41,0)-配置与结果!$B$30)</f>
        <v>2</v>
      </c>
      <c r="AQ1396" s="7">
        <f t="shared" si="1904"/>
        <v>6072</v>
      </c>
      <c r="AR1396" s="7">
        <f t="shared" si="1905"/>
        <v>13953</v>
      </c>
      <c r="AS1396" s="7">
        <f t="shared" si="1906"/>
        <v>12061.560000000001</v>
      </c>
      <c r="AT1396" s="7">
        <f>0</f>
        <v>0</v>
      </c>
      <c r="AU1396" s="7">
        <f t="shared" si="1907"/>
        <v>41399.760000000002</v>
      </c>
      <c r="AV1396" s="1">
        <f t="shared" si="1908"/>
        <v>2</v>
      </c>
      <c r="AW1396" s="1">
        <f t="shared" si="1972"/>
        <v>10</v>
      </c>
      <c r="AX1396" s="1">
        <f t="shared" si="1909"/>
        <v>2</v>
      </c>
      <c r="AY1396" s="1">
        <f>MIN(20,MAX(0,O1396+0+0-0))</f>
        <v>0</v>
      </c>
      <c r="AZ1396" s="1">
        <f t="shared" si="1910"/>
        <v>5</v>
      </c>
      <c r="BA1396" s="1">
        <f t="shared" si="1963"/>
        <v>5</v>
      </c>
      <c r="BB1396" s="1">
        <f t="shared" si="1971"/>
        <v>20</v>
      </c>
      <c r="BC1396" s="1">
        <f t="shared" si="1969"/>
        <v>3</v>
      </c>
      <c r="BD1396" s="1">
        <f t="shared" si="1950"/>
        <v>0</v>
      </c>
      <c r="BE1396" s="1">
        <f t="shared" si="1943"/>
        <v>0</v>
      </c>
      <c r="BF1396" s="1">
        <f>MIN(4,V1396+1)</f>
        <v>4</v>
      </c>
      <c r="BG1396" s="1">
        <f t="shared" si="1960"/>
        <v>1</v>
      </c>
      <c r="BH1396" s="1">
        <f t="shared" si="1944"/>
        <v>1</v>
      </c>
      <c r="BI1396" s="1">
        <f t="shared" si="1961"/>
        <v>1</v>
      </c>
      <c r="BJ1396" s="1">
        <f t="shared" si="1964"/>
        <v>1</v>
      </c>
      <c r="BK1396" s="1">
        <f t="shared" si="1965"/>
        <v>1</v>
      </c>
      <c r="BL1396" s="1">
        <f t="shared" si="1970"/>
        <v>1</v>
      </c>
      <c r="BM1396" s="1">
        <f t="shared" si="1968"/>
        <v>1</v>
      </c>
      <c r="BN1396" s="1">
        <f t="shared" si="1945"/>
        <v>1</v>
      </c>
      <c r="BO1396" s="1">
        <f t="shared" si="1946"/>
        <v>1</v>
      </c>
    </row>
    <row r="1397" spans="1:67" ht="30.95" customHeight="1">
      <c r="A1397" s="1">
        <f>38</f>
        <v>38</v>
      </c>
      <c r="B1397" s="1">
        <f>固定流程!A29</f>
        <v>24</v>
      </c>
      <c r="C1397" s="1">
        <f>41</f>
        <v>41</v>
      </c>
      <c r="D1397" s="1">
        <f>2</f>
        <v>2</v>
      </c>
      <c r="E1397" s="1">
        <f>固定流程!C29</f>
        <v>3</v>
      </c>
      <c r="F1397" s="1">
        <f>固定流程!G29</f>
        <v>1</v>
      </c>
      <c r="G1397" s="1" t="str">
        <f>固定流程!H29</f>
        <v>LILYA_WEAK</v>
      </c>
      <c r="H1397" s="1">
        <f>固定流程!F29</f>
        <v>1</v>
      </c>
      <c r="I1397" s="1">
        <f>INDEX(配置与结果!$B$15:$B$18,F1397)</f>
        <v>2296</v>
      </c>
      <c r="J1397" s="1">
        <f>INDEX(配置与结果!$D$15:$D$18,F1397)</f>
        <v>0.7</v>
      </c>
      <c r="K1397" s="1">
        <f>INDEX(配置与结果!$E$15:$E$18,F1397)</f>
        <v>2.0249999999999999</v>
      </c>
      <c r="L1397" s="1">
        <f t="shared" si="1957"/>
        <v>2</v>
      </c>
      <c r="M1397" s="1">
        <f t="shared" si="1958"/>
        <v>10</v>
      </c>
      <c r="N1397" s="1">
        <f t="shared" si="1959"/>
        <v>2</v>
      </c>
      <c r="O1397" s="1">
        <f t="shared" si="1951"/>
        <v>0</v>
      </c>
      <c r="P1397" s="1">
        <f>MIN(方案参数!$AI$41,AZ1396+0+0)</f>
        <v>5</v>
      </c>
      <c r="Q1397" s="1">
        <f t="shared" si="1929"/>
        <v>5</v>
      </c>
      <c r="R1397" s="1">
        <f t="shared" si="1930"/>
        <v>20</v>
      </c>
      <c r="S1397" s="1">
        <f t="shared" si="1931"/>
        <v>3</v>
      </c>
      <c r="T1397" s="1">
        <f t="shared" si="1966"/>
        <v>0</v>
      </c>
      <c r="U1397" s="1">
        <f t="shared" si="1933"/>
        <v>0</v>
      </c>
      <c r="V1397" s="1">
        <f t="shared" si="1934"/>
        <v>4</v>
      </c>
      <c r="W1397" s="1">
        <f t="shared" si="1935"/>
        <v>1</v>
      </c>
      <c r="X1397" s="1">
        <f t="shared" si="1936"/>
        <v>1</v>
      </c>
      <c r="Y1397" s="1">
        <f t="shared" si="1937"/>
        <v>1</v>
      </c>
      <c r="Z1397" s="1">
        <f t="shared" si="1938"/>
        <v>1</v>
      </c>
      <c r="AA1397" s="1">
        <f t="shared" si="1962"/>
        <v>1</v>
      </c>
      <c r="AB1397" s="1">
        <f t="shared" si="1940"/>
        <v>1</v>
      </c>
      <c r="AC1397" s="1">
        <f t="shared" si="1967"/>
        <v>1</v>
      </c>
      <c r="AD1397" s="1">
        <f>ROUNDDOWN(I1397*(1+IF(F1397=3,0.05+方案参数!$Y$41+AA1397*0.12,IF(F1397=4,方案参数!$BZ$41*方案参数!$AS$41,0)))+IF(AND(X1397=1,F1397&lt;&gt;3),方案参数!$CC$41,0)+AC1397*方案参数!$CB$41,0)</f>
        <v>3026</v>
      </c>
      <c r="AE1397" s="1">
        <f>IF(OR(F1397=1,F1397=4),配置与结果!$B$24,配置与结果!$B$25)*MAX(0,1-INDEX(配置与结果!$I$15:$I$18,F1397))</f>
        <v>1200</v>
      </c>
      <c r="AF1397" s="1">
        <f>方案参数!$BL$41</f>
        <v>9</v>
      </c>
      <c r="AG1397" s="1">
        <f>MAX(配置与结果!$B$32,1+INDEX(配置与结果!$F$15:$F$18,F1397)+0.08+方案参数!$CD$41+Q1397*方案参数!$W$41+Y1397*(方案参数!$AN$41+MIN(方案参数!$AO$41,P1397*0.03))+AB1397*方案参数!$BZ$41*0.025-配置与结果!$B$28+方案参数!$AE$41)</f>
        <v>2.5950000000000002</v>
      </c>
      <c r="AH1397" s="1">
        <f>MAX(0,1+V1397*方案参数!$U$41+0*方案参数!$V$41+方案参数!$AE$41-配置与结果!$B$29)</f>
        <v>1.56</v>
      </c>
      <c r="AI1397" s="1">
        <f>IF(OR(INDEX(配置与结果!$K$15:$K$18,F1397)=1,G1397="RHI_BERRY"),1+配置与结果!$B$33+P1397*方案参数!$AH$41,1)</f>
        <v>1</v>
      </c>
      <c r="AJ1397" s="1">
        <f>MIN(1,MAX(0,J1397+方案参数!$AB$41-配置与结果!$B$27))</f>
        <v>1</v>
      </c>
      <c r="AK1397" s="1">
        <f>MAX(1,K1397+IF(F1397=2,0.15+方案参数!$CH$41,0)+BN1397*方案参数!$X$41+R1397*方案参数!$AA$41+方案参数!$BP$41-配置与结果!$B$26+Z1397*(方案参数!$AP$41+MIN(方案参数!$AQ$41,P1397*0.03)))</f>
        <v>2.7250000000000001</v>
      </c>
      <c r="AL1397" s="7">
        <f>ROUNDDOWN(MAX(AD1397*配置与结果!$B$31,AD1397-AE1397)*AF1397*AG1397*AH1397*AI1397,0)</f>
        <v>66528</v>
      </c>
      <c r="AM1397" s="7">
        <f>ROUNDDOWN(MAX(AD1397*配置与结果!$B$31,AD1397-AE1397)*AF1397*AG1397*AH1397*AI1397*AK1397,0)</f>
        <v>181289</v>
      </c>
      <c r="AN1397" s="7">
        <f t="shared" si="1903"/>
        <v>181289</v>
      </c>
      <c r="AO1397" s="7">
        <f>0</f>
        <v>0</v>
      </c>
      <c r="AP1397" s="7">
        <f>MAX(0,1+INDEX(配置与结果!$J$15:$J$18,F1397)+IF(T1397&gt;0,方案参数!$BY$41,0)-配置与结果!$B$30)</f>
        <v>1</v>
      </c>
      <c r="AQ1397" s="7">
        <f t="shared" si="1904"/>
        <v>0</v>
      </c>
      <c r="AR1397" s="7">
        <f t="shared" si="1905"/>
        <v>0</v>
      </c>
      <c r="AS1397" s="7">
        <f t="shared" si="1906"/>
        <v>0</v>
      </c>
      <c r="AT1397" s="7">
        <f>IF(U1397&gt;0,ROUNDDOWN(AL1397*方案参数!$AF$41,0)*(1-AJ1397)+ROUNDDOWN(AM1397*方案参数!$AF$41,0)*AJ1397,0)</f>
        <v>0</v>
      </c>
      <c r="AU1397" s="7">
        <f t="shared" si="1907"/>
        <v>181289</v>
      </c>
      <c r="AV1397" s="1">
        <f t="shared" si="1908"/>
        <v>2</v>
      </c>
      <c r="AW1397" s="1">
        <f t="shared" si="1972"/>
        <v>10</v>
      </c>
      <c r="AX1397" s="1">
        <f t="shared" si="1909"/>
        <v>2</v>
      </c>
      <c r="AY1397" s="1">
        <f>MIN(20,MAX(0,O1397+0+1-0))</f>
        <v>1</v>
      </c>
      <c r="AZ1397" s="1">
        <f t="shared" si="1910"/>
        <v>5</v>
      </c>
      <c r="BA1397" s="1">
        <f t="shared" si="1963"/>
        <v>5</v>
      </c>
      <c r="BB1397" s="1">
        <f t="shared" si="1971"/>
        <v>20</v>
      </c>
      <c r="BC1397" s="1">
        <f t="shared" si="1969"/>
        <v>3</v>
      </c>
      <c r="BD1397" s="1">
        <f t="shared" si="1950"/>
        <v>0</v>
      </c>
      <c r="BE1397" s="1">
        <f>MAX(0,U1397-IF(AF1397&gt;0,1,0))+0</f>
        <v>0</v>
      </c>
      <c r="BF1397" s="1">
        <f t="shared" ref="BF1397:BF1414" si="1973">MIN(4,V1397+0)</f>
        <v>4</v>
      </c>
      <c r="BG1397" s="1">
        <f t="shared" si="1960"/>
        <v>1</v>
      </c>
      <c r="BH1397" s="1">
        <f t="shared" si="1944"/>
        <v>1</v>
      </c>
      <c r="BI1397" s="1">
        <f t="shared" si="1961"/>
        <v>1</v>
      </c>
      <c r="BJ1397" s="1">
        <f t="shared" si="1964"/>
        <v>1</v>
      </c>
      <c r="BK1397" s="1">
        <f t="shared" si="1965"/>
        <v>1</v>
      </c>
      <c r="BL1397" s="1">
        <f t="shared" si="1970"/>
        <v>1</v>
      </c>
      <c r="BM1397" s="1">
        <f t="shared" si="1968"/>
        <v>1</v>
      </c>
      <c r="BN1397" s="1">
        <f t="shared" si="1945"/>
        <v>1</v>
      </c>
      <c r="BO1397" s="1">
        <f t="shared" si="1946"/>
        <v>1</v>
      </c>
    </row>
    <row r="1398" spans="1:67" ht="30.95" customHeight="1">
      <c r="A1398" s="1">
        <f>38</f>
        <v>38</v>
      </c>
      <c r="B1398" s="1">
        <f>固定流程!A30</f>
        <v>25</v>
      </c>
      <c r="C1398" s="1">
        <f>41</f>
        <v>41</v>
      </c>
      <c r="D1398" s="1">
        <f>2</f>
        <v>2</v>
      </c>
      <c r="E1398" s="1">
        <f>固定流程!C30</f>
        <v>3</v>
      </c>
      <c r="F1398" s="1">
        <f>固定流程!G30</f>
        <v>1</v>
      </c>
      <c r="G1398" s="1" t="str">
        <f>固定流程!H30</f>
        <v>LILYA_WEAK</v>
      </c>
      <c r="H1398" s="1">
        <f>固定流程!F30</f>
        <v>1</v>
      </c>
      <c r="I1398" s="1">
        <f>INDEX(配置与结果!$B$15:$B$18,F1398)</f>
        <v>2296</v>
      </c>
      <c r="J1398" s="1">
        <f>INDEX(配置与结果!$D$15:$D$18,F1398)</f>
        <v>0.7</v>
      </c>
      <c r="K1398" s="1">
        <f>INDEX(配置与结果!$E$15:$E$18,F1398)</f>
        <v>2.0249999999999999</v>
      </c>
      <c r="L1398" s="1">
        <f t="shared" si="1957"/>
        <v>2</v>
      </c>
      <c r="M1398" s="1">
        <f t="shared" si="1958"/>
        <v>10</v>
      </c>
      <c r="N1398" s="1">
        <f t="shared" si="1959"/>
        <v>2</v>
      </c>
      <c r="O1398" s="1">
        <f t="shared" si="1951"/>
        <v>1</v>
      </c>
      <c r="P1398" s="1">
        <f>MIN(方案参数!$AI$41,AZ1397+0+0)</f>
        <v>5</v>
      </c>
      <c r="Q1398" s="1">
        <f t="shared" si="1929"/>
        <v>5</v>
      </c>
      <c r="R1398" s="1">
        <f t="shared" si="1930"/>
        <v>20</v>
      </c>
      <c r="S1398" s="1">
        <f t="shared" si="1931"/>
        <v>3</v>
      </c>
      <c r="T1398" s="1">
        <f t="shared" si="1966"/>
        <v>0</v>
      </c>
      <c r="U1398" s="1">
        <f t="shared" si="1933"/>
        <v>0</v>
      </c>
      <c r="V1398" s="1">
        <f t="shared" si="1934"/>
        <v>4</v>
      </c>
      <c r="W1398" s="1">
        <f t="shared" si="1935"/>
        <v>1</v>
      </c>
      <c r="X1398" s="1">
        <f t="shared" si="1936"/>
        <v>1</v>
      </c>
      <c r="Y1398" s="1">
        <f t="shared" si="1937"/>
        <v>1</v>
      </c>
      <c r="Z1398" s="1">
        <f t="shared" si="1938"/>
        <v>1</v>
      </c>
      <c r="AA1398" s="1">
        <f t="shared" si="1962"/>
        <v>1</v>
      </c>
      <c r="AB1398" s="1">
        <f t="shared" si="1940"/>
        <v>1</v>
      </c>
      <c r="AC1398" s="1">
        <f t="shared" si="1967"/>
        <v>1</v>
      </c>
      <c r="AD1398" s="1">
        <f>ROUNDDOWN(I1398*(1+IF(F1398=3,0.05+方案参数!$Y$41+AA1398*0.12,IF(F1398=4,方案参数!$BZ$41*方案参数!$AS$41,0)))+IF(AND(X1398=1,F1398&lt;&gt;3),方案参数!$CC$41,0)+AC1398*方案参数!$CB$41,0)</f>
        <v>3026</v>
      </c>
      <c r="AE1398" s="1">
        <f>IF(OR(F1398=1,F1398=4),配置与结果!$B$24,配置与结果!$B$25)*MAX(0,1-INDEX(配置与结果!$I$15:$I$18,F1398))</f>
        <v>1200</v>
      </c>
      <c r="AF1398" s="1">
        <f>方案参数!$BL$41</f>
        <v>9</v>
      </c>
      <c r="AG1398" s="1">
        <f>MAX(配置与结果!$B$32,1+INDEX(配置与结果!$F$15:$F$18,F1398)+0.08+方案参数!$CD$41+Q1398*方案参数!$W$41+Y1398*(方案参数!$AN$41+MIN(方案参数!$AO$41,P1398*0.03))+AB1398*方案参数!$BZ$41*0.025-配置与结果!$B$28+方案参数!$AE$41)</f>
        <v>2.5950000000000002</v>
      </c>
      <c r="AH1398" s="1">
        <f>MAX(0,1+V1398*方案参数!$U$41+1*方案参数!$V$41+方案参数!$AE$41-配置与结果!$B$29)</f>
        <v>1.62</v>
      </c>
      <c r="AI1398" s="1">
        <f>IF(OR(INDEX(配置与结果!$K$15:$K$18,F1398)=1,G1398="RHI_BERRY"),1+配置与结果!$B$33+P1398*方案参数!$AH$41,1)</f>
        <v>1</v>
      </c>
      <c r="AJ1398" s="1">
        <f>MIN(1,MAX(0,J1398+方案参数!$AB$41-配置与结果!$B$27))</f>
        <v>1</v>
      </c>
      <c r="AK1398" s="1">
        <f>MAX(1,K1398+IF(F1398=2,0.15+方案参数!$CH$41,0)+BN1398*方案参数!$X$41+R1398*方案参数!$AA$41+方案参数!$BP$41-配置与结果!$B$26+Z1398*(方案参数!$AP$41+MIN(方案参数!$AQ$41,P1398*0.03)))</f>
        <v>2.7250000000000001</v>
      </c>
      <c r="AL1398" s="7">
        <f>ROUNDDOWN(MAX(AD1398*配置与结果!$B$31,AD1398-AE1398)*AF1398*AG1398*AH1398*AI1398,0)</f>
        <v>69086</v>
      </c>
      <c r="AM1398" s="7">
        <f>ROUNDDOWN(MAX(AD1398*配置与结果!$B$31,AD1398-AE1398)*AF1398*AG1398*AH1398*AI1398*AK1398,0)</f>
        <v>188261</v>
      </c>
      <c r="AN1398" s="7">
        <f t="shared" si="1903"/>
        <v>188261</v>
      </c>
      <c r="AO1398" s="7">
        <f>0</f>
        <v>0</v>
      </c>
      <c r="AP1398" s="7">
        <f>MAX(0,1+INDEX(配置与结果!$J$15:$J$18,F1398)+IF(T1398&gt;0,方案参数!$BY$41,0)-配置与结果!$B$30)</f>
        <v>1</v>
      </c>
      <c r="AQ1398" s="7">
        <f t="shared" si="1904"/>
        <v>0</v>
      </c>
      <c r="AR1398" s="7">
        <f t="shared" si="1905"/>
        <v>0</v>
      </c>
      <c r="AS1398" s="7">
        <f t="shared" si="1906"/>
        <v>0</v>
      </c>
      <c r="AT1398" s="7">
        <f>IF(U1398&gt;0,ROUNDDOWN(AL1398*方案参数!$AF$41,0)*(1-AJ1398)+ROUNDDOWN(AM1398*方案参数!$AF$41,0)*AJ1398,0)</f>
        <v>0</v>
      </c>
      <c r="AU1398" s="7">
        <f t="shared" si="1907"/>
        <v>188261</v>
      </c>
      <c r="AV1398" s="1">
        <f t="shared" si="1908"/>
        <v>2</v>
      </c>
      <c r="AW1398" s="1">
        <f t="shared" si="1972"/>
        <v>10</v>
      </c>
      <c r="AX1398" s="1">
        <f t="shared" si="1909"/>
        <v>2</v>
      </c>
      <c r="AY1398" s="1">
        <f>MIN(20,MAX(0,O1398+0+1-0))</f>
        <v>2</v>
      </c>
      <c r="AZ1398" s="1">
        <f t="shared" si="1910"/>
        <v>5</v>
      </c>
      <c r="BA1398" s="1">
        <f t="shared" si="1963"/>
        <v>5</v>
      </c>
      <c r="BB1398" s="1">
        <f t="shared" si="1971"/>
        <v>20</v>
      </c>
      <c r="BC1398" s="1">
        <f t="shared" si="1969"/>
        <v>3</v>
      </c>
      <c r="BD1398" s="1">
        <f t="shared" si="1950"/>
        <v>0</v>
      </c>
      <c r="BE1398" s="1">
        <f>MAX(0,U1398-IF(AF1398&gt;0,1,0))+0</f>
        <v>0</v>
      </c>
      <c r="BF1398" s="1">
        <f t="shared" si="1973"/>
        <v>4</v>
      </c>
      <c r="BG1398" s="1">
        <f t="shared" si="1960"/>
        <v>1</v>
      </c>
      <c r="BH1398" s="1">
        <f t="shared" si="1944"/>
        <v>1</v>
      </c>
      <c r="BI1398" s="1">
        <f t="shared" si="1961"/>
        <v>1</v>
      </c>
      <c r="BJ1398" s="1">
        <f t="shared" si="1964"/>
        <v>1</v>
      </c>
      <c r="BK1398" s="1">
        <f t="shared" si="1965"/>
        <v>1</v>
      </c>
      <c r="BL1398" s="1">
        <f t="shared" si="1970"/>
        <v>1</v>
      </c>
      <c r="BM1398" s="1">
        <f t="shared" si="1968"/>
        <v>1</v>
      </c>
      <c r="BN1398" s="1">
        <f t="shared" si="1945"/>
        <v>1</v>
      </c>
      <c r="BO1398" s="1">
        <f t="shared" si="1946"/>
        <v>1</v>
      </c>
    </row>
    <row r="1399" spans="1:67" ht="30.95" customHeight="1">
      <c r="A1399" s="1">
        <f>38</f>
        <v>38</v>
      </c>
      <c r="B1399" s="1">
        <f>固定流程!A31</f>
        <v>26</v>
      </c>
      <c r="C1399" s="1">
        <f>41</f>
        <v>41</v>
      </c>
      <c r="D1399" s="1">
        <f>2</f>
        <v>2</v>
      </c>
      <c r="E1399" s="1">
        <f>固定流程!C31</f>
        <v>3</v>
      </c>
      <c r="F1399" s="1">
        <f>固定流程!G31</f>
        <v>2</v>
      </c>
      <c r="G1399" s="1" t="str">
        <f>固定流程!H31</f>
        <v>37_WEAK</v>
      </c>
      <c r="H1399" s="1">
        <f>固定流程!F31</f>
        <v>1</v>
      </c>
      <c r="I1399" s="1">
        <f>INDEX(配置与结果!$B$15:$B$18,F1399)</f>
        <v>2306</v>
      </c>
      <c r="J1399" s="1">
        <f>INDEX(配置与结果!$D$15:$D$18,F1399)</f>
        <v>0.46</v>
      </c>
      <c r="K1399" s="1">
        <f>INDEX(配置与结果!$E$15:$E$18,F1399)</f>
        <v>1.9279999999999999</v>
      </c>
      <c r="L1399" s="1">
        <f t="shared" si="1957"/>
        <v>2</v>
      </c>
      <c r="M1399" s="1">
        <f t="shared" si="1958"/>
        <v>10</v>
      </c>
      <c r="N1399" s="1">
        <f t="shared" si="1959"/>
        <v>2</v>
      </c>
      <c r="O1399" s="1">
        <f t="shared" si="1951"/>
        <v>2</v>
      </c>
      <c r="P1399" s="1">
        <f>MIN(方案参数!$AI$41,AZ1398+0+0)</f>
        <v>5</v>
      </c>
      <c r="Q1399" s="1">
        <f t="shared" si="1929"/>
        <v>5</v>
      </c>
      <c r="R1399" s="1">
        <f t="shared" si="1930"/>
        <v>20</v>
      </c>
      <c r="S1399" s="1">
        <f t="shared" si="1931"/>
        <v>3</v>
      </c>
      <c r="T1399" s="1">
        <f t="shared" si="1966"/>
        <v>0</v>
      </c>
      <c r="U1399" s="1">
        <f t="shared" si="1933"/>
        <v>0</v>
      </c>
      <c r="V1399" s="1">
        <f t="shared" si="1934"/>
        <v>4</v>
      </c>
      <c r="W1399" s="1">
        <f t="shared" si="1935"/>
        <v>1</v>
      </c>
      <c r="X1399" s="1">
        <f t="shared" si="1936"/>
        <v>1</v>
      </c>
      <c r="Y1399" s="1">
        <f t="shared" si="1937"/>
        <v>1</v>
      </c>
      <c r="Z1399" s="1">
        <f t="shared" si="1938"/>
        <v>1</v>
      </c>
      <c r="AA1399" s="1">
        <f t="shared" si="1962"/>
        <v>1</v>
      </c>
      <c r="AB1399" s="1">
        <f t="shared" si="1940"/>
        <v>1</v>
      </c>
      <c r="AC1399" s="1">
        <f t="shared" si="1967"/>
        <v>1</v>
      </c>
      <c r="AD1399" s="1">
        <f>ROUNDDOWN(I1399*(1+IF(F1399=3,0.05+方案参数!$Y$41+AA1399*0.12,IF(F1399=4,方案参数!$BZ$41*方案参数!$AS$41,0)))+IF(AND(X1399=1,F1399&lt;&gt;3),方案参数!$CC$41,0)+AC1399*方案参数!$CB$41,0)</f>
        <v>3036</v>
      </c>
      <c r="AE1399" s="1">
        <f>IF(OR(F1399=1,F1399=4),配置与结果!$B$24,配置与结果!$B$25)*MAX(0,1-INDEX(配置与结果!$I$15:$I$18,F1399))</f>
        <v>1000</v>
      </c>
      <c r="AF1399" s="1">
        <f>方案参数!$CE$41</f>
        <v>8</v>
      </c>
      <c r="AG1399" s="1">
        <f>MAX(配置与结果!$B$32,1+INDEX(配置与结果!$F$15:$F$18,F1399)+0+Q1399*方案参数!$W$41+Y1399*(方案参数!$AN$41+MIN(方案参数!$AO$41,P1399*0.03))+AB1399*方案参数!$BZ$41*0.025-配置与结果!$B$28+方案参数!$AE$41)</f>
        <v>2.2599999999999998</v>
      </c>
      <c r="AH1399" s="1">
        <f>MAX(0,1+V1399*方案参数!$U$41+方案参数!$AE$41-配置与结果!$B$29)</f>
        <v>1.56</v>
      </c>
      <c r="AI1399" s="1">
        <f>IF(OR(INDEX(配置与结果!$K$15:$K$18,F1399)=1,G1399="RHI_BERRY"),1+配置与结果!$B$33+P1399*方案参数!$AH$41,1)</f>
        <v>1</v>
      </c>
      <c r="AJ1399" s="1">
        <f>MIN(1,MAX(0,J1399+方案参数!$AB$41-配置与结果!$B$27))</f>
        <v>0.76</v>
      </c>
      <c r="AK1399" s="1">
        <f>MAX(1,K1399+IF(F1399=2,0.15+方案参数!$CH$41,0)+BN1399*方案参数!$X$41+R1399*方案参数!$AA$41+0-配置与结果!$B$26+Z1399*(方案参数!$AP$41+MIN(方案参数!$AQ$41,P1399*0.03)))</f>
        <v>2.298</v>
      </c>
      <c r="AL1399" s="7">
        <f>ROUNDDOWN(MAX(AD1399*配置与结果!$B$31,AD1399-AE1399)*AF1399*AG1399*AH1399*AI1399,0)</f>
        <v>57424</v>
      </c>
      <c r="AM1399" s="7">
        <f>ROUNDDOWN(MAX(AD1399*配置与结果!$B$31,AD1399-AE1399)*AF1399*AG1399*AH1399*AI1399*AK1399,0)</f>
        <v>131962</v>
      </c>
      <c r="AN1399" s="7">
        <f t="shared" si="1903"/>
        <v>114072.87999999999</v>
      </c>
      <c r="AO1399" s="7">
        <f>0</f>
        <v>0</v>
      </c>
      <c r="AP1399" s="7">
        <f>MAX(0,1+INDEX(配置与结果!$J$15:$J$18,F1399)+IF(T1399&gt;0,方案参数!$BY$41,0)-配置与结果!$B$30)</f>
        <v>1</v>
      </c>
      <c r="AQ1399" s="7">
        <f t="shared" si="1904"/>
        <v>0</v>
      </c>
      <c r="AR1399" s="7">
        <f t="shared" si="1905"/>
        <v>0</v>
      </c>
      <c r="AS1399" s="7">
        <f t="shared" si="1906"/>
        <v>0</v>
      </c>
      <c r="AT1399" s="7">
        <f>IF(U1399&gt;0,ROUNDDOWN(AL1399*方案参数!$AF$41,0)*(1-AJ1399)+ROUNDDOWN(AM1399*方案参数!$AF$41,0)*AJ1399,0)</f>
        <v>0</v>
      </c>
      <c r="AU1399" s="7">
        <f t="shared" si="1907"/>
        <v>114072.87999999999</v>
      </c>
      <c r="AV1399" s="1">
        <f t="shared" si="1908"/>
        <v>2</v>
      </c>
      <c r="AW1399" s="1">
        <f t="shared" si="1972"/>
        <v>10</v>
      </c>
      <c r="AX1399" s="1">
        <f t="shared" si="1909"/>
        <v>2</v>
      </c>
      <c r="AY1399" s="1">
        <f>MIN(20,MAX(0,O1399+0+0-0))</f>
        <v>2</v>
      </c>
      <c r="AZ1399" s="1">
        <f t="shared" si="1910"/>
        <v>5</v>
      </c>
      <c r="BA1399" s="1">
        <f t="shared" si="1963"/>
        <v>5</v>
      </c>
      <c r="BB1399" s="1">
        <f t="shared" si="1971"/>
        <v>20</v>
      </c>
      <c r="BC1399" s="1">
        <f t="shared" si="1969"/>
        <v>3</v>
      </c>
      <c r="BD1399" s="1">
        <f t="shared" si="1950"/>
        <v>0</v>
      </c>
      <c r="BE1399" s="1">
        <f>MAX(0,U1399-IF(AF1399&gt;0,1,0))+1</f>
        <v>1</v>
      </c>
      <c r="BF1399" s="1">
        <f t="shared" si="1973"/>
        <v>4</v>
      </c>
      <c r="BG1399" s="1">
        <f t="shared" si="1960"/>
        <v>1</v>
      </c>
      <c r="BH1399" s="1">
        <f t="shared" si="1944"/>
        <v>1</v>
      </c>
      <c r="BI1399" s="1">
        <f t="shared" si="1961"/>
        <v>1</v>
      </c>
      <c r="BJ1399" s="1">
        <f t="shared" si="1964"/>
        <v>1</v>
      </c>
      <c r="BK1399" s="1">
        <f t="shared" si="1965"/>
        <v>1</v>
      </c>
      <c r="BL1399" s="1">
        <f t="shared" si="1970"/>
        <v>1</v>
      </c>
      <c r="BM1399" s="1">
        <f t="shared" si="1968"/>
        <v>1</v>
      </c>
      <c r="BN1399" s="1">
        <f t="shared" si="1945"/>
        <v>1</v>
      </c>
      <c r="BO1399" s="1">
        <f t="shared" si="1946"/>
        <v>1</v>
      </c>
    </row>
    <row r="1400" spans="1:67" ht="30.95" customHeight="1">
      <c r="A1400" s="1">
        <f>38</f>
        <v>38</v>
      </c>
      <c r="B1400" s="1">
        <f>固定流程!A32</f>
        <v>27</v>
      </c>
      <c r="C1400" s="1">
        <f>41</f>
        <v>41</v>
      </c>
      <c r="D1400" s="1">
        <f>2</f>
        <v>2</v>
      </c>
      <c r="E1400" s="1">
        <f>固定流程!C32</f>
        <v>3</v>
      </c>
      <c r="F1400" s="1">
        <f>固定流程!G32</f>
        <v>1</v>
      </c>
      <c r="G1400" s="1" t="str">
        <f>固定流程!H32</f>
        <v>LILYA_THIRD</v>
      </c>
      <c r="H1400" s="1">
        <f>固定流程!F32</f>
        <v>1</v>
      </c>
      <c r="I1400" s="1">
        <f>INDEX(配置与结果!$B$15:$B$18,F1400)</f>
        <v>2296</v>
      </c>
      <c r="J1400" s="1">
        <f>INDEX(配置与结果!$D$15:$D$18,F1400)</f>
        <v>0.7</v>
      </c>
      <c r="K1400" s="1">
        <f>INDEX(配置与结果!$E$15:$E$18,F1400)</f>
        <v>2.0249999999999999</v>
      </c>
      <c r="L1400" s="1">
        <f t="shared" si="1957"/>
        <v>2</v>
      </c>
      <c r="M1400" s="1">
        <f t="shared" si="1958"/>
        <v>10</v>
      </c>
      <c r="N1400" s="1">
        <f t="shared" si="1959"/>
        <v>2</v>
      </c>
      <c r="O1400" s="1">
        <f t="shared" si="1951"/>
        <v>2</v>
      </c>
      <c r="P1400" s="1">
        <f>MIN(方案参数!$AI$41,AZ1399+0+0)</f>
        <v>5</v>
      </c>
      <c r="Q1400" s="1">
        <f t="shared" si="1929"/>
        <v>5</v>
      </c>
      <c r="R1400" s="1">
        <f t="shared" si="1930"/>
        <v>20</v>
      </c>
      <c r="S1400" s="1">
        <f t="shared" si="1931"/>
        <v>3</v>
      </c>
      <c r="T1400" s="1">
        <f t="shared" si="1966"/>
        <v>0</v>
      </c>
      <c r="U1400" s="1">
        <f t="shared" si="1933"/>
        <v>1</v>
      </c>
      <c r="V1400" s="1">
        <f t="shared" si="1934"/>
        <v>4</v>
      </c>
      <c r="W1400" s="1">
        <f t="shared" si="1935"/>
        <v>1</v>
      </c>
      <c r="X1400" s="1">
        <f t="shared" si="1936"/>
        <v>1</v>
      </c>
      <c r="Y1400" s="1">
        <f t="shared" si="1937"/>
        <v>1</v>
      </c>
      <c r="Z1400" s="1">
        <f t="shared" si="1938"/>
        <v>1</v>
      </c>
      <c r="AA1400" s="1">
        <f t="shared" si="1962"/>
        <v>1</v>
      </c>
      <c r="AB1400" s="1">
        <f t="shared" si="1940"/>
        <v>1</v>
      </c>
      <c r="AC1400" s="1">
        <f t="shared" si="1967"/>
        <v>1</v>
      </c>
      <c r="AD1400" s="1">
        <f>ROUNDDOWN(I1400*(1+IF(F1400=3,0.05+方案参数!$Y$41+AA1400*0.12,IF(F1400=4,方案参数!$BZ$41*方案参数!$AS$41,0)))+IF(AND(X1400=1,F1400&lt;&gt;3),方案参数!$CC$41,0)+AC1400*方案参数!$CB$41,0)</f>
        <v>3026</v>
      </c>
      <c r="AE1400" s="1">
        <f>IF(OR(F1400=1,F1400=4),配置与结果!$B$24,配置与结果!$B$25)*MAX(0,1-INDEX(配置与结果!$I$15:$I$18,F1400))</f>
        <v>1200</v>
      </c>
      <c r="AF1400" s="1">
        <f>方案参数!$BM$41</f>
        <v>20</v>
      </c>
      <c r="AG1400" s="1">
        <f>MAX(配置与结果!$B$32,1+INDEX(配置与结果!$F$15:$F$18,F1400)+0.08+方案参数!$CD$41+Q1400*方案参数!$W$41+Y1400*(方案参数!$AN$41+MIN(方案参数!$AO$41,P1400*0.03))+AB1400*方案参数!$BZ$41*0.025-配置与结果!$B$28+方案参数!$AE$41)</f>
        <v>2.5950000000000002</v>
      </c>
      <c r="AH1400" s="1">
        <f>MAX(0,1+V1400*方案参数!$U$41+3*方案参数!$V$41+方案参数!$AE$41-配置与结果!$B$29)</f>
        <v>1.7399999999999998</v>
      </c>
      <c r="AI1400" s="1">
        <f>IF(OR(INDEX(配置与结果!$K$15:$K$18,F1400)=1,G1400="RHI_BERRY"),1+配置与结果!$B$33+P1400*方案参数!$AH$41,1)</f>
        <v>1</v>
      </c>
      <c r="AJ1400" s="1">
        <f>MIN(1,MAX(0,J1400+方案参数!$AB$41-配置与结果!$B$27))</f>
        <v>1</v>
      </c>
      <c r="AK1400" s="1">
        <f>MAX(1,K1400+IF(F1400=2,0.15+方案参数!$CH$41,0)+BN1400*方案参数!$X$41+R1400*方案参数!$AA$41+方案参数!$BQ$41-配置与结果!$B$26+Z1400*(方案参数!$AP$41+MIN(方案参数!$AQ$41,P1400*0.03)))</f>
        <v>2.9250000000000003</v>
      </c>
      <c r="AL1400" s="7">
        <f>ROUNDDOWN(MAX(AD1400*配置与结果!$B$31,AD1400-AE1400)*AF1400*AG1400*AH1400*AI1400,0)</f>
        <v>164898</v>
      </c>
      <c r="AM1400" s="7">
        <f>ROUNDDOWN(MAX(AD1400*配置与结果!$B$31,AD1400-AE1400)*AF1400*AG1400*AH1400*AI1400*AK1400,0)</f>
        <v>482328</v>
      </c>
      <c r="AN1400" s="7">
        <f t="shared" si="1903"/>
        <v>482328</v>
      </c>
      <c r="AO1400" s="7">
        <f>0</f>
        <v>0</v>
      </c>
      <c r="AP1400" s="7">
        <f>MAX(0,1+INDEX(配置与结果!$J$15:$J$18,F1400)+IF(T1400&gt;0,方案参数!$BY$41,0)-配置与结果!$B$30)</f>
        <v>1</v>
      </c>
      <c r="AQ1400" s="7">
        <f t="shared" si="1904"/>
        <v>0</v>
      </c>
      <c r="AR1400" s="7">
        <f t="shared" si="1905"/>
        <v>0</v>
      </c>
      <c r="AS1400" s="7">
        <f t="shared" si="1906"/>
        <v>0</v>
      </c>
      <c r="AT1400" s="7">
        <f>IF(U1400&gt;0,ROUNDDOWN(AL1400*方案参数!$AF$41,0)*(1-AJ1400)+ROUNDDOWN(AM1400*方案参数!$AF$41,0)*AJ1400,0)</f>
        <v>192931</v>
      </c>
      <c r="AU1400" s="7">
        <f t="shared" si="1907"/>
        <v>675259</v>
      </c>
      <c r="AV1400" s="1">
        <f t="shared" si="1908"/>
        <v>2</v>
      </c>
      <c r="AW1400" s="1">
        <f t="shared" si="1972"/>
        <v>10</v>
      </c>
      <c r="AX1400" s="1">
        <f t="shared" si="1909"/>
        <v>2</v>
      </c>
      <c r="AY1400" s="1">
        <f>MIN(20,MAX(0,O1400+0+1-0))</f>
        <v>3</v>
      </c>
      <c r="AZ1400" s="1">
        <f t="shared" si="1910"/>
        <v>5</v>
      </c>
      <c r="BA1400" s="1">
        <f t="shared" si="1963"/>
        <v>5</v>
      </c>
      <c r="BB1400" s="1">
        <f t="shared" si="1971"/>
        <v>20</v>
      </c>
      <c r="BC1400" s="1">
        <f t="shared" si="1969"/>
        <v>3</v>
      </c>
      <c r="BD1400" s="1">
        <f t="shared" si="1950"/>
        <v>0</v>
      </c>
      <c r="BE1400" s="1">
        <f>MAX(0,U1400-IF(AF1400&gt;0,1,0))+0</f>
        <v>0</v>
      </c>
      <c r="BF1400" s="1">
        <f t="shared" si="1973"/>
        <v>4</v>
      </c>
      <c r="BG1400" s="1">
        <f t="shared" si="1960"/>
        <v>1</v>
      </c>
      <c r="BH1400" s="1">
        <f t="shared" si="1944"/>
        <v>1</v>
      </c>
      <c r="BI1400" s="1">
        <f t="shared" si="1961"/>
        <v>1</v>
      </c>
      <c r="BJ1400" s="1">
        <f t="shared" si="1964"/>
        <v>1</v>
      </c>
      <c r="BK1400" s="1">
        <f t="shared" si="1965"/>
        <v>1</v>
      </c>
      <c r="BL1400" s="1">
        <f t="shared" si="1970"/>
        <v>1</v>
      </c>
      <c r="BM1400" s="1">
        <f t="shared" si="1968"/>
        <v>1</v>
      </c>
      <c r="BN1400" s="1">
        <f t="shared" si="1945"/>
        <v>1</v>
      </c>
      <c r="BO1400" s="1">
        <f t="shared" si="1946"/>
        <v>1</v>
      </c>
    </row>
    <row r="1401" spans="1:67" ht="30.95" customHeight="1">
      <c r="A1401" s="1">
        <f>38</f>
        <v>38</v>
      </c>
      <c r="B1401" s="1">
        <f>固定流程!A33</f>
        <v>28</v>
      </c>
      <c r="C1401" s="1">
        <f>41</f>
        <v>41</v>
      </c>
      <c r="D1401" s="1">
        <f>2</f>
        <v>2</v>
      </c>
      <c r="E1401" s="1">
        <f>固定流程!C33</f>
        <v>3</v>
      </c>
      <c r="F1401" s="1">
        <f>固定流程!G33</f>
        <v>1</v>
      </c>
      <c r="G1401" s="1" t="str">
        <f>固定流程!H33</f>
        <v>LILYA_WEAK</v>
      </c>
      <c r="H1401" s="1">
        <f>固定流程!F33</f>
        <v>1</v>
      </c>
      <c r="I1401" s="1">
        <f>INDEX(配置与结果!$B$15:$B$18,F1401)</f>
        <v>2296</v>
      </c>
      <c r="J1401" s="1">
        <f>INDEX(配置与结果!$D$15:$D$18,F1401)</f>
        <v>0.7</v>
      </c>
      <c r="K1401" s="1">
        <f>INDEX(配置与结果!$E$15:$E$18,F1401)</f>
        <v>2.0249999999999999</v>
      </c>
      <c r="L1401" s="1">
        <f t="shared" si="1957"/>
        <v>2</v>
      </c>
      <c r="M1401" s="1">
        <f t="shared" si="1958"/>
        <v>10</v>
      </c>
      <c r="N1401" s="1">
        <f t="shared" si="1959"/>
        <v>2</v>
      </c>
      <c r="O1401" s="1">
        <f t="shared" si="1951"/>
        <v>3</v>
      </c>
      <c r="P1401" s="1">
        <f>MIN(方案参数!$AI$41,AZ1400+0+0)</f>
        <v>5</v>
      </c>
      <c r="Q1401" s="1">
        <f t="shared" si="1929"/>
        <v>5</v>
      </c>
      <c r="R1401" s="1">
        <f t="shared" si="1930"/>
        <v>20</v>
      </c>
      <c r="S1401" s="1">
        <f t="shared" si="1931"/>
        <v>3</v>
      </c>
      <c r="T1401" s="1">
        <f t="shared" si="1966"/>
        <v>0</v>
      </c>
      <c r="U1401" s="1">
        <f t="shared" si="1933"/>
        <v>0</v>
      </c>
      <c r="V1401" s="1">
        <f t="shared" si="1934"/>
        <v>4</v>
      </c>
      <c r="W1401" s="1">
        <f t="shared" si="1935"/>
        <v>1</v>
      </c>
      <c r="X1401" s="1">
        <f t="shared" si="1936"/>
        <v>1</v>
      </c>
      <c r="Y1401" s="1">
        <f t="shared" si="1937"/>
        <v>1</v>
      </c>
      <c r="Z1401" s="1">
        <f t="shared" si="1938"/>
        <v>1</v>
      </c>
      <c r="AA1401" s="1">
        <f t="shared" si="1962"/>
        <v>1</v>
      </c>
      <c r="AB1401" s="1">
        <f t="shared" si="1940"/>
        <v>1</v>
      </c>
      <c r="AC1401" s="1">
        <f t="shared" si="1967"/>
        <v>1</v>
      </c>
      <c r="AD1401" s="1">
        <f>ROUNDDOWN(I1401*(1+IF(F1401=3,0.05+方案参数!$Y$41+AA1401*0.12,IF(F1401=4,方案参数!$BZ$41*方案参数!$AS$41,0)))+IF(AND(X1401=1,F1401&lt;&gt;3),方案参数!$CC$41,0)+AC1401*方案参数!$CB$41,0)</f>
        <v>3026</v>
      </c>
      <c r="AE1401" s="1">
        <f>IF(OR(F1401=1,F1401=4),配置与结果!$B$24,配置与结果!$B$25)*MAX(0,1-INDEX(配置与结果!$I$15:$I$18,F1401))</f>
        <v>1200</v>
      </c>
      <c r="AF1401" s="1">
        <f>方案参数!$BL$41</f>
        <v>9</v>
      </c>
      <c r="AG1401" s="1">
        <f>MAX(配置与结果!$B$32,1+INDEX(配置与结果!$F$15:$F$18,F1401)+0.08+方案参数!$CD$41+Q1401*方案参数!$W$41+Y1401*(方案参数!$AN$41+MIN(方案参数!$AO$41,P1401*0.03))+AB1401*方案参数!$BZ$41*0.025-配置与结果!$B$28+方案参数!$AE$41)</f>
        <v>2.5950000000000002</v>
      </c>
      <c r="AH1401" s="1">
        <f>MAX(0,1+V1401*方案参数!$U$41+4*方案参数!$V$41+方案参数!$AE$41-配置与结果!$B$29)</f>
        <v>1.7999999999999998</v>
      </c>
      <c r="AI1401" s="1">
        <f>IF(OR(INDEX(配置与结果!$K$15:$K$18,F1401)=1,G1401="RHI_BERRY"),1+配置与结果!$B$33+P1401*方案参数!$AH$41,1)</f>
        <v>1</v>
      </c>
      <c r="AJ1401" s="1">
        <f>MIN(1,MAX(0,J1401+方案参数!$AB$41-配置与结果!$B$27))</f>
        <v>1</v>
      </c>
      <c r="AK1401" s="1">
        <f>MAX(1,K1401+IF(F1401=2,0.15+方案参数!$CH$41,0)+BN1401*方案参数!$X$41+R1401*方案参数!$AA$41+方案参数!$BP$41-配置与结果!$B$26+Z1401*(方案参数!$AP$41+MIN(方案参数!$AQ$41,P1401*0.03)))</f>
        <v>2.7250000000000001</v>
      </c>
      <c r="AL1401" s="7">
        <f>ROUNDDOWN(MAX(AD1401*配置与结果!$B$31,AD1401-AE1401)*AF1401*AG1401*AH1401*AI1401,0)</f>
        <v>76763</v>
      </c>
      <c r="AM1401" s="7">
        <f>ROUNDDOWN(MAX(AD1401*配置与结果!$B$31,AD1401-AE1401)*AF1401*AG1401*AH1401*AI1401*AK1401,0)</f>
        <v>209179</v>
      </c>
      <c r="AN1401" s="7">
        <f t="shared" si="1903"/>
        <v>209179</v>
      </c>
      <c r="AO1401" s="7">
        <f>0</f>
        <v>0</v>
      </c>
      <c r="AP1401" s="7">
        <f>MAX(0,1+INDEX(配置与结果!$J$15:$J$18,F1401)+IF(T1401&gt;0,方案参数!$BY$41,0)-配置与结果!$B$30)</f>
        <v>1</v>
      </c>
      <c r="AQ1401" s="7">
        <f t="shared" si="1904"/>
        <v>0</v>
      </c>
      <c r="AR1401" s="7">
        <f t="shared" si="1905"/>
        <v>0</v>
      </c>
      <c r="AS1401" s="7">
        <f t="shared" si="1906"/>
        <v>0</v>
      </c>
      <c r="AT1401" s="7">
        <f>IF(U1401&gt;0,ROUNDDOWN(AL1401*方案参数!$AF$41,0)*(1-AJ1401)+ROUNDDOWN(AM1401*方案参数!$AF$41,0)*AJ1401,0)</f>
        <v>0</v>
      </c>
      <c r="AU1401" s="7">
        <f t="shared" si="1907"/>
        <v>209179</v>
      </c>
      <c r="AV1401" s="1">
        <f t="shared" si="1908"/>
        <v>2</v>
      </c>
      <c r="AW1401" s="1">
        <f t="shared" si="1972"/>
        <v>10</v>
      </c>
      <c r="AX1401" s="1">
        <f t="shared" si="1909"/>
        <v>2</v>
      </c>
      <c r="AY1401" s="1">
        <f>MIN(20,MAX(0,O1401+0+1-0))</f>
        <v>4</v>
      </c>
      <c r="AZ1401" s="1">
        <f t="shared" si="1910"/>
        <v>5</v>
      </c>
      <c r="BA1401" s="1">
        <f t="shared" si="1963"/>
        <v>5</v>
      </c>
      <c r="BB1401" s="1">
        <f t="shared" si="1971"/>
        <v>20</v>
      </c>
      <c r="BC1401" s="1">
        <f t="shared" si="1969"/>
        <v>3</v>
      </c>
      <c r="BD1401" s="1">
        <f t="shared" si="1950"/>
        <v>0</v>
      </c>
      <c r="BE1401" s="1">
        <f>MAX(0,U1401-IF(AF1401&gt;0,1,0))+0</f>
        <v>0</v>
      </c>
      <c r="BF1401" s="1">
        <f t="shared" si="1973"/>
        <v>4</v>
      </c>
      <c r="BG1401" s="1">
        <f t="shared" si="1960"/>
        <v>1</v>
      </c>
      <c r="BH1401" s="1">
        <f t="shared" si="1944"/>
        <v>1</v>
      </c>
      <c r="BI1401" s="1">
        <f t="shared" si="1961"/>
        <v>1</v>
      </c>
      <c r="BJ1401" s="1">
        <f t="shared" si="1964"/>
        <v>1</v>
      </c>
      <c r="BK1401" s="1">
        <f t="shared" si="1965"/>
        <v>1</v>
      </c>
      <c r="BL1401" s="1">
        <f t="shared" si="1970"/>
        <v>1</v>
      </c>
      <c r="BM1401" s="1">
        <f t="shared" si="1968"/>
        <v>1</v>
      </c>
      <c r="BN1401" s="1">
        <f t="shared" si="1945"/>
        <v>1</v>
      </c>
      <c r="BO1401" s="1">
        <f t="shared" si="1946"/>
        <v>1</v>
      </c>
    </row>
    <row r="1402" spans="1:67" ht="30.95" customHeight="1">
      <c r="A1402" s="1">
        <f>38</f>
        <v>38</v>
      </c>
      <c r="B1402" s="1">
        <f>固定流程!A34</f>
        <v>29</v>
      </c>
      <c r="C1402" s="1">
        <f>41</f>
        <v>41</v>
      </c>
      <c r="D1402" s="1">
        <f>2</f>
        <v>2</v>
      </c>
      <c r="E1402" s="1">
        <f>固定流程!C34</f>
        <v>3</v>
      </c>
      <c r="F1402" s="1">
        <f>固定流程!G34</f>
        <v>1</v>
      </c>
      <c r="G1402" s="1" t="str">
        <f>固定流程!H34</f>
        <v>LILYA_WEAK</v>
      </c>
      <c r="H1402" s="1">
        <f>固定流程!F34</f>
        <v>1</v>
      </c>
      <c r="I1402" s="1">
        <f>INDEX(配置与结果!$B$15:$B$18,F1402)</f>
        <v>2296</v>
      </c>
      <c r="J1402" s="1">
        <f>INDEX(配置与结果!$D$15:$D$18,F1402)</f>
        <v>0.7</v>
      </c>
      <c r="K1402" s="1">
        <f>INDEX(配置与结果!$E$15:$E$18,F1402)</f>
        <v>2.0249999999999999</v>
      </c>
      <c r="L1402" s="1">
        <f t="shared" si="1957"/>
        <v>2</v>
      </c>
      <c r="M1402" s="1">
        <f t="shared" si="1958"/>
        <v>10</v>
      </c>
      <c r="N1402" s="1">
        <f t="shared" si="1959"/>
        <v>2</v>
      </c>
      <c r="O1402" s="1">
        <f t="shared" si="1951"/>
        <v>4</v>
      </c>
      <c r="P1402" s="1">
        <f>MIN(方案参数!$AI$41,AZ1401+0+0)</f>
        <v>5</v>
      </c>
      <c r="Q1402" s="1">
        <f t="shared" si="1929"/>
        <v>5</v>
      </c>
      <c r="R1402" s="1">
        <f t="shared" si="1930"/>
        <v>20</v>
      </c>
      <c r="S1402" s="1">
        <f t="shared" si="1931"/>
        <v>3</v>
      </c>
      <c r="T1402" s="1">
        <f t="shared" si="1966"/>
        <v>0</v>
      </c>
      <c r="U1402" s="1">
        <f t="shared" si="1933"/>
        <v>0</v>
      </c>
      <c r="V1402" s="1">
        <f t="shared" si="1934"/>
        <v>4</v>
      </c>
      <c r="W1402" s="1">
        <f t="shared" si="1935"/>
        <v>1</v>
      </c>
      <c r="X1402" s="1">
        <f t="shared" si="1936"/>
        <v>1</v>
      </c>
      <c r="Y1402" s="1">
        <f t="shared" si="1937"/>
        <v>1</v>
      </c>
      <c r="Z1402" s="1">
        <f t="shared" si="1938"/>
        <v>1</v>
      </c>
      <c r="AA1402" s="1">
        <f t="shared" si="1962"/>
        <v>1</v>
      </c>
      <c r="AB1402" s="1">
        <f t="shared" si="1940"/>
        <v>1</v>
      </c>
      <c r="AC1402" s="1">
        <f t="shared" si="1967"/>
        <v>1</v>
      </c>
      <c r="AD1402" s="1">
        <f>ROUNDDOWN(I1402*(1+IF(F1402=3,0.05+方案参数!$Y$41+AA1402*0.12,IF(F1402=4,方案参数!$BZ$41*方案参数!$AS$41,0)))+IF(AND(X1402=1,F1402&lt;&gt;3),方案参数!$CC$41,0)+AC1402*方案参数!$CB$41,0)</f>
        <v>3026</v>
      </c>
      <c r="AE1402" s="1">
        <f>IF(OR(F1402=1,F1402=4),配置与结果!$B$24,配置与结果!$B$25)*MAX(0,1-INDEX(配置与结果!$I$15:$I$18,F1402))</f>
        <v>1200</v>
      </c>
      <c r="AF1402" s="1">
        <f>方案参数!$BL$41</f>
        <v>9</v>
      </c>
      <c r="AG1402" s="1">
        <f>MAX(配置与结果!$B$32,1+INDEX(配置与结果!$F$15:$F$18,F1402)+0.08+方案参数!$CD$41+Q1402*方案参数!$W$41+Y1402*(方案参数!$AN$41+MIN(方案参数!$AO$41,P1402*0.03))+AB1402*方案参数!$BZ$41*0.025-配置与结果!$B$28+方案参数!$AE$41)</f>
        <v>2.5950000000000002</v>
      </c>
      <c r="AH1402" s="1">
        <f>MAX(0,1+V1402*方案参数!$U$41+5*方案参数!$V$41+方案参数!$AE$41-配置与结果!$B$29)</f>
        <v>1.8599999999999999</v>
      </c>
      <c r="AI1402" s="1">
        <f>IF(OR(INDEX(配置与结果!$K$15:$K$18,F1402)=1,G1402="RHI_BERRY"),1+配置与结果!$B$33+P1402*方案参数!$AH$41,1)</f>
        <v>1</v>
      </c>
      <c r="AJ1402" s="1">
        <f>MIN(1,MAX(0,J1402+方案参数!$AB$41-配置与结果!$B$27))</f>
        <v>1</v>
      </c>
      <c r="AK1402" s="1">
        <f>MAX(1,K1402+IF(F1402=2,0.15+方案参数!$CH$41,0)+BN1402*方案参数!$X$41+R1402*方案参数!$AA$41+方案参数!$BP$41-配置与结果!$B$26+Z1402*(方案参数!$AP$41+MIN(方案参数!$AQ$41,P1402*0.03)))</f>
        <v>2.7250000000000001</v>
      </c>
      <c r="AL1402" s="7">
        <f>ROUNDDOWN(MAX(AD1402*配置与结果!$B$31,AD1402-AE1402)*AF1402*AG1402*AH1402*AI1402,0)</f>
        <v>79321</v>
      </c>
      <c r="AM1402" s="7">
        <f>ROUNDDOWN(MAX(AD1402*配置与结果!$B$31,AD1402-AE1402)*AF1402*AG1402*AH1402*AI1402*AK1402,0)</f>
        <v>216152</v>
      </c>
      <c r="AN1402" s="7">
        <f t="shared" si="1903"/>
        <v>216152</v>
      </c>
      <c r="AO1402" s="7">
        <f>0</f>
        <v>0</v>
      </c>
      <c r="AP1402" s="7">
        <f>MAX(0,1+INDEX(配置与结果!$J$15:$J$18,F1402)+IF(T1402&gt;0,方案参数!$BY$41,0)-配置与结果!$B$30)</f>
        <v>1</v>
      </c>
      <c r="AQ1402" s="7">
        <f t="shared" si="1904"/>
        <v>0</v>
      </c>
      <c r="AR1402" s="7">
        <f t="shared" si="1905"/>
        <v>0</v>
      </c>
      <c r="AS1402" s="7">
        <f t="shared" si="1906"/>
        <v>0</v>
      </c>
      <c r="AT1402" s="7">
        <f>IF(U1402&gt;0,ROUNDDOWN(AL1402*方案参数!$AF$41,0)*(1-AJ1402)+ROUNDDOWN(AM1402*方案参数!$AF$41,0)*AJ1402,0)</f>
        <v>0</v>
      </c>
      <c r="AU1402" s="7">
        <f t="shared" si="1907"/>
        <v>216152</v>
      </c>
      <c r="AV1402" s="1">
        <f t="shared" si="1908"/>
        <v>2</v>
      </c>
      <c r="AW1402" s="1">
        <f t="shared" si="1972"/>
        <v>10</v>
      </c>
      <c r="AX1402" s="1">
        <f t="shared" si="1909"/>
        <v>2</v>
      </c>
      <c r="AY1402" s="1">
        <f>MIN(20,MAX(0,O1402+0+1-0))</f>
        <v>5</v>
      </c>
      <c r="AZ1402" s="1">
        <f t="shared" si="1910"/>
        <v>5</v>
      </c>
      <c r="BA1402" s="1">
        <f t="shared" si="1963"/>
        <v>5</v>
      </c>
      <c r="BB1402" s="1">
        <f t="shared" si="1971"/>
        <v>20</v>
      </c>
      <c r="BC1402" s="1">
        <f t="shared" si="1969"/>
        <v>3</v>
      </c>
      <c r="BD1402" s="1">
        <f t="shared" si="1950"/>
        <v>0</v>
      </c>
      <c r="BE1402" s="1">
        <f>MAX(0,U1402-IF(AF1402&gt;0,1,0))+0</f>
        <v>0</v>
      </c>
      <c r="BF1402" s="1">
        <f t="shared" si="1973"/>
        <v>4</v>
      </c>
      <c r="BG1402" s="1">
        <f t="shared" si="1960"/>
        <v>1</v>
      </c>
      <c r="BH1402" s="1">
        <f t="shared" si="1944"/>
        <v>1</v>
      </c>
      <c r="BI1402" s="1">
        <f t="shared" si="1961"/>
        <v>1</v>
      </c>
      <c r="BJ1402" s="1">
        <f t="shared" si="1964"/>
        <v>1</v>
      </c>
      <c r="BK1402" s="1">
        <f t="shared" si="1965"/>
        <v>1</v>
      </c>
      <c r="BL1402" s="1">
        <f t="shared" si="1970"/>
        <v>1</v>
      </c>
      <c r="BM1402" s="1">
        <f t="shared" si="1968"/>
        <v>1</v>
      </c>
      <c r="BN1402" s="1">
        <f t="shared" si="1945"/>
        <v>1</v>
      </c>
      <c r="BO1402" s="1">
        <f t="shared" si="1946"/>
        <v>1</v>
      </c>
    </row>
    <row r="1403" spans="1:67" ht="30.95" customHeight="1">
      <c r="A1403" s="1">
        <f>38</f>
        <v>38</v>
      </c>
      <c r="B1403" s="1">
        <f>固定流程!A35</f>
        <v>30</v>
      </c>
      <c r="C1403" s="1">
        <f>41</f>
        <v>41</v>
      </c>
      <c r="D1403" s="1">
        <f>2</f>
        <v>2</v>
      </c>
      <c r="E1403" s="1">
        <f>固定流程!C35</f>
        <v>3</v>
      </c>
      <c r="F1403" s="1">
        <f>固定流程!G35</f>
        <v>2</v>
      </c>
      <c r="G1403" s="1" t="str">
        <f>固定流程!H35</f>
        <v>37_WEAK</v>
      </c>
      <c r="H1403" s="1">
        <f>固定流程!F35</f>
        <v>1</v>
      </c>
      <c r="I1403" s="1">
        <f>INDEX(配置与结果!$B$15:$B$18,F1403)</f>
        <v>2306</v>
      </c>
      <c r="J1403" s="1">
        <f>INDEX(配置与结果!$D$15:$D$18,F1403)</f>
        <v>0.46</v>
      </c>
      <c r="K1403" s="1">
        <f>INDEX(配置与结果!$E$15:$E$18,F1403)</f>
        <v>1.9279999999999999</v>
      </c>
      <c r="L1403" s="1">
        <f t="shared" si="1957"/>
        <v>2</v>
      </c>
      <c r="M1403" s="1">
        <f t="shared" si="1958"/>
        <v>10</v>
      </c>
      <c r="N1403" s="1">
        <f t="shared" si="1959"/>
        <v>2</v>
      </c>
      <c r="O1403" s="1">
        <f t="shared" si="1951"/>
        <v>5</v>
      </c>
      <c r="P1403" s="1">
        <f>MIN(方案参数!$AI$41,AZ1402+0+0)</f>
        <v>5</v>
      </c>
      <c r="Q1403" s="1">
        <f t="shared" si="1929"/>
        <v>5</v>
      </c>
      <c r="R1403" s="1">
        <f t="shared" si="1930"/>
        <v>20</v>
      </c>
      <c r="S1403" s="1">
        <f t="shared" si="1931"/>
        <v>3</v>
      </c>
      <c r="T1403" s="1">
        <f t="shared" si="1966"/>
        <v>0</v>
      </c>
      <c r="U1403" s="1">
        <f t="shared" si="1933"/>
        <v>0</v>
      </c>
      <c r="V1403" s="1">
        <f t="shared" si="1934"/>
        <v>4</v>
      </c>
      <c r="W1403" s="1">
        <f t="shared" si="1935"/>
        <v>1</v>
      </c>
      <c r="X1403" s="1">
        <f t="shared" si="1936"/>
        <v>1</v>
      </c>
      <c r="Y1403" s="1">
        <f t="shared" si="1937"/>
        <v>1</v>
      </c>
      <c r="Z1403" s="1">
        <f t="shared" si="1938"/>
        <v>1</v>
      </c>
      <c r="AA1403" s="1">
        <f t="shared" si="1962"/>
        <v>1</v>
      </c>
      <c r="AB1403" s="1">
        <f t="shared" si="1940"/>
        <v>1</v>
      </c>
      <c r="AC1403" s="1">
        <f t="shared" si="1967"/>
        <v>1</v>
      </c>
      <c r="AD1403" s="1">
        <f>ROUNDDOWN(I1403*(1+IF(F1403=3,0.05+方案参数!$Y$41+AA1403*0.12,IF(F1403=4,方案参数!$BZ$41*方案参数!$AS$41,0)))+IF(AND(X1403=1,F1403&lt;&gt;3),方案参数!$CC$41,0)+AC1403*方案参数!$CB$41,0)</f>
        <v>3036</v>
      </c>
      <c r="AE1403" s="1">
        <f>IF(OR(F1403=1,F1403=4),配置与结果!$B$24,配置与结果!$B$25)*MAX(0,1-INDEX(配置与结果!$I$15:$I$18,F1403))</f>
        <v>1000</v>
      </c>
      <c r="AF1403" s="1">
        <f>方案参数!$CE$41</f>
        <v>8</v>
      </c>
      <c r="AG1403" s="1">
        <f>MAX(配置与结果!$B$32,1+INDEX(配置与结果!$F$15:$F$18,F1403)+0+Q1403*方案参数!$W$41+Y1403*(方案参数!$AN$41+MIN(方案参数!$AO$41,P1403*0.03))+AB1403*方案参数!$BZ$41*0.025-配置与结果!$B$28+方案参数!$AE$41)</f>
        <v>2.2599999999999998</v>
      </c>
      <c r="AH1403" s="1">
        <f>MAX(0,1+V1403*方案参数!$U$41+方案参数!$AE$41-配置与结果!$B$29)</f>
        <v>1.56</v>
      </c>
      <c r="AI1403" s="1">
        <f>IF(OR(INDEX(配置与结果!$K$15:$K$18,F1403)=1,G1403="RHI_BERRY"),1+配置与结果!$B$33+P1403*方案参数!$AH$41,1)</f>
        <v>1</v>
      </c>
      <c r="AJ1403" s="1">
        <f>MIN(1,MAX(0,J1403+方案参数!$AB$41-配置与结果!$B$27))</f>
        <v>0.76</v>
      </c>
      <c r="AK1403" s="1">
        <f>MAX(1,K1403+IF(F1403=2,0.15+方案参数!$CH$41,0)+BN1403*方案参数!$X$41+R1403*方案参数!$AA$41+0-配置与结果!$B$26+Z1403*(方案参数!$AP$41+MIN(方案参数!$AQ$41,P1403*0.03)))</f>
        <v>2.298</v>
      </c>
      <c r="AL1403" s="7">
        <f>ROUNDDOWN(MAX(AD1403*配置与结果!$B$31,AD1403-AE1403)*AF1403*AG1403*AH1403*AI1403,0)</f>
        <v>57424</v>
      </c>
      <c r="AM1403" s="7">
        <f>ROUNDDOWN(MAX(AD1403*配置与结果!$B$31,AD1403-AE1403)*AF1403*AG1403*AH1403*AI1403*AK1403,0)</f>
        <v>131962</v>
      </c>
      <c r="AN1403" s="7">
        <f t="shared" si="1903"/>
        <v>114072.87999999999</v>
      </c>
      <c r="AO1403" s="7">
        <f>0</f>
        <v>0</v>
      </c>
      <c r="AP1403" s="7">
        <f>MAX(0,1+INDEX(配置与结果!$J$15:$J$18,F1403)+IF(T1403&gt;0,方案参数!$BY$41,0)-配置与结果!$B$30)</f>
        <v>1</v>
      </c>
      <c r="AQ1403" s="7">
        <f t="shared" si="1904"/>
        <v>0</v>
      </c>
      <c r="AR1403" s="7">
        <f t="shared" si="1905"/>
        <v>0</v>
      </c>
      <c r="AS1403" s="7">
        <f t="shared" si="1906"/>
        <v>0</v>
      </c>
      <c r="AT1403" s="7">
        <f>IF(U1403&gt;0,ROUNDDOWN(AL1403*方案参数!$AF$41,0)*(1-AJ1403)+ROUNDDOWN(AM1403*方案参数!$AF$41,0)*AJ1403,0)</f>
        <v>0</v>
      </c>
      <c r="AU1403" s="7">
        <f t="shared" si="1907"/>
        <v>114072.87999999999</v>
      </c>
      <c r="AV1403" s="1">
        <f t="shared" si="1908"/>
        <v>2</v>
      </c>
      <c r="AW1403" s="1">
        <f t="shared" si="1972"/>
        <v>10</v>
      </c>
      <c r="AX1403" s="1">
        <f t="shared" si="1909"/>
        <v>2</v>
      </c>
      <c r="AY1403" s="1">
        <f>MIN(20,MAX(0,O1403+0+0-0))</f>
        <v>5</v>
      </c>
      <c r="AZ1403" s="1">
        <f t="shared" si="1910"/>
        <v>5</v>
      </c>
      <c r="BA1403" s="1">
        <f t="shared" si="1963"/>
        <v>5</v>
      </c>
      <c r="BB1403" s="1">
        <f t="shared" si="1971"/>
        <v>20</v>
      </c>
      <c r="BC1403" s="1">
        <f t="shared" si="1969"/>
        <v>3</v>
      </c>
      <c r="BD1403" s="1">
        <f t="shared" si="1950"/>
        <v>0</v>
      </c>
      <c r="BE1403" s="1">
        <f>MAX(0,U1403-IF(AF1403&gt;0,1,0))+1</f>
        <v>1</v>
      </c>
      <c r="BF1403" s="1">
        <f t="shared" si="1973"/>
        <v>4</v>
      </c>
      <c r="BG1403" s="1">
        <f t="shared" si="1960"/>
        <v>1</v>
      </c>
      <c r="BH1403" s="1">
        <f t="shared" si="1944"/>
        <v>1</v>
      </c>
      <c r="BI1403" s="1">
        <f t="shared" si="1961"/>
        <v>1</v>
      </c>
      <c r="BJ1403" s="1">
        <f t="shared" si="1964"/>
        <v>1</v>
      </c>
      <c r="BK1403" s="1">
        <f t="shared" si="1965"/>
        <v>1</v>
      </c>
      <c r="BL1403" s="1">
        <f t="shared" si="1970"/>
        <v>1</v>
      </c>
      <c r="BM1403" s="1">
        <f t="shared" si="1968"/>
        <v>1</v>
      </c>
      <c r="BN1403" s="1">
        <f t="shared" si="1945"/>
        <v>1</v>
      </c>
      <c r="BO1403" s="1">
        <f t="shared" si="1946"/>
        <v>1</v>
      </c>
    </row>
    <row r="1404" spans="1:67" ht="30.95" customHeight="1">
      <c r="A1404" s="1">
        <f>38</f>
        <v>38</v>
      </c>
      <c r="B1404" s="1">
        <f>固定流程!A36</f>
        <v>31</v>
      </c>
      <c r="C1404" s="1">
        <f>41</f>
        <v>41</v>
      </c>
      <c r="D1404" s="1">
        <f>2</f>
        <v>2</v>
      </c>
      <c r="E1404" s="1">
        <f>固定流程!C36</f>
        <v>3</v>
      </c>
      <c r="F1404" s="1">
        <f>固定流程!G36</f>
        <v>1</v>
      </c>
      <c r="G1404" s="1" t="str">
        <f>固定流程!H36</f>
        <v>LILYA_THIRD</v>
      </c>
      <c r="H1404" s="1">
        <f>固定流程!F36</f>
        <v>1</v>
      </c>
      <c r="I1404" s="1">
        <f>INDEX(配置与结果!$B$15:$B$18,F1404)</f>
        <v>2296</v>
      </c>
      <c r="J1404" s="1">
        <f>INDEX(配置与结果!$D$15:$D$18,F1404)</f>
        <v>0.7</v>
      </c>
      <c r="K1404" s="1">
        <f>INDEX(配置与结果!$E$15:$E$18,F1404)</f>
        <v>2.0249999999999999</v>
      </c>
      <c r="L1404" s="1">
        <f t="shared" si="1957"/>
        <v>2</v>
      </c>
      <c r="M1404" s="1">
        <f t="shared" si="1958"/>
        <v>10</v>
      </c>
      <c r="N1404" s="1">
        <f t="shared" si="1959"/>
        <v>2</v>
      </c>
      <c r="O1404" s="1">
        <f t="shared" si="1951"/>
        <v>5</v>
      </c>
      <c r="P1404" s="1">
        <f>MIN(方案参数!$AI$41,AZ1403+0+0)</f>
        <v>5</v>
      </c>
      <c r="Q1404" s="1">
        <f t="shared" si="1929"/>
        <v>5</v>
      </c>
      <c r="R1404" s="1">
        <f t="shared" si="1930"/>
        <v>20</v>
      </c>
      <c r="S1404" s="1">
        <f t="shared" si="1931"/>
        <v>3</v>
      </c>
      <c r="T1404" s="1">
        <f t="shared" si="1966"/>
        <v>0</v>
      </c>
      <c r="U1404" s="1">
        <f t="shared" si="1933"/>
        <v>1</v>
      </c>
      <c r="V1404" s="1">
        <f t="shared" si="1934"/>
        <v>4</v>
      </c>
      <c r="W1404" s="1">
        <f t="shared" si="1935"/>
        <v>1</v>
      </c>
      <c r="X1404" s="1">
        <f t="shared" si="1936"/>
        <v>1</v>
      </c>
      <c r="Y1404" s="1">
        <f t="shared" si="1937"/>
        <v>1</v>
      </c>
      <c r="Z1404" s="1">
        <f t="shared" si="1938"/>
        <v>1</v>
      </c>
      <c r="AA1404" s="1">
        <f t="shared" si="1962"/>
        <v>1</v>
      </c>
      <c r="AB1404" s="1">
        <f t="shared" si="1940"/>
        <v>1</v>
      </c>
      <c r="AC1404" s="1">
        <f t="shared" si="1967"/>
        <v>1</v>
      </c>
      <c r="AD1404" s="1">
        <f>ROUNDDOWN(I1404*(1+IF(F1404=3,0.05+方案参数!$Y$41+AA1404*0.12,IF(F1404=4,方案参数!$BZ$41*方案参数!$AS$41,0)))+IF(AND(X1404=1,F1404&lt;&gt;3),方案参数!$CC$41,0)+AC1404*方案参数!$CB$41,0)</f>
        <v>3026</v>
      </c>
      <c r="AE1404" s="1">
        <f>IF(OR(F1404=1,F1404=4),配置与结果!$B$24,配置与结果!$B$25)*MAX(0,1-INDEX(配置与结果!$I$15:$I$18,F1404))</f>
        <v>1200</v>
      </c>
      <c r="AF1404" s="1">
        <f>方案参数!$BM$41</f>
        <v>20</v>
      </c>
      <c r="AG1404" s="1">
        <f>MAX(配置与结果!$B$32,1+INDEX(配置与结果!$F$15:$F$18,F1404)+0.08+方案参数!$CD$41+Q1404*方案参数!$W$41+Y1404*(方案参数!$AN$41+MIN(方案参数!$AO$41,P1404*0.03))+AB1404*方案参数!$BZ$41*0.025-配置与结果!$B$28+方案参数!$AE$41)</f>
        <v>2.5950000000000002</v>
      </c>
      <c r="AH1404" s="1">
        <f>MAX(0,1+V1404*方案参数!$U$41+7*方案参数!$V$41+方案参数!$AE$41-配置与结果!$B$29)</f>
        <v>1.98</v>
      </c>
      <c r="AI1404" s="1">
        <f>IF(OR(INDEX(配置与结果!$K$15:$K$18,F1404)=1,G1404="RHI_BERRY"),1+配置与结果!$B$33+P1404*方案参数!$AH$41,1)</f>
        <v>1</v>
      </c>
      <c r="AJ1404" s="1">
        <f>MIN(1,MAX(0,J1404+方案参数!$AB$41-配置与结果!$B$27))</f>
        <v>1</v>
      </c>
      <c r="AK1404" s="1">
        <f>MAX(1,K1404+IF(F1404=2,0.15+方案参数!$CH$41,0)+BN1404*方案参数!$X$41+R1404*方案参数!$AA$41+方案参数!$BQ$41-配置与结果!$B$26+Z1404*(方案参数!$AP$41+MIN(方案参数!$AQ$41,P1404*0.03)))</f>
        <v>2.9250000000000003</v>
      </c>
      <c r="AL1404" s="7">
        <f>ROUNDDOWN(MAX(AD1404*配置与结果!$B$31,AD1404-AE1404)*AF1404*AG1404*AH1404*AI1404,0)</f>
        <v>187643</v>
      </c>
      <c r="AM1404" s="7">
        <f>ROUNDDOWN(MAX(AD1404*配置与结果!$B$31,AD1404-AE1404)*AF1404*AG1404*AH1404*AI1404*AK1404,0)</f>
        <v>548856</v>
      </c>
      <c r="AN1404" s="7">
        <f t="shared" si="1903"/>
        <v>548856</v>
      </c>
      <c r="AO1404" s="7">
        <f>0</f>
        <v>0</v>
      </c>
      <c r="AP1404" s="7">
        <f>MAX(0,1+INDEX(配置与结果!$J$15:$J$18,F1404)+IF(T1404&gt;0,方案参数!$BY$41,0)-配置与结果!$B$30)</f>
        <v>1</v>
      </c>
      <c r="AQ1404" s="7">
        <f t="shared" si="1904"/>
        <v>0</v>
      </c>
      <c r="AR1404" s="7">
        <f t="shared" si="1905"/>
        <v>0</v>
      </c>
      <c r="AS1404" s="7">
        <f t="shared" si="1906"/>
        <v>0</v>
      </c>
      <c r="AT1404" s="7">
        <f>IF(U1404&gt;0,ROUNDDOWN(AL1404*方案参数!$AF$41,0)*(1-AJ1404)+ROUNDDOWN(AM1404*方案参数!$AF$41,0)*AJ1404,0)</f>
        <v>219542</v>
      </c>
      <c r="AU1404" s="7">
        <f t="shared" si="1907"/>
        <v>768398</v>
      </c>
      <c r="AV1404" s="1">
        <f t="shared" si="1908"/>
        <v>2</v>
      </c>
      <c r="AW1404" s="1">
        <f t="shared" si="1972"/>
        <v>10</v>
      </c>
      <c r="AX1404" s="1">
        <f t="shared" si="1909"/>
        <v>2</v>
      </c>
      <c r="AY1404" s="1">
        <f>MIN(20,MAX(0,O1404+0+1-0))</f>
        <v>6</v>
      </c>
      <c r="AZ1404" s="1">
        <f t="shared" si="1910"/>
        <v>5</v>
      </c>
      <c r="BA1404" s="1">
        <f t="shared" si="1963"/>
        <v>5</v>
      </c>
      <c r="BB1404" s="1">
        <f t="shared" si="1971"/>
        <v>20</v>
      </c>
      <c r="BC1404" s="1">
        <f t="shared" si="1969"/>
        <v>3</v>
      </c>
      <c r="BD1404" s="1">
        <f t="shared" si="1950"/>
        <v>0</v>
      </c>
      <c r="BE1404" s="1">
        <f>MAX(0,U1404-IF(AF1404&gt;0,1,0))+0</f>
        <v>0</v>
      </c>
      <c r="BF1404" s="1">
        <f t="shared" si="1973"/>
        <v>4</v>
      </c>
      <c r="BG1404" s="1">
        <f t="shared" si="1960"/>
        <v>1</v>
      </c>
      <c r="BH1404" s="1">
        <f t="shared" si="1944"/>
        <v>1</v>
      </c>
      <c r="BI1404" s="1">
        <f t="shared" si="1961"/>
        <v>1</v>
      </c>
      <c r="BJ1404" s="1">
        <f t="shared" si="1964"/>
        <v>1</v>
      </c>
      <c r="BK1404" s="1">
        <f t="shared" si="1965"/>
        <v>1</v>
      </c>
      <c r="BL1404" s="1">
        <f t="shared" si="1970"/>
        <v>1</v>
      </c>
      <c r="BM1404" s="1">
        <f t="shared" si="1968"/>
        <v>1</v>
      </c>
      <c r="BN1404" s="1">
        <f t="shared" si="1945"/>
        <v>1</v>
      </c>
      <c r="BO1404" s="1">
        <f t="shared" si="1946"/>
        <v>1</v>
      </c>
    </row>
    <row r="1405" spans="1:67" ht="30.95" customHeight="1">
      <c r="A1405" s="1">
        <f>38</f>
        <v>38</v>
      </c>
      <c r="B1405" s="1">
        <f>固定流程!A37</f>
        <v>32</v>
      </c>
      <c r="C1405" s="1">
        <f>41</f>
        <v>41</v>
      </c>
      <c r="D1405" s="1">
        <f>2</f>
        <v>2</v>
      </c>
      <c r="E1405" s="1">
        <f>固定流程!C37</f>
        <v>3</v>
      </c>
      <c r="F1405" s="1">
        <f>固定流程!G37</f>
        <v>1</v>
      </c>
      <c r="G1405" s="1" t="str">
        <f>固定流程!H37</f>
        <v>LILYA_WEAK</v>
      </c>
      <c r="H1405" s="1">
        <f>固定流程!F37</f>
        <v>1</v>
      </c>
      <c r="I1405" s="1">
        <f>INDEX(配置与结果!$B$15:$B$18,F1405)</f>
        <v>2296</v>
      </c>
      <c r="J1405" s="1">
        <f>INDEX(配置与结果!$D$15:$D$18,F1405)</f>
        <v>0.7</v>
      </c>
      <c r="K1405" s="1">
        <f>INDEX(配置与结果!$E$15:$E$18,F1405)</f>
        <v>2.0249999999999999</v>
      </c>
      <c r="L1405" s="1">
        <f t="shared" si="1957"/>
        <v>2</v>
      </c>
      <c r="M1405" s="1">
        <f t="shared" si="1958"/>
        <v>10</v>
      </c>
      <c r="N1405" s="1">
        <f t="shared" si="1959"/>
        <v>2</v>
      </c>
      <c r="O1405" s="1">
        <f t="shared" si="1951"/>
        <v>6</v>
      </c>
      <c r="P1405" s="1">
        <f>MIN(方案参数!$AI$41,AZ1404+0+0)</f>
        <v>5</v>
      </c>
      <c r="Q1405" s="1">
        <f t="shared" si="1929"/>
        <v>5</v>
      </c>
      <c r="R1405" s="1">
        <f t="shared" si="1930"/>
        <v>20</v>
      </c>
      <c r="S1405" s="1">
        <f t="shared" si="1931"/>
        <v>3</v>
      </c>
      <c r="T1405" s="1">
        <f t="shared" si="1966"/>
        <v>0</v>
      </c>
      <c r="U1405" s="1">
        <f t="shared" si="1933"/>
        <v>0</v>
      </c>
      <c r="V1405" s="1">
        <f t="shared" si="1934"/>
        <v>4</v>
      </c>
      <c r="W1405" s="1">
        <f t="shared" si="1935"/>
        <v>1</v>
      </c>
      <c r="X1405" s="1">
        <f t="shared" si="1936"/>
        <v>1</v>
      </c>
      <c r="Y1405" s="1">
        <f t="shared" si="1937"/>
        <v>1</v>
      </c>
      <c r="Z1405" s="1">
        <f t="shared" si="1938"/>
        <v>1</v>
      </c>
      <c r="AA1405" s="1">
        <f t="shared" si="1962"/>
        <v>1</v>
      </c>
      <c r="AB1405" s="1">
        <f t="shared" si="1940"/>
        <v>1</v>
      </c>
      <c r="AC1405" s="1">
        <f t="shared" si="1967"/>
        <v>1</v>
      </c>
      <c r="AD1405" s="1">
        <f>ROUNDDOWN(I1405*(1+IF(F1405=3,0.05+方案参数!$Y$41+AA1405*0.12,IF(F1405=4,方案参数!$BZ$41*方案参数!$AS$41,0)))+IF(AND(X1405=1,F1405&lt;&gt;3),方案参数!$CC$41,0)+AC1405*方案参数!$CB$41,0)</f>
        <v>3026</v>
      </c>
      <c r="AE1405" s="1">
        <f>IF(OR(F1405=1,F1405=4),配置与结果!$B$24,配置与结果!$B$25)*MAX(0,1-INDEX(配置与结果!$I$15:$I$18,F1405))</f>
        <v>1200</v>
      </c>
      <c r="AF1405" s="1">
        <f>方案参数!$BL$41</f>
        <v>9</v>
      </c>
      <c r="AG1405" s="1">
        <f>MAX(配置与结果!$B$32,1+INDEX(配置与结果!$F$15:$F$18,F1405)+0.08+方案参数!$CD$41+Q1405*方案参数!$W$41+Y1405*(方案参数!$AN$41+MIN(方案参数!$AO$41,P1405*0.03))+AB1405*方案参数!$BZ$41*0.025-配置与结果!$B$28+方案参数!$AE$41)</f>
        <v>2.5950000000000002</v>
      </c>
      <c r="AH1405" s="1">
        <f>MAX(0,1+V1405*方案参数!$U$41+8*方案参数!$V$41+方案参数!$AE$41-配置与结果!$B$29)</f>
        <v>2.04</v>
      </c>
      <c r="AI1405" s="1">
        <f>IF(OR(INDEX(配置与结果!$K$15:$K$18,F1405)=1,G1405="RHI_BERRY"),1+配置与结果!$B$33+P1405*方案参数!$AH$41,1)</f>
        <v>1</v>
      </c>
      <c r="AJ1405" s="1">
        <f>MIN(1,MAX(0,J1405+方案参数!$AB$41-配置与结果!$B$27))</f>
        <v>1</v>
      </c>
      <c r="AK1405" s="1">
        <f>MAX(1,K1405+IF(F1405=2,0.15+方案参数!$CH$41,0)+BN1405*方案参数!$X$41+R1405*方案参数!$AA$41+方案参数!$BP$41-配置与结果!$B$26+Z1405*(方案参数!$AP$41+MIN(方案参数!$AQ$41,P1405*0.03)))</f>
        <v>2.7250000000000001</v>
      </c>
      <c r="AL1405" s="7">
        <f>ROUNDDOWN(MAX(AD1405*配置与结果!$B$31,AD1405-AE1405)*AF1405*AG1405*AH1405*AI1405,0)</f>
        <v>86998</v>
      </c>
      <c r="AM1405" s="7">
        <f>ROUNDDOWN(MAX(AD1405*配置与结果!$B$31,AD1405-AE1405)*AF1405*AG1405*AH1405*AI1405*AK1405,0)</f>
        <v>237070</v>
      </c>
      <c r="AN1405" s="7">
        <f t="shared" si="1903"/>
        <v>237070</v>
      </c>
      <c r="AO1405" s="7">
        <f>0</f>
        <v>0</v>
      </c>
      <c r="AP1405" s="7">
        <f>MAX(0,1+INDEX(配置与结果!$J$15:$J$18,F1405)+IF(T1405&gt;0,方案参数!$BY$41,0)-配置与结果!$B$30)</f>
        <v>1</v>
      </c>
      <c r="AQ1405" s="7">
        <f t="shared" si="1904"/>
        <v>0</v>
      </c>
      <c r="AR1405" s="7">
        <f t="shared" si="1905"/>
        <v>0</v>
      </c>
      <c r="AS1405" s="7">
        <f t="shared" si="1906"/>
        <v>0</v>
      </c>
      <c r="AT1405" s="7">
        <f>IF(U1405&gt;0,ROUNDDOWN(AL1405*方案参数!$AF$41,0)*(1-AJ1405)+ROUNDDOWN(AM1405*方案参数!$AF$41,0)*AJ1405,0)</f>
        <v>0</v>
      </c>
      <c r="AU1405" s="7">
        <f t="shared" si="1907"/>
        <v>237070</v>
      </c>
      <c r="AV1405" s="1">
        <f t="shared" si="1908"/>
        <v>2</v>
      </c>
      <c r="AW1405" s="1">
        <f t="shared" si="1972"/>
        <v>10</v>
      </c>
      <c r="AX1405" s="1">
        <f t="shared" si="1909"/>
        <v>2</v>
      </c>
      <c r="AY1405" s="1">
        <f>MIN(20,MAX(0,O1405+0+1-0))</f>
        <v>7</v>
      </c>
      <c r="AZ1405" s="1">
        <f t="shared" si="1910"/>
        <v>5</v>
      </c>
      <c r="BA1405" s="1">
        <f t="shared" si="1963"/>
        <v>5</v>
      </c>
      <c r="BB1405" s="1">
        <f t="shared" si="1971"/>
        <v>20</v>
      </c>
      <c r="BC1405" s="1">
        <f t="shared" si="1969"/>
        <v>3</v>
      </c>
      <c r="BD1405" s="1">
        <f t="shared" si="1950"/>
        <v>0</v>
      </c>
      <c r="BE1405" s="1">
        <f>MAX(0,U1405-IF(AF1405&gt;0,1,0))+0</f>
        <v>0</v>
      </c>
      <c r="BF1405" s="1">
        <f t="shared" si="1973"/>
        <v>4</v>
      </c>
      <c r="BG1405" s="1">
        <f t="shared" si="1960"/>
        <v>1</v>
      </c>
      <c r="BH1405" s="1">
        <f t="shared" si="1944"/>
        <v>1</v>
      </c>
      <c r="BI1405" s="1">
        <f t="shared" si="1961"/>
        <v>1</v>
      </c>
      <c r="BJ1405" s="1">
        <f t="shared" si="1964"/>
        <v>1</v>
      </c>
      <c r="BK1405" s="1">
        <f t="shared" si="1965"/>
        <v>1</v>
      </c>
      <c r="BL1405" s="1">
        <f t="shared" si="1970"/>
        <v>1</v>
      </c>
      <c r="BM1405" s="1">
        <f t="shared" si="1968"/>
        <v>1</v>
      </c>
      <c r="BN1405" s="1">
        <f t="shared" si="1945"/>
        <v>1</v>
      </c>
      <c r="BO1405" s="1">
        <f t="shared" si="1946"/>
        <v>1</v>
      </c>
    </row>
    <row r="1406" spans="1:67" ht="30.95" customHeight="1">
      <c r="A1406" s="1">
        <f>38</f>
        <v>38</v>
      </c>
      <c r="B1406" s="1">
        <f>固定流程!A38</f>
        <v>33</v>
      </c>
      <c r="C1406" s="1">
        <f>41</f>
        <v>41</v>
      </c>
      <c r="D1406" s="1">
        <f>2</f>
        <v>2</v>
      </c>
      <c r="E1406" s="1">
        <f>固定流程!C38</f>
        <v>3</v>
      </c>
      <c r="F1406" s="1">
        <f>固定流程!G38</f>
        <v>1</v>
      </c>
      <c r="G1406" s="1" t="str">
        <f>固定流程!H38</f>
        <v>LILYA_WEAK</v>
      </c>
      <c r="H1406" s="1">
        <f>固定流程!F38</f>
        <v>1</v>
      </c>
      <c r="I1406" s="1">
        <f>INDEX(配置与结果!$B$15:$B$18,F1406)</f>
        <v>2296</v>
      </c>
      <c r="J1406" s="1">
        <f>INDEX(配置与结果!$D$15:$D$18,F1406)</f>
        <v>0.7</v>
      </c>
      <c r="K1406" s="1">
        <f>INDEX(配置与结果!$E$15:$E$18,F1406)</f>
        <v>2.0249999999999999</v>
      </c>
      <c r="L1406" s="1">
        <f t="shared" si="1957"/>
        <v>2</v>
      </c>
      <c r="M1406" s="1">
        <f t="shared" si="1958"/>
        <v>10</v>
      </c>
      <c r="N1406" s="1">
        <f t="shared" si="1959"/>
        <v>2</v>
      </c>
      <c r="O1406" s="1">
        <f t="shared" si="1951"/>
        <v>7</v>
      </c>
      <c r="P1406" s="1">
        <f>MIN(方案参数!$AI$41,AZ1405+0+0)</f>
        <v>5</v>
      </c>
      <c r="Q1406" s="1">
        <f t="shared" si="1929"/>
        <v>5</v>
      </c>
      <c r="R1406" s="1">
        <f t="shared" si="1930"/>
        <v>20</v>
      </c>
      <c r="S1406" s="1">
        <f t="shared" si="1931"/>
        <v>3</v>
      </c>
      <c r="T1406" s="1">
        <f t="shared" si="1966"/>
        <v>0</v>
      </c>
      <c r="U1406" s="1">
        <f t="shared" si="1933"/>
        <v>0</v>
      </c>
      <c r="V1406" s="1">
        <f t="shared" si="1934"/>
        <v>4</v>
      </c>
      <c r="W1406" s="1">
        <f t="shared" si="1935"/>
        <v>1</v>
      </c>
      <c r="X1406" s="1">
        <f t="shared" si="1936"/>
        <v>1</v>
      </c>
      <c r="Y1406" s="1">
        <f t="shared" si="1937"/>
        <v>1</v>
      </c>
      <c r="Z1406" s="1">
        <f t="shared" si="1938"/>
        <v>1</v>
      </c>
      <c r="AA1406" s="1">
        <f t="shared" si="1962"/>
        <v>1</v>
      </c>
      <c r="AB1406" s="1">
        <f t="shared" si="1940"/>
        <v>1</v>
      </c>
      <c r="AC1406" s="1">
        <f t="shared" si="1967"/>
        <v>1</v>
      </c>
      <c r="AD1406" s="1">
        <f>ROUNDDOWN(I1406*(1+IF(F1406=3,0.05+方案参数!$Y$41+AA1406*0.12,IF(F1406=4,方案参数!$BZ$41*方案参数!$AS$41,0)))+IF(AND(X1406=1,F1406&lt;&gt;3),方案参数!$CC$41,0)+AC1406*方案参数!$CB$41,0)</f>
        <v>3026</v>
      </c>
      <c r="AE1406" s="1">
        <f>IF(OR(F1406=1,F1406=4),配置与结果!$B$24,配置与结果!$B$25)*MAX(0,1-INDEX(配置与结果!$I$15:$I$18,F1406))</f>
        <v>1200</v>
      </c>
      <c r="AF1406" s="1">
        <f>方案参数!$BL$41</f>
        <v>9</v>
      </c>
      <c r="AG1406" s="1">
        <f>MAX(配置与结果!$B$32,1+INDEX(配置与结果!$F$15:$F$18,F1406)+0.08+方案参数!$CD$41+Q1406*方案参数!$W$41+Y1406*(方案参数!$AN$41+MIN(方案参数!$AO$41,P1406*0.03))+AB1406*方案参数!$BZ$41*0.025-配置与结果!$B$28+方案参数!$AE$41)</f>
        <v>2.5950000000000002</v>
      </c>
      <c r="AH1406" s="1">
        <f>MAX(0,1+V1406*方案参数!$U$41+9*方案参数!$V$41+方案参数!$AE$41-配置与结果!$B$29)</f>
        <v>2.1</v>
      </c>
      <c r="AI1406" s="1">
        <f>IF(OR(INDEX(配置与结果!$K$15:$K$18,F1406)=1,G1406="RHI_BERRY"),1+配置与结果!$B$33+P1406*方案参数!$AH$41,1)</f>
        <v>1</v>
      </c>
      <c r="AJ1406" s="1">
        <f>MIN(1,MAX(0,J1406+方案参数!$AB$41-配置与结果!$B$27))</f>
        <v>1</v>
      </c>
      <c r="AK1406" s="1">
        <f>MAX(1,K1406+IF(F1406=2,0.15+方案参数!$CH$41,0)+BN1406*方案参数!$X$41+R1406*方案参数!$AA$41+方案参数!$BP$41-配置与结果!$B$26+Z1406*(方案参数!$AP$41+MIN(方案参数!$AQ$41,P1406*0.03)))</f>
        <v>2.7250000000000001</v>
      </c>
      <c r="AL1406" s="7">
        <f>ROUNDDOWN(MAX(AD1406*配置与结果!$B$31,AD1406-AE1406)*AF1406*AG1406*AH1406*AI1406,0)</f>
        <v>89557</v>
      </c>
      <c r="AM1406" s="7">
        <f>ROUNDDOWN(MAX(AD1406*配置与结果!$B$31,AD1406-AE1406)*AF1406*AG1406*AH1406*AI1406*AK1406,0)</f>
        <v>244043</v>
      </c>
      <c r="AN1406" s="7">
        <f t="shared" si="1903"/>
        <v>244043</v>
      </c>
      <c r="AO1406" s="7">
        <f>0</f>
        <v>0</v>
      </c>
      <c r="AP1406" s="7">
        <f>MAX(0,1+INDEX(配置与结果!$J$15:$J$18,F1406)+IF(T1406&gt;0,方案参数!$BY$41,0)-配置与结果!$B$30)</f>
        <v>1</v>
      </c>
      <c r="AQ1406" s="7">
        <f t="shared" si="1904"/>
        <v>0</v>
      </c>
      <c r="AR1406" s="7">
        <f t="shared" si="1905"/>
        <v>0</v>
      </c>
      <c r="AS1406" s="7">
        <f t="shared" si="1906"/>
        <v>0</v>
      </c>
      <c r="AT1406" s="7">
        <f>IF(U1406&gt;0,ROUNDDOWN(AL1406*方案参数!$AF$41,0)*(1-AJ1406)+ROUNDDOWN(AM1406*方案参数!$AF$41,0)*AJ1406,0)</f>
        <v>0</v>
      </c>
      <c r="AU1406" s="7">
        <f t="shared" si="1907"/>
        <v>244043</v>
      </c>
      <c r="AV1406" s="1">
        <f t="shared" si="1908"/>
        <v>2</v>
      </c>
      <c r="AW1406" s="1">
        <f t="shared" si="1972"/>
        <v>10</v>
      </c>
      <c r="AX1406" s="1">
        <f t="shared" si="1909"/>
        <v>2</v>
      </c>
      <c r="AY1406" s="1">
        <f>MIN(20,MAX(0,O1406+0+1-0))</f>
        <v>8</v>
      </c>
      <c r="AZ1406" s="1">
        <f t="shared" si="1910"/>
        <v>5</v>
      </c>
      <c r="BA1406" s="1">
        <f t="shared" si="1963"/>
        <v>5</v>
      </c>
      <c r="BB1406" s="1">
        <f t="shared" si="1971"/>
        <v>20</v>
      </c>
      <c r="BC1406" s="1">
        <f t="shared" si="1969"/>
        <v>3</v>
      </c>
      <c r="BD1406" s="1">
        <f t="shared" si="1950"/>
        <v>0</v>
      </c>
      <c r="BE1406" s="1">
        <f>MAX(0,U1406-IF(AF1406&gt;0,1,0))+0</f>
        <v>0</v>
      </c>
      <c r="BF1406" s="1">
        <f t="shared" si="1973"/>
        <v>4</v>
      </c>
      <c r="BG1406" s="1">
        <f t="shared" si="1960"/>
        <v>1</v>
      </c>
      <c r="BH1406" s="1">
        <f t="shared" si="1944"/>
        <v>1</v>
      </c>
      <c r="BI1406" s="1">
        <f t="shared" si="1961"/>
        <v>1</v>
      </c>
      <c r="BJ1406" s="1">
        <f t="shared" si="1964"/>
        <v>1</v>
      </c>
      <c r="BK1406" s="1">
        <f t="shared" si="1965"/>
        <v>1</v>
      </c>
      <c r="BL1406" s="1">
        <f t="shared" si="1970"/>
        <v>1</v>
      </c>
      <c r="BM1406" s="1">
        <f t="shared" si="1968"/>
        <v>1</v>
      </c>
      <c r="BN1406" s="1">
        <f t="shared" si="1945"/>
        <v>1</v>
      </c>
      <c r="BO1406" s="1">
        <f t="shared" si="1946"/>
        <v>1</v>
      </c>
    </row>
    <row r="1407" spans="1:67" ht="30.95" customHeight="1">
      <c r="A1407" s="1">
        <f>38</f>
        <v>38</v>
      </c>
      <c r="B1407" s="1">
        <f>固定流程!A39</f>
        <v>34</v>
      </c>
      <c r="C1407" s="1">
        <f>41</f>
        <v>41</v>
      </c>
      <c r="D1407" s="1">
        <f>2</f>
        <v>2</v>
      </c>
      <c r="E1407" s="1">
        <f>固定流程!C39</f>
        <v>3</v>
      </c>
      <c r="F1407" s="1">
        <f>固定流程!G39</f>
        <v>2</v>
      </c>
      <c r="G1407" s="1" t="str">
        <f>固定流程!H39</f>
        <v>37_WEAK</v>
      </c>
      <c r="H1407" s="1">
        <f>固定流程!F39</f>
        <v>1</v>
      </c>
      <c r="I1407" s="1">
        <f>INDEX(配置与结果!$B$15:$B$18,F1407)</f>
        <v>2306</v>
      </c>
      <c r="J1407" s="1">
        <f>INDEX(配置与结果!$D$15:$D$18,F1407)</f>
        <v>0.46</v>
      </c>
      <c r="K1407" s="1">
        <f>INDEX(配置与结果!$E$15:$E$18,F1407)</f>
        <v>1.9279999999999999</v>
      </c>
      <c r="L1407" s="1">
        <f t="shared" si="1957"/>
        <v>2</v>
      </c>
      <c r="M1407" s="1">
        <f t="shared" si="1958"/>
        <v>10</v>
      </c>
      <c r="N1407" s="1">
        <f t="shared" si="1959"/>
        <v>2</v>
      </c>
      <c r="O1407" s="1">
        <f t="shared" si="1951"/>
        <v>8</v>
      </c>
      <c r="P1407" s="1">
        <f>MIN(方案参数!$AI$41,AZ1406+0+0)</f>
        <v>5</v>
      </c>
      <c r="Q1407" s="1">
        <f t="shared" si="1929"/>
        <v>5</v>
      </c>
      <c r="R1407" s="1">
        <f t="shared" si="1930"/>
        <v>20</v>
      </c>
      <c r="S1407" s="1">
        <f t="shared" si="1931"/>
        <v>3</v>
      </c>
      <c r="T1407" s="1">
        <f t="shared" si="1966"/>
        <v>0</v>
      </c>
      <c r="U1407" s="1">
        <f t="shared" si="1933"/>
        <v>0</v>
      </c>
      <c r="V1407" s="1">
        <f t="shared" si="1934"/>
        <v>4</v>
      </c>
      <c r="W1407" s="1">
        <f t="shared" si="1935"/>
        <v>1</v>
      </c>
      <c r="X1407" s="1">
        <f t="shared" si="1936"/>
        <v>1</v>
      </c>
      <c r="Y1407" s="1">
        <f t="shared" si="1937"/>
        <v>1</v>
      </c>
      <c r="Z1407" s="1">
        <f t="shared" si="1938"/>
        <v>1</v>
      </c>
      <c r="AA1407" s="1">
        <f t="shared" si="1962"/>
        <v>1</v>
      </c>
      <c r="AB1407" s="1">
        <f t="shared" si="1940"/>
        <v>1</v>
      </c>
      <c r="AC1407" s="1">
        <f t="shared" si="1967"/>
        <v>1</v>
      </c>
      <c r="AD1407" s="1">
        <f>ROUNDDOWN(I1407*(1+IF(F1407=3,0.05+方案参数!$Y$41+AA1407*0.12,IF(F1407=4,方案参数!$BZ$41*方案参数!$AS$41,0)))+IF(AND(X1407=1,F1407&lt;&gt;3),方案参数!$CC$41,0)+AC1407*方案参数!$CB$41,0)</f>
        <v>3036</v>
      </c>
      <c r="AE1407" s="1">
        <f>IF(OR(F1407=1,F1407=4),配置与结果!$B$24,配置与结果!$B$25)*MAX(0,1-INDEX(配置与结果!$I$15:$I$18,F1407))</f>
        <v>1000</v>
      </c>
      <c r="AF1407" s="1">
        <f>方案参数!$CE$41</f>
        <v>8</v>
      </c>
      <c r="AG1407" s="1">
        <f>MAX(配置与结果!$B$32,1+INDEX(配置与结果!$F$15:$F$18,F1407)+0+Q1407*方案参数!$W$41+Y1407*(方案参数!$AN$41+MIN(方案参数!$AO$41,P1407*0.03))+AB1407*方案参数!$BZ$41*0.025-配置与结果!$B$28+方案参数!$AE$41)</f>
        <v>2.2599999999999998</v>
      </c>
      <c r="AH1407" s="1">
        <f>MAX(0,1+V1407*方案参数!$U$41+方案参数!$AE$41-配置与结果!$B$29)</f>
        <v>1.56</v>
      </c>
      <c r="AI1407" s="1">
        <f>IF(OR(INDEX(配置与结果!$K$15:$K$18,F1407)=1,G1407="RHI_BERRY"),1+配置与结果!$B$33+P1407*方案参数!$AH$41,1)</f>
        <v>1</v>
      </c>
      <c r="AJ1407" s="1">
        <f>MIN(1,MAX(0,J1407+方案参数!$AB$41-配置与结果!$B$27))</f>
        <v>0.76</v>
      </c>
      <c r="AK1407" s="1">
        <f>MAX(1,K1407+IF(F1407=2,0.15+方案参数!$CH$41,0)+BN1407*方案参数!$X$41+R1407*方案参数!$AA$41+0-配置与结果!$B$26+Z1407*(方案参数!$AP$41+MIN(方案参数!$AQ$41,P1407*0.03)))</f>
        <v>2.298</v>
      </c>
      <c r="AL1407" s="7">
        <f>ROUNDDOWN(MAX(AD1407*配置与结果!$B$31,AD1407-AE1407)*AF1407*AG1407*AH1407*AI1407,0)</f>
        <v>57424</v>
      </c>
      <c r="AM1407" s="7">
        <f>ROUNDDOWN(MAX(AD1407*配置与结果!$B$31,AD1407-AE1407)*AF1407*AG1407*AH1407*AI1407*AK1407,0)</f>
        <v>131962</v>
      </c>
      <c r="AN1407" s="7">
        <f t="shared" si="1903"/>
        <v>114072.87999999999</v>
      </c>
      <c r="AO1407" s="7">
        <f>0</f>
        <v>0</v>
      </c>
      <c r="AP1407" s="7">
        <f>MAX(0,1+INDEX(配置与结果!$J$15:$J$18,F1407)+IF(T1407&gt;0,方案参数!$BY$41,0)-配置与结果!$B$30)</f>
        <v>1</v>
      </c>
      <c r="AQ1407" s="7">
        <f t="shared" si="1904"/>
        <v>0</v>
      </c>
      <c r="AR1407" s="7">
        <f t="shared" si="1905"/>
        <v>0</v>
      </c>
      <c r="AS1407" s="7">
        <f t="shared" si="1906"/>
        <v>0</v>
      </c>
      <c r="AT1407" s="7">
        <f>IF(U1407&gt;0,ROUNDDOWN(AL1407*方案参数!$AF$41,0)*(1-AJ1407)+ROUNDDOWN(AM1407*方案参数!$AF$41,0)*AJ1407,0)</f>
        <v>0</v>
      </c>
      <c r="AU1407" s="7">
        <f t="shared" si="1907"/>
        <v>114072.87999999999</v>
      </c>
      <c r="AV1407" s="1">
        <f t="shared" si="1908"/>
        <v>2</v>
      </c>
      <c r="AW1407" s="1">
        <f t="shared" si="1972"/>
        <v>10</v>
      </c>
      <c r="AX1407" s="1">
        <f t="shared" si="1909"/>
        <v>2</v>
      </c>
      <c r="AY1407" s="1">
        <f>MIN(20,MAX(0,O1407+0+0-0))</f>
        <v>8</v>
      </c>
      <c r="AZ1407" s="1">
        <f t="shared" si="1910"/>
        <v>5</v>
      </c>
      <c r="BA1407" s="1">
        <f t="shared" si="1963"/>
        <v>5</v>
      </c>
      <c r="BB1407" s="1">
        <f t="shared" si="1971"/>
        <v>20</v>
      </c>
      <c r="BC1407" s="1">
        <f t="shared" si="1969"/>
        <v>3</v>
      </c>
      <c r="BD1407" s="1">
        <f t="shared" si="1950"/>
        <v>0</v>
      </c>
      <c r="BE1407" s="1">
        <f>MAX(0,U1407-IF(AF1407&gt;0,1,0))+1</f>
        <v>1</v>
      </c>
      <c r="BF1407" s="1">
        <f t="shared" si="1973"/>
        <v>4</v>
      </c>
      <c r="BG1407" s="1">
        <f t="shared" si="1960"/>
        <v>1</v>
      </c>
      <c r="BH1407" s="1">
        <f t="shared" si="1944"/>
        <v>1</v>
      </c>
      <c r="BI1407" s="1">
        <f t="shared" si="1961"/>
        <v>1</v>
      </c>
      <c r="BJ1407" s="1">
        <f t="shared" si="1964"/>
        <v>1</v>
      </c>
      <c r="BK1407" s="1">
        <f t="shared" si="1965"/>
        <v>1</v>
      </c>
      <c r="BL1407" s="1">
        <f t="shared" si="1970"/>
        <v>1</v>
      </c>
      <c r="BM1407" s="1">
        <f t="shared" si="1968"/>
        <v>1</v>
      </c>
      <c r="BN1407" s="1">
        <f t="shared" si="1945"/>
        <v>1</v>
      </c>
      <c r="BO1407" s="1">
        <f t="shared" si="1946"/>
        <v>1</v>
      </c>
    </row>
    <row r="1408" spans="1:67" ht="30.95" customHeight="1">
      <c r="A1408" s="1">
        <f>38</f>
        <v>38</v>
      </c>
      <c r="B1408" s="1">
        <f>固定流程!A40</f>
        <v>35</v>
      </c>
      <c r="C1408" s="1">
        <f>41</f>
        <v>41</v>
      </c>
      <c r="D1408" s="1">
        <f>2</f>
        <v>2</v>
      </c>
      <c r="E1408" s="1">
        <f>固定流程!C40</f>
        <v>3</v>
      </c>
      <c r="F1408" s="1">
        <f>固定流程!G40</f>
        <v>2</v>
      </c>
      <c r="G1408" s="1" t="str">
        <f>固定流程!H40</f>
        <v>37_WEAK</v>
      </c>
      <c r="H1408" s="1">
        <f>固定流程!F40</f>
        <v>1</v>
      </c>
      <c r="I1408" s="1">
        <f>INDEX(配置与结果!$B$15:$B$18,F1408)</f>
        <v>2306</v>
      </c>
      <c r="J1408" s="1">
        <f>INDEX(配置与结果!$D$15:$D$18,F1408)</f>
        <v>0.46</v>
      </c>
      <c r="K1408" s="1">
        <f>INDEX(配置与结果!$E$15:$E$18,F1408)</f>
        <v>1.9279999999999999</v>
      </c>
      <c r="L1408" s="1">
        <f t="shared" si="1957"/>
        <v>2</v>
      </c>
      <c r="M1408" s="1">
        <f t="shared" si="1958"/>
        <v>10</v>
      </c>
      <c r="N1408" s="1">
        <f t="shared" si="1959"/>
        <v>2</v>
      </c>
      <c r="O1408" s="1">
        <f t="shared" si="1951"/>
        <v>8</v>
      </c>
      <c r="P1408" s="1">
        <f>MIN(方案参数!$AI$41,AZ1407+0+0)</f>
        <v>5</v>
      </c>
      <c r="Q1408" s="1">
        <f t="shared" si="1929"/>
        <v>5</v>
      </c>
      <c r="R1408" s="1">
        <f t="shared" si="1930"/>
        <v>20</v>
      </c>
      <c r="S1408" s="1">
        <f t="shared" si="1931"/>
        <v>3</v>
      </c>
      <c r="T1408" s="1">
        <f t="shared" si="1966"/>
        <v>0</v>
      </c>
      <c r="U1408" s="1">
        <f t="shared" si="1933"/>
        <v>1</v>
      </c>
      <c r="V1408" s="1">
        <f t="shared" si="1934"/>
        <v>4</v>
      </c>
      <c r="W1408" s="1">
        <f t="shared" si="1935"/>
        <v>1</v>
      </c>
      <c r="X1408" s="1">
        <f t="shared" si="1936"/>
        <v>1</v>
      </c>
      <c r="Y1408" s="1">
        <f t="shared" si="1937"/>
        <v>1</v>
      </c>
      <c r="Z1408" s="1">
        <f t="shared" si="1938"/>
        <v>1</v>
      </c>
      <c r="AA1408" s="1">
        <f t="shared" si="1962"/>
        <v>1</v>
      </c>
      <c r="AB1408" s="1">
        <f t="shared" si="1940"/>
        <v>1</v>
      </c>
      <c r="AC1408" s="1">
        <f t="shared" si="1967"/>
        <v>1</v>
      </c>
      <c r="AD1408" s="1">
        <f>ROUNDDOWN(I1408*(1+IF(F1408=3,0.05+方案参数!$Y$41+AA1408*0.12,IF(F1408=4,方案参数!$BZ$41*方案参数!$AS$41,0)))+IF(AND(X1408=1,F1408&lt;&gt;3),方案参数!$CC$41,0)+AC1408*方案参数!$CB$41,0)</f>
        <v>3036</v>
      </c>
      <c r="AE1408" s="1">
        <f>IF(OR(F1408=1,F1408=4),配置与结果!$B$24,配置与结果!$B$25)*MAX(0,1-INDEX(配置与结果!$I$15:$I$18,F1408))</f>
        <v>1000</v>
      </c>
      <c r="AF1408" s="1">
        <f>方案参数!$CE$41</f>
        <v>8</v>
      </c>
      <c r="AG1408" s="1">
        <f>MAX(配置与结果!$B$32,1+INDEX(配置与结果!$F$15:$F$18,F1408)+0+Q1408*方案参数!$W$41+Y1408*(方案参数!$AN$41+MIN(方案参数!$AO$41,P1408*0.03))+AB1408*方案参数!$BZ$41*0.025-配置与结果!$B$28+方案参数!$AE$41)</f>
        <v>2.2599999999999998</v>
      </c>
      <c r="AH1408" s="1">
        <f>MAX(0,1+V1408*方案参数!$U$41+方案参数!$AE$41-配置与结果!$B$29)</f>
        <v>1.56</v>
      </c>
      <c r="AI1408" s="1">
        <f>IF(OR(INDEX(配置与结果!$K$15:$K$18,F1408)=1,G1408="RHI_BERRY"),1+配置与结果!$B$33+P1408*方案参数!$AH$41,1)</f>
        <v>1</v>
      </c>
      <c r="AJ1408" s="1">
        <f>MIN(1,MAX(0,J1408+方案参数!$AB$41-配置与结果!$B$27))</f>
        <v>0.76</v>
      </c>
      <c r="AK1408" s="1">
        <f>MAX(1,K1408+IF(F1408=2,0.15+方案参数!$CH$41,0)+BN1408*方案参数!$X$41+R1408*方案参数!$AA$41+0-配置与结果!$B$26+Z1408*(方案参数!$AP$41+MIN(方案参数!$AQ$41,P1408*0.03)))</f>
        <v>2.298</v>
      </c>
      <c r="AL1408" s="7">
        <f>ROUNDDOWN(MAX(AD1408*配置与结果!$B$31,AD1408-AE1408)*AF1408*AG1408*AH1408*AI1408,0)</f>
        <v>57424</v>
      </c>
      <c r="AM1408" s="7">
        <f>ROUNDDOWN(MAX(AD1408*配置与结果!$B$31,AD1408-AE1408)*AF1408*AG1408*AH1408*AI1408*AK1408,0)</f>
        <v>131962</v>
      </c>
      <c r="AN1408" s="7">
        <f t="shared" si="1903"/>
        <v>114072.87999999999</v>
      </c>
      <c r="AO1408" s="7">
        <f>0</f>
        <v>0</v>
      </c>
      <c r="AP1408" s="7">
        <f>MAX(0,1+INDEX(配置与结果!$J$15:$J$18,F1408)+IF(T1408&gt;0,方案参数!$BY$41,0)-配置与结果!$B$30)</f>
        <v>1</v>
      </c>
      <c r="AQ1408" s="7">
        <f t="shared" si="1904"/>
        <v>0</v>
      </c>
      <c r="AR1408" s="7">
        <f t="shared" si="1905"/>
        <v>0</v>
      </c>
      <c r="AS1408" s="7">
        <f t="shared" si="1906"/>
        <v>0</v>
      </c>
      <c r="AT1408" s="7">
        <f>IF(U1408&gt;0,ROUNDDOWN(AL1408*方案参数!$AF$41,0)*(1-AJ1408)+ROUNDDOWN(AM1408*方案参数!$AF$41,0)*AJ1408,0)</f>
        <v>45628.4</v>
      </c>
      <c r="AU1408" s="7">
        <f t="shared" si="1907"/>
        <v>159701.28</v>
      </c>
      <c r="AV1408" s="1">
        <f t="shared" si="1908"/>
        <v>2</v>
      </c>
      <c r="AW1408" s="1">
        <f t="shared" si="1972"/>
        <v>10</v>
      </c>
      <c r="AX1408" s="1">
        <f t="shared" si="1909"/>
        <v>2</v>
      </c>
      <c r="AY1408" s="1">
        <f>MIN(20,MAX(0,O1408+0+0-0))</f>
        <v>8</v>
      </c>
      <c r="AZ1408" s="1">
        <f t="shared" si="1910"/>
        <v>5</v>
      </c>
      <c r="BA1408" s="1">
        <f t="shared" si="1963"/>
        <v>5</v>
      </c>
      <c r="BB1408" s="1">
        <f t="shared" si="1971"/>
        <v>20</v>
      </c>
      <c r="BC1408" s="1">
        <f t="shared" si="1969"/>
        <v>3</v>
      </c>
      <c r="BD1408" s="1">
        <f t="shared" si="1950"/>
        <v>0</v>
      </c>
      <c r="BE1408" s="1">
        <f>MAX(0,U1408-IF(AF1408&gt;0,1,0))+1</f>
        <v>1</v>
      </c>
      <c r="BF1408" s="1">
        <f t="shared" si="1973"/>
        <v>4</v>
      </c>
      <c r="BG1408" s="1">
        <f t="shared" si="1960"/>
        <v>1</v>
      </c>
      <c r="BH1408" s="1">
        <f t="shared" si="1944"/>
        <v>1</v>
      </c>
      <c r="BI1408" s="1">
        <f t="shared" si="1961"/>
        <v>1</v>
      </c>
      <c r="BJ1408" s="1">
        <f t="shared" si="1964"/>
        <v>1</v>
      </c>
      <c r="BK1408" s="1">
        <f t="shared" si="1965"/>
        <v>1</v>
      </c>
      <c r="BL1408" s="1">
        <f t="shared" si="1970"/>
        <v>1</v>
      </c>
      <c r="BM1408" s="1">
        <f t="shared" si="1968"/>
        <v>1</v>
      </c>
      <c r="BN1408" s="1">
        <f t="shared" si="1945"/>
        <v>1</v>
      </c>
      <c r="BO1408" s="1">
        <f t="shared" si="1946"/>
        <v>1</v>
      </c>
    </row>
    <row r="1409" spans="1:67" ht="30.95" customHeight="1">
      <c r="A1409" s="1">
        <f>38</f>
        <v>38</v>
      </c>
      <c r="B1409" s="1">
        <f>固定流程!A41</f>
        <v>36</v>
      </c>
      <c r="C1409" s="1">
        <f>41</f>
        <v>41</v>
      </c>
      <c r="D1409" s="1">
        <f>2</f>
        <v>2</v>
      </c>
      <c r="E1409" s="1">
        <f>固定流程!C41</f>
        <v>3</v>
      </c>
      <c r="F1409" s="1">
        <f>固定流程!G41</f>
        <v>1</v>
      </c>
      <c r="G1409" s="1" t="str">
        <f>固定流程!H41</f>
        <v>LILYA_FINISH</v>
      </c>
      <c r="H1409" s="1">
        <f>固定流程!F41</f>
        <v>1</v>
      </c>
      <c r="I1409" s="1">
        <f>INDEX(配置与结果!$B$15:$B$18,F1409)</f>
        <v>2296</v>
      </c>
      <c r="J1409" s="1">
        <f>INDEX(配置与结果!$D$15:$D$18,F1409)</f>
        <v>0.7</v>
      </c>
      <c r="K1409" s="1">
        <f>INDEX(配置与结果!$E$15:$E$18,F1409)</f>
        <v>2.0249999999999999</v>
      </c>
      <c r="L1409" s="1">
        <f t="shared" si="1957"/>
        <v>2</v>
      </c>
      <c r="M1409" s="1">
        <f t="shared" si="1958"/>
        <v>10</v>
      </c>
      <c r="N1409" s="1">
        <f t="shared" si="1959"/>
        <v>2</v>
      </c>
      <c r="O1409" s="1">
        <f t="shared" si="1951"/>
        <v>8</v>
      </c>
      <c r="P1409" s="1">
        <f>MIN(方案参数!$AI$41,AZ1408+0+0)</f>
        <v>5</v>
      </c>
      <c r="Q1409" s="1">
        <f t="shared" si="1929"/>
        <v>5</v>
      </c>
      <c r="R1409" s="1">
        <f t="shared" si="1930"/>
        <v>20</v>
      </c>
      <c r="S1409" s="1">
        <f t="shared" si="1931"/>
        <v>3</v>
      </c>
      <c r="T1409" s="1">
        <f t="shared" si="1966"/>
        <v>0</v>
      </c>
      <c r="U1409" s="1">
        <f t="shared" si="1933"/>
        <v>1</v>
      </c>
      <c r="V1409" s="1">
        <f t="shared" si="1934"/>
        <v>4</v>
      </c>
      <c r="W1409" s="1">
        <f t="shared" si="1935"/>
        <v>1</v>
      </c>
      <c r="X1409" s="1">
        <f t="shared" si="1936"/>
        <v>1</v>
      </c>
      <c r="Y1409" s="1">
        <f t="shared" si="1937"/>
        <v>1</v>
      </c>
      <c r="Z1409" s="1">
        <f t="shared" si="1938"/>
        <v>1</v>
      </c>
      <c r="AA1409" s="1">
        <f t="shared" si="1962"/>
        <v>1</v>
      </c>
      <c r="AB1409" s="1">
        <f t="shared" si="1940"/>
        <v>1</v>
      </c>
      <c r="AC1409" s="1">
        <f t="shared" si="1967"/>
        <v>1</v>
      </c>
      <c r="AD1409" s="1">
        <f>ROUNDDOWN(I1409*(1+IF(F1409=3,0.05+方案参数!$Y$41+AA1409*0.12,IF(F1409=4,方案参数!$BZ$41*方案参数!$AS$41,0)))+IF(AND(X1409=1,F1409&lt;&gt;3),方案参数!$CC$41,0)+AC1409*方案参数!$CB$41,0)</f>
        <v>3026</v>
      </c>
      <c r="AE1409" s="1">
        <f>IF(OR(F1409=1,F1409=4),配置与结果!$B$24,配置与结果!$B$25)*MAX(0,1-INDEX(配置与结果!$I$15:$I$18,F1409))</f>
        <v>1200</v>
      </c>
      <c r="AF1409" s="1">
        <f>方案参数!$BN$41+12*方案参数!$BO$41</f>
        <v>48</v>
      </c>
      <c r="AG1409" s="1">
        <f>MAX(配置与结果!$B$32,1+INDEX(配置与结果!$F$15:$F$18,F1409)+0.08+方案参数!$CD$41+Q1409*方案参数!$W$41+Y1409*(方案参数!$AN$41+MIN(方案参数!$AO$41,P1409*0.03))+AB1409*方案参数!$BZ$41*0.025-配置与结果!$B$28+方案参数!$AE$41)</f>
        <v>2.5950000000000002</v>
      </c>
      <c r="AH1409" s="1">
        <f>MAX(0,1+V1409*方案参数!$U$41+12*方案参数!$V$41+方案参数!$AE$41-配置与结果!$B$29)</f>
        <v>2.2799999999999998</v>
      </c>
      <c r="AI1409" s="1">
        <f>IF(OR(INDEX(配置与结果!$K$15:$K$18,F1409)=1,G1409="RHI_BERRY"),1+配置与结果!$B$33+P1409*方案参数!$AH$41,1)</f>
        <v>1</v>
      </c>
      <c r="AJ1409" s="1">
        <f>MIN(1,MAX(0,J1409+方案参数!$AB$41-配置与结果!$B$27))</f>
        <v>1</v>
      </c>
      <c r="AK1409" s="1">
        <f>MAX(1,K1409+IF(F1409=2,0.15+方案参数!$CH$41,0)+BN1409*方案参数!$X$41+R1409*方案参数!$AA$41+方案参数!$BR$41-配置与结果!$B$26+Z1409*(方案参数!$AP$41+MIN(方案参数!$AQ$41,P1409*0.03)))</f>
        <v>3.125</v>
      </c>
      <c r="AL1409" s="7">
        <f>ROUNDDOWN(MAX(AD1409*配置与结果!$B$31,AD1409-AE1409)*AF1409*AG1409*AH1409*AI1409,0)</f>
        <v>518578</v>
      </c>
      <c r="AM1409" s="7">
        <f>ROUNDDOWN(MAX(AD1409*配置与结果!$B$31,AD1409-AE1409)*AF1409*AG1409*AH1409*AI1409*AK1409,0)</f>
        <v>1620556</v>
      </c>
      <c r="AN1409" s="7">
        <f t="shared" si="1903"/>
        <v>1620556</v>
      </c>
      <c r="AO1409" s="7">
        <f>0</f>
        <v>0</v>
      </c>
      <c r="AP1409" s="7">
        <f>MAX(0,1+INDEX(配置与结果!$J$15:$J$18,F1409)+IF(T1409&gt;0,方案参数!$BY$41,0)-配置与结果!$B$30)</f>
        <v>1</v>
      </c>
      <c r="AQ1409" s="7">
        <f t="shared" si="1904"/>
        <v>0</v>
      </c>
      <c r="AR1409" s="7">
        <f t="shared" si="1905"/>
        <v>0</v>
      </c>
      <c r="AS1409" s="7">
        <f t="shared" si="1906"/>
        <v>0</v>
      </c>
      <c r="AT1409" s="7">
        <f>IF(U1409&gt;0,ROUNDDOWN(AL1409*方案参数!$AF$41,0)*(1-AJ1409)+ROUNDDOWN(AM1409*方案参数!$AF$41,0)*AJ1409,0)</f>
        <v>648222</v>
      </c>
      <c r="AU1409" s="7">
        <f t="shared" si="1907"/>
        <v>2268778</v>
      </c>
      <c r="AV1409" s="1">
        <f t="shared" si="1908"/>
        <v>2</v>
      </c>
      <c r="AW1409" s="1">
        <f t="shared" si="1972"/>
        <v>10</v>
      </c>
      <c r="AX1409" s="1">
        <f t="shared" si="1909"/>
        <v>2</v>
      </c>
      <c r="AY1409" s="1">
        <f>MIN(20,MAX(0,O1409+0+1-0))</f>
        <v>9</v>
      </c>
      <c r="AZ1409" s="1">
        <f t="shared" si="1910"/>
        <v>5</v>
      </c>
      <c r="BA1409" s="1">
        <f t="shared" si="1963"/>
        <v>5</v>
      </c>
      <c r="BB1409" s="1">
        <f t="shared" si="1971"/>
        <v>20</v>
      </c>
      <c r="BC1409" s="1">
        <f t="shared" si="1969"/>
        <v>3</v>
      </c>
      <c r="BD1409" s="1">
        <f t="shared" si="1950"/>
        <v>0</v>
      </c>
      <c r="BE1409" s="1">
        <f>MAX(0,U1409-IF(AF1409&gt;0,1,0))+0</f>
        <v>0</v>
      </c>
      <c r="BF1409" s="1">
        <f t="shared" si="1973"/>
        <v>4</v>
      </c>
      <c r="BG1409" s="1">
        <f t="shared" si="1960"/>
        <v>1</v>
      </c>
      <c r="BH1409" s="1">
        <f t="shared" si="1944"/>
        <v>1</v>
      </c>
      <c r="BI1409" s="1">
        <f t="shared" si="1961"/>
        <v>1</v>
      </c>
      <c r="BJ1409" s="1">
        <f t="shared" si="1964"/>
        <v>1</v>
      </c>
      <c r="BK1409" s="1">
        <f t="shared" si="1965"/>
        <v>1</v>
      </c>
      <c r="BL1409" s="1">
        <f t="shared" si="1970"/>
        <v>1</v>
      </c>
      <c r="BM1409" s="1">
        <f t="shared" si="1968"/>
        <v>1</v>
      </c>
      <c r="BN1409" s="1">
        <f t="shared" si="1945"/>
        <v>1</v>
      </c>
      <c r="BO1409" s="1">
        <f t="shared" si="1946"/>
        <v>1</v>
      </c>
    </row>
    <row r="1410" spans="1:67" ht="30.95" customHeight="1">
      <c r="A1410" s="1">
        <f>39</f>
        <v>39</v>
      </c>
      <c r="B1410" s="1">
        <f>固定流程!A6</f>
        <v>1</v>
      </c>
      <c r="C1410" s="1">
        <f>42</f>
        <v>42</v>
      </c>
      <c r="D1410" s="1">
        <f>1</f>
        <v>1</v>
      </c>
      <c r="E1410" s="1">
        <f>固定流程!C6</f>
        <v>1</v>
      </c>
      <c r="F1410" s="1">
        <f>固定流程!G6</f>
        <v>3</v>
      </c>
      <c r="G1410" s="1" t="str">
        <f>固定流程!H6</f>
        <v>RHI_ULT</v>
      </c>
      <c r="H1410" s="1">
        <f>固定流程!F6</f>
        <v>1</v>
      </c>
      <c r="I1410" s="1">
        <f>INDEX(配置与结果!$B$15:$B$18,F1410)</f>
        <v>2597</v>
      </c>
      <c r="J1410" s="1">
        <f>INDEX(配置与结果!$D$15:$D$18,F1410)</f>
        <v>0.255</v>
      </c>
      <c r="K1410" s="1">
        <f>INDEX(配置与结果!$E$15:$E$18,F1410)</f>
        <v>1.55</v>
      </c>
      <c r="L1410" s="1">
        <f>0</f>
        <v>0</v>
      </c>
      <c r="M1410" s="1">
        <f>0</f>
        <v>0</v>
      </c>
      <c r="N1410" s="1">
        <f>0</f>
        <v>0</v>
      </c>
      <c r="O1410" s="1">
        <f>0</f>
        <v>0</v>
      </c>
      <c r="P1410" s="1">
        <f>MIN(方案参数!$AI$42,0+方案参数!$AJ$42+0)</f>
        <v>1</v>
      </c>
      <c r="Q1410" s="1">
        <f>0</f>
        <v>0</v>
      </c>
      <c r="R1410" s="1">
        <f>0</f>
        <v>0</v>
      </c>
      <c r="S1410" s="1">
        <f>0</f>
        <v>0</v>
      </c>
      <c r="T1410" s="1">
        <f>0+0</f>
        <v>0</v>
      </c>
      <c r="U1410" s="1">
        <f>0</f>
        <v>0</v>
      </c>
      <c r="V1410" s="1">
        <f>0</f>
        <v>0</v>
      </c>
      <c r="W1410" s="1">
        <f>0</f>
        <v>0</v>
      </c>
      <c r="X1410" s="1">
        <f>0</f>
        <v>0</v>
      </c>
      <c r="Y1410" s="1">
        <f>0</f>
        <v>0</v>
      </c>
      <c r="Z1410" s="1">
        <f>0</f>
        <v>0</v>
      </c>
      <c r="AA1410" s="1">
        <f>MAX(0,0)</f>
        <v>0</v>
      </c>
      <c r="AB1410" s="1">
        <f>0</f>
        <v>0</v>
      </c>
      <c r="AC1410" s="1">
        <f>MAX(0,0)</f>
        <v>0</v>
      </c>
      <c r="AD1410" s="1">
        <f>ROUNDDOWN(I1410*(1+IF(F1410=3,0.05+方案参数!$Y$42+AA1410*0.12,IF(F1410=4,方案参数!$BZ$42*方案参数!$AS$42,0)))+IF(AND(X1410=1,F1410&lt;&gt;3),方案参数!$CC$42,0)+AC1410*方案参数!$CB$42,0)</f>
        <v>2934</v>
      </c>
      <c r="AE1410" s="1">
        <f>IF(OR(F1410=1,F1410=4),配置与结果!$B$24,配置与结果!$B$25)*MAX(0,1-INDEX(配置与结果!$I$15:$I$18,F1410))</f>
        <v>1000</v>
      </c>
      <c r="AF1410" s="1">
        <f>0</f>
        <v>0</v>
      </c>
      <c r="AG1410" s="1">
        <f>MAX(配置与结果!$B$32,1+INDEX(配置与结果!$F$15:$F$18,F1410)+0+Q1410*方案参数!$W$42+Y1410*(方案参数!$AN$42+MIN(方案参数!$AO$42,P1410*0.03))+AB1410*方案参数!$BZ$42*0.025-配置与结果!$B$28)</f>
        <v>0.6349999999999999</v>
      </c>
      <c r="AH1410" s="1">
        <f>MAX(0,1+INDEX(配置与结果!$G$15:$G$18,F1410)+W1410*方案参数!$AG$42)</f>
        <v>1</v>
      </c>
      <c r="AI1410" s="1">
        <f>IF(OR(INDEX(配置与结果!$K$15:$K$18,F1410)=1,G1410="RHI_BERRY"),1+配置与结果!$B$33+P1410*方案参数!$AH$42,1)</f>
        <v>1</v>
      </c>
      <c r="AJ1410" s="1">
        <f>MIN(1,MAX(0,J1410+方案参数!$AB$42-配置与结果!$B$27))</f>
        <v>0.55499999999999994</v>
      </c>
      <c r="AK1410" s="1">
        <f>MAX(1,K1410+IF(F1410=2,0.15+方案参数!$CH$42,0)+BN1410*方案参数!$X$42+R1410*方案参数!$AA$42+0-配置与结果!$B$26+Z1410*(方案参数!$AP$42+MIN(方案参数!$AQ$42,P1410*0.03)))</f>
        <v>1.1499999999999999</v>
      </c>
      <c r="AL1410" s="7">
        <f>ROUNDDOWN(MAX(AD1410*配置与结果!$B$31,AD1410-AE1410)*AF1410*AG1410*AH1410*AI1410,0)</f>
        <v>0</v>
      </c>
      <c r="AM1410" s="7">
        <f>ROUNDDOWN(MAX(AD1410*配置与结果!$B$31,AD1410-AE1410)*AF1410*AG1410*AH1410*AI1410*AK1410,0)</f>
        <v>0</v>
      </c>
      <c r="AN1410" s="7">
        <f t="shared" si="1903"/>
        <v>0</v>
      </c>
      <c r="AO1410" s="7">
        <f>0</f>
        <v>0</v>
      </c>
      <c r="AP1410" s="7">
        <f>MAX(0,1+INDEX(配置与结果!$J$15:$J$18,F1410)+IF(T1410&gt;0,方案参数!$BY$42,0)-配置与结果!$B$30)</f>
        <v>1</v>
      </c>
      <c r="AQ1410" s="7">
        <f t="shared" si="1904"/>
        <v>0</v>
      </c>
      <c r="AR1410" s="7">
        <f t="shared" si="1905"/>
        <v>0</v>
      </c>
      <c r="AS1410" s="7">
        <f t="shared" si="1906"/>
        <v>0</v>
      </c>
      <c r="AT1410" s="7">
        <f>0</f>
        <v>0</v>
      </c>
      <c r="AU1410" s="7">
        <f t="shared" si="1907"/>
        <v>0</v>
      </c>
      <c r="AV1410" s="1">
        <f t="shared" si="1908"/>
        <v>0</v>
      </c>
      <c r="AW1410" s="1">
        <f t="shared" si="1972"/>
        <v>0</v>
      </c>
      <c r="AX1410" s="1">
        <f t="shared" si="1909"/>
        <v>0</v>
      </c>
      <c r="AY1410" s="1">
        <f>MIN(20,MAX(0,O1410+0+0-0))</f>
        <v>0</v>
      </c>
      <c r="AZ1410" s="1">
        <f t="shared" si="1910"/>
        <v>1</v>
      </c>
      <c r="BA1410" s="1">
        <f>MIN(6,Q1410+1)</f>
        <v>1</v>
      </c>
      <c r="BB1410" s="1">
        <f>MIN(30,R1410+5)</f>
        <v>5</v>
      </c>
      <c r="BC1410" s="1">
        <f t="shared" si="1969"/>
        <v>0</v>
      </c>
      <c r="BD1410" s="1">
        <f t="shared" si="1950"/>
        <v>0</v>
      </c>
      <c r="BE1410" s="1">
        <f>0</f>
        <v>0</v>
      </c>
      <c r="BF1410" s="1">
        <f t="shared" si="1973"/>
        <v>0</v>
      </c>
      <c r="BG1410" s="1">
        <f t="shared" si="1960"/>
        <v>0</v>
      </c>
      <c r="BH1410" s="1">
        <f>MAX(X1410,1)</f>
        <v>1</v>
      </c>
      <c r="BI1410" s="1">
        <f t="shared" si="1961"/>
        <v>0</v>
      </c>
      <c r="BJ1410" s="1">
        <f t="shared" si="1964"/>
        <v>0</v>
      </c>
      <c r="BK1410" s="1">
        <f t="shared" si="1965"/>
        <v>0</v>
      </c>
      <c r="BL1410" s="1">
        <f t="shared" si="1970"/>
        <v>0</v>
      </c>
      <c r="BM1410" s="1">
        <f t="shared" si="1968"/>
        <v>0</v>
      </c>
      <c r="BN1410" s="1">
        <f>0</f>
        <v>0</v>
      </c>
      <c r="BO1410" s="1">
        <f>MAX(BN1410,1)</f>
        <v>1</v>
      </c>
    </row>
    <row r="1411" spans="1:67" ht="30.95" customHeight="1">
      <c r="A1411" s="1">
        <f>39</f>
        <v>39</v>
      </c>
      <c r="B1411" s="1">
        <f>固定流程!A7</f>
        <v>2</v>
      </c>
      <c r="C1411" s="1">
        <f>42</f>
        <v>42</v>
      </c>
      <c r="D1411" s="1">
        <f>1</f>
        <v>1</v>
      </c>
      <c r="E1411" s="1">
        <f>固定流程!C7</f>
        <v>1</v>
      </c>
      <c r="F1411" s="1">
        <f>固定流程!G7</f>
        <v>3</v>
      </c>
      <c r="G1411" s="1" t="str">
        <f>固定流程!H7</f>
        <v>RHI_BUFF</v>
      </c>
      <c r="H1411" s="1">
        <f>固定流程!F7</f>
        <v>1</v>
      </c>
      <c r="I1411" s="1">
        <f>INDEX(配置与结果!$B$15:$B$18,F1411)</f>
        <v>2597</v>
      </c>
      <c r="J1411" s="1">
        <f>INDEX(配置与结果!$D$15:$D$18,F1411)</f>
        <v>0.255</v>
      </c>
      <c r="K1411" s="1">
        <f>INDEX(配置与结果!$E$15:$E$18,F1411)</f>
        <v>1.55</v>
      </c>
      <c r="L1411" s="1">
        <f t="shared" ref="L1411:O1416" si="1974">AV1410</f>
        <v>0</v>
      </c>
      <c r="M1411" s="1">
        <f t="shared" si="1974"/>
        <v>0</v>
      </c>
      <c r="N1411" s="1">
        <f t="shared" si="1974"/>
        <v>0</v>
      </c>
      <c r="O1411" s="1">
        <f t="shared" si="1974"/>
        <v>0</v>
      </c>
      <c r="P1411" s="1">
        <f>MIN(方案参数!$AI$42,AZ1410+0+方案参数!$AK$42)</f>
        <v>3</v>
      </c>
      <c r="Q1411" s="1">
        <f t="shared" ref="Q1411:Q1445" si="1975">BA1410</f>
        <v>1</v>
      </c>
      <c r="R1411" s="1">
        <f t="shared" ref="R1411:R1445" si="1976">BB1410</f>
        <v>5</v>
      </c>
      <c r="S1411" s="1">
        <f t="shared" ref="S1411:S1445" si="1977">BC1410</f>
        <v>0</v>
      </c>
      <c r="T1411" s="1">
        <f t="shared" ref="T1411:T1424" si="1978">BD1410+0</f>
        <v>0</v>
      </c>
      <c r="U1411" s="1">
        <f t="shared" ref="U1411:U1445" si="1979">BE1410</f>
        <v>0</v>
      </c>
      <c r="V1411" s="1">
        <f t="shared" ref="V1411:V1445" si="1980">BF1410</f>
        <v>0</v>
      </c>
      <c r="W1411" s="1">
        <f t="shared" ref="W1411:W1445" si="1981">BG1410</f>
        <v>0</v>
      </c>
      <c r="X1411" s="1">
        <f t="shared" ref="X1411:X1445" si="1982">BH1410</f>
        <v>1</v>
      </c>
      <c r="Y1411" s="1">
        <f t="shared" ref="Y1411:Y1445" si="1983">BI1410</f>
        <v>0</v>
      </c>
      <c r="Z1411" s="1">
        <f t="shared" ref="Z1411:Z1445" si="1984">BJ1410</f>
        <v>0</v>
      </c>
      <c r="AA1411" s="1">
        <f t="shared" ref="AA1411:AA1416" si="1985">MAX(BK1410,0)</f>
        <v>0</v>
      </c>
      <c r="AB1411" s="1">
        <f t="shared" ref="AB1411:AB1445" si="1986">BL1410</f>
        <v>0</v>
      </c>
      <c r="AC1411" s="1">
        <f t="shared" ref="AC1411:AC1424" si="1987">MAX(BM1410,0)</f>
        <v>0</v>
      </c>
      <c r="AD1411" s="1">
        <f>ROUNDDOWN(I1411*(1+IF(F1411=3,0.05+方案参数!$Y$42+AA1411*0.12,IF(F1411=4,方案参数!$BZ$42*方案参数!$AS$42,0)))+IF(AND(X1411=1,F1411&lt;&gt;3),方案参数!$CC$42,0)+AC1411*方案参数!$CB$42,0)</f>
        <v>2934</v>
      </c>
      <c r="AE1411" s="1">
        <f>IF(OR(F1411=1,F1411=4),配置与结果!$B$24,配置与结果!$B$25)*MAX(0,1-INDEX(配置与结果!$I$15:$I$18,F1411))</f>
        <v>1000</v>
      </c>
      <c r="AF1411" s="1">
        <f>0</f>
        <v>0</v>
      </c>
      <c r="AG1411" s="1">
        <f>MAX(配置与结果!$B$32,1+INDEX(配置与结果!$F$15:$F$18,F1411)+0+Q1411*方案参数!$W$42+Y1411*(方案参数!$AN$42+MIN(方案参数!$AO$42,P1411*0.03))+AB1411*方案参数!$BZ$42*0.025-配置与结果!$B$28)</f>
        <v>0.65299999999999991</v>
      </c>
      <c r="AH1411" s="1">
        <f>MAX(0,1+INDEX(配置与结果!$G$15:$G$18,F1411)+W1411*方案参数!$AG$42)</f>
        <v>1</v>
      </c>
      <c r="AI1411" s="1">
        <f>IF(OR(INDEX(配置与结果!$K$15:$K$18,F1411)=1,G1411="RHI_BERRY"),1+配置与结果!$B$33+P1411*方案参数!$AH$42,1)</f>
        <v>1</v>
      </c>
      <c r="AJ1411" s="1">
        <f>MIN(1,MAX(0,J1411+方案参数!$AB$42-配置与结果!$B$27))</f>
        <v>0.55499999999999994</v>
      </c>
      <c r="AK1411" s="1">
        <f>MAX(1,K1411+IF(F1411=2,0.15+方案参数!$CH$42,0)+BN1411*方案参数!$X$42+R1411*方案参数!$AA$42+0-配置与结果!$B$26+Z1411*(方案参数!$AP$42+MIN(方案参数!$AQ$42,P1411*0.03)))</f>
        <v>1.31</v>
      </c>
      <c r="AL1411" s="7">
        <f>ROUNDDOWN(MAX(AD1411*配置与结果!$B$31,AD1411-AE1411)*AF1411*AG1411*AH1411*AI1411,0)</f>
        <v>0</v>
      </c>
      <c r="AM1411" s="7">
        <f>ROUNDDOWN(MAX(AD1411*配置与结果!$B$31,AD1411-AE1411)*AF1411*AG1411*AH1411*AI1411*AK1411,0)</f>
        <v>0</v>
      </c>
      <c r="AN1411" s="7">
        <f t="shared" si="1903"/>
        <v>0</v>
      </c>
      <c r="AO1411" s="7">
        <f>0</f>
        <v>0</v>
      </c>
      <c r="AP1411" s="7">
        <f>MAX(0,1+INDEX(配置与结果!$J$15:$J$18,F1411)+IF(T1411&gt;0,方案参数!$BY$42,0)-配置与结果!$B$30)</f>
        <v>1</v>
      </c>
      <c r="AQ1411" s="7">
        <f t="shared" si="1904"/>
        <v>0</v>
      </c>
      <c r="AR1411" s="7">
        <f t="shared" si="1905"/>
        <v>0</v>
      </c>
      <c r="AS1411" s="7">
        <f t="shared" si="1906"/>
        <v>0</v>
      </c>
      <c r="AT1411" s="7">
        <f>0</f>
        <v>0</v>
      </c>
      <c r="AU1411" s="7">
        <f t="shared" si="1907"/>
        <v>0</v>
      </c>
      <c r="AV1411" s="1">
        <f t="shared" si="1908"/>
        <v>0</v>
      </c>
      <c r="AW1411" s="1">
        <f t="shared" si="1972"/>
        <v>0</v>
      </c>
      <c r="AX1411" s="1">
        <f t="shared" si="1909"/>
        <v>0</v>
      </c>
      <c r="AY1411" s="1">
        <f>MIN(20,MAX(0,O1411+0+0-0))</f>
        <v>0</v>
      </c>
      <c r="AZ1411" s="1">
        <f t="shared" si="1910"/>
        <v>3</v>
      </c>
      <c r="BA1411" s="1">
        <f>MIN(6,Q1411+1)</f>
        <v>2</v>
      </c>
      <c r="BB1411" s="1">
        <f t="shared" ref="BB1411:BB1424" si="1988">MIN(30,R1411+0)</f>
        <v>5</v>
      </c>
      <c r="BC1411" s="1">
        <f t="shared" si="1969"/>
        <v>0</v>
      </c>
      <c r="BD1411" s="1">
        <f t="shared" si="1950"/>
        <v>0</v>
      </c>
      <c r="BE1411" s="1">
        <f t="shared" ref="BE1411:BE1432" si="1989">BE1410</f>
        <v>0</v>
      </c>
      <c r="BF1411" s="1">
        <f t="shared" si="1973"/>
        <v>0</v>
      </c>
      <c r="BG1411" s="1">
        <f>MAX(W1411,1)</f>
        <v>1</v>
      </c>
      <c r="BH1411" s="1">
        <f t="shared" ref="BH1411:BH1445" si="1990">MAX(X1411,0)</f>
        <v>1</v>
      </c>
      <c r="BI1411" s="1">
        <f>MAX(Y1411,1)</f>
        <v>1</v>
      </c>
      <c r="BJ1411" s="1">
        <f t="shared" si="1964"/>
        <v>0</v>
      </c>
      <c r="BK1411" s="1">
        <f t="shared" si="1965"/>
        <v>0</v>
      </c>
      <c r="BL1411" s="1">
        <f t="shared" si="1970"/>
        <v>0</v>
      </c>
      <c r="BM1411" s="1">
        <f t="shared" si="1968"/>
        <v>0</v>
      </c>
      <c r="BN1411" s="1">
        <f t="shared" ref="BN1411:BN1445" si="1991">BO1410</f>
        <v>1</v>
      </c>
      <c r="BO1411" s="1">
        <f t="shared" ref="BO1411:BO1445" si="1992">MAX(BN1411,0)</f>
        <v>1</v>
      </c>
    </row>
    <row r="1412" spans="1:67" ht="30.95" customHeight="1">
      <c r="A1412" s="1">
        <f>39</f>
        <v>39</v>
      </c>
      <c r="B1412" s="1">
        <f>固定流程!A8</f>
        <v>3</v>
      </c>
      <c r="C1412" s="1">
        <f>42</f>
        <v>42</v>
      </c>
      <c r="D1412" s="1">
        <f>1</f>
        <v>1</v>
      </c>
      <c r="E1412" s="1">
        <f>固定流程!C8</f>
        <v>1</v>
      </c>
      <c r="F1412" s="1">
        <f>固定流程!G8</f>
        <v>1</v>
      </c>
      <c r="G1412" s="1" t="str">
        <f>固定流程!H8</f>
        <v>LILYA_COBRA</v>
      </c>
      <c r="H1412" s="1">
        <f>固定流程!F8</f>
        <v>1</v>
      </c>
      <c r="I1412" s="1">
        <f>INDEX(配置与结果!$B$15:$B$18,F1412)</f>
        <v>2296</v>
      </c>
      <c r="J1412" s="1">
        <f>INDEX(配置与结果!$D$15:$D$18,F1412)</f>
        <v>0.7</v>
      </c>
      <c r="K1412" s="1">
        <f>INDEX(配置与结果!$E$15:$E$18,F1412)</f>
        <v>2.0249999999999999</v>
      </c>
      <c r="L1412" s="1">
        <f t="shared" si="1974"/>
        <v>0</v>
      </c>
      <c r="M1412" s="1">
        <f t="shared" si="1974"/>
        <v>0</v>
      </c>
      <c r="N1412" s="1">
        <f t="shared" si="1974"/>
        <v>0</v>
      </c>
      <c r="O1412" s="1">
        <f t="shared" si="1974"/>
        <v>0</v>
      </c>
      <c r="P1412" s="1">
        <f>MIN(方案参数!$AI$42,AZ1411+0+0)</f>
        <v>3</v>
      </c>
      <c r="Q1412" s="1">
        <f t="shared" si="1975"/>
        <v>2</v>
      </c>
      <c r="R1412" s="1">
        <f t="shared" si="1976"/>
        <v>5</v>
      </c>
      <c r="S1412" s="1">
        <f t="shared" si="1977"/>
        <v>0</v>
      </c>
      <c r="T1412" s="1">
        <f t="shared" si="1978"/>
        <v>0</v>
      </c>
      <c r="U1412" s="1">
        <f t="shared" si="1979"/>
        <v>0</v>
      </c>
      <c r="V1412" s="1">
        <f t="shared" si="1980"/>
        <v>0</v>
      </c>
      <c r="W1412" s="1">
        <f t="shared" si="1981"/>
        <v>1</v>
      </c>
      <c r="X1412" s="1">
        <f t="shared" si="1982"/>
        <v>1</v>
      </c>
      <c r="Y1412" s="1">
        <f t="shared" si="1983"/>
        <v>1</v>
      </c>
      <c r="Z1412" s="1">
        <f t="shared" si="1984"/>
        <v>0</v>
      </c>
      <c r="AA1412" s="1">
        <f t="shared" si="1985"/>
        <v>0</v>
      </c>
      <c r="AB1412" s="1">
        <f t="shared" si="1986"/>
        <v>0</v>
      </c>
      <c r="AC1412" s="1">
        <f t="shared" si="1987"/>
        <v>0</v>
      </c>
      <c r="AD1412" s="1">
        <f>ROUNDDOWN(I1412*(1+IF(F1412=3,0.05+方案参数!$Y$42+AA1412*0.12,IF(F1412=4,方案参数!$BZ$42*方案参数!$AS$42,0)))+IF(AND(X1412=1,F1412&lt;&gt;3),方案参数!$CC$42,0)+AC1412*方案参数!$CB$42,0)</f>
        <v>2530</v>
      </c>
      <c r="AE1412" s="1">
        <f>IF(OR(F1412=1,F1412=4),配置与结果!$B$24,配置与结果!$B$25)*MAX(0,1-INDEX(配置与结果!$I$15:$I$18,F1412))</f>
        <v>1200</v>
      </c>
      <c r="AF1412" s="1">
        <f>0</f>
        <v>0</v>
      </c>
      <c r="AG1412" s="1">
        <f>MAX(配置与结果!$B$32,1+INDEX(配置与结果!$F$15:$F$18,F1412)+0.08+方案参数!$CD$42+Q1412*方案参数!$W$42+Y1412*(方案参数!$AN$42+MIN(方案参数!$AO$42,P1412*0.03))+AB1412*方案参数!$BZ$42*0.025-配置与结果!$B$28)</f>
        <v>1.2160000000000002</v>
      </c>
      <c r="AH1412" s="1">
        <f>MAX(0,1+INDEX(配置与结果!$G$15:$G$18,F1412)+W1412*方案参数!$AG$42)</f>
        <v>1.3</v>
      </c>
      <c r="AI1412" s="1">
        <f>IF(OR(INDEX(配置与结果!$K$15:$K$18,F1412)=1,G1412="RHI_BERRY"),1+配置与结果!$B$33+P1412*方案参数!$AH$42,1)</f>
        <v>1</v>
      </c>
      <c r="AJ1412" s="1">
        <f>MIN(1,MAX(0,J1412+方案参数!$AB$42-配置与结果!$B$27))</f>
        <v>1</v>
      </c>
      <c r="AK1412" s="1">
        <f>MAX(1,K1412+IF(F1412=2,0.15+方案参数!$CH$42,0)+BN1412*方案参数!$X$42+R1412*方案参数!$AA$42+0-配置与结果!$B$26+Z1412*(方案参数!$AP$42+MIN(方案参数!$AQ$42,P1412*0.03)))</f>
        <v>1.7850000000000001</v>
      </c>
      <c r="AL1412" s="7">
        <f>ROUNDDOWN(MAX(AD1412*配置与结果!$B$31,AD1412-AE1412)*AF1412*AG1412*AH1412*AI1412,0)</f>
        <v>0</v>
      </c>
      <c r="AM1412" s="7">
        <f>ROUNDDOWN(MAX(AD1412*配置与结果!$B$31,AD1412-AE1412)*AF1412*AG1412*AH1412*AI1412*AK1412,0)</f>
        <v>0</v>
      </c>
      <c r="AN1412" s="7">
        <f t="shared" si="1903"/>
        <v>0</v>
      </c>
      <c r="AO1412" s="7">
        <f>0</f>
        <v>0</v>
      </c>
      <c r="AP1412" s="7">
        <f>MAX(0,1+INDEX(配置与结果!$J$15:$J$18,F1412)+IF(T1412&gt;0,方案参数!$BY$42,0)-配置与结果!$B$30)</f>
        <v>1</v>
      </c>
      <c r="AQ1412" s="7">
        <f t="shared" si="1904"/>
        <v>0</v>
      </c>
      <c r="AR1412" s="7">
        <f t="shared" si="1905"/>
        <v>0</v>
      </c>
      <c r="AS1412" s="7">
        <f t="shared" si="1906"/>
        <v>0</v>
      </c>
      <c r="AT1412" s="7">
        <f>0</f>
        <v>0</v>
      </c>
      <c r="AU1412" s="7">
        <f t="shared" si="1907"/>
        <v>0</v>
      </c>
      <c r="AV1412" s="1">
        <f t="shared" si="1908"/>
        <v>1</v>
      </c>
      <c r="AW1412" s="1">
        <f>MIN(10,M1412+方案参数!$BD$42+0)</f>
        <v>3</v>
      </c>
      <c r="AX1412" s="1">
        <f t="shared" si="1909"/>
        <v>0</v>
      </c>
      <c r="AY1412" s="1">
        <f>MIN(20,MAX(0,O1412+6+0-0))</f>
        <v>6</v>
      </c>
      <c r="AZ1412" s="1">
        <f t="shared" si="1910"/>
        <v>3</v>
      </c>
      <c r="BA1412" s="1">
        <f>MIN(6,Q1412+0)</f>
        <v>2</v>
      </c>
      <c r="BB1412" s="1">
        <f t="shared" si="1988"/>
        <v>5</v>
      </c>
      <c r="BC1412" s="1">
        <f t="shared" si="1969"/>
        <v>0</v>
      </c>
      <c r="BD1412" s="1">
        <f t="shared" si="1950"/>
        <v>0</v>
      </c>
      <c r="BE1412" s="1">
        <f t="shared" si="1989"/>
        <v>0</v>
      </c>
      <c r="BF1412" s="1">
        <f t="shared" si="1973"/>
        <v>0</v>
      </c>
      <c r="BG1412" s="1">
        <f t="shared" ref="BG1412:BG1422" si="1993">MAX(W1412,0)</f>
        <v>1</v>
      </c>
      <c r="BH1412" s="1">
        <f t="shared" si="1990"/>
        <v>1</v>
      </c>
      <c r="BI1412" s="1">
        <f t="shared" ref="BI1412:BI1422" si="1994">MAX(Y1412,0)</f>
        <v>1</v>
      </c>
      <c r="BJ1412" s="1">
        <f t="shared" si="1964"/>
        <v>0</v>
      </c>
      <c r="BK1412" s="1">
        <f t="shared" si="1965"/>
        <v>0</v>
      </c>
      <c r="BL1412" s="1">
        <f t="shared" si="1970"/>
        <v>0</v>
      </c>
      <c r="BM1412" s="1">
        <f t="shared" si="1968"/>
        <v>0</v>
      </c>
      <c r="BN1412" s="1">
        <f t="shared" si="1991"/>
        <v>1</v>
      </c>
      <c r="BO1412" s="1">
        <f t="shared" si="1992"/>
        <v>1</v>
      </c>
    </row>
    <row r="1413" spans="1:67" ht="30.95" customHeight="1">
      <c r="A1413" s="1">
        <f>39</f>
        <v>39</v>
      </c>
      <c r="B1413" s="1">
        <f>固定流程!A9</f>
        <v>4</v>
      </c>
      <c r="C1413" s="1">
        <f>42</f>
        <v>42</v>
      </c>
      <c r="D1413" s="1">
        <f>1</f>
        <v>1</v>
      </c>
      <c r="E1413" s="1">
        <f>固定流程!C9</f>
        <v>1</v>
      </c>
      <c r="F1413" s="1">
        <f>固定流程!G9</f>
        <v>1</v>
      </c>
      <c r="G1413" s="1" t="str">
        <f>固定流程!H9</f>
        <v>LILYA_DIVE</v>
      </c>
      <c r="H1413" s="1">
        <f>固定流程!F9</f>
        <v>1</v>
      </c>
      <c r="I1413" s="1">
        <f>INDEX(配置与结果!$B$15:$B$18,F1413)</f>
        <v>2296</v>
      </c>
      <c r="J1413" s="1">
        <f>INDEX(配置与结果!$D$15:$D$18,F1413)</f>
        <v>0.7</v>
      </c>
      <c r="K1413" s="1">
        <f>INDEX(配置与结果!$E$15:$E$18,F1413)</f>
        <v>2.0249999999999999</v>
      </c>
      <c r="L1413" s="1">
        <f t="shared" si="1974"/>
        <v>1</v>
      </c>
      <c r="M1413" s="1">
        <f t="shared" si="1974"/>
        <v>3</v>
      </c>
      <c r="N1413" s="1">
        <f t="shared" si="1974"/>
        <v>0</v>
      </c>
      <c r="O1413" s="1">
        <f t="shared" si="1974"/>
        <v>6</v>
      </c>
      <c r="P1413" s="1">
        <f>MIN(方案参数!$AI$42,AZ1412+0+0)</f>
        <v>3</v>
      </c>
      <c r="Q1413" s="1">
        <f t="shared" si="1975"/>
        <v>2</v>
      </c>
      <c r="R1413" s="1">
        <f t="shared" si="1976"/>
        <v>5</v>
      </c>
      <c r="S1413" s="1">
        <f t="shared" si="1977"/>
        <v>0</v>
      </c>
      <c r="T1413" s="1">
        <f t="shared" si="1978"/>
        <v>0</v>
      </c>
      <c r="U1413" s="1">
        <f t="shared" si="1979"/>
        <v>0</v>
      </c>
      <c r="V1413" s="1">
        <f t="shared" si="1980"/>
        <v>0</v>
      </c>
      <c r="W1413" s="1">
        <f t="shared" si="1981"/>
        <v>1</v>
      </c>
      <c r="X1413" s="1">
        <f t="shared" si="1982"/>
        <v>1</v>
      </c>
      <c r="Y1413" s="1">
        <f t="shared" si="1983"/>
        <v>1</v>
      </c>
      <c r="Z1413" s="1">
        <f t="shared" si="1984"/>
        <v>0</v>
      </c>
      <c r="AA1413" s="1">
        <f t="shared" si="1985"/>
        <v>0</v>
      </c>
      <c r="AB1413" s="1">
        <f t="shared" si="1986"/>
        <v>0</v>
      </c>
      <c r="AC1413" s="1">
        <f t="shared" si="1987"/>
        <v>0</v>
      </c>
      <c r="AD1413" s="1">
        <f>ROUNDDOWN(I1413*(1+IF(F1413=3,0.05+方案参数!$Y$42+AA1413*0.12,IF(F1413=4,方案参数!$BZ$42*方案参数!$AS$42,0)))+IF(AND(X1413=1,F1413&lt;&gt;3),方案参数!$CC$42,0)+AC1413*方案参数!$CB$42,0)</f>
        <v>2530</v>
      </c>
      <c r="AE1413" s="1">
        <f>IF(OR(F1413=1,F1413=4),配置与结果!$B$24,配置与结果!$B$25)*MAX(0,1-INDEX(配置与结果!$I$15:$I$18,F1413))</f>
        <v>1200</v>
      </c>
      <c r="AF1413" s="1">
        <f>(IF(L1413=1,方案参数!$AW$42,IF(L1413=2,方案参数!$AX$42,0))+方案参数!$AV$42)*H1413</f>
        <v>6</v>
      </c>
      <c r="AG1413" s="1">
        <f>MAX(配置与结果!$B$32,1+INDEX(配置与结果!$F$15:$F$18,F1413)+0.08+方案参数!$CD$42+Q1413*方案参数!$W$42+Y1413*(方案参数!$AN$42+MIN(方案参数!$AO$42,P1413*0.03))+AB1413*方案参数!$BZ$42*0.025+IF(L1413=1,方案参数!$AY$42+(H1413-1)*0.1,IF(L1413=2,方案参数!$AZ$42+(H1413-1)*0.2,0))-配置与结果!$B$28)</f>
        <v>1.3160000000000003</v>
      </c>
      <c r="AH1413" s="1">
        <f>MAX(0,1+INDEX(配置与结果!$G$15:$G$18,F1413)+W1413*方案参数!$AG$42+IF(L1413=1,方案参数!$BA$42,IF(L1413=2,方案参数!$BB$42,0))+M1413*方案参数!$BC$42)</f>
        <v>2.08</v>
      </c>
      <c r="AI1413" s="1">
        <f>IF(OR(INDEX(配置与结果!$K$15:$K$18,F1413)=1,G1413="RHI_BERRY"),1+配置与结果!$B$33+P1413*方案参数!$AH$42,1)</f>
        <v>1</v>
      </c>
      <c r="AJ1413" s="1">
        <f>MIN(1,MAX(0,J1413+方案参数!$AB$42-配置与结果!$B$27))</f>
        <v>1</v>
      </c>
      <c r="AK1413" s="1">
        <f>MAX(1,K1413+IF(F1413=2,0.15+方案参数!$CH$42,0)+BN1413*方案参数!$X$42+R1413*方案参数!$AA$42+0-配置与结果!$B$26+Z1413*(方案参数!$AP$42+MIN(方案参数!$AQ$42,P1413*0.03)))</f>
        <v>1.7850000000000001</v>
      </c>
      <c r="AL1413" s="7">
        <f>ROUNDDOWN(MAX(AD1413*配置与结果!$B$31,AD1413-AE1413)*AF1413*AG1413*AH1413*AI1413,0)</f>
        <v>21843</v>
      </c>
      <c r="AM1413" s="7">
        <f>ROUNDDOWN(MAX(AD1413*配置与结果!$B$31,AD1413-AE1413)*AF1413*AG1413*AH1413*AI1413*AK1413,0)</f>
        <v>38990</v>
      </c>
      <c r="AN1413" s="7">
        <f t="shared" si="1903"/>
        <v>38990</v>
      </c>
      <c r="AO1413" s="7">
        <f>0</f>
        <v>0</v>
      </c>
      <c r="AP1413" s="7">
        <f>MAX(0,1+INDEX(配置与结果!$J$15:$J$18,F1413)+IF(T1413&gt;0,方案参数!$BY$42,0)-配置与结果!$B$30)</f>
        <v>1</v>
      </c>
      <c r="AQ1413" s="7">
        <f t="shared" si="1904"/>
        <v>0</v>
      </c>
      <c r="AR1413" s="7">
        <f t="shared" si="1905"/>
        <v>0</v>
      </c>
      <c r="AS1413" s="7">
        <f t="shared" si="1906"/>
        <v>0</v>
      </c>
      <c r="AT1413" s="7">
        <f>0</f>
        <v>0</v>
      </c>
      <c r="AU1413" s="7">
        <f t="shared" si="1907"/>
        <v>38990</v>
      </c>
      <c r="AV1413" s="1">
        <f t="shared" si="1908"/>
        <v>1</v>
      </c>
      <c r="AW1413" s="1">
        <f>MIN(10,M1413+0+IF(L1413=1,方案参数!$BE$42,0))</f>
        <v>4</v>
      </c>
      <c r="AX1413" s="1">
        <f t="shared" si="1909"/>
        <v>0</v>
      </c>
      <c r="AY1413" s="1">
        <f t="shared" ref="AY1413:AY1428" si="1995">MIN(20,MAX(0,O1413+0+0-0))</f>
        <v>6</v>
      </c>
      <c r="AZ1413" s="1">
        <f t="shared" si="1910"/>
        <v>3</v>
      </c>
      <c r="BA1413" s="1">
        <f>MIN(6,Q1413+0)</f>
        <v>2</v>
      </c>
      <c r="BB1413" s="1">
        <f t="shared" si="1988"/>
        <v>5</v>
      </c>
      <c r="BC1413" s="1">
        <f t="shared" si="1969"/>
        <v>0</v>
      </c>
      <c r="BD1413" s="1">
        <f t="shared" si="1950"/>
        <v>0</v>
      </c>
      <c r="BE1413" s="1">
        <f t="shared" si="1989"/>
        <v>0</v>
      </c>
      <c r="BF1413" s="1">
        <f t="shared" si="1973"/>
        <v>0</v>
      </c>
      <c r="BG1413" s="1">
        <f t="shared" si="1993"/>
        <v>1</v>
      </c>
      <c r="BH1413" s="1">
        <f t="shared" si="1990"/>
        <v>1</v>
      </c>
      <c r="BI1413" s="1">
        <f t="shared" si="1994"/>
        <v>1</v>
      </c>
      <c r="BJ1413" s="1">
        <f t="shared" si="1964"/>
        <v>0</v>
      </c>
      <c r="BK1413" s="1">
        <f t="shared" si="1965"/>
        <v>0</v>
      </c>
      <c r="BL1413" s="1">
        <f t="shared" si="1970"/>
        <v>0</v>
      </c>
      <c r="BM1413" s="1">
        <f t="shared" si="1968"/>
        <v>0</v>
      </c>
      <c r="BN1413" s="1">
        <f t="shared" si="1991"/>
        <v>1</v>
      </c>
      <c r="BO1413" s="1">
        <f t="shared" si="1992"/>
        <v>1</v>
      </c>
    </row>
    <row r="1414" spans="1:67" ht="30.95" customHeight="1">
      <c r="A1414" s="1">
        <f>39</f>
        <v>39</v>
      </c>
      <c r="B1414" s="1">
        <f>固定流程!A10</f>
        <v>5</v>
      </c>
      <c r="C1414" s="1">
        <f>42</f>
        <v>42</v>
      </c>
      <c r="D1414" s="1">
        <f>1</f>
        <v>1</v>
      </c>
      <c r="E1414" s="1">
        <f>固定流程!C10</f>
        <v>1</v>
      </c>
      <c r="F1414" s="1">
        <f>固定流程!G10</f>
        <v>2</v>
      </c>
      <c r="G1414" s="1" t="str">
        <f>固定流程!H10</f>
        <v>37_TRIANGLE</v>
      </c>
      <c r="H1414" s="1">
        <f>固定流程!F10</f>
        <v>1</v>
      </c>
      <c r="I1414" s="1">
        <f>INDEX(配置与结果!$B$15:$B$18,F1414)</f>
        <v>2306</v>
      </c>
      <c r="J1414" s="1">
        <f>INDEX(配置与结果!$D$15:$D$18,F1414)</f>
        <v>0.46</v>
      </c>
      <c r="K1414" s="1">
        <f>INDEX(配置与结果!$E$15:$E$18,F1414)</f>
        <v>1.9279999999999999</v>
      </c>
      <c r="L1414" s="1">
        <f t="shared" si="1974"/>
        <v>1</v>
      </c>
      <c r="M1414" s="1">
        <f t="shared" si="1974"/>
        <v>4</v>
      </c>
      <c r="N1414" s="1">
        <f t="shared" si="1974"/>
        <v>0</v>
      </c>
      <c r="O1414" s="1">
        <f t="shared" si="1974"/>
        <v>6</v>
      </c>
      <c r="P1414" s="1">
        <f>MIN(方案参数!$AI$42,AZ1413+0+0)</f>
        <v>3</v>
      </c>
      <c r="Q1414" s="1">
        <f t="shared" si="1975"/>
        <v>2</v>
      </c>
      <c r="R1414" s="1">
        <f t="shared" si="1976"/>
        <v>5</v>
      </c>
      <c r="S1414" s="1">
        <f t="shared" si="1977"/>
        <v>0</v>
      </c>
      <c r="T1414" s="1">
        <f t="shared" si="1978"/>
        <v>0</v>
      </c>
      <c r="U1414" s="1">
        <f t="shared" si="1979"/>
        <v>0</v>
      </c>
      <c r="V1414" s="1">
        <f t="shared" si="1980"/>
        <v>0</v>
      </c>
      <c r="W1414" s="1">
        <f t="shared" si="1981"/>
        <v>1</v>
      </c>
      <c r="X1414" s="1">
        <f t="shared" si="1982"/>
        <v>1</v>
      </c>
      <c r="Y1414" s="1">
        <f t="shared" si="1983"/>
        <v>1</v>
      </c>
      <c r="Z1414" s="1">
        <f t="shared" si="1984"/>
        <v>0</v>
      </c>
      <c r="AA1414" s="1">
        <f t="shared" si="1985"/>
        <v>0</v>
      </c>
      <c r="AB1414" s="1">
        <f t="shared" si="1986"/>
        <v>0</v>
      </c>
      <c r="AC1414" s="1">
        <f t="shared" si="1987"/>
        <v>0</v>
      </c>
      <c r="AD1414" s="1">
        <f>ROUNDDOWN(I1414*(1+IF(F1414=3,0.05+方案参数!$Y$42+AA1414*0.12,IF(F1414=4,方案参数!$BZ$42*方案参数!$AS$42,0)))+IF(AND(X1414=1,F1414&lt;&gt;3),方案参数!$CC$42,0)+AC1414*方案参数!$CB$42,0)</f>
        <v>2540</v>
      </c>
      <c r="AE1414" s="1">
        <f>IF(OR(F1414=1,F1414=4),配置与结果!$B$24,配置与结果!$B$25)*MAX(0,1-INDEX(配置与结果!$I$15:$I$18,F1414))</f>
        <v>1000</v>
      </c>
      <c r="AF1414" s="1">
        <f>方案参数!$BS$42*IF(H1414=1,1,IF(H1414=2,1.5,2.5))</f>
        <v>2.8</v>
      </c>
      <c r="AG1414" s="1">
        <f>MAX(配置与结果!$B$32,1+INDEX(配置与结果!$F$15:$F$18,F1414)+0+Q1414*方案参数!$W$42+Y1414*(方案参数!$AN$42+MIN(方案参数!$AO$42,P1414*0.03))+AB1414*方案参数!$BZ$42*0.025-配置与结果!$B$28)</f>
        <v>0.88099999999999989</v>
      </c>
      <c r="AH1414" s="1">
        <f>MAX(0,1+INDEX(配置与结果!$G$15:$G$18,F1414)+W1414*方案参数!$AG$42)</f>
        <v>1.3</v>
      </c>
      <c r="AI1414" s="1">
        <f>IF(OR(INDEX(配置与结果!$K$15:$K$18,F1414)=1,G1414="RHI_BERRY"),1+配置与结果!$B$33+P1414*方案参数!$AH$42,1)</f>
        <v>1</v>
      </c>
      <c r="AJ1414" s="1">
        <f>MIN(1,MAX(0,J1414+方案参数!$AB$42-配置与结果!$B$27))</f>
        <v>0.76</v>
      </c>
      <c r="AK1414" s="1">
        <f>MAX(1,K1414+IF(F1414=2,0.15+方案参数!$CH$42,0)+BN1414*方案参数!$X$42+R1414*方案参数!$AA$42+0-配置与结果!$B$26+Z1414*(方案参数!$AP$42+MIN(方案参数!$AQ$42,P1414*0.03)))</f>
        <v>1.9580000000000002</v>
      </c>
      <c r="AL1414" s="7">
        <f>ROUNDDOWN(MAX(AD1414*配置与结果!$B$31,AD1414-AE1414)*AF1414*AG1414*AH1414*AI1414,0)</f>
        <v>4938</v>
      </c>
      <c r="AM1414" s="7">
        <f>ROUNDDOWN(MAX(AD1414*配置与结果!$B$31,AD1414-AE1414)*AF1414*AG1414*AH1414*AI1414*AK1414,0)</f>
        <v>9669</v>
      </c>
      <c r="AN1414" s="7">
        <f t="shared" ref="AN1414:AN1477" si="1996">AL1414*(1-AJ1414)+AM1414*AJ1414</f>
        <v>8533.5600000000013</v>
      </c>
      <c r="AO1414" s="7">
        <f>方案参数!$BU$42*IF(H1414=1,1,IF(H1414=2,1.5,2.5))</f>
        <v>0.8</v>
      </c>
      <c r="AP1414" s="7">
        <f>MAX(0,1+INDEX(配置与结果!$J$15:$J$18,F1414)+IF(T1414&gt;0,方案参数!$BY$42,0)-配置与结果!$B$30)</f>
        <v>1</v>
      </c>
      <c r="AQ1414" s="7">
        <f t="shared" ref="AQ1414:AQ1477" si="1997">ROUNDDOWN(ROUNDDOWN(AD1414*AO1414,0)*AP1414,0)</f>
        <v>2032</v>
      </c>
      <c r="AR1414" s="7">
        <f t="shared" ref="AR1414:AR1477" si="1998">ROUNDDOWN(ROUNDDOWN(AD1414*AO1414,0)*AP1414*AK1414,0)</f>
        <v>3978</v>
      </c>
      <c r="AS1414" s="7">
        <f t="shared" ref="AS1414:AS1477" si="1999">AQ1414*(1-AJ1414)+AR1414*AJ1414</f>
        <v>3510.96</v>
      </c>
      <c r="AT1414" s="7">
        <f>0</f>
        <v>0</v>
      </c>
      <c r="AU1414" s="7">
        <f t="shared" ref="AU1414:AU1477" si="2000">AN1414+AS1414+AT1414</f>
        <v>12044.52</v>
      </c>
      <c r="AV1414" s="1">
        <f t="shared" ref="AV1414:AV1477" si="2001">IF(G1414="LILYA_COBRA",IF(L1414=0,1,L1414),L1414)</f>
        <v>1</v>
      </c>
      <c r="AW1414" s="1">
        <f>MIN(10,M1414+0+0)</f>
        <v>4</v>
      </c>
      <c r="AX1414" s="1">
        <f t="shared" ref="AX1414:AX1477" si="2002">N1414</f>
        <v>0</v>
      </c>
      <c r="AY1414" s="1">
        <f t="shared" si="1995"/>
        <v>6</v>
      </c>
      <c r="AZ1414" s="1">
        <f t="shared" ref="AZ1414:AZ1477" si="2003">P1414</f>
        <v>3</v>
      </c>
      <c r="BA1414" s="1">
        <f>MIN(6,Q1414+0)</f>
        <v>2</v>
      </c>
      <c r="BB1414" s="1">
        <f t="shared" si="1988"/>
        <v>5</v>
      </c>
      <c r="BC1414" s="1">
        <f t="shared" si="1969"/>
        <v>0</v>
      </c>
      <c r="BD1414" s="1">
        <f>MAX(0,T1414-IF(AO1414&gt;0,1,0))+1</f>
        <v>1</v>
      </c>
      <c r="BE1414" s="1">
        <f t="shared" si="1989"/>
        <v>0</v>
      </c>
      <c r="BF1414" s="1">
        <f t="shared" si="1973"/>
        <v>0</v>
      </c>
      <c r="BG1414" s="1">
        <f t="shared" si="1993"/>
        <v>1</v>
      </c>
      <c r="BH1414" s="1">
        <f t="shared" si="1990"/>
        <v>1</v>
      </c>
      <c r="BI1414" s="1">
        <f t="shared" si="1994"/>
        <v>1</v>
      </c>
      <c r="BJ1414" s="1">
        <f t="shared" si="1964"/>
        <v>0</v>
      </c>
      <c r="BK1414" s="1">
        <f t="shared" si="1965"/>
        <v>0</v>
      </c>
      <c r="BL1414" s="1">
        <f t="shared" si="1970"/>
        <v>0</v>
      </c>
      <c r="BM1414" s="1">
        <f t="shared" si="1968"/>
        <v>0</v>
      </c>
      <c r="BN1414" s="1">
        <f t="shared" si="1991"/>
        <v>1</v>
      </c>
      <c r="BO1414" s="1">
        <f t="shared" si="1992"/>
        <v>1</v>
      </c>
    </row>
    <row r="1415" spans="1:67" ht="30.95" customHeight="1">
      <c r="A1415" s="1">
        <f>39</f>
        <v>39</v>
      </c>
      <c r="B1415" s="1">
        <f>固定流程!A11</f>
        <v>6</v>
      </c>
      <c r="C1415" s="1">
        <f>42</f>
        <v>42</v>
      </c>
      <c r="D1415" s="1">
        <f>1</f>
        <v>1</v>
      </c>
      <c r="E1415" s="1">
        <f>固定流程!C11</f>
        <v>1</v>
      </c>
      <c r="F1415" s="1">
        <f>固定流程!G11</f>
        <v>2</v>
      </c>
      <c r="G1415" s="1" t="str">
        <f>固定流程!H11</f>
        <v>37_FOLLOW</v>
      </c>
      <c r="H1415" s="1">
        <f>固定流程!F11</f>
        <v>1</v>
      </c>
      <c r="I1415" s="1">
        <f>INDEX(配置与结果!$B$15:$B$18,F1415)</f>
        <v>2306</v>
      </c>
      <c r="J1415" s="1">
        <f>INDEX(配置与结果!$D$15:$D$18,F1415)</f>
        <v>0.46</v>
      </c>
      <c r="K1415" s="1">
        <f>INDEX(配置与结果!$E$15:$E$18,F1415)</f>
        <v>1.9279999999999999</v>
      </c>
      <c r="L1415" s="1">
        <f t="shared" si="1974"/>
        <v>1</v>
      </c>
      <c r="M1415" s="1">
        <f t="shared" si="1974"/>
        <v>4</v>
      </c>
      <c r="N1415" s="1">
        <f t="shared" si="1974"/>
        <v>0</v>
      </c>
      <c r="O1415" s="1">
        <f t="shared" si="1974"/>
        <v>6</v>
      </c>
      <c r="P1415" s="1">
        <f>MIN(方案参数!$AI$42,AZ1414+0+0)</f>
        <v>3</v>
      </c>
      <c r="Q1415" s="1">
        <f t="shared" si="1975"/>
        <v>2</v>
      </c>
      <c r="R1415" s="1">
        <f t="shared" si="1976"/>
        <v>5</v>
      </c>
      <c r="S1415" s="1">
        <f t="shared" si="1977"/>
        <v>0</v>
      </c>
      <c r="T1415" s="1">
        <f t="shared" si="1978"/>
        <v>1</v>
      </c>
      <c r="U1415" s="1">
        <f t="shared" si="1979"/>
        <v>0</v>
      </c>
      <c r="V1415" s="1">
        <f t="shared" si="1980"/>
        <v>0</v>
      </c>
      <c r="W1415" s="1">
        <f t="shared" si="1981"/>
        <v>1</v>
      </c>
      <c r="X1415" s="1">
        <f t="shared" si="1982"/>
        <v>1</v>
      </c>
      <c r="Y1415" s="1">
        <f t="shared" si="1983"/>
        <v>1</v>
      </c>
      <c r="Z1415" s="1">
        <f t="shared" si="1984"/>
        <v>0</v>
      </c>
      <c r="AA1415" s="1">
        <f t="shared" si="1985"/>
        <v>0</v>
      </c>
      <c r="AB1415" s="1">
        <f t="shared" si="1986"/>
        <v>0</v>
      </c>
      <c r="AC1415" s="1">
        <f t="shared" si="1987"/>
        <v>0</v>
      </c>
      <c r="AD1415" s="1">
        <f>ROUNDDOWN(I1415*(1+IF(F1415=3,0.05+方案参数!$Y$42+AA1415*0.12,IF(F1415=4,方案参数!$BZ$42*方案参数!$AS$42,0)))+IF(AND(X1415=1,F1415&lt;&gt;3),方案参数!$CC$42,0)+AC1415*方案参数!$CB$42,0)</f>
        <v>2540</v>
      </c>
      <c r="AE1415" s="1">
        <f>IF(OR(F1415=1,F1415=4),配置与结果!$B$24,配置与结果!$B$25)*MAX(0,1-INDEX(配置与结果!$I$15:$I$18,F1415))</f>
        <v>1000</v>
      </c>
      <c r="AF1415" s="1">
        <f>方案参数!$BV$42</f>
        <v>3</v>
      </c>
      <c r="AG1415" s="1">
        <f>MAX(配置与结果!$B$32,1+INDEX(配置与结果!$F$15:$F$18,F1415)+0+Q1415*方案参数!$W$42+Y1415*(方案参数!$AN$42+MIN(方案参数!$AO$42,P1415*0.03))+AB1415*方案参数!$BZ$42*0.025-配置与结果!$B$28)</f>
        <v>0.88099999999999989</v>
      </c>
      <c r="AH1415" s="1">
        <f>MAX(0,1+INDEX(配置与结果!$G$15:$G$18,F1415)+W1415*方案参数!$AG$42)</f>
        <v>1.3</v>
      </c>
      <c r="AI1415" s="1">
        <f>IF(OR(INDEX(配置与结果!$K$15:$K$18,F1415)=1,G1415="RHI_BERRY"),1+配置与结果!$B$33+P1415*方案参数!$AH$42,1)</f>
        <v>1</v>
      </c>
      <c r="AJ1415" s="1">
        <f>MIN(1,MAX(0,J1415+方案参数!$AB$42-配置与结果!$B$27))</f>
        <v>0.76</v>
      </c>
      <c r="AK1415" s="1">
        <f>MAX(1,K1415+IF(F1415=2,0.15+方案参数!$CH$42,0)+BN1415*方案参数!$X$42+R1415*方案参数!$AA$42+0-配置与结果!$B$26+Z1415*(方案参数!$AP$42+MIN(方案参数!$AQ$42,P1415*0.03)))</f>
        <v>1.9580000000000002</v>
      </c>
      <c r="AL1415" s="7">
        <f>ROUNDDOWN(MAX(AD1415*配置与结果!$B$31,AD1415-AE1415)*AF1415*AG1415*AH1415*AI1415,0)</f>
        <v>5291</v>
      </c>
      <c r="AM1415" s="7">
        <f>ROUNDDOWN(MAX(AD1415*配置与结果!$B$31,AD1415-AE1415)*AF1415*AG1415*AH1415*AI1415*AK1415,0)</f>
        <v>10360</v>
      </c>
      <c r="AN1415" s="7">
        <f t="shared" si="1996"/>
        <v>9143.44</v>
      </c>
      <c r="AO1415" s="7">
        <f>方案参数!$BW$42</f>
        <v>1</v>
      </c>
      <c r="AP1415" s="7">
        <f>MAX(0,1+INDEX(配置与结果!$J$15:$J$18,F1415)+IF(T1415&gt;0,方案参数!$BY$42,0)-配置与结果!$B$30)</f>
        <v>2</v>
      </c>
      <c r="AQ1415" s="7">
        <f t="shared" si="1997"/>
        <v>5080</v>
      </c>
      <c r="AR1415" s="7">
        <f t="shared" si="1998"/>
        <v>9946</v>
      </c>
      <c r="AS1415" s="7">
        <f t="shared" si="1999"/>
        <v>8778.16</v>
      </c>
      <c r="AT1415" s="7">
        <f>0</f>
        <v>0</v>
      </c>
      <c r="AU1415" s="7">
        <f t="shared" si="2000"/>
        <v>17921.599999999999</v>
      </c>
      <c r="AV1415" s="1">
        <f t="shared" si="2001"/>
        <v>1</v>
      </c>
      <c r="AW1415" s="1">
        <f>MIN(10,M1415+0+0)</f>
        <v>4</v>
      </c>
      <c r="AX1415" s="1">
        <f t="shared" si="2002"/>
        <v>0</v>
      </c>
      <c r="AY1415" s="1">
        <f t="shared" si="1995"/>
        <v>6</v>
      </c>
      <c r="AZ1415" s="1">
        <f t="shared" si="2003"/>
        <v>3</v>
      </c>
      <c r="BA1415" s="1">
        <f>MIN(6,Q1415+0)</f>
        <v>2</v>
      </c>
      <c r="BB1415" s="1">
        <f t="shared" si="1988"/>
        <v>5</v>
      </c>
      <c r="BC1415" s="1">
        <f t="shared" si="1969"/>
        <v>0</v>
      </c>
      <c r="BD1415" s="1">
        <f t="shared" ref="BD1415:BD1449" si="2004">MAX(0,T1415-IF(AO1415&gt;0,1,0))+0</f>
        <v>0</v>
      </c>
      <c r="BE1415" s="1">
        <f t="shared" si="1989"/>
        <v>0</v>
      </c>
      <c r="BF1415" s="1">
        <f>MIN(4,V1415+1)</f>
        <v>1</v>
      </c>
      <c r="BG1415" s="1">
        <f t="shared" si="1993"/>
        <v>1</v>
      </c>
      <c r="BH1415" s="1">
        <f t="shared" si="1990"/>
        <v>1</v>
      </c>
      <c r="BI1415" s="1">
        <f t="shared" si="1994"/>
        <v>1</v>
      </c>
      <c r="BJ1415" s="1">
        <f t="shared" si="1964"/>
        <v>0</v>
      </c>
      <c r="BK1415" s="1">
        <f t="shared" si="1965"/>
        <v>0</v>
      </c>
      <c r="BL1415" s="1">
        <f t="shared" si="1970"/>
        <v>0</v>
      </c>
      <c r="BM1415" s="1">
        <f t="shared" si="1968"/>
        <v>0</v>
      </c>
      <c r="BN1415" s="1">
        <f t="shared" si="1991"/>
        <v>1</v>
      </c>
      <c r="BO1415" s="1">
        <f t="shared" si="1992"/>
        <v>1</v>
      </c>
    </row>
    <row r="1416" spans="1:67" ht="30.95" customHeight="1">
      <c r="A1416" s="1">
        <f>39</f>
        <v>39</v>
      </c>
      <c r="B1416" s="1">
        <f>固定流程!A12</f>
        <v>7</v>
      </c>
      <c r="C1416" s="1">
        <f>42</f>
        <v>42</v>
      </c>
      <c r="D1416" s="1">
        <f>1</f>
        <v>1</v>
      </c>
      <c r="E1416" s="1">
        <f>固定流程!C12</f>
        <v>1</v>
      </c>
      <c r="F1416" s="1">
        <f>固定流程!G12</f>
        <v>4</v>
      </c>
      <c r="G1416" s="1" t="str">
        <f>固定流程!H12</f>
        <v>J_HARD</v>
      </c>
      <c r="H1416" s="1">
        <f>固定流程!F12</f>
        <v>1</v>
      </c>
      <c r="I1416" s="1">
        <f>INDEX(配置与结果!$B$15:$B$18,F1416)</f>
        <v>1906</v>
      </c>
      <c r="J1416" s="1">
        <f>INDEX(配置与结果!$D$15:$D$18,F1416)</f>
        <v>0.36699999999999999</v>
      </c>
      <c r="K1416" s="1">
        <f>INDEX(配置与结果!$E$15:$E$18,F1416)</f>
        <v>1.7170000000000001</v>
      </c>
      <c r="L1416" s="1">
        <f t="shared" si="1974"/>
        <v>1</v>
      </c>
      <c r="M1416" s="1">
        <f t="shared" si="1974"/>
        <v>4</v>
      </c>
      <c r="N1416" s="1">
        <f t="shared" si="1974"/>
        <v>0</v>
      </c>
      <c r="O1416" s="1">
        <f t="shared" si="1974"/>
        <v>6</v>
      </c>
      <c r="P1416" s="1">
        <f>MIN(方案参数!$AI$42,AZ1415+0+0)</f>
        <v>3</v>
      </c>
      <c r="Q1416" s="1">
        <f t="shared" si="1975"/>
        <v>2</v>
      </c>
      <c r="R1416" s="1">
        <f t="shared" si="1976"/>
        <v>5</v>
      </c>
      <c r="S1416" s="1">
        <f t="shared" si="1977"/>
        <v>0</v>
      </c>
      <c r="T1416" s="1">
        <f t="shared" si="1978"/>
        <v>0</v>
      </c>
      <c r="U1416" s="1">
        <f t="shared" si="1979"/>
        <v>0</v>
      </c>
      <c r="V1416" s="1">
        <f t="shared" si="1980"/>
        <v>1</v>
      </c>
      <c r="W1416" s="1">
        <f t="shared" si="1981"/>
        <v>1</v>
      </c>
      <c r="X1416" s="1">
        <f t="shared" si="1982"/>
        <v>1</v>
      </c>
      <c r="Y1416" s="1">
        <f t="shared" si="1983"/>
        <v>1</v>
      </c>
      <c r="Z1416" s="1">
        <f t="shared" si="1984"/>
        <v>0</v>
      </c>
      <c r="AA1416" s="1">
        <f t="shared" si="1985"/>
        <v>0</v>
      </c>
      <c r="AB1416" s="1">
        <f t="shared" si="1986"/>
        <v>0</v>
      </c>
      <c r="AC1416" s="1">
        <f t="shared" si="1987"/>
        <v>0</v>
      </c>
      <c r="AD1416" s="1">
        <f>ROUNDDOWN(I1416*(1+IF(F1416=3,0.05+方案参数!$Y$42+AA1416*0.12,IF(F1416=4,方案参数!$BZ$42*方案参数!$AS$42,0)))+IF(AND(X1416=1,F1416&lt;&gt;3),方案参数!$CC$42,0)+AC1416*方案参数!$CB$42,0)</f>
        <v>2807</v>
      </c>
      <c r="AE1416" s="1">
        <f>IF(OR(F1416=1,F1416=4),配置与结果!$B$24,配置与结果!$B$25)*MAX(0,1-INDEX(配置与结果!$I$15:$I$18,F1416))</f>
        <v>1200</v>
      </c>
      <c r="AF1416" s="1">
        <f>3.6*IF(H1416=1,1,IF(H1416=2,1.5,2.5))</f>
        <v>3.6</v>
      </c>
      <c r="AG1416" s="1">
        <f>MAX(配置与结果!$B$32,1+INDEX(配置与结果!$F$15:$F$18,F1416)+0.08+Q1416*方案参数!$W$42+Y1416*(方案参数!$AN$42+MIN(方案参数!$AO$42,P1416*0.03))+AB1416*方案参数!$BZ$42*0.025+0.1+IF(方案参数!$BZ$42&gt;=30,方案参数!$BZ$42*0.01,0)-配置与结果!$B$28)</f>
        <v>1.431</v>
      </c>
      <c r="AH1416" s="1">
        <f>MAX(0,1+INDEX(配置与结果!$G$15:$G$18,F1416)+W1416*方案参数!$AG$42)</f>
        <v>1.3</v>
      </c>
      <c r="AI1416" s="1">
        <f>IF(OR(INDEX(配置与结果!$K$15:$K$18,F1416)=1,G1416="RHI_BERRY"),1+配置与结果!$B$33+P1416*方案参数!$AH$42,1)</f>
        <v>1</v>
      </c>
      <c r="AJ1416" s="1">
        <f>MIN(1,MAX(0,J1416+方案参数!$AB$42-配置与结果!$B$27))</f>
        <v>0.66700000000000004</v>
      </c>
      <c r="AK1416" s="1">
        <f>MAX(1,K1416+IF(F1416=2,0.15+方案参数!$CH$42,0)+BN1416*方案参数!$X$42+R1416*方案参数!$AA$42+0-配置与结果!$B$26+Z1416*(方案参数!$AP$42+MIN(方案参数!$AQ$42,P1416*0.03)))</f>
        <v>1.4770000000000003</v>
      </c>
      <c r="AL1416" s="7">
        <f>ROUNDDOWN(MAX(AD1416*配置与结果!$B$31,AD1416-AE1416)*AF1416*AG1416*AH1416*AI1416,0)</f>
        <v>10762</v>
      </c>
      <c r="AM1416" s="7">
        <f>ROUNDDOWN(MAX(AD1416*配置与结果!$B$31,AD1416-AE1416)*AF1416*AG1416*AH1416*AI1416*AK1416,0)</f>
        <v>15895</v>
      </c>
      <c r="AN1416" s="7">
        <f t="shared" si="1996"/>
        <v>14185.710999999999</v>
      </c>
      <c r="AO1416" s="7">
        <f>0</f>
        <v>0</v>
      </c>
      <c r="AP1416" s="7">
        <f>MAX(0,1+INDEX(配置与结果!$J$15:$J$18,F1416)+IF(T1416&gt;0,方案参数!$BY$42,0)-配置与结果!$B$30)</f>
        <v>1</v>
      </c>
      <c r="AQ1416" s="7">
        <f t="shared" si="1997"/>
        <v>0</v>
      </c>
      <c r="AR1416" s="7">
        <f t="shared" si="1998"/>
        <v>0</v>
      </c>
      <c r="AS1416" s="7">
        <f t="shared" si="1999"/>
        <v>0</v>
      </c>
      <c r="AT1416" s="7">
        <f>0</f>
        <v>0</v>
      </c>
      <c r="AU1416" s="7">
        <f t="shared" si="2000"/>
        <v>14185.710999999999</v>
      </c>
      <c r="AV1416" s="1">
        <f t="shared" si="2001"/>
        <v>1</v>
      </c>
      <c r="AW1416" s="1">
        <f>MIN(10,M1416+0+0)</f>
        <v>4</v>
      </c>
      <c r="AX1416" s="1">
        <f t="shared" si="2002"/>
        <v>0</v>
      </c>
      <c r="AY1416" s="1">
        <f t="shared" si="1995"/>
        <v>6</v>
      </c>
      <c r="AZ1416" s="1">
        <f t="shared" si="2003"/>
        <v>3</v>
      </c>
      <c r="BA1416" s="1">
        <f>MIN(6,Q1416+0)</f>
        <v>2</v>
      </c>
      <c r="BB1416" s="1">
        <f t="shared" si="1988"/>
        <v>5</v>
      </c>
      <c r="BC1416" s="1">
        <f>MIN(3,S1416+1)</f>
        <v>1</v>
      </c>
      <c r="BD1416" s="1">
        <f t="shared" si="2004"/>
        <v>0</v>
      </c>
      <c r="BE1416" s="1">
        <f t="shared" si="1989"/>
        <v>0</v>
      </c>
      <c r="BF1416" s="1">
        <f>MIN(4,V1416+0)</f>
        <v>1</v>
      </c>
      <c r="BG1416" s="1">
        <f t="shared" si="1993"/>
        <v>1</v>
      </c>
      <c r="BH1416" s="1">
        <f t="shared" si="1990"/>
        <v>1</v>
      </c>
      <c r="BI1416" s="1">
        <f t="shared" si="1994"/>
        <v>1</v>
      </c>
      <c r="BJ1416" s="1">
        <f t="shared" si="1964"/>
        <v>0</v>
      </c>
      <c r="BK1416" s="1">
        <f t="shared" si="1965"/>
        <v>0</v>
      </c>
      <c r="BL1416" s="1">
        <f t="shared" si="1970"/>
        <v>0</v>
      </c>
      <c r="BM1416" s="1">
        <f t="shared" si="1968"/>
        <v>0</v>
      </c>
      <c r="BN1416" s="1">
        <f t="shared" si="1991"/>
        <v>1</v>
      </c>
      <c r="BO1416" s="1">
        <f t="shared" si="1992"/>
        <v>1</v>
      </c>
    </row>
    <row r="1417" spans="1:67" ht="30.95" customHeight="1">
      <c r="A1417" s="1">
        <f>39</f>
        <v>39</v>
      </c>
      <c r="B1417" s="1">
        <f>固定流程!A13</f>
        <v>8</v>
      </c>
      <c r="C1417" s="1">
        <f>42</f>
        <v>42</v>
      </c>
      <c r="D1417" s="1">
        <f>1</f>
        <v>1</v>
      </c>
      <c r="E1417" s="1">
        <f>固定流程!C13</f>
        <v>2</v>
      </c>
      <c r="F1417" s="1">
        <f>固定流程!G13</f>
        <v>3</v>
      </c>
      <c r="G1417" s="1" t="str">
        <f>固定流程!H13</f>
        <v>RHI_ATTACK</v>
      </c>
      <c r="H1417" s="1">
        <f>固定流程!F13</f>
        <v>1</v>
      </c>
      <c r="I1417" s="1">
        <f>INDEX(配置与结果!$B$15:$B$18,F1417)</f>
        <v>2597</v>
      </c>
      <c r="J1417" s="1">
        <f>INDEX(配置与结果!$D$15:$D$18,F1417)</f>
        <v>0.255</v>
      </c>
      <c r="K1417" s="1">
        <f>INDEX(配置与结果!$E$15:$E$18,F1417)</f>
        <v>1.55</v>
      </c>
      <c r="L1417" s="1">
        <f>IF(AV1416=1,IF(M1417&gt;=10,2,1),IF(AV1416=2,IF(AX1416&lt;=1,0,2),0))</f>
        <v>1</v>
      </c>
      <c r="M1417" s="1">
        <f>IF(AND(AV1416=2,AX1416&lt;=1),0,MIN(10,AW1416+IF(AV1416=1,3,0)))</f>
        <v>7</v>
      </c>
      <c r="N1417" s="1">
        <f>IF(AND(AV1416=1,M1417&gt;=10),2,IF(AV1416=2,MAX(0,AX1416-1),0))</f>
        <v>0</v>
      </c>
      <c r="O1417" s="1">
        <f t="shared" ref="O1417:O1445" si="2005">AY1416</f>
        <v>6</v>
      </c>
      <c r="P1417" s="1">
        <f>MIN(方案参数!$AI$42,AZ1416+方案参数!$AJ$42+方案参数!$AK$42)</f>
        <v>5</v>
      </c>
      <c r="Q1417" s="1">
        <f t="shared" si="1975"/>
        <v>2</v>
      </c>
      <c r="R1417" s="1">
        <f t="shared" si="1976"/>
        <v>5</v>
      </c>
      <c r="S1417" s="1">
        <f t="shared" si="1977"/>
        <v>1</v>
      </c>
      <c r="T1417" s="1">
        <f t="shared" si="1978"/>
        <v>0</v>
      </c>
      <c r="U1417" s="1">
        <f t="shared" si="1979"/>
        <v>0</v>
      </c>
      <c r="V1417" s="1">
        <f t="shared" si="1980"/>
        <v>1</v>
      </c>
      <c r="W1417" s="1">
        <f t="shared" si="1981"/>
        <v>1</v>
      </c>
      <c r="X1417" s="1">
        <f t="shared" si="1982"/>
        <v>1</v>
      </c>
      <c r="Y1417" s="1">
        <f t="shared" si="1983"/>
        <v>1</v>
      </c>
      <c r="Z1417" s="1">
        <f t="shared" si="1984"/>
        <v>0</v>
      </c>
      <c r="AA1417" s="1">
        <f>MAX(BK1416,1)</f>
        <v>1</v>
      </c>
      <c r="AB1417" s="1">
        <f t="shared" si="1986"/>
        <v>0</v>
      </c>
      <c r="AC1417" s="1">
        <f t="shared" si="1987"/>
        <v>0</v>
      </c>
      <c r="AD1417" s="1">
        <f>ROUNDDOWN(I1417*(1+IF(F1417=3,0.05+方案参数!$Y$42+AA1417*0.12,IF(F1417=4,方案参数!$BZ$42*方案参数!$AS$42,0)))+IF(AND(X1417=1,F1417&lt;&gt;3),方案参数!$CC$42,0)+AC1417*方案参数!$CB$42,0)</f>
        <v>3246</v>
      </c>
      <c r="AE1417" s="1">
        <f>IF(OR(F1417=1,F1417=4),配置与结果!$B$24,配置与结果!$B$25)*MAX(0,1-INDEX(配置与结果!$I$15:$I$18,F1417))</f>
        <v>1000</v>
      </c>
      <c r="AF1417" s="1">
        <f>4</f>
        <v>4</v>
      </c>
      <c r="AG1417" s="1">
        <f>MAX(配置与结果!$B$32,1+INDEX(配置与结果!$F$15:$F$18,F1417)+0+Q1417*方案参数!$W$42+Y1417*(方案参数!$AN$42+MIN(方案参数!$AO$42,P1417*0.03))+AB1417*方案参数!$BZ$42*0.025-配置与结果!$B$28)</f>
        <v>0.97099999999999997</v>
      </c>
      <c r="AH1417" s="1">
        <f>MAX(0,1+INDEX(配置与结果!$G$15:$G$18,F1417)+W1417*方案参数!$AG$42)</f>
        <v>1.3</v>
      </c>
      <c r="AI1417" s="1">
        <f>IF(OR(INDEX(配置与结果!$K$15:$K$18,F1417)=1,G1417="RHI_BERRY"),1+配置与结果!$B$33+P1417*方案参数!$AH$42,1)</f>
        <v>1</v>
      </c>
      <c r="AJ1417" s="1">
        <f>MIN(1,MAX(0,J1417+方案参数!$AB$42-配置与结果!$B$27))</f>
        <v>0.55499999999999994</v>
      </c>
      <c r="AK1417" s="1">
        <f>MAX(1,K1417+IF(F1417=2,0.15+方案参数!$CH$42,0)+BN1417*方案参数!$X$42+R1417*方案参数!$AA$42+0-配置与结果!$B$26+Z1417*(方案参数!$AP$42+MIN(方案参数!$AQ$42,P1417*0.03)))</f>
        <v>1.31</v>
      </c>
      <c r="AL1417" s="7">
        <f>ROUNDDOWN(MAX(AD1417*配置与结果!$B$31,AD1417-AE1417)*AF1417*AG1417*AH1417*AI1417,0)</f>
        <v>11340</v>
      </c>
      <c r="AM1417" s="7">
        <f>ROUNDDOWN(MAX(AD1417*配置与结果!$B$31,AD1417-AE1417)*AF1417*AG1417*AH1417*AI1417*AK1417,0)</f>
        <v>14856</v>
      </c>
      <c r="AN1417" s="7">
        <f t="shared" si="1996"/>
        <v>13291.380000000001</v>
      </c>
      <c r="AO1417" s="7">
        <f>0</f>
        <v>0</v>
      </c>
      <c r="AP1417" s="7">
        <f>MAX(0,1+INDEX(配置与结果!$J$15:$J$18,F1417)+IF(T1417&gt;0,方案参数!$BY$42,0)-配置与结果!$B$30)</f>
        <v>1</v>
      </c>
      <c r="AQ1417" s="7">
        <f t="shared" si="1997"/>
        <v>0</v>
      </c>
      <c r="AR1417" s="7">
        <f t="shared" si="1998"/>
        <v>0</v>
      </c>
      <c r="AS1417" s="7">
        <f t="shared" si="1999"/>
        <v>0</v>
      </c>
      <c r="AT1417" s="7">
        <f>0</f>
        <v>0</v>
      </c>
      <c r="AU1417" s="7">
        <f t="shared" si="2000"/>
        <v>13291.380000000001</v>
      </c>
      <c r="AV1417" s="1">
        <f t="shared" si="2001"/>
        <v>1</v>
      </c>
      <c r="AW1417" s="1">
        <f>MIN(10,M1417+0+0)</f>
        <v>7</v>
      </c>
      <c r="AX1417" s="1">
        <f t="shared" si="2002"/>
        <v>0</v>
      </c>
      <c r="AY1417" s="1">
        <f t="shared" si="1995"/>
        <v>6</v>
      </c>
      <c r="AZ1417" s="1">
        <f t="shared" si="2003"/>
        <v>5</v>
      </c>
      <c r="BA1417" s="1">
        <f>MIN(6,Q1417+1)</f>
        <v>3</v>
      </c>
      <c r="BB1417" s="1">
        <f t="shared" si="1988"/>
        <v>5</v>
      </c>
      <c r="BC1417" s="1">
        <f>MIN(3,S1417+0)</f>
        <v>1</v>
      </c>
      <c r="BD1417" s="1">
        <f t="shared" si="2004"/>
        <v>0</v>
      </c>
      <c r="BE1417" s="1">
        <f t="shared" si="1989"/>
        <v>0</v>
      </c>
      <c r="BF1417" s="1">
        <f>MIN(4,V1417+0)</f>
        <v>1</v>
      </c>
      <c r="BG1417" s="1">
        <f t="shared" si="1993"/>
        <v>1</v>
      </c>
      <c r="BH1417" s="1">
        <f t="shared" si="1990"/>
        <v>1</v>
      </c>
      <c r="BI1417" s="1">
        <f t="shared" si="1994"/>
        <v>1</v>
      </c>
      <c r="BJ1417" s="1">
        <f>MAX(Z1417,1)</f>
        <v>1</v>
      </c>
      <c r="BK1417" s="1">
        <f>MAX(AA1417,1)</f>
        <v>1</v>
      </c>
      <c r="BL1417" s="1">
        <f t="shared" si="1970"/>
        <v>0</v>
      </c>
      <c r="BM1417" s="1">
        <f t="shared" si="1968"/>
        <v>0</v>
      </c>
      <c r="BN1417" s="1">
        <f t="shared" si="1991"/>
        <v>1</v>
      </c>
      <c r="BO1417" s="1">
        <f t="shared" si="1992"/>
        <v>1</v>
      </c>
    </row>
    <row r="1418" spans="1:67" ht="30.95" customHeight="1">
      <c r="A1418" s="1">
        <f>39</f>
        <v>39</v>
      </c>
      <c r="B1418" s="1">
        <f>固定流程!A14</f>
        <v>9</v>
      </c>
      <c r="C1418" s="1">
        <f>42</f>
        <v>42</v>
      </c>
      <c r="D1418" s="1">
        <f>1</f>
        <v>1</v>
      </c>
      <c r="E1418" s="1">
        <f>固定流程!C14</f>
        <v>2</v>
      </c>
      <c r="F1418" s="1">
        <f>固定流程!G14</f>
        <v>1</v>
      </c>
      <c r="G1418" s="1" t="str">
        <f>固定流程!H14</f>
        <v>LILYA_DIVE</v>
      </c>
      <c r="H1418" s="1">
        <f>固定流程!F14</f>
        <v>3</v>
      </c>
      <c r="I1418" s="1">
        <f>INDEX(配置与结果!$B$15:$B$18,F1418)</f>
        <v>2296</v>
      </c>
      <c r="J1418" s="1">
        <f>INDEX(配置与结果!$D$15:$D$18,F1418)</f>
        <v>0.7</v>
      </c>
      <c r="K1418" s="1">
        <f>INDEX(配置与结果!$E$15:$E$18,F1418)</f>
        <v>2.0249999999999999</v>
      </c>
      <c r="L1418" s="1">
        <f t="shared" ref="L1418:N1422" si="2006">AV1417</f>
        <v>1</v>
      </c>
      <c r="M1418" s="1">
        <f t="shared" si="2006"/>
        <v>7</v>
      </c>
      <c r="N1418" s="1">
        <f t="shared" si="2006"/>
        <v>0</v>
      </c>
      <c r="O1418" s="1">
        <f t="shared" si="2005"/>
        <v>6</v>
      </c>
      <c r="P1418" s="1">
        <f>MIN(方案参数!$AI$42,AZ1417+0+0)</f>
        <v>5</v>
      </c>
      <c r="Q1418" s="1">
        <f t="shared" si="1975"/>
        <v>3</v>
      </c>
      <c r="R1418" s="1">
        <f t="shared" si="1976"/>
        <v>5</v>
      </c>
      <c r="S1418" s="1">
        <f t="shared" si="1977"/>
        <v>1</v>
      </c>
      <c r="T1418" s="1">
        <f t="shared" si="1978"/>
        <v>0</v>
      </c>
      <c r="U1418" s="1">
        <f t="shared" si="1979"/>
        <v>0</v>
      </c>
      <c r="V1418" s="1">
        <f t="shared" si="1980"/>
        <v>1</v>
      </c>
      <c r="W1418" s="1">
        <f t="shared" si="1981"/>
        <v>1</v>
      </c>
      <c r="X1418" s="1">
        <f t="shared" si="1982"/>
        <v>1</v>
      </c>
      <c r="Y1418" s="1">
        <f t="shared" si="1983"/>
        <v>1</v>
      </c>
      <c r="Z1418" s="1">
        <f t="shared" si="1984"/>
        <v>1</v>
      </c>
      <c r="AA1418" s="1">
        <f t="shared" ref="AA1418:AA1423" si="2007">MAX(BK1417,0)</f>
        <v>1</v>
      </c>
      <c r="AB1418" s="1">
        <f t="shared" si="1986"/>
        <v>0</v>
      </c>
      <c r="AC1418" s="1">
        <f t="shared" si="1987"/>
        <v>0</v>
      </c>
      <c r="AD1418" s="1">
        <f>ROUNDDOWN(I1418*(1+IF(F1418=3,0.05+方案参数!$Y$42+AA1418*0.12,IF(F1418=4,方案参数!$BZ$42*方案参数!$AS$42,0)))+IF(AND(X1418=1,F1418&lt;&gt;3),方案参数!$CC$42,0)+AC1418*方案参数!$CB$42,0)</f>
        <v>2530</v>
      </c>
      <c r="AE1418" s="1">
        <f>IF(OR(F1418=1,F1418=4),配置与结果!$B$24,配置与结果!$B$25)*MAX(0,1-INDEX(配置与结果!$I$15:$I$18,F1418))</f>
        <v>1200</v>
      </c>
      <c r="AF1418" s="1">
        <f>(IF(L1418=1,方案参数!$AW$42,IF(L1418=2,方案参数!$AX$42,0))+方案参数!$AV$42)*H1418</f>
        <v>18</v>
      </c>
      <c r="AG1418" s="1">
        <f>MAX(配置与结果!$B$32,1+INDEX(配置与结果!$F$15:$F$18,F1418)+0.08+方案参数!$CD$42+Q1418*方案参数!$W$42+Y1418*(方案参数!$AN$42+MIN(方案参数!$AO$42,P1418*0.03))+AB1418*方案参数!$BZ$42*0.025+IF(L1418=1,方案参数!$AY$42+(H1418-1)*0.1,IF(L1418=2,方案参数!$AZ$42+(H1418-1)*0.2,0))-配置与结果!$B$28)</f>
        <v>1.5940000000000003</v>
      </c>
      <c r="AH1418" s="1">
        <f>MAX(0,1+INDEX(配置与结果!$G$15:$G$18,F1418)+W1418*方案参数!$AG$42+IF(L1418=1,方案参数!$BA$42,IF(L1418=2,方案参数!$BB$42,0))+M1418*方案参数!$BC$42)</f>
        <v>2.3199999999999998</v>
      </c>
      <c r="AI1418" s="1">
        <f>IF(OR(INDEX(配置与结果!$K$15:$K$18,F1418)=1,G1418="RHI_BERRY"),1+配置与结果!$B$33+P1418*方案参数!$AH$42,1)</f>
        <v>1</v>
      </c>
      <c r="AJ1418" s="1">
        <f>MIN(1,MAX(0,J1418+方案参数!$AB$42-配置与结果!$B$27))</f>
        <v>1</v>
      </c>
      <c r="AK1418" s="1">
        <f>MAX(1,K1418+IF(F1418=2,0.15+方案参数!$CH$42,0)+BN1418*方案参数!$X$42+R1418*方案参数!$AA$42+0-配置与结果!$B$26+Z1418*(方案参数!$AP$42+MIN(方案参数!$AQ$42,P1418*0.03)))</f>
        <v>2.085</v>
      </c>
      <c r="AL1418" s="7">
        <f>ROUNDDOWN(MAX(AD1418*配置与结果!$B$31,AD1418-AE1418)*AF1418*AG1418*AH1418*AI1418,0)</f>
        <v>88532</v>
      </c>
      <c r="AM1418" s="7">
        <f>ROUNDDOWN(MAX(AD1418*配置与结果!$B$31,AD1418-AE1418)*AF1418*AG1418*AH1418*AI1418*AK1418,0)</f>
        <v>184589</v>
      </c>
      <c r="AN1418" s="7">
        <f t="shared" si="1996"/>
        <v>184589</v>
      </c>
      <c r="AO1418" s="7">
        <f>0</f>
        <v>0</v>
      </c>
      <c r="AP1418" s="7">
        <f>MAX(0,1+INDEX(配置与结果!$J$15:$J$18,F1418)+IF(T1418&gt;0,方案参数!$BY$42,0)-配置与结果!$B$30)</f>
        <v>1</v>
      </c>
      <c r="AQ1418" s="7">
        <f t="shared" si="1997"/>
        <v>0</v>
      </c>
      <c r="AR1418" s="7">
        <f t="shared" si="1998"/>
        <v>0</v>
      </c>
      <c r="AS1418" s="7">
        <f t="shared" si="1999"/>
        <v>0</v>
      </c>
      <c r="AT1418" s="7">
        <f>0</f>
        <v>0</v>
      </c>
      <c r="AU1418" s="7">
        <f t="shared" si="2000"/>
        <v>184589</v>
      </c>
      <c r="AV1418" s="1">
        <f t="shared" si="2001"/>
        <v>1</v>
      </c>
      <c r="AW1418" s="1">
        <f>MIN(10,M1418+0+IF(L1418=1,方案参数!$BE$42,0))</f>
        <v>8</v>
      </c>
      <c r="AX1418" s="1">
        <f t="shared" si="2002"/>
        <v>0</v>
      </c>
      <c r="AY1418" s="1">
        <f t="shared" si="1995"/>
        <v>6</v>
      </c>
      <c r="AZ1418" s="1">
        <f t="shared" si="2003"/>
        <v>5</v>
      </c>
      <c r="BA1418" s="1">
        <f>MIN(6,Q1418+0)</f>
        <v>3</v>
      </c>
      <c r="BB1418" s="1">
        <f t="shared" si="1988"/>
        <v>5</v>
      </c>
      <c r="BC1418" s="1">
        <f>MIN(3,S1418+0)</f>
        <v>1</v>
      </c>
      <c r="BD1418" s="1">
        <f t="shared" si="2004"/>
        <v>0</v>
      </c>
      <c r="BE1418" s="1">
        <f t="shared" si="1989"/>
        <v>0</v>
      </c>
      <c r="BF1418" s="1">
        <f>MIN(4,V1418+0)</f>
        <v>1</v>
      </c>
      <c r="BG1418" s="1">
        <f t="shared" si="1993"/>
        <v>1</v>
      </c>
      <c r="BH1418" s="1">
        <f t="shared" si="1990"/>
        <v>1</v>
      </c>
      <c r="BI1418" s="1">
        <f t="shared" si="1994"/>
        <v>1</v>
      </c>
      <c r="BJ1418" s="1">
        <f t="shared" ref="BJ1418:BK1423" si="2008">MAX(Z1418,0)</f>
        <v>1</v>
      </c>
      <c r="BK1418" s="1">
        <f t="shared" si="2008"/>
        <v>1</v>
      </c>
      <c r="BL1418" s="1">
        <f t="shared" si="1970"/>
        <v>0</v>
      </c>
      <c r="BM1418" s="1">
        <f t="shared" si="1968"/>
        <v>0</v>
      </c>
      <c r="BN1418" s="1">
        <f t="shared" si="1991"/>
        <v>1</v>
      </c>
      <c r="BO1418" s="1">
        <f t="shared" si="1992"/>
        <v>1</v>
      </c>
    </row>
    <row r="1419" spans="1:67" ht="30.95" customHeight="1">
      <c r="A1419" s="1">
        <f>39</f>
        <v>39</v>
      </c>
      <c r="B1419" s="1">
        <f>固定流程!A15</f>
        <v>10</v>
      </c>
      <c r="C1419" s="1">
        <f>42</f>
        <v>42</v>
      </c>
      <c r="D1419" s="1">
        <f>1</f>
        <v>1</v>
      </c>
      <c r="E1419" s="1">
        <f>固定流程!C15</f>
        <v>2</v>
      </c>
      <c r="F1419" s="1">
        <f>固定流程!G15</f>
        <v>4</v>
      </c>
      <c r="G1419" s="1" t="str">
        <f>固定流程!H15</f>
        <v>J_HARD</v>
      </c>
      <c r="H1419" s="1">
        <f>固定流程!F15</f>
        <v>1</v>
      </c>
      <c r="I1419" s="1">
        <f>INDEX(配置与结果!$B$15:$B$18,F1419)</f>
        <v>1906</v>
      </c>
      <c r="J1419" s="1">
        <f>INDEX(配置与结果!$D$15:$D$18,F1419)</f>
        <v>0.36699999999999999</v>
      </c>
      <c r="K1419" s="1">
        <f>INDEX(配置与结果!$E$15:$E$18,F1419)</f>
        <v>1.7170000000000001</v>
      </c>
      <c r="L1419" s="1">
        <f t="shared" si="2006"/>
        <v>1</v>
      </c>
      <c r="M1419" s="1">
        <f t="shared" si="2006"/>
        <v>8</v>
      </c>
      <c r="N1419" s="1">
        <f t="shared" si="2006"/>
        <v>0</v>
      </c>
      <c r="O1419" s="1">
        <f t="shared" si="2005"/>
        <v>6</v>
      </c>
      <c r="P1419" s="1">
        <f>MIN(方案参数!$AI$42,AZ1418+0+0)</f>
        <v>5</v>
      </c>
      <c r="Q1419" s="1">
        <f t="shared" si="1975"/>
        <v>3</v>
      </c>
      <c r="R1419" s="1">
        <f t="shared" si="1976"/>
        <v>5</v>
      </c>
      <c r="S1419" s="1">
        <f t="shared" si="1977"/>
        <v>1</v>
      </c>
      <c r="T1419" s="1">
        <f t="shared" si="1978"/>
        <v>0</v>
      </c>
      <c r="U1419" s="1">
        <f t="shared" si="1979"/>
        <v>0</v>
      </c>
      <c r="V1419" s="1">
        <f t="shared" si="1980"/>
        <v>1</v>
      </c>
      <c r="W1419" s="1">
        <f t="shared" si="1981"/>
        <v>1</v>
      </c>
      <c r="X1419" s="1">
        <f t="shared" si="1982"/>
        <v>1</v>
      </c>
      <c r="Y1419" s="1">
        <f t="shared" si="1983"/>
        <v>1</v>
      </c>
      <c r="Z1419" s="1">
        <f t="shared" si="1984"/>
        <v>1</v>
      </c>
      <c r="AA1419" s="1">
        <f t="shared" si="2007"/>
        <v>1</v>
      </c>
      <c r="AB1419" s="1">
        <f t="shared" si="1986"/>
        <v>0</v>
      </c>
      <c r="AC1419" s="1">
        <f t="shared" si="1987"/>
        <v>0</v>
      </c>
      <c r="AD1419" s="1">
        <f>ROUNDDOWN(I1419*(1+IF(F1419=3,0.05+方案参数!$Y$42+AA1419*0.12,IF(F1419=4,方案参数!$BZ$42*方案参数!$AS$42,0)))+IF(AND(X1419=1,F1419&lt;&gt;3),方案参数!$CC$42,0)+AC1419*方案参数!$CB$42,0)</f>
        <v>2807</v>
      </c>
      <c r="AE1419" s="1">
        <f>IF(OR(F1419=1,F1419=4),配置与结果!$B$24,配置与结果!$B$25)*MAX(0,1-INDEX(配置与结果!$I$15:$I$18,F1419))</f>
        <v>1200</v>
      </c>
      <c r="AF1419" s="1">
        <f>3.6*IF(H1419=1,1,IF(H1419=2,1.5,2.5))</f>
        <v>3.6</v>
      </c>
      <c r="AG1419" s="1">
        <f>MAX(配置与结果!$B$32,1+INDEX(配置与结果!$F$15:$F$18,F1419)+0.08+Q1419*方案参数!$W$42+Y1419*(方案参数!$AN$42+MIN(方案参数!$AO$42,P1419*0.03))+AB1419*方案参数!$BZ$42*0.025+0.1+IF(方案参数!$BZ$42&gt;=30,方案参数!$BZ$42*0.01,0)-配置与结果!$B$28)</f>
        <v>1.5090000000000003</v>
      </c>
      <c r="AH1419" s="1">
        <f>MAX(0,1+INDEX(配置与结果!$G$15:$G$18,F1419)+W1419*方案参数!$AG$42)</f>
        <v>1.3</v>
      </c>
      <c r="AI1419" s="1">
        <f>IF(OR(INDEX(配置与结果!$K$15:$K$18,F1419)=1,G1419="RHI_BERRY"),1+配置与结果!$B$33+P1419*方案参数!$AH$42,1)</f>
        <v>1</v>
      </c>
      <c r="AJ1419" s="1">
        <f>MIN(1,MAX(0,J1419+方案参数!$AB$42-配置与结果!$B$27))</f>
        <v>0.66700000000000004</v>
      </c>
      <c r="AK1419" s="1">
        <f>MAX(1,K1419+IF(F1419=2,0.15+方案参数!$CH$42,0)+BN1419*方案参数!$X$42+R1419*方案参数!$AA$42+0-配置与结果!$B$26+Z1419*(方案参数!$AP$42+MIN(方案参数!$AQ$42,P1419*0.03)))</f>
        <v>1.7770000000000004</v>
      </c>
      <c r="AL1419" s="7">
        <f>ROUNDDOWN(MAX(AD1419*配置与结果!$B$31,AD1419-AE1419)*AF1419*AG1419*AH1419*AI1419,0)</f>
        <v>11348</v>
      </c>
      <c r="AM1419" s="7">
        <f>ROUNDDOWN(MAX(AD1419*配置与结果!$B$31,AD1419-AE1419)*AF1419*AG1419*AH1419*AI1419*AK1419,0)</f>
        <v>20166</v>
      </c>
      <c r="AN1419" s="7">
        <f t="shared" si="1996"/>
        <v>17229.606</v>
      </c>
      <c r="AO1419" s="7">
        <f>0</f>
        <v>0</v>
      </c>
      <c r="AP1419" s="7">
        <f>MAX(0,1+INDEX(配置与结果!$J$15:$J$18,F1419)+IF(T1419&gt;0,方案参数!$BY$42,0)-配置与结果!$B$30)</f>
        <v>1</v>
      </c>
      <c r="AQ1419" s="7">
        <f t="shared" si="1997"/>
        <v>0</v>
      </c>
      <c r="AR1419" s="7">
        <f t="shared" si="1998"/>
        <v>0</v>
      </c>
      <c r="AS1419" s="7">
        <f t="shared" si="1999"/>
        <v>0</v>
      </c>
      <c r="AT1419" s="7">
        <f>0</f>
        <v>0</v>
      </c>
      <c r="AU1419" s="7">
        <f t="shared" si="2000"/>
        <v>17229.606</v>
      </c>
      <c r="AV1419" s="1">
        <f t="shared" si="2001"/>
        <v>1</v>
      </c>
      <c r="AW1419" s="1">
        <f t="shared" ref="AW1419:AW1429" si="2009">MIN(10,M1419+0+0)</f>
        <v>8</v>
      </c>
      <c r="AX1419" s="1">
        <f t="shared" si="2002"/>
        <v>0</v>
      </c>
      <c r="AY1419" s="1">
        <f t="shared" si="1995"/>
        <v>6</v>
      </c>
      <c r="AZ1419" s="1">
        <f t="shared" si="2003"/>
        <v>5</v>
      </c>
      <c r="BA1419" s="1">
        <f>MIN(6,Q1419+0)</f>
        <v>3</v>
      </c>
      <c r="BB1419" s="1">
        <f t="shared" si="1988"/>
        <v>5</v>
      </c>
      <c r="BC1419" s="1">
        <f>MIN(3,S1419+1)</f>
        <v>2</v>
      </c>
      <c r="BD1419" s="1">
        <f t="shared" si="2004"/>
        <v>0</v>
      </c>
      <c r="BE1419" s="1">
        <f t="shared" si="1989"/>
        <v>0</v>
      </c>
      <c r="BF1419" s="1">
        <f>MIN(4,V1419+0)</f>
        <v>1</v>
      </c>
      <c r="BG1419" s="1">
        <f t="shared" si="1993"/>
        <v>1</v>
      </c>
      <c r="BH1419" s="1">
        <f t="shared" si="1990"/>
        <v>1</v>
      </c>
      <c r="BI1419" s="1">
        <f t="shared" si="1994"/>
        <v>1</v>
      </c>
      <c r="BJ1419" s="1">
        <f t="shared" si="2008"/>
        <v>1</v>
      </c>
      <c r="BK1419" s="1">
        <f t="shared" si="2008"/>
        <v>1</v>
      </c>
      <c r="BL1419" s="1">
        <f t="shared" si="1970"/>
        <v>0</v>
      </c>
      <c r="BM1419" s="1">
        <f t="shared" si="1968"/>
        <v>0</v>
      </c>
      <c r="BN1419" s="1">
        <f t="shared" si="1991"/>
        <v>1</v>
      </c>
      <c r="BO1419" s="1">
        <f t="shared" si="1992"/>
        <v>1</v>
      </c>
    </row>
    <row r="1420" spans="1:67" ht="30.95" customHeight="1">
      <c r="A1420" s="1">
        <f>39</f>
        <v>39</v>
      </c>
      <c r="B1420" s="1">
        <f>固定流程!A16</f>
        <v>11</v>
      </c>
      <c r="C1420" s="1">
        <f>42</f>
        <v>42</v>
      </c>
      <c r="D1420" s="1">
        <f>1</f>
        <v>1</v>
      </c>
      <c r="E1420" s="1">
        <f>固定流程!C16</f>
        <v>2</v>
      </c>
      <c r="F1420" s="1">
        <f>固定流程!G16</f>
        <v>2</v>
      </c>
      <c r="G1420" s="1" t="str">
        <f>固定流程!H16</f>
        <v>37_CURVE</v>
      </c>
      <c r="H1420" s="1">
        <f>固定流程!F16</f>
        <v>1</v>
      </c>
      <c r="I1420" s="1">
        <f>INDEX(配置与结果!$B$15:$B$18,F1420)</f>
        <v>2306</v>
      </c>
      <c r="J1420" s="1">
        <f>INDEX(配置与结果!$D$15:$D$18,F1420)</f>
        <v>0.46</v>
      </c>
      <c r="K1420" s="1">
        <f>INDEX(配置与结果!$E$15:$E$18,F1420)</f>
        <v>1.9279999999999999</v>
      </c>
      <c r="L1420" s="1">
        <f t="shared" si="2006"/>
        <v>1</v>
      </c>
      <c r="M1420" s="1">
        <f t="shared" si="2006"/>
        <v>8</v>
      </c>
      <c r="N1420" s="1">
        <f t="shared" si="2006"/>
        <v>0</v>
      </c>
      <c r="O1420" s="1">
        <f t="shared" si="2005"/>
        <v>6</v>
      </c>
      <c r="P1420" s="1">
        <f>MIN(方案参数!$AI$42,AZ1419+0+0)</f>
        <v>5</v>
      </c>
      <c r="Q1420" s="1">
        <f t="shared" si="1975"/>
        <v>3</v>
      </c>
      <c r="R1420" s="1">
        <f t="shared" si="1976"/>
        <v>5</v>
      </c>
      <c r="S1420" s="1">
        <f t="shared" si="1977"/>
        <v>2</v>
      </c>
      <c r="T1420" s="1">
        <f t="shared" si="1978"/>
        <v>0</v>
      </c>
      <c r="U1420" s="1">
        <f t="shared" si="1979"/>
        <v>0</v>
      </c>
      <c r="V1420" s="1">
        <f t="shared" si="1980"/>
        <v>1</v>
      </c>
      <c r="W1420" s="1">
        <f t="shared" si="1981"/>
        <v>1</v>
      </c>
      <c r="X1420" s="1">
        <f t="shared" si="1982"/>
        <v>1</v>
      </c>
      <c r="Y1420" s="1">
        <f t="shared" si="1983"/>
        <v>1</v>
      </c>
      <c r="Z1420" s="1">
        <f t="shared" si="1984"/>
        <v>1</v>
      </c>
      <c r="AA1420" s="1">
        <f t="shared" si="2007"/>
        <v>1</v>
      </c>
      <c r="AB1420" s="1">
        <f t="shared" si="1986"/>
        <v>0</v>
      </c>
      <c r="AC1420" s="1">
        <f t="shared" si="1987"/>
        <v>0</v>
      </c>
      <c r="AD1420" s="1">
        <f>ROUNDDOWN(I1420*(1+IF(F1420=3,0.05+方案参数!$Y$42+AA1420*0.12,IF(F1420=4,方案参数!$BZ$42*方案参数!$AS$42,0)))+IF(AND(X1420=1,F1420&lt;&gt;3),方案参数!$CC$42,0)+AC1420*方案参数!$CB$42,0)</f>
        <v>2540</v>
      </c>
      <c r="AE1420" s="1">
        <f>IF(OR(F1420=1,F1420=4),配置与结果!$B$24,配置与结果!$B$25)*MAX(0,1-INDEX(配置与结果!$I$15:$I$18,F1420))</f>
        <v>1000</v>
      </c>
      <c r="AF1420" s="1">
        <f>方案参数!$BT$42*IF(H1420=1,1,IF(H1420=2,1.5,2.5))</f>
        <v>1.4</v>
      </c>
      <c r="AG1420" s="1">
        <f>MAX(配置与结果!$B$32,1+INDEX(配置与结果!$F$15:$F$18,F1420)+0+Q1420*方案参数!$W$42+Y1420*(方案参数!$AN$42+MIN(方案参数!$AO$42,P1420*0.03))+AB1420*方案参数!$BZ$42*0.025-配置与结果!$B$28)</f>
        <v>0.95899999999999996</v>
      </c>
      <c r="AH1420" s="1">
        <f>MAX(0,1+INDEX(配置与结果!$G$15:$G$18,F1420)+W1420*方案参数!$AG$42)</f>
        <v>1.3</v>
      </c>
      <c r="AI1420" s="1">
        <f>IF(OR(INDEX(配置与结果!$K$15:$K$18,F1420)=1,G1420="RHI_BERRY"),1+配置与结果!$B$33+P1420*方案参数!$AH$42,1)</f>
        <v>1</v>
      </c>
      <c r="AJ1420" s="1">
        <f>MIN(1,MAX(0,J1420+方案参数!$AB$42-配置与结果!$B$27))</f>
        <v>0.76</v>
      </c>
      <c r="AK1420" s="1">
        <f>MAX(1,K1420+IF(F1420=2,0.15+方案参数!$CH$42,0)+BN1420*方案参数!$X$42+R1420*方案参数!$AA$42+0-配置与结果!$B$26+Z1420*(方案参数!$AP$42+MIN(方案参数!$AQ$42,P1420*0.03)))</f>
        <v>2.258</v>
      </c>
      <c r="AL1420" s="7">
        <f>ROUNDDOWN(MAX(AD1420*配置与结果!$B$31,AD1420-AE1420)*AF1420*AG1420*AH1420*AI1420,0)</f>
        <v>2687</v>
      </c>
      <c r="AM1420" s="7">
        <f>ROUNDDOWN(MAX(AD1420*配置与结果!$B$31,AD1420-AE1420)*AF1420*AG1420*AH1420*AI1420*AK1420,0)</f>
        <v>6069</v>
      </c>
      <c r="AN1420" s="7">
        <f t="shared" si="1996"/>
        <v>5257.32</v>
      </c>
      <c r="AO1420" s="7">
        <f>方案参数!$BU$42*IF(H1420=1,1,IF(H1420=2,1.5,2.5))</f>
        <v>0.8</v>
      </c>
      <c r="AP1420" s="7">
        <f>MAX(0,1+INDEX(配置与结果!$J$15:$J$18,F1420)+IF(T1420&gt;0,方案参数!$BY$42,0)-配置与结果!$B$30)</f>
        <v>1</v>
      </c>
      <c r="AQ1420" s="7">
        <f t="shared" si="1997"/>
        <v>2032</v>
      </c>
      <c r="AR1420" s="7">
        <f t="shared" si="1998"/>
        <v>4588</v>
      </c>
      <c r="AS1420" s="7">
        <f t="shared" si="1999"/>
        <v>3974.56</v>
      </c>
      <c r="AT1420" s="7">
        <f>0</f>
        <v>0</v>
      </c>
      <c r="AU1420" s="7">
        <f t="shared" si="2000"/>
        <v>9231.8799999999992</v>
      </c>
      <c r="AV1420" s="1">
        <f t="shared" si="2001"/>
        <v>1</v>
      </c>
      <c r="AW1420" s="1">
        <f t="shared" si="2009"/>
        <v>8</v>
      </c>
      <c r="AX1420" s="1">
        <f t="shared" si="2002"/>
        <v>0</v>
      </c>
      <c r="AY1420" s="1">
        <f t="shared" si="1995"/>
        <v>6</v>
      </c>
      <c r="AZ1420" s="1">
        <f t="shared" si="2003"/>
        <v>5</v>
      </c>
      <c r="BA1420" s="1">
        <f>MIN(6,Q1420+0)</f>
        <v>3</v>
      </c>
      <c r="BB1420" s="1">
        <f t="shared" si="1988"/>
        <v>5</v>
      </c>
      <c r="BC1420" s="1">
        <f t="shared" ref="BC1420:BC1426" si="2010">MIN(3,S1420+0)</f>
        <v>2</v>
      </c>
      <c r="BD1420" s="1">
        <f t="shared" si="2004"/>
        <v>0</v>
      </c>
      <c r="BE1420" s="1">
        <f t="shared" si="1989"/>
        <v>0</v>
      </c>
      <c r="BF1420" s="1">
        <f>MIN(4,V1420+0)</f>
        <v>1</v>
      </c>
      <c r="BG1420" s="1">
        <f t="shared" si="1993"/>
        <v>1</v>
      </c>
      <c r="BH1420" s="1">
        <f t="shared" si="1990"/>
        <v>1</v>
      </c>
      <c r="BI1420" s="1">
        <f t="shared" si="1994"/>
        <v>1</v>
      </c>
      <c r="BJ1420" s="1">
        <f t="shared" si="2008"/>
        <v>1</v>
      </c>
      <c r="BK1420" s="1">
        <f t="shared" si="2008"/>
        <v>1</v>
      </c>
      <c r="BL1420" s="1">
        <f t="shared" si="1970"/>
        <v>0</v>
      </c>
      <c r="BM1420" s="1">
        <f t="shared" si="1968"/>
        <v>0</v>
      </c>
      <c r="BN1420" s="1">
        <f t="shared" si="1991"/>
        <v>1</v>
      </c>
      <c r="BO1420" s="1">
        <f t="shared" si="1992"/>
        <v>1</v>
      </c>
    </row>
    <row r="1421" spans="1:67" ht="30.95" customHeight="1">
      <c r="A1421" s="1">
        <f>39</f>
        <v>39</v>
      </c>
      <c r="B1421" s="1">
        <f>固定流程!A17</f>
        <v>12</v>
      </c>
      <c r="C1421" s="1">
        <f>42</f>
        <v>42</v>
      </c>
      <c r="D1421" s="1">
        <f>1</f>
        <v>1</v>
      </c>
      <c r="E1421" s="1">
        <f>固定流程!C17</f>
        <v>2</v>
      </c>
      <c r="F1421" s="1">
        <f>固定流程!G17</f>
        <v>2</v>
      </c>
      <c r="G1421" s="1" t="str">
        <f>固定流程!H17</f>
        <v>37_FOLLOW</v>
      </c>
      <c r="H1421" s="1">
        <f>固定流程!F17</f>
        <v>1</v>
      </c>
      <c r="I1421" s="1">
        <f>INDEX(配置与结果!$B$15:$B$18,F1421)</f>
        <v>2306</v>
      </c>
      <c r="J1421" s="1">
        <f>INDEX(配置与结果!$D$15:$D$18,F1421)</f>
        <v>0.46</v>
      </c>
      <c r="K1421" s="1">
        <f>INDEX(配置与结果!$E$15:$E$18,F1421)</f>
        <v>1.9279999999999999</v>
      </c>
      <c r="L1421" s="1">
        <f t="shared" si="2006"/>
        <v>1</v>
      </c>
      <c r="M1421" s="1">
        <f t="shared" si="2006"/>
        <v>8</v>
      </c>
      <c r="N1421" s="1">
        <f t="shared" si="2006"/>
        <v>0</v>
      </c>
      <c r="O1421" s="1">
        <f t="shared" si="2005"/>
        <v>6</v>
      </c>
      <c r="P1421" s="1">
        <f>MIN(方案参数!$AI$42,AZ1420+0+0)</f>
        <v>5</v>
      </c>
      <c r="Q1421" s="1">
        <f t="shared" si="1975"/>
        <v>3</v>
      </c>
      <c r="R1421" s="1">
        <f t="shared" si="1976"/>
        <v>5</v>
      </c>
      <c r="S1421" s="1">
        <f t="shared" si="1977"/>
        <v>2</v>
      </c>
      <c r="T1421" s="1">
        <f t="shared" si="1978"/>
        <v>0</v>
      </c>
      <c r="U1421" s="1">
        <f t="shared" si="1979"/>
        <v>0</v>
      </c>
      <c r="V1421" s="1">
        <f t="shared" si="1980"/>
        <v>1</v>
      </c>
      <c r="W1421" s="1">
        <f t="shared" si="1981"/>
        <v>1</v>
      </c>
      <c r="X1421" s="1">
        <f t="shared" si="1982"/>
        <v>1</v>
      </c>
      <c r="Y1421" s="1">
        <f t="shared" si="1983"/>
        <v>1</v>
      </c>
      <c r="Z1421" s="1">
        <f t="shared" si="1984"/>
        <v>1</v>
      </c>
      <c r="AA1421" s="1">
        <f t="shared" si="2007"/>
        <v>1</v>
      </c>
      <c r="AB1421" s="1">
        <f t="shared" si="1986"/>
        <v>0</v>
      </c>
      <c r="AC1421" s="1">
        <f t="shared" si="1987"/>
        <v>0</v>
      </c>
      <c r="AD1421" s="1">
        <f>ROUNDDOWN(I1421*(1+IF(F1421=3,0.05+方案参数!$Y$42+AA1421*0.12,IF(F1421=4,方案参数!$BZ$42*方案参数!$AS$42,0)))+IF(AND(X1421=1,F1421&lt;&gt;3),方案参数!$CC$42,0)+AC1421*方案参数!$CB$42,0)</f>
        <v>2540</v>
      </c>
      <c r="AE1421" s="1">
        <f>IF(OR(F1421=1,F1421=4),配置与结果!$B$24,配置与结果!$B$25)*MAX(0,1-INDEX(配置与结果!$I$15:$I$18,F1421))</f>
        <v>1000</v>
      </c>
      <c r="AF1421" s="1">
        <f>方案参数!$BV$42</f>
        <v>3</v>
      </c>
      <c r="AG1421" s="1">
        <f>MAX(配置与结果!$B$32,1+INDEX(配置与结果!$F$15:$F$18,F1421)+0+Q1421*方案参数!$W$42+Y1421*(方案参数!$AN$42+MIN(方案参数!$AO$42,P1421*0.03))+AB1421*方案参数!$BZ$42*0.025-配置与结果!$B$28)</f>
        <v>0.95899999999999996</v>
      </c>
      <c r="AH1421" s="1">
        <f>MAX(0,1+INDEX(配置与结果!$G$15:$G$18,F1421)+W1421*方案参数!$AG$42)</f>
        <v>1.3</v>
      </c>
      <c r="AI1421" s="1">
        <f>IF(OR(INDEX(配置与结果!$K$15:$K$18,F1421)=1,G1421="RHI_BERRY"),1+配置与结果!$B$33+P1421*方案参数!$AH$42,1)</f>
        <v>1</v>
      </c>
      <c r="AJ1421" s="1">
        <f>MIN(1,MAX(0,J1421+方案参数!$AB$42-配置与结果!$B$27))</f>
        <v>0.76</v>
      </c>
      <c r="AK1421" s="1">
        <f>MAX(1,K1421+IF(F1421=2,0.15+方案参数!$CH$42,0)+BN1421*方案参数!$X$42+R1421*方案参数!$AA$42+0-配置与结果!$B$26+Z1421*(方案参数!$AP$42+MIN(方案参数!$AQ$42,P1421*0.03)))</f>
        <v>2.258</v>
      </c>
      <c r="AL1421" s="7">
        <f>ROUNDDOWN(MAX(AD1421*配置与结果!$B$31,AD1421-AE1421)*AF1421*AG1421*AH1421*AI1421,0)</f>
        <v>5759</v>
      </c>
      <c r="AM1421" s="7">
        <f>ROUNDDOWN(MAX(AD1421*配置与结果!$B$31,AD1421-AE1421)*AF1421*AG1421*AH1421*AI1421*AK1421,0)</f>
        <v>13005</v>
      </c>
      <c r="AN1421" s="7">
        <f t="shared" si="1996"/>
        <v>11265.96</v>
      </c>
      <c r="AO1421" s="7">
        <f>方案参数!$BW$42</f>
        <v>1</v>
      </c>
      <c r="AP1421" s="7">
        <f>MAX(0,1+INDEX(配置与结果!$J$15:$J$18,F1421)+IF(T1421&gt;0,方案参数!$BY$42,0)-配置与结果!$B$30)</f>
        <v>1</v>
      </c>
      <c r="AQ1421" s="7">
        <f t="shared" si="1997"/>
        <v>2540</v>
      </c>
      <c r="AR1421" s="7">
        <f t="shared" si="1998"/>
        <v>5735</v>
      </c>
      <c r="AS1421" s="7">
        <f t="shared" si="1999"/>
        <v>4968.2000000000007</v>
      </c>
      <c r="AT1421" s="7">
        <f>0</f>
        <v>0</v>
      </c>
      <c r="AU1421" s="7">
        <f t="shared" si="2000"/>
        <v>16234.16</v>
      </c>
      <c r="AV1421" s="1">
        <f t="shared" si="2001"/>
        <v>1</v>
      </c>
      <c r="AW1421" s="1">
        <f t="shared" si="2009"/>
        <v>8</v>
      </c>
      <c r="AX1421" s="1">
        <f t="shared" si="2002"/>
        <v>0</v>
      </c>
      <c r="AY1421" s="1">
        <f t="shared" si="1995"/>
        <v>6</v>
      </c>
      <c r="AZ1421" s="1">
        <f t="shared" si="2003"/>
        <v>5</v>
      </c>
      <c r="BA1421" s="1">
        <f>MIN(6,Q1421+0)</f>
        <v>3</v>
      </c>
      <c r="BB1421" s="1">
        <f t="shared" si="1988"/>
        <v>5</v>
      </c>
      <c r="BC1421" s="1">
        <f t="shared" si="2010"/>
        <v>2</v>
      </c>
      <c r="BD1421" s="1">
        <f t="shared" si="2004"/>
        <v>0</v>
      </c>
      <c r="BE1421" s="1">
        <f t="shared" si="1989"/>
        <v>0</v>
      </c>
      <c r="BF1421" s="1">
        <f>MIN(4,V1421+1)</f>
        <v>2</v>
      </c>
      <c r="BG1421" s="1">
        <f t="shared" si="1993"/>
        <v>1</v>
      </c>
      <c r="BH1421" s="1">
        <f t="shared" si="1990"/>
        <v>1</v>
      </c>
      <c r="BI1421" s="1">
        <f t="shared" si="1994"/>
        <v>1</v>
      </c>
      <c r="BJ1421" s="1">
        <f t="shared" si="2008"/>
        <v>1</v>
      </c>
      <c r="BK1421" s="1">
        <f t="shared" si="2008"/>
        <v>1</v>
      </c>
      <c r="BL1421" s="1">
        <f t="shared" si="1970"/>
        <v>0</v>
      </c>
      <c r="BM1421" s="1">
        <f t="shared" si="1968"/>
        <v>0</v>
      </c>
      <c r="BN1421" s="1">
        <f t="shared" si="1991"/>
        <v>1</v>
      </c>
      <c r="BO1421" s="1">
        <f t="shared" si="1992"/>
        <v>1</v>
      </c>
    </row>
    <row r="1422" spans="1:67" ht="30.95" customHeight="1">
      <c r="A1422" s="1">
        <f>39</f>
        <v>39</v>
      </c>
      <c r="B1422" s="1">
        <f>固定流程!A18</f>
        <v>13</v>
      </c>
      <c r="C1422" s="1">
        <f>42</f>
        <v>42</v>
      </c>
      <c r="D1422" s="1">
        <f>1</f>
        <v>1</v>
      </c>
      <c r="E1422" s="1">
        <f>固定流程!C18</f>
        <v>2</v>
      </c>
      <c r="F1422" s="1">
        <f>固定流程!G18</f>
        <v>3</v>
      </c>
      <c r="G1422" s="1" t="str">
        <f>固定流程!H18</f>
        <v>RHI_BERRY</v>
      </c>
      <c r="H1422" s="1">
        <f>固定流程!F18</f>
        <v>1</v>
      </c>
      <c r="I1422" s="1">
        <f>INDEX(配置与结果!$B$15:$B$18,F1422)</f>
        <v>2597</v>
      </c>
      <c r="J1422" s="1">
        <f>INDEX(配置与结果!$D$15:$D$18,F1422)</f>
        <v>0.255</v>
      </c>
      <c r="K1422" s="1">
        <f>INDEX(配置与结果!$E$15:$E$18,F1422)</f>
        <v>1.55</v>
      </c>
      <c r="L1422" s="1">
        <f t="shared" si="2006"/>
        <v>1</v>
      </c>
      <c r="M1422" s="1">
        <f t="shared" si="2006"/>
        <v>8</v>
      </c>
      <c r="N1422" s="1">
        <f t="shared" si="2006"/>
        <v>0</v>
      </c>
      <c r="O1422" s="1">
        <f t="shared" si="2005"/>
        <v>6</v>
      </c>
      <c r="P1422" s="1">
        <f>MIN(方案参数!$AI$42,AZ1421+0+0)</f>
        <v>5</v>
      </c>
      <c r="Q1422" s="1">
        <f t="shared" si="1975"/>
        <v>3</v>
      </c>
      <c r="R1422" s="1">
        <f t="shared" si="1976"/>
        <v>5</v>
      </c>
      <c r="S1422" s="1">
        <f t="shared" si="1977"/>
        <v>2</v>
      </c>
      <c r="T1422" s="1">
        <f t="shared" si="1978"/>
        <v>0</v>
      </c>
      <c r="U1422" s="1">
        <f t="shared" si="1979"/>
        <v>0</v>
      </c>
      <c r="V1422" s="1">
        <f t="shared" si="1980"/>
        <v>2</v>
      </c>
      <c r="W1422" s="1">
        <f t="shared" si="1981"/>
        <v>1</v>
      </c>
      <c r="X1422" s="1">
        <f t="shared" si="1982"/>
        <v>1</v>
      </c>
      <c r="Y1422" s="1">
        <f t="shared" si="1983"/>
        <v>1</v>
      </c>
      <c r="Z1422" s="1">
        <f t="shared" si="1984"/>
        <v>1</v>
      </c>
      <c r="AA1422" s="1">
        <f t="shared" si="2007"/>
        <v>1</v>
      </c>
      <c r="AB1422" s="1">
        <f t="shared" si="1986"/>
        <v>0</v>
      </c>
      <c r="AC1422" s="1">
        <f t="shared" si="1987"/>
        <v>0</v>
      </c>
      <c r="AD1422" s="1">
        <f>ROUNDDOWN(I1422*(1+IF(F1422=3,0.05+方案参数!$Y$42+AA1422*0.12,IF(F1422=4,方案参数!$BZ$42*方案参数!$AS$42,0)))+IF(AND(X1422=1,F1422&lt;&gt;3),方案参数!$CC$42,0)+AC1422*方案参数!$CB$42,0)</f>
        <v>3246</v>
      </c>
      <c r="AE1422" s="1">
        <f>IF(OR(F1422=1,F1422=4),配置与结果!$B$24,配置与结果!$B$25)*MAX(0,1-INDEX(配置与结果!$I$15:$I$18,F1422))</f>
        <v>1000</v>
      </c>
      <c r="AF1422" s="1">
        <f>方案参数!$CF$42+P1422*方案参数!$CG$42</f>
        <v>22.5</v>
      </c>
      <c r="AG1422" s="1">
        <f>MAX(配置与结果!$B$32,1+INDEX(配置与结果!$F$15:$F$18,F1422)+0+Q1422*方案参数!$W$42+Y1422*(方案参数!$AN$42+MIN(方案参数!$AO$42,P1422*0.03))+AB1422*方案参数!$BZ$42*0.025-配置与结果!$B$28)</f>
        <v>0.98899999999999999</v>
      </c>
      <c r="AH1422" s="1">
        <f>MAX(0,1+INDEX(配置与结果!$G$15:$G$18,F1422)+W1422*方案参数!$AG$42)</f>
        <v>1.3</v>
      </c>
      <c r="AI1422" s="1">
        <f>IF(OR(INDEX(配置与结果!$K$15:$K$18,F1422)=1,G1422="RHI_BERRY"),1+配置与结果!$B$33+P1422*方案参数!$AH$42,1)</f>
        <v>1.5</v>
      </c>
      <c r="AJ1422" s="1">
        <f>MIN(1,MAX(0,J1422+方案参数!$AB$42-配置与结果!$B$27))</f>
        <v>0.55499999999999994</v>
      </c>
      <c r="AK1422" s="1">
        <f>MAX(1,K1422+IF(F1422=2,0.15+方案参数!$CH$42,0)+BN1422*方案参数!$X$42+R1422*方案参数!$AA$42+0-配置与结果!$B$26+Z1422*(方案参数!$AP$42+MIN(方案参数!$AQ$42,P1422*0.03)))</f>
        <v>1.61</v>
      </c>
      <c r="AL1422" s="7">
        <f>ROUNDDOWN(MAX(AD1422*配置与结果!$B$31,AD1422-AE1422)*AF1422*AG1422*AH1422*AI1422,0)</f>
        <v>97459</v>
      </c>
      <c r="AM1422" s="7">
        <f>ROUNDDOWN(MAX(AD1422*配置与结果!$B$31,AD1422-AE1422)*AF1422*AG1422*AH1422*AI1422*AK1422,0)</f>
        <v>156909</v>
      </c>
      <c r="AN1422" s="7">
        <f t="shared" si="1996"/>
        <v>130453.75</v>
      </c>
      <c r="AO1422" s="7">
        <f>0</f>
        <v>0</v>
      </c>
      <c r="AP1422" s="7">
        <f>MAX(0,1+INDEX(配置与结果!$J$15:$J$18,F1422)+IF(T1422&gt;0,方案参数!$BY$42,0)-配置与结果!$B$30)</f>
        <v>1</v>
      </c>
      <c r="AQ1422" s="7">
        <f t="shared" si="1997"/>
        <v>0</v>
      </c>
      <c r="AR1422" s="7">
        <f t="shared" si="1998"/>
        <v>0</v>
      </c>
      <c r="AS1422" s="7">
        <f t="shared" si="1999"/>
        <v>0</v>
      </c>
      <c r="AT1422" s="7">
        <f>0</f>
        <v>0</v>
      </c>
      <c r="AU1422" s="7">
        <f t="shared" si="2000"/>
        <v>130453.75</v>
      </c>
      <c r="AV1422" s="1">
        <f t="shared" si="2001"/>
        <v>1</v>
      </c>
      <c r="AW1422" s="1">
        <f t="shared" si="2009"/>
        <v>8</v>
      </c>
      <c r="AX1422" s="1">
        <f t="shared" si="2002"/>
        <v>0</v>
      </c>
      <c r="AY1422" s="1">
        <f t="shared" si="1995"/>
        <v>6</v>
      </c>
      <c r="AZ1422" s="1">
        <f t="shared" si="2003"/>
        <v>5</v>
      </c>
      <c r="BA1422" s="1">
        <f>MIN(6,Q1422+0)</f>
        <v>3</v>
      </c>
      <c r="BB1422" s="1">
        <f t="shared" si="1988"/>
        <v>5</v>
      </c>
      <c r="BC1422" s="1">
        <f t="shared" si="2010"/>
        <v>2</v>
      </c>
      <c r="BD1422" s="1">
        <f t="shared" si="2004"/>
        <v>0</v>
      </c>
      <c r="BE1422" s="1">
        <f t="shared" si="1989"/>
        <v>0</v>
      </c>
      <c r="BF1422" s="1">
        <f>MIN(4,V1422+0)</f>
        <v>2</v>
      </c>
      <c r="BG1422" s="1">
        <f t="shared" si="1993"/>
        <v>1</v>
      </c>
      <c r="BH1422" s="1">
        <f t="shared" si="1990"/>
        <v>1</v>
      </c>
      <c r="BI1422" s="1">
        <f t="shared" si="1994"/>
        <v>1</v>
      </c>
      <c r="BJ1422" s="1">
        <f t="shared" si="2008"/>
        <v>1</v>
      </c>
      <c r="BK1422" s="1">
        <f t="shared" si="2008"/>
        <v>1</v>
      </c>
      <c r="BL1422" s="1">
        <f t="shared" si="1970"/>
        <v>0</v>
      </c>
      <c r="BM1422" s="1">
        <f t="shared" si="1968"/>
        <v>0</v>
      </c>
      <c r="BN1422" s="1">
        <f t="shared" si="1991"/>
        <v>1</v>
      </c>
      <c r="BO1422" s="1">
        <f t="shared" si="1992"/>
        <v>1</v>
      </c>
    </row>
    <row r="1423" spans="1:67" ht="30.95" customHeight="1">
      <c r="A1423" s="1">
        <f>39</f>
        <v>39</v>
      </c>
      <c r="B1423" s="1">
        <f>固定流程!A19</f>
        <v>14</v>
      </c>
      <c r="C1423" s="1">
        <f>42</f>
        <v>42</v>
      </c>
      <c r="D1423" s="1">
        <f>1</f>
        <v>1</v>
      </c>
      <c r="E1423" s="1">
        <f>固定流程!C19</f>
        <v>3</v>
      </c>
      <c r="F1423" s="1">
        <f>固定流程!G19</f>
        <v>3</v>
      </c>
      <c r="G1423" s="1" t="str">
        <f>固定流程!H19</f>
        <v>RHI_BUFF</v>
      </c>
      <c r="H1423" s="1">
        <f>固定流程!F19</f>
        <v>1</v>
      </c>
      <c r="I1423" s="1">
        <f>INDEX(配置与结果!$B$15:$B$18,F1423)</f>
        <v>2597</v>
      </c>
      <c r="J1423" s="1">
        <f>INDEX(配置与结果!$D$15:$D$18,F1423)</f>
        <v>0.255</v>
      </c>
      <c r="K1423" s="1">
        <f>INDEX(配置与结果!$E$15:$E$18,F1423)</f>
        <v>1.55</v>
      </c>
      <c r="L1423" s="1">
        <f>IF(AV1422=1,IF(M1423&gt;=10,2,1),IF(AV1422=2,IF(AX1422&lt;=1,0,2),0))</f>
        <v>2</v>
      </c>
      <c r="M1423" s="1">
        <f>IF(AND(AV1422=2,AX1422&lt;=1),0,MIN(10,AW1422+IF(AV1422=1,3,0)))</f>
        <v>10</v>
      </c>
      <c r="N1423" s="1">
        <f>IF(AND(AV1422=1,M1423&gt;=10),2,IF(AV1422=2,MAX(0,AX1422-1),0))</f>
        <v>2</v>
      </c>
      <c r="O1423" s="1">
        <f t="shared" si="2005"/>
        <v>6</v>
      </c>
      <c r="P1423" s="1">
        <f>MIN(方案参数!$AI$42,AZ1422+方案参数!$AJ$42+方案参数!$AK$42)</f>
        <v>5</v>
      </c>
      <c r="Q1423" s="1">
        <f t="shared" si="1975"/>
        <v>3</v>
      </c>
      <c r="R1423" s="1">
        <f t="shared" si="1976"/>
        <v>5</v>
      </c>
      <c r="S1423" s="1">
        <f t="shared" si="1977"/>
        <v>2</v>
      </c>
      <c r="T1423" s="1">
        <f t="shared" si="1978"/>
        <v>0</v>
      </c>
      <c r="U1423" s="1">
        <f t="shared" si="1979"/>
        <v>0</v>
      </c>
      <c r="V1423" s="1">
        <f t="shared" si="1980"/>
        <v>2</v>
      </c>
      <c r="W1423" s="1">
        <f t="shared" si="1981"/>
        <v>1</v>
      </c>
      <c r="X1423" s="1">
        <f t="shared" si="1982"/>
        <v>1</v>
      </c>
      <c r="Y1423" s="1">
        <f t="shared" si="1983"/>
        <v>1</v>
      </c>
      <c r="Z1423" s="1">
        <f t="shared" si="1984"/>
        <v>1</v>
      </c>
      <c r="AA1423" s="1">
        <f t="shared" si="2007"/>
        <v>1</v>
      </c>
      <c r="AB1423" s="1">
        <f t="shared" si="1986"/>
        <v>0</v>
      </c>
      <c r="AC1423" s="1">
        <f t="shared" si="1987"/>
        <v>0</v>
      </c>
      <c r="AD1423" s="1">
        <f>ROUNDDOWN(I1423*(1+IF(F1423=3,0.05+方案参数!$Y$42+AA1423*0.12,IF(F1423=4,方案参数!$BZ$42*方案参数!$AS$42,0)))+IF(AND(X1423=1,F1423&lt;&gt;3),方案参数!$CC$42,0)+AC1423*方案参数!$CB$42,0)</f>
        <v>3246</v>
      </c>
      <c r="AE1423" s="1">
        <f>IF(OR(F1423=1,F1423=4),配置与结果!$B$24,配置与结果!$B$25)*MAX(0,1-INDEX(配置与结果!$I$15:$I$18,F1423))</f>
        <v>1000</v>
      </c>
      <c r="AF1423" s="1">
        <f>0</f>
        <v>0</v>
      </c>
      <c r="AG1423" s="1">
        <f>MAX(配置与结果!$B$32,1+INDEX(配置与结果!$F$15:$F$18,F1423)+0+Q1423*方案参数!$W$42+Y1423*(方案参数!$AN$42+MIN(方案参数!$AO$42,P1423*0.03))+AB1423*方案参数!$BZ$42*0.025-配置与结果!$B$28)</f>
        <v>0.98899999999999999</v>
      </c>
      <c r="AH1423" s="1">
        <f>MAX(0,1+INDEX(配置与结果!$G$15:$G$18,F1423)+W1423*方案参数!$AG$42)</f>
        <v>1.3</v>
      </c>
      <c r="AI1423" s="1">
        <f>IF(OR(INDEX(配置与结果!$K$15:$K$18,F1423)=1,G1423="RHI_BERRY"),1+配置与结果!$B$33+P1423*方案参数!$AH$42,1)</f>
        <v>1</v>
      </c>
      <c r="AJ1423" s="1">
        <f>MIN(1,MAX(0,J1423+方案参数!$AB$42-配置与结果!$B$27))</f>
        <v>0.55499999999999994</v>
      </c>
      <c r="AK1423" s="1">
        <f>MAX(1,K1423+IF(F1423=2,0.15+方案参数!$CH$42,0)+BN1423*方案参数!$X$42+R1423*方案参数!$AA$42+0-配置与结果!$B$26+Z1423*(方案参数!$AP$42+MIN(方案参数!$AQ$42,P1423*0.03)))</f>
        <v>1.61</v>
      </c>
      <c r="AL1423" s="7">
        <f>ROUNDDOWN(MAX(AD1423*配置与结果!$B$31,AD1423-AE1423)*AF1423*AG1423*AH1423*AI1423,0)</f>
        <v>0</v>
      </c>
      <c r="AM1423" s="7">
        <f>ROUNDDOWN(MAX(AD1423*配置与结果!$B$31,AD1423-AE1423)*AF1423*AG1423*AH1423*AI1423*AK1423,0)</f>
        <v>0</v>
      </c>
      <c r="AN1423" s="7">
        <f t="shared" si="1996"/>
        <v>0</v>
      </c>
      <c r="AO1423" s="7">
        <f>0</f>
        <v>0</v>
      </c>
      <c r="AP1423" s="7">
        <f>MAX(0,1+INDEX(配置与结果!$J$15:$J$18,F1423)+IF(T1423&gt;0,方案参数!$BY$42,0)-配置与结果!$B$30)</f>
        <v>1</v>
      </c>
      <c r="AQ1423" s="7">
        <f t="shared" si="1997"/>
        <v>0</v>
      </c>
      <c r="AR1423" s="7">
        <f t="shared" si="1998"/>
        <v>0</v>
      </c>
      <c r="AS1423" s="7">
        <f t="shared" si="1999"/>
        <v>0</v>
      </c>
      <c r="AT1423" s="7">
        <f>0</f>
        <v>0</v>
      </c>
      <c r="AU1423" s="7">
        <f t="shared" si="2000"/>
        <v>0</v>
      </c>
      <c r="AV1423" s="1">
        <f t="shared" si="2001"/>
        <v>2</v>
      </c>
      <c r="AW1423" s="1">
        <f t="shared" si="2009"/>
        <v>10</v>
      </c>
      <c r="AX1423" s="1">
        <f t="shared" si="2002"/>
        <v>2</v>
      </c>
      <c r="AY1423" s="1">
        <f t="shared" si="1995"/>
        <v>6</v>
      </c>
      <c r="AZ1423" s="1">
        <f t="shared" si="2003"/>
        <v>5</v>
      </c>
      <c r="BA1423" s="1">
        <f>MIN(6,Q1423+1)</f>
        <v>4</v>
      </c>
      <c r="BB1423" s="1">
        <f t="shared" si="1988"/>
        <v>5</v>
      </c>
      <c r="BC1423" s="1">
        <f t="shared" si="2010"/>
        <v>2</v>
      </c>
      <c r="BD1423" s="1">
        <f t="shared" si="2004"/>
        <v>0</v>
      </c>
      <c r="BE1423" s="1">
        <f t="shared" si="1989"/>
        <v>0</v>
      </c>
      <c r="BF1423" s="1">
        <f>MIN(4,V1423+0)</f>
        <v>2</v>
      </c>
      <c r="BG1423" s="1">
        <f>MAX(W1423,1)</f>
        <v>1</v>
      </c>
      <c r="BH1423" s="1">
        <f t="shared" si="1990"/>
        <v>1</v>
      </c>
      <c r="BI1423" s="1">
        <f>MAX(Y1423,1)</f>
        <v>1</v>
      </c>
      <c r="BJ1423" s="1">
        <f t="shared" si="2008"/>
        <v>1</v>
      </c>
      <c r="BK1423" s="1">
        <f t="shared" si="2008"/>
        <v>1</v>
      </c>
      <c r="BL1423" s="1">
        <f t="shared" si="1970"/>
        <v>0</v>
      </c>
      <c r="BM1423" s="1">
        <f t="shared" si="1968"/>
        <v>0</v>
      </c>
      <c r="BN1423" s="1">
        <f t="shared" si="1991"/>
        <v>1</v>
      </c>
      <c r="BO1423" s="1">
        <f t="shared" si="1992"/>
        <v>1</v>
      </c>
    </row>
    <row r="1424" spans="1:67" ht="30.95" customHeight="1">
      <c r="A1424" s="1">
        <f>39</f>
        <v>39</v>
      </c>
      <c r="B1424" s="1">
        <f>固定流程!A20</f>
        <v>15</v>
      </c>
      <c r="C1424" s="1">
        <f>42</f>
        <v>42</v>
      </c>
      <c r="D1424" s="1">
        <f>1</f>
        <v>1</v>
      </c>
      <c r="E1424" s="1">
        <f>固定流程!C20</f>
        <v>3</v>
      </c>
      <c r="F1424" s="1">
        <f>固定流程!G20</f>
        <v>3</v>
      </c>
      <c r="G1424" s="1" t="str">
        <f>固定流程!H20</f>
        <v>RHI_ATTACK</v>
      </c>
      <c r="H1424" s="1">
        <f>固定流程!F20</f>
        <v>1</v>
      </c>
      <c r="I1424" s="1">
        <f>INDEX(配置与结果!$B$15:$B$18,F1424)</f>
        <v>2597</v>
      </c>
      <c r="J1424" s="1">
        <f>INDEX(配置与结果!$D$15:$D$18,F1424)</f>
        <v>0.255</v>
      </c>
      <c r="K1424" s="1">
        <f>INDEX(配置与结果!$E$15:$E$18,F1424)</f>
        <v>1.55</v>
      </c>
      <c r="L1424" s="1">
        <f t="shared" ref="L1424:L1445" si="2011">AV1423</f>
        <v>2</v>
      </c>
      <c r="M1424" s="1">
        <f t="shared" ref="M1424:M1445" si="2012">AW1423</f>
        <v>10</v>
      </c>
      <c r="N1424" s="1">
        <f t="shared" ref="N1424:N1445" si="2013">AX1423</f>
        <v>2</v>
      </c>
      <c r="O1424" s="1">
        <f t="shared" si="2005"/>
        <v>6</v>
      </c>
      <c r="P1424" s="1">
        <f>MIN(方案参数!$AI$42,AZ1423+0+方案参数!$AK$42)</f>
        <v>5</v>
      </c>
      <c r="Q1424" s="1">
        <f t="shared" si="1975"/>
        <v>4</v>
      </c>
      <c r="R1424" s="1">
        <f t="shared" si="1976"/>
        <v>5</v>
      </c>
      <c r="S1424" s="1">
        <f t="shared" si="1977"/>
        <v>2</v>
      </c>
      <c r="T1424" s="1">
        <f t="shared" si="1978"/>
        <v>0</v>
      </c>
      <c r="U1424" s="1">
        <f t="shared" si="1979"/>
        <v>0</v>
      </c>
      <c r="V1424" s="1">
        <f t="shared" si="1980"/>
        <v>2</v>
      </c>
      <c r="W1424" s="1">
        <f t="shared" si="1981"/>
        <v>1</v>
      </c>
      <c r="X1424" s="1">
        <f t="shared" si="1982"/>
        <v>1</v>
      </c>
      <c r="Y1424" s="1">
        <f t="shared" si="1983"/>
        <v>1</v>
      </c>
      <c r="Z1424" s="1">
        <f t="shared" si="1984"/>
        <v>1</v>
      </c>
      <c r="AA1424" s="1">
        <f>MAX(BK1423,1)</f>
        <v>1</v>
      </c>
      <c r="AB1424" s="1">
        <f t="shared" si="1986"/>
        <v>0</v>
      </c>
      <c r="AC1424" s="1">
        <f t="shared" si="1987"/>
        <v>0</v>
      </c>
      <c r="AD1424" s="1">
        <f>ROUNDDOWN(I1424*(1+IF(F1424=3,0.05+方案参数!$Y$42+AA1424*0.12,IF(F1424=4,方案参数!$BZ$42*方案参数!$AS$42,0)))+IF(AND(X1424=1,F1424&lt;&gt;3),方案参数!$CC$42,0)+AC1424*方案参数!$CB$42,0)</f>
        <v>3246</v>
      </c>
      <c r="AE1424" s="1">
        <f>IF(OR(F1424=1,F1424=4),配置与结果!$B$24,配置与结果!$B$25)*MAX(0,1-INDEX(配置与结果!$I$15:$I$18,F1424))</f>
        <v>1000</v>
      </c>
      <c r="AF1424" s="1">
        <f>4</f>
        <v>4</v>
      </c>
      <c r="AG1424" s="1">
        <f>MAX(配置与结果!$B$32,1+INDEX(配置与结果!$F$15:$F$18,F1424)+0+Q1424*方案参数!$W$42+Y1424*(方案参数!$AN$42+MIN(方案参数!$AO$42,P1424*0.03))+AB1424*方案参数!$BZ$42*0.025-配置与结果!$B$28)</f>
        <v>1.0070000000000001</v>
      </c>
      <c r="AH1424" s="1">
        <f>MAX(0,1+INDEX(配置与结果!$G$15:$G$18,F1424)+W1424*方案参数!$AG$42)</f>
        <v>1.3</v>
      </c>
      <c r="AI1424" s="1">
        <f>IF(OR(INDEX(配置与结果!$K$15:$K$18,F1424)=1,G1424="RHI_BERRY"),1+配置与结果!$B$33+P1424*方案参数!$AH$42,1)</f>
        <v>1</v>
      </c>
      <c r="AJ1424" s="1">
        <f>MIN(1,MAX(0,J1424+方案参数!$AB$42-配置与结果!$B$27))</f>
        <v>0.55499999999999994</v>
      </c>
      <c r="AK1424" s="1">
        <f>MAX(1,K1424+IF(F1424=2,0.15+方案参数!$CH$42,0)+BN1424*方案参数!$X$42+R1424*方案参数!$AA$42+0-配置与结果!$B$26+Z1424*(方案参数!$AP$42+MIN(方案参数!$AQ$42,P1424*0.03)))</f>
        <v>1.61</v>
      </c>
      <c r="AL1424" s="7">
        <f>ROUNDDOWN(MAX(AD1424*配置与结果!$B$31,AD1424-AE1424)*AF1424*AG1424*AH1424*AI1424,0)</f>
        <v>11760</v>
      </c>
      <c r="AM1424" s="7">
        <f>ROUNDDOWN(MAX(AD1424*配置与结果!$B$31,AD1424-AE1424)*AF1424*AG1424*AH1424*AI1424*AK1424,0)</f>
        <v>18935</v>
      </c>
      <c r="AN1424" s="7">
        <f t="shared" si="1996"/>
        <v>15742.125</v>
      </c>
      <c r="AO1424" s="7">
        <f>0</f>
        <v>0</v>
      </c>
      <c r="AP1424" s="7">
        <f>MAX(0,1+INDEX(配置与结果!$J$15:$J$18,F1424)+IF(T1424&gt;0,方案参数!$BY$42,0)-配置与结果!$B$30)</f>
        <v>1</v>
      </c>
      <c r="AQ1424" s="7">
        <f t="shared" si="1997"/>
        <v>0</v>
      </c>
      <c r="AR1424" s="7">
        <f t="shared" si="1998"/>
        <v>0</v>
      </c>
      <c r="AS1424" s="7">
        <f t="shared" si="1999"/>
        <v>0</v>
      </c>
      <c r="AT1424" s="7">
        <f>0</f>
        <v>0</v>
      </c>
      <c r="AU1424" s="7">
        <f t="shared" si="2000"/>
        <v>15742.125</v>
      </c>
      <c r="AV1424" s="1">
        <f t="shared" si="2001"/>
        <v>2</v>
      </c>
      <c r="AW1424" s="1">
        <f t="shared" si="2009"/>
        <v>10</v>
      </c>
      <c r="AX1424" s="1">
        <f t="shared" si="2002"/>
        <v>2</v>
      </c>
      <c r="AY1424" s="1">
        <f t="shared" si="1995"/>
        <v>6</v>
      </c>
      <c r="AZ1424" s="1">
        <f t="shared" si="2003"/>
        <v>5</v>
      </c>
      <c r="BA1424" s="1">
        <f>MIN(6,Q1424+1)</f>
        <v>5</v>
      </c>
      <c r="BB1424" s="1">
        <f t="shared" si="1988"/>
        <v>5</v>
      </c>
      <c r="BC1424" s="1">
        <f t="shared" si="2010"/>
        <v>2</v>
      </c>
      <c r="BD1424" s="1">
        <f t="shared" si="2004"/>
        <v>0</v>
      </c>
      <c r="BE1424" s="1">
        <f t="shared" si="1989"/>
        <v>0</v>
      </c>
      <c r="BF1424" s="1">
        <f>MIN(4,V1424+0)</f>
        <v>2</v>
      </c>
      <c r="BG1424" s="1">
        <f t="shared" ref="BG1424:BG1446" si="2014">MAX(W1424,0)</f>
        <v>1</v>
      </c>
      <c r="BH1424" s="1">
        <f t="shared" si="1990"/>
        <v>1</v>
      </c>
      <c r="BI1424" s="1">
        <f t="shared" ref="BI1424:BI1446" si="2015">MAX(Y1424,0)</f>
        <v>1</v>
      </c>
      <c r="BJ1424" s="1">
        <f>MAX(Z1424,1)</f>
        <v>1</v>
      </c>
      <c r="BK1424" s="1">
        <f>MAX(AA1424,1)</f>
        <v>1</v>
      </c>
      <c r="BL1424" s="1">
        <f t="shared" si="1970"/>
        <v>0</v>
      </c>
      <c r="BM1424" s="1">
        <f t="shared" si="1968"/>
        <v>0</v>
      </c>
      <c r="BN1424" s="1">
        <f t="shared" si="1991"/>
        <v>1</v>
      </c>
      <c r="BO1424" s="1">
        <f t="shared" si="1992"/>
        <v>1</v>
      </c>
    </row>
    <row r="1425" spans="1:67" ht="30.95" customHeight="1">
      <c r="A1425" s="1">
        <f>39</f>
        <v>39</v>
      </c>
      <c r="B1425" s="1">
        <f>固定流程!A21</f>
        <v>16</v>
      </c>
      <c r="C1425" s="1">
        <f>42</f>
        <v>42</v>
      </c>
      <c r="D1425" s="1">
        <f>1</f>
        <v>1</v>
      </c>
      <c r="E1425" s="1">
        <f>固定流程!C21</f>
        <v>3</v>
      </c>
      <c r="F1425" s="1">
        <f>固定流程!G21</f>
        <v>2</v>
      </c>
      <c r="G1425" s="1" t="str">
        <f>固定流程!H21</f>
        <v>37_ULT</v>
      </c>
      <c r="H1425" s="1">
        <f>固定流程!F21</f>
        <v>1</v>
      </c>
      <c r="I1425" s="1">
        <f>INDEX(配置与结果!$B$15:$B$18,F1425)</f>
        <v>2306</v>
      </c>
      <c r="J1425" s="1">
        <f>INDEX(配置与结果!$D$15:$D$18,F1425)</f>
        <v>0.46</v>
      </c>
      <c r="K1425" s="1">
        <f>INDEX(配置与结果!$E$15:$E$18,F1425)</f>
        <v>1.9279999999999999</v>
      </c>
      <c r="L1425" s="1">
        <f t="shared" si="2011"/>
        <v>2</v>
      </c>
      <c r="M1425" s="1">
        <f t="shared" si="2012"/>
        <v>10</v>
      </c>
      <c r="N1425" s="1">
        <f t="shared" si="2013"/>
        <v>2</v>
      </c>
      <c r="O1425" s="1">
        <f t="shared" si="2005"/>
        <v>6</v>
      </c>
      <c r="P1425" s="1">
        <f>MIN(方案参数!$AI$42,AZ1424+0+0)</f>
        <v>5</v>
      </c>
      <c r="Q1425" s="1">
        <f t="shared" si="1975"/>
        <v>5</v>
      </c>
      <c r="R1425" s="1">
        <f t="shared" si="1976"/>
        <v>5</v>
      </c>
      <c r="S1425" s="1">
        <f t="shared" si="1977"/>
        <v>2</v>
      </c>
      <c r="T1425" s="1">
        <f>BD1424+方案参数!$BX$42</f>
        <v>2</v>
      </c>
      <c r="U1425" s="1">
        <f t="shared" si="1979"/>
        <v>0</v>
      </c>
      <c r="V1425" s="1">
        <f t="shared" si="1980"/>
        <v>2</v>
      </c>
      <c r="W1425" s="1">
        <f t="shared" si="1981"/>
        <v>1</v>
      </c>
      <c r="X1425" s="1">
        <f t="shared" si="1982"/>
        <v>1</v>
      </c>
      <c r="Y1425" s="1">
        <f t="shared" si="1983"/>
        <v>1</v>
      </c>
      <c r="Z1425" s="1">
        <f t="shared" si="1984"/>
        <v>1</v>
      </c>
      <c r="AA1425" s="1">
        <f t="shared" ref="AA1425:AA1445" si="2016">MAX(BK1424,0)</f>
        <v>1</v>
      </c>
      <c r="AB1425" s="1">
        <f t="shared" si="1986"/>
        <v>0</v>
      </c>
      <c r="AC1425" s="1">
        <f>MAX(BM1424,1)</f>
        <v>1</v>
      </c>
      <c r="AD1425" s="1">
        <f>ROUNDDOWN(I1425*(1+IF(F1425=3,0.05+方案参数!$Y$42+AA1425*0.12,IF(F1425=4,方案参数!$BZ$42*方案参数!$AS$42,0)))+IF(AND(X1425=1,F1425&lt;&gt;3),方案参数!$CC$42,0)+AC1425*方案参数!$CB$42,0)</f>
        <v>3040</v>
      </c>
      <c r="AE1425" s="1">
        <f>IF(OR(F1425=1,F1425=4),配置与结果!$B$24,配置与结果!$B$25)*MAX(0,1-INDEX(配置与结果!$I$15:$I$18,F1425))</f>
        <v>1000</v>
      </c>
      <c r="AF1425" s="1">
        <f>0</f>
        <v>0</v>
      </c>
      <c r="AG1425" s="1">
        <f>MAX(配置与结果!$B$32,1+INDEX(配置与结果!$F$15:$F$18,F1425)+0+Q1425*方案参数!$W$42+Y1425*(方案参数!$AN$42+MIN(方案参数!$AO$42,P1425*0.03))+AB1425*方案参数!$BZ$42*0.025-配置与结果!$B$28)</f>
        <v>0.995</v>
      </c>
      <c r="AH1425" s="1">
        <f>MAX(0,1+INDEX(配置与结果!$G$15:$G$18,F1425)+W1425*方案参数!$AG$42)</f>
        <v>1.3</v>
      </c>
      <c r="AI1425" s="1">
        <f>IF(OR(INDEX(配置与结果!$K$15:$K$18,F1425)=1,G1425="RHI_BERRY"),1+配置与结果!$B$33+P1425*方案参数!$AH$42,1)</f>
        <v>1</v>
      </c>
      <c r="AJ1425" s="1">
        <f>MIN(1,MAX(0,J1425+方案参数!$AB$42-配置与结果!$B$27))</f>
        <v>0.76</v>
      </c>
      <c r="AK1425" s="1">
        <f>MAX(1,K1425+IF(F1425=2,0.15+方案参数!$CH$42,0)+BN1425*方案参数!$X$42+R1425*方案参数!$AA$42+0-配置与结果!$B$26+Z1425*(方案参数!$AP$42+MIN(方案参数!$AQ$42,P1425*0.03)))</f>
        <v>2.258</v>
      </c>
      <c r="AL1425" s="7">
        <f>ROUNDDOWN(MAX(AD1425*配置与结果!$B$31,AD1425-AE1425)*AF1425*AG1425*AH1425*AI1425,0)</f>
        <v>0</v>
      </c>
      <c r="AM1425" s="7">
        <f>ROUNDDOWN(MAX(AD1425*配置与结果!$B$31,AD1425-AE1425)*AF1425*AG1425*AH1425*AI1425*AK1425,0)</f>
        <v>0</v>
      </c>
      <c r="AN1425" s="7">
        <f t="shared" si="1996"/>
        <v>0</v>
      </c>
      <c r="AO1425" s="7">
        <f>0</f>
        <v>0</v>
      </c>
      <c r="AP1425" s="7">
        <f>MAX(0,1+INDEX(配置与结果!$J$15:$J$18,F1425)+IF(T1425&gt;0,方案参数!$BY$42,0)-配置与结果!$B$30)</f>
        <v>2</v>
      </c>
      <c r="AQ1425" s="7">
        <f t="shared" si="1997"/>
        <v>0</v>
      </c>
      <c r="AR1425" s="7">
        <f t="shared" si="1998"/>
        <v>0</v>
      </c>
      <c r="AS1425" s="7">
        <f t="shared" si="1999"/>
        <v>0</v>
      </c>
      <c r="AT1425" s="7">
        <f>0</f>
        <v>0</v>
      </c>
      <c r="AU1425" s="7">
        <f t="shared" si="2000"/>
        <v>0</v>
      </c>
      <c r="AV1425" s="1">
        <f t="shared" si="2001"/>
        <v>2</v>
      </c>
      <c r="AW1425" s="1">
        <f t="shared" si="2009"/>
        <v>10</v>
      </c>
      <c r="AX1425" s="1">
        <f t="shared" si="2002"/>
        <v>2</v>
      </c>
      <c r="AY1425" s="1">
        <f t="shared" si="1995"/>
        <v>6</v>
      </c>
      <c r="AZ1425" s="1">
        <f t="shared" si="2003"/>
        <v>5</v>
      </c>
      <c r="BA1425" s="1">
        <f t="shared" ref="BA1425:BA1445" si="2017">MIN(6,Q1425+0)</f>
        <v>5</v>
      </c>
      <c r="BB1425" s="1">
        <f>MIN(30,R1425+5)</f>
        <v>10</v>
      </c>
      <c r="BC1425" s="1">
        <f t="shared" si="2010"/>
        <v>2</v>
      </c>
      <c r="BD1425" s="1">
        <f t="shared" si="2004"/>
        <v>2</v>
      </c>
      <c r="BE1425" s="1">
        <f t="shared" si="1989"/>
        <v>0</v>
      </c>
      <c r="BF1425" s="1">
        <f>MIN(4,V1425+0)</f>
        <v>2</v>
      </c>
      <c r="BG1425" s="1">
        <f t="shared" si="2014"/>
        <v>1</v>
      </c>
      <c r="BH1425" s="1">
        <f t="shared" si="1990"/>
        <v>1</v>
      </c>
      <c r="BI1425" s="1">
        <f t="shared" si="2015"/>
        <v>1</v>
      </c>
      <c r="BJ1425" s="1">
        <f t="shared" ref="BJ1425:BJ1452" si="2018">MAX(Z1425,0)</f>
        <v>1</v>
      </c>
      <c r="BK1425" s="1">
        <f t="shared" ref="BK1425:BK1452" si="2019">MAX(AA1425,0)</f>
        <v>1</v>
      </c>
      <c r="BL1425" s="1">
        <f t="shared" si="1970"/>
        <v>0</v>
      </c>
      <c r="BM1425" s="1">
        <f>MAX(AC1425,1)</f>
        <v>1</v>
      </c>
      <c r="BN1425" s="1">
        <f t="shared" si="1991"/>
        <v>1</v>
      </c>
      <c r="BO1425" s="1">
        <f t="shared" si="1992"/>
        <v>1</v>
      </c>
    </row>
    <row r="1426" spans="1:67" ht="30.95" customHeight="1">
      <c r="A1426" s="1">
        <f>39</f>
        <v>39</v>
      </c>
      <c r="B1426" s="1">
        <f>固定流程!A22</f>
        <v>17</v>
      </c>
      <c r="C1426" s="1">
        <f>42</f>
        <v>42</v>
      </c>
      <c r="D1426" s="1">
        <f>1</f>
        <v>1</v>
      </c>
      <c r="E1426" s="1">
        <f>固定流程!C22</f>
        <v>3</v>
      </c>
      <c r="F1426" s="1">
        <f>固定流程!G22</f>
        <v>2</v>
      </c>
      <c r="G1426" s="1" t="str">
        <f>固定流程!H22</f>
        <v>37_FOLLOW</v>
      </c>
      <c r="H1426" s="1">
        <f>固定流程!F22</f>
        <v>1</v>
      </c>
      <c r="I1426" s="1">
        <f>INDEX(配置与结果!$B$15:$B$18,F1426)</f>
        <v>2306</v>
      </c>
      <c r="J1426" s="1">
        <f>INDEX(配置与结果!$D$15:$D$18,F1426)</f>
        <v>0.46</v>
      </c>
      <c r="K1426" s="1">
        <f>INDEX(配置与结果!$E$15:$E$18,F1426)</f>
        <v>1.9279999999999999</v>
      </c>
      <c r="L1426" s="1">
        <f t="shared" si="2011"/>
        <v>2</v>
      </c>
      <c r="M1426" s="1">
        <f t="shared" si="2012"/>
        <v>10</v>
      </c>
      <c r="N1426" s="1">
        <f t="shared" si="2013"/>
        <v>2</v>
      </c>
      <c r="O1426" s="1">
        <f t="shared" si="2005"/>
        <v>6</v>
      </c>
      <c r="P1426" s="1">
        <f>MIN(方案参数!$AI$42,AZ1425+0+0)</f>
        <v>5</v>
      </c>
      <c r="Q1426" s="1">
        <f t="shared" si="1975"/>
        <v>5</v>
      </c>
      <c r="R1426" s="1">
        <f t="shared" si="1976"/>
        <v>10</v>
      </c>
      <c r="S1426" s="1">
        <f t="shared" si="1977"/>
        <v>2</v>
      </c>
      <c r="T1426" s="1">
        <f t="shared" ref="T1426:T1445" si="2020">BD1425+0</f>
        <v>2</v>
      </c>
      <c r="U1426" s="1">
        <f t="shared" si="1979"/>
        <v>0</v>
      </c>
      <c r="V1426" s="1">
        <f t="shared" si="1980"/>
        <v>2</v>
      </c>
      <c r="W1426" s="1">
        <f t="shared" si="1981"/>
        <v>1</v>
      </c>
      <c r="X1426" s="1">
        <f t="shared" si="1982"/>
        <v>1</v>
      </c>
      <c r="Y1426" s="1">
        <f t="shared" si="1983"/>
        <v>1</v>
      </c>
      <c r="Z1426" s="1">
        <f t="shared" si="1984"/>
        <v>1</v>
      </c>
      <c r="AA1426" s="1">
        <f t="shared" si="2016"/>
        <v>1</v>
      </c>
      <c r="AB1426" s="1">
        <f t="shared" si="1986"/>
        <v>0</v>
      </c>
      <c r="AC1426" s="1">
        <f t="shared" ref="AC1426:AC1445" si="2021">MAX(BM1425,0)</f>
        <v>1</v>
      </c>
      <c r="AD1426" s="1">
        <f>ROUNDDOWN(I1426*(1+IF(F1426=3,0.05+方案参数!$Y$42+AA1426*0.12,IF(F1426=4,方案参数!$BZ$42*方案参数!$AS$42,0)))+IF(AND(X1426=1,F1426&lt;&gt;3),方案参数!$CC$42,0)+AC1426*方案参数!$CB$42,0)</f>
        <v>3040</v>
      </c>
      <c r="AE1426" s="1">
        <f>IF(OR(F1426=1,F1426=4),配置与结果!$B$24,配置与结果!$B$25)*MAX(0,1-INDEX(配置与结果!$I$15:$I$18,F1426))</f>
        <v>1000</v>
      </c>
      <c r="AF1426" s="1">
        <f>方案参数!$BV$42</f>
        <v>3</v>
      </c>
      <c r="AG1426" s="1">
        <f>MAX(配置与结果!$B$32,1+INDEX(配置与结果!$F$15:$F$18,F1426)+0+Q1426*方案参数!$W$42+Y1426*(方案参数!$AN$42+MIN(方案参数!$AO$42,P1426*0.03))+AB1426*方案参数!$BZ$42*0.025-配置与结果!$B$28)</f>
        <v>0.995</v>
      </c>
      <c r="AH1426" s="1">
        <f>MAX(0,1+INDEX(配置与结果!$G$15:$G$18,F1426)+W1426*方案参数!$AG$42)</f>
        <v>1.3</v>
      </c>
      <c r="AI1426" s="1">
        <f>IF(OR(INDEX(配置与结果!$K$15:$K$18,F1426)=1,G1426="RHI_BERRY"),1+配置与结果!$B$33+P1426*方案参数!$AH$42,1)</f>
        <v>1</v>
      </c>
      <c r="AJ1426" s="1">
        <f>MIN(1,MAX(0,J1426+方案参数!$AB$42-配置与结果!$B$27))</f>
        <v>0.76</v>
      </c>
      <c r="AK1426" s="1">
        <f>MAX(1,K1426+IF(F1426=2,0.15+方案参数!$CH$42,0)+BN1426*方案参数!$X$42+R1426*方案参数!$AA$42+0-配置与结果!$B$26+Z1426*(方案参数!$AP$42+MIN(方案参数!$AQ$42,P1426*0.03)))</f>
        <v>2.278</v>
      </c>
      <c r="AL1426" s="7">
        <f>ROUNDDOWN(MAX(AD1426*配置与结果!$B$31,AD1426-AE1426)*AF1426*AG1426*AH1426*AI1426,0)</f>
        <v>7916</v>
      </c>
      <c r="AM1426" s="7">
        <f>ROUNDDOWN(MAX(AD1426*配置与结果!$B$31,AD1426-AE1426)*AF1426*AG1426*AH1426*AI1426*AK1426,0)</f>
        <v>18033</v>
      </c>
      <c r="AN1426" s="7">
        <f t="shared" si="1996"/>
        <v>15604.92</v>
      </c>
      <c r="AO1426" s="7">
        <f>方案参数!$BW$42</f>
        <v>1</v>
      </c>
      <c r="AP1426" s="7">
        <f>MAX(0,1+INDEX(配置与结果!$J$15:$J$18,F1426)+IF(T1426&gt;0,方案参数!$BY$42,0)-配置与结果!$B$30)</f>
        <v>2</v>
      </c>
      <c r="AQ1426" s="7">
        <f t="shared" si="1997"/>
        <v>6080</v>
      </c>
      <c r="AR1426" s="7">
        <f t="shared" si="1998"/>
        <v>13850</v>
      </c>
      <c r="AS1426" s="7">
        <f t="shared" si="1999"/>
        <v>11985.2</v>
      </c>
      <c r="AT1426" s="7">
        <f>0</f>
        <v>0</v>
      </c>
      <c r="AU1426" s="7">
        <f t="shared" si="2000"/>
        <v>27590.120000000003</v>
      </c>
      <c r="AV1426" s="1">
        <f t="shared" si="2001"/>
        <v>2</v>
      </c>
      <c r="AW1426" s="1">
        <f t="shared" si="2009"/>
        <v>10</v>
      </c>
      <c r="AX1426" s="1">
        <f t="shared" si="2002"/>
        <v>2</v>
      </c>
      <c r="AY1426" s="1">
        <f t="shared" si="1995"/>
        <v>6</v>
      </c>
      <c r="AZ1426" s="1">
        <f t="shared" si="2003"/>
        <v>5</v>
      </c>
      <c r="BA1426" s="1">
        <f t="shared" si="2017"/>
        <v>5</v>
      </c>
      <c r="BB1426" s="1">
        <f>MIN(30,R1426+0)</f>
        <v>10</v>
      </c>
      <c r="BC1426" s="1">
        <f t="shared" si="2010"/>
        <v>2</v>
      </c>
      <c r="BD1426" s="1">
        <f t="shared" si="2004"/>
        <v>1</v>
      </c>
      <c r="BE1426" s="1">
        <f t="shared" si="1989"/>
        <v>0</v>
      </c>
      <c r="BF1426" s="1">
        <f>MIN(4,V1426+1)</f>
        <v>3</v>
      </c>
      <c r="BG1426" s="1">
        <f t="shared" si="2014"/>
        <v>1</v>
      </c>
      <c r="BH1426" s="1">
        <f t="shared" si="1990"/>
        <v>1</v>
      </c>
      <c r="BI1426" s="1">
        <f t="shared" si="2015"/>
        <v>1</v>
      </c>
      <c r="BJ1426" s="1">
        <f t="shared" si="2018"/>
        <v>1</v>
      </c>
      <c r="BK1426" s="1">
        <f t="shared" si="2019"/>
        <v>1</v>
      </c>
      <c r="BL1426" s="1">
        <f t="shared" si="1970"/>
        <v>0</v>
      </c>
      <c r="BM1426" s="1">
        <f t="shared" ref="BM1426:BM1460" si="2022">MAX(AC1426,0)</f>
        <v>1</v>
      </c>
      <c r="BN1426" s="1">
        <f t="shared" si="1991"/>
        <v>1</v>
      </c>
      <c r="BO1426" s="1">
        <f t="shared" si="1992"/>
        <v>1</v>
      </c>
    </row>
    <row r="1427" spans="1:67" ht="30.95" customHeight="1">
      <c r="A1427" s="1">
        <f>39</f>
        <v>39</v>
      </c>
      <c r="B1427" s="1">
        <f>固定流程!A23</f>
        <v>18</v>
      </c>
      <c r="C1427" s="1">
        <f>42</f>
        <v>42</v>
      </c>
      <c r="D1427" s="1">
        <f>1</f>
        <v>1</v>
      </c>
      <c r="E1427" s="1">
        <f>固定流程!C23</f>
        <v>3</v>
      </c>
      <c r="F1427" s="1">
        <f>固定流程!G23</f>
        <v>4</v>
      </c>
      <c r="G1427" s="1" t="str">
        <f>固定流程!H23</f>
        <v>J_HARD</v>
      </c>
      <c r="H1427" s="1">
        <f>固定流程!F23</f>
        <v>1</v>
      </c>
      <c r="I1427" s="1">
        <f>INDEX(配置与结果!$B$15:$B$18,F1427)</f>
        <v>1906</v>
      </c>
      <c r="J1427" s="1">
        <f>INDEX(配置与结果!$D$15:$D$18,F1427)</f>
        <v>0.36699999999999999</v>
      </c>
      <c r="K1427" s="1">
        <f>INDEX(配置与结果!$E$15:$E$18,F1427)</f>
        <v>1.7170000000000001</v>
      </c>
      <c r="L1427" s="1">
        <f t="shared" si="2011"/>
        <v>2</v>
      </c>
      <c r="M1427" s="1">
        <f t="shared" si="2012"/>
        <v>10</v>
      </c>
      <c r="N1427" s="1">
        <f t="shared" si="2013"/>
        <v>2</v>
      </c>
      <c r="O1427" s="1">
        <f t="shared" si="2005"/>
        <v>6</v>
      </c>
      <c r="P1427" s="1">
        <f>MIN(方案参数!$AI$42,AZ1426+0+0)</f>
        <v>5</v>
      </c>
      <c r="Q1427" s="1">
        <f t="shared" si="1975"/>
        <v>5</v>
      </c>
      <c r="R1427" s="1">
        <f t="shared" si="1976"/>
        <v>10</v>
      </c>
      <c r="S1427" s="1">
        <f t="shared" si="1977"/>
        <v>2</v>
      </c>
      <c r="T1427" s="1">
        <f t="shared" si="2020"/>
        <v>1</v>
      </c>
      <c r="U1427" s="1">
        <f t="shared" si="1979"/>
        <v>0</v>
      </c>
      <c r="V1427" s="1">
        <f t="shared" si="1980"/>
        <v>3</v>
      </c>
      <c r="W1427" s="1">
        <f t="shared" si="1981"/>
        <v>1</v>
      </c>
      <c r="X1427" s="1">
        <f t="shared" si="1982"/>
        <v>1</v>
      </c>
      <c r="Y1427" s="1">
        <f t="shared" si="1983"/>
        <v>1</v>
      </c>
      <c r="Z1427" s="1">
        <f t="shared" si="1984"/>
        <v>1</v>
      </c>
      <c r="AA1427" s="1">
        <f t="shared" si="2016"/>
        <v>1</v>
      </c>
      <c r="AB1427" s="1">
        <f t="shared" si="1986"/>
        <v>0</v>
      </c>
      <c r="AC1427" s="1">
        <f t="shared" si="2021"/>
        <v>1</v>
      </c>
      <c r="AD1427" s="1">
        <f>ROUNDDOWN(I1427*(1+IF(F1427=3,0.05+方案参数!$Y$42+AA1427*0.12,IF(F1427=4,方案参数!$BZ$42*方案参数!$AS$42,0)))+IF(AND(X1427=1,F1427&lt;&gt;3),方案参数!$CC$42,0)+AC1427*方案参数!$CB$42,0)</f>
        <v>3307</v>
      </c>
      <c r="AE1427" s="1">
        <f>IF(OR(F1427=1,F1427=4),配置与结果!$B$24,配置与结果!$B$25)*MAX(0,1-INDEX(配置与结果!$I$15:$I$18,F1427))</f>
        <v>1200</v>
      </c>
      <c r="AF1427" s="1">
        <f>3.6*IF(H1427=1,1,IF(H1427=2,1.5,2.5))</f>
        <v>3.6</v>
      </c>
      <c r="AG1427" s="1">
        <f>MAX(配置与结果!$B$32,1+INDEX(配置与结果!$F$15:$F$18,F1427)+0.08+Q1427*方案参数!$W$42+Y1427*(方案参数!$AN$42+MIN(方案参数!$AO$42,P1427*0.03))+AB1427*方案参数!$BZ$42*0.025+0.1+IF(方案参数!$BZ$42&gt;=30,方案参数!$BZ$42*0.01,0)-配置与结果!$B$28)</f>
        <v>1.5450000000000004</v>
      </c>
      <c r="AH1427" s="1">
        <f>MAX(0,1+INDEX(配置与结果!$G$15:$G$18,F1427)+W1427*方案参数!$AG$42)</f>
        <v>1.3</v>
      </c>
      <c r="AI1427" s="1">
        <f>IF(OR(INDEX(配置与结果!$K$15:$K$18,F1427)=1,G1427="RHI_BERRY"),1+配置与结果!$B$33+P1427*方案参数!$AH$42,1)</f>
        <v>1</v>
      </c>
      <c r="AJ1427" s="1">
        <f>MIN(1,MAX(0,J1427+方案参数!$AB$42-配置与结果!$B$27))</f>
        <v>0.66700000000000004</v>
      </c>
      <c r="AK1427" s="1">
        <f>MAX(1,K1427+IF(F1427=2,0.15+方案参数!$CH$42,0)+BN1427*方案参数!$X$42+R1427*方案参数!$AA$42+0-配置与结果!$B$26+Z1427*(方案参数!$AP$42+MIN(方案参数!$AQ$42,P1427*0.03)))</f>
        <v>1.7970000000000004</v>
      </c>
      <c r="AL1427" s="7">
        <f>ROUNDDOWN(MAX(AD1427*配置与结果!$B$31,AD1427-AE1427)*AF1427*AG1427*AH1427*AI1427,0)</f>
        <v>15234</v>
      </c>
      <c r="AM1427" s="7">
        <f>ROUNDDOWN(MAX(AD1427*配置与结果!$B$31,AD1427-AE1427)*AF1427*AG1427*AH1427*AI1427*AK1427,0)</f>
        <v>27377</v>
      </c>
      <c r="AN1427" s="7">
        <f t="shared" si="1996"/>
        <v>23333.381000000001</v>
      </c>
      <c r="AO1427" s="7">
        <f>0</f>
        <v>0</v>
      </c>
      <c r="AP1427" s="7">
        <f>MAX(0,1+INDEX(配置与结果!$J$15:$J$18,F1427)+IF(T1427&gt;0,方案参数!$BY$42,0)-配置与结果!$B$30)</f>
        <v>2</v>
      </c>
      <c r="AQ1427" s="7">
        <f t="shared" si="1997"/>
        <v>0</v>
      </c>
      <c r="AR1427" s="7">
        <f t="shared" si="1998"/>
        <v>0</v>
      </c>
      <c r="AS1427" s="7">
        <f t="shared" si="1999"/>
        <v>0</v>
      </c>
      <c r="AT1427" s="7">
        <f>0</f>
        <v>0</v>
      </c>
      <c r="AU1427" s="7">
        <f t="shared" si="2000"/>
        <v>23333.381000000001</v>
      </c>
      <c r="AV1427" s="1">
        <f t="shared" si="2001"/>
        <v>2</v>
      </c>
      <c r="AW1427" s="1">
        <f t="shared" si="2009"/>
        <v>10</v>
      </c>
      <c r="AX1427" s="1">
        <f t="shared" si="2002"/>
        <v>2</v>
      </c>
      <c r="AY1427" s="1">
        <f t="shared" si="1995"/>
        <v>6</v>
      </c>
      <c r="AZ1427" s="1">
        <f t="shared" si="2003"/>
        <v>5</v>
      </c>
      <c r="BA1427" s="1">
        <f t="shared" si="2017"/>
        <v>5</v>
      </c>
      <c r="BB1427" s="1">
        <f>MIN(30,R1427+0)</f>
        <v>10</v>
      </c>
      <c r="BC1427" s="1">
        <f>MIN(3,S1427+1)</f>
        <v>3</v>
      </c>
      <c r="BD1427" s="1">
        <f t="shared" si="2004"/>
        <v>1</v>
      </c>
      <c r="BE1427" s="1">
        <f t="shared" si="1989"/>
        <v>0</v>
      </c>
      <c r="BF1427" s="1">
        <f>MIN(4,V1427+0)</f>
        <v>3</v>
      </c>
      <c r="BG1427" s="1">
        <f t="shared" si="2014"/>
        <v>1</v>
      </c>
      <c r="BH1427" s="1">
        <f t="shared" si="1990"/>
        <v>1</v>
      </c>
      <c r="BI1427" s="1">
        <f t="shared" si="2015"/>
        <v>1</v>
      </c>
      <c r="BJ1427" s="1">
        <f t="shared" si="2018"/>
        <v>1</v>
      </c>
      <c r="BK1427" s="1">
        <f t="shared" si="2019"/>
        <v>1</v>
      </c>
      <c r="BL1427" s="1">
        <f t="shared" si="1970"/>
        <v>0</v>
      </c>
      <c r="BM1427" s="1">
        <f t="shared" si="2022"/>
        <v>1</v>
      </c>
      <c r="BN1427" s="1">
        <f t="shared" si="1991"/>
        <v>1</v>
      </c>
      <c r="BO1427" s="1">
        <f t="shared" si="1992"/>
        <v>1</v>
      </c>
    </row>
    <row r="1428" spans="1:67" ht="30.95" customHeight="1">
      <c r="A1428" s="1">
        <f>39</f>
        <v>39</v>
      </c>
      <c r="B1428" s="1">
        <f>固定流程!A24</f>
        <v>19</v>
      </c>
      <c r="C1428" s="1">
        <f>42</f>
        <v>42</v>
      </c>
      <c r="D1428" s="1">
        <f>1</f>
        <v>1</v>
      </c>
      <c r="E1428" s="1">
        <f>固定流程!C24</f>
        <v>3</v>
      </c>
      <c r="F1428" s="1">
        <f>固定流程!G24</f>
        <v>4</v>
      </c>
      <c r="G1428" s="1" t="str">
        <f>固定流程!H24</f>
        <v>J_ULT</v>
      </c>
      <c r="H1428" s="1">
        <f>固定流程!F24</f>
        <v>1</v>
      </c>
      <c r="I1428" s="1">
        <f>INDEX(配置与结果!$B$15:$B$18,F1428)</f>
        <v>1906</v>
      </c>
      <c r="J1428" s="1">
        <f>INDEX(配置与结果!$D$15:$D$18,F1428)</f>
        <v>0.36699999999999999</v>
      </c>
      <c r="K1428" s="1">
        <f>INDEX(配置与结果!$E$15:$E$18,F1428)</f>
        <v>1.7170000000000001</v>
      </c>
      <c r="L1428" s="1">
        <f t="shared" si="2011"/>
        <v>2</v>
      </c>
      <c r="M1428" s="1">
        <f t="shared" si="2012"/>
        <v>10</v>
      </c>
      <c r="N1428" s="1">
        <f t="shared" si="2013"/>
        <v>2</v>
      </c>
      <c r="O1428" s="1">
        <f t="shared" si="2005"/>
        <v>6</v>
      </c>
      <c r="P1428" s="1">
        <f>MIN(方案参数!$AI$42,AZ1427+0+0)</f>
        <v>5</v>
      </c>
      <c r="Q1428" s="1">
        <f t="shared" si="1975"/>
        <v>5</v>
      </c>
      <c r="R1428" s="1">
        <f t="shared" si="1976"/>
        <v>10</v>
      </c>
      <c r="S1428" s="1">
        <f t="shared" si="1977"/>
        <v>3</v>
      </c>
      <c r="T1428" s="1">
        <f t="shared" si="2020"/>
        <v>1</v>
      </c>
      <c r="U1428" s="1">
        <f t="shared" si="1979"/>
        <v>0</v>
      </c>
      <c r="V1428" s="1">
        <f t="shared" si="1980"/>
        <v>3</v>
      </c>
      <c r="W1428" s="1">
        <f t="shared" si="1981"/>
        <v>1</v>
      </c>
      <c r="X1428" s="1">
        <f t="shared" si="1982"/>
        <v>1</v>
      </c>
      <c r="Y1428" s="1">
        <f t="shared" si="1983"/>
        <v>1</v>
      </c>
      <c r="Z1428" s="1">
        <f t="shared" si="1984"/>
        <v>1</v>
      </c>
      <c r="AA1428" s="1">
        <f t="shared" si="2016"/>
        <v>1</v>
      </c>
      <c r="AB1428" s="1">
        <f t="shared" si="1986"/>
        <v>0</v>
      </c>
      <c r="AC1428" s="1">
        <f t="shared" si="2021"/>
        <v>1</v>
      </c>
      <c r="AD1428" s="1">
        <f>ROUNDDOWN(I1428*(1+IF(F1428=3,0.05+方案参数!$Y$42+AA1428*0.12,IF(F1428=4,方案参数!$BZ$42*方案参数!$AS$42,0)))+IF(AND(X1428=1,F1428&lt;&gt;3),方案参数!$CC$42,0)+AC1428*方案参数!$CB$42,0)</f>
        <v>3307</v>
      </c>
      <c r="AE1428" s="1">
        <f>IF(OR(F1428=1,F1428=4),配置与结果!$B$24,配置与结果!$B$25)*MAX(0,1-INDEX(配置与结果!$I$15:$I$18,F1428))</f>
        <v>1200</v>
      </c>
      <c r="AF1428" s="1">
        <f>方案参数!$AT$42+MAX(0,配置与结果!$H$26+方案参数!$BZ$42-30)*方案参数!$AU$42*配置与结果!$H$27</f>
        <v>42</v>
      </c>
      <c r="AG1428" s="1">
        <f>MAX(配置与结果!$B$32,1+INDEX(配置与结果!$F$15:$F$18,F1428)+0.08+Q1428*方案参数!$W$42+Y1428*(方案参数!$AN$42+MIN(方案参数!$AO$42,P1428*0.03))+AB1428*方案参数!$BZ$42*0.025-配置与结果!$B$28)</f>
        <v>1.0950000000000002</v>
      </c>
      <c r="AH1428" s="1">
        <f>MAX(0,1+INDEX(配置与结果!$H$15:$H$18,F1428)+W1428*方案参数!$AG$42+S1428*方案参数!$Z$42)</f>
        <v>1.42</v>
      </c>
      <c r="AI1428" s="1">
        <f>IF(OR(INDEX(配置与结果!$K$15:$K$18,F1428)=1,G1428="RHI_BERRY"),1+配置与结果!$B$33+P1428*方案参数!$AH$42,1)</f>
        <v>1</v>
      </c>
      <c r="AJ1428" s="1">
        <f>MIN(1,MAX(0,J1428+方案参数!$AB$42-配置与结果!$B$27))</f>
        <v>0.66700000000000004</v>
      </c>
      <c r="AK1428" s="1">
        <f>MAX(1,K1428+IF(F1428=2,0.15+方案参数!$CH$42,0)+BN1428*方案参数!$X$42+R1428*方案参数!$AA$42+0-配置与结果!$B$26+Z1428*(方案参数!$AP$42+MIN(方案参数!$AQ$42,P1428*0.03)))</f>
        <v>1.7970000000000004</v>
      </c>
      <c r="AL1428" s="7">
        <f>ROUNDDOWN(MAX(AD1428*配置与结果!$B$31,AD1428-AE1428)*AF1428*AG1428*AH1428*AI1428,0)</f>
        <v>137599</v>
      </c>
      <c r="AM1428" s="7">
        <f>ROUNDDOWN(MAX(AD1428*配置与结果!$B$31,AD1428-AE1428)*AF1428*AG1428*AH1428*AI1428*AK1428,0)</f>
        <v>247265</v>
      </c>
      <c r="AN1428" s="7">
        <f t="shared" si="1996"/>
        <v>210746.22200000001</v>
      </c>
      <c r="AO1428" s="7">
        <f>0</f>
        <v>0</v>
      </c>
      <c r="AP1428" s="7">
        <f>MAX(0,1+INDEX(配置与结果!$J$15:$J$18,F1428)+IF(T1428&gt;0,方案参数!$BY$42,0)-配置与结果!$B$30)</f>
        <v>2</v>
      </c>
      <c r="AQ1428" s="7">
        <f t="shared" si="1997"/>
        <v>0</v>
      </c>
      <c r="AR1428" s="7">
        <f t="shared" si="1998"/>
        <v>0</v>
      </c>
      <c r="AS1428" s="7">
        <f t="shared" si="1999"/>
        <v>0</v>
      </c>
      <c r="AT1428" s="7">
        <f>0</f>
        <v>0</v>
      </c>
      <c r="AU1428" s="7">
        <f t="shared" si="2000"/>
        <v>210746.22200000001</v>
      </c>
      <c r="AV1428" s="1">
        <f t="shared" si="2001"/>
        <v>2</v>
      </c>
      <c r="AW1428" s="1">
        <f t="shared" si="2009"/>
        <v>10</v>
      </c>
      <c r="AX1428" s="1">
        <f t="shared" si="2002"/>
        <v>2</v>
      </c>
      <c r="AY1428" s="1">
        <f t="shared" si="1995"/>
        <v>6</v>
      </c>
      <c r="AZ1428" s="1">
        <f t="shared" si="2003"/>
        <v>5</v>
      </c>
      <c r="BA1428" s="1">
        <f t="shared" si="2017"/>
        <v>5</v>
      </c>
      <c r="BB1428" s="1">
        <f>MIN(30,R1428+5)</f>
        <v>15</v>
      </c>
      <c r="BC1428" s="1">
        <f t="shared" ref="BC1428:BC1451" si="2023">MIN(3,S1428+0)</f>
        <v>3</v>
      </c>
      <c r="BD1428" s="1">
        <f t="shared" si="2004"/>
        <v>1</v>
      </c>
      <c r="BE1428" s="1">
        <f t="shared" si="1989"/>
        <v>0</v>
      </c>
      <c r="BF1428" s="1">
        <f>MIN(4,V1428+0)</f>
        <v>3</v>
      </c>
      <c r="BG1428" s="1">
        <f t="shared" si="2014"/>
        <v>1</v>
      </c>
      <c r="BH1428" s="1">
        <f t="shared" si="1990"/>
        <v>1</v>
      </c>
      <c r="BI1428" s="1">
        <f t="shared" si="2015"/>
        <v>1</v>
      </c>
      <c r="BJ1428" s="1">
        <f t="shared" si="2018"/>
        <v>1</v>
      </c>
      <c r="BK1428" s="1">
        <f t="shared" si="2019"/>
        <v>1</v>
      </c>
      <c r="BL1428" s="1">
        <f>MAX(AB1428,1)</f>
        <v>1</v>
      </c>
      <c r="BM1428" s="1">
        <f t="shared" si="2022"/>
        <v>1</v>
      </c>
      <c r="BN1428" s="1">
        <f t="shared" si="1991"/>
        <v>1</v>
      </c>
      <c r="BO1428" s="1">
        <f t="shared" si="1992"/>
        <v>1</v>
      </c>
    </row>
    <row r="1429" spans="1:67" ht="30.95" customHeight="1">
      <c r="A1429" s="1">
        <f>39</f>
        <v>39</v>
      </c>
      <c r="B1429" s="1">
        <f>固定流程!A25</f>
        <v>20</v>
      </c>
      <c r="C1429" s="1">
        <f>42</f>
        <v>42</v>
      </c>
      <c r="D1429" s="1">
        <f>1</f>
        <v>1</v>
      </c>
      <c r="E1429" s="1">
        <f>固定流程!C25</f>
        <v>3</v>
      </c>
      <c r="F1429" s="1">
        <f>固定流程!G25</f>
        <v>1</v>
      </c>
      <c r="G1429" s="1" t="str">
        <f>固定流程!H25</f>
        <v>LILYA_ULT</v>
      </c>
      <c r="H1429" s="1">
        <f>固定流程!F25</f>
        <v>1</v>
      </c>
      <c r="I1429" s="1">
        <f>INDEX(配置与结果!$B$15:$B$18,F1429)</f>
        <v>2296</v>
      </c>
      <c r="J1429" s="1">
        <f>INDEX(配置与结果!$D$15:$D$18,F1429)</f>
        <v>0.7</v>
      </c>
      <c r="K1429" s="1">
        <f>INDEX(配置与结果!$E$15:$E$18,F1429)</f>
        <v>2.0249999999999999</v>
      </c>
      <c r="L1429" s="1">
        <f t="shared" si="2011"/>
        <v>2</v>
      </c>
      <c r="M1429" s="1">
        <f t="shared" si="2012"/>
        <v>10</v>
      </c>
      <c r="N1429" s="1">
        <f t="shared" si="2013"/>
        <v>2</v>
      </c>
      <c r="O1429" s="1">
        <f t="shared" si="2005"/>
        <v>6</v>
      </c>
      <c r="P1429" s="1">
        <f>MIN(方案参数!$AI$42,AZ1428+0+0)</f>
        <v>5</v>
      </c>
      <c r="Q1429" s="1">
        <f t="shared" si="1975"/>
        <v>5</v>
      </c>
      <c r="R1429" s="1">
        <f t="shared" si="1976"/>
        <v>15</v>
      </c>
      <c r="S1429" s="1">
        <f t="shared" si="1977"/>
        <v>3</v>
      </c>
      <c r="T1429" s="1">
        <f t="shared" si="2020"/>
        <v>1</v>
      </c>
      <c r="U1429" s="1">
        <f t="shared" si="1979"/>
        <v>0</v>
      </c>
      <c r="V1429" s="1">
        <f t="shared" si="1980"/>
        <v>3</v>
      </c>
      <c r="W1429" s="1">
        <f t="shared" si="1981"/>
        <v>1</v>
      </c>
      <c r="X1429" s="1">
        <f t="shared" si="1982"/>
        <v>1</v>
      </c>
      <c r="Y1429" s="1">
        <f t="shared" si="1983"/>
        <v>1</v>
      </c>
      <c r="Z1429" s="1">
        <f t="shared" si="1984"/>
        <v>1</v>
      </c>
      <c r="AA1429" s="1">
        <f t="shared" si="2016"/>
        <v>1</v>
      </c>
      <c r="AB1429" s="1">
        <f t="shared" si="1986"/>
        <v>1</v>
      </c>
      <c r="AC1429" s="1">
        <f t="shared" si="2021"/>
        <v>1</v>
      </c>
      <c r="AD1429" s="1">
        <f>ROUNDDOWN(I1429*(1+IF(F1429=3,0.05+方案参数!$Y$42+AA1429*0.12,IF(F1429=4,方案参数!$BZ$42*方案参数!$AS$42,0)))+IF(AND(X1429=1,F1429&lt;&gt;3),方案参数!$CC$42,0)+AC1429*方案参数!$CB$42,0)</f>
        <v>3030</v>
      </c>
      <c r="AE1429" s="1">
        <f>IF(OR(F1429=1,F1429=4),配置与结果!$B$24,配置与结果!$B$25)*MAX(0,1-INDEX(配置与结果!$I$15:$I$18,F1429)+IF(O1429&gt;=6,方案参数!$BK$42,0))</f>
        <v>1440</v>
      </c>
      <c r="AF1429" s="1">
        <f>方案参数!$BG$42+IF(O1429&gt;=6,方案参数!$BH$42,0)</f>
        <v>36</v>
      </c>
      <c r="AG1429" s="1">
        <f>MAX(配置与结果!$B$32,1+INDEX(配置与结果!$F$15:$F$18,F1429)+0.08+方案参数!$CD$42+Q1429*方案参数!$W$42+Y1429*(方案参数!$AN$42+MIN(方案参数!$AO$42,P1429*0.03))+AB1429*方案参数!$BZ$42*0.025-配置与结果!$B$28)</f>
        <v>2.2050000000000005</v>
      </c>
      <c r="AH1429" s="1">
        <f>MAX(0,1+INDEX(配置与结果!$H$15:$H$18,F1429)+W1429*方案参数!$AG$42+O1429*方案参数!$BF$42+IF(O1429&gt;=6,方案参数!$BI$42,0))</f>
        <v>2.4500000000000002</v>
      </c>
      <c r="AI1429" s="1">
        <f>IF(OR(INDEX(配置与结果!$K$15:$K$18,F1429)=1,G1429="RHI_BERRY"),1+配置与结果!$B$33+P1429*方案参数!$AH$42,1)</f>
        <v>1</v>
      </c>
      <c r="AJ1429" s="1">
        <f>MIN(1,MAX(0,J1429+方案参数!$AB$42-配置与结果!$B$27))</f>
        <v>1</v>
      </c>
      <c r="AK1429" s="1">
        <f>MAX(1,K1429+IF(F1429=2,0.15+方案参数!$CH$42,0)+BN1429*方案参数!$X$42+R1429*方案参数!$AA$42+IF(O1429&gt;=6,方案参数!$BJ$42,0)-配置与结果!$B$26+Z1429*(方案参数!$AP$42+MIN(方案参数!$AQ$42,P1429*0.03)))</f>
        <v>3.125</v>
      </c>
      <c r="AL1429" s="7">
        <f>ROUNDDOWN(MAX(AD1429*配置与结果!$B$31,AD1429-AE1429)*AF1429*AG1429*AH1429*AI1429,0)</f>
        <v>309224</v>
      </c>
      <c r="AM1429" s="7">
        <f>ROUNDDOWN(MAX(AD1429*配置与结果!$B$31,AD1429-AE1429)*AF1429*AG1429*AH1429*AI1429*AK1429,0)</f>
        <v>966327</v>
      </c>
      <c r="AN1429" s="7">
        <f t="shared" si="1996"/>
        <v>966327</v>
      </c>
      <c r="AO1429" s="7">
        <f>0</f>
        <v>0</v>
      </c>
      <c r="AP1429" s="7">
        <f>MAX(0,1+INDEX(配置与结果!$J$15:$J$18,F1429)+IF(T1429&gt;0,方案参数!$BY$42,0)-配置与结果!$B$30)</f>
        <v>2</v>
      </c>
      <c r="AQ1429" s="7">
        <f t="shared" si="1997"/>
        <v>0</v>
      </c>
      <c r="AR1429" s="7">
        <f t="shared" si="1998"/>
        <v>0</v>
      </c>
      <c r="AS1429" s="7">
        <f t="shared" si="1999"/>
        <v>0</v>
      </c>
      <c r="AT1429" s="7">
        <f>0</f>
        <v>0</v>
      </c>
      <c r="AU1429" s="7">
        <f t="shared" si="2000"/>
        <v>966327</v>
      </c>
      <c r="AV1429" s="1">
        <f t="shared" si="2001"/>
        <v>2</v>
      </c>
      <c r="AW1429" s="1">
        <f t="shared" si="2009"/>
        <v>10</v>
      </c>
      <c r="AX1429" s="1">
        <f t="shared" si="2002"/>
        <v>2</v>
      </c>
      <c r="AY1429" s="1">
        <f>MIN(20,MAX(0,O1429+0+0-IF(O1429&gt;=6,6,0)))</f>
        <v>0</v>
      </c>
      <c r="AZ1429" s="1">
        <f t="shared" si="2003"/>
        <v>5</v>
      </c>
      <c r="BA1429" s="1">
        <f t="shared" si="2017"/>
        <v>5</v>
      </c>
      <c r="BB1429" s="1">
        <f>MIN(30,R1429+5)</f>
        <v>20</v>
      </c>
      <c r="BC1429" s="1">
        <f t="shared" si="2023"/>
        <v>3</v>
      </c>
      <c r="BD1429" s="1">
        <f t="shared" si="2004"/>
        <v>1</v>
      </c>
      <c r="BE1429" s="1">
        <f t="shared" si="1989"/>
        <v>0</v>
      </c>
      <c r="BF1429" s="1">
        <f>MIN(4,V1429+0)</f>
        <v>3</v>
      </c>
      <c r="BG1429" s="1">
        <f t="shared" si="2014"/>
        <v>1</v>
      </c>
      <c r="BH1429" s="1">
        <f t="shared" si="1990"/>
        <v>1</v>
      </c>
      <c r="BI1429" s="1">
        <f t="shared" si="2015"/>
        <v>1</v>
      </c>
      <c r="BJ1429" s="1">
        <f t="shared" si="2018"/>
        <v>1</v>
      </c>
      <c r="BK1429" s="1">
        <f t="shared" si="2019"/>
        <v>1</v>
      </c>
      <c r="BL1429" s="1">
        <f t="shared" ref="BL1429:BL1463" si="2024">MAX(AB1429,0)</f>
        <v>1</v>
      </c>
      <c r="BM1429" s="1">
        <f t="shared" si="2022"/>
        <v>1</v>
      </c>
      <c r="BN1429" s="1">
        <f t="shared" si="1991"/>
        <v>1</v>
      </c>
      <c r="BO1429" s="1">
        <f t="shared" si="1992"/>
        <v>1</v>
      </c>
    </row>
    <row r="1430" spans="1:67" ht="30.95" customHeight="1">
      <c r="A1430" s="1">
        <f>39</f>
        <v>39</v>
      </c>
      <c r="B1430" s="1">
        <f>固定流程!A26</f>
        <v>21</v>
      </c>
      <c r="C1430" s="1">
        <f>42</f>
        <v>42</v>
      </c>
      <c r="D1430" s="1">
        <f>1</f>
        <v>1</v>
      </c>
      <c r="E1430" s="1">
        <f>固定流程!C26</f>
        <v>3</v>
      </c>
      <c r="F1430" s="1">
        <f>固定流程!G26</f>
        <v>1</v>
      </c>
      <c r="G1430" s="1" t="str">
        <f>固定流程!H26</f>
        <v>LILYA_DIVE</v>
      </c>
      <c r="H1430" s="1">
        <f>固定流程!F26</f>
        <v>3</v>
      </c>
      <c r="I1430" s="1">
        <f>INDEX(配置与结果!$B$15:$B$18,F1430)</f>
        <v>2296</v>
      </c>
      <c r="J1430" s="1">
        <f>INDEX(配置与结果!$D$15:$D$18,F1430)</f>
        <v>0.7</v>
      </c>
      <c r="K1430" s="1">
        <f>INDEX(配置与结果!$E$15:$E$18,F1430)</f>
        <v>2.0249999999999999</v>
      </c>
      <c r="L1430" s="1">
        <f t="shared" si="2011"/>
        <v>2</v>
      </c>
      <c r="M1430" s="1">
        <f t="shared" si="2012"/>
        <v>10</v>
      </c>
      <c r="N1430" s="1">
        <f t="shared" si="2013"/>
        <v>2</v>
      </c>
      <c r="O1430" s="1">
        <f t="shared" si="2005"/>
        <v>0</v>
      </c>
      <c r="P1430" s="1">
        <f>MIN(方案参数!$AI$42,AZ1429+0+0)</f>
        <v>5</v>
      </c>
      <c r="Q1430" s="1">
        <f t="shared" si="1975"/>
        <v>5</v>
      </c>
      <c r="R1430" s="1">
        <f t="shared" si="1976"/>
        <v>20</v>
      </c>
      <c r="S1430" s="1">
        <f t="shared" si="1977"/>
        <v>3</v>
      </c>
      <c r="T1430" s="1">
        <f t="shared" si="2020"/>
        <v>1</v>
      </c>
      <c r="U1430" s="1">
        <f t="shared" si="1979"/>
        <v>0</v>
      </c>
      <c r="V1430" s="1">
        <f t="shared" si="1980"/>
        <v>3</v>
      </c>
      <c r="W1430" s="1">
        <f t="shared" si="1981"/>
        <v>1</v>
      </c>
      <c r="X1430" s="1">
        <f t="shared" si="1982"/>
        <v>1</v>
      </c>
      <c r="Y1430" s="1">
        <f t="shared" si="1983"/>
        <v>1</v>
      </c>
      <c r="Z1430" s="1">
        <f t="shared" si="1984"/>
        <v>1</v>
      </c>
      <c r="AA1430" s="1">
        <f t="shared" si="2016"/>
        <v>1</v>
      </c>
      <c r="AB1430" s="1">
        <f t="shared" si="1986"/>
        <v>1</v>
      </c>
      <c r="AC1430" s="1">
        <f t="shared" si="2021"/>
        <v>1</v>
      </c>
      <c r="AD1430" s="1">
        <f>ROUNDDOWN(I1430*(1+IF(F1430=3,0.05+方案参数!$Y$42+AA1430*0.12,IF(F1430=4,方案参数!$BZ$42*方案参数!$AS$42,0)))+IF(AND(X1430=1,F1430&lt;&gt;3),方案参数!$CC$42,0)+AC1430*方案参数!$CB$42,0)</f>
        <v>3030</v>
      </c>
      <c r="AE1430" s="1">
        <f>IF(OR(F1430=1,F1430=4),配置与结果!$B$24,配置与结果!$B$25)*MAX(0,1-INDEX(配置与结果!$I$15:$I$18,F1430))</f>
        <v>1200</v>
      </c>
      <c r="AF1430" s="1">
        <f>(IF(L1430=1,方案参数!$AW$42,IF(L1430=2,方案参数!$AX$42,0))+方案参数!$AV$42)*H1430</f>
        <v>30</v>
      </c>
      <c r="AG1430" s="1">
        <f>MAX(配置与结果!$B$32,1+INDEX(配置与结果!$F$15:$F$18,F1430)+0.08+方案参数!$CD$42+Q1430*方案参数!$W$42+Y1430*(方案参数!$AN$42+MIN(方案参数!$AO$42,P1430*0.03))+AB1430*方案参数!$BZ$42*0.025+IF(L1430=1,方案参数!$AY$42+(H1430-1)*0.1,IF(L1430=2,方案参数!$AZ$42+(H1430-1)*0.2,0))-配置与结果!$B$28)</f>
        <v>2.8050000000000006</v>
      </c>
      <c r="AH1430" s="1">
        <f>MAX(0,1+INDEX(配置与结果!$G$15:$G$18,F1430)+W1430*方案参数!$AG$42+IF(L1430=1,方案参数!$BA$42,IF(L1430=2,方案参数!$BB$42,0))+M1430*方案参数!$BC$42)</f>
        <v>3.1</v>
      </c>
      <c r="AI1430" s="1">
        <f>IF(OR(INDEX(配置与结果!$K$15:$K$18,F1430)=1,G1430="RHI_BERRY"),1+配置与结果!$B$33+P1430*方案参数!$AH$42,1)</f>
        <v>1</v>
      </c>
      <c r="AJ1430" s="1">
        <f>MIN(1,MAX(0,J1430+方案参数!$AB$42-配置与结果!$B$27))</f>
        <v>1</v>
      </c>
      <c r="AK1430" s="1">
        <f>MAX(1,K1430+IF(F1430=2,0.15+方案参数!$CH$42,0)+BN1430*方案参数!$X$42+R1430*方案参数!$AA$42+0-配置与结果!$B$26+Z1430*(方案参数!$AP$42+MIN(方案参数!$AQ$42,P1430*0.03)))</f>
        <v>2.145</v>
      </c>
      <c r="AL1430" s="7">
        <f>ROUNDDOWN(MAX(AD1430*配置与结果!$B$31,AD1430-AE1430)*AF1430*AG1430*AH1430*AI1430,0)</f>
        <v>477382</v>
      </c>
      <c r="AM1430" s="7">
        <f>ROUNDDOWN(MAX(AD1430*配置与结果!$B$31,AD1430-AE1430)*AF1430*AG1430*AH1430*AI1430*AK1430,0)</f>
        <v>1023986</v>
      </c>
      <c r="AN1430" s="7">
        <f t="shared" si="1996"/>
        <v>1023986</v>
      </c>
      <c r="AO1430" s="7">
        <f>0</f>
        <v>0</v>
      </c>
      <c r="AP1430" s="7">
        <f>MAX(0,1+INDEX(配置与结果!$J$15:$J$18,F1430)+IF(T1430&gt;0,方案参数!$BY$42,0)-配置与结果!$B$30)</f>
        <v>2</v>
      </c>
      <c r="AQ1430" s="7">
        <f t="shared" si="1997"/>
        <v>0</v>
      </c>
      <c r="AR1430" s="7">
        <f t="shared" si="1998"/>
        <v>0</v>
      </c>
      <c r="AS1430" s="7">
        <f t="shared" si="1999"/>
        <v>0</v>
      </c>
      <c r="AT1430" s="7">
        <f>0</f>
        <v>0</v>
      </c>
      <c r="AU1430" s="7">
        <f t="shared" si="2000"/>
        <v>1023986</v>
      </c>
      <c r="AV1430" s="1">
        <f t="shared" si="2001"/>
        <v>2</v>
      </c>
      <c r="AW1430" s="1">
        <f>MIN(10,M1430+0+IF(L1430=1,方案参数!$BE$42,0))</f>
        <v>10</v>
      </c>
      <c r="AX1430" s="1">
        <f t="shared" si="2002"/>
        <v>2</v>
      </c>
      <c r="AY1430" s="1">
        <f>MIN(20,MAX(0,O1430+0+0-0))</f>
        <v>0</v>
      </c>
      <c r="AZ1430" s="1">
        <f t="shared" si="2003"/>
        <v>5</v>
      </c>
      <c r="BA1430" s="1">
        <f t="shared" si="2017"/>
        <v>5</v>
      </c>
      <c r="BB1430" s="1">
        <f t="shared" ref="BB1430:BB1445" si="2025">MIN(30,R1430+0)</f>
        <v>20</v>
      </c>
      <c r="BC1430" s="1">
        <f t="shared" si="2023"/>
        <v>3</v>
      </c>
      <c r="BD1430" s="1">
        <f t="shared" si="2004"/>
        <v>1</v>
      </c>
      <c r="BE1430" s="1">
        <f t="shared" si="1989"/>
        <v>0</v>
      </c>
      <c r="BF1430" s="1">
        <f>MIN(4,V1430+0)</f>
        <v>3</v>
      </c>
      <c r="BG1430" s="1">
        <f t="shared" si="2014"/>
        <v>1</v>
      </c>
      <c r="BH1430" s="1">
        <f t="shared" si="1990"/>
        <v>1</v>
      </c>
      <c r="BI1430" s="1">
        <f t="shared" si="2015"/>
        <v>1</v>
      </c>
      <c r="BJ1430" s="1">
        <f t="shared" si="2018"/>
        <v>1</v>
      </c>
      <c r="BK1430" s="1">
        <f t="shared" si="2019"/>
        <v>1</v>
      </c>
      <c r="BL1430" s="1">
        <f t="shared" si="2024"/>
        <v>1</v>
      </c>
      <c r="BM1430" s="1">
        <f t="shared" si="2022"/>
        <v>1</v>
      </c>
      <c r="BN1430" s="1">
        <f t="shared" si="1991"/>
        <v>1</v>
      </c>
      <c r="BO1430" s="1">
        <f t="shared" si="1992"/>
        <v>1</v>
      </c>
    </row>
    <row r="1431" spans="1:67" ht="30.95" customHeight="1">
      <c r="A1431" s="1">
        <f>39</f>
        <v>39</v>
      </c>
      <c r="B1431" s="1">
        <f>固定流程!A27</f>
        <v>22</v>
      </c>
      <c r="C1431" s="1">
        <f>42</f>
        <v>42</v>
      </c>
      <c r="D1431" s="1">
        <f>1</f>
        <v>1</v>
      </c>
      <c r="E1431" s="1">
        <f>固定流程!C27</f>
        <v>3</v>
      </c>
      <c r="F1431" s="1">
        <f>固定流程!G27</f>
        <v>3</v>
      </c>
      <c r="G1431" s="1" t="str">
        <f>固定流程!H27</f>
        <v>RHI_BERRY</v>
      </c>
      <c r="H1431" s="1">
        <f>固定流程!F27</f>
        <v>1</v>
      </c>
      <c r="I1431" s="1">
        <f>INDEX(配置与结果!$B$15:$B$18,F1431)</f>
        <v>2597</v>
      </c>
      <c r="J1431" s="1">
        <f>INDEX(配置与结果!$D$15:$D$18,F1431)</f>
        <v>0.255</v>
      </c>
      <c r="K1431" s="1">
        <f>INDEX(配置与结果!$E$15:$E$18,F1431)</f>
        <v>1.55</v>
      </c>
      <c r="L1431" s="1">
        <f t="shared" si="2011"/>
        <v>2</v>
      </c>
      <c r="M1431" s="1">
        <f t="shared" si="2012"/>
        <v>10</v>
      </c>
      <c r="N1431" s="1">
        <f t="shared" si="2013"/>
        <v>2</v>
      </c>
      <c r="O1431" s="1">
        <f t="shared" si="2005"/>
        <v>0</v>
      </c>
      <c r="P1431" s="1">
        <f>MIN(方案参数!$AI$42,AZ1430+0+0)</f>
        <v>5</v>
      </c>
      <c r="Q1431" s="1">
        <f t="shared" si="1975"/>
        <v>5</v>
      </c>
      <c r="R1431" s="1">
        <f t="shared" si="1976"/>
        <v>20</v>
      </c>
      <c r="S1431" s="1">
        <f t="shared" si="1977"/>
        <v>3</v>
      </c>
      <c r="T1431" s="1">
        <f t="shared" si="2020"/>
        <v>1</v>
      </c>
      <c r="U1431" s="1">
        <f t="shared" si="1979"/>
        <v>0</v>
      </c>
      <c r="V1431" s="1">
        <f t="shared" si="1980"/>
        <v>3</v>
      </c>
      <c r="W1431" s="1">
        <f t="shared" si="1981"/>
        <v>1</v>
      </c>
      <c r="X1431" s="1">
        <f t="shared" si="1982"/>
        <v>1</v>
      </c>
      <c r="Y1431" s="1">
        <f t="shared" si="1983"/>
        <v>1</v>
      </c>
      <c r="Z1431" s="1">
        <f t="shared" si="1984"/>
        <v>1</v>
      </c>
      <c r="AA1431" s="1">
        <f t="shared" si="2016"/>
        <v>1</v>
      </c>
      <c r="AB1431" s="1">
        <f t="shared" si="1986"/>
        <v>1</v>
      </c>
      <c r="AC1431" s="1">
        <f t="shared" si="2021"/>
        <v>1</v>
      </c>
      <c r="AD1431" s="1">
        <f>ROUNDDOWN(I1431*(1+IF(F1431=3,0.05+方案参数!$Y$42+AA1431*0.12,IF(F1431=4,方案参数!$BZ$42*方案参数!$AS$42,0)))+IF(AND(X1431=1,F1431&lt;&gt;3),方案参数!$CC$42,0)+AC1431*方案参数!$CB$42,0)</f>
        <v>3746</v>
      </c>
      <c r="AE1431" s="1">
        <f>IF(OR(F1431=1,F1431=4),配置与结果!$B$24,配置与结果!$B$25)*MAX(0,1-INDEX(配置与结果!$I$15:$I$18,F1431))</f>
        <v>1000</v>
      </c>
      <c r="AF1431" s="1">
        <f>方案参数!$CF$42+P1431*方案参数!$CG$42</f>
        <v>22.5</v>
      </c>
      <c r="AG1431" s="1">
        <f>MAX(配置与结果!$B$32,1+INDEX(配置与结果!$F$15:$F$18,F1431)+0+Q1431*方案参数!$W$42+Y1431*(方案参数!$AN$42+MIN(方案参数!$AO$42,P1431*0.03))+AB1431*方案参数!$BZ$42*0.025-配置与结果!$B$28)</f>
        <v>1.9</v>
      </c>
      <c r="AH1431" s="1">
        <f>MAX(0,1+INDEX(配置与结果!$G$15:$G$18,F1431)+W1431*方案参数!$AG$42)</f>
        <v>1.3</v>
      </c>
      <c r="AI1431" s="1">
        <f>IF(OR(INDEX(配置与结果!$K$15:$K$18,F1431)=1,G1431="RHI_BERRY"),1+配置与结果!$B$33+P1431*方案参数!$AH$42,1)</f>
        <v>1.5</v>
      </c>
      <c r="AJ1431" s="1">
        <f>MIN(1,MAX(0,J1431+方案参数!$AB$42-配置与结果!$B$27))</f>
        <v>0.55499999999999994</v>
      </c>
      <c r="AK1431" s="1">
        <f>MAX(1,K1431+IF(F1431=2,0.15+方案参数!$CH$42,0)+BN1431*方案参数!$X$42+R1431*方案参数!$AA$42+0-配置与结果!$B$26+Z1431*(方案参数!$AP$42+MIN(方案参数!$AQ$42,P1431*0.03)))</f>
        <v>1.6700000000000002</v>
      </c>
      <c r="AL1431" s="7">
        <f>ROUNDDOWN(MAX(AD1431*配置与结果!$B$31,AD1431-AE1431)*AF1431*AG1431*AH1431*AI1431,0)</f>
        <v>228913</v>
      </c>
      <c r="AM1431" s="7">
        <f>ROUNDDOWN(MAX(AD1431*配置与结果!$B$31,AD1431-AE1431)*AF1431*AG1431*AH1431*AI1431*AK1431,0)</f>
        <v>382285</v>
      </c>
      <c r="AN1431" s="7">
        <f t="shared" si="1996"/>
        <v>314034.46000000002</v>
      </c>
      <c r="AO1431" s="7">
        <f>0</f>
        <v>0</v>
      </c>
      <c r="AP1431" s="7">
        <f>MAX(0,1+INDEX(配置与结果!$J$15:$J$18,F1431)+IF(T1431&gt;0,方案参数!$BY$42,0)-配置与结果!$B$30)</f>
        <v>2</v>
      </c>
      <c r="AQ1431" s="7">
        <f t="shared" si="1997"/>
        <v>0</v>
      </c>
      <c r="AR1431" s="7">
        <f t="shared" si="1998"/>
        <v>0</v>
      </c>
      <c r="AS1431" s="7">
        <f t="shared" si="1999"/>
        <v>0</v>
      </c>
      <c r="AT1431" s="7">
        <f>0</f>
        <v>0</v>
      </c>
      <c r="AU1431" s="7">
        <f t="shared" si="2000"/>
        <v>314034.46000000002</v>
      </c>
      <c r="AV1431" s="1">
        <f t="shared" si="2001"/>
        <v>2</v>
      </c>
      <c r="AW1431" s="1">
        <f t="shared" ref="AW1431:AW1447" si="2026">MIN(10,M1431+0+0)</f>
        <v>10</v>
      </c>
      <c r="AX1431" s="1">
        <f t="shared" si="2002"/>
        <v>2</v>
      </c>
      <c r="AY1431" s="1">
        <f>MIN(20,MAX(0,O1431+0+0-0))</f>
        <v>0</v>
      </c>
      <c r="AZ1431" s="1">
        <f t="shared" si="2003"/>
        <v>5</v>
      </c>
      <c r="BA1431" s="1">
        <f t="shared" si="2017"/>
        <v>5</v>
      </c>
      <c r="BB1431" s="1">
        <f t="shared" si="2025"/>
        <v>20</v>
      </c>
      <c r="BC1431" s="1">
        <f t="shared" si="2023"/>
        <v>3</v>
      </c>
      <c r="BD1431" s="1">
        <f t="shared" si="2004"/>
        <v>1</v>
      </c>
      <c r="BE1431" s="1">
        <f t="shared" si="1989"/>
        <v>0</v>
      </c>
      <c r="BF1431" s="1">
        <f>MIN(4,V1431+0)</f>
        <v>3</v>
      </c>
      <c r="BG1431" s="1">
        <f t="shared" si="2014"/>
        <v>1</v>
      </c>
      <c r="BH1431" s="1">
        <f t="shared" si="1990"/>
        <v>1</v>
      </c>
      <c r="BI1431" s="1">
        <f t="shared" si="2015"/>
        <v>1</v>
      </c>
      <c r="BJ1431" s="1">
        <f t="shared" si="2018"/>
        <v>1</v>
      </c>
      <c r="BK1431" s="1">
        <f t="shared" si="2019"/>
        <v>1</v>
      </c>
      <c r="BL1431" s="1">
        <f t="shared" si="2024"/>
        <v>1</v>
      </c>
      <c r="BM1431" s="1">
        <f t="shared" si="2022"/>
        <v>1</v>
      </c>
      <c r="BN1431" s="1">
        <f t="shared" si="1991"/>
        <v>1</v>
      </c>
      <c r="BO1431" s="1">
        <f t="shared" si="1992"/>
        <v>1</v>
      </c>
    </row>
    <row r="1432" spans="1:67" ht="30.95" customHeight="1">
      <c r="A1432" s="1">
        <f>39</f>
        <v>39</v>
      </c>
      <c r="B1432" s="1">
        <f>固定流程!A28</f>
        <v>23</v>
      </c>
      <c r="C1432" s="1">
        <f>42</f>
        <v>42</v>
      </c>
      <c r="D1432" s="1">
        <f>1</f>
        <v>1</v>
      </c>
      <c r="E1432" s="1">
        <f>固定流程!C28</f>
        <v>3</v>
      </c>
      <c r="F1432" s="1">
        <f>固定流程!G28</f>
        <v>2</v>
      </c>
      <c r="G1432" s="1" t="str">
        <f>固定流程!H28</f>
        <v>37_FOLLOW</v>
      </c>
      <c r="H1432" s="1">
        <f>固定流程!F28</f>
        <v>1</v>
      </c>
      <c r="I1432" s="1">
        <f>INDEX(配置与结果!$B$15:$B$18,F1432)</f>
        <v>2306</v>
      </c>
      <c r="J1432" s="1">
        <f>INDEX(配置与结果!$D$15:$D$18,F1432)</f>
        <v>0.46</v>
      </c>
      <c r="K1432" s="1">
        <f>INDEX(配置与结果!$E$15:$E$18,F1432)</f>
        <v>1.9279999999999999</v>
      </c>
      <c r="L1432" s="1">
        <f t="shared" si="2011"/>
        <v>2</v>
      </c>
      <c r="M1432" s="1">
        <f t="shared" si="2012"/>
        <v>10</v>
      </c>
      <c r="N1432" s="1">
        <f t="shared" si="2013"/>
        <v>2</v>
      </c>
      <c r="O1432" s="1">
        <f t="shared" si="2005"/>
        <v>0</v>
      </c>
      <c r="P1432" s="1">
        <f>MIN(方案参数!$AI$42,AZ1431+0+0)</f>
        <v>5</v>
      </c>
      <c r="Q1432" s="1">
        <f t="shared" si="1975"/>
        <v>5</v>
      </c>
      <c r="R1432" s="1">
        <f t="shared" si="1976"/>
        <v>20</v>
      </c>
      <c r="S1432" s="1">
        <f t="shared" si="1977"/>
        <v>3</v>
      </c>
      <c r="T1432" s="1">
        <f t="shared" si="2020"/>
        <v>1</v>
      </c>
      <c r="U1432" s="1">
        <f t="shared" si="1979"/>
        <v>0</v>
      </c>
      <c r="V1432" s="1">
        <f t="shared" si="1980"/>
        <v>3</v>
      </c>
      <c r="W1432" s="1">
        <f t="shared" si="1981"/>
        <v>1</v>
      </c>
      <c r="X1432" s="1">
        <f t="shared" si="1982"/>
        <v>1</v>
      </c>
      <c r="Y1432" s="1">
        <f t="shared" si="1983"/>
        <v>1</v>
      </c>
      <c r="Z1432" s="1">
        <f t="shared" si="1984"/>
        <v>1</v>
      </c>
      <c r="AA1432" s="1">
        <f t="shared" si="2016"/>
        <v>1</v>
      </c>
      <c r="AB1432" s="1">
        <f t="shared" si="1986"/>
        <v>1</v>
      </c>
      <c r="AC1432" s="1">
        <f t="shared" si="2021"/>
        <v>1</v>
      </c>
      <c r="AD1432" s="1">
        <f>ROUNDDOWN(I1432*(1+IF(F1432=3,0.05+方案参数!$Y$42+AA1432*0.12,IF(F1432=4,方案参数!$BZ$42*方案参数!$AS$42,0)))+IF(AND(X1432=1,F1432&lt;&gt;3),方案参数!$CC$42,0)+AC1432*方案参数!$CB$42,0)</f>
        <v>3040</v>
      </c>
      <c r="AE1432" s="1">
        <f>IF(OR(F1432=1,F1432=4),配置与结果!$B$24,配置与结果!$B$25)*MAX(0,1-INDEX(配置与结果!$I$15:$I$18,F1432))</f>
        <v>1000</v>
      </c>
      <c r="AF1432" s="1">
        <f>方案参数!$BV$42</f>
        <v>3</v>
      </c>
      <c r="AG1432" s="1">
        <f>MAX(配置与结果!$B$32,1+INDEX(配置与结果!$F$15:$F$18,F1432)+0+Q1432*方案参数!$W$42+Y1432*(方案参数!$AN$42+MIN(方案参数!$AO$42,P1432*0.03))+AB1432*方案参数!$BZ$42*0.025-配置与结果!$B$28)</f>
        <v>1.87</v>
      </c>
      <c r="AH1432" s="1">
        <f>MAX(0,1+INDEX(配置与结果!$G$15:$G$18,F1432)+W1432*方案参数!$AG$42)</f>
        <v>1.3</v>
      </c>
      <c r="AI1432" s="1">
        <f>IF(OR(INDEX(配置与结果!$K$15:$K$18,F1432)=1,G1432="RHI_BERRY"),1+配置与结果!$B$33+P1432*方案参数!$AH$42,1)</f>
        <v>1</v>
      </c>
      <c r="AJ1432" s="1">
        <f>MIN(1,MAX(0,J1432+方案参数!$AB$42-配置与结果!$B$27))</f>
        <v>0.76</v>
      </c>
      <c r="AK1432" s="1">
        <f>MAX(1,K1432+IF(F1432=2,0.15+方案参数!$CH$42,0)+BN1432*方案参数!$X$42+R1432*方案参数!$AA$42+0-配置与结果!$B$26+Z1432*(方案参数!$AP$42+MIN(方案参数!$AQ$42,P1432*0.03)))</f>
        <v>2.3180000000000001</v>
      </c>
      <c r="AL1432" s="7">
        <f>ROUNDDOWN(MAX(AD1432*配置与结果!$B$31,AD1432-AE1432)*AF1432*AG1432*AH1432*AI1432,0)</f>
        <v>14877</v>
      </c>
      <c r="AM1432" s="7">
        <f>ROUNDDOWN(MAX(AD1432*配置与结果!$B$31,AD1432-AE1432)*AF1432*AG1432*AH1432*AI1432*AK1432,0)</f>
        <v>34486</v>
      </c>
      <c r="AN1432" s="7">
        <f t="shared" si="1996"/>
        <v>29779.84</v>
      </c>
      <c r="AO1432" s="7">
        <f>方案参数!$BW$42</f>
        <v>1</v>
      </c>
      <c r="AP1432" s="7">
        <f>MAX(0,1+INDEX(配置与结果!$J$15:$J$18,F1432)+IF(T1432&gt;0,方案参数!$BY$42,0)-配置与结果!$B$30)</f>
        <v>2</v>
      </c>
      <c r="AQ1432" s="7">
        <f t="shared" si="1997"/>
        <v>6080</v>
      </c>
      <c r="AR1432" s="7">
        <f t="shared" si="1998"/>
        <v>14093</v>
      </c>
      <c r="AS1432" s="7">
        <f t="shared" si="1999"/>
        <v>12169.880000000001</v>
      </c>
      <c r="AT1432" s="7">
        <f>0</f>
        <v>0</v>
      </c>
      <c r="AU1432" s="7">
        <f t="shared" si="2000"/>
        <v>41949.72</v>
      </c>
      <c r="AV1432" s="1">
        <f t="shared" si="2001"/>
        <v>2</v>
      </c>
      <c r="AW1432" s="1">
        <f t="shared" si="2026"/>
        <v>10</v>
      </c>
      <c r="AX1432" s="1">
        <f t="shared" si="2002"/>
        <v>2</v>
      </c>
      <c r="AY1432" s="1">
        <f>MIN(20,MAX(0,O1432+0+0-0))</f>
        <v>0</v>
      </c>
      <c r="AZ1432" s="1">
        <f t="shared" si="2003"/>
        <v>5</v>
      </c>
      <c r="BA1432" s="1">
        <f t="shared" si="2017"/>
        <v>5</v>
      </c>
      <c r="BB1432" s="1">
        <f t="shared" si="2025"/>
        <v>20</v>
      </c>
      <c r="BC1432" s="1">
        <f t="shared" si="2023"/>
        <v>3</v>
      </c>
      <c r="BD1432" s="1">
        <f t="shared" si="2004"/>
        <v>0</v>
      </c>
      <c r="BE1432" s="1">
        <f t="shared" si="1989"/>
        <v>0</v>
      </c>
      <c r="BF1432" s="1">
        <f>MIN(4,V1432+1)</f>
        <v>4</v>
      </c>
      <c r="BG1432" s="1">
        <f t="shared" si="2014"/>
        <v>1</v>
      </c>
      <c r="BH1432" s="1">
        <f t="shared" si="1990"/>
        <v>1</v>
      </c>
      <c r="BI1432" s="1">
        <f t="shared" si="2015"/>
        <v>1</v>
      </c>
      <c r="BJ1432" s="1">
        <f t="shared" si="2018"/>
        <v>1</v>
      </c>
      <c r="BK1432" s="1">
        <f t="shared" si="2019"/>
        <v>1</v>
      </c>
      <c r="BL1432" s="1">
        <f t="shared" si="2024"/>
        <v>1</v>
      </c>
      <c r="BM1432" s="1">
        <f t="shared" si="2022"/>
        <v>1</v>
      </c>
      <c r="BN1432" s="1">
        <f t="shared" si="1991"/>
        <v>1</v>
      </c>
      <c r="BO1432" s="1">
        <f t="shared" si="1992"/>
        <v>1</v>
      </c>
    </row>
    <row r="1433" spans="1:67" ht="30.95" customHeight="1">
      <c r="A1433" s="1">
        <f>39</f>
        <v>39</v>
      </c>
      <c r="B1433" s="1">
        <f>固定流程!A29</f>
        <v>24</v>
      </c>
      <c r="C1433" s="1">
        <f>42</f>
        <v>42</v>
      </c>
      <c r="D1433" s="1">
        <f>2</f>
        <v>2</v>
      </c>
      <c r="E1433" s="1">
        <f>固定流程!C29</f>
        <v>3</v>
      </c>
      <c r="F1433" s="1">
        <f>固定流程!G29</f>
        <v>1</v>
      </c>
      <c r="G1433" s="1" t="str">
        <f>固定流程!H29</f>
        <v>LILYA_WEAK</v>
      </c>
      <c r="H1433" s="1">
        <f>固定流程!F29</f>
        <v>1</v>
      </c>
      <c r="I1433" s="1">
        <f>INDEX(配置与结果!$B$15:$B$18,F1433)</f>
        <v>2296</v>
      </c>
      <c r="J1433" s="1">
        <f>INDEX(配置与结果!$D$15:$D$18,F1433)</f>
        <v>0.7</v>
      </c>
      <c r="K1433" s="1">
        <f>INDEX(配置与结果!$E$15:$E$18,F1433)</f>
        <v>2.0249999999999999</v>
      </c>
      <c r="L1433" s="1">
        <f t="shared" si="2011"/>
        <v>2</v>
      </c>
      <c r="M1433" s="1">
        <f t="shared" si="2012"/>
        <v>10</v>
      </c>
      <c r="N1433" s="1">
        <f t="shared" si="2013"/>
        <v>2</v>
      </c>
      <c r="O1433" s="1">
        <f t="shared" si="2005"/>
        <v>0</v>
      </c>
      <c r="P1433" s="1">
        <f>MIN(方案参数!$AI$42,AZ1432+0+0)</f>
        <v>5</v>
      </c>
      <c r="Q1433" s="1">
        <f t="shared" si="1975"/>
        <v>5</v>
      </c>
      <c r="R1433" s="1">
        <f t="shared" si="1976"/>
        <v>20</v>
      </c>
      <c r="S1433" s="1">
        <f t="shared" si="1977"/>
        <v>3</v>
      </c>
      <c r="T1433" s="1">
        <f t="shared" si="2020"/>
        <v>0</v>
      </c>
      <c r="U1433" s="1">
        <f t="shared" si="1979"/>
        <v>0</v>
      </c>
      <c r="V1433" s="1">
        <f t="shared" si="1980"/>
        <v>4</v>
      </c>
      <c r="W1433" s="1">
        <f t="shared" si="1981"/>
        <v>1</v>
      </c>
      <c r="X1433" s="1">
        <f t="shared" si="1982"/>
        <v>1</v>
      </c>
      <c r="Y1433" s="1">
        <f t="shared" si="1983"/>
        <v>1</v>
      </c>
      <c r="Z1433" s="1">
        <f t="shared" si="1984"/>
        <v>1</v>
      </c>
      <c r="AA1433" s="1">
        <f t="shared" si="2016"/>
        <v>1</v>
      </c>
      <c r="AB1433" s="1">
        <f t="shared" si="1986"/>
        <v>1</v>
      </c>
      <c r="AC1433" s="1">
        <f t="shared" si="2021"/>
        <v>1</v>
      </c>
      <c r="AD1433" s="1">
        <f>ROUNDDOWN(I1433*(1+IF(F1433=3,0.05+方案参数!$Y$42+AA1433*0.12,IF(F1433=4,方案参数!$BZ$42*方案参数!$AS$42,0)))+IF(AND(X1433=1,F1433&lt;&gt;3),方案参数!$CC$42,0)+AC1433*方案参数!$CB$42,0)</f>
        <v>3030</v>
      </c>
      <c r="AE1433" s="1">
        <f>IF(OR(F1433=1,F1433=4),配置与结果!$B$24,配置与结果!$B$25)*MAX(0,1-INDEX(配置与结果!$I$15:$I$18,F1433))</f>
        <v>1200</v>
      </c>
      <c r="AF1433" s="1">
        <f>方案参数!$BL$42</f>
        <v>9</v>
      </c>
      <c r="AG1433" s="1">
        <f>MAX(配置与结果!$B$32,1+INDEX(配置与结果!$F$15:$F$18,F1433)+0.08+方案参数!$CD$42+Q1433*方案参数!$W$42+Y1433*(方案参数!$AN$42+MIN(方案参数!$AO$42,P1433*0.03))+AB1433*方案参数!$BZ$42*0.025-配置与结果!$B$28+方案参数!$AE$42)</f>
        <v>2.6050000000000004</v>
      </c>
      <c r="AH1433" s="1">
        <f>MAX(0,1+V1433*方案参数!$U$42+0*方案参数!$V$42+方案参数!$AE$42-配置与结果!$B$29)</f>
        <v>1.56</v>
      </c>
      <c r="AI1433" s="1">
        <f>IF(OR(INDEX(配置与结果!$K$15:$K$18,F1433)=1,G1433="RHI_BERRY"),1+配置与结果!$B$33+P1433*方案参数!$AH$42,1)</f>
        <v>1</v>
      </c>
      <c r="AJ1433" s="1">
        <f>MIN(1,MAX(0,J1433+方案参数!$AB$42-配置与结果!$B$27))</f>
        <v>1</v>
      </c>
      <c r="AK1433" s="1">
        <f>MAX(1,K1433+IF(F1433=2,0.15+方案参数!$CH$42,0)+BN1433*方案参数!$X$42+R1433*方案参数!$AA$42+方案参数!$BP$42-配置与结果!$B$26+Z1433*(方案参数!$AP$42+MIN(方案参数!$AQ$42,P1433*0.03)))</f>
        <v>2.7450000000000001</v>
      </c>
      <c r="AL1433" s="7">
        <f>ROUNDDOWN(MAX(AD1433*配置与结果!$B$31,AD1433-AE1433)*AF1433*AG1433*AH1433*AI1433,0)</f>
        <v>66930</v>
      </c>
      <c r="AM1433" s="7">
        <f>ROUNDDOWN(MAX(AD1433*配置与结果!$B$31,AD1433-AE1433)*AF1433*AG1433*AH1433*AI1433*AK1433,0)</f>
        <v>183725</v>
      </c>
      <c r="AN1433" s="7">
        <f t="shared" si="1996"/>
        <v>183725</v>
      </c>
      <c r="AO1433" s="7">
        <f>0</f>
        <v>0</v>
      </c>
      <c r="AP1433" s="7">
        <f>MAX(0,1+INDEX(配置与结果!$J$15:$J$18,F1433)+IF(T1433&gt;0,方案参数!$BY$42,0)-配置与结果!$B$30)</f>
        <v>1</v>
      </c>
      <c r="AQ1433" s="7">
        <f t="shared" si="1997"/>
        <v>0</v>
      </c>
      <c r="AR1433" s="7">
        <f t="shared" si="1998"/>
        <v>0</v>
      </c>
      <c r="AS1433" s="7">
        <f t="shared" si="1999"/>
        <v>0</v>
      </c>
      <c r="AT1433" s="7">
        <f>IF(U1433&gt;0,ROUNDDOWN(AL1433*方案参数!$AF$42,0)*(1-AJ1433)+ROUNDDOWN(AM1433*方案参数!$AF$42,0)*AJ1433,0)</f>
        <v>0</v>
      </c>
      <c r="AU1433" s="7">
        <f t="shared" si="2000"/>
        <v>183725</v>
      </c>
      <c r="AV1433" s="1">
        <f t="shared" si="2001"/>
        <v>2</v>
      </c>
      <c r="AW1433" s="1">
        <f t="shared" si="2026"/>
        <v>10</v>
      </c>
      <c r="AX1433" s="1">
        <f t="shared" si="2002"/>
        <v>2</v>
      </c>
      <c r="AY1433" s="1">
        <f>MIN(20,MAX(0,O1433+0+1-0))</f>
        <v>1</v>
      </c>
      <c r="AZ1433" s="1">
        <f t="shared" si="2003"/>
        <v>5</v>
      </c>
      <c r="BA1433" s="1">
        <f t="shared" si="2017"/>
        <v>5</v>
      </c>
      <c r="BB1433" s="1">
        <f t="shared" si="2025"/>
        <v>20</v>
      </c>
      <c r="BC1433" s="1">
        <f t="shared" si="2023"/>
        <v>3</v>
      </c>
      <c r="BD1433" s="1">
        <f t="shared" si="2004"/>
        <v>0</v>
      </c>
      <c r="BE1433" s="1">
        <f>MAX(0,U1433-IF(AF1433&gt;0,1,0))+0</f>
        <v>0</v>
      </c>
      <c r="BF1433" s="1">
        <f t="shared" ref="BF1433:BF1450" si="2027">MIN(4,V1433+0)</f>
        <v>4</v>
      </c>
      <c r="BG1433" s="1">
        <f t="shared" si="2014"/>
        <v>1</v>
      </c>
      <c r="BH1433" s="1">
        <f t="shared" si="1990"/>
        <v>1</v>
      </c>
      <c r="BI1433" s="1">
        <f t="shared" si="2015"/>
        <v>1</v>
      </c>
      <c r="BJ1433" s="1">
        <f t="shared" si="2018"/>
        <v>1</v>
      </c>
      <c r="BK1433" s="1">
        <f t="shared" si="2019"/>
        <v>1</v>
      </c>
      <c r="BL1433" s="1">
        <f t="shared" si="2024"/>
        <v>1</v>
      </c>
      <c r="BM1433" s="1">
        <f t="shared" si="2022"/>
        <v>1</v>
      </c>
      <c r="BN1433" s="1">
        <f t="shared" si="1991"/>
        <v>1</v>
      </c>
      <c r="BO1433" s="1">
        <f t="shared" si="1992"/>
        <v>1</v>
      </c>
    </row>
    <row r="1434" spans="1:67" ht="30.95" customHeight="1">
      <c r="A1434" s="1">
        <f>39</f>
        <v>39</v>
      </c>
      <c r="B1434" s="1">
        <f>固定流程!A30</f>
        <v>25</v>
      </c>
      <c r="C1434" s="1">
        <f>42</f>
        <v>42</v>
      </c>
      <c r="D1434" s="1">
        <f>2</f>
        <v>2</v>
      </c>
      <c r="E1434" s="1">
        <f>固定流程!C30</f>
        <v>3</v>
      </c>
      <c r="F1434" s="1">
        <f>固定流程!G30</f>
        <v>1</v>
      </c>
      <c r="G1434" s="1" t="str">
        <f>固定流程!H30</f>
        <v>LILYA_WEAK</v>
      </c>
      <c r="H1434" s="1">
        <f>固定流程!F30</f>
        <v>1</v>
      </c>
      <c r="I1434" s="1">
        <f>INDEX(配置与结果!$B$15:$B$18,F1434)</f>
        <v>2296</v>
      </c>
      <c r="J1434" s="1">
        <f>INDEX(配置与结果!$D$15:$D$18,F1434)</f>
        <v>0.7</v>
      </c>
      <c r="K1434" s="1">
        <f>INDEX(配置与结果!$E$15:$E$18,F1434)</f>
        <v>2.0249999999999999</v>
      </c>
      <c r="L1434" s="1">
        <f t="shared" si="2011"/>
        <v>2</v>
      </c>
      <c r="M1434" s="1">
        <f t="shared" si="2012"/>
        <v>10</v>
      </c>
      <c r="N1434" s="1">
        <f t="shared" si="2013"/>
        <v>2</v>
      </c>
      <c r="O1434" s="1">
        <f t="shared" si="2005"/>
        <v>1</v>
      </c>
      <c r="P1434" s="1">
        <f>MIN(方案参数!$AI$42,AZ1433+0+0)</f>
        <v>5</v>
      </c>
      <c r="Q1434" s="1">
        <f t="shared" si="1975"/>
        <v>5</v>
      </c>
      <c r="R1434" s="1">
        <f t="shared" si="1976"/>
        <v>20</v>
      </c>
      <c r="S1434" s="1">
        <f t="shared" si="1977"/>
        <v>3</v>
      </c>
      <c r="T1434" s="1">
        <f t="shared" si="2020"/>
        <v>0</v>
      </c>
      <c r="U1434" s="1">
        <f t="shared" si="1979"/>
        <v>0</v>
      </c>
      <c r="V1434" s="1">
        <f t="shared" si="1980"/>
        <v>4</v>
      </c>
      <c r="W1434" s="1">
        <f t="shared" si="1981"/>
        <v>1</v>
      </c>
      <c r="X1434" s="1">
        <f t="shared" si="1982"/>
        <v>1</v>
      </c>
      <c r="Y1434" s="1">
        <f t="shared" si="1983"/>
        <v>1</v>
      </c>
      <c r="Z1434" s="1">
        <f t="shared" si="1984"/>
        <v>1</v>
      </c>
      <c r="AA1434" s="1">
        <f t="shared" si="2016"/>
        <v>1</v>
      </c>
      <c r="AB1434" s="1">
        <f t="shared" si="1986"/>
        <v>1</v>
      </c>
      <c r="AC1434" s="1">
        <f t="shared" si="2021"/>
        <v>1</v>
      </c>
      <c r="AD1434" s="1">
        <f>ROUNDDOWN(I1434*(1+IF(F1434=3,0.05+方案参数!$Y$42+AA1434*0.12,IF(F1434=4,方案参数!$BZ$42*方案参数!$AS$42,0)))+IF(AND(X1434=1,F1434&lt;&gt;3),方案参数!$CC$42,0)+AC1434*方案参数!$CB$42,0)</f>
        <v>3030</v>
      </c>
      <c r="AE1434" s="1">
        <f>IF(OR(F1434=1,F1434=4),配置与结果!$B$24,配置与结果!$B$25)*MAX(0,1-INDEX(配置与结果!$I$15:$I$18,F1434))</f>
        <v>1200</v>
      </c>
      <c r="AF1434" s="1">
        <f>方案参数!$BL$42</f>
        <v>9</v>
      </c>
      <c r="AG1434" s="1">
        <f>MAX(配置与结果!$B$32,1+INDEX(配置与结果!$F$15:$F$18,F1434)+0.08+方案参数!$CD$42+Q1434*方案参数!$W$42+Y1434*(方案参数!$AN$42+MIN(方案参数!$AO$42,P1434*0.03))+AB1434*方案参数!$BZ$42*0.025-配置与结果!$B$28+方案参数!$AE$42)</f>
        <v>2.6050000000000004</v>
      </c>
      <c r="AH1434" s="1">
        <f>MAX(0,1+V1434*方案参数!$U$42+1*方案参数!$V$42+方案参数!$AE$42-配置与结果!$B$29)</f>
        <v>1.62</v>
      </c>
      <c r="AI1434" s="1">
        <f>IF(OR(INDEX(配置与结果!$K$15:$K$18,F1434)=1,G1434="RHI_BERRY"),1+配置与结果!$B$33+P1434*方案参数!$AH$42,1)</f>
        <v>1</v>
      </c>
      <c r="AJ1434" s="1">
        <f>MIN(1,MAX(0,J1434+方案参数!$AB$42-配置与结果!$B$27))</f>
        <v>1</v>
      </c>
      <c r="AK1434" s="1">
        <f>MAX(1,K1434+IF(F1434=2,0.15+方案参数!$CH$42,0)+BN1434*方案参数!$X$42+R1434*方案参数!$AA$42+方案参数!$BP$42-配置与结果!$B$26+Z1434*(方案参数!$AP$42+MIN(方案参数!$AQ$42,P1434*0.03)))</f>
        <v>2.7450000000000001</v>
      </c>
      <c r="AL1434" s="7">
        <f>ROUNDDOWN(MAX(AD1434*配置与结果!$B$31,AD1434-AE1434)*AF1434*AG1434*AH1434*AI1434,0)</f>
        <v>69505</v>
      </c>
      <c r="AM1434" s="7">
        <f>ROUNDDOWN(MAX(AD1434*配置与结果!$B$31,AD1434-AE1434)*AF1434*AG1434*AH1434*AI1434*AK1434,0)</f>
        <v>190791</v>
      </c>
      <c r="AN1434" s="7">
        <f t="shared" si="1996"/>
        <v>190791</v>
      </c>
      <c r="AO1434" s="7">
        <f>0</f>
        <v>0</v>
      </c>
      <c r="AP1434" s="7">
        <f>MAX(0,1+INDEX(配置与结果!$J$15:$J$18,F1434)+IF(T1434&gt;0,方案参数!$BY$42,0)-配置与结果!$B$30)</f>
        <v>1</v>
      </c>
      <c r="AQ1434" s="7">
        <f t="shared" si="1997"/>
        <v>0</v>
      </c>
      <c r="AR1434" s="7">
        <f t="shared" si="1998"/>
        <v>0</v>
      </c>
      <c r="AS1434" s="7">
        <f t="shared" si="1999"/>
        <v>0</v>
      </c>
      <c r="AT1434" s="7">
        <f>IF(U1434&gt;0,ROUNDDOWN(AL1434*方案参数!$AF$42,0)*(1-AJ1434)+ROUNDDOWN(AM1434*方案参数!$AF$42,0)*AJ1434,0)</f>
        <v>0</v>
      </c>
      <c r="AU1434" s="7">
        <f t="shared" si="2000"/>
        <v>190791</v>
      </c>
      <c r="AV1434" s="1">
        <f t="shared" si="2001"/>
        <v>2</v>
      </c>
      <c r="AW1434" s="1">
        <f t="shared" si="2026"/>
        <v>10</v>
      </c>
      <c r="AX1434" s="1">
        <f t="shared" si="2002"/>
        <v>2</v>
      </c>
      <c r="AY1434" s="1">
        <f>MIN(20,MAX(0,O1434+0+1-0))</f>
        <v>2</v>
      </c>
      <c r="AZ1434" s="1">
        <f t="shared" si="2003"/>
        <v>5</v>
      </c>
      <c r="BA1434" s="1">
        <f t="shared" si="2017"/>
        <v>5</v>
      </c>
      <c r="BB1434" s="1">
        <f t="shared" si="2025"/>
        <v>20</v>
      </c>
      <c r="BC1434" s="1">
        <f t="shared" si="2023"/>
        <v>3</v>
      </c>
      <c r="BD1434" s="1">
        <f t="shared" si="2004"/>
        <v>0</v>
      </c>
      <c r="BE1434" s="1">
        <f>MAX(0,U1434-IF(AF1434&gt;0,1,0))+0</f>
        <v>0</v>
      </c>
      <c r="BF1434" s="1">
        <f t="shared" si="2027"/>
        <v>4</v>
      </c>
      <c r="BG1434" s="1">
        <f t="shared" si="2014"/>
        <v>1</v>
      </c>
      <c r="BH1434" s="1">
        <f t="shared" si="1990"/>
        <v>1</v>
      </c>
      <c r="BI1434" s="1">
        <f t="shared" si="2015"/>
        <v>1</v>
      </c>
      <c r="BJ1434" s="1">
        <f t="shared" si="2018"/>
        <v>1</v>
      </c>
      <c r="BK1434" s="1">
        <f t="shared" si="2019"/>
        <v>1</v>
      </c>
      <c r="BL1434" s="1">
        <f t="shared" si="2024"/>
        <v>1</v>
      </c>
      <c r="BM1434" s="1">
        <f t="shared" si="2022"/>
        <v>1</v>
      </c>
      <c r="BN1434" s="1">
        <f t="shared" si="1991"/>
        <v>1</v>
      </c>
      <c r="BO1434" s="1">
        <f t="shared" si="1992"/>
        <v>1</v>
      </c>
    </row>
    <row r="1435" spans="1:67" ht="30.95" customHeight="1">
      <c r="A1435" s="1">
        <f>39</f>
        <v>39</v>
      </c>
      <c r="B1435" s="1">
        <f>固定流程!A31</f>
        <v>26</v>
      </c>
      <c r="C1435" s="1">
        <f>42</f>
        <v>42</v>
      </c>
      <c r="D1435" s="1">
        <f>2</f>
        <v>2</v>
      </c>
      <c r="E1435" s="1">
        <f>固定流程!C31</f>
        <v>3</v>
      </c>
      <c r="F1435" s="1">
        <f>固定流程!G31</f>
        <v>2</v>
      </c>
      <c r="G1435" s="1" t="str">
        <f>固定流程!H31</f>
        <v>37_WEAK</v>
      </c>
      <c r="H1435" s="1">
        <f>固定流程!F31</f>
        <v>1</v>
      </c>
      <c r="I1435" s="1">
        <f>INDEX(配置与结果!$B$15:$B$18,F1435)</f>
        <v>2306</v>
      </c>
      <c r="J1435" s="1">
        <f>INDEX(配置与结果!$D$15:$D$18,F1435)</f>
        <v>0.46</v>
      </c>
      <c r="K1435" s="1">
        <f>INDEX(配置与结果!$E$15:$E$18,F1435)</f>
        <v>1.9279999999999999</v>
      </c>
      <c r="L1435" s="1">
        <f t="shared" si="2011"/>
        <v>2</v>
      </c>
      <c r="M1435" s="1">
        <f t="shared" si="2012"/>
        <v>10</v>
      </c>
      <c r="N1435" s="1">
        <f t="shared" si="2013"/>
        <v>2</v>
      </c>
      <c r="O1435" s="1">
        <f t="shared" si="2005"/>
        <v>2</v>
      </c>
      <c r="P1435" s="1">
        <f>MIN(方案参数!$AI$42,AZ1434+0+0)</f>
        <v>5</v>
      </c>
      <c r="Q1435" s="1">
        <f t="shared" si="1975"/>
        <v>5</v>
      </c>
      <c r="R1435" s="1">
        <f t="shared" si="1976"/>
        <v>20</v>
      </c>
      <c r="S1435" s="1">
        <f t="shared" si="1977"/>
        <v>3</v>
      </c>
      <c r="T1435" s="1">
        <f t="shared" si="2020"/>
        <v>0</v>
      </c>
      <c r="U1435" s="1">
        <f t="shared" si="1979"/>
        <v>0</v>
      </c>
      <c r="V1435" s="1">
        <f t="shared" si="1980"/>
        <v>4</v>
      </c>
      <c r="W1435" s="1">
        <f t="shared" si="1981"/>
        <v>1</v>
      </c>
      <c r="X1435" s="1">
        <f t="shared" si="1982"/>
        <v>1</v>
      </c>
      <c r="Y1435" s="1">
        <f t="shared" si="1983"/>
        <v>1</v>
      </c>
      <c r="Z1435" s="1">
        <f t="shared" si="1984"/>
        <v>1</v>
      </c>
      <c r="AA1435" s="1">
        <f t="shared" si="2016"/>
        <v>1</v>
      </c>
      <c r="AB1435" s="1">
        <f t="shared" si="1986"/>
        <v>1</v>
      </c>
      <c r="AC1435" s="1">
        <f t="shared" si="2021"/>
        <v>1</v>
      </c>
      <c r="AD1435" s="1">
        <f>ROUNDDOWN(I1435*(1+IF(F1435=3,0.05+方案参数!$Y$42+AA1435*0.12,IF(F1435=4,方案参数!$BZ$42*方案参数!$AS$42,0)))+IF(AND(X1435=1,F1435&lt;&gt;3),方案参数!$CC$42,0)+AC1435*方案参数!$CB$42,0)</f>
        <v>3040</v>
      </c>
      <c r="AE1435" s="1">
        <f>IF(OR(F1435=1,F1435=4),配置与结果!$B$24,配置与结果!$B$25)*MAX(0,1-INDEX(配置与结果!$I$15:$I$18,F1435))</f>
        <v>1000</v>
      </c>
      <c r="AF1435" s="1">
        <f>方案参数!$CE$42</f>
        <v>8</v>
      </c>
      <c r="AG1435" s="1">
        <f>MAX(配置与结果!$B$32,1+INDEX(配置与结果!$F$15:$F$18,F1435)+0+Q1435*方案参数!$W$42+Y1435*(方案参数!$AN$42+MIN(方案参数!$AO$42,P1435*0.03))+AB1435*方案参数!$BZ$42*0.025-配置与结果!$B$28+方案参数!$AE$42)</f>
        <v>2.27</v>
      </c>
      <c r="AH1435" s="1">
        <f>MAX(0,1+V1435*方案参数!$U$42+方案参数!$AE$42-配置与结果!$B$29)</f>
        <v>1.56</v>
      </c>
      <c r="AI1435" s="1">
        <f>IF(OR(INDEX(配置与结果!$K$15:$K$18,F1435)=1,G1435="RHI_BERRY"),1+配置与结果!$B$33+P1435*方案参数!$AH$42,1)</f>
        <v>1</v>
      </c>
      <c r="AJ1435" s="1">
        <f>MIN(1,MAX(0,J1435+方案参数!$AB$42-配置与结果!$B$27))</f>
        <v>0.76</v>
      </c>
      <c r="AK1435" s="1">
        <f>MAX(1,K1435+IF(F1435=2,0.15+方案参数!$CH$42,0)+BN1435*方案参数!$X$42+R1435*方案参数!$AA$42+0-配置与结果!$B$26+Z1435*(方案参数!$AP$42+MIN(方案参数!$AQ$42,P1435*0.03)))</f>
        <v>2.3180000000000001</v>
      </c>
      <c r="AL1435" s="7">
        <f>ROUNDDOWN(MAX(AD1435*配置与结果!$B$31,AD1435-AE1435)*AF1435*AG1435*AH1435*AI1435,0)</f>
        <v>57792</v>
      </c>
      <c r="AM1435" s="7">
        <f>ROUNDDOWN(MAX(AD1435*配置与结果!$B$31,AD1435-AE1435)*AF1435*AG1435*AH1435*AI1435*AK1435,0)</f>
        <v>133962</v>
      </c>
      <c r="AN1435" s="7">
        <f t="shared" si="1996"/>
        <v>115681.2</v>
      </c>
      <c r="AO1435" s="7">
        <f>0</f>
        <v>0</v>
      </c>
      <c r="AP1435" s="7">
        <f>MAX(0,1+INDEX(配置与结果!$J$15:$J$18,F1435)+IF(T1435&gt;0,方案参数!$BY$42,0)-配置与结果!$B$30)</f>
        <v>1</v>
      </c>
      <c r="AQ1435" s="7">
        <f t="shared" si="1997"/>
        <v>0</v>
      </c>
      <c r="AR1435" s="7">
        <f t="shared" si="1998"/>
        <v>0</v>
      </c>
      <c r="AS1435" s="7">
        <f t="shared" si="1999"/>
        <v>0</v>
      </c>
      <c r="AT1435" s="7">
        <f>IF(U1435&gt;0,ROUNDDOWN(AL1435*方案参数!$AF$42,0)*(1-AJ1435)+ROUNDDOWN(AM1435*方案参数!$AF$42,0)*AJ1435,0)</f>
        <v>0</v>
      </c>
      <c r="AU1435" s="7">
        <f t="shared" si="2000"/>
        <v>115681.2</v>
      </c>
      <c r="AV1435" s="1">
        <f t="shared" si="2001"/>
        <v>2</v>
      </c>
      <c r="AW1435" s="1">
        <f t="shared" si="2026"/>
        <v>10</v>
      </c>
      <c r="AX1435" s="1">
        <f t="shared" si="2002"/>
        <v>2</v>
      </c>
      <c r="AY1435" s="1">
        <f>MIN(20,MAX(0,O1435+0+0-0))</f>
        <v>2</v>
      </c>
      <c r="AZ1435" s="1">
        <f t="shared" si="2003"/>
        <v>5</v>
      </c>
      <c r="BA1435" s="1">
        <f t="shared" si="2017"/>
        <v>5</v>
      </c>
      <c r="BB1435" s="1">
        <f t="shared" si="2025"/>
        <v>20</v>
      </c>
      <c r="BC1435" s="1">
        <f t="shared" si="2023"/>
        <v>3</v>
      </c>
      <c r="BD1435" s="1">
        <f t="shared" si="2004"/>
        <v>0</v>
      </c>
      <c r="BE1435" s="1">
        <f>MAX(0,U1435-IF(AF1435&gt;0,1,0))+1</f>
        <v>1</v>
      </c>
      <c r="BF1435" s="1">
        <f t="shared" si="2027"/>
        <v>4</v>
      </c>
      <c r="BG1435" s="1">
        <f t="shared" si="2014"/>
        <v>1</v>
      </c>
      <c r="BH1435" s="1">
        <f t="shared" si="1990"/>
        <v>1</v>
      </c>
      <c r="BI1435" s="1">
        <f t="shared" si="2015"/>
        <v>1</v>
      </c>
      <c r="BJ1435" s="1">
        <f t="shared" si="2018"/>
        <v>1</v>
      </c>
      <c r="BK1435" s="1">
        <f t="shared" si="2019"/>
        <v>1</v>
      </c>
      <c r="BL1435" s="1">
        <f t="shared" si="2024"/>
        <v>1</v>
      </c>
      <c r="BM1435" s="1">
        <f t="shared" si="2022"/>
        <v>1</v>
      </c>
      <c r="BN1435" s="1">
        <f t="shared" si="1991"/>
        <v>1</v>
      </c>
      <c r="BO1435" s="1">
        <f t="shared" si="1992"/>
        <v>1</v>
      </c>
    </row>
    <row r="1436" spans="1:67" ht="30.95" customHeight="1">
      <c r="A1436" s="1">
        <f>39</f>
        <v>39</v>
      </c>
      <c r="B1436" s="1">
        <f>固定流程!A32</f>
        <v>27</v>
      </c>
      <c r="C1436" s="1">
        <f>42</f>
        <v>42</v>
      </c>
      <c r="D1436" s="1">
        <f>2</f>
        <v>2</v>
      </c>
      <c r="E1436" s="1">
        <f>固定流程!C32</f>
        <v>3</v>
      </c>
      <c r="F1436" s="1">
        <f>固定流程!G32</f>
        <v>1</v>
      </c>
      <c r="G1436" s="1" t="str">
        <f>固定流程!H32</f>
        <v>LILYA_THIRD</v>
      </c>
      <c r="H1436" s="1">
        <f>固定流程!F32</f>
        <v>1</v>
      </c>
      <c r="I1436" s="1">
        <f>INDEX(配置与结果!$B$15:$B$18,F1436)</f>
        <v>2296</v>
      </c>
      <c r="J1436" s="1">
        <f>INDEX(配置与结果!$D$15:$D$18,F1436)</f>
        <v>0.7</v>
      </c>
      <c r="K1436" s="1">
        <f>INDEX(配置与结果!$E$15:$E$18,F1436)</f>
        <v>2.0249999999999999</v>
      </c>
      <c r="L1436" s="1">
        <f t="shared" si="2011"/>
        <v>2</v>
      </c>
      <c r="M1436" s="1">
        <f t="shared" si="2012"/>
        <v>10</v>
      </c>
      <c r="N1436" s="1">
        <f t="shared" si="2013"/>
        <v>2</v>
      </c>
      <c r="O1436" s="1">
        <f t="shared" si="2005"/>
        <v>2</v>
      </c>
      <c r="P1436" s="1">
        <f>MIN(方案参数!$AI$42,AZ1435+0+0)</f>
        <v>5</v>
      </c>
      <c r="Q1436" s="1">
        <f t="shared" si="1975"/>
        <v>5</v>
      </c>
      <c r="R1436" s="1">
        <f t="shared" si="1976"/>
        <v>20</v>
      </c>
      <c r="S1436" s="1">
        <f t="shared" si="1977"/>
        <v>3</v>
      </c>
      <c r="T1436" s="1">
        <f t="shared" si="2020"/>
        <v>0</v>
      </c>
      <c r="U1436" s="1">
        <f t="shared" si="1979"/>
        <v>1</v>
      </c>
      <c r="V1436" s="1">
        <f t="shared" si="1980"/>
        <v>4</v>
      </c>
      <c r="W1436" s="1">
        <f t="shared" si="1981"/>
        <v>1</v>
      </c>
      <c r="X1436" s="1">
        <f t="shared" si="1982"/>
        <v>1</v>
      </c>
      <c r="Y1436" s="1">
        <f t="shared" si="1983"/>
        <v>1</v>
      </c>
      <c r="Z1436" s="1">
        <f t="shared" si="1984"/>
        <v>1</v>
      </c>
      <c r="AA1436" s="1">
        <f t="shared" si="2016"/>
        <v>1</v>
      </c>
      <c r="AB1436" s="1">
        <f t="shared" si="1986"/>
        <v>1</v>
      </c>
      <c r="AC1436" s="1">
        <f t="shared" si="2021"/>
        <v>1</v>
      </c>
      <c r="AD1436" s="1">
        <f>ROUNDDOWN(I1436*(1+IF(F1436=3,0.05+方案参数!$Y$42+AA1436*0.12,IF(F1436=4,方案参数!$BZ$42*方案参数!$AS$42,0)))+IF(AND(X1436=1,F1436&lt;&gt;3),方案参数!$CC$42,0)+AC1436*方案参数!$CB$42,0)</f>
        <v>3030</v>
      </c>
      <c r="AE1436" s="1">
        <f>IF(OR(F1436=1,F1436=4),配置与结果!$B$24,配置与结果!$B$25)*MAX(0,1-INDEX(配置与结果!$I$15:$I$18,F1436))</f>
        <v>1200</v>
      </c>
      <c r="AF1436" s="1">
        <f>方案参数!$BM$42</f>
        <v>20</v>
      </c>
      <c r="AG1436" s="1">
        <f>MAX(配置与结果!$B$32,1+INDEX(配置与结果!$F$15:$F$18,F1436)+0.08+方案参数!$CD$42+Q1436*方案参数!$W$42+Y1436*(方案参数!$AN$42+MIN(方案参数!$AO$42,P1436*0.03))+AB1436*方案参数!$BZ$42*0.025-配置与结果!$B$28+方案参数!$AE$42)</f>
        <v>2.6050000000000004</v>
      </c>
      <c r="AH1436" s="1">
        <f>MAX(0,1+V1436*方案参数!$U$42+3*方案参数!$V$42+方案参数!$AE$42-配置与结果!$B$29)</f>
        <v>1.7399999999999998</v>
      </c>
      <c r="AI1436" s="1">
        <f>IF(OR(INDEX(配置与结果!$K$15:$K$18,F1436)=1,G1436="RHI_BERRY"),1+配置与结果!$B$33+P1436*方案参数!$AH$42,1)</f>
        <v>1</v>
      </c>
      <c r="AJ1436" s="1">
        <f>MIN(1,MAX(0,J1436+方案参数!$AB$42-配置与结果!$B$27))</f>
        <v>1</v>
      </c>
      <c r="AK1436" s="1">
        <f>MAX(1,K1436+IF(F1436=2,0.15+方案参数!$CH$42,0)+BN1436*方案参数!$X$42+R1436*方案参数!$AA$42+方案参数!$BQ$42-配置与结果!$B$26+Z1436*(方案参数!$AP$42+MIN(方案参数!$AQ$42,P1436*0.03)))</f>
        <v>2.9449999999999998</v>
      </c>
      <c r="AL1436" s="7">
        <f>ROUNDDOWN(MAX(AD1436*配置与结果!$B$31,AD1436-AE1436)*AF1436*AG1436*AH1436*AI1436,0)</f>
        <v>165896</v>
      </c>
      <c r="AM1436" s="7">
        <f>ROUNDDOWN(MAX(AD1436*配置与结果!$B$31,AD1436-AE1436)*AF1436*AG1436*AH1436*AI1436*AK1436,0)</f>
        <v>488566</v>
      </c>
      <c r="AN1436" s="7">
        <f t="shared" si="1996"/>
        <v>488566</v>
      </c>
      <c r="AO1436" s="7">
        <f>0</f>
        <v>0</v>
      </c>
      <c r="AP1436" s="7">
        <f>MAX(0,1+INDEX(配置与结果!$J$15:$J$18,F1436)+IF(T1436&gt;0,方案参数!$BY$42,0)-配置与结果!$B$30)</f>
        <v>1</v>
      </c>
      <c r="AQ1436" s="7">
        <f t="shared" si="1997"/>
        <v>0</v>
      </c>
      <c r="AR1436" s="7">
        <f t="shared" si="1998"/>
        <v>0</v>
      </c>
      <c r="AS1436" s="7">
        <f t="shared" si="1999"/>
        <v>0</v>
      </c>
      <c r="AT1436" s="7">
        <f>IF(U1436&gt;0,ROUNDDOWN(AL1436*方案参数!$AF$42,0)*(1-AJ1436)+ROUNDDOWN(AM1436*方案参数!$AF$42,0)*AJ1436,0)</f>
        <v>195426</v>
      </c>
      <c r="AU1436" s="7">
        <f t="shared" si="2000"/>
        <v>683992</v>
      </c>
      <c r="AV1436" s="1">
        <f t="shared" si="2001"/>
        <v>2</v>
      </c>
      <c r="AW1436" s="1">
        <f t="shared" si="2026"/>
        <v>10</v>
      </c>
      <c r="AX1436" s="1">
        <f t="shared" si="2002"/>
        <v>2</v>
      </c>
      <c r="AY1436" s="1">
        <f>MIN(20,MAX(0,O1436+0+1-0))</f>
        <v>3</v>
      </c>
      <c r="AZ1436" s="1">
        <f t="shared" si="2003"/>
        <v>5</v>
      </c>
      <c r="BA1436" s="1">
        <f t="shared" si="2017"/>
        <v>5</v>
      </c>
      <c r="BB1436" s="1">
        <f t="shared" si="2025"/>
        <v>20</v>
      </c>
      <c r="BC1436" s="1">
        <f t="shared" si="2023"/>
        <v>3</v>
      </c>
      <c r="BD1436" s="1">
        <f t="shared" si="2004"/>
        <v>0</v>
      </c>
      <c r="BE1436" s="1">
        <f>MAX(0,U1436-IF(AF1436&gt;0,1,0))+0</f>
        <v>0</v>
      </c>
      <c r="BF1436" s="1">
        <f t="shared" si="2027"/>
        <v>4</v>
      </c>
      <c r="BG1436" s="1">
        <f t="shared" si="2014"/>
        <v>1</v>
      </c>
      <c r="BH1436" s="1">
        <f t="shared" si="1990"/>
        <v>1</v>
      </c>
      <c r="BI1436" s="1">
        <f t="shared" si="2015"/>
        <v>1</v>
      </c>
      <c r="BJ1436" s="1">
        <f t="shared" si="2018"/>
        <v>1</v>
      </c>
      <c r="BK1436" s="1">
        <f t="shared" si="2019"/>
        <v>1</v>
      </c>
      <c r="BL1436" s="1">
        <f t="shared" si="2024"/>
        <v>1</v>
      </c>
      <c r="BM1436" s="1">
        <f t="shared" si="2022"/>
        <v>1</v>
      </c>
      <c r="BN1436" s="1">
        <f t="shared" si="1991"/>
        <v>1</v>
      </c>
      <c r="BO1436" s="1">
        <f t="shared" si="1992"/>
        <v>1</v>
      </c>
    </row>
    <row r="1437" spans="1:67" ht="30.95" customHeight="1">
      <c r="A1437" s="1">
        <f>39</f>
        <v>39</v>
      </c>
      <c r="B1437" s="1">
        <f>固定流程!A33</f>
        <v>28</v>
      </c>
      <c r="C1437" s="1">
        <f>42</f>
        <v>42</v>
      </c>
      <c r="D1437" s="1">
        <f>2</f>
        <v>2</v>
      </c>
      <c r="E1437" s="1">
        <f>固定流程!C33</f>
        <v>3</v>
      </c>
      <c r="F1437" s="1">
        <f>固定流程!G33</f>
        <v>1</v>
      </c>
      <c r="G1437" s="1" t="str">
        <f>固定流程!H33</f>
        <v>LILYA_WEAK</v>
      </c>
      <c r="H1437" s="1">
        <f>固定流程!F33</f>
        <v>1</v>
      </c>
      <c r="I1437" s="1">
        <f>INDEX(配置与结果!$B$15:$B$18,F1437)</f>
        <v>2296</v>
      </c>
      <c r="J1437" s="1">
        <f>INDEX(配置与结果!$D$15:$D$18,F1437)</f>
        <v>0.7</v>
      </c>
      <c r="K1437" s="1">
        <f>INDEX(配置与结果!$E$15:$E$18,F1437)</f>
        <v>2.0249999999999999</v>
      </c>
      <c r="L1437" s="1">
        <f t="shared" si="2011"/>
        <v>2</v>
      </c>
      <c r="M1437" s="1">
        <f t="shared" si="2012"/>
        <v>10</v>
      </c>
      <c r="N1437" s="1">
        <f t="shared" si="2013"/>
        <v>2</v>
      </c>
      <c r="O1437" s="1">
        <f t="shared" si="2005"/>
        <v>3</v>
      </c>
      <c r="P1437" s="1">
        <f>MIN(方案参数!$AI$42,AZ1436+0+0)</f>
        <v>5</v>
      </c>
      <c r="Q1437" s="1">
        <f t="shared" si="1975"/>
        <v>5</v>
      </c>
      <c r="R1437" s="1">
        <f t="shared" si="1976"/>
        <v>20</v>
      </c>
      <c r="S1437" s="1">
        <f t="shared" si="1977"/>
        <v>3</v>
      </c>
      <c r="T1437" s="1">
        <f t="shared" si="2020"/>
        <v>0</v>
      </c>
      <c r="U1437" s="1">
        <f t="shared" si="1979"/>
        <v>0</v>
      </c>
      <c r="V1437" s="1">
        <f t="shared" si="1980"/>
        <v>4</v>
      </c>
      <c r="W1437" s="1">
        <f t="shared" si="1981"/>
        <v>1</v>
      </c>
      <c r="X1437" s="1">
        <f t="shared" si="1982"/>
        <v>1</v>
      </c>
      <c r="Y1437" s="1">
        <f t="shared" si="1983"/>
        <v>1</v>
      </c>
      <c r="Z1437" s="1">
        <f t="shared" si="1984"/>
        <v>1</v>
      </c>
      <c r="AA1437" s="1">
        <f t="shared" si="2016"/>
        <v>1</v>
      </c>
      <c r="AB1437" s="1">
        <f t="shared" si="1986"/>
        <v>1</v>
      </c>
      <c r="AC1437" s="1">
        <f t="shared" si="2021"/>
        <v>1</v>
      </c>
      <c r="AD1437" s="1">
        <f>ROUNDDOWN(I1437*(1+IF(F1437=3,0.05+方案参数!$Y$42+AA1437*0.12,IF(F1437=4,方案参数!$BZ$42*方案参数!$AS$42,0)))+IF(AND(X1437=1,F1437&lt;&gt;3),方案参数!$CC$42,0)+AC1437*方案参数!$CB$42,0)</f>
        <v>3030</v>
      </c>
      <c r="AE1437" s="1">
        <f>IF(OR(F1437=1,F1437=4),配置与结果!$B$24,配置与结果!$B$25)*MAX(0,1-INDEX(配置与结果!$I$15:$I$18,F1437))</f>
        <v>1200</v>
      </c>
      <c r="AF1437" s="1">
        <f>方案参数!$BL$42</f>
        <v>9</v>
      </c>
      <c r="AG1437" s="1">
        <f>MAX(配置与结果!$B$32,1+INDEX(配置与结果!$F$15:$F$18,F1437)+0.08+方案参数!$CD$42+Q1437*方案参数!$W$42+Y1437*(方案参数!$AN$42+MIN(方案参数!$AO$42,P1437*0.03))+AB1437*方案参数!$BZ$42*0.025-配置与结果!$B$28+方案参数!$AE$42)</f>
        <v>2.6050000000000004</v>
      </c>
      <c r="AH1437" s="1">
        <f>MAX(0,1+V1437*方案参数!$U$42+4*方案参数!$V$42+方案参数!$AE$42-配置与结果!$B$29)</f>
        <v>1.7999999999999998</v>
      </c>
      <c r="AI1437" s="1">
        <f>IF(OR(INDEX(配置与结果!$K$15:$K$18,F1437)=1,G1437="RHI_BERRY"),1+配置与结果!$B$33+P1437*方案参数!$AH$42,1)</f>
        <v>1</v>
      </c>
      <c r="AJ1437" s="1">
        <f>MIN(1,MAX(0,J1437+方案参数!$AB$42-配置与结果!$B$27))</f>
        <v>1</v>
      </c>
      <c r="AK1437" s="1">
        <f>MAX(1,K1437+IF(F1437=2,0.15+方案参数!$CH$42,0)+BN1437*方案参数!$X$42+R1437*方案参数!$AA$42+方案参数!$BP$42-配置与结果!$B$26+Z1437*(方案参数!$AP$42+MIN(方案参数!$AQ$42,P1437*0.03)))</f>
        <v>2.7450000000000001</v>
      </c>
      <c r="AL1437" s="7">
        <f>ROUNDDOWN(MAX(AD1437*配置与结果!$B$31,AD1437-AE1437)*AF1437*AG1437*AH1437*AI1437,0)</f>
        <v>77227</v>
      </c>
      <c r="AM1437" s="7">
        <f>ROUNDDOWN(MAX(AD1437*配置与结果!$B$31,AD1437-AE1437)*AF1437*AG1437*AH1437*AI1437*AK1437,0)</f>
        <v>211990</v>
      </c>
      <c r="AN1437" s="7">
        <f t="shared" si="1996"/>
        <v>211990</v>
      </c>
      <c r="AO1437" s="7">
        <f>0</f>
        <v>0</v>
      </c>
      <c r="AP1437" s="7">
        <f>MAX(0,1+INDEX(配置与结果!$J$15:$J$18,F1437)+IF(T1437&gt;0,方案参数!$BY$42,0)-配置与结果!$B$30)</f>
        <v>1</v>
      </c>
      <c r="AQ1437" s="7">
        <f t="shared" si="1997"/>
        <v>0</v>
      </c>
      <c r="AR1437" s="7">
        <f t="shared" si="1998"/>
        <v>0</v>
      </c>
      <c r="AS1437" s="7">
        <f t="shared" si="1999"/>
        <v>0</v>
      </c>
      <c r="AT1437" s="7">
        <f>IF(U1437&gt;0,ROUNDDOWN(AL1437*方案参数!$AF$42,0)*(1-AJ1437)+ROUNDDOWN(AM1437*方案参数!$AF$42,0)*AJ1437,0)</f>
        <v>0</v>
      </c>
      <c r="AU1437" s="7">
        <f t="shared" si="2000"/>
        <v>211990</v>
      </c>
      <c r="AV1437" s="1">
        <f t="shared" si="2001"/>
        <v>2</v>
      </c>
      <c r="AW1437" s="1">
        <f t="shared" si="2026"/>
        <v>10</v>
      </c>
      <c r="AX1437" s="1">
        <f t="shared" si="2002"/>
        <v>2</v>
      </c>
      <c r="AY1437" s="1">
        <f>MIN(20,MAX(0,O1437+0+1-0))</f>
        <v>4</v>
      </c>
      <c r="AZ1437" s="1">
        <f t="shared" si="2003"/>
        <v>5</v>
      </c>
      <c r="BA1437" s="1">
        <f t="shared" si="2017"/>
        <v>5</v>
      </c>
      <c r="BB1437" s="1">
        <f t="shared" si="2025"/>
        <v>20</v>
      </c>
      <c r="BC1437" s="1">
        <f t="shared" si="2023"/>
        <v>3</v>
      </c>
      <c r="BD1437" s="1">
        <f t="shared" si="2004"/>
        <v>0</v>
      </c>
      <c r="BE1437" s="1">
        <f>MAX(0,U1437-IF(AF1437&gt;0,1,0))+0</f>
        <v>0</v>
      </c>
      <c r="BF1437" s="1">
        <f t="shared" si="2027"/>
        <v>4</v>
      </c>
      <c r="BG1437" s="1">
        <f t="shared" si="2014"/>
        <v>1</v>
      </c>
      <c r="BH1437" s="1">
        <f t="shared" si="1990"/>
        <v>1</v>
      </c>
      <c r="BI1437" s="1">
        <f t="shared" si="2015"/>
        <v>1</v>
      </c>
      <c r="BJ1437" s="1">
        <f t="shared" si="2018"/>
        <v>1</v>
      </c>
      <c r="BK1437" s="1">
        <f t="shared" si="2019"/>
        <v>1</v>
      </c>
      <c r="BL1437" s="1">
        <f t="shared" si="2024"/>
        <v>1</v>
      </c>
      <c r="BM1437" s="1">
        <f t="shared" si="2022"/>
        <v>1</v>
      </c>
      <c r="BN1437" s="1">
        <f t="shared" si="1991"/>
        <v>1</v>
      </c>
      <c r="BO1437" s="1">
        <f t="shared" si="1992"/>
        <v>1</v>
      </c>
    </row>
    <row r="1438" spans="1:67" ht="30.95" customHeight="1">
      <c r="A1438" s="1">
        <f>39</f>
        <v>39</v>
      </c>
      <c r="B1438" s="1">
        <f>固定流程!A34</f>
        <v>29</v>
      </c>
      <c r="C1438" s="1">
        <f>42</f>
        <v>42</v>
      </c>
      <c r="D1438" s="1">
        <f>2</f>
        <v>2</v>
      </c>
      <c r="E1438" s="1">
        <f>固定流程!C34</f>
        <v>3</v>
      </c>
      <c r="F1438" s="1">
        <f>固定流程!G34</f>
        <v>1</v>
      </c>
      <c r="G1438" s="1" t="str">
        <f>固定流程!H34</f>
        <v>LILYA_WEAK</v>
      </c>
      <c r="H1438" s="1">
        <f>固定流程!F34</f>
        <v>1</v>
      </c>
      <c r="I1438" s="1">
        <f>INDEX(配置与结果!$B$15:$B$18,F1438)</f>
        <v>2296</v>
      </c>
      <c r="J1438" s="1">
        <f>INDEX(配置与结果!$D$15:$D$18,F1438)</f>
        <v>0.7</v>
      </c>
      <c r="K1438" s="1">
        <f>INDEX(配置与结果!$E$15:$E$18,F1438)</f>
        <v>2.0249999999999999</v>
      </c>
      <c r="L1438" s="1">
        <f t="shared" si="2011"/>
        <v>2</v>
      </c>
      <c r="M1438" s="1">
        <f t="shared" si="2012"/>
        <v>10</v>
      </c>
      <c r="N1438" s="1">
        <f t="shared" si="2013"/>
        <v>2</v>
      </c>
      <c r="O1438" s="1">
        <f t="shared" si="2005"/>
        <v>4</v>
      </c>
      <c r="P1438" s="1">
        <f>MIN(方案参数!$AI$42,AZ1437+0+0)</f>
        <v>5</v>
      </c>
      <c r="Q1438" s="1">
        <f t="shared" si="1975"/>
        <v>5</v>
      </c>
      <c r="R1438" s="1">
        <f t="shared" si="1976"/>
        <v>20</v>
      </c>
      <c r="S1438" s="1">
        <f t="shared" si="1977"/>
        <v>3</v>
      </c>
      <c r="T1438" s="1">
        <f t="shared" si="2020"/>
        <v>0</v>
      </c>
      <c r="U1438" s="1">
        <f t="shared" si="1979"/>
        <v>0</v>
      </c>
      <c r="V1438" s="1">
        <f t="shared" si="1980"/>
        <v>4</v>
      </c>
      <c r="W1438" s="1">
        <f t="shared" si="1981"/>
        <v>1</v>
      </c>
      <c r="X1438" s="1">
        <f t="shared" si="1982"/>
        <v>1</v>
      </c>
      <c r="Y1438" s="1">
        <f t="shared" si="1983"/>
        <v>1</v>
      </c>
      <c r="Z1438" s="1">
        <f t="shared" si="1984"/>
        <v>1</v>
      </c>
      <c r="AA1438" s="1">
        <f t="shared" si="2016"/>
        <v>1</v>
      </c>
      <c r="AB1438" s="1">
        <f t="shared" si="1986"/>
        <v>1</v>
      </c>
      <c r="AC1438" s="1">
        <f t="shared" si="2021"/>
        <v>1</v>
      </c>
      <c r="AD1438" s="1">
        <f>ROUNDDOWN(I1438*(1+IF(F1438=3,0.05+方案参数!$Y$42+AA1438*0.12,IF(F1438=4,方案参数!$BZ$42*方案参数!$AS$42,0)))+IF(AND(X1438=1,F1438&lt;&gt;3),方案参数!$CC$42,0)+AC1438*方案参数!$CB$42,0)</f>
        <v>3030</v>
      </c>
      <c r="AE1438" s="1">
        <f>IF(OR(F1438=1,F1438=4),配置与结果!$B$24,配置与结果!$B$25)*MAX(0,1-INDEX(配置与结果!$I$15:$I$18,F1438))</f>
        <v>1200</v>
      </c>
      <c r="AF1438" s="1">
        <f>方案参数!$BL$42</f>
        <v>9</v>
      </c>
      <c r="AG1438" s="1">
        <f>MAX(配置与结果!$B$32,1+INDEX(配置与结果!$F$15:$F$18,F1438)+0.08+方案参数!$CD$42+Q1438*方案参数!$W$42+Y1438*(方案参数!$AN$42+MIN(方案参数!$AO$42,P1438*0.03))+AB1438*方案参数!$BZ$42*0.025-配置与结果!$B$28+方案参数!$AE$42)</f>
        <v>2.6050000000000004</v>
      </c>
      <c r="AH1438" s="1">
        <f>MAX(0,1+V1438*方案参数!$U$42+5*方案参数!$V$42+方案参数!$AE$42-配置与结果!$B$29)</f>
        <v>1.8599999999999999</v>
      </c>
      <c r="AI1438" s="1">
        <f>IF(OR(INDEX(配置与结果!$K$15:$K$18,F1438)=1,G1438="RHI_BERRY"),1+配置与结果!$B$33+P1438*方案参数!$AH$42,1)</f>
        <v>1</v>
      </c>
      <c r="AJ1438" s="1">
        <f>MIN(1,MAX(0,J1438+方案参数!$AB$42-配置与结果!$B$27))</f>
        <v>1</v>
      </c>
      <c r="AK1438" s="1">
        <f>MAX(1,K1438+IF(F1438=2,0.15+方案参数!$CH$42,0)+BN1438*方案参数!$X$42+R1438*方案参数!$AA$42+方案参数!$BP$42-配置与结果!$B$26+Z1438*(方案参数!$AP$42+MIN(方案参数!$AQ$42,P1438*0.03)))</f>
        <v>2.7450000000000001</v>
      </c>
      <c r="AL1438" s="7">
        <f>ROUNDDOWN(MAX(AD1438*配置与结果!$B$31,AD1438-AE1438)*AF1438*AG1438*AH1438*AI1438,0)</f>
        <v>79802</v>
      </c>
      <c r="AM1438" s="7">
        <f>ROUNDDOWN(MAX(AD1438*配置与结果!$B$31,AD1438-AE1438)*AF1438*AG1438*AH1438*AI1438*AK1438,0)</f>
        <v>219056</v>
      </c>
      <c r="AN1438" s="7">
        <f t="shared" si="1996"/>
        <v>219056</v>
      </c>
      <c r="AO1438" s="7">
        <f>0</f>
        <v>0</v>
      </c>
      <c r="AP1438" s="7">
        <f>MAX(0,1+INDEX(配置与结果!$J$15:$J$18,F1438)+IF(T1438&gt;0,方案参数!$BY$42,0)-配置与结果!$B$30)</f>
        <v>1</v>
      </c>
      <c r="AQ1438" s="7">
        <f t="shared" si="1997"/>
        <v>0</v>
      </c>
      <c r="AR1438" s="7">
        <f t="shared" si="1998"/>
        <v>0</v>
      </c>
      <c r="AS1438" s="7">
        <f t="shared" si="1999"/>
        <v>0</v>
      </c>
      <c r="AT1438" s="7">
        <f>IF(U1438&gt;0,ROUNDDOWN(AL1438*方案参数!$AF$42,0)*(1-AJ1438)+ROUNDDOWN(AM1438*方案参数!$AF$42,0)*AJ1438,0)</f>
        <v>0</v>
      </c>
      <c r="AU1438" s="7">
        <f t="shared" si="2000"/>
        <v>219056</v>
      </c>
      <c r="AV1438" s="1">
        <f t="shared" si="2001"/>
        <v>2</v>
      </c>
      <c r="AW1438" s="1">
        <f t="shared" si="2026"/>
        <v>10</v>
      </c>
      <c r="AX1438" s="1">
        <f t="shared" si="2002"/>
        <v>2</v>
      </c>
      <c r="AY1438" s="1">
        <f>MIN(20,MAX(0,O1438+0+1-0))</f>
        <v>5</v>
      </c>
      <c r="AZ1438" s="1">
        <f t="shared" si="2003"/>
        <v>5</v>
      </c>
      <c r="BA1438" s="1">
        <f t="shared" si="2017"/>
        <v>5</v>
      </c>
      <c r="BB1438" s="1">
        <f t="shared" si="2025"/>
        <v>20</v>
      </c>
      <c r="BC1438" s="1">
        <f t="shared" si="2023"/>
        <v>3</v>
      </c>
      <c r="BD1438" s="1">
        <f t="shared" si="2004"/>
        <v>0</v>
      </c>
      <c r="BE1438" s="1">
        <f>MAX(0,U1438-IF(AF1438&gt;0,1,0))+0</f>
        <v>0</v>
      </c>
      <c r="BF1438" s="1">
        <f t="shared" si="2027"/>
        <v>4</v>
      </c>
      <c r="BG1438" s="1">
        <f t="shared" si="2014"/>
        <v>1</v>
      </c>
      <c r="BH1438" s="1">
        <f t="shared" si="1990"/>
        <v>1</v>
      </c>
      <c r="BI1438" s="1">
        <f t="shared" si="2015"/>
        <v>1</v>
      </c>
      <c r="BJ1438" s="1">
        <f t="shared" si="2018"/>
        <v>1</v>
      </c>
      <c r="BK1438" s="1">
        <f t="shared" si="2019"/>
        <v>1</v>
      </c>
      <c r="BL1438" s="1">
        <f t="shared" si="2024"/>
        <v>1</v>
      </c>
      <c r="BM1438" s="1">
        <f t="shared" si="2022"/>
        <v>1</v>
      </c>
      <c r="BN1438" s="1">
        <f t="shared" si="1991"/>
        <v>1</v>
      </c>
      <c r="BO1438" s="1">
        <f t="shared" si="1992"/>
        <v>1</v>
      </c>
    </row>
    <row r="1439" spans="1:67" ht="30.95" customHeight="1">
      <c r="A1439" s="1">
        <f>39</f>
        <v>39</v>
      </c>
      <c r="B1439" s="1">
        <f>固定流程!A35</f>
        <v>30</v>
      </c>
      <c r="C1439" s="1">
        <f>42</f>
        <v>42</v>
      </c>
      <c r="D1439" s="1">
        <f>2</f>
        <v>2</v>
      </c>
      <c r="E1439" s="1">
        <f>固定流程!C35</f>
        <v>3</v>
      </c>
      <c r="F1439" s="1">
        <f>固定流程!G35</f>
        <v>2</v>
      </c>
      <c r="G1439" s="1" t="str">
        <f>固定流程!H35</f>
        <v>37_WEAK</v>
      </c>
      <c r="H1439" s="1">
        <f>固定流程!F35</f>
        <v>1</v>
      </c>
      <c r="I1439" s="1">
        <f>INDEX(配置与结果!$B$15:$B$18,F1439)</f>
        <v>2306</v>
      </c>
      <c r="J1439" s="1">
        <f>INDEX(配置与结果!$D$15:$D$18,F1439)</f>
        <v>0.46</v>
      </c>
      <c r="K1439" s="1">
        <f>INDEX(配置与结果!$E$15:$E$18,F1439)</f>
        <v>1.9279999999999999</v>
      </c>
      <c r="L1439" s="1">
        <f t="shared" si="2011"/>
        <v>2</v>
      </c>
      <c r="M1439" s="1">
        <f t="shared" si="2012"/>
        <v>10</v>
      </c>
      <c r="N1439" s="1">
        <f t="shared" si="2013"/>
        <v>2</v>
      </c>
      <c r="O1439" s="1">
        <f t="shared" si="2005"/>
        <v>5</v>
      </c>
      <c r="P1439" s="1">
        <f>MIN(方案参数!$AI$42,AZ1438+0+0)</f>
        <v>5</v>
      </c>
      <c r="Q1439" s="1">
        <f t="shared" si="1975"/>
        <v>5</v>
      </c>
      <c r="R1439" s="1">
        <f t="shared" si="1976"/>
        <v>20</v>
      </c>
      <c r="S1439" s="1">
        <f t="shared" si="1977"/>
        <v>3</v>
      </c>
      <c r="T1439" s="1">
        <f t="shared" si="2020"/>
        <v>0</v>
      </c>
      <c r="U1439" s="1">
        <f t="shared" si="1979"/>
        <v>0</v>
      </c>
      <c r="V1439" s="1">
        <f t="shared" si="1980"/>
        <v>4</v>
      </c>
      <c r="W1439" s="1">
        <f t="shared" si="1981"/>
        <v>1</v>
      </c>
      <c r="X1439" s="1">
        <f t="shared" si="1982"/>
        <v>1</v>
      </c>
      <c r="Y1439" s="1">
        <f t="shared" si="1983"/>
        <v>1</v>
      </c>
      <c r="Z1439" s="1">
        <f t="shared" si="1984"/>
        <v>1</v>
      </c>
      <c r="AA1439" s="1">
        <f t="shared" si="2016"/>
        <v>1</v>
      </c>
      <c r="AB1439" s="1">
        <f t="shared" si="1986"/>
        <v>1</v>
      </c>
      <c r="AC1439" s="1">
        <f t="shared" si="2021"/>
        <v>1</v>
      </c>
      <c r="AD1439" s="1">
        <f>ROUNDDOWN(I1439*(1+IF(F1439=3,0.05+方案参数!$Y$42+AA1439*0.12,IF(F1439=4,方案参数!$BZ$42*方案参数!$AS$42,0)))+IF(AND(X1439=1,F1439&lt;&gt;3),方案参数!$CC$42,0)+AC1439*方案参数!$CB$42,0)</f>
        <v>3040</v>
      </c>
      <c r="AE1439" s="1">
        <f>IF(OR(F1439=1,F1439=4),配置与结果!$B$24,配置与结果!$B$25)*MAX(0,1-INDEX(配置与结果!$I$15:$I$18,F1439))</f>
        <v>1000</v>
      </c>
      <c r="AF1439" s="1">
        <f>方案参数!$CE$42</f>
        <v>8</v>
      </c>
      <c r="AG1439" s="1">
        <f>MAX(配置与结果!$B$32,1+INDEX(配置与结果!$F$15:$F$18,F1439)+0+Q1439*方案参数!$W$42+Y1439*(方案参数!$AN$42+MIN(方案参数!$AO$42,P1439*0.03))+AB1439*方案参数!$BZ$42*0.025-配置与结果!$B$28+方案参数!$AE$42)</f>
        <v>2.27</v>
      </c>
      <c r="AH1439" s="1">
        <f>MAX(0,1+V1439*方案参数!$U$42+方案参数!$AE$42-配置与结果!$B$29)</f>
        <v>1.56</v>
      </c>
      <c r="AI1439" s="1">
        <f>IF(OR(INDEX(配置与结果!$K$15:$K$18,F1439)=1,G1439="RHI_BERRY"),1+配置与结果!$B$33+P1439*方案参数!$AH$42,1)</f>
        <v>1</v>
      </c>
      <c r="AJ1439" s="1">
        <f>MIN(1,MAX(0,J1439+方案参数!$AB$42-配置与结果!$B$27))</f>
        <v>0.76</v>
      </c>
      <c r="AK1439" s="1">
        <f>MAX(1,K1439+IF(F1439=2,0.15+方案参数!$CH$42,0)+BN1439*方案参数!$X$42+R1439*方案参数!$AA$42+0-配置与结果!$B$26+Z1439*(方案参数!$AP$42+MIN(方案参数!$AQ$42,P1439*0.03)))</f>
        <v>2.3180000000000001</v>
      </c>
      <c r="AL1439" s="7">
        <f>ROUNDDOWN(MAX(AD1439*配置与结果!$B$31,AD1439-AE1439)*AF1439*AG1439*AH1439*AI1439,0)</f>
        <v>57792</v>
      </c>
      <c r="AM1439" s="7">
        <f>ROUNDDOWN(MAX(AD1439*配置与结果!$B$31,AD1439-AE1439)*AF1439*AG1439*AH1439*AI1439*AK1439,0)</f>
        <v>133962</v>
      </c>
      <c r="AN1439" s="7">
        <f t="shared" si="1996"/>
        <v>115681.2</v>
      </c>
      <c r="AO1439" s="7">
        <f>0</f>
        <v>0</v>
      </c>
      <c r="AP1439" s="7">
        <f>MAX(0,1+INDEX(配置与结果!$J$15:$J$18,F1439)+IF(T1439&gt;0,方案参数!$BY$42,0)-配置与结果!$B$30)</f>
        <v>1</v>
      </c>
      <c r="AQ1439" s="7">
        <f t="shared" si="1997"/>
        <v>0</v>
      </c>
      <c r="AR1439" s="7">
        <f t="shared" si="1998"/>
        <v>0</v>
      </c>
      <c r="AS1439" s="7">
        <f t="shared" si="1999"/>
        <v>0</v>
      </c>
      <c r="AT1439" s="7">
        <f>IF(U1439&gt;0,ROUNDDOWN(AL1439*方案参数!$AF$42,0)*(1-AJ1439)+ROUNDDOWN(AM1439*方案参数!$AF$42,0)*AJ1439,0)</f>
        <v>0</v>
      </c>
      <c r="AU1439" s="7">
        <f t="shared" si="2000"/>
        <v>115681.2</v>
      </c>
      <c r="AV1439" s="1">
        <f t="shared" si="2001"/>
        <v>2</v>
      </c>
      <c r="AW1439" s="1">
        <f t="shared" si="2026"/>
        <v>10</v>
      </c>
      <c r="AX1439" s="1">
        <f t="shared" si="2002"/>
        <v>2</v>
      </c>
      <c r="AY1439" s="1">
        <f>MIN(20,MAX(0,O1439+0+0-0))</f>
        <v>5</v>
      </c>
      <c r="AZ1439" s="1">
        <f t="shared" si="2003"/>
        <v>5</v>
      </c>
      <c r="BA1439" s="1">
        <f t="shared" si="2017"/>
        <v>5</v>
      </c>
      <c r="BB1439" s="1">
        <f t="shared" si="2025"/>
        <v>20</v>
      </c>
      <c r="BC1439" s="1">
        <f t="shared" si="2023"/>
        <v>3</v>
      </c>
      <c r="BD1439" s="1">
        <f t="shared" si="2004"/>
        <v>0</v>
      </c>
      <c r="BE1439" s="1">
        <f>MAX(0,U1439-IF(AF1439&gt;0,1,0))+1</f>
        <v>1</v>
      </c>
      <c r="BF1439" s="1">
        <f t="shared" si="2027"/>
        <v>4</v>
      </c>
      <c r="BG1439" s="1">
        <f t="shared" si="2014"/>
        <v>1</v>
      </c>
      <c r="BH1439" s="1">
        <f t="shared" si="1990"/>
        <v>1</v>
      </c>
      <c r="BI1439" s="1">
        <f t="shared" si="2015"/>
        <v>1</v>
      </c>
      <c r="BJ1439" s="1">
        <f t="shared" si="2018"/>
        <v>1</v>
      </c>
      <c r="BK1439" s="1">
        <f t="shared" si="2019"/>
        <v>1</v>
      </c>
      <c r="BL1439" s="1">
        <f t="shared" si="2024"/>
        <v>1</v>
      </c>
      <c r="BM1439" s="1">
        <f t="shared" si="2022"/>
        <v>1</v>
      </c>
      <c r="BN1439" s="1">
        <f t="shared" si="1991"/>
        <v>1</v>
      </c>
      <c r="BO1439" s="1">
        <f t="shared" si="1992"/>
        <v>1</v>
      </c>
    </row>
    <row r="1440" spans="1:67" ht="30.95" customHeight="1">
      <c r="A1440" s="1">
        <f>39</f>
        <v>39</v>
      </c>
      <c r="B1440" s="1">
        <f>固定流程!A36</f>
        <v>31</v>
      </c>
      <c r="C1440" s="1">
        <f>42</f>
        <v>42</v>
      </c>
      <c r="D1440" s="1">
        <f>2</f>
        <v>2</v>
      </c>
      <c r="E1440" s="1">
        <f>固定流程!C36</f>
        <v>3</v>
      </c>
      <c r="F1440" s="1">
        <f>固定流程!G36</f>
        <v>1</v>
      </c>
      <c r="G1440" s="1" t="str">
        <f>固定流程!H36</f>
        <v>LILYA_THIRD</v>
      </c>
      <c r="H1440" s="1">
        <f>固定流程!F36</f>
        <v>1</v>
      </c>
      <c r="I1440" s="1">
        <f>INDEX(配置与结果!$B$15:$B$18,F1440)</f>
        <v>2296</v>
      </c>
      <c r="J1440" s="1">
        <f>INDEX(配置与结果!$D$15:$D$18,F1440)</f>
        <v>0.7</v>
      </c>
      <c r="K1440" s="1">
        <f>INDEX(配置与结果!$E$15:$E$18,F1440)</f>
        <v>2.0249999999999999</v>
      </c>
      <c r="L1440" s="1">
        <f t="shared" si="2011"/>
        <v>2</v>
      </c>
      <c r="M1440" s="1">
        <f t="shared" si="2012"/>
        <v>10</v>
      </c>
      <c r="N1440" s="1">
        <f t="shared" si="2013"/>
        <v>2</v>
      </c>
      <c r="O1440" s="1">
        <f t="shared" si="2005"/>
        <v>5</v>
      </c>
      <c r="P1440" s="1">
        <f>MIN(方案参数!$AI$42,AZ1439+0+0)</f>
        <v>5</v>
      </c>
      <c r="Q1440" s="1">
        <f t="shared" si="1975"/>
        <v>5</v>
      </c>
      <c r="R1440" s="1">
        <f t="shared" si="1976"/>
        <v>20</v>
      </c>
      <c r="S1440" s="1">
        <f t="shared" si="1977"/>
        <v>3</v>
      </c>
      <c r="T1440" s="1">
        <f t="shared" si="2020"/>
        <v>0</v>
      </c>
      <c r="U1440" s="1">
        <f t="shared" si="1979"/>
        <v>1</v>
      </c>
      <c r="V1440" s="1">
        <f t="shared" si="1980"/>
        <v>4</v>
      </c>
      <c r="W1440" s="1">
        <f t="shared" si="1981"/>
        <v>1</v>
      </c>
      <c r="X1440" s="1">
        <f t="shared" si="1982"/>
        <v>1</v>
      </c>
      <c r="Y1440" s="1">
        <f t="shared" si="1983"/>
        <v>1</v>
      </c>
      <c r="Z1440" s="1">
        <f t="shared" si="1984"/>
        <v>1</v>
      </c>
      <c r="AA1440" s="1">
        <f t="shared" si="2016"/>
        <v>1</v>
      </c>
      <c r="AB1440" s="1">
        <f t="shared" si="1986"/>
        <v>1</v>
      </c>
      <c r="AC1440" s="1">
        <f t="shared" si="2021"/>
        <v>1</v>
      </c>
      <c r="AD1440" s="1">
        <f>ROUNDDOWN(I1440*(1+IF(F1440=3,0.05+方案参数!$Y$42+AA1440*0.12,IF(F1440=4,方案参数!$BZ$42*方案参数!$AS$42,0)))+IF(AND(X1440=1,F1440&lt;&gt;3),方案参数!$CC$42,0)+AC1440*方案参数!$CB$42,0)</f>
        <v>3030</v>
      </c>
      <c r="AE1440" s="1">
        <f>IF(OR(F1440=1,F1440=4),配置与结果!$B$24,配置与结果!$B$25)*MAX(0,1-INDEX(配置与结果!$I$15:$I$18,F1440))</f>
        <v>1200</v>
      </c>
      <c r="AF1440" s="1">
        <f>方案参数!$BM$42</f>
        <v>20</v>
      </c>
      <c r="AG1440" s="1">
        <f>MAX(配置与结果!$B$32,1+INDEX(配置与结果!$F$15:$F$18,F1440)+0.08+方案参数!$CD$42+Q1440*方案参数!$W$42+Y1440*(方案参数!$AN$42+MIN(方案参数!$AO$42,P1440*0.03))+AB1440*方案参数!$BZ$42*0.025-配置与结果!$B$28+方案参数!$AE$42)</f>
        <v>2.6050000000000004</v>
      </c>
      <c r="AH1440" s="1">
        <f>MAX(0,1+V1440*方案参数!$U$42+7*方案参数!$V$42+方案参数!$AE$42-配置与结果!$B$29)</f>
        <v>1.98</v>
      </c>
      <c r="AI1440" s="1">
        <f>IF(OR(INDEX(配置与结果!$K$15:$K$18,F1440)=1,G1440="RHI_BERRY"),1+配置与结果!$B$33+P1440*方案参数!$AH$42,1)</f>
        <v>1</v>
      </c>
      <c r="AJ1440" s="1">
        <f>MIN(1,MAX(0,J1440+方案参数!$AB$42-配置与结果!$B$27))</f>
        <v>1</v>
      </c>
      <c r="AK1440" s="1">
        <f>MAX(1,K1440+IF(F1440=2,0.15+方案参数!$CH$42,0)+BN1440*方案参数!$X$42+R1440*方案参数!$AA$42+方案参数!$BQ$42-配置与结果!$B$26+Z1440*(方案参数!$AP$42+MIN(方案参数!$AQ$42,P1440*0.03)))</f>
        <v>2.9449999999999998</v>
      </c>
      <c r="AL1440" s="7">
        <f>ROUNDDOWN(MAX(AD1440*配置与结果!$B$31,AD1440-AE1440)*AF1440*AG1440*AH1440*AI1440,0)</f>
        <v>188779</v>
      </c>
      <c r="AM1440" s="7">
        <f>ROUNDDOWN(MAX(AD1440*配置与结果!$B$31,AD1440-AE1440)*AF1440*AG1440*AH1440*AI1440*AK1440,0)</f>
        <v>555954</v>
      </c>
      <c r="AN1440" s="7">
        <f t="shared" si="1996"/>
        <v>555954</v>
      </c>
      <c r="AO1440" s="7">
        <f>0</f>
        <v>0</v>
      </c>
      <c r="AP1440" s="7">
        <f>MAX(0,1+INDEX(配置与结果!$J$15:$J$18,F1440)+IF(T1440&gt;0,方案参数!$BY$42,0)-配置与结果!$B$30)</f>
        <v>1</v>
      </c>
      <c r="AQ1440" s="7">
        <f t="shared" si="1997"/>
        <v>0</v>
      </c>
      <c r="AR1440" s="7">
        <f t="shared" si="1998"/>
        <v>0</v>
      </c>
      <c r="AS1440" s="7">
        <f t="shared" si="1999"/>
        <v>0</v>
      </c>
      <c r="AT1440" s="7">
        <f>IF(U1440&gt;0,ROUNDDOWN(AL1440*方案参数!$AF$42,0)*(1-AJ1440)+ROUNDDOWN(AM1440*方案参数!$AF$42,0)*AJ1440,0)</f>
        <v>222381</v>
      </c>
      <c r="AU1440" s="7">
        <f t="shared" si="2000"/>
        <v>778335</v>
      </c>
      <c r="AV1440" s="1">
        <f t="shared" si="2001"/>
        <v>2</v>
      </c>
      <c r="AW1440" s="1">
        <f t="shared" si="2026"/>
        <v>10</v>
      </c>
      <c r="AX1440" s="1">
        <f t="shared" si="2002"/>
        <v>2</v>
      </c>
      <c r="AY1440" s="1">
        <f>MIN(20,MAX(0,O1440+0+1-0))</f>
        <v>6</v>
      </c>
      <c r="AZ1440" s="1">
        <f t="shared" si="2003"/>
        <v>5</v>
      </c>
      <c r="BA1440" s="1">
        <f t="shared" si="2017"/>
        <v>5</v>
      </c>
      <c r="BB1440" s="1">
        <f t="shared" si="2025"/>
        <v>20</v>
      </c>
      <c r="BC1440" s="1">
        <f t="shared" si="2023"/>
        <v>3</v>
      </c>
      <c r="BD1440" s="1">
        <f t="shared" si="2004"/>
        <v>0</v>
      </c>
      <c r="BE1440" s="1">
        <f>MAX(0,U1440-IF(AF1440&gt;0,1,0))+0</f>
        <v>0</v>
      </c>
      <c r="BF1440" s="1">
        <f t="shared" si="2027"/>
        <v>4</v>
      </c>
      <c r="BG1440" s="1">
        <f t="shared" si="2014"/>
        <v>1</v>
      </c>
      <c r="BH1440" s="1">
        <f t="shared" si="1990"/>
        <v>1</v>
      </c>
      <c r="BI1440" s="1">
        <f t="shared" si="2015"/>
        <v>1</v>
      </c>
      <c r="BJ1440" s="1">
        <f t="shared" si="2018"/>
        <v>1</v>
      </c>
      <c r="BK1440" s="1">
        <f t="shared" si="2019"/>
        <v>1</v>
      </c>
      <c r="BL1440" s="1">
        <f t="shared" si="2024"/>
        <v>1</v>
      </c>
      <c r="BM1440" s="1">
        <f t="shared" si="2022"/>
        <v>1</v>
      </c>
      <c r="BN1440" s="1">
        <f t="shared" si="1991"/>
        <v>1</v>
      </c>
      <c r="BO1440" s="1">
        <f t="shared" si="1992"/>
        <v>1</v>
      </c>
    </row>
    <row r="1441" spans="1:67" ht="30.95" customHeight="1">
      <c r="A1441" s="1">
        <f>39</f>
        <v>39</v>
      </c>
      <c r="B1441" s="1">
        <f>固定流程!A37</f>
        <v>32</v>
      </c>
      <c r="C1441" s="1">
        <f>42</f>
        <v>42</v>
      </c>
      <c r="D1441" s="1">
        <f>2</f>
        <v>2</v>
      </c>
      <c r="E1441" s="1">
        <f>固定流程!C37</f>
        <v>3</v>
      </c>
      <c r="F1441" s="1">
        <f>固定流程!G37</f>
        <v>1</v>
      </c>
      <c r="G1441" s="1" t="str">
        <f>固定流程!H37</f>
        <v>LILYA_WEAK</v>
      </c>
      <c r="H1441" s="1">
        <f>固定流程!F37</f>
        <v>1</v>
      </c>
      <c r="I1441" s="1">
        <f>INDEX(配置与结果!$B$15:$B$18,F1441)</f>
        <v>2296</v>
      </c>
      <c r="J1441" s="1">
        <f>INDEX(配置与结果!$D$15:$D$18,F1441)</f>
        <v>0.7</v>
      </c>
      <c r="K1441" s="1">
        <f>INDEX(配置与结果!$E$15:$E$18,F1441)</f>
        <v>2.0249999999999999</v>
      </c>
      <c r="L1441" s="1">
        <f t="shared" si="2011"/>
        <v>2</v>
      </c>
      <c r="M1441" s="1">
        <f t="shared" si="2012"/>
        <v>10</v>
      </c>
      <c r="N1441" s="1">
        <f t="shared" si="2013"/>
        <v>2</v>
      </c>
      <c r="O1441" s="1">
        <f t="shared" si="2005"/>
        <v>6</v>
      </c>
      <c r="P1441" s="1">
        <f>MIN(方案参数!$AI$42,AZ1440+0+0)</f>
        <v>5</v>
      </c>
      <c r="Q1441" s="1">
        <f t="shared" si="1975"/>
        <v>5</v>
      </c>
      <c r="R1441" s="1">
        <f t="shared" si="1976"/>
        <v>20</v>
      </c>
      <c r="S1441" s="1">
        <f t="shared" si="1977"/>
        <v>3</v>
      </c>
      <c r="T1441" s="1">
        <f t="shared" si="2020"/>
        <v>0</v>
      </c>
      <c r="U1441" s="1">
        <f t="shared" si="1979"/>
        <v>0</v>
      </c>
      <c r="V1441" s="1">
        <f t="shared" si="1980"/>
        <v>4</v>
      </c>
      <c r="W1441" s="1">
        <f t="shared" si="1981"/>
        <v>1</v>
      </c>
      <c r="X1441" s="1">
        <f t="shared" si="1982"/>
        <v>1</v>
      </c>
      <c r="Y1441" s="1">
        <f t="shared" si="1983"/>
        <v>1</v>
      </c>
      <c r="Z1441" s="1">
        <f t="shared" si="1984"/>
        <v>1</v>
      </c>
      <c r="AA1441" s="1">
        <f t="shared" si="2016"/>
        <v>1</v>
      </c>
      <c r="AB1441" s="1">
        <f t="shared" si="1986"/>
        <v>1</v>
      </c>
      <c r="AC1441" s="1">
        <f t="shared" si="2021"/>
        <v>1</v>
      </c>
      <c r="AD1441" s="1">
        <f>ROUNDDOWN(I1441*(1+IF(F1441=3,0.05+方案参数!$Y$42+AA1441*0.12,IF(F1441=4,方案参数!$BZ$42*方案参数!$AS$42,0)))+IF(AND(X1441=1,F1441&lt;&gt;3),方案参数!$CC$42,0)+AC1441*方案参数!$CB$42,0)</f>
        <v>3030</v>
      </c>
      <c r="AE1441" s="1">
        <f>IF(OR(F1441=1,F1441=4),配置与结果!$B$24,配置与结果!$B$25)*MAX(0,1-INDEX(配置与结果!$I$15:$I$18,F1441))</f>
        <v>1200</v>
      </c>
      <c r="AF1441" s="1">
        <f>方案参数!$BL$42</f>
        <v>9</v>
      </c>
      <c r="AG1441" s="1">
        <f>MAX(配置与结果!$B$32,1+INDEX(配置与结果!$F$15:$F$18,F1441)+0.08+方案参数!$CD$42+Q1441*方案参数!$W$42+Y1441*(方案参数!$AN$42+MIN(方案参数!$AO$42,P1441*0.03))+AB1441*方案参数!$BZ$42*0.025-配置与结果!$B$28+方案参数!$AE$42)</f>
        <v>2.6050000000000004</v>
      </c>
      <c r="AH1441" s="1">
        <f>MAX(0,1+V1441*方案参数!$U$42+8*方案参数!$V$42+方案参数!$AE$42-配置与结果!$B$29)</f>
        <v>2.04</v>
      </c>
      <c r="AI1441" s="1">
        <f>IF(OR(INDEX(配置与结果!$K$15:$K$18,F1441)=1,G1441="RHI_BERRY"),1+配置与结果!$B$33+P1441*方案参数!$AH$42,1)</f>
        <v>1</v>
      </c>
      <c r="AJ1441" s="1">
        <f>MIN(1,MAX(0,J1441+方案参数!$AB$42-配置与结果!$B$27))</f>
        <v>1</v>
      </c>
      <c r="AK1441" s="1">
        <f>MAX(1,K1441+IF(F1441=2,0.15+方案参数!$CH$42,0)+BN1441*方案参数!$X$42+R1441*方案参数!$AA$42+方案参数!$BP$42-配置与结果!$B$26+Z1441*(方案参数!$AP$42+MIN(方案参数!$AQ$42,P1441*0.03)))</f>
        <v>2.7450000000000001</v>
      </c>
      <c r="AL1441" s="7">
        <f>ROUNDDOWN(MAX(AD1441*配置与结果!$B$31,AD1441-AE1441)*AF1441*AG1441*AH1441*AI1441,0)</f>
        <v>87524</v>
      </c>
      <c r="AM1441" s="7">
        <f>ROUNDDOWN(MAX(AD1441*配置与结果!$B$31,AD1441-AE1441)*AF1441*AG1441*AH1441*AI1441*AK1441,0)</f>
        <v>240255</v>
      </c>
      <c r="AN1441" s="7">
        <f t="shared" si="1996"/>
        <v>240255</v>
      </c>
      <c r="AO1441" s="7">
        <f>0</f>
        <v>0</v>
      </c>
      <c r="AP1441" s="7">
        <f>MAX(0,1+INDEX(配置与结果!$J$15:$J$18,F1441)+IF(T1441&gt;0,方案参数!$BY$42,0)-配置与结果!$B$30)</f>
        <v>1</v>
      </c>
      <c r="AQ1441" s="7">
        <f t="shared" si="1997"/>
        <v>0</v>
      </c>
      <c r="AR1441" s="7">
        <f t="shared" si="1998"/>
        <v>0</v>
      </c>
      <c r="AS1441" s="7">
        <f t="shared" si="1999"/>
        <v>0</v>
      </c>
      <c r="AT1441" s="7">
        <f>IF(U1441&gt;0,ROUNDDOWN(AL1441*方案参数!$AF$42,0)*(1-AJ1441)+ROUNDDOWN(AM1441*方案参数!$AF$42,0)*AJ1441,0)</f>
        <v>0</v>
      </c>
      <c r="AU1441" s="7">
        <f t="shared" si="2000"/>
        <v>240255</v>
      </c>
      <c r="AV1441" s="1">
        <f t="shared" si="2001"/>
        <v>2</v>
      </c>
      <c r="AW1441" s="1">
        <f t="shared" si="2026"/>
        <v>10</v>
      </c>
      <c r="AX1441" s="1">
        <f t="shared" si="2002"/>
        <v>2</v>
      </c>
      <c r="AY1441" s="1">
        <f>MIN(20,MAX(0,O1441+0+1-0))</f>
        <v>7</v>
      </c>
      <c r="AZ1441" s="1">
        <f t="shared" si="2003"/>
        <v>5</v>
      </c>
      <c r="BA1441" s="1">
        <f t="shared" si="2017"/>
        <v>5</v>
      </c>
      <c r="BB1441" s="1">
        <f t="shared" si="2025"/>
        <v>20</v>
      </c>
      <c r="BC1441" s="1">
        <f t="shared" si="2023"/>
        <v>3</v>
      </c>
      <c r="BD1441" s="1">
        <f t="shared" si="2004"/>
        <v>0</v>
      </c>
      <c r="BE1441" s="1">
        <f>MAX(0,U1441-IF(AF1441&gt;0,1,0))+0</f>
        <v>0</v>
      </c>
      <c r="BF1441" s="1">
        <f t="shared" si="2027"/>
        <v>4</v>
      </c>
      <c r="BG1441" s="1">
        <f t="shared" si="2014"/>
        <v>1</v>
      </c>
      <c r="BH1441" s="1">
        <f t="shared" si="1990"/>
        <v>1</v>
      </c>
      <c r="BI1441" s="1">
        <f t="shared" si="2015"/>
        <v>1</v>
      </c>
      <c r="BJ1441" s="1">
        <f t="shared" si="2018"/>
        <v>1</v>
      </c>
      <c r="BK1441" s="1">
        <f t="shared" si="2019"/>
        <v>1</v>
      </c>
      <c r="BL1441" s="1">
        <f t="shared" si="2024"/>
        <v>1</v>
      </c>
      <c r="BM1441" s="1">
        <f t="shared" si="2022"/>
        <v>1</v>
      </c>
      <c r="BN1441" s="1">
        <f t="shared" si="1991"/>
        <v>1</v>
      </c>
      <c r="BO1441" s="1">
        <f t="shared" si="1992"/>
        <v>1</v>
      </c>
    </row>
    <row r="1442" spans="1:67" ht="30.95" customHeight="1">
      <c r="A1442" s="1">
        <f>39</f>
        <v>39</v>
      </c>
      <c r="B1442" s="1">
        <f>固定流程!A38</f>
        <v>33</v>
      </c>
      <c r="C1442" s="1">
        <f>42</f>
        <v>42</v>
      </c>
      <c r="D1442" s="1">
        <f>2</f>
        <v>2</v>
      </c>
      <c r="E1442" s="1">
        <f>固定流程!C38</f>
        <v>3</v>
      </c>
      <c r="F1442" s="1">
        <f>固定流程!G38</f>
        <v>1</v>
      </c>
      <c r="G1442" s="1" t="str">
        <f>固定流程!H38</f>
        <v>LILYA_WEAK</v>
      </c>
      <c r="H1442" s="1">
        <f>固定流程!F38</f>
        <v>1</v>
      </c>
      <c r="I1442" s="1">
        <f>INDEX(配置与结果!$B$15:$B$18,F1442)</f>
        <v>2296</v>
      </c>
      <c r="J1442" s="1">
        <f>INDEX(配置与结果!$D$15:$D$18,F1442)</f>
        <v>0.7</v>
      </c>
      <c r="K1442" s="1">
        <f>INDEX(配置与结果!$E$15:$E$18,F1442)</f>
        <v>2.0249999999999999</v>
      </c>
      <c r="L1442" s="1">
        <f t="shared" si="2011"/>
        <v>2</v>
      </c>
      <c r="M1442" s="1">
        <f t="shared" si="2012"/>
        <v>10</v>
      </c>
      <c r="N1442" s="1">
        <f t="shared" si="2013"/>
        <v>2</v>
      </c>
      <c r="O1442" s="1">
        <f t="shared" si="2005"/>
        <v>7</v>
      </c>
      <c r="P1442" s="1">
        <f>MIN(方案参数!$AI$42,AZ1441+0+0)</f>
        <v>5</v>
      </c>
      <c r="Q1442" s="1">
        <f t="shared" si="1975"/>
        <v>5</v>
      </c>
      <c r="R1442" s="1">
        <f t="shared" si="1976"/>
        <v>20</v>
      </c>
      <c r="S1442" s="1">
        <f t="shared" si="1977"/>
        <v>3</v>
      </c>
      <c r="T1442" s="1">
        <f t="shared" si="2020"/>
        <v>0</v>
      </c>
      <c r="U1442" s="1">
        <f t="shared" si="1979"/>
        <v>0</v>
      </c>
      <c r="V1442" s="1">
        <f t="shared" si="1980"/>
        <v>4</v>
      </c>
      <c r="W1442" s="1">
        <f t="shared" si="1981"/>
        <v>1</v>
      </c>
      <c r="X1442" s="1">
        <f t="shared" si="1982"/>
        <v>1</v>
      </c>
      <c r="Y1442" s="1">
        <f t="shared" si="1983"/>
        <v>1</v>
      </c>
      <c r="Z1442" s="1">
        <f t="shared" si="1984"/>
        <v>1</v>
      </c>
      <c r="AA1442" s="1">
        <f t="shared" si="2016"/>
        <v>1</v>
      </c>
      <c r="AB1442" s="1">
        <f t="shared" si="1986"/>
        <v>1</v>
      </c>
      <c r="AC1442" s="1">
        <f t="shared" si="2021"/>
        <v>1</v>
      </c>
      <c r="AD1442" s="1">
        <f>ROUNDDOWN(I1442*(1+IF(F1442=3,0.05+方案参数!$Y$42+AA1442*0.12,IF(F1442=4,方案参数!$BZ$42*方案参数!$AS$42,0)))+IF(AND(X1442=1,F1442&lt;&gt;3),方案参数!$CC$42,0)+AC1442*方案参数!$CB$42,0)</f>
        <v>3030</v>
      </c>
      <c r="AE1442" s="1">
        <f>IF(OR(F1442=1,F1442=4),配置与结果!$B$24,配置与结果!$B$25)*MAX(0,1-INDEX(配置与结果!$I$15:$I$18,F1442))</f>
        <v>1200</v>
      </c>
      <c r="AF1442" s="1">
        <f>方案参数!$BL$42</f>
        <v>9</v>
      </c>
      <c r="AG1442" s="1">
        <f>MAX(配置与结果!$B$32,1+INDEX(配置与结果!$F$15:$F$18,F1442)+0.08+方案参数!$CD$42+Q1442*方案参数!$W$42+Y1442*(方案参数!$AN$42+MIN(方案参数!$AO$42,P1442*0.03))+AB1442*方案参数!$BZ$42*0.025-配置与结果!$B$28+方案参数!$AE$42)</f>
        <v>2.6050000000000004</v>
      </c>
      <c r="AH1442" s="1">
        <f>MAX(0,1+V1442*方案参数!$U$42+9*方案参数!$V$42+方案参数!$AE$42-配置与结果!$B$29)</f>
        <v>2.1</v>
      </c>
      <c r="AI1442" s="1">
        <f>IF(OR(INDEX(配置与结果!$K$15:$K$18,F1442)=1,G1442="RHI_BERRY"),1+配置与结果!$B$33+P1442*方案参数!$AH$42,1)</f>
        <v>1</v>
      </c>
      <c r="AJ1442" s="1">
        <f>MIN(1,MAX(0,J1442+方案参数!$AB$42-配置与结果!$B$27))</f>
        <v>1</v>
      </c>
      <c r="AK1442" s="1">
        <f>MAX(1,K1442+IF(F1442=2,0.15+方案参数!$CH$42,0)+BN1442*方案参数!$X$42+R1442*方案参数!$AA$42+方案参数!$BP$42-配置与结果!$B$26+Z1442*(方案参数!$AP$42+MIN(方案参数!$AQ$42,P1442*0.03)))</f>
        <v>2.7450000000000001</v>
      </c>
      <c r="AL1442" s="7">
        <f>ROUNDDOWN(MAX(AD1442*配置与结果!$B$31,AD1442-AE1442)*AF1442*AG1442*AH1442*AI1442,0)</f>
        <v>90099</v>
      </c>
      <c r="AM1442" s="7">
        <f>ROUNDDOWN(MAX(AD1442*配置与结果!$B$31,AD1442-AE1442)*AF1442*AG1442*AH1442*AI1442*AK1442,0)</f>
        <v>247322</v>
      </c>
      <c r="AN1442" s="7">
        <f t="shared" si="1996"/>
        <v>247322</v>
      </c>
      <c r="AO1442" s="7">
        <f>0</f>
        <v>0</v>
      </c>
      <c r="AP1442" s="7">
        <f>MAX(0,1+INDEX(配置与结果!$J$15:$J$18,F1442)+IF(T1442&gt;0,方案参数!$BY$42,0)-配置与结果!$B$30)</f>
        <v>1</v>
      </c>
      <c r="AQ1442" s="7">
        <f t="shared" si="1997"/>
        <v>0</v>
      </c>
      <c r="AR1442" s="7">
        <f t="shared" si="1998"/>
        <v>0</v>
      </c>
      <c r="AS1442" s="7">
        <f t="shared" si="1999"/>
        <v>0</v>
      </c>
      <c r="AT1442" s="7">
        <f>IF(U1442&gt;0,ROUNDDOWN(AL1442*方案参数!$AF$42,0)*(1-AJ1442)+ROUNDDOWN(AM1442*方案参数!$AF$42,0)*AJ1442,0)</f>
        <v>0</v>
      </c>
      <c r="AU1442" s="7">
        <f t="shared" si="2000"/>
        <v>247322</v>
      </c>
      <c r="AV1442" s="1">
        <f t="shared" si="2001"/>
        <v>2</v>
      </c>
      <c r="AW1442" s="1">
        <f t="shared" si="2026"/>
        <v>10</v>
      </c>
      <c r="AX1442" s="1">
        <f t="shared" si="2002"/>
        <v>2</v>
      </c>
      <c r="AY1442" s="1">
        <f>MIN(20,MAX(0,O1442+0+1-0))</f>
        <v>8</v>
      </c>
      <c r="AZ1442" s="1">
        <f t="shared" si="2003"/>
        <v>5</v>
      </c>
      <c r="BA1442" s="1">
        <f t="shared" si="2017"/>
        <v>5</v>
      </c>
      <c r="BB1442" s="1">
        <f t="shared" si="2025"/>
        <v>20</v>
      </c>
      <c r="BC1442" s="1">
        <f t="shared" si="2023"/>
        <v>3</v>
      </c>
      <c r="BD1442" s="1">
        <f t="shared" si="2004"/>
        <v>0</v>
      </c>
      <c r="BE1442" s="1">
        <f>MAX(0,U1442-IF(AF1442&gt;0,1,0))+0</f>
        <v>0</v>
      </c>
      <c r="BF1442" s="1">
        <f t="shared" si="2027"/>
        <v>4</v>
      </c>
      <c r="BG1442" s="1">
        <f t="shared" si="2014"/>
        <v>1</v>
      </c>
      <c r="BH1442" s="1">
        <f t="shared" si="1990"/>
        <v>1</v>
      </c>
      <c r="BI1442" s="1">
        <f t="shared" si="2015"/>
        <v>1</v>
      </c>
      <c r="BJ1442" s="1">
        <f t="shared" si="2018"/>
        <v>1</v>
      </c>
      <c r="BK1442" s="1">
        <f t="shared" si="2019"/>
        <v>1</v>
      </c>
      <c r="BL1442" s="1">
        <f t="shared" si="2024"/>
        <v>1</v>
      </c>
      <c r="BM1442" s="1">
        <f t="shared" si="2022"/>
        <v>1</v>
      </c>
      <c r="BN1442" s="1">
        <f t="shared" si="1991"/>
        <v>1</v>
      </c>
      <c r="BO1442" s="1">
        <f t="shared" si="1992"/>
        <v>1</v>
      </c>
    </row>
    <row r="1443" spans="1:67" ht="30.95" customHeight="1">
      <c r="A1443" s="1">
        <f>39</f>
        <v>39</v>
      </c>
      <c r="B1443" s="1">
        <f>固定流程!A39</f>
        <v>34</v>
      </c>
      <c r="C1443" s="1">
        <f>42</f>
        <v>42</v>
      </c>
      <c r="D1443" s="1">
        <f>2</f>
        <v>2</v>
      </c>
      <c r="E1443" s="1">
        <f>固定流程!C39</f>
        <v>3</v>
      </c>
      <c r="F1443" s="1">
        <f>固定流程!G39</f>
        <v>2</v>
      </c>
      <c r="G1443" s="1" t="str">
        <f>固定流程!H39</f>
        <v>37_WEAK</v>
      </c>
      <c r="H1443" s="1">
        <f>固定流程!F39</f>
        <v>1</v>
      </c>
      <c r="I1443" s="1">
        <f>INDEX(配置与结果!$B$15:$B$18,F1443)</f>
        <v>2306</v>
      </c>
      <c r="J1443" s="1">
        <f>INDEX(配置与结果!$D$15:$D$18,F1443)</f>
        <v>0.46</v>
      </c>
      <c r="K1443" s="1">
        <f>INDEX(配置与结果!$E$15:$E$18,F1443)</f>
        <v>1.9279999999999999</v>
      </c>
      <c r="L1443" s="1">
        <f t="shared" si="2011"/>
        <v>2</v>
      </c>
      <c r="M1443" s="1">
        <f t="shared" si="2012"/>
        <v>10</v>
      </c>
      <c r="N1443" s="1">
        <f t="shared" si="2013"/>
        <v>2</v>
      </c>
      <c r="O1443" s="1">
        <f t="shared" si="2005"/>
        <v>8</v>
      </c>
      <c r="P1443" s="1">
        <f>MIN(方案参数!$AI$42,AZ1442+0+0)</f>
        <v>5</v>
      </c>
      <c r="Q1443" s="1">
        <f t="shared" si="1975"/>
        <v>5</v>
      </c>
      <c r="R1443" s="1">
        <f t="shared" si="1976"/>
        <v>20</v>
      </c>
      <c r="S1443" s="1">
        <f t="shared" si="1977"/>
        <v>3</v>
      </c>
      <c r="T1443" s="1">
        <f t="shared" si="2020"/>
        <v>0</v>
      </c>
      <c r="U1443" s="1">
        <f t="shared" si="1979"/>
        <v>0</v>
      </c>
      <c r="V1443" s="1">
        <f t="shared" si="1980"/>
        <v>4</v>
      </c>
      <c r="W1443" s="1">
        <f t="shared" si="1981"/>
        <v>1</v>
      </c>
      <c r="X1443" s="1">
        <f t="shared" si="1982"/>
        <v>1</v>
      </c>
      <c r="Y1443" s="1">
        <f t="shared" si="1983"/>
        <v>1</v>
      </c>
      <c r="Z1443" s="1">
        <f t="shared" si="1984"/>
        <v>1</v>
      </c>
      <c r="AA1443" s="1">
        <f t="shared" si="2016"/>
        <v>1</v>
      </c>
      <c r="AB1443" s="1">
        <f t="shared" si="1986"/>
        <v>1</v>
      </c>
      <c r="AC1443" s="1">
        <f t="shared" si="2021"/>
        <v>1</v>
      </c>
      <c r="AD1443" s="1">
        <f>ROUNDDOWN(I1443*(1+IF(F1443=3,0.05+方案参数!$Y$42+AA1443*0.12,IF(F1443=4,方案参数!$BZ$42*方案参数!$AS$42,0)))+IF(AND(X1443=1,F1443&lt;&gt;3),方案参数!$CC$42,0)+AC1443*方案参数!$CB$42,0)</f>
        <v>3040</v>
      </c>
      <c r="AE1443" s="1">
        <f>IF(OR(F1443=1,F1443=4),配置与结果!$B$24,配置与结果!$B$25)*MAX(0,1-INDEX(配置与结果!$I$15:$I$18,F1443))</f>
        <v>1000</v>
      </c>
      <c r="AF1443" s="1">
        <f>方案参数!$CE$42</f>
        <v>8</v>
      </c>
      <c r="AG1443" s="1">
        <f>MAX(配置与结果!$B$32,1+INDEX(配置与结果!$F$15:$F$18,F1443)+0+Q1443*方案参数!$W$42+Y1443*(方案参数!$AN$42+MIN(方案参数!$AO$42,P1443*0.03))+AB1443*方案参数!$BZ$42*0.025-配置与结果!$B$28+方案参数!$AE$42)</f>
        <v>2.27</v>
      </c>
      <c r="AH1443" s="1">
        <f>MAX(0,1+V1443*方案参数!$U$42+方案参数!$AE$42-配置与结果!$B$29)</f>
        <v>1.56</v>
      </c>
      <c r="AI1443" s="1">
        <f>IF(OR(INDEX(配置与结果!$K$15:$K$18,F1443)=1,G1443="RHI_BERRY"),1+配置与结果!$B$33+P1443*方案参数!$AH$42,1)</f>
        <v>1</v>
      </c>
      <c r="AJ1443" s="1">
        <f>MIN(1,MAX(0,J1443+方案参数!$AB$42-配置与结果!$B$27))</f>
        <v>0.76</v>
      </c>
      <c r="AK1443" s="1">
        <f>MAX(1,K1443+IF(F1443=2,0.15+方案参数!$CH$42,0)+BN1443*方案参数!$X$42+R1443*方案参数!$AA$42+0-配置与结果!$B$26+Z1443*(方案参数!$AP$42+MIN(方案参数!$AQ$42,P1443*0.03)))</f>
        <v>2.3180000000000001</v>
      </c>
      <c r="AL1443" s="7">
        <f>ROUNDDOWN(MAX(AD1443*配置与结果!$B$31,AD1443-AE1443)*AF1443*AG1443*AH1443*AI1443,0)</f>
        <v>57792</v>
      </c>
      <c r="AM1443" s="7">
        <f>ROUNDDOWN(MAX(AD1443*配置与结果!$B$31,AD1443-AE1443)*AF1443*AG1443*AH1443*AI1443*AK1443,0)</f>
        <v>133962</v>
      </c>
      <c r="AN1443" s="7">
        <f t="shared" si="1996"/>
        <v>115681.2</v>
      </c>
      <c r="AO1443" s="7">
        <f>0</f>
        <v>0</v>
      </c>
      <c r="AP1443" s="7">
        <f>MAX(0,1+INDEX(配置与结果!$J$15:$J$18,F1443)+IF(T1443&gt;0,方案参数!$BY$42,0)-配置与结果!$B$30)</f>
        <v>1</v>
      </c>
      <c r="AQ1443" s="7">
        <f t="shared" si="1997"/>
        <v>0</v>
      </c>
      <c r="AR1443" s="7">
        <f t="shared" si="1998"/>
        <v>0</v>
      </c>
      <c r="AS1443" s="7">
        <f t="shared" si="1999"/>
        <v>0</v>
      </c>
      <c r="AT1443" s="7">
        <f>IF(U1443&gt;0,ROUNDDOWN(AL1443*方案参数!$AF$42,0)*(1-AJ1443)+ROUNDDOWN(AM1443*方案参数!$AF$42,0)*AJ1443,0)</f>
        <v>0</v>
      </c>
      <c r="AU1443" s="7">
        <f t="shared" si="2000"/>
        <v>115681.2</v>
      </c>
      <c r="AV1443" s="1">
        <f t="shared" si="2001"/>
        <v>2</v>
      </c>
      <c r="AW1443" s="1">
        <f t="shared" si="2026"/>
        <v>10</v>
      </c>
      <c r="AX1443" s="1">
        <f t="shared" si="2002"/>
        <v>2</v>
      </c>
      <c r="AY1443" s="1">
        <f>MIN(20,MAX(0,O1443+0+0-0))</f>
        <v>8</v>
      </c>
      <c r="AZ1443" s="1">
        <f t="shared" si="2003"/>
        <v>5</v>
      </c>
      <c r="BA1443" s="1">
        <f t="shared" si="2017"/>
        <v>5</v>
      </c>
      <c r="BB1443" s="1">
        <f t="shared" si="2025"/>
        <v>20</v>
      </c>
      <c r="BC1443" s="1">
        <f t="shared" si="2023"/>
        <v>3</v>
      </c>
      <c r="BD1443" s="1">
        <f t="shared" si="2004"/>
        <v>0</v>
      </c>
      <c r="BE1443" s="1">
        <f>MAX(0,U1443-IF(AF1443&gt;0,1,0))+1</f>
        <v>1</v>
      </c>
      <c r="BF1443" s="1">
        <f t="shared" si="2027"/>
        <v>4</v>
      </c>
      <c r="BG1443" s="1">
        <f t="shared" si="2014"/>
        <v>1</v>
      </c>
      <c r="BH1443" s="1">
        <f t="shared" si="1990"/>
        <v>1</v>
      </c>
      <c r="BI1443" s="1">
        <f t="shared" si="2015"/>
        <v>1</v>
      </c>
      <c r="BJ1443" s="1">
        <f t="shared" si="2018"/>
        <v>1</v>
      </c>
      <c r="BK1443" s="1">
        <f t="shared" si="2019"/>
        <v>1</v>
      </c>
      <c r="BL1443" s="1">
        <f t="shared" si="2024"/>
        <v>1</v>
      </c>
      <c r="BM1443" s="1">
        <f t="shared" si="2022"/>
        <v>1</v>
      </c>
      <c r="BN1443" s="1">
        <f t="shared" si="1991"/>
        <v>1</v>
      </c>
      <c r="BO1443" s="1">
        <f t="shared" si="1992"/>
        <v>1</v>
      </c>
    </row>
    <row r="1444" spans="1:67" ht="30.95" customHeight="1">
      <c r="A1444" s="1">
        <f>39</f>
        <v>39</v>
      </c>
      <c r="B1444" s="1">
        <f>固定流程!A40</f>
        <v>35</v>
      </c>
      <c r="C1444" s="1">
        <f>42</f>
        <v>42</v>
      </c>
      <c r="D1444" s="1">
        <f>2</f>
        <v>2</v>
      </c>
      <c r="E1444" s="1">
        <f>固定流程!C40</f>
        <v>3</v>
      </c>
      <c r="F1444" s="1">
        <f>固定流程!G40</f>
        <v>2</v>
      </c>
      <c r="G1444" s="1" t="str">
        <f>固定流程!H40</f>
        <v>37_WEAK</v>
      </c>
      <c r="H1444" s="1">
        <f>固定流程!F40</f>
        <v>1</v>
      </c>
      <c r="I1444" s="1">
        <f>INDEX(配置与结果!$B$15:$B$18,F1444)</f>
        <v>2306</v>
      </c>
      <c r="J1444" s="1">
        <f>INDEX(配置与结果!$D$15:$D$18,F1444)</f>
        <v>0.46</v>
      </c>
      <c r="K1444" s="1">
        <f>INDEX(配置与结果!$E$15:$E$18,F1444)</f>
        <v>1.9279999999999999</v>
      </c>
      <c r="L1444" s="1">
        <f t="shared" si="2011"/>
        <v>2</v>
      </c>
      <c r="M1444" s="1">
        <f t="shared" si="2012"/>
        <v>10</v>
      </c>
      <c r="N1444" s="1">
        <f t="shared" si="2013"/>
        <v>2</v>
      </c>
      <c r="O1444" s="1">
        <f t="shared" si="2005"/>
        <v>8</v>
      </c>
      <c r="P1444" s="1">
        <f>MIN(方案参数!$AI$42,AZ1443+0+0)</f>
        <v>5</v>
      </c>
      <c r="Q1444" s="1">
        <f t="shared" si="1975"/>
        <v>5</v>
      </c>
      <c r="R1444" s="1">
        <f t="shared" si="1976"/>
        <v>20</v>
      </c>
      <c r="S1444" s="1">
        <f t="shared" si="1977"/>
        <v>3</v>
      </c>
      <c r="T1444" s="1">
        <f t="shared" si="2020"/>
        <v>0</v>
      </c>
      <c r="U1444" s="1">
        <f t="shared" si="1979"/>
        <v>1</v>
      </c>
      <c r="V1444" s="1">
        <f t="shared" si="1980"/>
        <v>4</v>
      </c>
      <c r="W1444" s="1">
        <f t="shared" si="1981"/>
        <v>1</v>
      </c>
      <c r="X1444" s="1">
        <f t="shared" si="1982"/>
        <v>1</v>
      </c>
      <c r="Y1444" s="1">
        <f t="shared" si="1983"/>
        <v>1</v>
      </c>
      <c r="Z1444" s="1">
        <f t="shared" si="1984"/>
        <v>1</v>
      </c>
      <c r="AA1444" s="1">
        <f t="shared" si="2016"/>
        <v>1</v>
      </c>
      <c r="AB1444" s="1">
        <f t="shared" si="1986"/>
        <v>1</v>
      </c>
      <c r="AC1444" s="1">
        <f t="shared" si="2021"/>
        <v>1</v>
      </c>
      <c r="AD1444" s="1">
        <f>ROUNDDOWN(I1444*(1+IF(F1444=3,0.05+方案参数!$Y$42+AA1444*0.12,IF(F1444=4,方案参数!$BZ$42*方案参数!$AS$42,0)))+IF(AND(X1444=1,F1444&lt;&gt;3),方案参数!$CC$42,0)+AC1444*方案参数!$CB$42,0)</f>
        <v>3040</v>
      </c>
      <c r="AE1444" s="1">
        <f>IF(OR(F1444=1,F1444=4),配置与结果!$B$24,配置与结果!$B$25)*MAX(0,1-INDEX(配置与结果!$I$15:$I$18,F1444))</f>
        <v>1000</v>
      </c>
      <c r="AF1444" s="1">
        <f>方案参数!$CE$42</f>
        <v>8</v>
      </c>
      <c r="AG1444" s="1">
        <f>MAX(配置与结果!$B$32,1+INDEX(配置与结果!$F$15:$F$18,F1444)+0+Q1444*方案参数!$W$42+Y1444*(方案参数!$AN$42+MIN(方案参数!$AO$42,P1444*0.03))+AB1444*方案参数!$BZ$42*0.025-配置与结果!$B$28+方案参数!$AE$42)</f>
        <v>2.27</v>
      </c>
      <c r="AH1444" s="1">
        <f>MAX(0,1+V1444*方案参数!$U$42+方案参数!$AE$42-配置与结果!$B$29)</f>
        <v>1.56</v>
      </c>
      <c r="AI1444" s="1">
        <f>IF(OR(INDEX(配置与结果!$K$15:$K$18,F1444)=1,G1444="RHI_BERRY"),1+配置与结果!$B$33+P1444*方案参数!$AH$42,1)</f>
        <v>1</v>
      </c>
      <c r="AJ1444" s="1">
        <f>MIN(1,MAX(0,J1444+方案参数!$AB$42-配置与结果!$B$27))</f>
        <v>0.76</v>
      </c>
      <c r="AK1444" s="1">
        <f>MAX(1,K1444+IF(F1444=2,0.15+方案参数!$CH$42,0)+BN1444*方案参数!$X$42+R1444*方案参数!$AA$42+0-配置与结果!$B$26+Z1444*(方案参数!$AP$42+MIN(方案参数!$AQ$42,P1444*0.03)))</f>
        <v>2.3180000000000001</v>
      </c>
      <c r="AL1444" s="7">
        <f>ROUNDDOWN(MAX(AD1444*配置与结果!$B$31,AD1444-AE1444)*AF1444*AG1444*AH1444*AI1444,0)</f>
        <v>57792</v>
      </c>
      <c r="AM1444" s="7">
        <f>ROUNDDOWN(MAX(AD1444*配置与结果!$B$31,AD1444-AE1444)*AF1444*AG1444*AH1444*AI1444*AK1444,0)</f>
        <v>133962</v>
      </c>
      <c r="AN1444" s="7">
        <f t="shared" si="1996"/>
        <v>115681.2</v>
      </c>
      <c r="AO1444" s="7">
        <f>0</f>
        <v>0</v>
      </c>
      <c r="AP1444" s="7">
        <f>MAX(0,1+INDEX(配置与结果!$J$15:$J$18,F1444)+IF(T1444&gt;0,方案参数!$BY$42,0)-配置与结果!$B$30)</f>
        <v>1</v>
      </c>
      <c r="AQ1444" s="7">
        <f t="shared" si="1997"/>
        <v>0</v>
      </c>
      <c r="AR1444" s="7">
        <f t="shared" si="1998"/>
        <v>0</v>
      </c>
      <c r="AS1444" s="7">
        <f t="shared" si="1999"/>
        <v>0</v>
      </c>
      <c r="AT1444" s="7">
        <f>IF(U1444&gt;0,ROUNDDOWN(AL1444*方案参数!$AF$42,0)*(1-AJ1444)+ROUNDDOWN(AM1444*方案参数!$AF$42,0)*AJ1444,0)</f>
        <v>46271.680000000008</v>
      </c>
      <c r="AU1444" s="7">
        <f t="shared" si="2000"/>
        <v>161952.88</v>
      </c>
      <c r="AV1444" s="1">
        <f t="shared" si="2001"/>
        <v>2</v>
      </c>
      <c r="AW1444" s="1">
        <f t="shared" si="2026"/>
        <v>10</v>
      </c>
      <c r="AX1444" s="1">
        <f t="shared" si="2002"/>
        <v>2</v>
      </c>
      <c r="AY1444" s="1">
        <f>MIN(20,MAX(0,O1444+0+0-0))</f>
        <v>8</v>
      </c>
      <c r="AZ1444" s="1">
        <f t="shared" si="2003"/>
        <v>5</v>
      </c>
      <c r="BA1444" s="1">
        <f t="shared" si="2017"/>
        <v>5</v>
      </c>
      <c r="BB1444" s="1">
        <f t="shared" si="2025"/>
        <v>20</v>
      </c>
      <c r="BC1444" s="1">
        <f t="shared" si="2023"/>
        <v>3</v>
      </c>
      <c r="BD1444" s="1">
        <f t="shared" si="2004"/>
        <v>0</v>
      </c>
      <c r="BE1444" s="1">
        <f>MAX(0,U1444-IF(AF1444&gt;0,1,0))+1</f>
        <v>1</v>
      </c>
      <c r="BF1444" s="1">
        <f t="shared" si="2027"/>
        <v>4</v>
      </c>
      <c r="BG1444" s="1">
        <f t="shared" si="2014"/>
        <v>1</v>
      </c>
      <c r="BH1444" s="1">
        <f t="shared" si="1990"/>
        <v>1</v>
      </c>
      <c r="BI1444" s="1">
        <f t="shared" si="2015"/>
        <v>1</v>
      </c>
      <c r="BJ1444" s="1">
        <f t="shared" si="2018"/>
        <v>1</v>
      </c>
      <c r="BK1444" s="1">
        <f t="shared" si="2019"/>
        <v>1</v>
      </c>
      <c r="BL1444" s="1">
        <f t="shared" si="2024"/>
        <v>1</v>
      </c>
      <c r="BM1444" s="1">
        <f t="shared" si="2022"/>
        <v>1</v>
      </c>
      <c r="BN1444" s="1">
        <f t="shared" si="1991"/>
        <v>1</v>
      </c>
      <c r="BO1444" s="1">
        <f t="shared" si="1992"/>
        <v>1</v>
      </c>
    </row>
    <row r="1445" spans="1:67" ht="30.95" customHeight="1">
      <c r="A1445" s="1">
        <f>39</f>
        <v>39</v>
      </c>
      <c r="B1445" s="1">
        <f>固定流程!A41</f>
        <v>36</v>
      </c>
      <c r="C1445" s="1">
        <f>42</f>
        <v>42</v>
      </c>
      <c r="D1445" s="1">
        <f>2</f>
        <v>2</v>
      </c>
      <c r="E1445" s="1">
        <f>固定流程!C41</f>
        <v>3</v>
      </c>
      <c r="F1445" s="1">
        <f>固定流程!G41</f>
        <v>1</v>
      </c>
      <c r="G1445" s="1" t="str">
        <f>固定流程!H41</f>
        <v>LILYA_FINISH</v>
      </c>
      <c r="H1445" s="1">
        <f>固定流程!F41</f>
        <v>1</v>
      </c>
      <c r="I1445" s="1">
        <f>INDEX(配置与结果!$B$15:$B$18,F1445)</f>
        <v>2296</v>
      </c>
      <c r="J1445" s="1">
        <f>INDEX(配置与结果!$D$15:$D$18,F1445)</f>
        <v>0.7</v>
      </c>
      <c r="K1445" s="1">
        <f>INDEX(配置与结果!$E$15:$E$18,F1445)</f>
        <v>2.0249999999999999</v>
      </c>
      <c r="L1445" s="1">
        <f t="shared" si="2011"/>
        <v>2</v>
      </c>
      <c r="M1445" s="1">
        <f t="shared" si="2012"/>
        <v>10</v>
      </c>
      <c r="N1445" s="1">
        <f t="shared" si="2013"/>
        <v>2</v>
      </c>
      <c r="O1445" s="1">
        <f t="shared" si="2005"/>
        <v>8</v>
      </c>
      <c r="P1445" s="1">
        <f>MIN(方案参数!$AI$42,AZ1444+0+0)</f>
        <v>5</v>
      </c>
      <c r="Q1445" s="1">
        <f t="shared" si="1975"/>
        <v>5</v>
      </c>
      <c r="R1445" s="1">
        <f t="shared" si="1976"/>
        <v>20</v>
      </c>
      <c r="S1445" s="1">
        <f t="shared" si="1977"/>
        <v>3</v>
      </c>
      <c r="T1445" s="1">
        <f t="shared" si="2020"/>
        <v>0</v>
      </c>
      <c r="U1445" s="1">
        <f t="shared" si="1979"/>
        <v>1</v>
      </c>
      <c r="V1445" s="1">
        <f t="shared" si="1980"/>
        <v>4</v>
      </c>
      <c r="W1445" s="1">
        <f t="shared" si="1981"/>
        <v>1</v>
      </c>
      <c r="X1445" s="1">
        <f t="shared" si="1982"/>
        <v>1</v>
      </c>
      <c r="Y1445" s="1">
        <f t="shared" si="1983"/>
        <v>1</v>
      </c>
      <c r="Z1445" s="1">
        <f t="shared" si="1984"/>
        <v>1</v>
      </c>
      <c r="AA1445" s="1">
        <f t="shared" si="2016"/>
        <v>1</v>
      </c>
      <c r="AB1445" s="1">
        <f t="shared" si="1986"/>
        <v>1</v>
      </c>
      <c r="AC1445" s="1">
        <f t="shared" si="2021"/>
        <v>1</v>
      </c>
      <c r="AD1445" s="1">
        <f>ROUNDDOWN(I1445*(1+IF(F1445=3,0.05+方案参数!$Y$42+AA1445*0.12,IF(F1445=4,方案参数!$BZ$42*方案参数!$AS$42,0)))+IF(AND(X1445=1,F1445&lt;&gt;3),方案参数!$CC$42,0)+AC1445*方案参数!$CB$42,0)</f>
        <v>3030</v>
      </c>
      <c r="AE1445" s="1">
        <f>IF(OR(F1445=1,F1445=4),配置与结果!$B$24,配置与结果!$B$25)*MAX(0,1-INDEX(配置与结果!$I$15:$I$18,F1445))</f>
        <v>1200</v>
      </c>
      <c r="AF1445" s="1">
        <f>方案参数!$BN$42+12*方案参数!$BO$42</f>
        <v>48</v>
      </c>
      <c r="AG1445" s="1">
        <f>MAX(配置与结果!$B$32,1+INDEX(配置与结果!$F$15:$F$18,F1445)+0.08+方案参数!$CD$42+Q1445*方案参数!$W$42+Y1445*(方案参数!$AN$42+MIN(方案参数!$AO$42,P1445*0.03))+AB1445*方案参数!$BZ$42*0.025-配置与结果!$B$28+方案参数!$AE$42)</f>
        <v>2.6050000000000004</v>
      </c>
      <c r="AH1445" s="1">
        <f>MAX(0,1+V1445*方案参数!$U$42+12*方案参数!$V$42+方案参数!$AE$42-配置与结果!$B$29)</f>
        <v>2.2799999999999998</v>
      </c>
      <c r="AI1445" s="1">
        <f>IF(OR(INDEX(配置与结果!$K$15:$K$18,F1445)=1,G1445="RHI_BERRY"),1+配置与结果!$B$33+P1445*方案参数!$AH$42,1)</f>
        <v>1</v>
      </c>
      <c r="AJ1445" s="1">
        <f>MIN(1,MAX(0,J1445+方案参数!$AB$42-配置与结果!$B$27))</f>
        <v>1</v>
      </c>
      <c r="AK1445" s="1">
        <f>MAX(1,K1445+IF(F1445=2,0.15+方案参数!$CH$42,0)+BN1445*方案参数!$X$42+R1445*方案参数!$AA$42+方案参数!$BR$42-配置与结果!$B$26+Z1445*(方案参数!$AP$42+MIN(方案参数!$AQ$42,P1445*0.03)))</f>
        <v>3.145</v>
      </c>
      <c r="AL1445" s="7">
        <f>ROUNDDOWN(MAX(AD1445*配置与结果!$B$31,AD1445-AE1445)*AF1445*AG1445*AH1445*AI1445,0)</f>
        <v>521716</v>
      </c>
      <c r="AM1445" s="7">
        <f>ROUNDDOWN(MAX(AD1445*配置与结果!$B$31,AD1445-AE1445)*AF1445*AG1445*AH1445*AI1445*AK1445,0)</f>
        <v>1640799</v>
      </c>
      <c r="AN1445" s="7">
        <f t="shared" si="1996"/>
        <v>1640799</v>
      </c>
      <c r="AO1445" s="7">
        <f>0</f>
        <v>0</v>
      </c>
      <c r="AP1445" s="7">
        <f>MAX(0,1+INDEX(配置与结果!$J$15:$J$18,F1445)+IF(T1445&gt;0,方案参数!$BY$42,0)-配置与结果!$B$30)</f>
        <v>1</v>
      </c>
      <c r="AQ1445" s="7">
        <f t="shared" si="1997"/>
        <v>0</v>
      </c>
      <c r="AR1445" s="7">
        <f t="shared" si="1998"/>
        <v>0</v>
      </c>
      <c r="AS1445" s="7">
        <f t="shared" si="1999"/>
        <v>0</v>
      </c>
      <c r="AT1445" s="7">
        <f>IF(U1445&gt;0,ROUNDDOWN(AL1445*方案参数!$AF$42,0)*(1-AJ1445)+ROUNDDOWN(AM1445*方案参数!$AF$42,0)*AJ1445,0)</f>
        <v>656319</v>
      </c>
      <c r="AU1445" s="7">
        <f t="shared" si="2000"/>
        <v>2297118</v>
      </c>
      <c r="AV1445" s="1">
        <f t="shared" si="2001"/>
        <v>2</v>
      </c>
      <c r="AW1445" s="1">
        <f t="shared" si="2026"/>
        <v>10</v>
      </c>
      <c r="AX1445" s="1">
        <f t="shared" si="2002"/>
        <v>2</v>
      </c>
      <c r="AY1445" s="1">
        <f>MIN(20,MAX(0,O1445+0+1-0))</f>
        <v>9</v>
      </c>
      <c r="AZ1445" s="1">
        <f t="shared" si="2003"/>
        <v>5</v>
      </c>
      <c r="BA1445" s="1">
        <f t="shared" si="2017"/>
        <v>5</v>
      </c>
      <c r="BB1445" s="1">
        <f t="shared" si="2025"/>
        <v>20</v>
      </c>
      <c r="BC1445" s="1">
        <f t="shared" si="2023"/>
        <v>3</v>
      </c>
      <c r="BD1445" s="1">
        <f t="shared" si="2004"/>
        <v>0</v>
      </c>
      <c r="BE1445" s="1">
        <f>MAX(0,U1445-IF(AF1445&gt;0,1,0))+0</f>
        <v>0</v>
      </c>
      <c r="BF1445" s="1">
        <f t="shared" si="2027"/>
        <v>4</v>
      </c>
      <c r="BG1445" s="1">
        <f t="shared" si="2014"/>
        <v>1</v>
      </c>
      <c r="BH1445" s="1">
        <f t="shared" si="1990"/>
        <v>1</v>
      </c>
      <c r="BI1445" s="1">
        <f t="shared" si="2015"/>
        <v>1</v>
      </c>
      <c r="BJ1445" s="1">
        <f t="shared" si="2018"/>
        <v>1</v>
      </c>
      <c r="BK1445" s="1">
        <f t="shared" si="2019"/>
        <v>1</v>
      </c>
      <c r="BL1445" s="1">
        <f t="shared" si="2024"/>
        <v>1</v>
      </c>
      <c r="BM1445" s="1">
        <f t="shared" si="2022"/>
        <v>1</v>
      </c>
      <c r="BN1445" s="1">
        <f t="shared" si="1991"/>
        <v>1</v>
      </c>
      <c r="BO1445" s="1">
        <f t="shared" si="1992"/>
        <v>1</v>
      </c>
    </row>
    <row r="1446" spans="1:67" ht="30.95" customHeight="1">
      <c r="A1446" s="1">
        <f>40</f>
        <v>40</v>
      </c>
      <c r="B1446" s="1">
        <f>固定流程!A6</f>
        <v>1</v>
      </c>
      <c r="C1446" s="1">
        <f>43</f>
        <v>43</v>
      </c>
      <c r="D1446" s="1">
        <f>1</f>
        <v>1</v>
      </c>
      <c r="E1446" s="1">
        <f>固定流程!C6</f>
        <v>1</v>
      </c>
      <c r="F1446" s="1">
        <f>固定流程!G6</f>
        <v>3</v>
      </c>
      <c r="G1446" s="1" t="str">
        <f>固定流程!H6</f>
        <v>RHI_ULT</v>
      </c>
      <c r="H1446" s="1">
        <f>固定流程!F6</f>
        <v>1</v>
      </c>
      <c r="I1446" s="1">
        <f>INDEX(配置与结果!$B$15:$B$18,F1446)</f>
        <v>2597</v>
      </c>
      <c r="J1446" s="1">
        <f>INDEX(配置与结果!$D$15:$D$18,F1446)</f>
        <v>0.255</v>
      </c>
      <c r="K1446" s="1">
        <f>INDEX(配置与结果!$E$15:$E$18,F1446)</f>
        <v>1.55</v>
      </c>
      <c r="L1446" s="1">
        <f>0</f>
        <v>0</v>
      </c>
      <c r="M1446" s="1">
        <f>0</f>
        <v>0</v>
      </c>
      <c r="N1446" s="1">
        <f>0</f>
        <v>0</v>
      </c>
      <c r="O1446" s="1">
        <f>0</f>
        <v>0</v>
      </c>
      <c r="P1446" s="1">
        <f>MIN(方案参数!$AI$43,0+方案参数!$AJ$43+0)</f>
        <v>1</v>
      </c>
      <c r="Q1446" s="1">
        <f>0</f>
        <v>0</v>
      </c>
      <c r="R1446" s="1">
        <f>0</f>
        <v>0</v>
      </c>
      <c r="S1446" s="1">
        <f>0</f>
        <v>0</v>
      </c>
      <c r="T1446" s="1">
        <f>0+0</f>
        <v>0</v>
      </c>
      <c r="U1446" s="1">
        <f>0</f>
        <v>0</v>
      </c>
      <c r="V1446" s="1">
        <f>0</f>
        <v>0</v>
      </c>
      <c r="W1446" s="1">
        <f>0</f>
        <v>0</v>
      </c>
      <c r="X1446" s="1">
        <f>0</f>
        <v>0</v>
      </c>
      <c r="Y1446" s="1">
        <f>0</f>
        <v>0</v>
      </c>
      <c r="Z1446" s="1">
        <f>0</f>
        <v>0</v>
      </c>
      <c r="AA1446" s="1">
        <f>MAX(0,0)</f>
        <v>0</v>
      </c>
      <c r="AB1446" s="1">
        <f>0</f>
        <v>0</v>
      </c>
      <c r="AC1446" s="1">
        <f>MAX(0,0)</f>
        <v>0</v>
      </c>
      <c r="AD1446" s="1">
        <f>ROUNDDOWN(I1446*(1+IF(F1446=3,0.05+方案参数!$Y$43+AA1446*0.12,IF(F1446=4,方案参数!$BZ$43*方案参数!$AS$43,0)))+IF(AND(X1446=1,F1446&lt;&gt;3),方案参数!$CC$43,0)+AC1446*方案参数!$CB$43,0)</f>
        <v>2986</v>
      </c>
      <c r="AE1446" s="1">
        <f>IF(OR(F1446=1,F1446=4),配置与结果!$B$24,配置与结果!$B$25)*MAX(0,1-INDEX(配置与结果!$I$15:$I$18,F1446))</f>
        <v>1000</v>
      </c>
      <c r="AF1446" s="1">
        <f>0</f>
        <v>0</v>
      </c>
      <c r="AG1446" s="1">
        <f>MAX(配置与结果!$B$32,1+INDEX(配置与结果!$F$15:$F$18,F1446)+0+Q1446*方案参数!$W$43+Y1446*(方案参数!$AN$43+MIN(方案参数!$AO$43,P1446*0.03))+AB1446*方案参数!$BZ$43*0.025-配置与结果!$B$28)</f>
        <v>0.6349999999999999</v>
      </c>
      <c r="AH1446" s="1">
        <f>MAX(0,1+INDEX(配置与结果!$G$15:$G$18,F1446)+W1446*方案参数!$AG$43)</f>
        <v>1</v>
      </c>
      <c r="AI1446" s="1">
        <f>IF(OR(INDEX(配置与结果!$K$15:$K$18,F1446)=1,G1446="RHI_BERRY"),1+配置与结果!$B$33+P1446*方案参数!$AH$43,1)</f>
        <v>1</v>
      </c>
      <c r="AJ1446" s="1">
        <f>MIN(1,MAX(0,J1446+方案参数!$AB$43-配置与结果!$B$27))</f>
        <v>0.55499999999999994</v>
      </c>
      <c r="AK1446" s="1">
        <f>MAX(1,K1446+IF(F1446=2,0.15+方案参数!$CH$43,0)+BN1446*方案参数!$X$43+R1446*方案参数!$AA$43+0-配置与结果!$B$26+Z1446*(方案参数!$AP$43+MIN(方案参数!$AQ$43,P1446*0.03)))</f>
        <v>1.1499999999999999</v>
      </c>
      <c r="AL1446" s="7">
        <f>ROUNDDOWN(MAX(AD1446*配置与结果!$B$31,AD1446-AE1446)*AF1446*AG1446*AH1446*AI1446,0)</f>
        <v>0</v>
      </c>
      <c r="AM1446" s="7">
        <f>ROUNDDOWN(MAX(AD1446*配置与结果!$B$31,AD1446-AE1446)*AF1446*AG1446*AH1446*AI1446*AK1446,0)</f>
        <v>0</v>
      </c>
      <c r="AN1446" s="7">
        <f t="shared" si="1996"/>
        <v>0</v>
      </c>
      <c r="AO1446" s="7">
        <f>0</f>
        <v>0</v>
      </c>
      <c r="AP1446" s="7">
        <f>MAX(0,1+INDEX(配置与结果!$J$15:$J$18,F1446)+IF(T1446&gt;0,方案参数!$BY$43,0)-配置与结果!$B$30)</f>
        <v>1</v>
      </c>
      <c r="AQ1446" s="7">
        <f t="shared" si="1997"/>
        <v>0</v>
      </c>
      <c r="AR1446" s="7">
        <f t="shared" si="1998"/>
        <v>0</v>
      </c>
      <c r="AS1446" s="7">
        <f t="shared" si="1999"/>
        <v>0</v>
      </c>
      <c r="AT1446" s="7">
        <f>0</f>
        <v>0</v>
      </c>
      <c r="AU1446" s="7">
        <f t="shared" si="2000"/>
        <v>0</v>
      </c>
      <c r="AV1446" s="1">
        <f t="shared" si="2001"/>
        <v>0</v>
      </c>
      <c r="AW1446" s="1">
        <f t="shared" si="2026"/>
        <v>0</v>
      </c>
      <c r="AX1446" s="1">
        <f t="shared" si="2002"/>
        <v>0</v>
      </c>
      <c r="AY1446" s="1">
        <f>MIN(20,MAX(0,O1446+0+0-0))</f>
        <v>0</v>
      </c>
      <c r="AZ1446" s="1">
        <f t="shared" si="2003"/>
        <v>1</v>
      </c>
      <c r="BA1446" s="1">
        <f>MIN(6,Q1446+1)</f>
        <v>1</v>
      </c>
      <c r="BB1446" s="1">
        <f>MIN(30,R1446+5)</f>
        <v>5</v>
      </c>
      <c r="BC1446" s="1">
        <f t="shared" si="2023"/>
        <v>0</v>
      </c>
      <c r="BD1446" s="1">
        <f t="shared" si="2004"/>
        <v>0</v>
      </c>
      <c r="BE1446" s="1">
        <f>0</f>
        <v>0</v>
      </c>
      <c r="BF1446" s="1">
        <f t="shared" si="2027"/>
        <v>0</v>
      </c>
      <c r="BG1446" s="1">
        <f t="shared" si="2014"/>
        <v>0</v>
      </c>
      <c r="BH1446" s="1">
        <f>MAX(X1446,1)</f>
        <v>1</v>
      </c>
      <c r="BI1446" s="1">
        <f t="shared" si="2015"/>
        <v>0</v>
      </c>
      <c r="BJ1446" s="1">
        <f t="shared" si="2018"/>
        <v>0</v>
      </c>
      <c r="BK1446" s="1">
        <f t="shared" si="2019"/>
        <v>0</v>
      </c>
      <c r="BL1446" s="1">
        <f t="shared" si="2024"/>
        <v>0</v>
      </c>
      <c r="BM1446" s="1">
        <f t="shared" si="2022"/>
        <v>0</v>
      </c>
      <c r="BN1446" s="1">
        <f>0</f>
        <v>0</v>
      </c>
      <c r="BO1446" s="1">
        <f>MAX(BN1446,1)</f>
        <v>1</v>
      </c>
    </row>
    <row r="1447" spans="1:67" ht="30.95" customHeight="1">
      <c r="A1447" s="1">
        <f>40</f>
        <v>40</v>
      </c>
      <c r="B1447" s="1">
        <f>固定流程!A7</f>
        <v>2</v>
      </c>
      <c r="C1447" s="1">
        <f>43</f>
        <v>43</v>
      </c>
      <c r="D1447" s="1">
        <f>1</f>
        <v>1</v>
      </c>
      <c r="E1447" s="1">
        <f>固定流程!C7</f>
        <v>1</v>
      </c>
      <c r="F1447" s="1">
        <f>固定流程!G7</f>
        <v>3</v>
      </c>
      <c r="G1447" s="1" t="str">
        <f>固定流程!H7</f>
        <v>RHI_BUFF</v>
      </c>
      <c r="H1447" s="1">
        <f>固定流程!F7</f>
        <v>1</v>
      </c>
      <c r="I1447" s="1">
        <f>INDEX(配置与结果!$B$15:$B$18,F1447)</f>
        <v>2597</v>
      </c>
      <c r="J1447" s="1">
        <f>INDEX(配置与结果!$D$15:$D$18,F1447)</f>
        <v>0.255</v>
      </c>
      <c r="K1447" s="1">
        <f>INDEX(配置与结果!$E$15:$E$18,F1447)</f>
        <v>1.55</v>
      </c>
      <c r="L1447" s="1">
        <f t="shared" ref="L1447:O1452" si="2028">AV1446</f>
        <v>0</v>
      </c>
      <c r="M1447" s="1">
        <f t="shared" si="2028"/>
        <v>0</v>
      </c>
      <c r="N1447" s="1">
        <f t="shared" si="2028"/>
        <v>0</v>
      </c>
      <c r="O1447" s="1">
        <f t="shared" si="2028"/>
        <v>0</v>
      </c>
      <c r="P1447" s="1">
        <f>MIN(方案参数!$AI$43,AZ1446+0+方案参数!$AK$43)</f>
        <v>3</v>
      </c>
      <c r="Q1447" s="1">
        <f t="shared" ref="Q1447:Q1481" si="2029">BA1446</f>
        <v>1</v>
      </c>
      <c r="R1447" s="1">
        <f t="shared" ref="R1447:R1481" si="2030">BB1446</f>
        <v>5</v>
      </c>
      <c r="S1447" s="1">
        <f t="shared" ref="S1447:S1481" si="2031">BC1446</f>
        <v>0</v>
      </c>
      <c r="T1447" s="1">
        <f t="shared" ref="T1447:T1460" si="2032">BD1446+0</f>
        <v>0</v>
      </c>
      <c r="U1447" s="1">
        <f t="shared" ref="U1447:U1481" si="2033">BE1446</f>
        <v>0</v>
      </c>
      <c r="V1447" s="1">
        <f t="shared" ref="V1447:V1481" si="2034">BF1446</f>
        <v>0</v>
      </c>
      <c r="W1447" s="1">
        <f t="shared" ref="W1447:W1481" si="2035">BG1446</f>
        <v>0</v>
      </c>
      <c r="X1447" s="1">
        <f t="shared" ref="X1447:X1481" si="2036">BH1446</f>
        <v>1</v>
      </c>
      <c r="Y1447" s="1">
        <f t="shared" ref="Y1447:Y1481" si="2037">BI1446</f>
        <v>0</v>
      </c>
      <c r="Z1447" s="1">
        <f t="shared" ref="Z1447:Z1481" si="2038">BJ1446</f>
        <v>0</v>
      </c>
      <c r="AA1447" s="1">
        <f t="shared" ref="AA1447:AA1452" si="2039">MAX(BK1446,0)</f>
        <v>0</v>
      </c>
      <c r="AB1447" s="1">
        <f t="shared" ref="AB1447:AB1481" si="2040">BL1446</f>
        <v>0</v>
      </c>
      <c r="AC1447" s="1">
        <f t="shared" ref="AC1447:AC1460" si="2041">MAX(BM1446,0)</f>
        <v>0</v>
      </c>
      <c r="AD1447" s="1">
        <f>ROUNDDOWN(I1447*(1+IF(F1447=3,0.05+方案参数!$Y$43+AA1447*0.12,IF(F1447=4,方案参数!$BZ$43*方案参数!$AS$43,0)))+IF(AND(X1447=1,F1447&lt;&gt;3),方案参数!$CC$43,0)+AC1447*方案参数!$CB$43,0)</f>
        <v>2986</v>
      </c>
      <c r="AE1447" s="1">
        <f>IF(OR(F1447=1,F1447=4),配置与结果!$B$24,配置与结果!$B$25)*MAX(0,1-INDEX(配置与结果!$I$15:$I$18,F1447))</f>
        <v>1000</v>
      </c>
      <c r="AF1447" s="1">
        <f>0</f>
        <v>0</v>
      </c>
      <c r="AG1447" s="1">
        <f>MAX(配置与结果!$B$32,1+INDEX(配置与结果!$F$15:$F$18,F1447)+0+Q1447*方案参数!$W$43+Y1447*(方案参数!$AN$43+MIN(方案参数!$AO$43,P1447*0.03))+AB1447*方案参数!$BZ$43*0.025-配置与结果!$B$28)</f>
        <v>0.65499999999999992</v>
      </c>
      <c r="AH1447" s="1">
        <f>MAX(0,1+INDEX(配置与结果!$G$15:$G$18,F1447)+W1447*方案参数!$AG$43)</f>
        <v>1</v>
      </c>
      <c r="AI1447" s="1">
        <f>IF(OR(INDEX(配置与结果!$K$15:$K$18,F1447)=1,G1447="RHI_BERRY"),1+配置与结果!$B$33+P1447*方案参数!$AH$43,1)</f>
        <v>1</v>
      </c>
      <c r="AJ1447" s="1">
        <f>MIN(1,MAX(0,J1447+方案参数!$AB$43-配置与结果!$B$27))</f>
        <v>0.55499999999999994</v>
      </c>
      <c r="AK1447" s="1">
        <f>MAX(1,K1447+IF(F1447=2,0.15+方案参数!$CH$43,0)+BN1447*方案参数!$X$43+R1447*方案参数!$AA$43+0-配置与结果!$B$26+Z1447*(方案参数!$AP$43+MIN(方案参数!$AQ$43,P1447*0.03)))</f>
        <v>1.33</v>
      </c>
      <c r="AL1447" s="7">
        <f>ROUNDDOWN(MAX(AD1447*配置与结果!$B$31,AD1447-AE1447)*AF1447*AG1447*AH1447*AI1447,0)</f>
        <v>0</v>
      </c>
      <c r="AM1447" s="7">
        <f>ROUNDDOWN(MAX(AD1447*配置与结果!$B$31,AD1447-AE1447)*AF1447*AG1447*AH1447*AI1447*AK1447,0)</f>
        <v>0</v>
      </c>
      <c r="AN1447" s="7">
        <f t="shared" si="1996"/>
        <v>0</v>
      </c>
      <c r="AO1447" s="7">
        <f>0</f>
        <v>0</v>
      </c>
      <c r="AP1447" s="7">
        <f>MAX(0,1+INDEX(配置与结果!$J$15:$J$18,F1447)+IF(T1447&gt;0,方案参数!$BY$43,0)-配置与结果!$B$30)</f>
        <v>1</v>
      </c>
      <c r="AQ1447" s="7">
        <f t="shared" si="1997"/>
        <v>0</v>
      </c>
      <c r="AR1447" s="7">
        <f t="shared" si="1998"/>
        <v>0</v>
      </c>
      <c r="AS1447" s="7">
        <f t="shared" si="1999"/>
        <v>0</v>
      </c>
      <c r="AT1447" s="7">
        <f>0</f>
        <v>0</v>
      </c>
      <c r="AU1447" s="7">
        <f t="shared" si="2000"/>
        <v>0</v>
      </c>
      <c r="AV1447" s="1">
        <f t="shared" si="2001"/>
        <v>0</v>
      </c>
      <c r="AW1447" s="1">
        <f t="shared" si="2026"/>
        <v>0</v>
      </c>
      <c r="AX1447" s="1">
        <f t="shared" si="2002"/>
        <v>0</v>
      </c>
      <c r="AY1447" s="1">
        <f>MIN(20,MAX(0,O1447+0+0-0))</f>
        <v>0</v>
      </c>
      <c r="AZ1447" s="1">
        <f t="shared" si="2003"/>
        <v>3</v>
      </c>
      <c r="BA1447" s="1">
        <f>MIN(6,Q1447+1)</f>
        <v>2</v>
      </c>
      <c r="BB1447" s="1">
        <f t="shared" ref="BB1447:BB1460" si="2042">MIN(30,R1447+0)</f>
        <v>5</v>
      </c>
      <c r="BC1447" s="1">
        <f t="shared" si="2023"/>
        <v>0</v>
      </c>
      <c r="BD1447" s="1">
        <f t="shared" si="2004"/>
        <v>0</v>
      </c>
      <c r="BE1447" s="1">
        <f t="shared" ref="BE1447:BE1468" si="2043">BE1446</f>
        <v>0</v>
      </c>
      <c r="BF1447" s="1">
        <f t="shared" si="2027"/>
        <v>0</v>
      </c>
      <c r="BG1447" s="1">
        <f>MAX(W1447,1)</f>
        <v>1</v>
      </c>
      <c r="BH1447" s="1">
        <f t="shared" ref="BH1447:BH1481" si="2044">MAX(X1447,0)</f>
        <v>1</v>
      </c>
      <c r="BI1447" s="1">
        <f>MAX(Y1447,1)</f>
        <v>1</v>
      </c>
      <c r="BJ1447" s="1">
        <f t="shared" si="2018"/>
        <v>0</v>
      </c>
      <c r="BK1447" s="1">
        <f t="shared" si="2019"/>
        <v>0</v>
      </c>
      <c r="BL1447" s="1">
        <f t="shared" si="2024"/>
        <v>0</v>
      </c>
      <c r="BM1447" s="1">
        <f t="shared" si="2022"/>
        <v>0</v>
      </c>
      <c r="BN1447" s="1">
        <f t="shared" ref="BN1447:BN1481" si="2045">BO1446</f>
        <v>1</v>
      </c>
      <c r="BO1447" s="1">
        <f t="shared" ref="BO1447:BO1481" si="2046">MAX(BN1447,0)</f>
        <v>1</v>
      </c>
    </row>
    <row r="1448" spans="1:67" ht="30.95" customHeight="1">
      <c r="A1448" s="1">
        <f>40</f>
        <v>40</v>
      </c>
      <c r="B1448" s="1">
        <f>固定流程!A8</f>
        <v>3</v>
      </c>
      <c r="C1448" s="1">
        <f>43</f>
        <v>43</v>
      </c>
      <c r="D1448" s="1">
        <f>1</f>
        <v>1</v>
      </c>
      <c r="E1448" s="1">
        <f>固定流程!C8</f>
        <v>1</v>
      </c>
      <c r="F1448" s="1">
        <f>固定流程!G8</f>
        <v>1</v>
      </c>
      <c r="G1448" s="1" t="str">
        <f>固定流程!H8</f>
        <v>LILYA_COBRA</v>
      </c>
      <c r="H1448" s="1">
        <f>固定流程!F8</f>
        <v>1</v>
      </c>
      <c r="I1448" s="1">
        <f>INDEX(配置与结果!$B$15:$B$18,F1448)</f>
        <v>2296</v>
      </c>
      <c r="J1448" s="1">
        <f>INDEX(配置与结果!$D$15:$D$18,F1448)</f>
        <v>0.7</v>
      </c>
      <c r="K1448" s="1">
        <f>INDEX(配置与结果!$E$15:$E$18,F1448)</f>
        <v>2.0249999999999999</v>
      </c>
      <c r="L1448" s="1">
        <f t="shared" si="2028"/>
        <v>0</v>
      </c>
      <c r="M1448" s="1">
        <f t="shared" si="2028"/>
        <v>0</v>
      </c>
      <c r="N1448" s="1">
        <f t="shared" si="2028"/>
        <v>0</v>
      </c>
      <c r="O1448" s="1">
        <f t="shared" si="2028"/>
        <v>0</v>
      </c>
      <c r="P1448" s="1">
        <f>MIN(方案参数!$AI$43,AZ1447+0+0)</f>
        <v>3</v>
      </c>
      <c r="Q1448" s="1">
        <f t="shared" si="2029"/>
        <v>2</v>
      </c>
      <c r="R1448" s="1">
        <f t="shared" si="2030"/>
        <v>5</v>
      </c>
      <c r="S1448" s="1">
        <f t="shared" si="2031"/>
        <v>0</v>
      </c>
      <c r="T1448" s="1">
        <f t="shared" si="2032"/>
        <v>0</v>
      </c>
      <c r="U1448" s="1">
        <f t="shared" si="2033"/>
        <v>0</v>
      </c>
      <c r="V1448" s="1">
        <f t="shared" si="2034"/>
        <v>0</v>
      </c>
      <c r="W1448" s="1">
        <f t="shared" si="2035"/>
        <v>1</v>
      </c>
      <c r="X1448" s="1">
        <f t="shared" si="2036"/>
        <v>1</v>
      </c>
      <c r="Y1448" s="1">
        <f t="shared" si="2037"/>
        <v>1</v>
      </c>
      <c r="Z1448" s="1">
        <f t="shared" si="2038"/>
        <v>0</v>
      </c>
      <c r="AA1448" s="1">
        <f t="shared" si="2039"/>
        <v>0</v>
      </c>
      <c r="AB1448" s="1">
        <f t="shared" si="2040"/>
        <v>0</v>
      </c>
      <c r="AC1448" s="1">
        <f t="shared" si="2041"/>
        <v>0</v>
      </c>
      <c r="AD1448" s="1">
        <f>ROUNDDOWN(I1448*(1+IF(F1448=3,0.05+方案参数!$Y$43+AA1448*0.12,IF(F1448=4,方案参数!$BZ$43*方案参数!$AS$43,0)))+IF(AND(X1448=1,F1448&lt;&gt;3),方案参数!$CC$43,0)+AC1448*方案参数!$CB$43,0)</f>
        <v>2534</v>
      </c>
      <c r="AE1448" s="1">
        <f>IF(OR(F1448=1,F1448=4),配置与结果!$B$24,配置与结果!$B$25)*MAX(0,1-INDEX(配置与结果!$I$15:$I$18,F1448))</f>
        <v>1200</v>
      </c>
      <c r="AF1448" s="1">
        <f>0</f>
        <v>0</v>
      </c>
      <c r="AG1448" s="1">
        <f>MAX(配置与结果!$B$32,1+INDEX(配置与结果!$F$15:$F$18,F1448)+0.08+方案参数!$CD$43+Q1448*方案参数!$W$43+Y1448*(方案参数!$AN$43+MIN(方案参数!$AO$43,P1448*0.03))+AB1448*方案参数!$BZ$43*0.025-配置与结果!$B$28)</f>
        <v>1.2200000000000002</v>
      </c>
      <c r="AH1448" s="1">
        <f>MAX(0,1+INDEX(配置与结果!$G$15:$G$18,F1448)+W1448*方案参数!$AG$43)</f>
        <v>1.3</v>
      </c>
      <c r="AI1448" s="1">
        <f>IF(OR(INDEX(配置与结果!$K$15:$K$18,F1448)=1,G1448="RHI_BERRY"),1+配置与结果!$B$33+P1448*方案参数!$AH$43,1)</f>
        <v>1</v>
      </c>
      <c r="AJ1448" s="1">
        <f>MIN(1,MAX(0,J1448+方案参数!$AB$43-配置与结果!$B$27))</f>
        <v>1</v>
      </c>
      <c r="AK1448" s="1">
        <f>MAX(1,K1448+IF(F1448=2,0.15+方案参数!$CH$43,0)+BN1448*方案参数!$X$43+R1448*方案参数!$AA$43+0-配置与结果!$B$26+Z1448*(方案参数!$AP$43+MIN(方案参数!$AQ$43,P1448*0.03)))</f>
        <v>1.8050000000000002</v>
      </c>
      <c r="AL1448" s="7">
        <f>ROUNDDOWN(MAX(AD1448*配置与结果!$B$31,AD1448-AE1448)*AF1448*AG1448*AH1448*AI1448,0)</f>
        <v>0</v>
      </c>
      <c r="AM1448" s="7">
        <f>ROUNDDOWN(MAX(AD1448*配置与结果!$B$31,AD1448-AE1448)*AF1448*AG1448*AH1448*AI1448*AK1448,0)</f>
        <v>0</v>
      </c>
      <c r="AN1448" s="7">
        <f t="shared" si="1996"/>
        <v>0</v>
      </c>
      <c r="AO1448" s="7">
        <f>0</f>
        <v>0</v>
      </c>
      <c r="AP1448" s="7">
        <f>MAX(0,1+INDEX(配置与结果!$J$15:$J$18,F1448)+IF(T1448&gt;0,方案参数!$BY$43,0)-配置与结果!$B$30)</f>
        <v>1</v>
      </c>
      <c r="AQ1448" s="7">
        <f t="shared" si="1997"/>
        <v>0</v>
      </c>
      <c r="AR1448" s="7">
        <f t="shared" si="1998"/>
        <v>0</v>
      </c>
      <c r="AS1448" s="7">
        <f t="shared" si="1999"/>
        <v>0</v>
      </c>
      <c r="AT1448" s="7">
        <f>0</f>
        <v>0</v>
      </c>
      <c r="AU1448" s="7">
        <f t="shared" si="2000"/>
        <v>0</v>
      </c>
      <c r="AV1448" s="1">
        <f t="shared" si="2001"/>
        <v>1</v>
      </c>
      <c r="AW1448" s="1">
        <f>MIN(10,M1448+方案参数!$BD$43+0)</f>
        <v>3</v>
      </c>
      <c r="AX1448" s="1">
        <f t="shared" si="2002"/>
        <v>0</v>
      </c>
      <c r="AY1448" s="1">
        <f>MIN(20,MAX(0,O1448+6+0-0))</f>
        <v>6</v>
      </c>
      <c r="AZ1448" s="1">
        <f t="shared" si="2003"/>
        <v>3</v>
      </c>
      <c r="BA1448" s="1">
        <f>MIN(6,Q1448+0)</f>
        <v>2</v>
      </c>
      <c r="BB1448" s="1">
        <f t="shared" si="2042"/>
        <v>5</v>
      </c>
      <c r="BC1448" s="1">
        <f t="shared" si="2023"/>
        <v>0</v>
      </c>
      <c r="BD1448" s="1">
        <f t="shared" si="2004"/>
        <v>0</v>
      </c>
      <c r="BE1448" s="1">
        <f t="shared" si="2043"/>
        <v>0</v>
      </c>
      <c r="BF1448" s="1">
        <f t="shared" si="2027"/>
        <v>0</v>
      </c>
      <c r="BG1448" s="1">
        <f t="shared" ref="BG1448:BG1458" si="2047">MAX(W1448,0)</f>
        <v>1</v>
      </c>
      <c r="BH1448" s="1">
        <f t="shared" si="2044"/>
        <v>1</v>
      </c>
      <c r="BI1448" s="1">
        <f t="shared" ref="BI1448:BI1458" si="2048">MAX(Y1448,0)</f>
        <v>1</v>
      </c>
      <c r="BJ1448" s="1">
        <f t="shared" si="2018"/>
        <v>0</v>
      </c>
      <c r="BK1448" s="1">
        <f t="shared" si="2019"/>
        <v>0</v>
      </c>
      <c r="BL1448" s="1">
        <f t="shared" si="2024"/>
        <v>0</v>
      </c>
      <c r="BM1448" s="1">
        <f t="shared" si="2022"/>
        <v>0</v>
      </c>
      <c r="BN1448" s="1">
        <f t="shared" si="2045"/>
        <v>1</v>
      </c>
      <c r="BO1448" s="1">
        <f t="shared" si="2046"/>
        <v>1</v>
      </c>
    </row>
    <row r="1449" spans="1:67" ht="30.95" customHeight="1">
      <c r="A1449" s="1">
        <f>40</f>
        <v>40</v>
      </c>
      <c r="B1449" s="1">
        <f>固定流程!A9</f>
        <v>4</v>
      </c>
      <c r="C1449" s="1">
        <f>43</f>
        <v>43</v>
      </c>
      <c r="D1449" s="1">
        <f>1</f>
        <v>1</v>
      </c>
      <c r="E1449" s="1">
        <f>固定流程!C9</f>
        <v>1</v>
      </c>
      <c r="F1449" s="1">
        <f>固定流程!G9</f>
        <v>1</v>
      </c>
      <c r="G1449" s="1" t="str">
        <f>固定流程!H9</f>
        <v>LILYA_DIVE</v>
      </c>
      <c r="H1449" s="1">
        <f>固定流程!F9</f>
        <v>1</v>
      </c>
      <c r="I1449" s="1">
        <f>INDEX(配置与结果!$B$15:$B$18,F1449)</f>
        <v>2296</v>
      </c>
      <c r="J1449" s="1">
        <f>INDEX(配置与结果!$D$15:$D$18,F1449)</f>
        <v>0.7</v>
      </c>
      <c r="K1449" s="1">
        <f>INDEX(配置与结果!$E$15:$E$18,F1449)</f>
        <v>2.0249999999999999</v>
      </c>
      <c r="L1449" s="1">
        <f t="shared" si="2028"/>
        <v>1</v>
      </c>
      <c r="M1449" s="1">
        <f t="shared" si="2028"/>
        <v>3</v>
      </c>
      <c r="N1449" s="1">
        <f t="shared" si="2028"/>
        <v>0</v>
      </c>
      <c r="O1449" s="1">
        <f t="shared" si="2028"/>
        <v>6</v>
      </c>
      <c r="P1449" s="1">
        <f>MIN(方案参数!$AI$43,AZ1448+0+0)</f>
        <v>3</v>
      </c>
      <c r="Q1449" s="1">
        <f t="shared" si="2029"/>
        <v>2</v>
      </c>
      <c r="R1449" s="1">
        <f t="shared" si="2030"/>
        <v>5</v>
      </c>
      <c r="S1449" s="1">
        <f t="shared" si="2031"/>
        <v>0</v>
      </c>
      <c r="T1449" s="1">
        <f t="shared" si="2032"/>
        <v>0</v>
      </c>
      <c r="U1449" s="1">
        <f t="shared" si="2033"/>
        <v>0</v>
      </c>
      <c r="V1449" s="1">
        <f t="shared" si="2034"/>
        <v>0</v>
      </c>
      <c r="W1449" s="1">
        <f t="shared" si="2035"/>
        <v>1</v>
      </c>
      <c r="X1449" s="1">
        <f t="shared" si="2036"/>
        <v>1</v>
      </c>
      <c r="Y1449" s="1">
        <f t="shared" si="2037"/>
        <v>1</v>
      </c>
      <c r="Z1449" s="1">
        <f t="shared" si="2038"/>
        <v>0</v>
      </c>
      <c r="AA1449" s="1">
        <f t="shared" si="2039"/>
        <v>0</v>
      </c>
      <c r="AB1449" s="1">
        <f t="shared" si="2040"/>
        <v>0</v>
      </c>
      <c r="AC1449" s="1">
        <f t="shared" si="2041"/>
        <v>0</v>
      </c>
      <c r="AD1449" s="1">
        <f>ROUNDDOWN(I1449*(1+IF(F1449=3,0.05+方案参数!$Y$43+AA1449*0.12,IF(F1449=4,方案参数!$BZ$43*方案参数!$AS$43,0)))+IF(AND(X1449=1,F1449&lt;&gt;3),方案参数!$CC$43,0)+AC1449*方案参数!$CB$43,0)</f>
        <v>2534</v>
      </c>
      <c r="AE1449" s="1">
        <f>IF(OR(F1449=1,F1449=4),配置与结果!$B$24,配置与结果!$B$25)*MAX(0,1-INDEX(配置与结果!$I$15:$I$18,F1449))</f>
        <v>1200</v>
      </c>
      <c r="AF1449" s="1">
        <f>(IF(L1449=1,方案参数!$AW$43,IF(L1449=2,方案参数!$AX$43,0))+方案参数!$AV$43)*H1449</f>
        <v>6</v>
      </c>
      <c r="AG1449" s="1">
        <f>MAX(配置与结果!$B$32,1+INDEX(配置与结果!$F$15:$F$18,F1449)+0.08+方案参数!$CD$43+Q1449*方案参数!$W$43+Y1449*(方案参数!$AN$43+MIN(方案参数!$AO$43,P1449*0.03))+AB1449*方案参数!$BZ$43*0.025+IF(L1449=1,方案参数!$AY$43+(H1449-1)*0.1,IF(L1449=2,方案参数!$AZ$43+(H1449-1)*0.2,0))-配置与结果!$B$28)</f>
        <v>1.3200000000000003</v>
      </c>
      <c r="AH1449" s="1">
        <f>MAX(0,1+INDEX(配置与结果!$G$15:$G$18,F1449)+W1449*方案参数!$AG$43+IF(L1449=1,方案参数!$BA$43,IF(L1449=2,方案参数!$BB$43,0))+M1449*方案参数!$BC$43)</f>
        <v>2.08</v>
      </c>
      <c r="AI1449" s="1">
        <f>IF(OR(INDEX(配置与结果!$K$15:$K$18,F1449)=1,G1449="RHI_BERRY"),1+配置与结果!$B$33+P1449*方案参数!$AH$43,1)</f>
        <v>1</v>
      </c>
      <c r="AJ1449" s="1">
        <f>MIN(1,MAX(0,J1449+方案参数!$AB$43-配置与结果!$B$27))</f>
        <v>1</v>
      </c>
      <c r="AK1449" s="1">
        <f>MAX(1,K1449+IF(F1449=2,0.15+方案参数!$CH$43,0)+BN1449*方案参数!$X$43+R1449*方案参数!$AA$43+0-配置与结果!$B$26+Z1449*(方案参数!$AP$43+MIN(方案参数!$AQ$43,P1449*0.03)))</f>
        <v>1.8050000000000002</v>
      </c>
      <c r="AL1449" s="7">
        <f>ROUNDDOWN(MAX(AD1449*配置与结果!$B$31,AD1449-AE1449)*AF1449*AG1449*AH1449*AI1449,0)</f>
        <v>21975</v>
      </c>
      <c r="AM1449" s="7">
        <f>ROUNDDOWN(MAX(AD1449*配置与结果!$B$31,AD1449-AE1449)*AF1449*AG1449*AH1449*AI1449*AK1449,0)</f>
        <v>39666</v>
      </c>
      <c r="AN1449" s="7">
        <f t="shared" si="1996"/>
        <v>39666</v>
      </c>
      <c r="AO1449" s="7">
        <f>0</f>
        <v>0</v>
      </c>
      <c r="AP1449" s="7">
        <f>MAX(0,1+INDEX(配置与结果!$J$15:$J$18,F1449)+IF(T1449&gt;0,方案参数!$BY$43,0)-配置与结果!$B$30)</f>
        <v>1</v>
      </c>
      <c r="AQ1449" s="7">
        <f t="shared" si="1997"/>
        <v>0</v>
      </c>
      <c r="AR1449" s="7">
        <f t="shared" si="1998"/>
        <v>0</v>
      </c>
      <c r="AS1449" s="7">
        <f t="shared" si="1999"/>
        <v>0</v>
      </c>
      <c r="AT1449" s="7">
        <f>0</f>
        <v>0</v>
      </c>
      <c r="AU1449" s="7">
        <f t="shared" si="2000"/>
        <v>39666</v>
      </c>
      <c r="AV1449" s="1">
        <f t="shared" si="2001"/>
        <v>1</v>
      </c>
      <c r="AW1449" s="1">
        <f>MIN(10,M1449+0+IF(L1449=1,方案参数!$BE$43,0))</f>
        <v>4</v>
      </c>
      <c r="AX1449" s="1">
        <f t="shared" si="2002"/>
        <v>0</v>
      </c>
      <c r="AY1449" s="1">
        <f t="shared" ref="AY1449:AY1464" si="2049">MIN(20,MAX(0,O1449+0+0-0))</f>
        <v>6</v>
      </c>
      <c r="AZ1449" s="1">
        <f t="shared" si="2003"/>
        <v>3</v>
      </c>
      <c r="BA1449" s="1">
        <f>MIN(6,Q1449+0)</f>
        <v>2</v>
      </c>
      <c r="BB1449" s="1">
        <f t="shared" si="2042"/>
        <v>5</v>
      </c>
      <c r="BC1449" s="1">
        <f t="shared" si="2023"/>
        <v>0</v>
      </c>
      <c r="BD1449" s="1">
        <f t="shared" si="2004"/>
        <v>0</v>
      </c>
      <c r="BE1449" s="1">
        <f t="shared" si="2043"/>
        <v>0</v>
      </c>
      <c r="BF1449" s="1">
        <f t="shared" si="2027"/>
        <v>0</v>
      </c>
      <c r="BG1449" s="1">
        <f t="shared" si="2047"/>
        <v>1</v>
      </c>
      <c r="BH1449" s="1">
        <f t="shared" si="2044"/>
        <v>1</v>
      </c>
      <c r="BI1449" s="1">
        <f t="shared" si="2048"/>
        <v>1</v>
      </c>
      <c r="BJ1449" s="1">
        <f t="shared" si="2018"/>
        <v>0</v>
      </c>
      <c r="BK1449" s="1">
        <f t="shared" si="2019"/>
        <v>0</v>
      </c>
      <c r="BL1449" s="1">
        <f t="shared" si="2024"/>
        <v>0</v>
      </c>
      <c r="BM1449" s="1">
        <f t="shared" si="2022"/>
        <v>0</v>
      </c>
      <c r="BN1449" s="1">
        <f t="shared" si="2045"/>
        <v>1</v>
      </c>
      <c r="BO1449" s="1">
        <f t="shared" si="2046"/>
        <v>1</v>
      </c>
    </row>
    <row r="1450" spans="1:67" ht="30.95" customHeight="1">
      <c r="A1450" s="1">
        <f>40</f>
        <v>40</v>
      </c>
      <c r="B1450" s="1">
        <f>固定流程!A10</f>
        <v>5</v>
      </c>
      <c r="C1450" s="1">
        <f>43</f>
        <v>43</v>
      </c>
      <c r="D1450" s="1">
        <f>1</f>
        <v>1</v>
      </c>
      <c r="E1450" s="1">
        <f>固定流程!C10</f>
        <v>1</v>
      </c>
      <c r="F1450" s="1">
        <f>固定流程!G10</f>
        <v>2</v>
      </c>
      <c r="G1450" s="1" t="str">
        <f>固定流程!H10</f>
        <v>37_TRIANGLE</v>
      </c>
      <c r="H1450" s="1">
        <f>固定流程!F10</f>
        <v>1</v>
      </c>
      <c r="I1450" s="1">
        <f>INDEX(配置与结果!$B$15:$B$18,F1450)</f>
        <v>2306</v>
      </c>
      <c r="J1450" s="1">
        <f>INDEX(配置与结果!$D$15:$D$18,F1450)</f>
        <v>0.46</v>
      </c>
      <c r="K1450" s="1">
        <f>INDEX(配置与结果!$E$15:$E$18,F1450)</f>
        <v>1.9279999999999999</v>
      </c>
      <c r="L1450" s="1">
        <f t="shared" si="2028"/>
        <v>1</v>
      </c>
      <c r="M1450" s="1">
        <f t="shared" si="2028"/>
        <v>4</v>
      </c>
      <c r="N1450" s="1">
        <f t="shared" si="2028"/>
        <v>0</v>
      </c>
      <c r="O1450" s="1">
        <f t="shared" si="2028"/>
        <v>6</v>
      </c>
      <c r="P1450" s="1">
        <f>MIN(方案参数!$AI$43,AZ1449+0+0)</f>
        <v>3</v>
      </c>
      <c r="Q1450" s="1">
        <f t="shared" si="2029"/>
        <v>2</v>
      </c>
      <c r="R1450" s="1">
        <f t="shared" si="2030"/>
        <v>5</v>
      </c>
      <c r="S1450" s="1">
        <f t="shared" si="2031"/>
        <v>0</v>
      </c>
      <c r="T1450" s="1">
        <f t="shared" si="2032"/>
        <v>0</v>
      </c>
      <c r="U1450" s="1">
        <f t="shared" si="2033"/>
        <v>0</v>
      </c>
      <c r="V1450" s="1">
        <f t="shared" si="2034"/>
        <v>0</v>
      </c>
      <c r="W1450" s="1">
        <f t="shared" si="2035"/>
        <v>1</v>
      </c>
      <c r="X1450" s="1">
        <f t="shared" si="2036"/>
        <v>1</v>
      </c>
      <c r="Y1450" s="1">
        <f t="shared" si="2037"/>
        <v>1</v>
      </c>
      <c r="Z1450" s="1">
        <f t="shared" si="2038"/>
        <v>0</v>
      </c>
      <c r="AA1450" s="1">
        <f t="shared" si="2039"/>
        <v>0</v>
      </c>
      <c r="AB1450" s="1">
        <f t="shared" si="2040"/>
        <v>0</v>
      </c>
      <c r="AC1450" s="1">
        <f t="shared" si="2041"/>
        <v>0</v>
      </c>
      <c r="AD1450" s="1">
        <f>ROUNDDOWN(I1450*(1+IF(F1450=3,0.05+方案参数!$Y$43+AA1450*0.12,IF(F1450=4,方案参数!$BZ$43*方案参数!$AS$43,0)))+IF(AND(X1450=1,F1450&lt;&gt;3),方案参数!$CC$43,0)+AC1450*方案参数!$CB$43,0)</f>
        <v>2544</v>
      </c>
      <c r="AE1450" s="1">
        <f>IF(OR(F1450=1,F1450=4),配置与结果!$B$24,配置与结果!$B$25)*MAX(0,1-INDEX(配置与结果!$I$15:$I$18,F1450))</f>
        <v>1000</v>
      </c>
      <c r="AF1450" s="1">
        <f>方案参数!$BS$43*IF(H1450=1,1,IF(H1450=2,1.5,2.5))</f>
        <v>2.8</v>
      </c>
      <c r="AG1450" s="1">
        <f>MAX(配置与结果!$B$32,1+INDEX(配置与结果!$F$15:$F$18,F1450)+0+Q1450*方案参数!$W$43+Y1450*(方案参数!$AN$43+MIN(方案参数!$AO$43,P1450*0.03))+AB1450*方案参数!$BZ$43*0.025-配置与结果!$B$28)</f>
        <v>0.8849999999999999</v>
      </c>
      <c r="AH1450" s="1">
        <f>MAX(0,1+INDEX(配置与结果!$G$15:$G$18,F1450)+W1450*方案参数!$AG$43)</f>
        <v>1.3</v>
      </c>
      <c r="AI1450" s="1">
        <f>IF(OR(INDEX(配置与结果!$K$15:$K$18,F1450)=1,G1450="RHI_BERRY"),1+配置与结果!$B$33+P1450*方案参数!$AH$43,1)</f>
        <v>1</v>
      </c>
      <c r="AJ1450" s="1">
        <f>MIN(1,MAX(0,J1450+方案参数!$AB$43-配置与结果!$B$27))</f>
        <v>0.76</v>
      </c>
      <c r="AK1450" s="1">
        <f>MAX(1,K1450+IF(F1450=2,0.15+方案参数!$CH$43,0)+BN1450*方案参数!$X$43+R1450*方案参数!$AA$43+0-配置与结果!$B$26+Z1450*(方案参数!$AP$43+MIN(方案参数!$AQ$43,P1450*0.03)))</f>
        <v>1.9780000000000002</v>
      </c>
      <c r="AL1450" s="7">
        <f>ROUNDDOWN(MAX(AD1450*配置与结果!$B$31,AD1450-AE1450)*AF1450*AG1450*AH1450*AI1450,0)</f>
        <v>4973</v>
      </c>
      <c r="AM1450" s="7">
        <f>ROUNDDOWN(MAX(AD1450*配置与结果!$B$31,AD1450-AE1450)*AF1450*AG1450*AH1450*AI1450*AK1450,0)</f>
        <v>9838</v>
      </c>
      <c r="AN1450" s="7">
        <f t="shared" si="1996"/>
        <v>8670.4</v>
      </c>
      <c r="AO1450" s="7">
        <f>方案参数!$BU$43*IF(H1450=1,1,IF(H1450=2,1.5,2.5))</f>
        <v>0.8</v>
      </c>
      <c r="AP1450" s="7">
        <f>MAX(0,1+INDEX(配置与结果!$J$15:$J$18,F1450)+IF(T1450&gt;0,方案参数!$BY$43,0)-配置与结果!$B$30)</f>
        <v>1</v>
      </c>
      <c r="AQ1450" s="7">
        <f t="shared" si="1997"/>
        <v>2035</v>
      </c>
      <c r="AR1450" s="7">
        <f t="shared" si="1998"/>
        <v>4025</v>
      </c>
      <c r="AS1450" s="7">
        <f t="shared" si="1999"/>
        <v>3547.4</v>
      </c>
      <c r="AT1450" s="7">
        <f>0</f>
        <v>0</v>
      </c>
      <c r="AU1450" s="7">
        <f t="shared" si="2000"/>
        <v>12217.8</v>
      </c>
      <c r="AV1450" s="1">
        <f t="shared" si="2001"/>
        <v>1</v>
      </c>
      <c r="AW1450" s="1">
        <f>MIN(10,M1450+0+0)</f>
        <v>4</v>
      </c>
      <c r="AX1450" s="1">
        <f t="shared" si="2002"/>
        <v>0</v>
      </c>
      <c r="AY1450" s="1">
        <f t="shared" si="2049"/>
        <v>6</v>
      </c>
      <c r="AZ1450" s="1">
        <f t="shared" si="2003"/>
        <v>3</v>
      </c>
      <c r="BA1450" s="1">
        <f>MIN(6,Q1450+0)</f>
        <v>2</v>
      </c>
      <c r="BB1450" s="1">
        <f t="shared" si="2042"/>
        <v>5</v>
      </c>
      <c r="BC1450" s="1">
        <f t="shared" si="2023"/>
        <v>0</v>
      </c>
      <c r="BD1450" s="1">
        <f>MAX(0,T1450-IF(AO1450&gt;0,1,0))+1</f>
        <v>1</v>
      </c>
      <c r="BE1450" s="1">
        <f t="shared" si="2043"/>
        <v>0</v>
      </c>
      <c r="BF1450" s="1">
        <f t="shared" si="2027"/>
        <v>0</v>
      </c>
      <c r="BG1450" s="1">
        <f t="shared" si="2047"/>
        <v>1</v>
      </c>
      <c r="BH1450" s="1">
        <f t="shared" si="2044"/>
        <v>1</v>
      </c>
      <c r="BI1450" s="1">
        <f t="shared" si="2048"/>
        <v>1</v>
      </c>
      <c r="BJ1450" s="1">
        <f t="shared" si="2018"/>
        <v>0</v>
      </c>
      <c r="BK1450" s="1">
        <f t="shared" si="2019"/>
        <v>0</v>
      </c>
      <c r="BL1450" s="1">
        <f t="shared" si="2024"/>
        <v>0</v>
      </c>
      <c r="BM1450" s="1">
        <f t="shared" si="2022"/>
        <v>0</v>
      </c>
      <c r="BN1450" s="1">
        <f t="shared" si="2045"/>
        <v>1</v>
      </c>
      <c r="BO1450" s="1">
        <f t="shared" si="2046"/>
        <v>1</v>
      </c>
    </row>
    <row r="1451" spans="1:67" ht="30.95" customHeight="1">
      <c r="A1451" s="1">
        <f>40</f>
        <v>40</v>
      </c>
      <c r="B1451" s="1">
        <f>固定流程!A11</f>
        <v>6</v>
      </c>
      <c r="C1451" s="1">
        <f>43</f>
        <v>43</v>
      </c>
      <c r="D1451" s="1">
        <f>1</f>
        <v>1</v>
      </c>
      <c r="E1451" s="1">
        <f>固定流程!C11</f>
        <v>1</v>
      </c>
      <c r="F1451" s="1">
        <f>固定流程!G11</f>
        <v>2</v>
      </c>
      <c r="G1451" s="1" t="str">
        <f>固定流程!H11</f>
        <v>37_FOLLOW</v>
      </c>
      <c r="H1451" s="1">
        <f>固定流程!F11</f>
        <v>1</v>
      </c>
      <c r="I1451" s="1">
        <f>INDEX(配置与结果!$B$15:$B$18,F1451)</f>
        <v>2306</v>
      </c>
      <c r="J1451" s="1">
        <f>INDEX(配置与结果!$D$15:$D$18,F1451)</f>
        <v>0.46</v>
      </c>
      <c r="K1451" s="1">
        <f>INDEX(配置与结果!$E$15:$E$18,F1451)</f>
        <v>1.9279999999999999</v>
      </c>
      <c r="L1451" s="1">
        <f t="shared" si="2028"/>
        <v>1</v>
      </c>
      <c r="M1451" s="1">
        <f t="shared" si="2028"/>
        <v>4</v>
      </c>
      <c r="N1451" s="1">
        <f t="shared" si="2028"/>
        <v>0</v>
      </c>
      <c r="O1451" s="1">
        <f t="shared" si="2028"/>
        <v>6</v>
      </c>
      <c r="P1451" s="1">
        <f>MIN(方案参数!$AI$43,AZ1450+0+0)</f>
        <v>3</v>
      </c>
      <c r="Q1451" s="1">
        <f t="shared" si="2029"/>
        <v>2</v>
      </c>
      <c r="R1451" s="1">
        <f t="shared" si="2030"/>
        <v>5</v>
      </c>
      <c r="S1451" s="1">
        <f t="shared" si="2031"/>
        <v>0</v>
      </c>
      <c r="T1451" s="1">
        <f t="shared" si="2032"/>
        <v>1</v>
      </c>
      <c r="U1451" s="1">
        <f t="shared" si="2033"/>
        <v>0</v>
      </c>
      <c r="V1451" s="1">
        <f t="shared" si="2034"/>
        <v>0</v>
      </c>
      <c r="W1451" s="1">
        <f t="shared" si="2035"/>
        <v>1</v>
      </c>
      <c r="X1451" s="1">
        <f t="shared" si="2036"/>
        <v>1</v>
      </c>
      <c r="Y1451" s="1">
        <f t="shared" si="2037"/>
        <v>1</v>
      </c>
      <c r="Z1451" s="1">
        <f t="shared" si="2038"/>
        <v>0</v>
      </c>
      <c r="AA1451" s="1">
        <f t="shared" si="2039"/>
        <v>0</v>
      </c>
      <c r="AB1451" s="1">
        <f t="shared" si="2040"/>
        <v>0</v>
      </c>
      <c r="AC1451" s="1">
        <f t="shared" si="2041"/>
        <v>0</v>
      </c>
      <c r="AD1451" s="1">
        <f>ROUNDDOWN(I1451*(1+IF(F1451=3,0.05+方案参数!$Y$43+AA1451*0.12,IF(F1451=4,方案参数!$BZ$43*方案参数!$AS$43,0)))+IF(AND(X1451=1,F1451&lt;&gt;3),方案参数!$CC$43,0)+AC1451*方案参数!$CB$43,0)</f>
        <v>2544</v>
      </c>
      <c r="AE1451" s="1">
        <f>IF(OR(F1451=1,F1451=4),配置与结果!$B$24,配置与结果!$B$25)*MAX(0,1-INDEX(配置与结果!$I$15:$I$18,F1451))</f>
        <v>1000</v>
      </c>
      <c r="AF1451" s="1">
        <f>方案参数!$BV$43</f>
        <v>3</v>
      </c>
      <c r="AG1451" s="1">
        <f>MAX(配置与结果!$B$32,1+INDEX(配置与结果!$F$15:$F$18,F1451)+0+Q1451*方案参数!$W$43+Y1451*(方案参数!$AN$43+MIN(方案参数!$AO$43,P1451*0.03))+AB1451*方案参数!$BZ$43*0.025-配置与结果!$B$28)</f>
        <v>0.8849999999999999</v>
      </c>
      <c r="AH1451" s="1">
        <f>MAX(0,1+INDEX(配置与结果!$G$15:$G$18,F1451)+W1451*方案参数!$AG$43)</f>
        <v>1.3</v>
      </c>
      <c r="AI1451" s="1">
        <f>IF(OR(INDEX(配置与结果!$K$15:$K$18,F1451)=1,G1451="RHI_BERRY"),1+配置与结果!$B$33+P1451*方案参数!$AH$43,1)</f>
        <v>1</v>
      </c>
      <c r="AJ1451" s="1">
        <f>MIN(1,MAX(0,J1451+方案参数!$AB$43-配置与结果!$B$27))</f>
        <v>0.76</v>
      </c>
      <c r="AK1451" s="1">
        <f>MAX(1,K1451+IF(F1451=2,0.15+方案参数!$CH$43,0)+BN1451*方案参数!$X$43+R1451*方案参数!$AA$43+0-配置与结果!$B$26+Z1451*(方案参数!$AP$43+MIN(方案参数!$AQ$43,P1451*0.03)))</f>
        <v>1.9780000000000002</v>
      </c>
      <c r="AL1451" s="7">
        <f>ROUNDDOWN(MAX(AD1451*配置与结果!$B$31,AD1451-AE1451)*AF1451*AG1451*AH1451*AI1451,0)</f>
        <v>5329</v>
      </c>
      <c r="AM1451" s="7">
        <f>ROUNDDOWN(MAX(AD1451*配置与结果!$B$31,AD1451-AE1451)*AF1451*AG1451*AH1451*AI1451*AK1451,0)</f>
        <v>10540</v>
      </c>
      <c r="AN1451" s="7">
        <f t="shared" si="1996"/>
        <v>9289.36</v>
      </c>
      <c r="AO1451" s="7">
        <f>方案参数!$BW$43</f>
        <v>1</v>
      </c>
      <c r="AP1451" s="7">
        <f>MAX(0,1+INDEX(配置与结果!$J$15:$J$18,F1451)+IF(T1451&gt;0,方案参数!$BY$43,0)-配置与结果!$B$30)</f>
        <v>2</v>
      </c>
      <c r="AQ1451" s="7">
        <f t="shared" si="1997"/>
        <v>5088</v>
      </c>
      <c r="AR1451" s="7">
        <f t="shared" si="1998"/>
        <v>10064</v>
      </c>
      <c r="AS1451" s="7">
        <f t="shared" si="1999"/>
        <v>8869.76</v>
      </c>
      <c r="AT1451" s="7">
        <f>0</f>
        <v>0</v>
      </c>
      <c r="AU1451" s="7">
        <f t="shared" si="2000"/>
        <v>18159.120000000003</v>
      </c>
      <c r="AV1451" s="1">
        <f t="shared" si="2001"/>
        <v>1</v>
      </c>
      <c r="AW1451" s="1">
        <f>MIN(10,M1451+0+0)</f>
        <v>4</v>
      </c>
      <c r="AX1451" s="1">
        <f t="shared" si="2002"/>
        <v>0</v>
      </c>
      <c r="AY1451" s="1">
        <f t="shared" si="2049"/>
        <v>6</v>
      </c>
      <c r="AZ1451" s="1">
        <f t="shared" si="2003"/>
        <v>3</v>
      </c>
      <c r="BA1451" s="1">
        <f>MIN(6,Q1451+0)</f>
        <v>2</v>
      </c>
      <c r="BB1451" s="1">
        <f t="shared" si="2042"/>
        <v>5</v>
      </c>
      <c r="BC1451" s="1">
        <f t="shared" si="2023"/>
        <v>0</v>
      </c>
      <c r="BD1451" s="1">
        <f t="shared" ref="BD1451:BD1485" si="2050">MAX(0,T1451-IF(AO1451&gt;0,1,0))+0</f>
        <v>0</v>
      </c>
      <c r="BE1451" s="1">
        <f t="shared" si="2043"/>
        <v>0</v>
      </c>
      <c r="BF1451" s="1">
        <f>MIN(4,V1451+1)</f>
        <v>1</v>
      </c>
      <c r="BG1451" s="1">
        <f t="shared" si="2047"/>
        <v>1</v>
      </c>
      <c r="BH1451" s="1">
        <f t="shared" si="2044"/>
        <v>1</v>
      </c>
      <c r="BI1451" s="1">
        <f t="shared" si="2048"/>
        <v>1</v>
      </c>
      <c r="BJ1451" s="1">
        <f t="shared" si="2018"/>
        <v>0</v>
      </c>
      <c r="BK1451" s="1">
        <f t="shared" si="2019"/>
        <v>0</v>
      </c>
      <c r="BL1451" s="1">
        <f t="shared" si="2024"/>
        <v>0</v>
      </c>
      <c r="BM1451" s="1">
        <f t="shared" si="2022"/>
        <v>0</v>
      </c>
      <c r="BN1451" s="1">
        <f t="shared" si="2045"/>
        <v>1</v>
      </c>
      <c r="BO1451" s="1">
        <f t="shared" si="2046"/>
        <v>1</v>
      </c>
    </row>
    <row r="1452" spans="1:67" ht="30.95" customHeight="1">
      <c r="A1452" s="1">
        <f>40</f>
        <v>40</v>
      </c>
      <c r="B1452" s="1">
        <f>固定流程!A12</f>
        <v>7</v>
      </c>
      <c r="C1452" s="1">
        <f>43</f>
        <v>43</v>
      </c>
      <c r="D1452" s="1">
        <f>1</f>
        <v>1</v>
      </c>
      <c r="E1452" s="1">
        <f>固定流程!C12</f>
        <v>1</v>
      </c>
      <c r="F1452" s="1">
        <f>固定流程!G12</f>
        <v>4</v>
      </c>
      <c r="G1452" s="1" t="str">
        <f>固定流程!H12</f>
        <v>J_HARD</v>
      </c>
      <c r="H1452" s="1">
        <f>固定流程!F12</f>
        <v>1</v>
      </c>
      <c r="I1452" s="1">
        <f>INDEX(配置与结果!$B$15:$B$18,F1452)</f>
        <v>1906</v>
      </c>
      <c r="J1452" s="1">
        <f>INDEX(配置与结果!$D$15:$D$18,F1452)</f>
        <v>0.36699999999999999</v>
      </c>
      <c r="K1452" s="1">
        <f>INDEX(配置与结果!$E$15:$E$18,F1452)</f>
        <v>1.7170000000000001</v>
      </c>
      <c r="L1452" s="1">
        <f t="shared" si="2028"/>
        <v>1</v>
      </c>
      <c r="M1452" s="1">
        <f t="shared" si="2028"/>
        <v>4</v>
      </c>
      <c r="N1452" s="1">
        <f t="shared" si="2028"/>
        <v>0</v>
      </c>
      <c r="O1452" s="1">
        <f t="shared" si="2028"/>
        <v>6</v>
      </c>
      <c r="P1452" s="1">
        <f>MIN(方案参数!$AI$43,AZ1451+0+0)</f>
        <v>3</v>
      </c>
      <c r="Q1452" s="1">
        <f t="shared" si="2029"/>
        <v>2</v>
      </c>
      <c r="R1452" s="1">
        <f t="shared" si="2030"/>
        <v>5</v>
      </c>
      <c r="S1452" s="1">
        <f t="shared" si="2031"/>
        <v>0</v>
      </c>
      <c r="T1452" s="1">
        <f t="shared" si="2032"/>
        <v>0</v>
      </c>
      <c r="U1452" s="1">
        <f t="shared" si="2033"/>
        <v>0</v>
      </c>
      <c r="V1452" s="1">
        <f t="shared" si="2034"/>
        <v>1</v>
      </c>
      <c r="W1452" s="1">
        <f t="shared" si="2035"/>
        <v>1</v>
      </c>
      <c r="X1452" s="1">
        <f t="shared" si="2036"/>
        <v>1</v>
      </c>
      <c r="Y1452" s="1">
        <f t="shared" si="2037"/>
        <v>1</v>
      </c>
      <c r="Z1452" s="1">
        <f t="shared" si="2038"/>
        <v>0</v>
      </c>
      <c r="AA1452" s="1">
        <f t="shared" si="2039"/>
        <v>0</v>
      </c>
      <c r="AB1452" s="1">
        <f t="shared" si="2040"/>
        <v>0</v>
      </c>
      <c r="AC1452" s="1">
        <f t="shared" si="2041"/>
        <v>0</v>
      </c>
      <c r="AD1452" s="1">
        <f>ROUNDDOWN(I1452*(1+IF(F1452=3,0.05+方案参数!$Y$43+AA1452*0.12,IF(F1452=4,方案参数!$BZ$43*方案参数!$AS$43,0)))+IF(AND(X1452=1,F1452&lt;&gt;3),方案参数!$CC$43,0)+AC1452*方案参数!$CB$43,0)</f>
        <v>2811</v>
      </c>
      <c r="AE1452" s="1">
        <f>IF(OR(F1452=1,F1452=4),配置与结果!$B$24,配置与结果!$B$25)*MAX(0,1-INDEX(配置与结果!$I$15:$I$18,F1452))</f>
        <v>1200</v>
      </c>
      <c r="AF1452" s="1">
        <f>3.6*IF(H1452=1,1,IF(H1452=2,1.5,2.5))</f>
        <v>3.6</v>
      </c>
      <c r="AG1452" s="1">
        <f>MAX(配置与结果!$B$32,1+INDEX(配置与结果!$F$15:$F$18,F1452)+0.08+Q1452*方案参数!$W$43+Y1452*(方案参数!$AN$43+MIN(方案参数!$AO$43,P1452*0.03))+AB1452*方案参数!$BZ$43*0.025+0.1+IF(方案参数!$BZ$43&gt;=30,方案参数!$BZ$43*0.01,0)-配置与结果!$B$28)</f>
        <v>1.4350000000000001</v>
      </c>
      <c r="AH1452" s="1">
        <f>MAX(0,1+INDEX(配置与结果!$G$15:$G$18,F1452)+W1452*方案参数!$AG$43)</f>
        <v>1.3</v>
      </c>
      <c r="AI1452" s="1">
        <f>IF(OR(INDEX(配置与结果!$K$15:$K$18,F1452)=1,G1452="RHI_BERRY"),1+配置与结果!$B$33+P1452*方案参数!$AH$43,1)</f>
        <v>1</v>
      </c>
      <c r="AJ1452" s="1">
        <f>MIN(1,MAX(0,J1452+方案参数!$AB$43-配置与结果!$B$27))</f>
        <v>0.66700000000000004</v>
      </c>
      <c r="AK1452" s="1">
        <f>MAX(1,K1452+IF(F1452=2,0.15+方案参数!$CH$43,0)+BN1452*方案参数!$X$43+R1452*方案参数!$AA$43+0-配置与结果!$B$26+Z1452*(方案参数!$AP$43+MIN(方案参数!$AQ$43,P1452*0.03)))</f>
        <v>1.4969999999999999</v>
      </c>
      <c r="AL1452" s="7">
        <f>ROUNDDOWN(MAX(AD1452*配置与结果!$B$31,AD1452-AE1452)*AF1452*AG1452*AH1452*AI1452,0)</f>
        <v>10819</v>
      </c>
      <c r="AM1452" s="7">
        <f>ROUNDDOWN(MAX(AD1452*配置与结果!$B$31,AD1452-AE1452)*AF1452*AG1452*AH1452*AI1452*AK1452,0)</f>
        <v>16196</v>
      </c>
      <c r="AN1452" s="7">
        <f t="shared" si="1996"/>
        <v>14405.458999999999</v>
      </c>
      <c r="AO1452" s="7">
        <f>0</f>
        <v>0</v>
      </c>
      <c r="AP1452" s="7">
        <f>MAX(0,1+INDEX(配置与结果!$J$15:$J$18,F1452)+IF(T1452&gt;0,方案参数!$BY$43,0)-配置与结果!$B$30)</f>
        <v>1</v>
      </c>
      <c r="AQ1452" s="7">
        <f t="shared" si="1997"/>
        <v>0</v>
      </c>
      <c r="AR1452" s="7">
        <f t="shared" si="1998"/>
        <v>0</v>
      </c>
      <c r="AS1452" s="7">
        <f t="shared" si="1999"/>
        <v>0</v>
      </c>
      <c r="AT1452" s="7">
        <f>0</f>
        <v>0</v>
      </c>
      <c r="AU1452" s="7">
        <f t="shared" si="2000"/>
        <v>14405.458999999999</v>
      </c>
      <c r="AV1452" s="1">
        <f t="shared" si="2001"/>
        <v>1</v>
      </c>
      <c r="AW1452" s="1">
        <f>MIN(10,M1452+0+0)</f>
        <v>4</v>
      </c>
      <c r="AX1452" s="1">
        <f t="shared" si="2002"/>
        <v>0</v>
      </c>
      <c r="AY1452" s="1">
        <f t="shared" si="2049"/>
        <v>6</v>
      </c>
      <c r="AZ1452" s="1">
        <f t="shared" si="2003"/>
        <v>3</v>
      </c>
      <c r="BA1452" s="1">
        <f>MIN(6,Q1452+0)</f>
        <v>2</v>
      </c>
      <c r="BB1452" s="1">
        <f t="shared" si="2042"/>
        <v>5</v>
      </c>
      <c r="BC1452" s="1">
        <f>MIN(3,S1452+1)</f>
        <v>1</v>
      </c>
      <c r="BD1452" s="1">
        <f t="shared" si="2050"/>
        <v>0</v>
      </c>
      <c r="BE1452" s="1">
        <f t="shared" si="2043"/>
        <v>0</v>
      </c>
      <c r="BF1452" s="1">
        <f>MIN(4,V1452+0)</f>
        <v>1</v>
      </c>
      <c r="BG1452" s="1">
        <f t="shared" si="2047"/>
        <v>1</v>
      </c>
      <c r="BH1452" s="1">
        <f t="shared" si="2044"/>
        <v>1</v>
      </c>
      <c r="BI1452" s="1">
        <f t="shared" si="2048"/>
        <v>1</v>
      </c>
      <c r="BJ1452" s="1">
        <f t="shared" si="2018"/>
        <v>0</v>
      </c>
      <c r="BK1452" s="1">
        <f t="shared" si="2019"/>
        <v>0</v>
      </c>
      <c r="BL1452" s="1">
        <f t="shared" si="2024"/>
        <v>0</v>
      </c>
      <c r="BM1452" s="1">
        <f t="shared" si="2022"/>
        <v>0</v>
      </c>
      <c r="BN1452" s="1">
        <f t="shared" si="2045"/>
        <v>1</v>
      </c>
      <c r="BO1452" s="1">
        <f t="shared" si="2046"/>
        <v>1</v>
      </c>
    </row>
    <row r="1453" spans="1:67" ht="30.95" customHeight="1">
      <c r="A1453" s="1">
        <f>40</f>
        <v>40</v>
      </c>
      <c r="B1453" s="1">
        <f>固定流程!A13</f>
        <v>8</v>
      </c>
      <c r="C1453" s="1">
        <f>43</f>
        <v>43</v>
      </c>
      <c r="D1453" s="1">
        <f>1</f>
        <v>1</v>
      </c>
      <c r="E1453" s="1">
        <f>固定流程!C13</f>
        <v>2</v>
      </c>
      <c r="F1453" s="1">
        <f>固定流程!G13</f>
        <v>3</v>
      </c>
      <c r="G1453" s="1" t="str">
        <f>固定流程!H13</f>
        <v>RHI_ATTACK</v>
      </c>
      <c r="H1453" s="1">
        <f>固定流程!F13</f>
        <v>1</v>
      </c>
      <c r="I1453" s="1">
        <f>INDEX(配置与结果!$B$15:$B$18,F1453)</f>
        <v>2597</v>
      </c>
      <c r="J1453" s="1">
        <f>INDEX(配置与结果!$D$15:$D$18,F1453)</f>
        <v>0.255</v>
      </c>
      <c r="K1453" s="1">
        <f>INDEX(配置与结果!$E$15:$E$18,F1453)</f>
        <v>1.55</v>
      </c>
      <c r="L1453" s="1">
        <f>IF(AV1452=1,IF(M1453&gt;=10,2,1),IF(AV1452=2,IF(AX1452&lt;=1,0,2),0))</f>
        <v>1</v>
      </c>
      <c r="M1453" s="1">
        <f>IF(AND(AV1452=2,AX1452&lt;=1),0,MIN(10,AW1452+IF(AV1452=1,3,0)))</f>
        <v>7</v>
      </c>
      <c r="N1453" s="1">
        <f>IF(AND(AV1452=1,M1453&gt;=10),2,IF(AV1452=2,MAX(0,AX1452-1),0))</f>
        <v>0</v>
      </c>
      <c r="O1453" s="1">
        <f t="shared" ref="O1453:O1481" si="2051">AY1452</f>
        <v>6</v>
      </c>
      <c r="P1453" s="1">
        <f>MIN(方案参数!$AI$43,AZ1452+方案参数!$AJ$43+方案参数!$AK$43)</f>
        <v>5</v>
      </c>
      <c r="Q1453" s="1">
        <f t="shared" si="2029"/>
        <v>2</v>
      </c>
      <c r="R1453" s="1">
        <f t="shared" si="2030"/>
        <v>5</v>
      </c>
      <c r="S1453" s="1">
        <f t="shared" si="2031"/>
        <v>1</v>
      </c>
      <c r="T1453" s="1">
        <f t="shared" si="2032"/>
        <v>0</v>
      </c>
      <c r="U1453" s="1">
        <f t="shared" si="2033"/>
        <v>0</v>
      </c>
      <c r="V1453" s="1">
        <f t="shared" si="2034"/>
        <v>1</v>
      </c>
      <c r="W1453" s="1">
        <f t="shared" si="2035"/>
        <v>1</v>
      </c>
      <c r="X1453" s="1">
        <f t="shared" si="2036"/>
        <v>1</v>
      </c>
      <c r="Y1453" s="1">
        <f t="shared" si="2037"/>
        <v>1</v>
      </c>
      <c r="Z1453" s="1">
        <f t="shared" si="2038"/>
        <v>0</v>
      </c>
      <c r="AA1453" s="1">
        <f>MAX(BK1452,1)</f>
        <v>1</v>
      </c>
      <c r="AB1453" s="1">
        <f t="shared" si="2040"/>
        <v>0</v>
      </c>
      <c r="AC1453" s="1">
        <f t="shared" si="2041"/>
        <v>0</v>
      </c>
      <c r="AD1453" s="1">
        <f>ROUNDDOWN(I1453*(1+IF(F1453=3,0.05+方案参数!$Y$43+AA1453*0.12,IF(F1453=4,方案参数!$BZ$43*方案参数!$AS$43,0)))+IF(AND(X1453=1,F1453&lt;&gt;3),方案参数!$CC$43,0)+AC1453*方案参数!$CB$43,0)</f>
        <v>3298</v>
      </c>
      <c r="AE1453" s="1">
        <f>IF(OR(F1453=1,F1453=4),配置与结果!$B$24,配置与结果!$B$25)*MAX(0,1-INDEX(配置与结果!$I$15:$I$18,F1453))</f>
        <v>1000</v>
      </c>
      <c r="AF1453" s="1">
        <f>4</f>
        <v>4</v>
      </c>
      <c r="AG1453" s="1">
        <f>MAX(配置与结果!$B$32,1+INDEX(配置与结果!$F$15:$F$18,F1453)+0+Q1453*方案参数!$W$43+Y1453*(方案参数!$AN$43+MIN(方案参数!$AO$43,P1453*0.03))+AB1453*方案参数!$BZ$43*0.025-配置与结果!$B$28)</f>
        <v>0.97499999999999998</v>
      </c>
      <c r="AH1453" s="1">
        <f>MAX(0,1+INDEX(配置与结果!$G$15:$G$18,F1453)+W1453*方案参数!$AG$43)</f>
        <v>1.3</v>
      </c>
      <c r="AI1453" s="1">
        <f>IF(OR(INDEX(配置与结果!$K$15:$K$18,F1453)=1,G1453="RHI_BERRY"),1+配置与结果!$B$33+P1453*方案参数!$AH$43,1)</f>
        <v>1</v>
      </c>
      <c r="AJ1453" s="1">
        <f>MIN(1,MAX(0,J1453+方案参数!$AB$43-配置与结果!$B$27))</f>
        <v>0.55499999999999994</v>
      </c>
      <c r="AK1453" s="1">
        <f>MAX(1,K1453+IF(F1453=2,0.15+方案参数!$CH$43,0)+BN1453*方案参数!$X$43+R1453*方案参数!$AA$43+0-配置与结果!$B$26+Z1453*(方案参数!$AP$43+MIN(方案参数!$AQ$43,P1453*0.03)))</f>
        <v>1.33</v>
      </c>
      <c r="AL1453" s="7">
        <f>ROUNDDOWN(MAX(AD1453*配置与结果!$B$31,AD1453-AE1453)*AF1453*AG1453*AH1453*AI1453,0)</f>
        <v>11650</v>
      </c>
      <c r="AM1453" s="7">
        <f>ROUNDDOWN(MAX(AD1453*配置与结果!$B$31,AD1453-AE1453)*AF1453*AG1453*AH1453*AI1453*AK1453,0)</f>
        <v>15495</v>
      </c>
      <c r="AN1453" s="7">
        <f t="shared" si="1996"/>
        <v>13783.974999999999</v>
      </c>
      <c r="AO1453" s="7">
        <f>0</f>
        <v>0</v>
      </c>
      <c r="AP1453" s="7">
        <f>MAX(0,1+INDEX(配置与结果!$J$15:$J$18,F1453)+IF(T1453&gt;0,方案参数!$BY$43,0)-配置与结果!$B$30)</f>
        <v>1</v>
      </c>
      <c r="AQ1453" s="7">
        <f t="shared" si="1997"/>
        <v>0</v>
      </c>
      <c r="AR1453" s="7">
        <f t="shared" si="1998"/>
        <v>0</v>
      </c>
      <c r="AS1453" s="7">
        <f t="shared" si="1999"/>
        <v>0</v>
      </c>
      <c r="AT1453" s="7">
        <f>0</f>
        <v>0</v>
      </c>
      <c r="AU1453" s="7">
        <f t="shared" si="2000"/>
        <v>13783.974999999999</v>
      </c>
      <c r="AV1453" s="1">
        <f t="shared" si="2001"/>
        <v>1</v>
      </c>
      <c r="AW1453" s="1">
        <f>MIN(10,M1453+0+0)</f>
        <v>7</v>
      </c>
      <c r="AX1453" s="1">
        <f t="shared" si="2002"/>
        <v>0</v>
      </c>
      <c r="AY1453" s="1">
        <f t="shared" si="2049"/>
        <v>6</v>
      </c>
      <c r="AZ1453" s="1">
        <f t="shared" si="2003"/>
        <v>5</v>
      </c>
      <c r="BA1453" s="1">
        <f>MIN(6,Q1453+1)</f>
        <v>3</v>
      </c>
      <c r="BB1453" s="1">
        <f t="shared" si="2042"/>
        <v>5</v>
      </c>
      <c r="BC1453" s="1">
        <f>MIN(3,S1453+0)</f>
        <v>1</v>
      </c>
      <c r="BD1453" s="1">
        <f t="shared" si="2050"/>
        <v>0</v>
      </c>
      <c r="BE1453" s="1">
        <f t="shared" si="2043"/>
        <v>0</v>
      </c>
      <c r="BF1453" s="1">
        <f>MIN(4,V1453+0)</f>
        <v>1</v>
      </c>
      <c r="BG1453" s="1">
        <f t="shared" si="2047"/>
        <v>1</v>
      </c>
      <c r="BH1453" s="1">
        <f t="shared" si="2044"/>
        <v>1</v>
      </c>
      <c r="BI1453" s="1">
        <f t="shared" si="2048"/>
        <v>1</v>
      </c>
      <c r="BJ1453" s="1">
        <f>MAX(Z1453,1)</f>
        <v>1</v>
      </c>
      <c r="BK1453" s="1">
        <f>MAX(AA1453,1)</f>
        <v>1</v>
      </c>
      <c r="BL1453" s="1">
        <f t="shared" si="2024"/>
        <v>0</v>
      </c>
      <c r="BM1453" s="1">
        <f t="shared" si="2022"/>
        <v>0</v>
      </c>
      <c r="BN1453" s="1">
        <f t="shared" si="2045"/>
        <v>1</v>
      </c>
      <c r="BO1453" s="1">
        <f t="shared" si="2046"/>
        <v>1</v>
      </c>
    </row>
    <row r="1454" spans="1:67" ht="30.95" customHeight="1">
      <c r="A1454" s="1">
        <f>40</f>
        <v>40</v>
      </c>
      <c r="B1454" s="1">
        <f>固定流程!A14</f>
        <v>9</v>
      </c>
      <c r="C1454" s="1">
        <f>43</f>
        <v>43</v>
      </c>
      <c r="D1454" s="1">
        <f>1</f>
        <v>1</v>
      </c>
      <c r="E1454" s="1">
        <f>固定流程!C14</f>
        <v>2</v>
      </c>
      <c r="F1454" s="1">
        <f>固定流程!G14</f>
        <v>1</v>
      </c>
      <c r="G1454" s="1" t="str">
        <f>固定流程!H14</f>
        <v>LILYA_DIVE</v>
      </c>
      <c r="H1454" s="1">
        <f>固定流程!F14</f>
        <v>3</v>
      </c>
      <c r="I1454" s="1">
        <f>INDEX(配置与结果!$B$15:$B$18,F1454)</f>
        <v>2296</v>
      </c>
      <c r="J1454" s="1">
        <f>INDEX(配置与结果!$D$15:$D$18,F1454)</f>
        <v>0.7</v>
      </c>
      <c r="K1454" s="1">
        <f>INDEX(配置与结果!$E$15:$E$18,F1454)</f>
        <v>2.0249999999999999</v>
      </c>
      <c r="L1454" s="1">
        <f t="shared" ref="L1454:N1458" si="2052">AV1453</f>
        <v>1</v>
      </c>
      <c r="M1454" s="1">
        <f t="shared" si="2052"/>
        <v>7</v>
      </c>
      <c r="N1454" s="1">
        <f t="shared" si="2052"/>
        <v>0</v>
      </c>
      <c r="O1454" s="1">
        <f t="shared" si="2051"/>
        <v>6</v>
      </c>
      <c r="P1454" s="1">
        <f>MIN(方案参数!$AI$43,AZ1453+0+0)</f>
        <v>5</v>
      </c>
      <c r="Q1454" s="1">
        <f t="shared" si="2029"/>
        <v>3</v>
      </c>
      <c r="R1454" s="1">
        <f t="shared" si="2030"/>
        <v>5</v>
      </c>
      <c r="S1454" s="1">
        <f t="shared" si="2031"/>
        <v>1</v>
      </c>
      <c r="T1454" s="1">
        <f t="shared" si="2032"/>
        <v>0</v>
      </c>
      <c r="U1454" s="1">
        <f t="shared" si="2033"/>
        <v>0</v>
      </c>
      <c r="V1454" s="1">
        <f t="shared" si="2034"/>
        <v>1</v>
      </c>
      <c r="W1454" s="1">
        <f t="shared" si="2035"/>
        <v>1</v>
      </c>
      <c r="X1454" s="1">
        <f t="shared" si="2036"/>
        <v>1</v>
      </c>
      <c r="Y1454" s="1">
        <f t="shared" si="2037"/>
        <v>1</v>
      </c>
      <c r="Z1454" s="1">
        <f t="shared" si="2038"/>
        <v>1</v>
      </c>
      <c r="AA1454" s="1">
        <f t="shared" ref="AA1454:AA1459" si="2053">MAX(BK1453,0)</f>
        <v>1</v>
      </c>
      <c r="AB1454" s="1">
        <f t="shared" si="2040"/>
        <v>0</v>
      </c>
      <c r="AC1454" s="1">
        <f t="shared" si="2041"/>
        <v>0</v>
      </c>
      <c r="AD1454" s="1">
        <f>ROUNDDOWN(I1454*(1+IF(F1454=3,0.05+方案参数!$Y$43+AA1454*0.12,IF(F1454=4,方案参数!$BZ$43*方案参数!$AS$43,0)))+IF(AND(X1454=1,F1454&lt;&gt;3),方案参数!$CC$43,0)+AC1454*方案参数!$CB$43,0)</f>
        <v>2534</v>
      </c>
      <c r="AE1454" s="1">
        <f>IF(OR(F1454=1,F1454=4),配置与结果!$B$24,配置与结果!$B$25)*MAX(0,1-INDEX(配置与结果!$I$15:$I$18,F1454))</f>
        <v>1200</v>
      </c>
      <c r="AF1454" s="1">
        <f>(IF(L1454=1,方案参数!$AW$43,IF(L1454=2,方案参数!$AX$43,0))+方案参数!$AV$43)*H1454</f>
        <v>18</v>
      </c>
      <c r="AG1454" s="1">
        <f>MAX(配置与结果!$B$32,1+INDEX(配置与结果!$F$15:$F$18,F1454)+0.08+方案参数!$CD$43+Q1454*方案参数!$W$43+Y1454*(方案参数!$AN$43+MIN(方案参数!$AO$43,P1454*0.03))+AB1454*方案参数!$BZ$43*0.025+IF(L1454=1,方案参数!$AY$43+(H1454-1)*0.1,IF(L1454=2,方案参数!$AZ$43+(H1454-1)*0.2,0))-配置与结果!$B$28)</f>
        <v>1.6</v>
      </c>
      <c r="AH1454" s="1">
        <f>MAX(0,1+INDEX(配置与结果!$G$15:$G$18,F1454)+W1454*方案参数!$AG$43+IF(L1454=1,方案参数!$BA$43,IF(L1454=2,方案参数!$BB$43,0))+M1454*方案参数!$BC$43)</f>
        <v>2.3199999999999998</v>
      </c>
      <c r="AI1454" s="1">
        <f>IF(OR(INDEX(配置与结果!$K$15:$K$18,F1454)=1,G1454="RHI_BERRY"),1+配置与结果!$B$33+P1454*方案参数!$AH$43,1)</f>
        <v>1</v>
      </c>
      <c r="AJ1454" s="1">
        <f>MIN(1,MAX(0,J1454+方案参数!$AB$43-配置与结果!$B$27))</f>
        <v>1</v>
      </c>
      <c r="AK1454" s="1">
        <f>MAX(1,K1454+IF(F1454=2,0.15+方案参数!$CH$43,0)+BN1454*方案参数!$X$43+R1454*方案参数!$AA$43+0-配置与结果!$B$26+Z1454*(方案参数!$AP$43+MIN(方案参数!$AQ$43,P1454*0.03)))</f>
        <v>2.105</v>
      </c>
      <c r="AL1454" s="7">
        <f>ROUNDDOWN(MAX(AD1454*配置与结果!$B$31,AD1454-AE1454)*AF1454*AG1454*AH1454*AI1454,0)</f>
        <v>89132</v>
      </c>
      <c r="AM1454" s="7">
        <f>ROUNDDOWN(MAX(AD1454*配置与结果!$B$31,AD1454-AE1454)*AF1454*AG1454*AH1454*AI1454*AK1454,0)</f>
        <v>187624</v>
      </c>
      <c r="AN1454" s="7">
        <f t="shared" si="1996"/>
        <v>187624</v>
      </c>
      <c r="AO1454" s="7">
        <f>0</f>
        <v>0</v>
      </c>
      <c r="AP1454" s="7">
        <f>MAX(0,1+INDEX(配置与结果!$J$15:$J$18,F1454)+IF(T1454&gt;0,方案参数!$BY$43,0)-配置与结果!$B$30)</f>
        <v>1</v>
      </c>
      <c r="AQ1454" s="7">
        <f t="shared" si="1997"/>
        <v>0</v>
      </c>
      <c r="AR1454" s="7">
        <f t="shared" si="1998"/>
        <v>0</v>
      </c>
      <c r="AS1454" s="7">
        <f t="shared" si="1999"/>
        <v>0</v>
      </c>
      <c r="AT1454" s="7">
        <f>0</f>
        <v>0</v>
      </c>
      <c r="AU1454" s="7">
        <f t="shared" si="2000"/>
        <v>187624</v>
      </c>
      <c r="AV1454" s="1">
        <f t="shared" si="2001"/>
        <v>1</v>
      </c>
      <c r="AW1454" s="1">
        <f>MIN(10,M1454+0+IF(L1454=1,方案参数!$BE$43,0))</f>
        <v>8</v>
      </c>
      <c r="AX1454" s="1">
        <f t="shared" si="2002"/>
        <v>0</v>
      </c>
      <c r="AY1454" s="1">
        <f t="shared" si="2049"/>
        <v>6</v>
      </c>
      <c r="AZ1454" s="1">
        <f t="shared" si="2003"/>
        <v>5</v>
      </c>
      <c r="BA1454" s="1">
        <f>MIN(6,Q1454+0)</f>
        <v>3</v>
      </c>
      <c r="BB1454" s="1">
        <f t="shared" si="2042"/>
        <v>5</v>
      </c>
      <c r="BC1454" s="1">
        <f>MIN(3,S1454+0)</f>
        <v>1</v>
      </c>
      <c r="BD1454" s="1">
        <f t="shared" si="2050"/>
        <v>0</v>
      </c>
      <c r="BE1454" s="1">
        <f t="shared" si="2043"/>
        <v>0</v>
      </c>
      <c r="BF1454" s="1">
        <f>MIN(4,V1454+0)</f>
        <v>1</v>
      </c>
      <c r="BG1454" s="1">
        <f t="shared" si="2047"/>
        <v>1</v>
      </c>
      <c r="BH1454" s="1">
        <f t="shared" si="2044"/>
        <v>1</v>
      </c>
      <c r="BI1454" s="1">
        <f t="shared" si="2048"/>
        <v>1</v>
      </c>
      <c r="BJ1454" s="1">
        <f t="shared" ref="BJ1454:BK1459" si="2054">MAX(Z1454,0)</f>
        <v>1</v>
      </c>
      <c r="BK1454" s="1">
        <f t="shared" si="2054"/>
        <v>1</v>
      </c>
      <c r="BL1454" s="1">
        <f t="shared" si="2024"/>
        <v>0</v>
      </c>
      <c r="BM1454" s="1">
        <f t="shared" si="2022"/>
        <v>0</v>
      </c>
      <c r="BN1454" s="1">
        <f t="shared" si="2045"/>
        <v>1</v>
      </c>
      <c r="BO1454" s="1">
        <f t="shared" si="2046"/>
        <v>1</v>
      </c>
    </row>
    <row r="1455" spans="1:67" ht="30.95" customHeight="1">
      <c r="A1455" s="1">
        <f>40</f>
        <v>40</v>
      </c>
      <c r="B1455" s="1">
        <f>固定流程!A15</f>
        <v>10</v>
      </c>
      <c r="C1455" s="1">
        <f>43</f>
        <v>43</v>
      </c>
      <c r="D1455" s="1">
        <f>1</f>
        <v>1</v>
      </c>
      <c r="E1455" s="1">
        <f>固定流程!C15</f>
        <v>2</v>
      </c>
      <c r="F1455" s="1">
        <f>固定流程!G15</f>
        <v>4</v>
      </c>
      <c r="G1455" s="1" t="str">
        <f>固定流程!H15</f>
        <v>J_HARD</v>
      </c>
      <c r="H1455" s="1">
        <f>固定流程!F15</f>
        <v>1</v>
      </c>
      <c r="I1455" s="1">
        <f>INDEX(配置与结果!$B$15:$B$18,F1455)</f>
        <v>1906</v>
      </c>
      <c r="J1455" s="1">
        <f>INDEX(配置与结果!$D$15:$D$18,F1455)</f>
        <v>0.36699999999999999</v>
      </c>
      <c r="K1455" s="1">
        <f>INDEX(配置与结果!$E$15:$E$18,F1455)</f>
        <v>1.7170000000000001</v>
      </c>
      <c r="L1455" s="1">
        <f t="shared" si="2052"/>
        <v>1</v>
      </c>
      <c r="M1455" s="1">
        <f t="shared" si="2052"/>
        <v>8</v>
      </c>
      <c r="N1455" s="1">
        <f t="shared" si="2052"/>
        <v>0</v>
      </c>
      <c r="O1455" s="1">
        <f t="shared" si="2051"/>
        <v>6</v>
      </c>
      <c r="P1455" s="1">
        <f>MIN(方案参数!$AI$43,AZ1454+0+0)</f>
        <v>5</v>
      </c>
      <c r="Q1455" s="1">
        <f t="shared" si="2029"/>
        <v>3</v>
      </c>
      <c r="R1455" s="1">
        <f t="shared" si="2030"/>
        <v>5</v>
      </c>
      <c r="S1455" s="1">
        <f t="shared" si="2031"/>
        <v>1</v>
      </c>
      <c r="T1455" s="1">
        <f t="shared" si="2032"/>
        <v>0</v>
      </c>
      <c r="U1455" s="1">
        <f t="shared" si="2033"/>
        <v>0</v>
      </c>
      <c r="V1455" s="1">
        <f t="shared" si="2034"/>
        <v>1</v>
      </c>
      <c r="W1455" s="1">
        <f t="shared" si="2035"/>
        <v>1</v>
      </c>
      <c r="X1455" s="1">
        <f t="shared" si="2036"/>
        <v>1</v>
      </c>
      <c r="Y1455" s="1">
        <f t="shared" si="2037"/>
        <v>1</v>
      </c>
      <c r="Z1455" s="1">
        <f t="shared" si="2038"/>
        <v>1</v>
      </c>
      <c r="AA1455" s="1">
        <f t="shared" si="2053"/>
        <v>1</v>
      </c>
      <c r="AB1455" s="1">
        <f t="shared" si="2040"/>
        <v>0</v>
      </c>
      <c r="AC1455" s="1">
        <f t="shared" si="2041"/>
        <v>0</v>
      </c>
      <c r="AD1455" s="1">
        <f>ROUNDDOWN(I1455*(1+IF(F1455=3,0.05+方案参数!$Y$43+AA1455*0.12,IF(F1455=4,方案参数!$BZ$43*方案参数!$AS$43,0)))+IF(AND(X1455=1,F1455&lt;&gt;3),方案参数!$CC$43,0)+AC1455*方案参数!$CB$43,0)</f>
        <v>2811</v>
      </c>
      <c r="AE1455" s="1">
        <f>IF(OR(F1455=1,F1455=4),配置与结果!$B$24,配置与结果!$B$25)*MAX(0,1-INDEX(配置与结果!$I$15:$I$18,F1455))</f>
        <v>1200</v>
      </c>
      <c r="AF1455" s="1">
        <f>3.6*IF(H1455=1,1,IF(H1455=2,1.5,2.5))</f>
        <v>3.6</v>
      </c>
      <c r="AG1455" s="1">
        <f>MAX(配置与结果!$B$32,1+INDEX(配置与结果!$F$15:$F$18,F1455)+0.08+Q1455*方案参数!$W$43+Y1455*(方案参数!$AN$43+MIN(方案参数!$AO$43,P1455*0.03))+AB1455*方案参数!$BZ$43*0.025+0.1+IF(方案参数!$BZ$43&gt;=30,方案参数!$BZ$43*0.01,0)-配置与结果!$B$28)</f>
        <v>1.5150000000000001</v>
      </c>
      <c r="AH1455" s="1">
        <f>MAX(0,1+INDEX(配置与结果!$G$15:$G$18,F1455)+W1455*方案参数!$AG$43)</f>
        <v>1.3</v>
      </c>
      <c r="AI1455" s="1">
        <f>IF(OR(INDEX(配置与结果!$K$15:$K$18,F1455)=1,G1455="RHI_BERRY"),1+配置与结果!$B$33+P1455*方案参数!$AH$43,1)</f>
        <v>1</v>
      </c>
      <c r="AJ1455" s="1">
        <f>MIN(1,MAX(0,J1455+方案参数!$AB$43-配置与结果!$B$27))</f>
        <v>0.66700000000000004</v>
      </c>
      <c r="AK1455" s="1">
        <f>MAX(1,K1455+IF(F1455=2,0.15+方案参数!$CH$43,0)+BN1455*方案参数!$X$43+R1455*方案参数!$AA$43+0-配置与结果!$B$26+Z1455*(方案参数!$AP$43+MIN(方案参数!$AQ$43,P1455*0.03)))</f>
        <v>1.7969999999999999</v>
      </c>
      <c r="AL1455" s="7">
        <f>ROUNDDOWN(MAX(AD1455*配置与结果!$B$31,AD1455-AE1455)*AF1455*AG1455*AH1455*AI1455,0)</f>
        <v>11422</v>
      </c>
      <c r="AM1455" s="7">
        <f>ROUNDDOWN(MAX(AD1455*配置与结果!$B$31,AD1455-AE1455)*AF1455*AG1455*AH1455*AI1455*AK1455,0)</f>
        <v>20525</v>
      </c>
      <c r="AN1455" s="7">
        <f t="shared" si="1996"/>
        <v>17493.701000000001</v>
      </c>
      <c r="AO1455" s="7">
        <f>0</f>
        <v>0</v>
      </c>
      <c r="AP1455" s="7">
        <f>MAX(0,1+INDEX(配置与结果!$J$15:$J$18,F1455)+IF(T1455&gt;0,方案参数!$BY$43,0)-配置与结果!$B$30)</f>
        <v>1</v>
      </c>
      <c r="AQ1455" s="7">
        <f t="shared" si="1997"/>
        <v>0</v>
      </c>
      <c r="AR1455" s="7">
        <f t="shared" si="1998"/>
        <v>0</v>
      </c>
      <c r="AS1455" s="7">
        <f t="shared" si="1999"/>
        <v>0</v>
      </c>
      <c r="AT1455" s="7">
        <f>0</f>
        <v>0</v>
      </c>
      <c r="AU1455" s="7">
        <f t="shared" si="2000"/>
        <v>17493.701000000001</v>
      </c>
      <c r="AV1455" s="1">
        <f t="shared" si="2001"/>
        <v>1</v>
      </c>
      <c r="AW1455" s="1">
        <f t="shared" ref="AW1455:AW1465" si="2055">MIN(10,M1455+0+0)</f>
        <v>8</v>
      </c>
      <c r="AX1455" s="1">
        <f t="shared" si="2002"/>
        <v>0</v>
      </c>
      <c r="AY1455" s="1">
        <f t="shared" si="2049"/>
        <v>6</v>
      </c>
      <c r="AZ1455" s="1">
        <f t="shared" si="2003"/>
        <v>5</v>
      </c>
      <c r="BA1455" s="1">
        <f>MIN(6,Q1455+0)</f>
        <v>3</v>
      </c>
      <c r="BB1455" s="1">
        <f t="shared" si="2042"/>
        <v>5</v>
      </c>
      <c r="BC1455" s="1">
        <f>MIN(3,S1455+1)</f>
        <v>2</v>
      </c>
      <c r="BD1455" s="1">
        <f t="shared" si="2050"/>
        <v>0</v>
      </c>
      <c r="BE1455" s="1">
        <f t="shared" si="2043"/>
        <v>0</v>
      </c>
      <c r="BF1455" s="1">
        <f>MIN(4,V1455+0)</f>
        <v>1</v>
      </c>
      <c r="BG1455" s="1">
        <f t="shared" si="2047"/>
        <v>1</v>
      </c>
      <c r="BH1455" s="1">
        <f t="shared" si="2044"/>
        <v>1</v>
      </c>
      <c r="BI1455" s="1">
        <f t="shared" si="2048"/>
        <v>1</v>
      </c>
      <c r="BJ1455" s="1">
        <f t="shared" si="2054"/>
        <v>1</v>
      </c>
      <c r="BK1455" s="1">
        <f t="shared" si="2054"/>
        <v>1</v>
      </c>
      <c r="BL1455" s="1">
        <f t="shared" si="2024"/>
        <v>0</v>
      </c>
      <c r="BM1455" s="1">
        <f t="shared" si="2022"/>
        <v>0</v>
      </c>
      <c r="BN1455" s="1">
        <f t="shared" si="2045"/>
        <v>1</v>
      </c>
      <c r="BO1455" s="1">
        <f t="shared" si="2046"/>
        <v>1</v>
      </c>
    </row>
    <row r="1456" spans="1:67" ht="30.95" customHeight="1">
      <c r="A1456" s="1">
        <f>40</f>
        <v>40</v>
      </c>
      <c r="B1456" s="1">
        <f>固定流程!A16</f>
        <v>11</v>
      </c>
      <c r="C1456" s="1">
        <f>43</f>
        <v>43</v>
      </c>
      <c r="D1456" s="1">
        <f>1</f>
        <v>1</v>
      </c>
      <c r="E1456" s="1">
        <f>固定流程!C16</f>
        <v>2</v>
      </c>
      <c r="F1456" s="1">
        <f>固定流程!G16</f>
        <v>2</v>
      </c>
      <c r="G1456" s="1" t="str">
        <f>固定流程!H16</f>
        <v>37_CURVE</v>
      </c>
      <c r="H1456" s="1">
        <f>固定流程!F16</f>
        <v>1</v>
      </c>
      <c r="I1456" s="1">
        <f>INDEX(配置与结果!$B$15:$B$18,F1456)</f>
        <v>2306</v>
      </c>
      <c r="J1456" s="1">
        <f>INDEX(配置与结果!$D$15:$D$18,F1456)</f>
        <v>0.46</v>
      </c>
      <c r="K1456" s="1">
        <f>INDEX(配置与结果!$E$15:$E$18,F1456)</f>
        <v>1.9279999999999999</v>
      </c>
      <c r="L1456" s="1">
        <f t="shared" si="2052"/>
        <v>1</v>
      </c>
      <c r="M1456" s="1">
        <f t="shared" si="2052"/>
        <v>8</v>
      </c>
      <c r="N1456" s="1">
        <f t="shared" si="2052"/>
        <v>0</v>
      </c>
      <c r="O1456" s="1">
        <f t="shared" si="2051"/>
        <v>6</v>
      </c>
      <c r="P1456" s="1">
        <f>MIN(方案参数!$AI$43,AZ1455+0+0)</f>
        <v>5</v>
      </c>
      <c r="Q1456" s="1">
        <f t="shared" si="2029"/>
        <v>3</v>
      </c>
      <c r="R1456" s="1">
        <f t="shared" si="2030"/>
        <v>5</v>
      </c>
      <c r="S1456" s="1">
        <f t="shared" si="2031"/>
        <v>2</v>
      </c>
      <c r="T1456" s="1">
        <f t="shared" si="2032"/>
        <v>0</v>
      </c>
      <c r="U1456" s="1">
        <f t="shared" si="2033"/>
        <v>0</v>
      </c>
      <c r="V1456" s="1">
        <f t="shared" si="2034"/>
        <v>1</v>
      </c>
      <c r="W1456" s="1">
        <f t="shared" si="2035"/>
        <v>1</v>
      </c>
      <c r="X1456" s="1">
        <f t="shared" si="2036"/>
        <v>1</v>
      </c>
      <c r="Y1456" s="1">
        <f t="shared" si="2037"/>
        <v>1</v>
      </c>
      <c r="Z1456" s="1">
        <f t="shared" si="2038"/>
        <v>1</v>
      </c>
      <c r="AA1456" s="1">
        <f t="shared" si="2053"/>
        <v>1</v>
      </c>
      <c r="AB1456" s="1">
        <f t="shared" si="2040"/>
        <v>0</v>
      </c>
      <c r="AC1456" s="1">
        <f t="shared" si="2041"/>
        <v>0</v>
      </c>
      <c r="AD1456" s="1">
        <f>ROUNDDOWN(I1456*(1+IF(F1456=3,0.05+方案参数!$Y$43+AA1456*0.12,IF(F1456=4,方案参数!$BZ$43*方案参数!$AS$43,0)))+IF(AND(X1456=1,F1456&lt;&gt;3),方案参数!$CC$43,0)+AC1456*方案参数!$CB$43,0)</f>
        <v>2544</v>
      </c>
      <c r="AE1456" s="1">
        <f>IF(OR(F1456=1,F1456=4),配置与结果!$B$24,配置与结果!$B$25)*MAX(0,1-INDEX(配置与结果!$I$15:$I$18,F1456))</f>
        <v>1000</v>
      </c>
      <c r="AF1456" s="1">
        <f>方案参数!$BT$43*IF(H1456=1,1,IF(H1456=2,1.5,2.5))</f>
        <v>1.4</v>
      </c>
      <c r="AG1456" s="1">
        <f>MAX(配置与结果!$B$32,1+INDEX(配置与结果!$F$15:$F$18,F1456)+0+Q1456*方案参数!$W$43+Y1456*(方案参数!$AN$43+MIN(方案参数!$AO$43,P1456*0.03))+AB1456*方案参数!$BZ$43*0.025-配置与结果!$B$28)</f>
        <v>0.96499999999999997</v>
      </c>
      <c r="AH1456" s="1">
        <f>MAX(0,1+INDEX(配置与结果!$G$15:$G$18,F1456)+W1456*方案参数!$AG$43)</f>
        <v>1.3</v>
      </c>
      <c r="AI1456" s="1">
        <f>IF(OR(INDEX(配置与结果!$K$15:$K$18,F1456)=1,G1456="RHI_BERRY"),1+配置与结果!$B$33+P1456*方案参数!$AH$43,1)</f>
        <v>1</v>
      </c>
      <c r="AJ1456" s="1">
        <f>MIN(1,MAX(0,J1456+方案参数!$AB$43-配置与结果!$B$27))</f>
        <v>0.76</v>
      </c>
      <c r="AK1456" s="1">
        <f>MAX(1,K1456+IF(F1456=2,0.15+方案参数!$CH$43,0)+BN1456*方案参数!$X$43+R1456*方案参数!$AA$43+0-配置与结果!$B$26+Z1456*(方案参数!$AP$43+MIN(方案参数!$AQ$43,P1456*0.03)))</f>
        <v>2.278</v>
      </c>
      <c r="AL1456" s="7">
        <f>ROUNDDOWN(MAX(AD1456*配置与结果!$B$31,AD1456-AE1456)*AF1456*AG1456*AH1456*AI1456,0)</f>
        <v>2711</v>
      </c>
      <c r="AM1456" s="7">
        <f>ROUNDDOWN(MAX(AD1456*配置与结果!$B$31,AD1456-AE1456)*AF1456*AG1456*AH1456*AI1456*AK1456,0)</f>
        <v>6177</v>
      </c>
      <c r="AN1456" s="7">
        <f t="shared" si="1996"/>
        <v>5345.1600000000008</v>
      </c>
      <c r="AO1456" s="7">
        <f>方案参数!$BU$43*IF(H1456=1,1,IF(H1456=2,1.5,2.5))</f>
        <v>0.8</v>
      </c>
      <c r="AP1456" s="7">
        <f>MAX(0,1+INDEX(配置与结果!$J$15:$J$18,F1456)+IF(T1456&gt;0,方案参数!$BY$43,0)-配置与结果!$B$30)</f>
        <v>1</v>
      </c>
      <c r="AQ1456" s="7">
        <f t="shared" si="1997"/>
        <v>2035</v>
      </c>
      <c r="AR1456" s="7">
        <f t="shared" si="1998"/>
        <v>4635</v>
      </c>
      <c r="AS1456" s="7">
        <f t="shared" si="1999"/>
        <v>4011</v>
      </c>
      <c r="AT1456" s="7">
        <f>0</f>
        <v>0</v>
      </c>
      <c r="AU1456" s="7">
        <f t="shared" si="2000"/>
        <v>9356.16</v>
      </c>
      <c r="AV1456" s="1">
        <f t="shared" si="2001"/>
        <v>1</v>
      </c>
      <c r="AW1456" s="1">
        <f t="shared" si="2055"/>
        <v>8</v>
      </c>
      <c r="AX1456" s="1">
        <f t="shared" si="2002"/>
        <v>0</v>
      </c>
      <c r="AY1456" s="1">
        <f t="shared" si="2049"/>
        <v>6</v>
      </c>
      <c r="AZ1456" s="1">
        <f t="shared" si="2003"/>
        <v>5</v>
      </c>
      <c r="BA1456" s="1">
        <f>MIN(6,Q1456+0)</f>
        <v>3</v>
      </c>
      <c r="BB1456" s="1">
        <f t="shared" si="2042"/>
        <v>5</v>
      </c>
      <c r="BC1456" s="1">
        <f t="shared" ref="BC1456:BC1462" si="2056">MIN(3,S1456+0)</f>
        <v>2</v>
      </c>
      <c r="BD1456" s="1">
        <f t="shared" si="2050"/>
        <v>0</v>
      </c>
      <c r="BE1456" s="1">
        <f t="shared" si="2043"/>
        <v>0</v>
      </c>
      <c r="BF1456" s="1">
        <f>MIN(4,V1456+0)</f>
        <v>1</v>
      </c>
      <c r="BG1456" s="1">
        <f t="shared" si="2047"/>
        <v>1</v>
      </c>
      <c r="BH1456" s="1">
        <f t="shared" si="2044"/>
        <v>1</v>
      </c>
      <c r="BI1456" s="1">
        <f t="shared" si="2048"/>
        <v>1</v>
      </c>
      <c r="BJ1456" s="1">
        <f t="shared" si="2054"/>
        <v>1</v>
      </c>
      <c r="BK1456" s="1">
        <f t="shared" si="2054"/>
        <v>1</v>
      </c>
      <c r="BL1456" s="1">
        <f t="shared" si="2024"/>
        <v>0</v>
      </c>
      <c r="BM1456" s="1">
        <f t="shared" si="2022"/>
        <v>0</v>
      </c>
      <c r="BN1456" s="1">
        <f t="shared" si="2045"/>
        <v>1</v>
      </c>
      <c r="BO1456" s="1">
        <f t="shared" si="2046"/>
        <v>1</v>
      </c>
    </row>
    <row r="1457" spans="1:67" ht="30.95" customHeight="1">
      <c r="A1457" s="1">
        <f>40</f>
        <v>40</v>
      </c>
      <c r="B1457" s="1">
        <f>固定流程!A17</f>
        <v>12</v>
      </c>
      <c r="C1457" s="1">
        <f>43</f>
        <v>43</v>
      </c>
      <c r="D1457" s="1">
        <f>1</f>
        <v>1</v>
      </c>
      <c r="E1457" s="1">
        <f>固定流程!C17</f>
        <v>2</v>
      </c>
      <c r="F1457" s="1">
        <f>固定流程!G17</f>
        <v>2</v>
      </c>
      <c r="G1457" s="1" t="str">
        <f>固定流程!H17</f>
        <v>37_FOLLOW</v>
      </c>
      <c r="H1457" s="1">
        <f>固定流程!F17</f>
        <v>1</v>
      </c>
      <c r="I1457" s="1">
        <f>INDEX(配置与结果!$B$15:$B$18,F1457)</f>
        <v>2306</v>
      </c>
      <c r="J1457" s="1">
        <f>INDEX(配置与结果!$D$15:$D$18,F1457)</f>
        <v>0.46</v>
      </c>
      <c r="K1457" s="1">
        <f>INDEX(配置与结果!$E$15:$E$18,F1457)</f>
        <v>1.9279999999999999</v>
      </c>
      <c r="L1457" s="1">
        <f t="shared" si="2052"/>
        <v>1</v>
      </c>
      <c r="M1457" s="1">
        <f t="shared" si="2052"/>
        <v>8</v>
      </c>
      <c r="N1457" s="1">
        <f t="shared" si="2052"/>
        <v>0</v>
      </c>
      <c r="O1457" s="1">
        <f t="shared" si="2051"/>
        <v>6</v>
      </c>
      <c r="P1457" s="1">
        <f>MIN(方案参数!$AI$43,AZ1456+0+0)</f>
        <v>5</v>
      </c>
      <c r="Q1457" s="1">
        <f t="shared" si="2029"/>
        <v>3</v>
      </c>
      <c r="R1457" s="1">
        <f t="shared" si="2030"/>
        <v>5</v>
      </c>
      <c r="S1457" s="1">
        <f t="shared" si="2031"/>
        <v>2</v>
      </c>
      <c r="T1457" s="1">
        <f t="shared" si="2032"/>
        <v>0</v>
      </c>
      <c r="U1457" s="1">
        <f t="shared" si="2033"/>
        <v>0</v>
      </c>
      <c r="V1457" s="1">
        <f t="shared" si="2034"/>
        <v>1</v>
      </c>
      <c r="W1457" s="1">
        <f t="shared" si="2035"/>
        <v>1</v>
      </c>
      <c r="X1457" s="1">
        <f t="shared" si="2036"/>
        <v>1</v>
      </c>
      <c r="Y1457" s="1">
        <f t="shared" si="2037"/>
        <v>1</v>
      </c>
      <c r="Z1457" s="1">
        <f t="shared" si="2038"/>
        <v>1</v>
      </c>
      <c r="AA1457" s="1">
        <f t="shared" si="2053"/>
        <v>1</v>
      </c>
      <c r="AB1457" s="1">
        <f t="shared" si="2040"/>
        <v>0</v>
      </c>
      <c r="AC1457" s="1">
        <f t="shared" si="2041"/>
        <v>0</v>
      </c>
      <c r="AD1457" s="1">
        <f>ROUNDDOWN(I1457*(1+IF(F1457=3,0.05+方案参数!$Y$43+AA1457*0.12,IF(F1457=4,方案参数!$BZ$43*方案参数!$AS$43,0)))+IF(AND(X1457=1,F1457&lt;&gt;3),方案参数!$CC$43,0)+AC1457*方案参数!$CB$43,0)</f>
        <v>2544</v>
      </c>
      <c r="AE1457" s="1">
        <f>IF(OR(F1457=1,F1457=4),配置与结果!$B$24,配置与结果!$B$25)*MAX(0,1-INDEX(配置与结果!$I$15:$I$18,F1457))</f>
        <v>1000</v>
      </c>
      <c r="AF1457" s="1">
        <f>方案参数!$BV$43</f>
        <v>3</v>
      </c>
      <c r="AG1457" s="1">
        <f>MAX(配置与结果!$B$32,1+INDEX(配置与结果!$F$15:$F$18,F1457)+0+Q1457*方案参数!$W$43+Y1457*(方案参数!$AN$43+MIN(方案参数!$AO$43,P1457*0.03))+AB1457*方案参数!$BZ$43*0.025-配置与结果!$B$28)</f>
        <v>0.96499999999999997</v>
      </c>
      <c r="AH1457" s="1">
        <f>MAX(0,1+INDEX(配置与结果!$G$15:$G$18,F1457)+W1457*方案参数!$AG$43)</f>
        <v>1.3</v>
      </c>
      <c r="AI1457" s="1">
        <f>IF(OR(INDEX(配置与结果!$K$15:$K$18,F1457)=1,G1457="RHI_BERRY"),1+配置与结果!$B$33+P1457*方案参数!$AH$43,1)</f>
        <v>1</v>
      </c>
      <c r="AJ1457" s="1">
        <f>MIN(1,MAX(0,J1457+方案参数!$AB$43-配置与结果!$B$27))</f>
        <v>0.76</v>
      </c>
      <c r="AK1457" s="1">
        <f>MAX(1,K1457+IF(F1457=2,0.15+方案参数!$CH$43,0)+BN1457*方案参数!$X$43+R1457*方案参数!$AA$43+0-配置与结果!$B$26+Z1457*(方案参数!$AP$43+MIN(方案参数!$AQ$43,P1457*0.03)))</f>
        <v>2.278</v>
      </c>
      <c r="AL1457" s="7">
        <f>ROUNDDOWN(MAX(AD1457*配置与结果!$B$31,AD1457-AE1457)*AF1457*AG1457*AH1457*AI1457,0)</f>
        <v>5810</v>
      </c>
      <c r="AM1457" s="7">
        <f>ROUNDDOWN(MAX(AD1457*配置与结果!$B$31,AD1457-AE1457)*AF1457*AG1457*AH1457*AI1457*AK1457,0)</f>
        <v>13237</v>
      </c>
      <c r="AN1457" s="7">
        <f t="shared" si="1996"/>
        <v>11454.52</v>
      </c>
      <c r="AO1457" s="7">
        <f>方案参数!$BW$43</f>
        <v>1</v>
      </c>
      <c r="AP1457" s="7">
        <f>MAX(0,1+INDEX(配置与结果!$J$15:$J$18,F1457)+IF(T1457&gt;0,方案参数!$BY$43,0)-配置与结果!$B$30)</f>
        <v>1</v>
      </c>
      <c r="AQ1457" s="7">
        <f t="shared" si="1997"/>
        <v>2544</v>
      </c>
      <c r="AR1457" s="7">
        <f t="shared" si="1998"/>
        <v>5795</v>
      </c>
      <c r="AS1457" s="7">
        <f t="shared" si="1999"/>
        <v>5014.76</v>
      </c>
      <c r="AT1457" s="7">
        <f>0</f>
        <v>0</v>
      </c>
      <c r="AU1457" s="7">
        <f t="shared" si="2000"/>
        <v>16469.28</v>
      </c>
      <c r="AV1457" s="1">
        <f t="shared" si="2001"/>
        <v>1</v>
      </c>
      <c r="AW1457" s="1">
        <f t="shared" si="2055"/>
        <v>8</v>
      </c>
      <c r="AX1457" s="1">
        <f t="shared" si="2002"/>
        <v>0</v>
      </c>
      <c r="AY1457" s="1">
        <f t="shared" si="2049"/>
        <v>6</v>
      </c>
      <c r="AZ1457" s="1">
        <f t="shared" si="2003"/>
        <v>5</v>
      </c>
      <c r="BA1457" s="1">
        <f>MIN(6,Q1457+0)</f>
        <v>3</v>
      </c>
      <c r="BB1457" s="1">
        <f t="shared" si="2042"/>
        <v>5</v>
      </c>
      <c r="BC1457" s="1">
        <f t="shared" si="2056"/>
        <v>2</v>
      </c>
      <c r="BD1457" s="1">
        <f t="shared" si="2050"/>
        <v>0</v>
      </c>
      <c r="BE1457" s="1">
        <f t="shared" si="2043"/>
        <v>0</v>
      </c>
      <c r="BF1457" s="1">
        <f>MIN(4,V1457+1)</f>
        <v>2</v>
      </c>
      <c r="BG1457" s="1">
        <f t="shared" si="2047"/>
        <v>1</v>
      </c>
      <c r="BH1457" s="1">
        <f t="shared" si="2044"/>
        <v>1</v>
      </c>
      <c r="BI1457" s="1">
        <f t="shared" si="2048"/>
        <v>1</v>
      </c>
      <c r="BJ1457" s="1">
        <f t="shared" si="2054"/>
        <v>1</v>
      </c>
      <c r="BK1457" s="1">
        <f t="shared" si="2054"/>
        <v>1</v>
      </c>
      <c r="BL1457" s="1">
        <f t="shared" si="2024"/>
        <v>0</v>
      </c>
      <c r="BM1457" s="1">
        <f t="shared" si="2022"/>
        <v>0</v>
      </c>
      <c r="BN1457" s="1">
        <f t="shared" si="2045"/>
        <v>1</v>
      </c>
      <c r="BO1457" s="1">
        <f t="shared" si="2046"/>
        <v>1</v>
      </c>
    </row>
    <row r="1458" spans="1:67" ht="30.95" customHeight="1">
      <c r="A1458" s="1">
        <f>40</f>
        <v>40</v>
      </c>
      <c r="B1458" s="1">
        <f>固定流程!A18</f>
        <v>13</v>
      </c>
      <c r="C1458" s="1">
        <f>43</f>
        <v>43</v>
      </c>
      <c r="D1458" s="1">
        <f>1</f>
        <v>1</v>
      </c>
      <c r="E1458" s="1">
        <f>固定流程!C18</f>
        <v>2</v>
      </c>
      <c r="F1458" s="1">
        <f>固定流程!G18</f>
        <v>3</v>
      </c>
      <c r="G1458" s="1" t="str">
        <f>固定流程!H18</f>
        <v>RHI_BERRY</v>
      </c>
      <c r="H1458" s="1">
        <f>固定流程!F18</f>
        <v>1</v>
      </c>
      <c r="I1458" s="1">
        <f>INDEX(配置与结果!$B$15:$B$18,F1458)</f>
        <v>2597</v>
      </c>
      <c r="J1458" s="1">
        <f>INDEX(配置与结果!$D$15:$D$18,F1458)</f>
        <v>0.255</v>
      </c>
      <c r="K1458" s="1">
        <f>INDEX(配置与结果!$E$15:$E$18,F1458)</f>
        <v>1.55</v>
      </c>
      <c r="L1458" s="1">
        <f t="shared" si="2052"/>
        <v>1</v>
      </c>
      <c r="M1458" s="1">
        <f t="shared" si="2052"/>
        <v>8</v>
      </c>
      <c r="N1458" s="1">
        <f t="shared" si="2052"/>
        <v>0</v>
      </c>
      <c r="O1458" s="1">
        <f t="shared" si="2051"/>
        <v>6</v>
      </c>
      <c r="P1458" s="1">
        <f>MIN(方案参数!$AI$43,AZ1457+0+0)</f>
        <v>5</v>
      </c>
      <c r="Q1458" s="1">
        <f t="shared" si="2029"/>
        <v>3</v>
      </c>
      <c r="R1458" s="1">
        <f t="shared" si="2030"/>
        <v>5</v>
      </c>
      <c r="S1458" s="1">
        <f t="shared" si="2031"/>
        <v>2</v>
      </c>
      <c r="T1458" s="1">
        <f t="shared" si="2032"/>
        <v>0</v>
      </c>
      <c r="U1458" s="1">
        <f t="shared" si="2033"/>
        <v>0</v>
      </c>
      <c r="V1458" s="1">
        <f t="shared" si="2034"/>
        <v>2</v>
      </c>
      <c r="W1458" s="1">
        <f t="shared" si="2035"/>
        <v>1</v>
      </c>
      <c r="X1458" s="1">
        <f t="shared" si="2036"/>
        <v>1</v>
      </c>
      <c r="Y1458" s="1">
        <f t="shared" si="2037"/>
        <v>1</v>
      </c>
      <c r="Z1458" s="1">
        <f t="shared" si="2038"/>
        <v>1</v>
      </c>
      <c r="AA1458" s="1">
        <f t="shared" si="2053"/>
        <v>1</v>
      </c>
      <c r="AB1458" s="1">
        <f t="shared" si="2040"/>
        <v>0</v>
      </c>
      <c r="AC1458" s="1">
        <f t="shared" si="2041"/>
        <v>0</v>
      </c>
      <c r="AD1458" s="1">
        <f>ROUNDDOWN(I1458*(1+IF(F1458=3,0.05+方案参数!$Y$43+AA1458*0.12,IF(F1458=4,方案参数!$BZ$43*方案参数!$AS$43,0)))+IF(AND(X1458=1,F1458&lt;&gt;3),方案参数!$CC$43,0)+AC1458*方案参数!$CB$43,0)</f>
        <v>3298</v>
      </c>
      <c r="AE1458" s="1">
        <f>IF(OR(F1458=1,F1458=4),配置与结果!$B$24,配置与结果!$B$25)*MAX(0,1-INDEX(配置与结果!$I$15:$I$18,F1458))</f>
        <v>1000</v>
      </c>
      <c r="AF1458" s="1">
        <f>方案参数!$CF$43+P1458*方案参数!$CG$43</f>
        <v>22.5</v>
      </c>
      <c r="AG1458" s="1">
        <f>MAX(配置与结果!$B$32,1+INDEX(配置与结果!$F$15:$F$18,F1458)+0+Q1458*方案参数!$W$43+Y1458*(方案参数!$AN$43+MIN(方案参数!$AO$43,P1458*0.03))+AB1458*方案参数!$BZ$43*0.025-配置与结果!$B$28)</f>
        <v>0.995</v>
      </c>
      <c r="AH1458" s="1">
        <f>MAX(0,1+INDEX(配置与结果!$G$15:$G$18,F1458)+W1458*方案参数!$AG$43)</f>
        <v>1.3</v>
      </c>
      <c r="AI1458" s="1">
        <f>IF(OR(INDEX(配置与结果!$K$15:$K$18,F1458)=1,G1458="RHI_BERRY"),1+配置与结果!$B$33+P1458*方案参数!$AH$43,1)</f>
        <v>1.5</v>
      </c>
      <c r="AJ1458" s="1">
        <f>MIN(1,MAX(0,J1458+方案参数!$AB$43-配置与结果!$B$27))</f>
        <v>0.55499999999999994</v>
      </c>
      <c r="AK1458" s="1">
        <f>MAX(1,K1458+IF(F1458=2,0.15+方案参数!$CH$43,0)+BN1458*方案参数!$X$43+R1458*方案参数!$AA$43+0-配置与结果!$B$26+Z1458*(方案参数!$AP$43+MIN(方案参数!$AQ$43,P1458*0.03)))</f>
        <v>1.6300000000000001</v>
      </c>
      <c r="AL1458" s="7">
        <f>ROUNDDOWN(MAX(AD1458*配置与结果!$B$31,AD1458-AE1458)*AF1458*AG1458*AH1458*AI1458,0)</f>
        <v>100320</v>
      </c>
      <c r="AM1458" s="7">
        <f>ROUNDDOWN(MAX(AD1458*配置与结果!$B$31,AD1458-AE1458)*AF1458*AG1458*AH1458*AI1458*AK1458,0)</f>
        <v>163522</v>
      </c>
      <c r="AN1458" s="7">
        <f t="shared" si="1996"/>
        <v>135397.10999999999</v>
      </c>
      <c r="AO1458" s="7">
        <f>0</f>
        <v>0</v>
      </c>
      <c r="AP1458" s="7">
        <f>MAX(0,1+INDEX(配置与结果!$J$15:$J$18,F1458)+IF(T1458&gt;0,方案参数!$BY$43,0)-配置与结果!$B$30)</f>
        <v>1</v>
      </c>
      <c r="AQ1458" s="7">
        <f t="shared" si="1997"/>
        <v>0</v>
      </c>
      <c r="AR1458" s="7">
        <f t="shared" si="1998"/>
        <v>0</v>
      </c>
      <c r="AS1458" s="7">
        <f t="shared" si="1999"/>
        <v>0</v>
      </c>
      <c r="AT1458" s="7">
        <f>0</f>
        <v>0</v>
      </c>
      <c r="AU1458" s="7">
        <f t="shared" si="2000"/>
        <v>135397.10999999999</v>
      </c>
      <c r="AV1458" s="1">
        <f t="shared" si="2001"/>
        <v>1</v>
      </c>
      <c r="AW1458" s="1">
        <f t="shared" si="2055"/>
        <v>8</v>
      </c>
      <c r="AX1458" s="1">
        <f t="shared" si="2002"/>
        <v>0</v>
      </c>
      <c r="AY1458" s="1">
        <f t="shared" si="2049"/>
        <v>6</v>
      </c>
      <c r="AZ1458" s="1">
        <f t="shared" si="2003"/>
        <v>5</v>
      </c>
      <c r="BA1458" s="1">
        <f>MIN(6,Q1458+0)</f>
        <v>3</v>
      </c>
      <c r="BB1458" s="1">
        <f t="shared" si="2042"/>
        <v>5</v>
      </c>
      <c r="BC1458" s="1">
        <f t="shared" si="2056"/>
        <v>2</v>
      </c>
      <c r="BD1458" s="1">
        <f t="shared" si="2050"/>
        <v>0</v>
      </c>
      <c r="BE1458" s="1">
        <f t="shared" si="2043"/>
        <v>0</v>
      </c>
      <c r="BF1458" s="1">
        <f>MIN(4,V1458+0)</f>
        <v>2</v>
      </c>
      <c r="BG1458" s="1">
        <f t="shared" si="2047"/>
        <v>1</v>
      </c>
      <c r="BH1458" s="1">
        <f t="shared" si="2044"/>
        <v>1</v>
      </c>
      <c r="BI1458" s="1">
        <f t="shared" si="2048"/>
        <v>1</v>
      </c>
      <c r="BJ1458" s="1">
        <f t="shared" si="2054"/>
        <v>1</v>
      </c>
      <c r="BK1458" s="1">
        <f t="shared" si="2054"/>
        <v>1</v>
      </c>
      <c r="BL1458" s="1">
        <f t="shared" si="2024"/>
        <v>0</v>
      </c>
      <c r="BM1458" s="1">
        <f t="shared" si="2022"/>
        <v>0</v>
      </c>
      <c r="BN1458" s="1">
        <f t="shared" si="2045"/>
        <v>1</v>
      </c>
      <c r="BO1458" s="1">
        <f t="shared" si="2046"/>
        <v>1</v>
      </c>
    </row>
    <row r="1459" spans="1:67" ht="30.95" customHeight="1">
      <c r="A1459" s="1">
        <f>40</f>
        <v>40</v>
      </c>
      <c r="B1459" s="1">
        <f>固定流程!A19</f>
        <v>14</v>
      </c>
      <c r="C1459" s="1">
        <f>43</f>
        <v>43</v>
      </c>
      <c r="D1459" s="1">
        <f>1</f>
        <v>1</v>
      </c>
      <c r="E1459" s="1">
        <f>固定流程!C19</f>
        <v>3</v>
      </c>
      <c r="F1459" s="1">
        <f>固定流程!G19</f>
        <v>3</v>
      </c>
      <c r="G1459" s="1" t="str">
        <f>固定流程!H19</f>
        <v>RHI_BUFF</v>
      </c>
      <c r="H1459" s="1">
        <f>固定流程!F19</f>
        <v>1</v>
      </c>
      <c r="I1459" s="1">
        <f>INDEX(配置与结果!$B$15:$B$18,F1459)</f>
        <v>2597</v>
      </c>
      <c r="J1459" s="1">
        <f>INDEX(配置与结果!$D$15:$D$18,F1459)</f>
        <v>0.255</v>
      </c>
      <c r="K1459" s="1">
        <f>INDEX(配置与结果!$E$15:$E$18,F1459)</f>
        <v>1.55</v>
      </c>
      <c r="L1459" s="1">
        <f>IF(AV1458=1,IF(M1459&gt;=10,2,1),IF(AV1458=2,IF(AX1458&lt;=1,0,2),0))</f>
        <v>2</v>
      </c>
      <c r="M1459" s="1">
        <f>IF(AND(AV1458=2,AX1458&lt;=1),0,MIN(10,AW1458+IF(AV1458=1,3,0)))</f>
        <v>10</v>
      </c>
      <c r="N1459" s="1">
        <f>IF(AND(AV1458=1,M1459&gt;=10),2,IF(AV1458=2,MAX(0,AX1458-1),0))</f>
        <v>2</v>
      </c>
      <c r="O1459" s="1">
        <f t="shared" si="2051"/>
        <v>6</v>
      </c>
      <c r="P1459" s="1">
        <f>MIN(方案参数!$AI$43,AZ1458+方案参数!$AJ$43+方案参数!$AK$43)</f>
        <v>5</v>
      </c>
      <c r="Q1459" s="1">
        <f t="shared" si="2029"/>
        <v>3</v>
      </c>
      <c r="R1459" s="1">
        <f t="shared" si="2030"/>
        <v>5</v>
      </c>
      <c r="S1459" s="1">
        <f t="shared" si="2031"/>
        <v>2</v>
      </c>
      <c r="T1459" s="1">
        <f t="shared" si="2032"/>
        <v>0</v>
      </c>
      <c r="U1459" s="1">
        <f t="shared" si="2033"/>
        <v>0</v>
      </c>
      <c r="V1459" s="1">
        <f t="shared" si="2034"/>
        <v>2</v>
      </c>
      <c r="W1459" s="1">
        <f t="shared" si="2035"/>
        <v>1</v>
      </c>
      <c r="X1459" s="1">
        <f t="shared" si="2036"/>
        <v>1</v>
      </c>
      <c r="Y1459" s="1">
        <f t="shared" si="2037"/>
        <v>1</v>
      </c>
      <c r="Z1459" s="1">
        <f t="shared" si="2038"/>
        <v>1</v>
      </c>
      <c r="AA1459" s="1">
        <f t="shared" si="2053"/>
        <v>1</v>
      </c>
      <c r="AB1459" s="1">
        <f t="shared" si="2040"/>
        <v>0</v>
      </c>
      <c r="AC1459" s="1">
        <f t="shared" si="2041"/>
        <v>0</v>
      </c>
      <c r="AD1459" s="1">
        <f>ROUNDDOWN(I1459*(1+IF(F1459=3,0.05+方案参数!$Y$43+AA1459*0.12,IF(F1459=4,方案参数!$BZ$43*方案参数!$AS$43,0)))+IF(AND(X1459=1,F1459&lt;&gt;3),方案参数!$CC$43,0)+AC1459*方案参数!$CB$43,0)</f>
        <v>3298</v>
      </c>
      <c r="AE1459" s="1">
        <f>IF(OR(F1459=1,F1459=4),配置与结果!$B$24,配置与结果!$B$25)*MAX(0,1-INDEX(配置与结果!$I$15:$I$18,F1459))</f>
        <v>1000</v>
      </c>
      <c r="AF1459" s="1">
        <f>0</f>
        <v>0</v>
      </c>
      <c r="AG1459" s="1">
        <f>MAX(配置与结果!$B$32,1+INDEX(配置与结果!$F$15:$F$18,F1459)+0+Q1459*方案参数!$W$43+Y1459*(方案参数!$AN$43+MIN(方案参数!$AO$43,P1459*0.03))+AB1459*方案参数!$BZ$43*0.025-配置与结果!$B$28)</f>
        <v>0.995</v>
      </c>
      <c r="AH1459" s="1">
        <f>MAX(0,1+INDEX(配置与结果!$G$15:$G$18,F1459)+W1459*方案参数!$AG$43)</f>
        <v>1.3</v>
      </c>
      <c r="AI1459" s="1">
        <f>IF(OR(INDEX(配置与结果!$K$15:$K$18,F1459)=1,G1459="RHI_BERRY"),1+配置与结果!$B$33+P1459*方案参数!$AH$43,1)</f>
        <v>1</v>
      </c>
      <c r="AJ1459" s="1">
        <f>MIN(1,MAX(0,J1459+方案参数!$AB$43-配置与结果!$B$27))</f>
        <v>0.55499999999999994</v>
      </c>
      <c r="AK1459" s="1">
        <f>MAX(1,K1459+IF(F1459=2,0.15+方案参数!$CH$43,0)+BN1459*方案参数!$X$43+R1459*方案参数!$AA$43+0-配置与结果!$B$26+Z1459*(方案参数!$AP$43+MIN(方案参数!$AQ$43,P1459*0.03)))</f>
        <v>1.6300000000000001</v>
      </c>
      <c r="AL1459" s="7">
        <f>ROUNDDOWN(MAX(AD1459*配置与结果!$B$31,AD1459-AE1459)*AF1459*AG1459*AH1459*AI1459,0)</f>
        <v>0</v>
      </c>
      <c r="AM1459" s="7">
        <f>ROUNDDOWN(MAX(AD1459*配置与结果!$B$31,AD1459-AE1459)*AF1459*AG1459*AH1459*AI1459*AK1459,0)</f>
        <v>0</v>
      </c>
      <c r="AN1459" s="7">
        <f t="shared" si="1996"/>
        <v>0</v>
      </c>
      <c r="AO1459" s="7">
        <f>0</f>
        <v>0</v>
      </c>
      <c r="AP1459" s="7">
        <f>MAX(0,1+INDEX(配置与结果!$J$15:$J$18,F1459)+IF(T1459&gt;0,方案参数!$BY$43,0)-配置与结果!$B$30)</f>
        <v>1</v>
      </c>
      <c r="AQ1459" s="7">
        <f t="shared" si="1997"/>
        <v>0</v>
      </c>
      <c r="AR1459" s="7">
        <f t="shared" si="1998"/>
        <v>0</v>
      </c>
      <c r="AS1459" s="7">
        <f t="shared" si="1999"/>
        <v>0</v>
      </c>
      <c r="AT1459" s="7">
        <f>0</f>
        <v>0</v>
      </c>
      <c r="AU1459" s="7">
        <f t="shared" si="2000"/>
        <v>0</v>
      </c>
      <c r="AV1459" s="1">
        <f t="shared" si="2001"/>
        <v>2</v>
      </c>
      <c r="AW1459" s="1">
        <f t="shared" si="2055"/>
        <v>10</v>
      </c>
      <c r="AX1459" s="1">
        <f t="shared" si="2002"/>
        <v>2</v>
      </c>
      <c r="AY1459" s="1">
        <f t="shared" si="2049"/>
        <v>6</v>
      </c>
      <c r="AZ1459" s="1">
        <f t="shared" si="2003"/>
        <v>5</v>
      </c>
      <c r="BA1459" s="1">
        <f>MIN(6,Q1459+1)</f>
        <v>4</v>
      </c>
      <c r="BB1459" s="1">
        <f t="shared" si="2042"/>
        <v>5</v>
      </c>
      <c r="BC1459" s="1">
        <f t="shared" si="2056"/>
        <v>2</v>
      </c>
      <c r="BD1459" s="1">
        <f t="shared" si="2050"/>
        <v>0</v>
      </c>
      <c r="BE1459" s="1">
        <f t="shared" si="2043"/>
        <v>0</v>
      </c>
      <c r="BF1459" s="1">
        <f>MIN(4,V1459+0)</f>
        <v>2</v>
      </c>
      <c r="BG1459" s="1">
        <f>MAX(W1459,1)</f>
        <v>1</v>
      </c>
      <c r="BH1459" s="1">
        <f t="shared" si="2044"/>
        <v>1</v>
      </c>
      <c r="BI1459" s="1">
        <f>MAX(Y1459,1)</f>
        <v>1</v>
      </c>
      <c r="BJ1459" s="1">
        <f t="shared" si="2054"/>
        <v>1</v>
      </c>
      <c r="BK1459" s="1">
        <f t="shared" si="2054"/>
        <v>1</v>
      </c>
      <c r="BL1459" s="1">
        <f t="shared" si="2024"/>
        <v>0</v>
      </c>
      <c r="BM1459" s="1">
        <f t="shared" si="2022"/>
        <v>0</v>
      </c>
      <c r="BN1459" s="1">
        <f t="shared" si="2045"/>
        <v>1</v>
      </c>
      <c r="BO1459" s="1">
        <f t="shared" si="2046"/>
        <v>1</v>
      </c>
    </row>
    <row r="1460" spans="1:67" ht="30.95" customHeight="1">
      <c r="A1460" s="1">
        <f>40</f>
        <v>40</v>
      </c>
      <c r="B1460" s="1">
        <f>固定流程!A20</f>
        <v>15</v>
      </c>
      <c r="C1460" s="1">
        <f>43</f>
        <v>43</v>
      </c>
      <c r="D1460" s="1">
        <f>1</f>
        <v>1</v>
      </c>
      <c r="E1460" s="1">
        <f>固定流程!C20</f>
        <v>3</v>
      </c>
      <c r="F1460" s="1">
        <f>固定流程!G20</f>
        <v>3</v>
      </c>
      <c r="G1460" s="1" t="str">
        <f>固定流程!H20</f>
        <v>RHI_ATTACK</v>
      </c>
      <c r="H1460" s="1">
        <f>固定流程!F20</f>
        <v>1</v>
      </c>
      <c r="I1460" s="1">
        <f>INDEX(配置与结果!$B$15:$B$18,F1460)</f>
        <v>2597</v>
      </c>
      <c r="J1460" s="1">
        <f>INDEX(配置与结果!$D$15:$D$18,F1460)</f>
        <v>0.255</v>
      </c>
      <c r="K1460" s="1">
        <f>INDEX(配置与结果!$E$15:$E$18,F1460)</f>
        <v>1.55</v>
      </c>
      <c r="L1460" s="1">
        <f t="shared" ref="L1460:L1481" si="2057">AV1459</f>
        <v>2</v>
      </c>
      <c r="M1460" s="1">
        <f t="shared" ref="M1460:M1481" si="2058">AW1459</f>
        <v>10</v>
      </c>
      <c r="N1460" s="1">
        <f t="shared" ref="N1460:N1481" si="2059">AX1459</f>
        <v>2</v>
      </c>
      <c r="O1460" s="1">
        <f t="shared" si="2051"/>
        <v>6</v>
      </c>
      <c r="P1460" s="1">
        <f>MIN(方案参数!$AI$43,AZ1459+0+方案参数!$AK$43)</f>
        <v>5</v>
      </c>
      <c r="Q1460" s="1">
        <f t="shared" si="2029"/>
        <v>4</v>
      </c>
      <c r="R1460" s="1">
        <f t="shared" si="2030"/>
        <v>5</v>
      </c>
      <c r="S1460" s="1">
        <f t="shared" si="2031"/>
        <v>2</v>
      </c>
      <c r="T1460" s="1">
        <f t="shared" si="2032"/>
        <v>0</v>
      </c>
      <c r="U1460" s="1">
        <f t="shared" si="2033"/>
        <v>0</v>
      </c>
      <c r="V1460" s="1">
        <f t="shared" si="2034"/>
        <v>2</v>
      </c>
      <c r="W1460" s="1">
        <f t="shared" si="2035"/>
        <v>1</v>
      </c>
      <c r="X1460" s="1">
        <f t="shared" si="2036"/>
        <v>1</v>
      </c>
      <c r="Y1460" s="1">
        <f t="shared" si="2037"/>
        <v>1</v>
      </c>
      <c r="Z1460" s="1">
        <f t="shared" si="2038"/>
        <v>1</v>
      </c>
      <c r="AA1460" s="1">
        <f>MAX(BK1459,1)</f>
        <v>1</v>
      </c>
      <c r="AB1460" s="1">
        <f t="shared" si="2040"/>
        <v>0</v>
      </c>
      <c r="AC1460" s="1">
        <f t="shared" si="2041"/>
        <v>0</v>
      </c>
      <c r="AD1460" s="1">
        <f>ROUNDDOWN(I1460*(1+IF(F1460=3,0.05+方案参数!$Y$43+AA1460*0.12,IF(F1460=4,方案参数!$BZ$43*方案参数!$AS$43,0)))+IF(AND(X1460=1,F1460&lt;&gt;3),方案参数!$CC$43,0)+AC1460*方案参数!$CB$43,0)</f>
        <v>3298</v>
      </c>
      <c r="AE1460" s="1">
        <f>IF(OR(F1460=1,F1460=4),配置与结果!$B$24,配置与结果!$B$25)*MAX(0,1-INDEX(配置与结果!$I$15:$I$18,F1460))</f>
        <v>1000</v>
      </c>
      <c r="AF1460" s="1">
        <f>4</f>
        <v>4</v>
      </c>
      <c r="AG1460" s="1">
        <f>MAX(配置与结果!$B$32,1+INDEX(配置与结果!$F$15:$F$18,F1460)+0+Q1460*方案参数!$W$43+Y1460*(方案参数!$AN$43+MIN(方案参数!$AO$43,P1460*0.03))+AB1460*方案参数!$BZ$43*0.025-配置与结果!$B$28)</f>
        <v>1.0150000000000001</v>
      </c>
      <c r="AH1460" s="1">
        <f>MAX(0,1+INDEX(配置与结果!$G$15:$G$18,F1460)+W1460*方案参数!$AG$43)</f>
        <v>1.3</v>
      </c>
      <c r="AI1460" s="1">
        <f>IF(OR(INDEX(配置与结果!$K$15:$K$18,F1460)=1,G1460="RHI_BERRY"),1+配置与结果!$B$33+P1460*方案参数!$AH$43,1)</f>
        <v>1</v>
      </c>
      <c r="AJ1460" s="1">
        <f>MIN(1,MAX(0,J1460+方案参数!$AB$43-配置与结果!$B$27))</f>
        <v>0.55499999999999994</v>
      </c>
      <c r="AK1460" s="1">
        <f>MAX(1,K1460+IF(F1460=2,0.15+方案参数!$CH$43,0)+BN1460*方案参数!$X$43+R1460*方案参数!$AA$43+0-配置与结果!$B$26+Z1460*(方案参数!$AP$43+MIN(方案参数!$AQ$43,P1460*0.03)))</f>
        <v>1.6300000000000001</v>
      </c>
      <c r="AL1460" s="7">
        <f>ROUNDDOWN(MAX(AD1460*配置与结果!$B$31,AD1460-AE1460)*AF1460*AG1460*AH1460*AI1460,0)</f>
        <v>12128</v>
      </c>
      <c r="AM1460" s="7">
        <f>ROUNDDOWN(MAX(AD1460*配置与结果!$B$31,AD1460-AE1460)*AF1460*AG1460*AH1460*AI1460*AK1460,0)</f>
        <v>19770</v>
      </c>
      <c r="AN1460" s="7">
        <f t="shared" si="1996"/>
        <v>16369.31</v>
      </c>
      <c r="AO1460" s="7">
        <f>0</f>
        <v>0</v>
      </c>
      <c r="AP1460" s="7">
        <f>MAX(0,1+INDEX(配置与结果!$J$15:$J$18,F1460)+IF(T1460&gt;0,方案参数!$BY$43,0)-配置与结果!$B$30)</f>
        <v>1</v>
      </c>
      <c r="AQ1460" s="7">
        <f t="shared" si="1997"/>
        <v>0</v>
      </c>
      <c r="AR1460" s="7">
        <f t="shared" si="1998"/>
        <v>0</v>
      </c>
      <c r="AS1460" s="7">
        <f t="shared" si="1999"/>
        <v>0</v>
      </c>
      <c r="AT1460" s="7">
        <f>0</f>
        <v>0</v>
      </c>
      <c r="AU1460" s="7">
        <f t="shared" si="2000"/>
        <v>16369.31</v>
      </c>
      <c r="AV1460" s="1">
        <f t="shared" si="2001"/>
        <v>2</v>
      </c>
      <c r="AW1460" s="1">
        <f t="shared" si="2055"/>
        <v>10</v>
      </c>
      <c r="AX1460" s="1">
        <f t="shared" si="2002"/>
        <v>2</v>
      </c>
      <c r="AY1460" s="1">
        <f t="shared" si="2049"/>
        <v>6</v>
      </c>
      <c r="AZ1460" s="1">
        <f t="shared" si="2003"/>
        <v>5</v>
      </c>
      <c r="BA1460" s="1">
        <f>MIN(6,Q1460+1)</f>
        <v>5</v>
      </c>
      <c r="BB1460" s="1">
        <f t="shared" si="2042"/>
        <v>5</v>
      </c>
      <c r="BC1460" s="1">
        <f t="shared" si="2056"/>
        <v>2</v>
      </c>
      <c r="BD1460" s="1">
        <f t="shared" si="2050"/>
        <v>0</v>
      </c>
      <c r="BE1460" s="1">
        <f t="shared" si="2043"/>
        <v>0</v>
      </c>
      <c r="BF1460" s="1">
        <f>MIN(4,V1460+0)</f>
        <v>2</v>
      </c>
      <c r="BG1460" s="1">
        <f t="shared" ref="BG1460:BG1482" si="2060">MAX(W1460,0)</f>
        <v>1</v>
      </c>
      <c r="BH1460" s="1">
        <f t="shared" si="2044"/>
        <v>1</v>
      </c>
      <c r="BI1460" s="1">
        <f t="shared" ref="BI1460:BI1482" si="2061">MAX(Y1460,0)</f>
        <v>1</v>
      </c>
      <c r="BJ1460" s="1">
        <f>MAX(Z1460,1)</f>
        <v>1</v>
      </c>
      <c r="BK1460" s="1">
        <f>MAX(AA1460,1)</f>
        <v>1</v>
      </c>
      <c r="BL1460" s="1">
        <f t="shared" si="2024"/>
        <v>0</v>
      </c>
      <c r="BM1460" s="1">
        <f t="shared" si="2022"/>
        <v>0</v>
      </c>
      <c r="BN1460" s="1">
        <f t="shared" si="2045"/>
        <v>1</v>
      </c>
      <c r="BO1460" s="1">
        <f t="shared" si="2046"/>
        <v>1</v>
      </c>
    </row>
    <row r="1461" spans="1:67" ht="30.95" customHeight="1">
      <c r="A1461" s="1">
        <f>40</f>
        <v>40</v>
      </c>
      <c r="B1461" s="1">
        <f>固定流程!A21</f>
        <v>16</v>
      </c>
      <c r="C1461" s="1">
        <f>43</f>
        <v>43</v>
      </c>
      <c r="D1461" s="1">
        <f>1</f>
        <v>1</v>
      </c>
      <c r="E1461" s="1">
        <f>固定流程!C21</f>
        <v>3</v>
      </c>
      <c r="F1461" s="1">
        <f>固定流程!G21</f>
        <v>2</v>
      </c>
      <c r="G1461" s="1" t="str">
        <f>固定流程!H21</f>
        <v>37_ULT</v>
      </c>
      <c r="H1461" s="1">
        <f>固定流程!F21</f>
        <v>1</v>
      </c>
      <c r="I1461" s="1">
        <f>INDEX(配置与结果!$B$15:$B$18,F1461)</f>
        <v>2306</v>
      </c>
      <c r="J1461" s="1">
        <f>INDEX(配置与结果!$D$15:$D$18,F1461)</f>
        <v>0.46</v>
      </c>
      <c r="K1461" s="1">
        <f>INDEX(配置与结果!$E$15:$E$18,F1461)</f>
        <v>1.9279999999999999</v>
      </c>
      <c r="L1461" s="1">
        <f t="shared" si="2057"/>
        <v>2</v>
      </c>
      <c r="M1461" s="1">
        <f t="shared" si="2058"/>
        <v>10</v>
      </c>
      <c r="N1461" s="1">
        <f t="shared" si="2059"/>
        <v>2</v>
      </c>
      <c r="O1461" s="1">
        <f t="shared" si="2051"/>
        <v>6</v>
      </c>
      <c r="P1461" s="1">
        <f>MIN(方案参数!$AI$43,AZ1460+0+0)</f>
        <v>5</v>
      </c>
      <c r="Q1461" s="1">
        <f t="shared" si="2029"/>
        <v>5</v>
      </c>
      <c r="R1461" s="1">
        <f t="shared" si="2030"/>
        <v>5</v>
      </c>
      <c r="S1461" s="1">
        <f t="shared" si="2031"/>
        <v>2</v>
      </c>
      <c r="T1461" s="1">
        <f>BD1460+方案参数!$BX$43</f>
        <v>2</v>
      </c>
      <c r="U1461" s="1">
        <f t="shared" si="2033"/>
        <v>0</v>
      </c>
      <c r="V1461" s="1">
        <f t="shared" si="2034"/>
        <v>2</v>
      </c>
      <c r="W1461" s="1">
        <f t="shared" si="2035"/>
        <v>1</v>
      </c>
      <c r="X1461" s="1">
        <f t="shared" si="2036"/>
        <v>1</v>
      </c>
      <c r="Y1461" s="1">
        <f t="shared" si="2037"/>
        <v>1</v>
      </c>
      <c r="Z1461" s="1">
        <f t="shared" si="2038"/>
        <v>1</v>
      </c>
      <c r="AA1461" s="1">
        <f t="shared" ref="AA1461:AA1481" si="2062">MAX(BK1460,0)</f>
        <v>1</v>
      </c>
      <c r="AB1461" s="1">
        <f t="shared" si="2040"/>
        <v>0</v>
      </c>
      <c r="AC1461" s="1">
        <f>MAX(BM1460,1)</f>
        <v>1</v>
      </c>
      <c r="AD1461" s="1">
        <f>ROUNDDOWN(I1461*(1+IF(F1461=3,0.05+方案参数!$Y$43+AA1461*0.12,IF(F1461=4,方案参数!$BZ$43*方案参数!$AS$43,0)))+IF(AND(X1461=1,F1461&lt;&gt;3),方案参数!$CC$43,0)+AC1461*方案参数!$CB$43,0)</f>
        <v>3044</v>
      </c>
      <c r="AE1461" s="1">
        <f>IF(OR(F1461=1,F1461=4),配置与结果!$B$24,配置与结果!$B$25)*MAX(0,1-INDEX(配置与结果!$I$15:$I$18,F1461))</f>
        <v>1000</v>
      </c>
      <c r="AF1461" s="1">
        <f>0</f>
        <v>0</v>
      </c>
      <c r="AG1461" s="1">
        <f>MAX(配置与结果!$B$32,1+INDEX(配置与结果!$F$15:$F$18,F1461)+0+Q1461*方案参数!$W$43+Y1461*(方案参数!$AN$43+MIN(方案参数!$AO$43,P1461*0.03))+AB1461*方案参数!$BZ$43*0.025-配置与结果!$B$28)</f>
        <v>1.0049999999999999</v>
      </c>
      <c r="AH1461" s="1">
        <f>MAX(0,1+INDEX(配置与结果!$G$15:$G$18,F1461)+W1461*方案参数!$AG$43)</f>
        <v>1.3</v>
      </c>
      <c r="AI1461" s="1">
        <f>IF(OR(INDEX(配置与结果!$K$15:$K$18,F1461)=1,G1461="RHI_BERRY"),1+配置与结果!$B$33+P1461*方案参数!$AH$43,1)</f>
        <v>1</v>
      </c>
      <c r="AJ1461" s="1">
        <f>MIN(1,MAX(0,J1461+方案参数!$AB$43-配置与结果!$B$27))</f>
        <v>0.76</v>
      </c>
      <c r="AK1461" s="1">
        <f>MAX(1,K1461+IF(F1461=2,0.15+方案参数!$CH$43,0)+BN1461*方案参数!$X$43+R1461*方案参数!$AA$43+0-配置与结果!$B$26+Z1461*(方案参数!$AP$43+MIN(方案参数!$AQ$43,P1461*0.03)))</f>
        <v>2.278</v>
      </c>
      <c r="AL1461" s="7">
        <f>ROUNDDOWN(MAX(AD1461*配置与结果!$B$31,AD1461-AE1461)*AF1461*AG1461*AH1461*AI1461,0)</f>
        <v>0</v>
      </c>
      <c r="AM1461" s="7">
        <f>ROUNDDOWN(MAX(AD1461*配置与结果!$B$31,AD1461-AE1461)*AF1461*AG1461*AH1461*AI1461*AK1461,0)</f>
        <v>0</v>
      </c>
      <c r="AN1461" s="7">
        <f t="shared" si="1996"/>
        <v>0</v>
      </c>
      <c r="AO1461" s="7">
        <f>0</f>
        <v>0</v>
      </c>
      <c r="AP1461" s="7">
        <f>MAX(0,1+INDEX(配置与结果!$J$15:$J$18,F1461)+IF(T1461&gt;0,方案参数!$BY$43,0)-配置与结果!$B$30)</f>
        <v>2</v>
      </c>
      <c r="AQ1461" s="7">
        <f t="shared" si="1997"/>
        <v>0</v>
      </c>
      <c r="AR1461" s="7">
        <f t="shared" si="1998"/>
        <v>0</v>
      </c>
      <c r="AS1461" s="7">
        <f t="shared" si="1999"/>
        <v>0</v>
      </c>
      <c r="AT1461" s="7">
        <f>0</f>
        <v>0</v>
      </c>
      <c r="AU1461" s="7">
        <f t="shared" si="2000"/>
        <v>0</v>
      </c>
      <c r="AV1461" s="1">
        <f t="shared" si="2001"/>
        <v>2</v>
      </c>
      <c r="AW1461" s="1">
        <f t="shared" si="2055"/>
        <v>10</v>
      </c>
      <c r="AX1461" s="1">
        <f t="shared" si="2002"/>
        <v>2</v>
      </c>
      <c r="AY1461" s="1">
        <f t="shared" si="2049"/>
        <v>6</v>
      </c>
      <c r="AZ1461" s="1">
        <f t="shared" si="2003"/>
        <v>5</v>
      </c>
      <c r="BA1461" s="1">
        <f t="shared" ref="BA1461:BA1481" si="2063">MIN(6,Q1461+0)</f>
        <v>5</v>
      </c>
      <c r="BB1461" s="1">
        <f>MIN(30,R1461+5)</f>
        <v>10</v>
      </c>
      <c r="BC1461" s="1">
        <f t="shared" si="2056"/>
        <v>2</v>
      </c>
      <c r="BD1461" s="1">
        <f t="shared" si="2050"/>
        <v>2</v>
      </c>
      <c r="BE1461" s="1">
        <f t="shared" si="2043"/>
        <v>0</v>
      </c>
      <c r="BF1461" s="1">
        <f>MIN(4,V1461+0)</f>
        <v>2</v>
      </c>
      <c r="BG1461" s="1">
        <f t="shared" si="2060"/>
        <v>1</v>
      </c>
      <c r="BH1461" s="1">
        <f t="shared" si="2044"/>
        <v>1</v>
      </c>
      <c r="BI1461" s="1">
        <f t="shared" si="2061"/>
        <v>1</v>
      </c>
      <c r="BJ1461" s="1">
        <f t="shared" ref="BJ1461:BJ1488" si="2064">MAX(Z1461,0)</f>
        <v>1</v>
      </c>
      <c r="BK1461" s="1">
        <f t="shared" ref="BK1461:BK1488" si="2065">MAX(AA1461,0)</f>
        <v>1</v>
      </c>
      <c r="BL1461" s="1">
        <f t="shared" si="2024"/>
        <v>0</v>
      </c>
      <c r="BM1461" s="1">
        <f>MAX(AC1461,1)</f>
        <v>1</v>
      </c>
      <c r="BN1461" s="1">
        <f t="shared" si="2045"/>
        <v>1</v>
      </c>
      <c r="BO1461" s="1">
        <f t="shared" si="2046"/>
        <v>1</v>
      </c>
    </row>
    <row r="1462" spans="1:67" ht="30.95" customHeight="1">
      <c r="A1462" s="1">
        <f>40</f>
        <v>40</v>
      </c>
      <c r="B1462" s="1">
        <f>固定流程!A22</f>
        <v>17</v>
      </c>
      <c r="C1462" s="1">
        <f>43</f>
        <v>43</v>
      </c>
      <c r="D1462" s="1">
        <f>1</f>
        <v>1</v>
      </c>
      <c r="E1462" s="1">
        <f>固定流程!C22</f>
        <v>3</v>
      </c>
      <c r="F1462" s="1">
        <f>固定流程!G22</f>
        <v>2</v>
      </c>
      <c r="G1462" s="1" t="str">
        <f>固定流程!H22</f>
        <v>37_FOLLOW</v>
      </c>
      <c r="H1462" s="1">
        <f>固定流程!F22</f>
        <v>1</v>
      </c>
      <c r="I1462" s="1">
        <f>INDEX(配置与结果!$B$15:$B$18,F1462)</f>
        <v>2306</v>
      </c>
      <c r="J1462" s="1">
        <f>INDEX(配置与结果!$D$15:$D$18,F1462)</f>
        <v>0.46</v>
      </c>
      <c r="K1462" s="1">
        <f>INDEX(配置与结果!$E$15:$E$18,F1462)</f>
        <v>1.9279999999999999</v>
      </c>
      <c r="L1462" s="1">
        <f t="shared" si="2057"/>
        <v>2</v>
      </c>
      <c r="M1462" s="1">
        <f t="shared" si="2058"/>
        <v>10</v>
      </c>
      <c r="N1462" s="1">
        <f t="shared" si="2059"/>
        <v>2</v>
      </c>
      <c r="O1462" s="1">
        <f t="shared" si="2051"/>
        <v>6</v>
      </c>
      <c r="P1462" s="1">
        <f>MIN(方案参数!$AI$43,AZ1461+0+0)</f>
        <v>5</v>
      </c>
      <c r="Q1462" s="1">
        <f t="shared" si="2029"/>
        <v>5</v>
      </c>
      <c r="R1462" s="1">
        <f t="shared" si="2030"/>
        <v>10</v>
      </c>
      <c r="S1462" s="1">
        <f t="shared" si="2031"/>
        <v>2</v>
      </c>
      <c r="T1462" s="1">
        <f t="shared" ref="T1462:T1481" si="2066">BD1461+0</f>
        <v>2</v>
      </c>
      <c r="U1462" s="1">
        <f t="shared" si="2033"/>
        <v>0</v>
      </c>
      <c r="V1462" s="1">
        <f t="shared" si="2034"/>
        <v>2</v>
      </c>
      <c r="W1462" s="1">
        <f t="shared" si="2035"/>
        <v>1</v>
      </c>
      <c r="X1462" s="1">
        <f t="shared" si="2036"/>
        <v>1</v>
      </c>
      <c r="Y1462" s="1">
        <f t="shared" si="2037"/>
        <v>1</v>
      </c>
      <c r="Z1462" s="1">
        <f t="shared" si="2038"/>
        <v>1</v>
      </c>
      <c r="AA1462" s="1">
        <f t="shared" si="2062"/>
        <v>1</v>
      </c>
      <c r="AB1462" s="1">
        <f t="shared" si="2040"/>
        <v>0</v>
      </c>
      <c r="AC1462" s="1">
        <f t="shared" ref="AC1462:AC1481" si="2067">MAX(BM1461,0)</f>
        <v>1</v>
      </c>
      <c r="AD1462" s="1">
        <f>ROUNDDOWN(I1462*(1+IF(F1462=3,0.05+方案参数!$Y$43+AA1462*0.12,IF(F1462=4,方案参数!$BZ$43*方案参数!$AS$43,0)))+IF(AND(X1462=1,F1462&lt;&gt;3),方案参数!$CC$43,0)+AC1462*方案参数!$CB$43,0)</f>
        <v>3044</v>
      </c>
      <c r="AE1462" s="1">
        <f>IF(OR(F1462=1,F1462=4),配置与结果!$B$24,配置与结果!$B$25)*MAX(0,1-INDEX(配置与结果!$I$15:$I$18,F1462))</f>
        <v>1000</v>
      </c>
      <c r="AF1462" s="1">
        <f>方案参数!$BV$43</f>
        <v>3</v>
      </c>
      <c r="AG1462" s="1">
        <f>MAX(配置与结果!$B$32,1+INDEX(配置与结果!$F$15:$F$18,F1462)+0+Q1462*方案参数!$W$43+Y1462*(方案参数!$AN$43+MIN(方案参数!$AO$43,P1462*0.03))+AB1462*方案参数!$BZ$43*0.025-配置与结果!$B$28)</f>
        <v>1.0049999999999999</v>
      </c>
      <c r="AH1462" s="1">
        <f>MAX(0,1+INDEX(配置与结果!$G$15:$G$18,F1462)+W1462*方案参数!$AG$43)</f>
        <v>1.3</v>
      </c>
      <c r="AI1462" s="1">
        <f>IF(OR(INDEX(配置与结果!$K$15:$K$18,F1462)=1,G1462="RHI_BERRY"),1+配置与结果!$B$33+P1462*方案参数!$AH$43,1)</f>
        <v>1</v>
      </c>
      <c r="AJ1462" s="1">
        <f>MIN(1,MAX(0,J1462+方案参数!$AB$43-配置与结果!$B$27))</f>
        <v>0.76</v>
      </c>
      <c r="AK1462" s="1">
        <f>MAX(1,K1462+IF(F1462=2,0.15+方案参数!$CH$43,0)+BN1462*方案参数!$X$43+R1462*方案参数!$AA$43+0-配置与结果!$B$26+Z1462*(方案参数!$AP$43+MIN(方案参数!$AQ$43,P1462*0.03)))</f>
        <v>2.298</v>
      </c>
      <c r="AL1462" s="7">
        <f>ROUNDDOWN(MAX(AD1462*配置与结果!$B$31,AD1462-AE1462)*AF1462*AG1462*AH1462*AI1462,0)</f>
        <v>8011</v>
      </c>
      <c r="AM1462" s="7">
        <f>ROUNDDOWN(MAX(AD1462*配置与结果!$B$31,AD1462-AE1462)*AF1462*AG1462*AH1462*AI1462*AK1462,0)</f>
        <v>18410</v>
      </c>
      <c r="AN1462" s="7">
        <f t="shared" si="1996"/>
        <v>15914.24</v>
      </c>
      <c r="AO1462" s="7">
        <f>方案参数!$BW$43</f>
        <v>1</v>
      </c>
      <c r="AP1462" s="7">
        <f>MAX(0,1+INDEX(配置与结果!$J$15:$J$18,F1462)+IF(T1462&gt;0,方案参数!$BY$43,0)-配置与结果!$B$30)</f>
        <v>2</v>
      </c>
      <c r="AQ1462" s="7">
        <f t="shared" si="1997"/>
        <v>6088</v>
      </c>
      <c r="AR1462" s="7">
        <f t="shared" si="1998"/>
        <v>13990</v>
      </c>
      <c r="AS1462" s="7">
        <f t="shared" si="1999"/>
        <v>12093.52</v>
      </c>
      <c r="AT1462" s="7">
        <f>0</f>
        <v>0</v>
      </c>
      <c r="AU1462" s="7">
        <f t="shared" si="2000"/>
        <v>28007.760000000002</v>
      </c>
      <c r="AV1462" s="1">
        <f t="shared" si="2001"/>
        <v>2</v>
      </c>
      <c r="AW1462" s="1">
        <f t="shared" si="2055"/>
        <v>10</v>
      </c>
      <c r="AX1462" s="1">
        <f t="shared" si="2002"/>
        <v>2</v>
      </c>
      <c r="AY1462" s="1">
        <f t="shared" si="2049"/>
        <v>6</v>
      </c>
      <c r="AZ1462" s="1">
        <f t="shared" si="2003"/>
        <v>5</v>
      </c>
      <c r="BA1462" s="1">
        <f t="shared" si="2063"/>
        <v>5</v>
      </c>
      <c r="BB1462" s="1">
        <f>MIN(30,R1462+0)</f>
        <v>10</v>
      </c>
      <c r="BC1462" s="1">
        <f t="shared" si="2056"/>
        <v>2</v>
      </c>
      <c r="BD1462" s="1">
        <f t="shared" si="2050"/>
        <v>1</v>
      </c>
      <c r="BE1462" s="1">
        <f t="shared" si="2043"/>
        <v>0</v>
      </c>
      <c r="BF1462" s="1">
        <f>MIN(4,V1462+1)</f>
        <v>3</v>
      </c>
      <c r="BG1462" s="1">
        <f t="shared" si="2060"/>
        <v>1</v>
      </c>
      <c r="BH1462" s="1">
        <f t="shared" si="2044"/>
        <v>1</v>
      </c>
      <c r="BI1462" s="1">
        <f t="shared" si="2061"/>
        <v>1</v>
      </c>
      <c r="BJ1462" s="1">
        <f t="shared" si="2064"/>
        <v>1</v>
      </c>
      <c r="BK1462" s="1">
        <f t="shared" si="2065"/>
        <v>1</v>
      </c>
      <c r="BL1462" s="1">
        <f t="shared" si="2024"/>
        <v>0</v>
      </c>
      <c r="BM1462" s="1">
        <f t="shared" ref="BM1462:BM1496" si="2068">MAX(AC1462,0)</f>
        <v>1</v>
      </c>
      <c r="BN1462" s="1">
        <f t="shared" si="2045"/>
        <v>1</v>
      </c>
      <c r="BO1462" s="1">
        <f t="shared" si="2046"/>
        <v>1</v>
      </c>
    </row>
    <row r="1463" spans="1:67" ht="30.95" customHeight="1">
      <c r="A1463" s="1">
        <f>40</f>
        <v>40</v>
      </c>
      <c r="B1463" s="1">
        <f>固定流程!A23</f>
        <v>18</v>
      </c>
      <c r="C1463" s="1">
        <f>43</f>
        <v>43</v>
      </c>
      <c r="D1463" s="1">
        <f>1</f>
        <v>1</v>
      </c>
      <c r="E1463" s="1">
        <f>固定流程!C23</f>
        <v>3</v>
      </c>
      <c r="F1463" s="1">
        <f>固定流程!G23</f>
        <v>4</v>
      </c>
      <c r="G1463" s="1" t="str">
        <f>固定流程!H23</f>
        <v>J_HARD</v>
      </c>
      <c r="H1463" s="1">
        <f>固定流程!F23</f>
        <v>1</v>
      </c>
      <c r="I1463" s="1">
        <f>INDEX(配置与结果!$B$15:$B$18,F1463)</f>
        <v>1906</v>
      </c>
      <c r="J1463" s="1">
        <f>INDEX(配置与结果!$D$15:$D$18,F1463)</f>
        <v>0.36699999999999999</v>
      </c>
      <c r="K1463" s="1">
        <f>INDEX(配置与结果!$E$15:$E$18,F1463)</f>
        <v>1.7170000000000001</v>
      </c>
      <c r="L1463" s="1">
        <f t="shared" si="2057"/>
        <v>2</v>
      </c>
      <c r="M1463" s="1">
        <f t="shared" si="2058"/>
        <v>10</v>
      </c>
      <c r="N1463" s="1">
        <f t="shared" si="2059"/>
        <v>2</v>
      </c>
      <c r="O1463" s="1">
        <f t="shared" si="2051"/>
        <v>6</v>
      </c>
      <c r="P1463" s="1">
        <f>MIN(方案参数!$AI$43,AZ1462+0+0)</f>
        <v>5</v>
      </c>
      <c r="Q1463" s="1">
        <f t="shared" si="2029"/>
        <v>5</v>
      </c>
      <c r="R1463" s="1">
        <f t="shared" si="2030"/>
        <v>10</v>
      </c>
      <c r="S1463" s="1">
        <f t="shared" si="2031"/>
        <v>2</v>
      </c>
      <c r="T1463" s="1">
        <f t="shared" si="2066"/>
        <v>1</v>
      </c>
      <c r="U1463" s="1">
        <f t="shared" si="2033"/>
        <v>0</v>
      </c>
      <c r="V1463" s="1">
        <f t="shared" si="2034"/>
        <v>3</v>
      </c>
      <c r="W1463" s="1">
        <f t="shared" si="2035"/>
        <v>1</v>
      </c>
      <c r="X1463" s="1">
        <f t="shared" si="2036"/>
        <v>1</v>
      </c>
      <c r="Y1463" s="1">
        <f t="shared" si="2037"/>
        <v>1</v>
      </c>
      <c r="Z1463" s="1">
        <f t="shared" si="2038"/>
        <v>1</v>
      </c>
      <c r="AA1463" s="1">
        <f t="shared" si="2062"/>
        <v>1</v>
      </c>
      <c r="AB1463" s="1">
        <f t="shared" si="2040"/>
        <v>0</v>
      </c>
      <c r="AC1463" s="1">
        <f t="shared" si="2067"/>
        <v>1</v>
      </c>
      <c r="AD1463" s="1">
        <f>ROUNDDOWN(I1463*(1+IF(F1463=3,0.05+方案参数!$Y$43+AA1463*0.12,IF(F1463=4,方案参数!$BZ$43*方案参数!$AS$43,0)))+IF(AND(X1463=1,F1463&lt;&gt;3),方案参数!$CC$43,0)+AC1463*方案参数!$CB$43,0)</f>
        <v>3311</v>
      </c>
      <c r="AE1463" s="1">
        <f>IF(OR(F1463=1,F1463=4),配置与结果!$B$24,配置与结果!$B$25)*MAX(0,1-INDEX(配置与结果!$I$15:$I$18,F1463))</f>
        <v>1200</v>
      </c>
      <c r="AF1463" s="1">
        <f>3.6*IF(H1463=1,1,IF(H1463=2,1.5,2.5))</f>
        <v>3.6</v>
      </c>
      <c r="AG1463" s="1">
        <f>MAX(配置与结果!$B$32,1+INDEX(配置与结果!$F$15:$F$18,F1463)+0.08+Q1463*方案参数!$W$43+Y1463*(方案参数!$AN$43+MIN(方案参数!$AO$43,P1463*0.03))+AB1463*方案参数!$BZ$43*0.025+0.1+IF(方案参数!$BZ$43&gt;=30,方案参数!$BZ$43*0.01,0)-配置与结果!$B$28)</f>
        <v>1.5550000000000002</v>
      </c>
      <c r="AH1463" s="1">
        <f>MAX(0,1+INDEX(配置与结果!$G$15:$G$18,F1463)+W1463*方案参数!$AG$43)</f>
        <v>1.3</v>
      </c>
      <c r="AI1463" s="1">
        <f>IF(OR(INDEX(配置与结果!$K$15:$K$18,F1463)=1,G1463="RHI_BERRY"),1+配置与结果!$B$33+P1463*方案参数!$AH$43,1)</f>
        <v>1</v>
      </c>
      <c r="AJ1463" s="1">
        <f>MIN(1,MAX(0,J1463+方案参数!$AB$43-配置与结果!$B$27))</f>
        <v>0.66700000000000004</v>
      </c>
      <c r="AK1463" s="1">
        <f>MAX(1,K1463+IF(F1463=2,0.15+方案参数!$CH$43,0)+BN1463*方案参数!$X$43+R1463*方案参数!$AA$43+0-配置与结果!$B$26+Z1463*(方案参数!$AP$43+MIN(方案参数!$AQ$43,P1463*0.03)))</f>
        <v>1.8169999999999999</v>
      </c>
      <c r="AL1463" s="7">
        <f>ROUNDDOWN(MAX(AD1463*配置与结果!$B$31,AD1463-AE1463)*AF1463*AG1463*AH1463*AI1463,0)</f>
        <v>15362</v>
      </c>
      <c r="AM1463" s="7">
        <f>ROUNDDOWN(MAX(AD1463*配置与结果!$B$31,AD1463-AE1463)*AF1463*AG1463*AH1463*AI1463*AK1463,0)</f>
        <v>27913</v>
      </c>
      <c r="AN1463" s="7">
        <f t="shared" si="1996"/>
        <v>23733.517</v>
      </c>
      <c r="AO1463" s="7">
        <f>0</f>
        <v>0</v>
      </c>
      <c r="AP1463" s="7">
        <f>MAX(0,1+INDEX(配置与结果!$J$15:$J$18,F1463)+IF(T1463&gt;0,方案参数!$BY$43,0)-配置与结果!$B$30)</f>
        <v>2</v>
      </c>
      <c r="AQ1463" s="7">
        <f t="shared" si="1997"/>
        <v>0</v>
      </c>
      <c r="AR1463" s="7">
        <f t="shared" si="1998"/>
        <v>0</v>
      </c>
      <c r="AS1463" s="7">
        <f t="shared" si="1999"/>
        <v>0</v>
      </c>
      <c r="AT1463" s="7">
        <f>0</f>
        <v>0</v>
      </c>
      <c r="AU1463" s="7">
        <f t="shared" si="2000"/>
        <v>23733.517</v>
      </c>
      <c r="AV1463" s="1">
        <f t="shared" si="2001"/>
        <v>2</v>
      </c>
      <c r="AW1463" s="1">
        <f t="shared" si="2055"/>
        <v>10</v>
      </c>
      <c r="AX1463" s="1">
        <f t="shared" si="2002"/>
        <v>2</v>
      </c>
      <c r="AY1463" s="1">
        <f t="shared" si="2049"/>
        <v>6</v>
      </c>
      <c r="AZ1463" s="1">
        <f t="shared" si="2003"/>
        <v>5</v>
      </c>
      <c r="BA1463" s="1">
        <f t="shared" si="2063"/>
        <v>5</v>
      </c>
      <c r="BB1463" s="1">
        <f>MIN(30,R1463+0)</f>
        <v>10</v>
      </c>
      <c r="BC1463" s="1">
        <f>MIN(3,S1463+1)</f>
        <v>3</v>
      </c>
      <c r="BD1463" s="1">
        <f t="shared" si="2050"/>
        <v>1</v>
      </c>
      <c r="BE1463" s="1">
        <f t="shared" si="2043"/>
        <v>0</v>
      </c>
      <c r="BF1463" s="1">
        <f>MIN(4,V1463+0)</f>
        <v>3</v>
      </c>
      <c r="BG1463" s="1">
        <f t="shared" si="2060"/>
        <v>1</v>
      </c>
      <c r="BH1463" s="1">
        <f t="shared" si="2044"/>
        <v>1</v>
      </c>
      <c r="BI1463" s="1">
        <f t="shared" si="2061"/>
        <v>1</v>
      </c>
      <c r="BJ1463" s="1">
        <f t="shared" si="2064"/>
        <v>1</v>
      </c>
      <c r="BK1463" s="1">
        <f t="shared" si="2065"/>
        <v>1</v>
      </c>
      <c r="BL1463" s="1">
        <f t="shared" si="2024"/>
        <v>0</v>
      </c>
      <c r="BM1463" s="1">
        <f t="shared" si="2068"/>
        <v>1</v>
      </c>
      <c r="BN1463" s="1">
        <f t="shared" si="2045"/>
        <v>1</v>
      </c>
      <c r="BO1463" s="1">
        <f t="shared" si="2046"/>
        <v>1</v>
      </c>
    </row>
    <row r="1464" spans="1:67" ht="30.95" customHeight="1">
      <c r="A1464" s="1">
        <f>40</f>
        <v>40</v>
      </c>
      <c r="B1464" s="1">
        <f>固定流程!A24</f>
        <v>19</v>
      </c>
      <c r="C1464" s="1">
        <f>43</f>
        <v>43</v>
      </c>
      <c r="D1464" s="1">
        <f>1</f>
        <v>1</v>
      </c>
      <c r="E1464" s="1">
        <f>固定流程!C24</f>
        <v>3</v>
      </c>
      <c r="F1464" s="1">
        <f>固定流程!G24</f>
        <v>4</v>
      </c>
      <c r="G1464" s="1" t="str">
        <f>固定流程!H24</f>
        <v>J_ULT</v>
      </c>
      <c r="H1464" s="1">
        <f>固定流程!F24</f>
        <v>1</v>
      </c>
      <c r="I1464" s="1">
        <f>INDEX(配置与结果!$B$15:$B$18,F1464)</f>
        <v>1906</v>
      </c>
      <c r="J1464" s="1">
        <f>INDEX(配置与结果!$D$15:$D$18,F1464)</f>
        <v>0.36699999999999999</v>
      </c>
      <c r="K1464" s="1">
        <f>INDEX(配置与结果!$E$15:$E$18,F1464)</f>
        <v>1.7170000000000001</v>
      </c>
      <c r="L1464" s="1">
        <f t="shared" si="2057"/>
        <v>2</v>
      </c>
      <c r="M1464" s="1">
        <f t="shared" si="2058"/>
        <v>10</v>
      </c>
      <c r="N1464" s="1">
        <f t="shared" si="2059"/>
        <v>2</v>
      </c>
      <c r="O1464" s="1">
        <f t="shared" si="2051"/>
        <v>6</v>
      </c>
      <c r="P1464" s="1">
        <f>MIN(方案参数!$AI$43,AZ1463+0+0)</f>
        <v>5</v>
      </c>
      <c r="Q1464" s="1">
        <f t="shared" si="2029"/>
        <v>5</v>
      </c>
      <c r="R1464" s="1">
        <f t="shared" si="2030"/>
        <v>10</v>
      </c>
      <c r="S1464" s="1">
        <f t="shared" si="2031"/>
        <v>3</v>
      </c>
      <c r="T1464" s="1">
        <f t="shared" si="2066"/>
        <v>1</v>
      </c>
      <c r="U1464" s="1">
        <f t="shared" si="2033"/>
        <v>0</v>
      </c>
      <c r="V1464" s="1">
        <f t="shared" si="2034"/>
        <v>3</v>
      </c>
      <c r="W1464" s="1">
        <f t="shared" si="2035"/>
        <v>1</v>
      </c>
      <c r="X1464" s="1">
        <f t="shared" si="2036"/>
        <v>1</v>
      </c>
      <c r="Y1464" s="1">
        <f t="shared" si="2037"/>
        <v>1</v>
      </c>
      <c r="Z1464" s="1">
        <f t="shared" si="2038"/>
        <v>1</v>
      </c>
      <c r="AA1464" s="1">
        <f t="shared" si="2062"/>
        <v>1</v>
      </c>
      <c r="AB1464" s="1">
        <f t="shared" si="2040"/>
        <v>0</v>
      </c>
      <c r="AC1464" s="1">
        <f t="shared" si="2067"/>
        <v>1</v>
      </c>
      <c r="AD1464" s="1">
        <f>ROUNDDOWN(I1464*(1+IF(F1464=3,0.05+方案参数!$Y$43+AA1464*0.12,IF(F1464=4,方案参数!$BZ$43*方案参数!$AS$43,0)))+IF(AND(X1464=1,F1464&lt;&gt;3),方案参数!$CC$43,0)+AC1464*方案参数!$CB$43,0)</f>
        <v>3311</v>
      </c>
      <c r="AE1464" s="1">
        <f>IF(OR(F1464=1,F1464=4),配置与结果!$B$24,配置与结果!$B$25)*MAX(0,1-INDEX(配置与结果!$I$15:$I$18,F1464))</f>
        <v>1200</v>
      </c>
      <c r="AF1464" s="1">
        <f>方案参数!$AT$43+MAX(0,配置与结果!$H$26+方案参数!$BZ$43-30)*方案参数!$AU$43*配置与结果!$H$27</f>
        <v>42</v>
      </c>
      <c r="AG1464" s="1">
        <f>MAX(配置与结果!$B$32,1+INDEX(配置与结果!$F$15:$F$18,F1464)+0.08+Q1464*方案参数!$W$43+Y1464*(方案参数!$AN$43+MIN(方案参数!$AO$43,P1464*0.03))+AB1464*方案参数!$BZ$43*0.025-配置与结果!$B$28)</f>
        <v>1.105</v>
      </c>
      <c r="AH1464" s="1">
        <f>MAX(0,1+INDEX(配置与结果!$H$15:$H$18,F1464)+W1464*方案参数!$AG$43+S1464*方案参数!$Z$43)</f>
        <v>1.42</v>
      </c>
      <c r="AI1464" s="1">
        <f>IF(OR(INDEX(配置与结果!$K$15:$K$18,F1464)=1,G1464="RHI_BERRY"),1+配置与结果!$B$33+P1464*方案参数!$AH$43,1)</f>
        <v>1</v>
      </c>
      <c r="AJ1464" s="1">
        <f>MIN(1,MAX(0,J1464+方案参数!$AB$43-配置与结果!$B$27))</f>
        <v>0.66700000000000004</v>
      </c>
      <c r="AK1464" s="1">
        <f>MAX(1,K1464+IF(F1464=2,0.15+方案参数!$CH$43,0)+BN1464*方案参数!$X$43+R1464*方案参数!$AA$43+0-配置与结果!$B$26+Z1464*(方案参数!$AP$43+MIN(方案参数!$AQ$43,P1464*0.03)))</f>
        <v>1.8169999999999999</v>
      </c>
      <c r="AL1464" s="7">
        <f>ROUNDDOWN(MAX(AD1464*配置与结果!$B$31,AD1464-AE1464)*AF1464*AG1464*AH1464*AI1464,0)</f>
        <v>139119</v>
      </c>
      <c r="AM1464" s="7">
        <f>ROUNDDOWN(MAX(AD1464*配置与结果!$B$31,AD1464-AE1464)*AF1464*AG1464*AH1464*AI1464*AK1464,0)</f>
        <v>252780</v>
      </c>
      <c r="AN1464" s="7">
        <f t="shared" si="1996"/>
        <v>214930.88699999999</v>
      </c>
      <c r="AO1464" s="7">
        <f>0</f>
        <v>0</v>
      </c>
      <c r="AP1464" s="7">
        <f>MAX(0,1+INDEX(配置与结果!$J$15:$J$18,F1464)+IF(T1464&gt;0,方案参数!$BY$43,0)-配置与结果!$B$30)</f>
        <v>2</v>
      </c>
      <c r="AQ1464" s="7">
        <f t="shared" si="1997"/>
        <v>0</v>
      </c>
      <c r="AR1464" s="7">
        <f t="shared" si="1998"/>
        <v>0</v>
      </c>
      <c r="AS1464" s="7">
        <f t="shared" si="1999"/>
        <v>0</v>
      </c>
      <c r="AT1464" s="7">
        <f>0</f>
        <v>0</v>
      </c>
      <c r="AU1464" s="7">
        <f t="shared" si="2000"/>
        <v>214930.88699999999</v>
      </c>
      <c r="AV1464" s="1">
        <f t="shared" si="2001"/>
        <v>2</v>
      </c>
      <c r="AW1464" s="1">
        <f t="shared" si="2055"/>
        <v>10</v>
      </c>
      <c r="AX1464" s="1">
        <f t="shared" si="2002"/>
        <v>2</v>
      </c>
      <c r="AY1464" s="1">
        <f t="shared" si="2049"/>
        <v>6</v>
      </c>
      <c r="AZ1464" s="1">
        <f t="shared" si="2003"/>
        <v>5</v>
      </c>
      <c r="BA1464" s="1">
        <f t="shared" si="2063"/>
        <v>5</v>
      </c>
      <c r="BB1464" s="1">
        <f>MIN(30,R1464+5)</f>
        <v>15</v>
      </c>
      <c r="BC1464" s="1">
        <f t="shared" ref="BC1464:BC1487" si="2069">MIN(3,S1464+0)</f>
        <v>3</v>
      </c>
      <c r="BD1464" s="1">
        <f t="shared" si="2050"/>
        <v>1</v>
      </c>
      <c r="BE1464" s="1">
        <f t="shared" si="2043"/>
        <v>0</v>
      </c>
      <c r="BF1464" s="1">
        <f>MIN(4,V1464+0)</f>
        <v>3</v>
      </c>
      <c r="BG1464" s="1">
        <f t="shared" si="2060"/>
        <v>1</v>
      </c>
      <c r="BH1464" s="1">
        <f t="shared" si="2044"/>
        <v>1</v>
      </c>
      <c r="BI1464" s="1">
        <f t="shared" si="2061"/>
        <v>1</v>
      </c>
      <c r="BJ1464" s="1">
        <f t="shared" si="2064"/>
        <v>1</v>
      </c>
      <c r="BK1464" s="1">
        <f t="shared" si="2065"/>
        <v>1</v>
      </c>
      <c r="BL1464" s="1">
        <f>MAX(AB1464,1)</f>
        <v>1</v>
      </c>
      <c r="BM1464" s="1">
        <f t="shared" si="2068"/>
        <v>1</v>
      </c>
      <c r="BN1464" s="1">
        <f t="shared" si="2045"/>
        <v>1</v>
      </c>
      <c r="BO1464" s="1">
        <f t="shared" si="2046"/>
        <v>1</v>
      </c>
    </row>
    <row r="1465" spans="1:67" ht="30.95" customHeight="1">
      <c r="A1465" s="1">
        <f>40</f>
        <v>40</v>
      </c>
      <c r="B1465" s="1">
        <f>固定流程!A25</f>
        <v>20</v>
      </c>
      <c r="C1465" s="1">
        <f>43</f>
        <v>43</v>
      </c>
      <c r="D1465" s="1">
        <f>1</f>
        <v>1</v>
      </c>
      <c r="E1465" s="1">
        <f>固定流程!C25</f>
        <v>3</v>
      </c>
      <c r="F1465" s="1">
        <f>固定流程!G25</f>
        <v>1</v>
      </c>
      <c r="G1465" s="1" t="str">
        <f>固定流程!H25</f>
        <v>LILYA_ULT</v>
      </c>
      <c r="H1465" s="1">
        <f>固定流程!F25</f>
        <v>1</v>
      </c>
      <c r="I1465" s="1">
        <f>INDEX(配置与结果!$B$15:$B$18,F1465)</f>
        <v>2296</v>
      </c>
      <c r="J1465" s="1">
        <f>INDEX(配置与结果!$D$15:$D$18,F1465)</f>
        <v>0.7</v>
      </c>
      <c r="K1465" s="1">
        <f>INDEX(配置与结果!$E$15:$E$18,F1465)</f>
        <v>2.0249999999999999</v>
      </c>
      <c r="L1465" s="1">
        <f t="shared" si="2057"/>
        <v>2</v>
      </c>
      <c r="M1465" s="1">
        <f t="shared" si="2058"/>
        <v>10</v>
      </c>
      <c r="N1465" s="1">
        <f t="shared" si="2059"/>
        <v>2</v>
      </c>
      <c r="O1465" s="1">
        <f t="shared" si="2051"/>
        <v>6</v>
      </c>
      <c r="P1465" s="1">
        <f>MIN(方案参数!$AI$43,AZ1464+0+0)</f>
        <v>5</v>
      </c>
      <c r="Q1465" s="1">
        <f t="shared" si="2029"/>
        <v>5</v>
      </c>
      <c r="R1465" s="1">
        <f t="shared" si="2030"/>
        <v>15</v>
      </c>
      <c r="S1465" s="1">
        <f t="shared" si="2031"/>
        <v>3</v>
      </c>
      <c r="T1465" s="1">
        <f t="shared" si="2066"/>
        <v>1</v>
      </c>
      <c r="U1465" s="1">
        <f t="shared" si="2033"/>
        <v>0</v>
      </c>
      <c r="V1465" s="1">
        <f t="shared" si="2034"/>
        <v>3</v>
      </c>
      <c r="W1465" s="1">
        <f t="shared" si="2035"/>
        <v>1</v>
      </c>
      <c r="X1465" s="1">
        <f t="shared" si="2036"/>
        <v>1</v>
      </c>
      <c r="Y1465" s="1">
        <f t="shared" si="2037"/>
        <v>1</v>
      </c>
      <c r="Z1465" s="1">
        <f t="shared" si="2038"/>
        <v>1</v>
      </c>
      <c r="AA1465" s="1">
        <f t="shared" si="2062"/>
        <v>1</v>
      </c>
      <c r="AB1465" s="1">
        <f t="shared" si="2040"/>
        <v>1</v>
      </c>
      <c r="AC1465" s="1">
        <f t="shared" si="2067"/>
        <v>1</v>
      </c>
      <c r="AD1465" s="1">
        <f>ROUNDDOWN(I1465*(1+IF(F1465=3,0.05+方案参数!$Y$43+AA1465*0.12,IF(F1465=4,方案参数!$BZ$43*方案参数!$AS$43,0)))+IF(AND(X1465=1,F1465&lt;&gt;3),方案参数!$CC$43,0)+AC1465*方案参数!$CB$43,0)</f>
        <v>3034</v>
      </c>
      <c r="AE1465" s="1">
        <f>IF(OR(F1465=1,F1465=4),配置与结果!$B$24,配置与结果!$B$25)*MAX(0,1-INDEX(配置与结果!$I$15:$I$18,F1465)+IF(O1465&gt;=6,方案参数!$BK$43,0))</f>
        <v>1440</v>
      </c>
      <c r="AF1465" s="1">
        <f>方案参数!$BG$43+IF(O1465&gt;=6,方案参数!$BH$43,0)</f>
        <v>36</v>
      </c>
      <c r="AG1465" s="1">
        <f>MAX(配置与结果!$B$32,1+INDEX(配置与结果!$F$15:$F$18,F1465)+0.08+方案参数!$CD$43+Q1465*方案参数!$W$43+Y1465*(方案参数!$AN$43+MIN(方案参数!$AO$43,P1465*0.03))+AB1465*方案参数!$BZ$43*0.025-配置与结果!$B$28)</f>
        <v>2.2150000000000003</v>
      </c>
      <c r="AH1465" s="1">
        <f>MAX(0,1+INDEX(配置与结果!$H$15:$H$18,F1465)+W1465*方案参数!$AG$43+O1465*方案参数!$BF$43+IF(O1465&gt;=6,方案参数!$BI$43,0))</f>
        <v>2.4500000000000002</v>
      </c>
      <c r="AI1465" s="1">
        <f>IF(OR(INDEX(配置与结果!$K$15:$K$18,F1465)=1,G1465="RHI_BERRY"),1+配置与结果!$B$33+P1465*方案参数!$AH$43,1)</f>
        <v>1</v>
      </c>
      <c r="AJ1465" s="1">
        <f>MIN(1,MAX(0,J1465+方案参数!$AB$43-配置与结果!$B$27))</f>
        <v>1</v>
      </c>
      <c r="AK1465" s="1">
        <f>MAX(1,K1465+IF(F1465=2,0.15+方案参数!$CH$43,0)+BN1465*方案参数!$X$43+R1465*方案参数!$AA$43+IF(O1465&gt;=6,方案参数!$BJ$43,0)-配置与结果!$B$26+Z1465*(方案参数!$AP$43+MIN(方案参数!$AQ$43,P1465*0.03)))</f>
        <v>3.145</v>
      </c>
      <c r="AL1465" s="7">
        <f>ROUNDDOWN(MAX(AD1465*配置与结果!$B$31,AD1465-AE1465)*AF1465*AG1465*AH1465*AI1465,0)</f>
        <v>311408</v>
      </c>
      <c r="AM1465" s="7">
        <f>ROUNDDOWN(MAX(AD1465*配置与结果!$B$31,AD1465-AE1465)*AF1465*AG1465*AH1465*AI1465*AK1465,0)</f>
        <v>979380</v>
      </c>
      <c r="AN1465" s="7">
        <f t="shared" si="1996"/>
        <v>979380</v>
      </c>
      <c r="AO1465" s="7">
        <f>0</f>
        <v>0</v>
      </c>
      <c r="AP1465" s="7">
        <f>MAX(0,1+INDEX(配置与结果!$J$15:$J$18,F1465)+IF(T1465&gt;0,方案参数!$BY$43,0)-配置与结果!$B$30)</f>
        <v>2</v>
      </c>
      <c r="AQ1465" s="7">
        <f t="shared" si="1997"/>
        <v>0</v>
      </c>
      <c r="AR1465" s="7">
        <f t="shared" si="1998"/>
        <v>0</v>
      </c>
      <c r="AS1465" s="7">
        <f t="shared" si="1999"/>
        <v>0</v>
      </c>
      <c r="AT1465" s="7">
        <f>0</f>
        <v>0</v>
      </c>
      <c r="AU1465" s="7">
        <f t="shared" si="2000"/>
        <v>979380</v>
      </c>
      <c r="AV1465" s="1">
        <f t="shared" si="2001"/>
        <v>2</v>
      </c>
      <c r="AW1465" s="1">
        <f t="shared" si="2055"/>
        <v>10</v>
      </c>
      <c r="AX1465" s="1">
        <f t="shared" si="2002"/>
        <v>2</v>
      </c>
      <c r="AY1465" s="1">
        <f>MIN(20,MAX(0,O1465+0+0-IF(O1465&gt;=6,6,0)))</f>
        <v>0</v>
      </c>
      <c r="AZ1465" s="1">
        <f t="shared" si="2003"/>
        <v>5</v>
      </c>
      <c r="BA1465" s="1">
        <f t="shared" si="2063"/>
        <v>5</v>
      </c>
      <c r="BB1465" s="1">
        <f>MIN(30,R1465+5)</f>
        <v>20</v>
      </c>
      <c r="BC1465" s="1">
        <f t="shared" si="2069"/>
        <v>3</v>
      </c>
      <c r="BD1465" s="1">
        <f t="shared" si="2050"/>
        <v>1</v>
      </c>
      <c r="BE1465" s="1">
        <f t="shared" si="2043"/>
        <v>0</v>
      </c>
      <c r="BF1465" s="1">
        <f>MIN(4,V1465+0)</f>
        <v>3</v>
      </c>
      <c r="BG1465" s="1">
        <f t="shared" si="2060"/>
        <v>1</v>
      </c>
      <c r="BH1465" s="1">
        <f t="shared" si="2044"/>
        <v>1</v>
      </c>
      <c r="BI1465" s="1">
        <f t="shared" si="2061"/>
        <v>1</v>
      </c>
      <c r="BJ1465" s="1">
        <f t="shared" si="2064"/>
        <v>1</v>
      </c>
      <c r="BK1465" s="1">
        <f t="shared" si="2065"/>
        <v>1</v>
      </c>
      <c r="BL1465" s="1">
        <f t="shared" ref="BL1465:BL1499" si="2070">MAX(AB1465,0)</f>
        <v>1</v>
      </c>
      <c r="BM1465" s="1">
        <f t="shared" si="2068"/>
        <v>1</v>
      </c>
      <c r="BN1465" s="1">
        <f t="shared" si="2045"/>
        <v>1</v>
      </c>
      <c r="BO1465" s="1">
        <f t="shared" si="2046"/>
        <v>1</v>
      </c>
    </row>
    <row r="1466" spans="1:67" ht="30.95" customHeight="1">
      <c r="A1466" s="1">
        <f>40</f>
        <v>40</v>
      </c>
      <c r="B1466" s="1">
        <f>固定流程!A26</f>
        <v>21</v>
      </c>
      <c r="C1466" s="1">
        <f>43</f>
        <v>43</v>
      </c>
      <c r="D1466" s="1">
        <f>1</f>
        <v>1</v>
      </c>
      <c r="E1466" s="1">
        <f>固定流程!C26</f>
        <v>3</v>
      </c>
      <c r="F1466" s="1">
        <f>固定流程!G26</f>
        <v>1</v>
      </c>
      <c r="G1466" s="1" t="str">
        <f>固定流程!H26</f>
        <v>LILYA_DIVE</v>
      </c>
      <c r="H1466" s="1">
        <f>固定流程!F26</f>
        <v>3</v>
      </c>
      <c r="I1466" s="1">
        <f>INDEX(配置与结果!$B$15:$B$18,F1466)</f>
        <v>2296</v>
      </c>
      <c r="J1466" s="1">
        <f>INDEX(配置与结果!$D$15:$D$18,F1466)</f>
        <v>0.7</v>
      </c>
      <c r="K1466" s="1">
        <f>INDEX(配置与结果!$E$15:$E$18,F1466)</f>
        <v>2.0249999999999999</v>
      </c>
      <c r="L1466" s="1">
        <f t="shared" si="2057"/>
        <v>2</v>
      </c>
      <c r="M1466" s="1">
        <f t="shared" si="2058"/>
        <v>10</v>
      </c>
      <c r="N1466" s="1">
        <f t="shared" si="2059"/>
        <v>2</v>
      </c>
      <c r="O1466" s="1">
        <f t="shared" si="2051"/>
        <v>0</v>
      </c>
      <c r="P1466" s="1">
        <f>MIN(方案参数!$AI$43,AZ1465+0+0)</f>
        <v>5</v>
      </c>
      <c r="Q1466" s="1">
        <f t="shared" si="2029"/>
        <v>5</v>
      </c>
      <c r="R1466" s="1">
        <f t="shared" si="2030"/>
        <v>20</v>
      </c>
      <c r="S1466" s="1">
        <f t="shared" si="2031"/>
        <v>3</v>
      </c>
      <c r="T1466" s="1">
        <f t="shared" si="2066"/>
        <v>1</v>
      </c>
      <c r="U1466" s="1">
        <f t="shared" si="2033"/>
        <v>0</v>
      </c>
      <c r="V1466" s="1">
        <f t="shared" si="2034"/>
        <v>3</v>
      </c>
      <c r="W1466" s="1">
        <f t="shared" si="2035"/>
        <v>1</v>
      </c>
      <c r="X1466" s="1">
        <f t="shared" si="2036"/>
        <v>1</v>
      </c>
      <c r="Y1466" s="1">
        <f t="shared" si="2037"/>
        <v>1</v>
      </c>
      <c r="Z1466" s="1">
        <f t="shared" si="2038"/>
        <v>1</v>
      </c>
      <c r="AA1466" s="1">
        <f t="shared" si="2062"/>
        <v>1</v>
      </c>
      <c r="AB1466" s="1">
        <f t="shared" si="2040"/>
        <v>1</v>
      </c>
      <c r="AC1466" s="1">
        <f t="shared" si="2067"/>
        <v>1</v>
      </c>
      <c r="AD1466" s="1">
        <f>ROUNDDOWN(I1466*(1+IF(F1466=3,0.05+方案参数!$Y$43+AA1466*0.12,IF(F1466=4,方案参数!$BZ$43*方案参数!$AS$43,0)))+IF(AND(X1466=1,F1466&lt;&gt;3),方案参数!$CC$43,0)+AC1466*方案参数!$CB$43,0)</f>
        <v>3034</v>
      </c>
      <c r="AE1466" s="1">
        <f>IF(OR(F1466=1,F1466=4),配置与结果!$B$24,配置与结果!$B$25)*MAX(0,1-INDEX(配置与结果!$I$15:$I$18,F1466))</f>
        <v>1200</v>
      </c>
      <c r="AF1466" s="1">
        <f>(IF(L1466=1,方案参数!$AW$43,IF(L1466=2,方案参数!$AX$43,0))+方案参数!$AV$43)*H1466</f>
        <v>30</v>
      </c>
      <c r="AG1466" s="1">
        <f>MAX(配置与结果!$B$32,1+INDEX(配置与结果!$F$15:$F$18,F1466)+0.08+方案参数!$CD$43+Q1466*方案参数!$W$43+Y1466*(方案参数!$AN$43+MIN(方案参数!$AO$43,P1466*0.03))+AB1466*方案参数!$BZ$43*0.025+IF(L1466=1,方案参数!$AY$43+(H1466-1)*0.1,IF(L1466=2,方案参数!$AZ$43+(H1466-1)*0.2,0))-配置与结果!$B$28)</f>
        <v>2.8150000000000004</v>
      </c>
      <c r="AH1466" s="1">
        <f>MAX(0,1+INDEX(配置与结果!$G$15:$G$18,F1466)+W1466*方案参数!$AG$43+IF(L1466=1,方案参数!$BA$43,IF(L1466=2,方案参数!$BB$43,0))+M1466*方案参数!$BC$43)</f>
        <v>3.1</v>
      </c>
      <c r="AI1466" s="1">
        <f>IF(OR(INDEX(配置与结果!$K$15:$K$18,F1466)=1,G1466="RHI_BERRY"),1+配置与结果!$B$33+P1466*方案参数!$AH$43,1)</f>
        <v>1</v>
      </c>
      <c r="AJ1466" s="1">
        <f>MIN(1,MAX(0,J1466+方案参数!$AB$43-配置与结果!$B$27))</f>
        <v>1</v>
      </c>
      <c r="AK1466" s="1">
        <f>MAX(1,K1466+IF(F1466=2,0.15+方案参数!$CH$43,0)+BN1466*方案参数!$X$43+R1466*方案参数!$AA$43+0-配置与结果!$B$26+Z1466*(方案参数!$AP$43+MIN(方案参数!$AQ$43,P1466*0.03)))</f>
        <v>2.165</v>
      </c>
      <c r="AL1466" s="7">
        <f>ROUNDDOWN(MAX(AD1466*配置与结果!$B$31,AD1466-AE1466)*AF1466*AG1466*AH1466*AI1466,0)</f>
        <v>480132</v>
      </c>
      <c r="AM1466" s="7">
        <f>ROUNDDOWN(MAX(AD1466*配置与结果!$B$31,AD1466-AE1466)*AF1466*AG1466*AH1466*AI1466*AK1466,0)</f>
        <v>1039485</v>
      </c>
      <c r="AN1466" s="7">
        <f t="shared" si="1996"/>
        <v>1039485</v>
      </c>
      <c r="AO1466" s="7">
        <f>0</f>
        <v>0</v>
      </c>
      <c r="AP1466" s="7">
        <f>MAX(0,1+INDEX(配置与结果!$J$15:$J$18,F1466)+IF(T1466&gt;0,方案参数!$BY$43,0)-配置与结果!$B$30)</f>
        <v>2</v>
      </c>
      <c r="AQ1466" s="7">
        <f t="shared" si="1997"/>
        <v>0</v>
      </c>
      <c r="AR1466" s="7">
        <f t="shared" si="1998"/>
        <v>0</v>
      </c>
      <c r="AS1466" s="7">
        <f t="shared" si="1999"/>
        <v>0</v>
      </c>
      <c r="AT1466" s="7">
        <f>0</f>
        <v>0</v>
      </c>
      <c r="AU1466" s="7">
        <f t="shared" si="2000"/>
        <v>1039485</v>
      </c>
      <c r="AV1466" s="1">
        <f t="shared" si="2001"/>
        <v>2</v>
      </c>
      <c r="AW1466" s="1">
        <f>MIN(10,M1466+0+IF(L1466=1,方案参数!$BE$43,0))</f>
        <v>10</v>
      </c>
      <c r="AX1466" s="1">
        <f t="shared" si="2002"/>
        <v>2</v>
      </c>
      <c r="AY1466" s="1">
        <f>MIN(20,MAX(0,O1466+0+0-0))</f>
        <v>0</v>
      </c>
      <c r="AZ1466" s="1">
        <f t="shared" si="2003"/>
        <v>5</v>
      </c>
      <c r="BA1466" s="1">
        <f t="shared" si="2063"/>
        <v>5</v>
      </c>
      <c r="BB1466" s="1">
        <f t="shared" ref="BB1466:BB1481" si="2071">MIN(30,R1466+0)</f>
        <v>20</v>
      </c>
      <c r="BC1466" s="1">
        <f t="shared" si="2069"/>
        <v>3</v>
      </c>
      <c r="BD1466" s="1">
        <f t="shared" si="2050"/>
        <v>1</v>
      </c>
      <c r="BE1466" s="1">
        <f t="shared" si="2043"/>
        <v>0</v>
      </c>
      <c r="BF1466" s="1">
        <f>MIN(4,V1466+0)</f>
        <v>3</v>
      </c>
      <c r="BG1466" s="1">
        <f t="shared" si="2060"/>
        <v>1</v>
      </c>
      <c r="BH1466" s="1">
        <f t="shared" si="2044"/>
        <v>1</v>
      </c>
      <c r="BI1466" s="1">
        <f t="shared" si="2061"/>
        <v>1</v>
      </c>
      <c r="BJ1466" s="1">
        <f t="shared" si="2064"/>
        <v>1</v>
      </c>
      <c r="BK1466" s="1">
        <f t="shared" si="2065"/>
        <v>1</v>
      </c>
      <c r="BL1466" s="1">
        <f t="shared" si="2070"/>
        <v>1</v>
      </c>
      <c r="BM1466" s="1">
        <f t="shared" si="2068"/>
        <v>1</v>
      </c>
      <c r="BN1466" s="1">
        <f t="shared" si="2045"/>
        <v>1</v>
      </c>
      <c r="BO1466" s="1">
        <f t="shared" si="2046"/>
        <v>1</v>
      </c>
    </row>
    <row r="1467" spans="1:67" ht="30.95" customHeight="1">
      <c r="A1467" s="1">
        <f>40</f>
        <v>40</v>
      </c>
      <c r="B1467" s="1">
        <f>固定流程!A27</f>
        <v>22</v>
      </c>
      <c r="C1467" s="1">
        <f>43</f>
        <v>43</v>
      </c>
      <c r="D1467" s="1">
        <f>1</f>
        <v>1</v>
      </c>
      <c r="E1467" s="1">
        <f>固定流程!C27</f>
        <v>3</v>
      </c>
      <c r="F1467" s="1">
        <f>固定流程!G27</f>
        <v>3</v>
      </c>
      <c r="G1467" s="1" t="str">
        <f>固定流程!H27</f>
        <v>RHI_BERRY</v>
      </c>
      <c r="H1467" s="1">
        <f>固定流程!F27</f>
        <v>1</v>
      </c>
      <c r="I1467" s="1">
        <f>INDEX(配置与结果!$B$15:$B$18,F1467)</f>
        <v>2597</v>
      </c>
      <c r="J1467" s="1">
        <f>INDEX(配置与结果!$D$15:$D$18,F1467)</f>
        <v>0.255</v>
      </c>
      <c r="K1467" s="1">
        <f>INDEX(配置与结果!$E$15:$E$18,F1467)</f>
        <v>1.55</v>
      </c>
      <c r="L1467" s="1">
        <f t="shared" si="2057"/>
        <v>2</v>
      </c>
      <c r="M1467" s="1">
        <f t="shared" si="2058"/>
        <v>10</v>
      </c>
      <c r="N1467" s="1">
        <f t="shared" si="2059"/>
        <v>2</v>
      </c>
      <c r="O1467" s="1">
        <f t="shared" si="2051"/>
        <v>0</v>
      </c>
      <c r="P1467" s="1">
        <f>MIN(方案参数!$AI$43,AZ1466+0+0)</f>
        <v>5</v>
      </c>
      <c r="Q1467" s="1">
        <f t="shared" si="2029"/>
        <v>5</v>
      </c>
      <c r="R1467" s="1">
        <f t="shared" si="2030"/>
        <v>20</v>
      </c>
      <c r="S1467" s="1">
        <f t="shared" si="2031"/>
        <v>3</v>
      </c>
      <c r="T1467" s="1">
        <f t="shared" si="2066"/>
        <v>1</v>
      </c>
      <c r="U1467" s="1">
        <f t="shared" si="2033"/>
        <v>0</v>
      </c>
      <c r="V1467" s="1">
        <f t="shared" si="2034"/>
        <v>3</v>
      </c>
      <c r="W1467" s="1">
        <f t="shared" si="2035"/>
        <v>1</v>
      </c>
      <c r="X1467" s="1">
        <f t="shared" si="2036"/>
        <v>1</v>
      </c>
      <c r="Y1467" s="1">
        <f t="shared" si="2037"/>
        <v>1</v>
      </c>
      <c r="Z1467" s="1">
        <f t="shared" si="2038"/>
        <v>1</v>
      </c>
      <c r="AA1467" s="1">
        <f t="shared" si="2062"/>
        <v>1</v>
      </c>
      <c r="AB1467" s="1">
        <f t="shared" si="2040"/>
        <v>1</v>
      </c>
      <c r="AC1467" s="1">
        <f t="shared" si="2067"/>
        <v>1</v>
      </c>
      <c r="AD1467" s="1">
        <f>ROUNDDOWN(I1467*(1+IF(F1467=3,0.05+方案参数!$Y$43+AA1467*0.12,IF(F1467=4,方案参数!$BZ$43*方案参数!$AS$43,0)))+IF(AND(X1467=1,F1467&lt;&gt;3),方案参数!$CC$43,0)+AC1467*方案参数!$CB$43,0)</f>
        <v>3798</v>
      </c>
      <c r="AE1467" s="1">
        <f>IF(OR(F1467=1,F1467=4),配置与结果!$B$24,配置与结果!$B$25)*MAX(0,1-INDEX(配置与结果!$I$15:$I$18,F1467))</f>
        <v>1000</v>
      </c>
      <c r="AF1467" s="1">
        <f>方案参数!$CF$43+P1467*方案参数!$CG$43</f>
        <v>22.5</v>
      </c>
      <c r="AG1467" s="1">
        <f>MAX(配置与结果!$B$32,1+INDEX(配置与结果!$F$15:$F$18,F1467)+0+Q1467*方案参数!$W$43+Y1467*(方案参数!$AN$43+MIN(方案参数!$AO$43,P1467*0.03))+AB1467*方案参数!$BZ$43*0.025-配置与结果!$B$28)</f>
        <v>1.9100000000000001</v>
      </c>
      <c r="AH1467" s="1">
        <f>MAX(0,1+INDEX(配置与结果!$G$15:$G$18,F1467)+W1467*方案参数!$AG$43)</f>
        <v>1.3</v>
      </c>
      <c r="AI1467" s="1">
        <f>IF(OR(INDEX(配置与结果!$K$15:$K$18,F1467)=1,G1467="RHI_BERRY"),1+配置与结果!$B$33+P1467*方案参数!$AH$43,1)</f>
        <v>1.5</v>
      </c>
      <c r="AJ1467" s="1">
        <f>MIN(1,MAX(0,J1467+方案参数!$AB$43-配置与结果!$B$27))</f>
        <v>0.55499999999999994</v>
      </c>
      <c r="AK1467" s="1">
        <f>MAX(1,K1467+IF(F1467=2,0.15+方案参数!$CH$43,0)+BN1467*方案参数!$X$43+R1467*方案参数!$AA$43+0-配置与结果!$B$26+Z1467*(方案参数!$AP$43+MIN(方案参数!$AQ$43,P1467*0.03)))</f>
        <v>1.6900000000000002</v>
      </c>
      <c r="AL1467" s="7">
        <f>ROUNDDOWN(MAX(AD1467*配置与结果!$B$31,AD1467-AE1467)*AF1467*AG1467*AH1467*AI1467,0)</f>
        <v>234475</v>
      </c>
      <c r="AM1467" s="7">
        <f>ROUNDDOWN(MAX(AD1467*配置与结果!$B$31,AD1467-AE1467)*AF1467*AG1467*AH1467*AI1467*AK1467,0)</f>
        <v>396264</v>
      </c>
      <c r="AN1467" s="7">
        <f t="shared" si="1996"/>
        <v>324267.89500000002</v>
      </c>
      <c r="AO1467" s="7">
        <f>0</f>
        <v>0</v>
      </c>
      <c r="AP1467" s="7">
        <f>MAX(0,1+INDEX(配置与结果!$J$15:$J$18,F1467)+IF(T1467&gt;0,方案参数!$BY$43,0)-配置与结果!$B$30)</f>
        <v>2</v>
      </c>
      <c r="AQ1467" s="7">
        <f t="shared" si="1997"/>
        <v>0</v>
      </c>
      <c r="AR1467" s="7">
        <f t="shared" si="1998"/>
        <v>0</v>
      </c>
      <c r="AS1467" s="7">
        <f t="shared" si="1999"/>
        <v>0</v>
      </c>
      <c r="AT1467" s="7">
        <f>0</f>
        <v>0</v>
      </c>
      <c r="AU1467" s="7">
        <f t="shared" si="2000"/>
        <v>324267.89500000002</v>
      </c>
      <c r="AV1467" s="1">
        <f t="shared" si="2001"/>
        <v>2</v>
      </c>
      <c r="AW1467" s="1">
        <f t="shared" ref="AW1467:AW1483" si="2072">MIN(10,M1467+0+0)</f>
        <v>10</v>
      </c>
      <c r="AX1467" s="1">
        <f t="shared" si="2002"/>
        <v>2</v>
      </c>
      <c r="AY1467" s="1">
        <f>MIN(20,MAX(0,O1467+0+0-0))</f>
        <v>0</v>
      </c>
      <c r="AZ1467" s="1">
        <f t="shared" si="2003"/>
        <v>5</v>
      </c>
      <c r="BA1467" s="1">
        <f t="shared" si="2063"/>
        <v>5</v>
      </c>
      <c r="BB1467" s="1">
        <f t="shared" si="2071"/>
        <v>20</v>
      </c>
      <c r="BC1467" s="1">
        <f t="shared" si="2069"/>
        <v>3</v>
      </c>
      <c r="BD1467" s="1">
        <f t="shared" si="2050"/>
        <v>1</v>
      </c>
      <c r="BE1467" s="1">
        <f t="shared" si="2043"/>
        <v>0</v>
      </c>
      <c r="BF1467" s="1">
        <f>MIN(4,V1467+0)</f>
        <v>3</v>
      </c>
      <c r="BG1467" s="1">
        <f t="shared" si="2060"/>
        <v>1</v>
      </c>
      <c r="BH1467" s="1">
        <f t="shared" si="2044"/>
        <v>1</v>
      </c>
      <c r="BI1467" s="1">
        <f t="shared" si="2061"/>
        <v>1</v>
      </c>
      <c r="BJ1467" s="1">
        <f t="shared" si="2064"/>
        <v>1</v>
      </c>
      <c r="BK1467" s="1">
        <f t="shared" si="2065"/>
        <v>1</v>
      </c>
      <c r="BL1467" s="1">
        <f t="shared" si="2070"/>
        <v>1</v>
      </c>
      <c r="BM1467" s="1">
        <f t="shared" si="2068"/>
        <v>1</v>
      </c>
      <c r="BN1467" s="1">
        <f t="shared" si="2045"/>
        <v>1</v>
      </c>
      <c r="BO1467" s="1">
        <f t="shared" si="2046"/>
        <v>1</v>
      </c>
    </row>
    <row r="1468" spans="1:67" ht="30.95" customHeight="1">
      <c r="A1468" s="1">
        <f>40</f>
        <v>40</v>
      </c>
      <c r="B1468" s="1">
        <f>固定流程!A28</f>
        <v>23</v>
      </c>
      <c r="C1468" s="1">
        <f>43</f>
        <v>43</v>
      </c>
      <c r="D1468" s="1">
        <f>1</f>
        <v>1</v>
      </c>
      <c r="E1468" s="1">
        <f>固定流程!C28</f>
        <v>3</v>
      </c>
      <c r="F1468" s="1">
        <f>固定流程!G28</f>
        <v>2</v>
      </c>
      <c r="G1468" s="1" t="str">
        <f>固定流程!H28</f>
        <v>37_FOLLOW</v>
      </c>
      <c r="H1468" s="1">
        <f>固定流程!F28</f>
        <v>1</v>
      </c>
      <c r="I1468" s="1">
        <f>INDEX(配置与结果!$B$15:$B$18,F1468)</f>
        <v>2306</v>
      </c>
      <c r="J1468" s="1">
        <f>INDEX(配置与结果!$D$15:$D$18,F1468)</f>
        <v>0.46</v>
      </c>
      <c r="K1468" s="1">
        <f>INDEX(配置与结果!$E$15:$E$18,F1468)</f>
        <v>1.9279999999999999</v>
      </c>
      <c r="L1468" s="1">
        <f t="shared" si="2057"/>
        <v>2</v>
      </c>
      <c r="M1468" s="1">
        <f t="shared" si="2058"/>
        <v>10</v>
      </c>
      <c r="N1468" s="1">
        <f t="shared" si="2059"/>
        <v>2</v>
      </c>
      <c r="O1468" s="1">
        <f t="shared" si="2051"/>
        <v>0</v>
      </c>
      <c r="P1468" s="1">
        <f>MIN(方案参数!$AI$43,AZ1467+0+0)</f>
        <v>5</v>
      </c>
      <c r="Q1468" s="1">
        <f t="shared" si="2029"/>
        <v>5</v>
      </c>
      <c r="R1468" s="1">
        <f t="shared" si="2030"/>
        <v>20</v>
      </c>
      <c r="S1468" s="1">
        <f t="shared" si="2031"/>
        <v>3</v>
      </c>
      <c r="T1468" s="1">
        <f t="shared" si="2066"/>
        <v>1</v>
      </c>
      <c r="U1468" s="1">
        <f t="shared" si="2033"/>
        <v>0</v>
      </c>
      <c r="V1468" s="1">
        <f t="shared" si="2034"/>
        <v>3</v>
      </c>
      <c r="W1468" s="1">
        <f t="shared" si="2035"/>
        <v>1</v>
      </c>
      <c r="X1468" s="1">
        <f t="shared" si="2036"/>
        <v>1</v>
      </c>
      <c r="Y1468" s="1">
        <f t="shared" si="2037"/>
        <v>1</v>
      </c>
      <c r="Z1468" s="1">
        <f t="shared" si="2038"/>
        <v>1</v>
      </c>
      <c r="AA1468" s="1">
        <f t="shared" si="2062"/>
        <v>1</v>
      </c>
      <c r="AB1468" s="1">
        <f t="shared" si="2040"/>
        <v>1</v>
      </c>
      <c r="AC1468" s="1">
        <f t="shared" si="2067"/>
        <v>1</v>
      </c>
      <c r="AD1468" s="1">
        <f>ROUNDDOWN(I1468*(1+IF(F1468=3,0.05+方案参数!$Y$43+AA1468*0.12,IF(F1468=4,方案参数!$BZ$43*方案参数!$AS$43,0)))+IF(AND(X1468=1,F1468&lt;&gt;3),方案参数!$CC$43,0)+AC1468*方案参数!$CB$43,0)</f>
        <v>3044</v>
      </c>
      <c r="AE1468" s="1">
        <f>IF(OR(F1468=1,F1468=4),配置与结果!$B$24,配置与结果!$B$25)*MAX(0,1-INDEX(配置与结果!$I$15:$I$18,F1468))</f>
        <v>1000</v>
      </c>
      <c r="AF1468" s="1">
        <f>方案参数!$BV$43</f>
        <v>3</v>
      </c>
      <c r="AG1468" s="1">
        <f>MAX(配置与结果!$B$32,1+INDEX(配置与结果!$F$15:$F$18,F1468)+0+Q1468*方案参数!$W$43+Y1468*(方案参数!$AN$43+MIN(方案参数!$AO$43,P1468*0.03))+AB1468*方案参数!$BZ$43*0.025-配置与结果!$B$28)</f>
        <v>1.8800000000000003</v>
      </c>
      <c r="AH1468" s="1">
        <f>MAX(0,1+INDEX(配置与结果!$G$15:$G$18,F1468)+W1468*方案参数!$AG$43)</f>
        <v>1.3</v>
      </c>
      <c r="AI1468" s="1">
        <f>IF(OR(INDEX(配置与结果!$K$15:$K$18,F1468)=1,G1468="RHI_BERRY"),1+配置与结果!$B$33+P1468*方案参数!$AH$43,1)</f>
        <v>1</v>
      </c>
      <c r="AJ1468" s="1">
        <f>MIN(1,MAX(0,J1468+方案参数!$AB$43-配置与结果!$B$27))</f>
        <v>0.76</v>
      </c>
      <c r="AK1468" s="1">
        <f>MAX(1,K1468+IF(F1468=2,0.15+方案参数!$CH$43,0)+BN1468*方案参数!$X$43+R1468*方案参数!$AA$43+0-配置与结果!$B$26+Z1468*(方案参数!$AP$43+MIN(方案参数!$AQ$43,P1468*0.03)))</f>
        <v>2.3380000000000001</v>
      </c>
      <c r="AL1468" s="7">
        <f>ROUNDDOWN(MAX(AD1468*配置与结果!$B$31,AD1468-AE1468)*AF1468*AG1468*AH1468*AI1468,0)</f>
        <v>14986</v>
      </c>
      <c r="AM1468" s="7">
        <f>ROUNDDOWN(MAX(AD1468*配置与结果!$B$31,AD1468-AE1468)*AF1468*AG1468*AH1468*AI1468*AK1468,0)</f>
        <v>35038</v>
      </c>
      <c r="AN1468" s="7">
        <f t="shared" si="1996"/>
        <v>30225.52</v>
      </c>
      <c r="AO1468" s="7">
        <f>方案参数!$BW$43</f>
        <v>1</v>
      </c>
      <c r="AP1468" s="7">
        <f>MAX(0,1+INDEX(配置与结果!$J$15:$J$18,F1468)+IF(T1468&gt;0,方案参数!$BY$43,0)-配置与结果!$B$30)</f>
        <v>2</v>
      </c>
      <c r="AQ1468" s="7">
        <f t="shared" si="1997"/>
        <v>6088</v>
      </c>
      <c r="AR1468" s="7">
        <f t="shared" si="1998"/>
        <v>14233</v>
      </c>
      <c r="AS1468" s="7">
        <f t="shared" si="1999"/>
        <v>12278.2</v>
      </c>
      <c r="AT1468" s="7">
        <f>0</f>
        <v>0</v>
      </c>
      <c r="AU1468" s="7">
        <f t="shared" si="2000"/>
        <v>42503.72</v>
      </c>
      <c r="AV1468" s="1">
        <f t="shared" si="2001"/>
        <v>2</v>
      </c>
      <c r="AW1468" s="1">
        <f t="shared" si="2072"/>
        <v>10</v>
      </c>
      <c r="AX1468" s="1">
        <f t="shared" si="2002"/>
        <v>2</v>
      </c>
      <c r="AY1468" s="1">
        <f>MIN(20,MAX(0,O1468+0+0-0))</f>
        <v>0</v>
      </c>
      <c r="AZ1468" s="1">
        <f t="shared" si="2003"/>
        <v>5</v>
      </c>
      <c r="BA1468" s="1">
        <f t="shared" si="2063"/>
        <v>5</v>
      </c>
      <c r="BB1468" s="1">
        <f t="shared" si="2071"/>
        <v>20</v>
      </c>
      <c r="BC1468" s="1">
        <f t="shared" si="2069"/>
        <v>3</v>
      </c>
      <c r="BD1468" s="1">
        <f t="shared" si="2050"/>
        <v>0</v>
      </c>
      <c r="BE1468" s="1">
        <f t="shared" si="2043"/>
        <v>0</v>
      </c>
      <c r="BF1468" s="1">
        <f>MIN(4,V1468+1)</f>
        <v>4</v>
      </c>
      <c r="BG1468" s="1">
        <f t="shared" si="2060"/>
        <v>1</v>
      </c>
      <c r="BH1468" s="1">
        <f t="shared" si="2044"/>
        <v>1</v>
      </c>
      <c r="BI1468" s="1">
        <f t="shared" si="2061"/>
        <v>1</v>
      </c>
      <c r="BJ1468" s="1">
        <f t="shared" si="2064"/>
        <v>1</v>
      </c>
      <c r="BK1468" s="1">
        <f t="shared" si="2065"/>
        <v>1</v>
      </c>
      <c r="BL1468" s="1">
        <f t="shared" si="2070"/>
        <v>1</v>
      </c>
      <c r="BM1468" s="1">
        <f t="shared" si="2068"/>
        <v>1</v>
      </c>
      <c r="BN1468" s="1">
        <f t="shared" si="2045"/>
        <v>1</v>
      </c>
      <c r="BO1468" s="1">
        <f t="shared" si="2046"/>
        <v>1</v>
      </c>
    </row>
    <row r="1469" spans="1:67" ht="30.95" customHeight="1">
      <c r="A1469" s="1">
        <f>40</f>
        <v>40</v>
      </c>
      <c r="B1469" s="1">
        <f>固定流程!A29</f>
        <v>24</v>
      </c>
      <c r="C1469" s="1">
        <f>43</f>
        <v>43</v>
      </c>
      <c r="D1469" s="1">
        <f>2</f>
        <v>2</v>
      </c>
      <c r="E1469" s="1">
        <f>固定流程!C29</f>
        <v>3</v>
      </c>
      <c r="F1469" s="1">
        <f>固定流程!G29</f>
        <v>1</v>
      </c>
      <c r="G1469" s="1" t="str">
        <f>固定流程!H29</f>
        <v>LILYA_WEAK</v>
      </c>
      <c r="H1469" s="1">
        <f>固定流程!F29</f>
        <v>1</v>
      </c>
      <c r="I1469" s="1">
        <f>INDEX(配置与结果!$B$15:$B$18,F1469)</f>
        <v>2296</v>
      </c>
      <c r="J1469" s="1">
        <f>INDEX(配置与结果!$D$15:$D$18,F1469)</f>
        <v>0.7</v>
      </c>
      <c r="K1469" s="1">
        <f>INDEX(配置与结果!$E$15:$E$18,F1469)</f>
        <v>2.0249999999999999</v>
      </c>
      <c r="L1469" s="1">
        <f t="shared" si="2057"/>
        <v>2</v>
      </c>
      <c r="M1469" s="1">
        <f t="shared" si="2058"/>
        <v>10</v>
      </c>
      <c r="N1469" s="1">
        <f t="shared" si="2059"/>
        <v>2</v>
      </c>
      <c r="O1469" s="1">
        <f t="shared" si="2051"/>
        <v>0</v>
      </c>
      <c r="P1469" s="1">
        <f>MIN(方案参数!$AI$43,AZ1468+0+0)</f>
        <v>5</v>
      </c>
      <c r="Q1469" s="1">
        <f t="shared" si="2029"/>
        <v>5</v>
      </c>
      <c r="R1469" s="1">
        <f t="shared" si="2030"/>
        <v>20</v>
      </c>
      <c r="S1469" s="1">
        <f t="shared" si="2031"/>
        <v>3</v>
      </c>
      <c r="T1469" s="1">
        <f t="shared" si="2066"/>
        <v>0</v>
      </c>
      <c r="U1469" s="1">
        <f t="shared" si="2033"/>
        <v>0</v>
      </c>
      <c r="V1469" s="1">
        <f t="shared" si="2034"/>
        <v>4</v>
      </c>
      <c r="W1469" s="1">
        <f t="shared" si="2035"/>
        <v>1</v>
      </c>
      <c r="X1469" s="1">
        <f t="shared" si="2036"/>
        <v>1</v>
      </c>
      <c r="Y1469" s="1">
        <f t="shared" si="2037"/>
        <v>1</v>
      </c>
      <c r="Z1469" s="1">
        <f t="shared" si="2038"/>
        <v>1</v>
      </c>
      <c r="AA1469" s="1">
        <f t="shared" si="2062"/>
        <v>1</v>
      </c>
      <c r="AB1469" s="1">
        <f t="shared" si="2040"/>
        <v>1</v>
      </c>
      <c r="AC1469" s="1">
        <f t="shared" si="2067"/>
        <v>1</v>
      </c>
      <c r="AD1469" s="1">
        <f>ROUNDDOWN(I1469*(1+IF(F1469=3,0.05+方案参数!$Y$43+AA1469*0.12,IF(F1469=4,方案参数!$BZ$43*方案参数!$AS$43,0)))+IF(AND(X1469=1,F1469&lt;&gt;3),方案参数!$CC$43,0)+AC1469*方案参数!$CB$43,0)</f>
        <v>3034</v>
      </c>
      <c r="AE1469" s="1">
        <f>IF(OR(F1469=1,F1469=4),配置与结果!$B$24,配置与结果!$B$25)*MAX(0,1-INDEX(配置与结果!$I$15:$I$18,F1469))</f>
        <v>1200</v>
      </c>
      <c r="AF1469" s="1">
        <f>方案参数!$BL$43</f>
        <v>9</v>
      </c>
      <c r="AG1469" s="1">
        <f>MAX(配置与结果!$B$32,1+INDEX(配置与结果!$F$15:$F$18,F1469)+0.08+方案参数!$CD$43+Q1469*方案参数!$W$43+Y1469*(方案参数!$AN$43+MIN(方案参数!$AO$43,P1469*0.03))+AB1469*方案参数!$BZ$43*0.025-配置与结果!$B$28+方案参数!$AE$43)</f>
        <v>2.6150000000000002</v>
      </c>
      <c r="AH1469" s="1">
        <f>MAX(0,1+V1469*方案参数!$U$43+0*方案参数!$V$43+方案参数!$AE$43-配置与结果!$B$29)</f>
        <v>1.56</v>
      </c>
      <c r="AI1469" s="1">
        <f>IF(OR(INDEX(配置与结果!$K$15:$K$18,F1469)=1,G1469="RHI_BERRY"),1+配置与结果!$B$33+P1469*方案参数!$AH$43,1)</f>
        <v>1</v>
      </c>
      <c r="AJ1469" s="1">
        <f>MIN(1,MAX(0,J1469+方案参数!$AB$43-配置与结果!$B$27))</f>
        <v>1</v>
      </c>
      <c r="AK1469" s="1">
        <f>MAX(1,K1469+IF(F1469=2,0.15+方案参数!$CH$43,0)+BN1469*方案参数!$X$43+R1469*方案参数!$AA$43+方案参数!$BP$43-配置与结果!$B$26+Z1469*(方案参数!$AP$43+MIN(方案参数!$AQ$43,P1469*0.03)))</f>
        <v>2.7650000000000001</v>
      </c>
      <c r="AL1469" s="7">
        <f>ROUNDDOWN(MAX(AD1469*配置与结果!$B$31,AD1469-AE1469)*AF1469*AG1469*AH1469*AI1469,0)</f>
        <v>67334</v>
      </c>
      <c r="AM1469" s="7">
        <f>ROUNDDOWN(MAX(AD1469*配置与结果!$B$31,AD1469-AE1469)*AF1469*AG1469*AH1469*AI1469*AK1469,0)</f>
        <v>186180</v>
      </c>
      <c r="AN1469" s="7">
        <f t="shared" si="1996"/>
        <v>186180</v>
      </c>
      <c r="AO1469" s="7">
        <f>0</f>
        <v>0</v>
      </c>
      <c r="AP1469" s="7">
        <f>MAX(0,1+INDEX(配置与结果!$J$15:$J$18,F1469)+IF(T1469&gt;0,方案参数!$BY$43,0)-配置与结果!$B$30)</f>
        <v>1</v>
      </c>
      <c r="AQ1469" s="7">
        <f t="shared" si="1997"/>
        <v>0</v>
      </c>
      <c r="AR1469" s="7">
        <f t="shared" si="1998"/>
        <v>0</v>
      </c>
      <c r="AS1469" s="7">
        <f t="shared" si="1999"/>
        <v>0</v>
      </c>
      <c r="AT1469" s="7">
        <f>IF(U1469&gt;0,ROUNDDOWN(AL1469*方案参数!$AF$43,0)*(1-AJ1469)+ROUNDDOWN(AM1469*方案参数!$AF$43,0)*AJ1469,0)</f>
        <v>0</v>
      </c>
      <c r="AU1469" s="7">
        <f t="shared" si="2000"/>
        <v>186180</v>
      </c>
      <c r="AV1469" s="1">
        <f t="shared" si="2001"/>
        <v>2</v>
      </c>
      <c r="AW1469" s="1">
        <f t="shared" si="2072"/>
        <v>10</v>
      </c>
      <c r="AX1469" s="1">
        <f t="shared" si="2002"/>
        <v>2</v>
      </c>
      <c r="AY1469" s="1">
        <f>MIN(20,MAX(0,O1469+0+1-0))</f>
        <v>1</v>
      </c>
      <c r="AZ1469" s="1">
        <f t="shared" si="2003"/>
        <v>5</v>
      </c>
      <c r="BA1469" s="1">
        <f t="shared" si="2063"/>
        <v>5</v>
      </c>
      <c r="BB1469" s="1">
        <f t="shared" si="2071"/>
        <v>20</v>
      </c>
      <c r="BC1469" s="1">
        <f t="shared" si="2069"/>
        <v>3</v>
      </c>
      <c r="BD1469" s="1">
        <f t="shared" si="2050"/>
        <v>0</v>
      </c>
      <c r="BE1469" s="1">
        <f>MAX(0,U1469-IF(AF1469&gt;0,1,0))+0</f>
        <v>0</v>
      </c>
      <c r="BF1469" s="1">
        <f t="shared" ref="BF1469:BF1486" si="2073">MIN(4,V1469+0)</f>
        <v>4</v>
      </c>
      <c r="BG1469" s="1">
        <f t="shared" si="2060"/>
        <v>1</v>
      </c>
      <c r="BH1469" s="1">
        <f t="shared" si="2044"/>
        <v>1</v>
      </c>
      <c r="BI1469" s="1">
        <f t="shared" si="2061"/>
        <v>1</v>
      </c>
      <c r="BJ1469" s="1">
        <f t="shared" si="2064"/>
        <v>1</v>
      </c>
      <c r="BK1469" s="1">
        <f t="shared" si="2065"/>
        <v>1</v>
      </c>
      <c r="BL1469" s="1">
        <f t="shared" si="2070"/>
        <v>1</v>
      </c>
      <c r="BM1469" s="1">
        <f t="shared" si="2068"/>
        <v>1</v>
      </c>
      <c r="BN1469" s="1">
        <f t="shared" si="2045"/>
        <v>1</v>
      </c>
      <c r="BO1469" s="1">
        <f t="shared" si="2046"/>
        <v>1</v>
      </c>
    </row>
    <row r="1470" spans="1:67" ht="30.95" customHeight="1">
      <c r="A1470" s="1">
        <f>40</f>
        <v>40</v>
      </c>
      <c r="B1470" s="1">
        <f>固定流程!A30</f>
        <v>25</v>
      </c>
      <c r="C1470" s="1">
        <f>43</f>
        <v>43</v>
      </c>
      <c r="D1470" s="1">
        <f>2</f>
        <v>2</v>
      </c>
      <c r="E1470" s="1">
        <f>固定流程!C30</f>
        <v>3</v>
      </c>
      <c r="F1470" s="1">
        <f>固定流程!G30</f>
        <v>1</v>
      </c>
      <c r="G1470" s="1" t="str">
        <f>固定流程!H30</f>
        <v>LILYA_WEAK</v>
      </c>
      <c r="H1470" s="1">
        <f>固定流程!F30</f>
        <v>1</v>
      </c>
      <c r="I1470" s="1">
        <f>INDEX(配置与结果!$B$15:$B$18,F1470)</f>
        <v>2296</v>
      </c>
      <c r="J1470" s="1">
        <f>INDEX(配置与结果!$D$15:$D$18,F1470)</f>
        <v>0.7</v>
      </c>
      <c r="K1470" s="1">
        <f>INDEX(配置与结果!$E$15:$E$18,F1470)</f>
        <v>2.0249999999999999</v>
      </c>
      <c r="L1470" s="1">
        <f t="shared" si="2057"/>
        <v>2</v>
      </c>
      <c r="M1470" s="1">
        <f t="shared" si="2058"/>
        <v>10</v>
      </c>
      <c r="N1470" s="1">
        <f t="shared" si="2059"/>
        <v>2</v>
      </c>
      <c r="O1470" s="1">
        <f t="shared" si="2051"/>
        <v>1</v>
      </c>
      <c r="P1470" s="1">
        <f>MIN(方案参数!$AI$43,AZ1469+0+0)</f>
        <v>5</v>
      </c>
      <c r="Q1470" s="1">
        <f t="shared" si="2029"/>
        <v>5</v>
      </c>
      <c r="R1470" s="1">
        <f t="shared" si="2030"/>
        <v>20</v>
      </c>
      <c r="S1470" s="1">
        <f t="shared" si="2031"/>
        <v>3</v>
      </c>
      <c r="T1470" s="1">
        <f t="shared" si="2066"/>
        <v>0</v>
      </c>
      <c r="U1470" s="1">
        <f t="shared" si="2033"/>
        <v>0</v>
      </c>
      <c r="V1470" s="1">
        <f t="shared" si="2034"/>
        <v>4</v>
      </c>
      <c r="W1470" s="1">
        <f t="shared" si="2035"/>
        <v>1</v>
      </c>
      <c r="X1470" s="1">
        <f t="shared" si="2036"/>
        <v>1</v>
      </c>
      <c r="Y1470" s="1">
        <f t="shared" si="2037"/>
        <v>1</v>
      </c>
      <c r="Z1470" s="1">
        <f t="shared" si="2038"/>
        <v>1</v>
      </c>
      <c r="AA1470" s="1">
        <f t="shared" si="2062"/>
        <v>1</v>
      </c>
      <c r="AB1470" s="1">
        <f t="shared" si="2040"/>
        <v>1</v>
      </c>
      <c r="AC1470" s="1">
        <f t="shared" si="2067"/>
        <v>1</v>
      </c>
      <c r="AD1470" s="1">
        <f>ROUNDDOWN(I1470*(1+IF(F1470=3,0.05+方案参数!$Y$43+AA1470*0.12,IF(F1470=4,方案参数!$BZ$43*方案参数!$AS$43,0)))+IF(AND(X1470=1,F1470&lt;&gt;3),方案参数!$CC$43,0)+AC1470*方案参数!$CB$43,0)</f>
        <v>3034</v>
      </c>
      <c r="AE1470" s="1">
        <f>IF(OR(F1470=1,F1470=4),配置与结果!$B$24,配置与结果!$B$25)*MAX(0,1-INDEX(配置与结果!$I$15:$I$18,F1470))</f>
        <v>1200</v>
      </c>
      <c r="AF1470" s="1">
        <f>方案参数!$BL$43</f>
        <v>9</v>
      </c>
      <c r="AG1470" s="1">
        <f>MAX(配置与结果!$B$32,1+INDEX(配置与结果!$F$15:$F$18,F1470)+0.08+方案参数!$CD$43+Q1470*方案参数!$W$43+Y1470*(方案参数!$AN$43+MIN(方案参数!$AO$43,P1470*0.03))+AB1470*方案参数!$BZ$43*0.025-配置与结果!$B$28+方案参数!$AE$43)</f>
        <v>2.6150000000000002</v>
      </c>
      <c r="AH1470" s="1">
        <f>MAX(0,1+V1470*方案参数!$U$43+1*方案参数!$V$43+方案参数!$AE$43-配置与结果!$B$29)</f>
        <v>1.62</v>
      </c>
      <c r="AI1470" s="1">
        <f>IF(OR(INDEX(配置与结果!$K$15:$K$18,F1470)=1,G1470="RHI_BERRY"),1+配置与结果!$B$33+P1470*方案参数!$AH$43,1)</f>
        <v>1</v>
      </c>
      <c r="AJ1470" s="1">
        <f>MIN(1,MAX(0,J1470+方案参数!$AB$43-配置与结果!$B$27))</f>
        <v>1</v>
      </c>
      <c r="AK1470" s="1">
        <f>MAX(1,K1470+IF(F1470=2,0.15+方案参数!$CH$43,0)+BN1470*方案参数!$X$43+R1470*方案参数!$AA$43+方案参数!$BP$43-配置与结果!$B$26+Z1470*(方案参数!$AP$43+MIN(方案参数!$AQ$43,P1470*0.03)))</f>
        <v>2.7650000000000001</v>
      </c>
      <c r="AL1470" s="7">
        <f>ROUNDDOWN(MAX(AD1470*配置与结果!$B$31,AD1470-AE1470)*AF1470*AG1470*AH1470*AI1470,0)</f>
        <v>69924</v>
      </c>
      <c r="AM1470" s="7">
        <f>ROUNDDOWN(MAX(AD1470*配置与结果!$B$31,AD1470-AE1470)*AF1470*AG1470*AH1470*AI1470*AK1470,0)</f>
        <v>193340</v>
      </c>
      <c r="AN1470" s="7">
        <f t="shared" si="1996"/>
        <v>193340</v>
      </c>
      <c r="AO1470" s="7">
        <f>0</f>
        <v>0</v>
      </c>
      <c r="AP1470" s="7">
        <f>MAX(0,1+INDEX(配置与结果!$J$15:$J$18,F1470)+IF(T1470&gt;0,方案参数!$BY$43,0)-配置与结果!$B$30)</f>
        <v>1</v>
      </c>
      <c r="AQ1470" s="7">
        <f t="shared" si="1997"/>
        <v>0</v>
      </c>
      <c r="AR1470" s="7">
        <f t="shared" si="1998"/>
        <v>0</v>
      </c>
      <c r="AS1470" s="7">
        <f t="shared" si="1999"/>
        <v>0</v>
      </c>
      <c r="AT1470" s="7">
        <f>IF(U1470&gt;0,ROUNDDOWN(AL1470*方案参数!$AF$43,0)*(1-AJ1470)+ROUNDDOWN(AM1470*方案参数!$AF$43,0)*AJ1470,0)</f>
        <v>0</v>
      </c>
      <c r="AU1470" s="7">
        <f t="shared" si="2000"/>
        <v>193340</v>
      </c>
      <c r="AV1470" s="1">
        <f t="shared" si="2001"/>
        <v>2</v>
      </c>
      <c r="AW1470" s="1">
        <f t="shared" si="2072"/>
        <v>10</v>
      </c>
      <c r="AX1470" s="1">
        <f t="shared" si="2002"/>
        <v>2</v>
      </c>
      <c r="AY1470" s="1">
        <f>MIN(20,MAX(0,O1470+0+1-0))</f>
        <v>2</v>
      </c>
      <c r="AZ1470" s="1">
        <f t="shared" si="2003"/>
        <v>5</v>
      </c>
      <c r="BA1470" s="1">
        <f t="shared" si="2063"/>
        <v>5</v>
      </c>
      <c r="BB1470" s="1">
        <f t="shared" si="2071"/>
        <v>20</v>
      </c>
      <c r="BC1470" s="1">
        <f t="shared" si="2069"/>
        <v>3</v>
      </c>
      <c r="BD1470" s="1">
        <f t="shared" si="2050"/>
        <v>0</v>
      </c>
      <c r="BE1470" s="1">
        <f>MAX(0,U1470-IF(AF1470&gt;0,1,0))+0</f>
        <v>0</v>
      </c>
      <c r="BF1470" s="1">
        <f t="shared" si="2073"/>
        <v>4</v>
      </c>
      <c r="BG1470" s="1">
        <f t="shared" si="2060"/>
        <v>1</v>
      </c>
      <c r="BH1470" s="1">
        <f t="shared" si="2044"/>
        <v>1</v>
      </c>
      <c r="BI1470" s="1">
        <f t="shared" si="2061"/>
        <v>1</v>
      </c>
      <c r="BJ1470" s="1">
        <f t="shared" si="2064"/>
        <v>1</v>
      </c>
      <c r="BK1470" s="1">
        <f t="shared" si="2065"/>
        <v>1</v>
      </c>
      <c r="BL1470" s="1">
        <f t="shared" si="2070"/>
        <v>1</v>
      </c>
      <c r="BM1470" s="1">
        <f t="shared" si="2068"/>
        <v>1</v>
      </c>
      <c r="BN1470" s="1">
        <f t="shared" si="2045"/>
        <v>1</v>
      </c>
      <c r="BO1470" s="1">
        <f t="shared" si="2046"/>
        <v>1</v>
      </c>
    </row>
    <row r="1471" spans="1:67" ht="30.95" customHeight="1">
      <c r="A1471" s="1">
        <f>40</f>
        <v>40</v>
      </c>
      <c r="B1471" s="1">
        <f>固定流程!A31</f>
        <v>26</v>
      </c>
      <c r="C1471" s="1">
        <f>43</f>
        <v>43</v>
      </c>
      <c r="D1471" s="1">
        <f>2</f>
        <v>2</v>
      </c>
      <c r="E1471" s="1">
        <f>固定流程!C31</f>
        <v>3</v>
      </c>
      <c r="F1471" s="1">
        <f>固定流程!G31</f>
        <v>2</v>
      </c>
      <c r="G1471" s="1" t="str">
        <f>固定流程!H31</f>
        <v>37_WEAK</v>
      </c>
      <c r="H1471" s="1">
        <f>固定流程!F31</f>
        <v>1</v>
      </c>
      <c r="I1471" s="1">
        <f>INDEX(配置与结果!$B$15:$B$18,F1471)</f>
        <v>2306</v>
      </c>
      <c r="J1471" s="1">
        <f>INDEX(配置与结果!$D$15:$D$18,F1471)</f>
        <v>0.46</v>
      </c>
      <c r="K1471" s="1">
        <f>INDEX(配置与结果!$E$15:$E$18,F1471)</f>
        <v>1.9279999999999999</v>
      </c>
      <c r="L1471" s="1">
        <f t="shared" si="2057"/>
        <v>2</v>
      </c>
      <c r="M1471" s="1">
        <f t="shared" si="2058"/>
        <v>10</v>
      </c>
      <c r="N1471" s="1">
        <f t="shared" si="2059"/>
        <v>2</v>
      </c>
      <c r="O1471" s="1">
        <f t="shared" si="2051"/>
        <v>2</v>
      </c>
      <c r="P1471" s="1">
        <f>MIN(方案参数!$AI$43,AZ1470+0+0)</f>
        <v>5</v>
      </c>
      <c r="Q1471" s="1">
        <f t="shared" si="2029"/>
        <v>5</v>
      </c>
      <c r="R1471" s="1">
        <f t="shared" si="2030"/>
        <v>20</v>
      </c>
      <c r="S1471" s="1">
        <f t="shared" si="2031"/>
        <v>3</v>
      </c>
      <c r="T1471" s="1">
        <f t="shared" si="2066"/>
        <v>0</v>
      </c>
      <c r="U1471" s="1">
        <f t="shared" si="2033"/>
        <v>0</v>
      </c>
      <c r="V1471" s="1">
        <f t="shared" si="2034"/>
        <v>4</v>
      </c>
      <c r="W1471" s="1">
        <f t="shared" si="2035"/>
        <v>1</v>
      </c>
      <c r="X1471" s="1">
        <f t="shared" si="2036"/>
        <v>1</v>
      </c>
      <c r="Y1471" s="1">
        <f t="shared" si="2037"/>
        <v>1</v>
      </c>
      <c r="Z1471" s="1">
        <f t="shared" si="2038"/>
        <v>1</v>
      </c>
      <c r="AA1471" s="1">
        <f t="shared" si="2062"/>
        <v>1</v>
      </c>
      <c r="AB1471" s="1">
        <f t="shared" si="2040"/>
        <v>1</v>
      </c>
      <c r="AC1471" s="1">
        <f t="shared" si="2067"/>
        <v>1</v>
      </c>
      <c r="AD1471" s="1">
        <f>ROUNDDOWN(I1471*(1+IF(F1471=3,0.05+方案参数!$Y$43+AA1471*0.12,IF(F1471=4,方案参数!$BZ$43*方案参数!$AS$43,0)))+IF(AND(X1471=1,F1471&lt;&gt;3),方案参数!$CC$43,0)+AC1471*方案参数!$CB$43,0)</f>
        <v>3044</v>
      </c>
      <c r="AE1471" s="1">
        <f>IF(OR(F1471=1,F1471=4),配置与结果!$B$24,配置与结果!$B$25)*MAX(0,1-INDEX(配置与结果!$I$15:$I$18,F1471))</f>
        <v>1000</v>
      </c>
      <c r="AF1471" s="1">
        <f>方案参数!$CE$43</f>
        <v>8</v>
      </c>
      <c r="AG1471" s="1">
        <f>MAX(配置与结果!$B$32,1+INDEX(配置与结果!$F$15:$F$18,F1471)+0+Q1471*方案参数!$W$43+Y1471*(方案参数!$AN$43+MIN(方案参数!$AO$43,P1471*0.03))+AB1471*方案参数!$BZ$43*0.025-配置与结果!$B$28+方案参数!$AE$43)</f>
        <v>2.2800000000000002</v>
      </c>
      <c r="AH1471" s="1">
        <f>MAX(0,1+V1471*方案参数!$U$43+方案参数!$AE$43-配置与结果!$B$29)</f>
        <v>1.56</v>
      </c>
      <c r="AI1471" s="1">
        <f>IF(OR(INDEX(配置与结果!$K$15:$K$18,F1471)=1,G1471="RHI_BERRY"),1+配置与结果!$B$33+P1471*方案参数!$AH$43,1)</f>
        <v>1</v>
      </c>
      <c r="AJ1471" s="1">
        <f>MIN(1,MAX(0,J1471+方案参数!$AB$43-配置与结果!$B$27))</f>
        <v>0.76</v>
      </c>
      <c r="AK1471" s="1">
        <f>MAX(1,K1471+IF(F1471=2,0.15+方案参数!$CH$43,0)+BN1471*方案参数!$X$43+R1471*方案参数!$AA$43+0-配置与结果!$B$26+Z1471*(方案参数!$AP$43+MIN(方案参数!$AQ$43,P1471*0.03)))</f>
        <v>2.3380000000000001</v>
      </c>
      <c r="AL1471" s="7">
        <f>ROUNDDOWN(MAX(AD1471*配置与结果!$B$31,AD1471-AE1471)*AF1471*AG1471*AH1471*AI1471,0)</f>
        <v>58160</v>
      </c>
      <c r="AM1471" s="7">
        <f>ROUNDDOWN(MAX(AD1471*配置与结果!$B$31,AD1471-AE1471)*AF1471*AG1471*AH1471*AI1471*AK1471,0)</f>
        <v>135979</v>
      </c>
      <c r="AN1471" s="7">
        <f t="shared" si="1996"/>
        <v>117302.44</v>
      </c>
      <c r="AO1471" s="7">
        <f>0</f>
        <v>0</v>
      </c>
      <c r="AP1471" s="7">
        <f>MAX(0,1+INDEX(配置与结果!$J$15:$J$18,F1471)+IF(T1471&gt;0,方案参数!$BY$43,0)-配置与结果!$B$30)</f>
        <v>1</v>
      </c>
      <c r="AQ1471" s="7">
        <f t="shared" si="1997"/>
        <v>0</v>
      </c>
      <c r="AR1471" s="7">
        <f t="shared" si="1998"/>
        <v>0</v>
      </c>
      <c r="AS1471" s="7">
        <f t="shared" si="1999"/>
        <v>0</v>
      </c>
      <c r="AT1471" s="7">
        <f>IF(U1471&gt;0,ROUNDDOWN(AL1471*方案参数!$AF$43,0)*(1-AJ1471)+ROUNDDOWN(AM1471*方案参数!$AF$43,0)*AJ1471,0)</f>
        <v>0</v>
      </c>
      <c r="AU1471" s="7">
        <f t="shared" si="2000"/>
        <v>117302.44</v>
      </c>
      <c r="AV1471" s="1">
        <f t="shared" si="2001"/>
        <v>2</v>
      </c>
      <c r="AW1471" s="1">
        <f t="shared" si="2072"/>
        <v>10</v>
      </c>
      <c r="AX1471" s="1">
        <f t="shared" si="2002"/>
        <v>2</v>
      </c>
      <c r="AY1471" s="1">
        <f>MIN(20,MAX(0,O1471+0+0-0))</f>
        <v>2</v>
      </c>
      <c r="AZ1471" s="1">
        <f t="shared" si="2003"/>
        <v>5</v>
      </c>
      <c r="BA1471" s="1">
        <f t="shared" si="2063"/>
        <v>5</v>
      </c>
      <c r="BB1471" s="1">
        <f t="shared" si="2071"/>
        <v>20</v>
      </c>
      <c r="BC1471" s="1">
        <f t="shared" si="2069"/>
        <v>3</v>
      </c>
      <c r="BD1471" s="1">
        <f t="shared" si="2050"/>
        <v>0</v>
      </c>
      <c r="BE1471" s="1">
        <f>MAX(0,U1471-IF(AF1471&gt;0,1,0))+1</f>
        <v>1</v>
      </c>
      <c r="BF1471" s="1">
        <f t="shared" si="2073"/>
        <v>4</v>
      </c>
      <c r="BG1471" s="1">
        <f t="shared" si="2060"/>
        <v>1</v>
      </c>
      <c r="BH1471" s="1">
        <f t="shared" si="2044"/>
        <v>1</v>
      </c>
      <c r="BI1471" s="1">
        <f t="shared" si="2061"/>
        <v>1</v>
      </c>
      <c r="BJ1471" s="1">
        <f t="shared" si="2064"/>
        <v>1</v>
      </c>
      <c r="BK1471" s="1">
        <f t="shared" si="2065"/>
        <v>1</v>
      </c>
      <c r="BL1471" s="1">
        <f t="shared" si="2070"/>
        <v>1</v>
      </c>
      <c r="BM1471" s="1">
        <f t="shared" si="2068"/>
        <v>1</v>
      </c>
      <c r="BN1471" s="1">
        <f t="shared" si="2045"/>
        <v>1</v>
      </c>
      <c r="BO1471" s="1">
        <f t="shared" si="2046"/>
        <v>1</v>
      </c>
    </row>
    <row r="1472" spans="1:67" ht="30.95" customHeight="1">
      <c r="A1472" s="1">
        <f>40</f>
        <v>40</v>
      </c>
      <c r="B1472" s="1">
        <f>固定流程!A32</f>
        <v>27</v>
      </c>
      <c r="C1472" s="1">
        <f>43</f>
        <v>43</v>
      </c>
      <c r="D1472" s="1">
        <f>2</f>
        <v>2</v>
      </c>
      <c r="E1472" s="1">
        <f>固定流程!C32</f>
        <v>3</v>
      </c>
      <c r="F1472" s="1">
        <f>固定流程!G32</f>
        <v>1</v>
      </c>
      <c r="G1472" s="1" t="str">
        <f>固定流程!H32</f>
        <v>LILYA_THIRD</v>
      </c>
      <c r="H1472" s="1">
        <f>固定流程!F32</f>
        <v>1</v>
      </c>
      <c r="I1472" s="1">
        <f>INDEX(配置与结果!$B$15:$B$18,F1472)</f>
        <v>2296</v>
      </c>
      <c r="J1472" s="1">
        <f>INDEX(配置与结果!$D$15:$D$18,F1472)</f>
        <v>0.7</v>
      </c>
      <c r="K1472" s="1">
        <f>INDEX(配置与结果!$E$15:$E$18,F1472)</f>
        <v>2.0249999999999999</v>
      </c>
      <c r="L1472" s="1">
        <f t="shared" si="2057"/>
        <v>2</v>
      </c>
      <c r="M1472" s="1">
        <f t="shared" si="2058"/>
        <v>10</v>
      </c>
      <c r="N1472" s="1">
        <f t="shared" si="2059"/>
        <v>2</v>
      </c>
      <c r="O1472" s="1">
        <f t="shared" si="2051"/>
        <v>2</v>
      </c>
      <c r="P1472" s="1">
        <f>MIN(方案参数!$AI$43,AZ1471+0+0)</f>
        <v>5</v>
      </c>
      <c r="Q1472" s="1">
        <f t="shared" si="2029"/>
        <v>5</v>
      </c>
      <c r="R1472" s="1">
        <f t="shared" si="2030"/>
        <v>20</v>
      </c>
      <c r="S1472" s="1">
        <f t="shared" si="2031"/>
        <v>3</v>
      </c>
      <c r="T1472" s="1">
        <f t="shared" si="2066"/>
        <v>0</v>
      </c>
      <c r="U1472" s="1">
        <f t="shared" si="2033"/>
        <v>1</v>
      </c>
      <c r="V1472" s="1">
        <f t="shared" si="2034"/>
        <v>4</v>
      </c>
      <c r="W1472" s="1">
        <f t="shared" si="2035"/>
        <v>1</v>
      </c>
      <c r="X1472" s="1">
        <f t="shared" si="2036"/>
        <v>1</v>
      </c>
      <c r="Y1472" s="1">
        <f t="shared" si="2037"/>
        <v>1</v>
      </c>
      <c r="Z1472" s="1">
        <f t="shared" si="2038"/>
        <v>1</v>
      </c>
      <c r="AA1472" s="1">
        <f t="shared" si="2062"/>
        <v>1</v>
      </c>
      <c r="AB1472" s="1">
        <f t="shared" si="2040"/>
        <v>1</v>
      </c>
      <c r="AC1472" s="1">
        <f t="shared" si="2067"/>
        <v>1</v>
      </c>
      <c r="AD1472" s="1">
        <f>ROUNDDOWN(I1472*(1+IF(F1472=3,0.05+方案参数!$Y$43+AA1472*0.12,IF(F1472=4,方案参数!$BZ$43*方案参数!$AS$43,0)))+IF(AND(X1472=1,F1472&lt;&gt;3),方案参数!$CC$43,0)+AC1472*方案参数!$CB$43,0)</f>
        <v>3034</v>
      </c>
      <c r="AE1472" s="1">
        <f>IF(OR(F1472=1,F1472=4),配置与结果!$B$24,配置与结果!$B$25)*MAX(0,1-INDEX(配置与结果!$I$15:$I$18,F1472))</f>
        <v>1200</v>
      </c>
      <c r="AF1472" s="1">
        <f>方案参数!$BM$43</f>
        <v>20</v>
      </c>
      <c r="AG1472" s="1">
        <f>MAX(配置与结果!$B$32,1+INDEX(配置与结果!$F$15:$F$18,F1472)+0.08+方案参数!$CD$43+Q1472*方案参数!$W$43+Y1472*(方案参数!$AN$43+MIN(方案参数!$AO$43,P1472*0.03))+AB1472*方案参数!$BZ$43*0.025-配置与结果!$B$28+方案参数!$AE$43)</f>
        <v>2.6150000000000002</v>
      </c>
      <c r="AH1472" s="1">
        <f>MAX(0,1+V1472*方案参数!$U$43+3*方案参数!$V$43+方案参数!$AE$43-配置与结果!$B$29)</f>
        <v>1.7399999999999998</v>
      </c>
      <c r="AI1472" s="1">
        <f>IF(OR(INDEX(配置与结果!$K$15:$K$18,F1472)=1,G1472="RHI_BERRY"),1+配置与结果!$B$33+P1472*方案参数!$AH$43,1)</f>
        <v>1</v>
      </c>
      <c r="AJ1472" s="1">
        <f>MIN(1,MAX(0,J1472+方案参数!$AB$43-配置与结果!$B$27))</f>
        <v>1</v>
      </c>
      <c r="AK1472" s="1">
        <f>MAX(1,K1472+IF(F1472=2,0.15+方案参数!$CH$43,0)+BN1472*方案参数!$X$43+R1472*方案参数!$AA$43+方案参数!$BQ$43-配置与结果!$B$26+Z1472*(方案参数!$AP$43+MIN(方案参数!$AQ$43,P1472*0.03)))</f>
        <v>2.9650000000000003</v>
      </c>
      <c r="AL1472" s="7">
        <f>ROUNDDOWN(MAX(AD1472*配置与结果!$B$31,AD1472-AE1472)*AF1472*AG1472*AH1472*AI1472,0)</f>
        <v>166897</v>
      </c>
      <c r="AM1472" s="7">
        <f>ROUNDDOWN(MAX(AD1472*配置与结果!$B$31,AD1472-AE1472)*AF1472*AG1472*AH1472*AI1472*AK1472,0)</f>
        <v>494851</v>
      </c>
      <c r="AN1472" s="7">
        <f t="shared" si="1996"/>
        <v>494851</v>
      </c>
      <c r="AO1472" s="7">
        <f>0</f>
        <v>0</v>
      </c>
      <c r="AP1472" s="7">
        <f>MAX(0,1+INDEX(配置与结果!$J$15:$J$18,F1472)+IF(T1472&gt;0,方案参数!$BY$43,0)-配置与结果!$B$30)</f>
        <v>1</v>
      </c>
      <c r="AQ1472" s="7">
        <f t="shared" si="1997"/>
        <v>0</v>
      </c>
      <c r="AR1472" s="7">
        <f t="shared" si="1998"/>
        <v>0</v>
      </c>
      <c r="AS1472" s="7">
        <f t="shared" si="1999"/>
        <v>0</v>
      </c>
      <c r="AT1472" s="7">
        <f>IF(U1472&gt;0,ROUNDDOWN(AL1472*方案参数!$AF$43,0)*(1-AJ1472)+ROUNDDOWN(AM1472*方案参数!$AF$43,0)*AJ1472,0)</f>
        <v>197940</v>
      </c>
      <c r="AU1472" s="7">
        <f t="shared" si="2000"/>
        <v>692791</v>
      </c>
      <c r="AV1472" s="1">
        <f t="shared" si="2001"/>
        <v>2</v>
      </c>
      <c r="AW1472" s="1">
        <f t="shared" si="2072"/>
        <v>10</v>
      </c>
      <c r="AX1472" s="1">
        <f t="shared" si="2002"/>
        <v>2</v>
      </c>
      <c r="AY1472" s="1">
        <f>MIN(20,MAX(0,O1472+0+1-0))</f>
        <v>3</v>
      </c>
      <c r="AZ1472" s="1">
        <f t="shared" si="2003"/>
        <v>5</v>
      </c>
      <c r="BA1472" s="1">
        <f t="shared" si="2063"/>
        <v>5</v>
      </c>
      <c r="BB1472" s="1">
        <f t="shared" si="2071"/>
        <v>20</v>
      </c>
      <c r="BC1472" s="1">
        <f t="shared" si="2069"/>
        <v>3</v>
      </c>
      <c r="BD1472" s="1">
        <f t="shared" si="2050"/>
        <v>0</v>
      </c>
      <c r="BE1472" s="1">
        <f>MAX(0,U1472-IF(AF1472&gt;0,1,0))+0</f>
        <v>0</v>
      </c>
      <c r="BF1472" s="1">
        <f t="shared" si="2073"/>
        <v>4</v>
      </c>
      <c r="BG1472" s="1">
        <f t="shared" si="2060"/>
        <v>1</v>
      </c>
      <c r="BH1472" s="1">
        <f t="shared" si="2044"/>
        <v>1</v>
      </c>
      <c r="BI1472" s="1">
        <f t="shared" si="2061"/>
        <v>1</v>
      </c>
      <c r="BJ1472" s="1">
        <f t="shared" si="2064"/>
        <v>1</v>
      </c>
      <c r="BK1472" s="1">
        <f t="shared" si="2065"/>
        <v>1</v>
      </c>
      <c r="BL1472" s="1">
        <f t="shared" si="2070"/>
        <v>1</v>
      </c>
      <c r="BM1472" s="1">
        <f t="shared" si="2068"/>
        <v>1</v>
      </c>
      <c r="BN1472" s="1">
        <f t="shared" si="2045"/>
        <v>1</v>
      </c>
      <c r="BO1472" s="1">
        <f t="shared" si="2046"/>
        <v>1</v>
      </c>
    </row>
    <row r="1473" spans="1:67" ht="30.95" customHeight="1">
      <c r="A1473" s="1">
        <f>40</f>
        <v>40</v>
      </c>
      <c r="B1473" s="1">
        <f>固定流程!A33</f>
        <v>28</v>
      </c>
      <c r="C1473" s="1">
        <f>43</f>
        <v>43</v>
      </c>
      <c r="D1473" s="1">
        <f>2</f>
        <v>2</v>
      </c>
      <c r="E1473" s="1">
        <f>固定流程!C33</f>
        <v>3</v>
      </c>
      <c r="F1473" s="1">
        <f>固定流程!G33</f>
        <v>1</v>
      </c>
      <c r="G1473" s="1" t="str">
        <f>固定流程!H33</f>
        <v>LILYA_WEAK</v>
      </c>
      <c r="H1473" s="1">
        <f>固定流程!F33</f>
        <v>1</v>
      </c>
      <c r="I1473" s="1">
        <f>INDEX(配置与结果!$B$15:$B$18,F1473)</f>
        <v>2296</v>
      </c>
      <c r="J1473" s="1">
        <f>INDEX(配置与结果!$D$15:$D$18,F1473)</f>
        <v>0.7</v>
      </c>
      <c r="K1473" s="1">
        <f>INDEX(配置与结果!$E$15:$E$18,F1473)</f>
        <v>2.0249999999999999</v>
      </c>
      <c r="L1473" s="1">
        <f t="shared" si="2057"/>
        <v>2</v>
      </c>
      <c r="M1473" s="1">
        <f t="shared" si="2058"/>
        <v>10</v>
      </c>
      <c r="N1473" s="1">
        <f t="shared" si="2059"/>
        <v>2</v>
      </c>
      <c r="O1473" s="1">
        <f t="shared" si="2051"/>
        <v>3</v>
      </c>
      <c r="P1473" s="1">
        <f>MIN(方案参数!$AI$43,AZ1472+0+0)</f>
        <v>5</v>
      </c>
      <c r="Q1473" s="1">
        <f t="shared" si="2029"/>
        <v>5</v>
      </c>
      <c r="R1473" s="1">
        <f t="shared" si="2030"/>
        <v>20</v>
      </c>
      <c r="S1473" s="1">
        <f t="shared" si="2031"/>
        <v>3</v>
      </c>
      <c r="T1473" s="1">
        <f t="shared" si="2066"/>
        <v>0</v>
      </c>
      <c r="U1473" s="1">
        <f t="shared" si="2033"/>
        <v>0</v>
      </c>
      <c r="V1473" s="1">
        <f t="shared" si="2034"/>
        <v>4</v>
      </c>
      <c r="W1473" s="1">
        <f t="shared" si="2035"/>
        <v>1</v>
      </c>
      <c r="X1473" s="1">
        <f t="shared" si="2036"/>
        <v>1</v>
      </c>
      <c r="Y1473" s="1">
        <f t="shared" si="2037"/>
        <v>1</v>
      </c>
      <c r="Z1473" s="1">
        <f t="shared" si="2038"/>
        <v>1</v>
      </c>
      <c r="AA1473" s="1">
        <f t="shared" si="2062"/>
        <v>1</v>
      </c>
      <c r="AB1473" s="1">
        <f t="shared" si="2040"/>
        <v>1</v>
      </c>
      <c r="AC1473" s="1">
        <f t="shared" si="2067"/>
        <v>1</v>
      </c>
      <c r="AD1473" s="1">
        <f>ROUNDDOWN(I1473*(1+IF(F1473=3,0.05+方案参数!$Y$43+AA1473*0.12,IF(F1473=4,方案参数!$BZ$43*方案参数!$AS$43,0)))+IF(AND(X1473=1,F1473&lt;&gt;3),方案参数!$CC$43,0)+AC1473*方案参数!$CB$43,0)</f>
        <v>3034</v>
      </c>
      <c r="AE1473" s="1">
        <f>IF(OR(F1473=1,F1473=4),配置与结果!$B$24,配置与结果!$B$25)*MAX(0,1-INDEX(配置与结果!$I$15:$I$18,F1473))</f>
        <v>1200</v>
      </c>
      <c r="AF1473" s="1">
        <f>方案参数!$BL$43</f>
        <v>9</v>
      </c>
      <c r="AG1473" s="1">
        <f>MAX(配置与结果!$B$32,1+INDEX(配置与结果!$F$15:$F$18,F1473)+0.08+方案参数!$CD$43+Q1473*方案参数!$W$43+Y1473*(方案参数!$AN$43+MIN(方案参数!$AO$43,P1473*0.03))+AB1473*方案参数!$BZ$43*0.025-配置与结果!$B$28+方案参数!$AE$43)</f>
        <v>2.6150000000000002</v>
      </c>
      <c r="AH1473" s="1">
        <f>MAX(0,1+V1473*方案参数!$U$43+4*方案参数!$V$43+方案参数!$AE$43-配置与结果!$B$29)</f>
        <v>1.7999999999999998</v>
      </c>
      <c r="AI1473" s="1">
        <f>IF(OR(INDEX(配置与结果!$K$15:$K$18,F1473)=1,G1473="RHI_BERRY"),1+配置与结果!$B$33+P1473*方案参数!$AH$43,1)</f>
        <v>1</v>
      </c>
      <c r="AJ1473" s="1">
        <f>MIN(1,MAX(0,J1473+方案参数!$AB$43-配置与结果!$B$27))</f>
        <v>1</v>
      </c>
      <c r="AK1473" s="1">
        <f>MAX(1,K1473+IF(F1473=2,0.15+方案参数!$CH$43,0)+BN1473*方案参数!$X$43+R1473*方案参数!$AA$43+方案参数!$BP$43-配置与结果!$B$26+Z1473*(方案参数!$AP$43+MIN(方案参数!$AQ$43,P1473*0.03)))</f>
        <v>2.7650000000000001</v>
      </c>
      <c r="AL1473" s="7">
        <f>ROUNDDOWN(MAX(AD1473*配置与结果!$B$31,AD1473-AE1473)*AF1473*AG1473*AH1473*AI1473,0)</f>
        <v>77693</v>
      </c>
      <c r="AM1473" s="7">
        <f>ROUNDDOWN(MAX(AD1473*配置与结果!$B$31,AD1473-AE1473)*AF1473*AG1473*AH1473*AI1473*AK1473,0)</f>
        <v>214823</v>
      </c>
      <c r="AN1473" s="7">
        <f t="shared" si="1996"/>
        <v>214823</v>
      </c>
      <c r="AO1473" s="7">
        <f>0</f>
        <v>0</v>
      </c>
      <c r="AP1473" s="7">
        <f>MAX(0,1+INDEX(配置与结果!$J$15:$J$18,F1473)+IF(T1473&gt;0,方案参数!$BY$43,0)-配置与结果!$B$30)</f>
        <v>1</v>
      </c>
      <c r="AQ1473" s="7">
        <f t="shared" si="1997"/>
        <v>0</v>
      </c>
      <c r="AR1473" s="7">
        <f t="shared" si="1998"/>
        <v>0</v>
      </c>
      <c r="AS1473" s="7">
        <f t="shared" si="1999"/>
        <v>0</v>
      </c>
      <c r="AT1473" s="7">
        <f>IF(U1473&gt;0,ROUNDDOWN(AL1473*方案参数!$AF$43,0)*(1-AJ1473)+ROUNDDOWN(AM1473*方案参数!$AF$43,0)*AJ1473,0)</f>
        <v>0</v>
      </c>
      <c r="AU1473" s="7">
        <f t="shared" si="2000"/>
        <v>214823</v>
      </c>
      <c r="AV1473" s="1">
        <f t="shared" si="2001"/>
        <v>2</v>
      </c>
      <c r="AW1473" s="1">
        <f t="shared" si="2072"/>
        <v>10</v>
      </c>
      <c r="AX1473" s="1">
        <f t="shared" si="2002"/>
        <v>2</v>
      </c>
      <c r="AY1473" s="1">
        <f>MIN(20,MAX(0,O1473+0+1-0))</f>
        <v>4</v>
      </c>
      <c r="AZ1473" s="1">
        <f t="shared" si="2003"/>
        <v>5</v>
      </c>
      <c r="BA1473" s="1">
        <f t="shared" si="2063"/>
        <v>5</v>
      </c>
      <c r="BB1473" s="1">
        <f t="shared" si="2071"/>
        <v>20</v>
      </c>
      <c r="BC1473" s="1">
        <f t="shared" si="2069"/>
        <v>3</v>
      </c>
      <c r="BD1473" s="1">
        <f t="shared" si="2050"/>
        <v>0</v>
      </c>
      <c r="BE1473" s="1">
        <f>MAX(0,U1473-IF(AF1473&gt;0,1,0))+0</f>
        <v>0</v>
      </c>
      <c r="BF1473" s="1">
        <f t="shared" si="2073"/>
        <v>4</v>
      </c>
      <c r="BG1473" s="1">
        <f t="shared" si="2060"/>
        <v>1</v>
      </c>
      <c r="BH1473" s="1">
        <f t="shared" si="2044"/>
        <v>1</v>
      </c>
      <c r="BI1473" s="1">
        <f t="shared" si="2061"/>
        <v>1</v>
      </c>
      <c r="BJ1473" s="1">
        <f t="shared" si="2064"/>
        <v>1</v>
      </c>
      <c r="BK1473" s="1">
        <f t="shared" si="2065"/>
        <v>1</v>
      </c>
      <c r="BL1473" s="1">
        <f t="shared" si="2070"/>
        <v>1</v>
      </c>
      <c r="BM1473" s="1">
        <f t="shared" si="2068"/>
        <v>1</v>
      </c>
      <c r="BN1473" s="1">
        <f t="shared" si="2045"/>
        <v>1</v>
      </c>
      <c r="BO1473" s="1">
        <f t="shared" si="2046"/>
        <v>1</v>
      </c>
    </row>
    <row r="1474" spans="1:67" ht="30.95" customHeight="1">
      <c r="A1474" s="1">
        <f>40</f>
        <v>40</v>
      </c>
      <c r="B1474" s="1">
        <f>固定流程!A34</f>
        <v>29</v>
      </c>
      <c r="C1474" s="1">
        <f>43</f>
        <v>43</v>
      </c>
      <c r="D1474" s="1">
        <f>2</f>
        <v>2</v>
      </c>
      <c r="E1474" s="1">
        <f>固定流程!C34</f>
        <v>3</v>
      </c>
      <c r="F1474" s="1">
        <f>固定流程!G34</f>
        <v>1</v>
      </c>
      <c r="G1474" s="1" t="str">
        <f>固定流程!H34</f>
        <v>LILYA_WEAK</v>
      </c>
      <c r="H1474" s="1">
        <f>固定流程!F34</f>
        <v>1</v>
      </c>
      <c r="I1474" s="1">
        <f>INDEX(配置与结果!$B$15:$B$18,F1474)</f>
        <v>2296</v>
      </c>
      <c r="J1474" s="1">
        <f>INDEX(配置与结果!$D$15:$D$18,F1474)</f>
        <v>0.7</v>
      </c>
      <c r="K1474" s="1">
        <f>INDEX(配置与结果!$E$15:$E$18,F1474)</f>
        <v>2.0249999999999999</v>
      </c>
      <c r="L1474" s="1">
        <f t="shared" si="2057"/>
        <v>2</v>
      </c>
      <c r="M1474" s="1">
        <f t="shared" si="2058"/>
        <v>10</v>
      </c>
      <c r="N1474" s="1">
        <f t="shared" si="2059"/>
        <v>2</v>
      </c>
      <c r="O1474" s="1">
        <f t="shared" si="2051"/>
        <v>4</v>
      </c>
      <c r="P1474" s="1">
        <f>MIN(方案参数!$AI$43,AZ1473+0+0)</f>
        <v>5</v>
      </c>
      <c r="Q1474" s="1">
        <f t="shared" si="2029"/>
        <v>5</v>
      </c>
      <c r="R1474" s="1">
        <f t="shared" si="2030"/>
        <v>20</v>
      </c>
      <c r="S1474" s="1">
        <f t="shared" si="2031"/>
        <v>3</v>
      </c>
      <c r="T1474" s="1">
        <f t="shared" si="2066"/>
        <v>0</v>
      </c>
      <c r="U1474" s="1">
        <f t="shared" si="2033"/>
        <v>0</v>
      </c>
      <c r="V1474" s="1">
        <f t="shared" si="2034"/>
        <v>4</v>
      </c>
      <c r="W1474" s="1">
        <f t="shared" si="2035"/>
        <v>1</v>
      </c>
      <c r="X1474" s="1">
        <f t="shared" si="2036"/>
        <v>1</v>
      </c>
      <c r="Y1474" s="1">
        <f t="shared" si="2037"/>
        <v>1</v>
      </c>
      <c r="Z1474" s="1">
        <f t="shared" si="2038"/>
        <v>1</v>
      </c>
      <c r="AA1474" s="1">
        <f t="shared" si="2062"/>
        <v>1</v>
      </c>
      <c r="AB1474" s="1">
        <f t="shared" si="2040"/>
        <v>1</v>
      </c>
      <c r="AC1474" s="1">
        <f t="shared" si="2067"/>
        <v>1</v>
      </c>
      <c r="AD1474" s="1">
        <f>ROUNDDOWN(I1474*(1+IF(F1474=3,0.05+方案参数!$Y$43+AA1474*0.12,IF(F1474=4,方案参数!$BZ$43*方案参数!$AS$43,0)))+IF(AND(X1474=1,F1474&lt;&gt;3),方案参数!$CC$43,0)+AC1474*方案参数!$CB$43,0)</f>
        <v>3034</v>
      </c>
      <c r="AE1474" s="1">
        <f>IF(OR(F1474=1,F1474=4),配置与结果!$B$24,配置与结果!$B$25)*MAX(0,1-INDEX(配置与结果!$I$15:$I$18,F1474))</f>
        <v>1200</v>
      </c>
      <c r="AF1474" s="1">
        <f>方案参数!$BL$43</f>
        <v>9</v>
      </c>
      <c r="AG1474" s="1">
        <f>MAX(配置与结果!$B$32,1+INDEX(配置与结果!$F$15:$F$18,F1474)+0.08+方案参数!$CD$43+Q1474*方案参数!$W$43+Y1474*(方案参数!$AN$43+MIN(方案参数!$AO$43,P1474*0.03))+AB1474*方案参数!$BZ$43*0.025-配置与结果!$B$28+方案参数!$AE$43)</f>
        <v>2.6150000000000002</v>
      </c>
      <c r="AH1474" s="1">
        <f>MAX(0,1+V1474*方案参数!$U$43+5*方案参数!$V$43+方案参数!$AE$43-配置与结果!$B$29)</f>
        <v>1.8599999999999999</v>
      </c>
      <c r="AI1474" s="1">
        <f>IF(OR(INDEX(配置与结果!$K$15:$K$18,F1474)=1,G1474="RHI_BERRY"),1+配置与结果!$B$33+P1474*方案参数!$AH$43,1)</f>
        <v>1</v>
      </c>
      <c r="AJ1474" s="1">
        <f>MIN(1,MAX(0,J1474+方案参数!$AB$43-配置与结果!$B$27))</f>
        <v>1</v>
      </c>
      <c r="AK1474" s="1">
        <f>MAX(1,K1474+IF(F1474=2,0.15+方案参数!$CH$43,0)+BN1474*方案参数!$X$43+R1474*方案参数!$AA$43+方案参数!$BP$43-配置与结果!$B$26+Z1474*(方案参数!$AP$43+MIN(方案参数!$AQ$43,P1474*0.03)))</f>
        <v>2.7650000000000001</v>
      </c>
      <c r="AL1474" s="7">
        <f>ROUNDDOWN(MAX(AD1474*配置与结果!$B$31,AD1474-AE1474)*AF1474*AG1474*AH1474*AI1474,0)</f>
        <v>80283</v>
      </c>
      <c r="AM1474" s="7">
        <f>ROUNDDOWN(MAX(AD1474*配置与结果!$B$31,AD1474-AE1474)*AF1474*AG1474*AH1474*AI1474*AK1474,0)</f>
        <v>221983</v>
      </c>
      <c r="AN1474" s="7">
        <f t="shared" si="1996"/>
        <v>221983</v>
      </c>
      <c r="AO1474" s="7">
        <f>0</f>
        <v>0</v>
      </c>
      <c r="AP1474" s="7">
        <f>MAX(0,1+INDEX(配置与结果!$J$15:$J$18,F1474)+IF(T1474&gt;0,方案参数!$BY$43,0)-配置与结果!$B$30)</f>
        <v>1</v>
      </c>
      <c r="AQ1474" s="7">
        <f t="shared" si="1997"/>
        <v>0</v>
      </c>
      <c r="AR1474" s="7">
        <f t="shared" si="1998"/>
        <v>0</v>
      </c>
      <c r="AS1474" s="7">
        <f t="shared" si="1999"/>
        <v>0</v>
      </c>
      <c r="AT1474" s="7">
        <f>IF(U1474&gt;0,ROUNDDOWN(AL1474*方案参数!$AF$43,0)*(1-AJ1474)+ROUNDDOWN(AM1474*方案参数!$AF$43,0)*AJ1474,0)</f>
        <v>0</v>
      </c>
      <c r="AU1474" s="7">
        <f t="shared" si="2000"/>
        <v>221983</v>
      </c>
      <c r="AV1474" s="1">
        <f t="shared" si="2001"/>
        <v>2</v>
      </c>
      <c r="AW1474" s="1">
        <f t="shared" si="2072"/>
        <v>10</v>
      </c>
      <c r="AX1474" s="1">
        <f t="shared" si="2002"/>
        <v>2</v>
      </c>
      <c r="AY1474" s="1">
        <f>MIN(20,MAX(0,O1474+0+1-0))</f>
        <v>5</v>
      </c>
      <c r="AZ1474" s="1">
        <f t="shared" si="2003"/>
        <v>5</v>
      </c>
      <c r="BA1474" s="1">
        <f t="shared" si="2063"/>
        <v>5</v>
      </c>
      <c r="BB1474" s="1">
        <f t="shared" si="2071"/>
        <v>20</v>
      </c>
      <c r="BC1474" s="1">
        <f t="shared" si="2069"/>
        <v>3</v>
      </c>
      <c r="BD1474" s="1">
        <f t="shared" si="2050"/>
        <v>0</v>
      </c>
      <c r="BE1474" s="1">
        <f>MAX(0,U1474-IF(AF1474&gt;0,1,0))+0</f>
        <v>0</v>
      </c>
      <c r="BF1474" s="1">
        <f t="shared" si="2073"/>
        <v>4</v>
      </c>
      <c r="BG1474" s="1">
        <f t="shared" si="2060"/>
        <v>1</v>
      </c>
      <c r="BH1474" s="1">
        <f t="shared" si="2044"/>
        <v>1</v>
      </c>
      <c r="BI1474" s="1">
        <f t="shared" si="2061"/>
        <v>1</v>
      </c>
      <c r="BJ1474" s="1">
        <f t="shared" si="2064"/>
        <v>1</v>
      </c>
      <c r="BK1474" s="1">
        <f t="shared" si="2065"/>
        <v>1</v>
      </c>
      <c r="BL1474" s="1">
        <f t="shared" si="2070"/>
        <v>1</v>
      </c>
      <c r="BM1474" s="1">
        <f t="shared" si="2068"/>
        <v>1</v>
      </c>
      <c r="BN1474" s="1">
        <f t="shared" si="2045"/>
        <v>1</v>
      </c>
      <c r="BO1474" s="1">
        <f t="shared" si="2046"/>
        <v>1</v>
      </c>
    </row>
    <row r="1475" spans="1:67" ht="30.95" customHeight="1">
      <c r="A1475" s="1">
        <f>40</f>
        <v>40</v>
      </c>
      <c r="B1475" s="1">
        <f>固定流程!A35</f>
        <v>30</v>
      </c>
      <c r="C1475" s="1">
        <f>43</f>
        <v>43</v>
      </c>
      <c r="D1475" s="1">
        <f>2</f>
        <v>2</v>
      </c>
      <c r="E1475" s="1">
        <f>固定流程!C35</f>
        <v>3</v>
      </c>
      <c r="F1475" s="1">
        <f>固定流程!G35</f>
        <v>2</v>
      </c>
      <c r="G1475" s="1" t="str">
        <f>固定流程!H35</f>
        <v>37_WEAK</v>
      </c>
      <c r="H1475" s="1">
        <f>固定流程!F35</f>
        <v>1</v>
      </c>
      <c r="I1475" s="1">
        <f>INDEX(配置与结果!$B$15:$B$18,F1475)</f>
        <v>2306</v>
      </c>
      <c r="J1475" s="1">
        <f>INDEX(配置与结果!$D$15:$D$18,F1475)</f>
        <v>0.46</v>
      </c>
      <c r="K1475" s="1">
        <f>INDEX(配置与结果!$E$15:$E$18,F1475)</f>
        <v>1.9279999999999999</v>
      </c>
      <c r="L1475" s="1">
        <f t="shared" si="2057"/>
        <v>2</v>
      </c>
      <c r="M1475" s="1">
        <f t="shared" si="2058"/>
        <v>10</v>
      </c>
      <c r="N1475" s="1">
        <f t="shared" si="2059"/>
        <v>2</v>
      </c>
      <c r="O1475" s="1">
        <f t="shared" si="2051"/>
        <v>5</v>
      </c>
      <c r="P1475" s="1">
        <f>MIN(方案参数!$AI$43,AZ1474+0+0)</f>
        <v>5</v>
      </c>
      <c r="Q1475" s="1">
        <f t="shared" si="2029"/>
        <v>5</v>
      </c>
      <c r="R1475" s="1">
        <f t="shared" si="2030"/>
        <v>20</v>
      </c>
      <c r="S1475" s="1">
        <f t="shared" si="2031"/>
        <v>3</v>
      </c>
      <c r="T1475" s="1">
        <f t="shared" si="2066"/>
        <v>0</v>
      </c>
      <c r="U1475" s="1">
        <f t="shared" si="2033"/>
        <v>0</v>
      </c>
      <c r="V1475" s="1">
        <f t="shared" si="2034"/>
        <v>4</v>
      </c>
      <c r="W1475" s="1">
        <f t="shared" si="2035"/>
        <v>1</v>
      </c>
      <c r="X1475" s="1">
        <f t="shared" si="2036"/>
        <v>1</v>
      </c>
      <c r="Y1475" s="1">
        <f t="shared" si="2037"/>
        <v>1</v>
      </c>
      <c r="Z1475" s="1">
        <f t="shared" si="2038"/>
        <v>1</v>
      </c>
      <c r="AA1475" s="1">
        <f t="shared" si="2062"/>
        <v>1</v>
      </c>
      <c r="AB1475" s="1">
        <f t="shared" si="2040"/>
        <v>1</v>
      </c>
      <c r="AC1475" s="1">
        <f t="shared" si="2067"/>
        <v>1</v>
      </c>
      <c r="AD1475" s="1">
        <f>ROUNDDOWN(I1475*(1+IF(F1475=3,0.05+方案参数!$Y$43+AA1475*0.12,IF(F1475=4,方案参数!$BZ$43*方案参数!$AS$43,0)))+IF(AND(X1475=1,F1475&lt;&gt;3),方案参数!$CC$43,0)+AC1475*方案参数!$CB$43,0)</f>
        <v>3044</v>
      </c>
      <c r="AE1475" s="1">
        <f>IF(OR(F1475=1,F1475=4),配置与结果!$B$24,配置与结果!$B$25)*MAX(0,1-INDEX(配置与结果!$I$15:$I$18,F1475))</f>
        <v>1000</v>
      </c>
      <c r="AF1475" s="1">
        <f>方案参数!$CE$43</f>
        <v>8</v>
      </c>
      <c r="AG1475" s="1">
        <f>MAX(配置与结果!$B$32,1+INDEX(配置与结果!$F$15:$F$18,F1475)+0+Q1475*方案参数!$W$43+Y1475*(方案参数!$AN$43+MIN(方案参数!$AO$43,P1475*0.03))+AB1475*方案参数!$BZ$43*0.025-配置与结果!$B$28+方案参数!$AE$43)</f>
        <v>2.2800000000000002</v>
      </c>
      <c r="AH1475" s="1">
        <f>MAX(0,1+V1475*方案参数!$U$43+方案参数!$AE$43-配置与结果!$B$29)</f>
        <v>1.56</v>
      </c>
      <c r="AI1475" s="1">
        <f>IF(OR(INDEX(配置与结果!$K$15:$K$18,F1475)=1,G1475="RHI_BERRY"),1+配置与结果!$B$33+P1475*方案参数!$AH$43,1)</f>
        <v>1</v>
      </c>
      <c r="AJ1475" s="1">
        <f>MIN(1,MAX(0,J1475+方案参数!$AB$43-配置与结果!$B$27))</f>
        <v>0.76</v>
      </c>
      <c r="AK1475" s="1">
        <f>MAX(1,K1475+IF(F1475=2,0.15+方案参数!$CH$43,0)+BN1475*方案参数!$X$43+R1475*方案参数!$AA$43+0-配置与结果!$B$26+Z1475*(方案参数!$AP$43+MIN(方案参数!$AQ$43,P1475*0.03)))</f>
        <v>2.3380000000000001</v>
      </c>
      <c r="AL1475" s="7">
        <f>ROUNDDOWN(MAX(AD1475*配置与结果!$B$31,AD1475-AE1475)*AF1475*AG1475*AH1475*AI1475,0)</f>
        <v>58160</v>
      </c>
      <c r="AM1475" s="7">
        <f>ROUNDDOWN(MAX(AD1475*配置与结果!$B$31,AD1475-AE1475)*AF1475*AG1475*AH1475*AI1475*AK1475,0)</f>
        <v>135979</v>
      </c>
      <c r="AN1475" s="7">
        <f t="shared" si="1996"/>
        <v>117302.44</v>
      </c>
      <c r="AO1475" s="7">
        <f>0</f>
        <v>0</v>
      </c>
      <c r="AP1475" s="7">
        <f>MAX(0,1+INDEX(配置与结果!$J$15:$J$18,F1475)+IF(T1475&gt;0,方案参数!$BY$43,0)-配置与结果!$B$30)</f>
        <v>1</v>
      </c>
      <c r="AQ1475" s="7">
        <f t="shared" si="1997"/>
        <v>0</v>
      </c>
      <c r="AR1475" s="7">
        <f t="shared" si="1998"/>
        <v>0</v>
      </c>
      <c r="AS1475" s="7">
        <f t="shared" si="1999"/>
        <v>0</v>
      </c>
      <c r="AT1475" s="7">
        <f>IF(U1475&gt;0,ROUNDDOWN(AL1475*方案参数!$AF$43,0)*(1-AJ1475)+ROUNDDOWN(AM1475*方案参数!$AF$43,0)*AJ1475,0)</f>
        <v>0</v>
      </c>
      <c r="AU1475" s="7">
        <f t="shared" si="2000"/>
        <v>117302.44</v>
      </c>
      <c r="AV1475" s="1">
        <f t="shared" si="2001"/>
        <v>2</v>
      </c>
      <c r="AW1475" s="1">
        <f t="shared" si="2072"/>
        <v>10</v>
      </c>
      <c r="AX1475" s="1">
        <f t="shared" si="2002"/>
        <v>2</v>
      </c>
      <c r="AY1475" s="1">
        <f>MIN(20,MAX(0,O1475+0+0-0))</f>
        <v>5</v>
      </c>
      <c r="AZ1475" s="1">
        <f t="shared" si="2003"/>
        <v>5</v>
      </c>
      <c r="BA1475" s="1">
        <f t="shared" si="2063"/>
        <v>5</v>
      </c>
      <c r="BB1475" s="1">
        <f t="shared" si="2071"/>
        <v>20</v>
      </c>
      <c r="BC1475" s="1">
        <f t="shared" si="2069"/>
        <v>3</v>
      </c>
      <c r="BD1475" s="1">
        <f t="shared" si="2050"/>
        <v>0</v>
      </c>
      <c r="BE1475" s="1">
        <f>MAX(0,U1475-IF(AF1475&gt;0,1,0))+1</f>
        <v>1</v>
      </c>
      <c r="BF1475" s="1">
        <f t="shared" si="2073"/>
        <v>4</v>
      </c>
      <c r="BG1475" s="1">
        <f t="shared" si="2060"/>
        <v>1</v>
      </c>
      <c r="BH1475" s="1">
        <f t="shared" si="2044"/>
        <v>1</v>
      </c>
      <c r="BI1475" s="1">
        <f t="shared" si="2061"/>
        <v>1</v>
      </c>
      <c r="BJ1475" s="1">
        <f t="shared" si="2064"/>
        <v>1</v>
      </c>
      <c r="BK1475" s="1">
        <f t="shared" si="2065"/>
        <v>1</v>
      </c>
      <c r="BL1475" s="1">
        <f t="shared" si="2070"/>
        <v>1</v>
      </c>
      <c r="BM1475" s="1">
        <f t="shared" si="2068"/>
        <v>1</v>
      </c>
      <c r="BN1475" s="1">
        <f t="shared" si="2045"/>
        <v>1</v>
      </c>
      <c r="BO1475" s="1">
        <f t="shared" si="2046"/>
        <v>1</v>
      </c>
    </row>
    <row r="1476" spans="1:67" ht="30.95" customHeight="1">
      <c r="A1476" s="1">
        <f>40</f>
        <v>40</v>
      </c>
      <c r="B1476" s="1">
        <f>固定流程!A36</f>
        <v>31</v>
      </c>
      <c r="C1476" s="1">
        <f>43</f>
        <v>43</v>
      </c>
      <c r="D1476" s="1">
        <f>2</f>
        <v>2</v>
      </c>
      <c r="E1476" s="1">
        <f>固定流程!C36</f>
        <v>3</v>
      </c>
      <c r="F1476" s="1">
        <f>固定流程!G36</f>
        <v>1</v>
      </c>
      <c r="G1476" s="1" t="str">
        <f>固定流程!H36</f>
        <v>LILYA_THIRD</v>
      </c>
      <c r="H1476" s="1">
        <f>固定流程!F36</f>
        <v>1</v>
      </c>
      <c r="I1476" s="1">
        <f>INDEX(配置与结果!$B$15:$B$18,F1476)</f>
        <v>2296</v>
      </c>
      <c r="J1476" s="1">
        <f>INDEX(配置与结果!$D$15:$D$18,F1476)</f>
        <v>0.7</v>
      </c>
      <c r="K1476" s="1">
        <f>INDEX(配置与结果!$E$15:$E$18,F1476)</f>
        <v>2.0249999999999999</v>
      </c>
      <c r="L1476" s="1">
        <f t="shared" si="2057"/>
        <v>2</v>
      </c>
      <c r="M1476" s="1">
        <f t="shared" si="2058"/>
        <v>10</v>
      </c>
      <c r="N1476" s="1">
        <f t="shared" si="2059"/>
        <v>2</v>
      </c>
      <c r="O1476" s="1">
        <f t="shared" si="2051"/>
        <v>5</v>
      </c>
      <c r="P1476" s="1">
        <f>MIN(方案参数!$AI$43,AZ1475+0+0)</f>
        <v>5</v>
      </c>
      <c r="Q1476" s="1">
        <f t="shared" si="2029"/>
        <v>5</v>
      </c>
      <c r="R1476" s="1">
        <f t="shared" si="2030"/>
        <v>20</v>
      </c>
      <c r="S1476" s="1">
        <f t="shared" si="2031"/>
        <v>3</v>
      </c>
      <c r="T1476" s="1">
        <f t="shared" si="2066"/>
        <v>0</v>
      </c>
      <c r="U1476" s="1">
        <f t="shared" si="2033"/>
        <v>1</v>
      </c>
      <c r="V1476" s="1">
        <f t="shared" si="2034"/>
        <v>4</v>
      </c>
      <c r="W1476" s="1">
        <f t="shared" si="2035"/>
        <v>1</v>
      </c>
      <c r="X1476" s="1">
        <f t="shared" si="2036"/>
        <v>1</v>
      </c>
      <c r="Y1476" s="1">
        <f t="shared" si="2037"/>
        <v>1</v>
      </c>
      <c r="Z1476" s="1">
        <f t="shared" si="2038"/>
        <v>1</v>
      </c>
      <c r="AA1476" s="1">
        <f t="shared" si="2062"/>
        <v>1</v>
      </c>
      <c r="AB1476" s="1">
        <f t="shared" si="2040"/>
        <v>1</v>
      </c>
      <c r="AC1476" s="1">
        <f t="shared" si="2067"/>
        <v>1</v>
      </c>
      <c r="AD1476" s="1">
        <f>ROUNDDOWN(I1476*(1+IF(F1476=3,0.05+方案参数!$Y$43+AA1476*0.12,IF(F1476=4,方案参数!$BZ$43*方案参数!$AS$43,0)))+IF(AND(X1476=1,F1476&lt;&gt;3),方案参数!$CC$43,0)+AC1476*方案参数!$CB$43,0)</f>
        <v>3034</v>
      </c>
      <c r="AE1476" s="1">
        <f>IF(OR(F1476=1,F1476=4),配置与结果!$B$24,配置与结果!$B$25)*MAX(0,1-INDEX(配置与结果!$I$15:$I$18,F1476))</f>
        <v>1200</v>
      </c>
      <c r="AF1476" s="1">
        <f>方案参数!$BM$43</f>
        <v>20</v>
      </c>
      <c r="AG1476" s="1">
        <f>MAX(配置与结果!$B$32,1+INDEX(配置与结果!$F$15:$F$18,F1476)+0.08+方案参数!$CD$43+Q1476*方案参数!$W$43+Y1476*(方案参数!$AN$43+MIN(方案参数!$AO$43,P1476*0.03))+AB1476*方案参数!$BZ$43*0.025-配置与结果!$B$28+方案参数!$AE$43)</f>
        <v>2.6150000000000002</v>
      </c>
      <c r="AH1476" s="1">
        <f>MAX(0,1+V1476*方案参数!$U$43+7*方案参数!$V$43+方案参数!$AE$43-配置与结果!$B$29)</f>
        <v>1.98</v>
      </c>
      <c r="AI1476" s="1">
        <f>IF(OR(INDEX(配置与结果!$K$15:$K$18,F1476)=1,G1476="RHI_BERRY"),1+配置与结果!$B$33+P1476*方案参数!$AH$43,1)</f>
        <v>1</v>
      </c>
      <c r="AJ1476" s="1">
        <f>MIN(1,MAX(0,J1476+方案参数!$AB$43-配置与结果!$B$27))</f>
        <v>1</v>
      </c>
      <c r="AK1476" s="1">
        <f>MAX(1,K1476+IF(F1476=2,0.15+方案参数!$CH$43,0)+BN1476*方案参数!$X$43+R1476*方案参数!$AA$43+方案参数!$BQ$43-配置与结果!$B$26+Z1476*(方案参数!$AP$43+MIN(方案参数!$AQ$43,P1476*0.03)))</f>
        <v>2.9650000000000003</v>
      </c>
      <c r="AL1476" s="7">
        <f>ROUNDDOWN(MAX(AD1476*配置与结果!$B$31,AD1476-AE1476)*AF1476*AG1476*AH1476*AI1476,0)</f>
        <v>189918</v>
      </c>
      <c r="AM1476" s="7">
        <f>ROUNDDOWN(MAX(AD1476*配置与结果!$B$31,AD1476-AE1476)*AF1476*AG1476*AH1476*AI1476*AK1476,0)</f>
        <v>563106</v>
      </c>
      <c r="AN1476" s="7">
        <f t="shared" si="1996"/>
        <v>563106</v>
      </c>
      <c r="AO1476" s="7">
        <f>0</f>
        <v>0</v>
      </c>
      <c r="AP1476" s="7">
        <f>MAX(0,1+INDEX(配置与结果!$J$15:$J$18,F1476)+IF(T1476&gt;0,方案参数!$BY$43,0)-配置与结果!$B$30)</f>
        <v>1</v>
      </c>
      <c r="AQ1476" s="7">
        <f t="shared" si="1997"/>
        <v>0</v>
      </c>
      <c r="AR1476" s="7">
        <f t="shared" si="1998"/>
        <v>0</v>
      </c>
      <c r="AS1476" s="7">
        <f t="shared" si="1999"/>
        <v>0</v>
      </c>
      <c r="AT1476" s="7">
        <f>IF(U1476&gt;0,ROUNDDOWN(AL1476*方案参数!$AF$43,0)*(1-AJ1476)+ROUNDDOWN(AM1476*方案参数!$AF$43,0)*AJ1476,0)</f>
        <v>225242</v>
      </c>
      <c r="AU1476" s="7">
        <f t="shared" si="2000"/>
        <v>788348</v>
      </c>
      <c r="AV1476" s="1">
        <f t="shared" si="2001"/>
        <v>2</v>
      </c>
      <c r="AW1476" s="1">
        <f t="shared" si="2072"/>
        <v>10</v>
      </c>
      <c r="AX1476" s="1">
        <f t="shared" si="2002"/>
        <v>2</v>
      </c>
      <c r="AY1476" s="1">
        <f>MIN(20,MAX(0,O1476+0+1-0))</f>
        <v>6</v>
      </c>
      <c r="AZ1476" s="1">
        <f t="shared" si="2003"/>
        <v>5</v>
      </c>
      <c r="BA1476" s="1">
        <f t="shared" si="2063"/>
        <v>5</v>
      </c>
      <c r="BB1476" s="1">
        <f t="shared" si="2071"/>
        <v>20</v>
      </c>
      <c r="BC1476" s="1">
        <f t="shared" si="2069"/>
        <v>3</v>
      </c>
      <c r="BD1476" s="1">
        <f t="shared" si="2050"/>
        <v>0</v>
      </c>
      <c r="BE1476" s="1">
        <f>MAX(0,U1476-IF(AF1476&gt;0,1,0))+0</f>
        <v>0</v>
      </c>
      <c r="BF1476" s="1">
        <f t="shared" si="2073"/>
        <v>4</v>
      </c>
      <c r="BG1476" s="1">
        <f t="shared" si="2060"/>
        <v>1</v>
      </c>
      <c r="BH1476" s="1">
        <f t="shared" si="2044"/>
        <v>1</v>
      </c>
      <c r="BI1476" s="1">
        <f t="shared" si="2061"/>
        <v>1</v>
      </c>
      <c r="BJ1476" s="1">
        <f t="shared" si="2064"/>
        <v>1</v>
      </c>
      <c r="BK1476" s="1">
        <f t="shared" si="2065"/>
        <v>1</v>
      </c>
      <c r="BL1476" s="1">
        <f t="shared" si="2070"/>
        <v>1</v>
      </c>
      <c r="BM1476" s="1">
        <f t="shared" si="2068"/>
        <v>1</v>
      </c>
      <c r="BN1476" s="1">
        <f t="shared" si="2045"/>
        <v>1</v>
      </c>
      <c r="BO1476" s="1">
        <f t="shared" si="2046"/>
        <v>1</v>
      </c>
    </row>
    <row r="1477" spans="1:67" ht="30.95" customHeight="1">
      <c r="A1477" s="1">
        <f>40</f>
        <v>40</v>
      </c>
      <c r="B1477" s="1">
        <f>固定流程!A37</f>
        <v>32</v>
      </c>
      <c r="C1477" s="1">
        <f>43</f>
        <v>43</v>
      </c>
      <c r="D1477" s="1">
        <f>2</f>
        <v>2</v>
      </c>
      <c r="E1477" s="1">
        <f>固定流程!C37</f>
        <v>3</v>
      </c>
      <c r="F1477" s="1">
        <f>固定流程!G37</f>
        <v>1</v>
      </c>
      <c r="G1477" s="1" t="str">
        <f>固定流程!H37</f>
        <v>LILYA_WEAK</v>
      </c>
      <c r="H1477" s="1">
        <f>固定流程!F37</f>
        <v>1</v>
      </c>
      <c r="I1477" s="1">
        <f>INDEX(配置与结果!$B$15:$B$18,F1477)</f>
        <v>2296</v>
      </c>
      <c r="J1477" s="1">
        <f>INDEX(配置与结果!$D$15:$D$18,F1477)</f>
        <v>0.7</v>
      </c>
      <c r="K1477" s="1">
        <f>INDEX(配置与结果!$E$15:$E$18,F1477)</f>
        <v>2.0249999999999999</v>
      </c>
      <c r="L1477" s="1">
        <f t="shared" si="2057"/>
        <v>2</v>
      </c>
      <c r="M1477" s="1">
        <f t="shared" si="2058"/>
        <v>10</v>
      </c>
      <c r="N1477" s="1">
        <f t="shared" si="2059"/>
        <v>2</v>
      </c>
      <c r="O1477" s="1">
        <f t="shared" si="2051"/>
        <v>6</v>
      </c>
      <c r="P1477" s="1">
        <f>MIN(方案参数!$AI$43,AZ1476+0+0)</f>
        <v>5</v>
      </c>
      <c r="Q1477" s="1">
        <f t="shared" si="2029"/>
        <v>5</v>
      </c>
      <c r="R1477" s="1">
        <f t="shared" si="2030"/>
        <v>20</v>
      </c>
      <c r="S1477" s="1">
        <f t="shared" si="2031"/>
        <v>3</v>
      </c>
      <c r="T1477" s="1">
        <f t="shared" si="2066"/>
        <v>0</v>
      </c>
      <c r="U1477" s="1">
        <f t="shared" si="2033"/>
        <v>0</v>
      </c>
      <c r="V1477" s="1">
        <f t="shared" si="2034"/>
        <v>4</v>
      </c>
      <c r="W1477" s="1">
        <f t="shared" si="2035"/>
        <v>1</v>
      </c>
      <c r="X1477" s="1">
        <f t="shared" si="2036"/>
        <v>1</v>
      </c>
      <c r="Y1477" s="1">
        <f t="shared" si="2037"/>
        <v>1</v>
      </c>
      <c r="Z1477" s="1">
        <f t="shared" si="2038"/>
        <v>1</v>
      </c>
      <c r="AA1477" s="1">
        <f t="shared" si="2062"/>
        <v>1</v>
      </c>
      <c r="AB1477" s="1">
        <f t="shared" si="2040"/>
        <v>1</v>
      </c>
      <c r="AC1477" s="1">
        <f t="shared" si="2067"/>
        <v>1</v>
      </c>
      <c r="AD1477" s="1">
        <f>ROUNDDOWN(I1477*(1+IF(F1477=3,0.05+方案参数!$Y$43+AA1477*0.12,IF(F1477=4,方案参数!$BZ$43*方案参数!$AS$43,0)))+IF(AND(X1477=1,F1477&lt;&gt;3),方案参数!$CC$43,0)+AC1477*方案参数!$CB$43,0)</f>
        <v>3034</v>
      </c>
      <c r="AE1477" s="1">
        <f>IF(OR(F1477=1,F1477=4),配置与结果!$B$24,配置与结果!$B$25)*MAX(0,1-INDEX(配置与结果!$I$15:$I$18,F1477))</f>
        <v>1200</v>
      </c>
      <c r="AF1477" s="1">
        <f>方案参数!$BL$43</f>
        <v>9</v>
      </c>
      <c r="AG1477" s="1">
        <f>MAX(配置与结果!$B$32,1+INDEX(配置与结果!$F$15:$F$18,F1477)+0.08+方案参数!$CD$43+Q1477*方案参数!$W$43+Y1477*(方案参数!$AN$43+MIN(方案参数!$AO$43,P1477*0.03))+AB1477*方案参数!$BZ$43*0.025-配置与结果!$B$28+方案参数!$AE$43)</f>
        <v>2.6150000000000002</v>
      </c>
      <c r="AH1477" s="1">
        <f>MAX(0,1+V1477*方案参数!$U$43+8*方案参数!$V$43+方案参数!$AE$43-配置与结果!$B$29)</f>
        <v>2.04</v>
      </c>
      <c r="AI1477" s="1">
        <f>IF(OR(INDEX(配置与结果!$K$15:$K$18,F1477)=1,G1477="RHI_BERRY"),1+配置与结果!$B$33+P1477*方案参数!$AH$43,1)</f>
        <v>1</v>
      </c>
      <c r="AJ1477" s="1">
        <f>MIN(1,MAX(0,J1477+方案参数!$AB$43-配置与结果!$B$27))</f>
        <v>1</v>
      </c>
      <c r="AK1477" s="1">
        <f>MAX(1,K1477+IF(F1477=2,0.15+方案参数!$CH$43,0)+BN1477*方案参数!$X$43+R1477*方案参数!$AA$43+方案参数!$BP$43-配置与结果!$B$26+Z1477*(方案参数!$AP$43+MIN(方案参数!$AQ$43,P1477*0.03)))</f>
        <v>2.7650000000000001</v>
      </c>
      <c r="AL1477" s="7">
        <f>ROUNDDOWN(MAX(AD1477*配置与结果!$B$31,AD1477-AE1477)*AF1477*AG1477*AH1477*AI1477,0)</f>
        <v>88052</v>
      </c>
      <c r="AM1477" s="7">
        <f>ROUNDDOWN(MAX(AD1477*配置与结果!$B$31,AD1477-AE1477)*AF1477*AG1477*AH1477*AI1477*AK1477,0)</f>
        <v>243466</v>
      </c>
      <c r="AN1477" s="7">
        <f t="shared" si="1996"/>
        <v>243466</v>
      </c>
      <c r="AO1477" s="7">
        <f>0</f>
        <v>0</v>
      </c>
      <c r="AP1477" s="7">
        <f>MAX(0,1+INDEX(配置与结果!$J$15:$J$18,F1477)+IF(T1477&gt;0,方案参数!$BY$43,0)-配置与结果!$B$30)</f>
        <v>1</v>
      </c>
      <c r="AQ1477" s="7">
        <f t="shared" si="1997"/>
        <v>0</v>
      </c>
      <c r="AR1477" s="7">
        <f t="shared" si="1998"/>
        <v>0</v>
      </c>
      <c r="AS1477" s="7">
        <f t="shared" si="1999"/>
        <v>0</v>
      </c>
      <c r="AT1477" s="7">
        <f>IF(U1477&gt;0,ROUNDDOWN(AL1477*方案参数!$AF$43,0)*(1-AJ1477)+ROUNDDOWN(AM1477*方案参数!$AF$43,0)*AJ1477,0)</f>
        <v>0</v>
      </c>
      <c r="AU1477" s="7">
        <f t="shared" si="2000"/>
        <v>243466</v>
      </c>
      <c r="AV1477" s="1">
        <f t="shared" si="2001"/>
        <v>2</v>
      </c>
      <c r="AW1477" s="1">
        <f t="shared" si="2072"/>
        <v>10</v>
      </c>
      <c r="AX1477" s="1">
        <f t="shared" si="2002"/>
        <v>2</v>
      </c>
      <c r="AY1477" s="1">
        <f>MIN(20,MAX(0,O1477+0+1-0))</f>
        <v>7</v>
      </c>
      <c r="AZ1477" s="1">
        <f t="shared" si="2003"/>
        <v>5</v>
      </c>
      <c r="BA1477" s="1">
        <f t="shared" si="2063"/>
        <v>5</v>
      </c>
      <c r="BB1477" s="1">
        <f t="shared" si="2071"/>
        <v>20</v>
      </c>
      <c r="BC1477" s="1">
        <f t="shared" si="2069"/>
        <v>3</v>
      </c>
      <c r="BD1477" s="1">
        <f t="shared" si="2050"/>
        <v>0</v>
      </c>
      <c r="BE1477" s="1">
        <f>MAX(0,U1477-IF(AF1477&gt;0,1,0))+0</f>
        <v>0</v>
      </c>
      <c r="BF1477" s="1">
        <f t="shared" si="2073"/>
        <v>4</v>
      </c>
      <c r="BG1477" s="1">
        <f t="shared" si="2060"/>
        <v>1</v>
      </c>
      <c r="BH1477" s="1">
        <f t="shared" si="2044"/>
        <v>1</v>
      </c>
      <c r="BI1477" s="1">
        <f t="shared" si="2061"/>
        <v>1</v>
      </c>
      <c r="BJ1477" s="1">
        <f t="shared" si="2064"/>
        <v>1</v>
      </c>
      <c r="BK1477" s="1">
        <f t="shared" si="2065"/>
        <v>1</v>
      </c>
      <c r="BL1477" s="1">
        <f t="shared" si="2070"/>
        <v>1</v>
      </c>
      <c r="BM1477" s="1">
        <f t="shared" si="2068"/>
        <v>1</v>
      </c>
      <c r="BN1477" s="1">
        <f t="shared" si="2045"/>
        <v>1</v>
      </c>
      <c r="BO1477" s="1">
        <f t="shared" si="2046"/>
        <v>1</v>
      </c>
    </row>
    <row r="1478" spans="1:67" ht="30.95" customHeight="1">
      <c r="A1478" s="1">
        <f>40</f>
        <v>40</v>
      </c>
      <c r="B1478" s="1">
        <f>固定流程!A38</f>
        <v>33</v>
      </c>
      <c r="C1478" s="1">
        <f>43</f>
        <v>43</v>
      </c>
      <c r="D1478" s="1">
        <f>2</f>
        <v>2</v>
      </c>
      <c r="E1478" s="1">
        <f>固定流程!C38</f>
        <v>3</v>
      </c>
      <c r="F1478" s="1">
        <f>固定流程!G38</f>
        <v>1</v>
      </c>
      <c r="G1478" s="1" t="str">
        <f>固定流程!H38</f>
        <v>LILYA_WEAK</v>
      </c>
      <c r="H1478" s="1">
        <f>固定流程!F38</f>
        <v>1</v>
      </c>
      <c r="I1478" s="1">
        <f>INDEX(配置与结果!$B$15:$B$18,F1478)</f>
        <v>2296</v>
      </c>
      <c r="J1478" s="1">
        <f>INDEX(配置与结果!$D$15:$D$18,F1478)</f>
        <v>0.7</v>
      </c>
      <c r="K1478" s="1">
        <f>INDEX(配置与结果!$E$15:$E$18,F1478)</f>
        <v>2.0249999999999999</v>
      </c>
      <c r="L1478" s="1">
        <f t="shared" si="2057"/>
        <v>2</v>
      </c>
      <c r="M1478" s="1">
        <f t="shared" si="2058"/>
        <v>10</v>
      </c>
      <c r="N1478" s="1">
        <f t="shared" si="2059"/>
        <v>2</v>
      </c>
      <c r="O1478" s="1">
        <f t="shared" si="2051"/>
        <v>7</v>
      </c>
      <c r="P1478" s="1">
        <f>MIN(方案参数!$AI$43,AZ1477+0+0)</f>
        <v>5</v>
      </c>
      <c r="Q1478" s="1">
        <f t="shared" si="2029"/>
        <v>5</v>
      </c>
      <c r="R1478" s="1">
        <f t="shared" si="2030"/>
        <v>20</v>
      </c>
      <c r="S1478" s="1">
        <f t="shared" si="2031"/>
        <v>3</v>
      </c>
      <c r="T1478" s="1">
        <f t="shared" si="2066"/>
        <v>0</v>
      </c>
      <c r="U1478" s="1">
        <f t="shared" si="2033"/>
        <v>0</v>
      </c>
      <c r="V1478" s="1">
        <f t="shared" si="2034"/>
        <v>4</v>
      </c>
      <c r="W1478" s="1">
        <f t="shared" si="2035"/>
        <v>1</v>
      </c>
      <c r="X1478" s="1">
        <f t="shared" si="2036"/>
        <v>1</v>
      </c>
      <c r="Y1478" s="1">
        <f t="shared" si="2037"/>
        <v>1</v>
      </c>
      <c r="Z1478" s="1">
        <f t="shared" si="2038"/>
        <v>1</v>
      </c>
      <c r="AA1478" s="1">
        <f t="shared" si="2062"/>
        <v>1</v>
      </c>
      <c r="AB1478" s="1">
        <f t="shared" si="2040"/>
        <v>1</v>
      </c>
      <c r="AC1478" s="1">
        <f t="shared" si="2067"/>
        <v>1</v>
      </c>
      <c r="AD1478" s="1">
        <f>ROUNDDOWN(I1478*(1+IF(F1478=3,0.05+方案参数!$Y$43+AA1478*0.12,IF(F1478=4,方案参数!$BZ$43*方案参数!$AS$43,0)))+IF(AND(X1478=1,F1478&lt;&gt;3),方案参数!$CC$43,0)+AC1478*方案参数!$CB$43,0)</f>
        <v>3034</v>
      </c>
      <c r="AE1478" s="1">
        <f>IF(OR(F1478=1,F1478=4),配置与结果!$B$24,配置与结果!$B$25)*MAX(0,1-INDEX(配置与结果!$I$15:$I$18,F1478))</f>
        <v>1200</v>
      </c>
      <c r="AF1478" s="1">
        <f>方案参数!$BL$43</f>
        <v>9</v>
      </c>
      <c r="AG1478" s="1">
        <f>MAX(配置与结果!$B$32,1+INDEX(配置与结果!$F$15:$F$18,F1478)+0.08+方案参数!$CD$43+Q1478*方案参数!$W$43+Y1478*(方案参数!$AN$43+MIN(方案参数!$AO$43,P1478*0.03))+AB1478*方案参数!$BZ$43*0.025-配置与结果!$B$28+方案参数!$AE$43)</f>
        <v>2.6150000000000002</v>
      </c>
      <c r="AH1478" s="1">
        <f>MAX(0,1+V1478*方案参数!$U$43+9*方案参数!$V$43+方案参数!$AE$43-配置与结果!$B$29)</f>
        <v>2.1</v>
      </c>
      <c r="AI1478" s="1">
        <f>IF(OR(INDEX(配置与结果!$K$15:$K$18,F1478)=1,G1478="RHI_BERRY"),1+配置与结果!$B$33+P1478*方案参数!$AH$43,1)</f>
        <v>1</v>
      </c>
      <c r="AJ1478" s="1">
        <f>MIN(1,MAX(0,J1478+方案参数!$AB$43-配置与结果!$B$27))</f>
        <v>1</v>
      </c>
      <c r="AK1478" s="1">
        <f>MAX(1,K1478+IF(F1478=2,0.15+方案参数!$CH$43,0)+BN1478*方案参数!$X$43+R1478*方案参数!$AA$43+方案参数!$BP$43-配置与结果!$B$26+Z1478*(方案参数!$AP$43+MIN(方案参数!$AQ$43,P1478*0.03)))</f>
        <v>2.7650000000000001</v>
      </c>
      <c r="AL1478" s="7">
        <f>ROUNDDOWN(MAX(AD1478*配置与结果!$B$31,AD1478-AE1478)*AF1478*AG1478*AH1478*AI1478,0)</f>
        <v>90642</v>
      </c>
      <c r="AM1478" s="7">
        <f>ROUNDDOWN(MAX(AD1478*配置与结果!$B$31,AD1478-AE1478)*AF1478*AG1478*AH1478*AI1478*AK1478,0)</f>
        <v>250627</v>
      </c>
      <c r="AN1478" s="7">
        <f t="shared" ref="AN1478:AN1541" si="2074">AL1478*(1-AJ1478)+AM1478*AJ1478</f>
        <v>250627</v>
      </c>
      <c r="AO1478" s="7">
        <f>0</f>
        <v>0</v>
      </c>
      <c r="AP1478" s="7">
        <f>MAX(0,1+INDEX(配置与结果!$J$15:$J$18,F1478)+IF(T1478&gt;0,方案参数!$BY$43,0)-配置与结果!$B$30)</f>
        <v>1</v>
      </c>
      <c r="AQ1478" s="7">
        <f t="shared" ref="AQ1478:AQ1541" si="2075">ROUNDDOWN(ROUNDDOWN(AD1478*AO1478,0)*AP1478,0)</f>
        <v>0</v>
      </c>
      <c r="AR1478" s="7">
        <f t="shared" ref="AR1478:AR1541" si="2076">ROUNDDOWN(ROUNDDOWN(AD1478*AO1478,0)*AP1478*AK1478,0)</f>
        <v>0</v>
      </c>
      <c r="AS1478" s="7">
        <f t="shared" ref="AS1478:AS1541" si="2077">AQ1478*(1-AJ1478)+AR1478*AJ1478</f>
        <v>0</v>
      </c>
      <c r="AT1478" s="7">
        <f>IF(U1478&gt;0,ROUNDDOWN(AL1478*方案参数!$AF$43,0)*(1-AJ1478)+ROUNDDOWN(AM1478*方案参数!$AF$43,0)*AJ1478,0)</f>
        <v>0</v>
      </c>
      <c r="AU1478" s="7">
        <f t="shared" ref="AU1478:AU1541" si="2078">AN1478+AS1478+AT1478</f>
        <v>250627</v>
      </c>
      <c r="AV1478" s="1">
        <f t="shared" ref="AV1478:AV1541" si="2079">IF(G1478="LILYA_COBRA",IF(L1478=0,1,L1478),L1478)</f>
        <v>2</v>
      </c>
      <c r="AW1478" s="1">
        <f t="shared" si="2072"/>
        <v>10</v>
      </c>
      <c r="AX1478" s="1">
        <f t="shared" ref="AX1478:AX1541" si="2080">N1478</f>
        <v>2</v>
      </c>
      <c r="AY1478" s="1">
        <f>MIN(20,MAX(0,O1478+0+1-0))</f>
        <v>8</v>
      </c>
      <c r="AZ1478" s="1">
        <f t="shared" ref="AZ1478:AZ1541" si="2081">P1478</f>
        <v>5</v>
      </c>
      <c r="BA1478" s="1">
        <f t="shared" si="2063"/>
        <v>5</v>
      </c>
      <c r="BB1478" s="1">
        <f t="shared" si="2071"/>
        <v>20</v>
      </c>
      <c r="BC1478" s="1">
        <f t="shared" si="2069"/>
        <v>3</v>
      </c>
      <c r="BD1478" s="1">
        <f t="shared" si="2050"/>
        <v>0</v>
      </c>
      <c r="BE1478" s="1">
        <f>MAX(0,U1478-IF(AF1478&gt;0,1,0))+0</f>
        <v>0</v>
      </c>
      <c r="BF1478" s="1">
        <f t="shared" si="2073"/>
        <v>4</v>
      </c>
      <c r="BG1478" s="1">
        <f t="shared" si="2060"/>
        <v>1</v>
      </c>
      <c r="BH1478" s="1">
        <f t="shared" si="2044"/>
        <v>1</v>
      </c>
      <c r="BI1478" s="1">
        <f t="shared" si="2061"/>
        <v>1</v>
      </c>
      <c r="BJ1478" s="1">
        <f t="shared" si="2064"/>
        <v>1</v>
      </c>
      <c r="BK1478" s="1">
        <f t="shared" si="2065"/>
        <v>1</v>
      </c>
      <c r="BL1478" s="1">
        <f t="shared" si="2070"/>
        <v>1</v>
      </c>
      <c r="BM1478" s="1">
        <f t="shared" si="2068"/>
        <v>1</v>
      </c>
      <c r="BN1478" s="1">
        <f t="shared" si="2045"/>
        <v>1</v>
      </c>
      <c r="BO1478" s="1">
        <f t="shared" si="2046"/>
        <v>1</v>
      </c>
    </row>
    <row r="1479" spans="1:67" ht="30.95" customHeight="1">
      <c r="A1479" s="1">
        <f>40</f>
        <v>40</v>
      </c>
      <c r="B1479" s="1">
        <f>固定流程!A39</f>
        <v>34</v>
      </c>
      <c r="C1479" s="1">
        <f>43</f>
        <v>43</v>
      </c>
      <c r="D1479" s="1">
        <f>2</f>
        <v>2</v>
      </c>
      <c r="E1479" s="1">
        <f>固定流程!C39</f>
        <v>3</v>
      </c>
      <c r="F1479" s="1">
        <f>固定流程!G39</f>
        <v>2</v>
      </c>
      <c r="G1479" s="1" t="str">
        <f>固定流程!H39</f>
        <v>37_WEAK</v>
      </c>
      <c r="H1479" s="1">
        <f>固定流程!F39</f>
        <v>1</v>
      </c>
      <c r="I1479" s="1">
        <f>INDEX(配置与结果!$B$15:$B$18,F1479)</f>
        <v>2306</v>
      </c>
      <c r="J1479" s="1">
        <f>INDEX(配置与结果!$D$15:$D$18,F1479)</f>
        <v>0.46</v>
      </c>
      <c r="K1479" s="1">
        <f>INDEX(配置与结果!$E$15:$E$18,F1479)</f>
        <v>1.9279999999999999</v>
      </c>
      <c r="L1479" s="1">
        <f t="shared" si="2057"/>
        <v>2</v>
      </c>
      <c r="M1479" s="1">
        <f t="shared" si="2058"/>
        <v>10</v>
      </c>
      <c r="N1479" s="1">
        <f t="shared" si="2059"/>
        <v>2</v>
      </c>
      <c r="O1479" s="1">
        <f t="shared" si="2051"/>
        <v>8</v>
      </c>
      <c r="P1479" s="1">
        <f>MIN(方案参数!$AI$43,AZ1478+0+0)</f>
        <v>5</v>
      </c>
      <c r="Q1479" s="1">
        <f t="shared" si="2029"/>
        <v>5</v>
      </c>
      <c r="R1479" s="1">
        <f t="shared" si="2030"/>
        <v>20</v>
      </c>
      <c r="S1479" s="1">
        <f t="shared" si="2031"/>
        <v>3</v>
      </c>
      <c r="T1479" s="1">
        <f t="shared" si="2066"/>
        <v>0</v>
      </c>
      <c r="U1479" s="1">
        <f t="shared" si="2033"/>
        <v>0</v>
      </c>
      <c r="V1479" s="1">
        <f t="shared" si="2034"/>
        <v>4</v>
      </c>
      <c r="W1479" s="1">
        <f t="shared" si="2035"/>
        <v>1</v>
      </c>
      <c r="X1479" s="1">
        <f t="shared" si="2036"/>
        <v>1</v>
      </c>
      <c r="Y1479" s="1">
        <f t="shared" si="2037"/>
        <v>1</v>
      </c>
      <c r="Z1479" s="1">
        <f t="shared" si="2038"/>
        <v>1</v>
      </c>
      <c r="AA1479" s="1">
        <f t="shared" si="2062"/>
        <v>1</v>
      </c>
      <c r="AB1479" s="1">
        <f t="shared" si="2040"/>
        <v>1</v>
      </c>
      <c r="AC1479" s="1">
        <f t="shared" si="2067"/>
        <v>1</v>
      </c>
      <c r="AD1479" s="1">
        <f>ROUNDDOWN(I1479*(1+IF(F1479=3,0.05+方案参数!$Y$43+AA1479*0.12,IF(F1479=4,方案参数!$BZ$43*方案参数!$AS$43,0)))+IF(AND(X1479=1,F1479&lt;&gt;3),方案参数!$CC$43,0)+AC1479*方案参数!$CB$43,0)</f>
        <v>3044</v>
      </c>
      <c r="AE1479" s="1">
        <f>IF(OR(F1479=1,F1479=4),配置与结果!$B$24,配置与结果!$B$25)*MAX(0,1-INDEX(配置与结果!$I$15:$I$18,F1479))</f>
        <v>1000</v>
      </c>
      <c r="AF1479" s="1">
        <f>方案参数!$CE$43</f>
        <v>8</v>
      </c>
      <c r="AG1479" s="1">
        <f>MAX(配置与结果!$B$32,1+INDEX(配置与结果!$F$15:$F$18,F1479)+0+Q1479*方案参数!$W$43+Y1479*(方案参数!$AN$43+MIN(方案参数!$AO$43,P1479*0.03))+AB1479*方案参数!$BZ$43*0.025-配置与结果!$B$28+方案参数!$AE$43)</f>
        <v>2.2800000000000002</v>
      </c>
      <c r="AH1479" s="1">
        <f>MAX(0,1+V1479*方案参数!$U$43+方案参数!$AE$43-配置与结果!$B$29)</f>
        <v>1.56</v>
      </c>
      <c r="AI1479" s="1">
        <f>IF(OR(INDEX(配置与结果!$K$15:$K$18,F1479)=1,G1479="RHI_BERRY"),1+配置与结果!$B$33+P1479*方案参数!$AH$43,1)</f>
        <v>1</v>
      </c>
      <c r="AJ1479" s="1">
        <f>MIN(1,MAX(0,J1479+方案参数!$AB$43-配置与结果!$B$27))</f>
        <v>0.76</v>
      </c>
      <c r="AK1479" s="1">
        <f>MAX(1,K1479+IF(F1479=2,0.15+方案参数!$CH$43,0)+BN1479*方案参数!$X$43+R1479*方案参数!$AA$43+0-配置与结果!$B$26+Z1479*(方案参数!$AP$43+MIN(方案参数!$AQ$43,P1479*0.03)))</f>
        <v>2.3380000000000001</v>
      </c>
      <c r="AL1479" s="7">
        <f>ROUNDDOWN(MAX(AD1479*配置与结果!$B$31,AD1479-AE1479)*AF1479*AG1479*AH1479*AI1479,0)</f>
        <v>58160</v>
      </c>
      <c r="AM1479" s="7">
        <f>ROUNDDOWN(MAX(AD1479*配置与结果!$B$31,AD1479-AE1479)*AF1479*AG1479*AH1479*AI1479*AK1479,0)</f>
        <v>135979</v>
      </c>
      <c r="AN1479" s="7">
        <f t="shared" si="2074"/>
        <v>117302.44</v>
      </c>
      <c r="AO1479" s="7">
        <f>0</f>
        <v>0</v>
      </c>
      <c r="AP1479" s="7">
        <f>MAX(0,1+INDEX(配置与结果!$J$15:$J$18,F1479)+IF(T1479&gt;0,方案参数!$BY$43,0)-配置与结果!$B$30)</f>
        <v>1</v>
      </c>
      <c r="AQ1479" s="7">
        <f t="shared" si="2075"/>
        <v>0</v>
      </c>
      <c r="AR1479" s="7">
        <f t="shared" si="2076"/>
        <v>0</v>
      </c>
      <c r="AS1479" s="7">
        <f t="shared" si="2077"/>
        <v>0</v>
      </c>
      <c r="AT1479" s="7">
        <f>IF(U1479&gt;0,ROUNDDOWN(AL1479*方案参数!$AF$43,0)*(1-AJ1479)+ROUNDDOWN(AM1479*方案参数!$AF$43,0)*AJ1479,0)</f>
        <v>0</v>
      </c>
      <c r="AU1479" s="7">
        <f t="shared" si="2078"/>
        <v>117302.44</v>
      </c>
      <c r="AV1479" s="1">
        <f t="shared" si="2079"/>
        <v>2</v>
      </c>
      <c r="AW1479" s="1">
        <f t="shared" si="2072"/>
        <v>10</v>
      </c>
      <c r="AX1479" s="1">
        <f t="shared" si="2080"/>
        <v>2</v>
      </c>
      <c r="AY1479" s="1">
        <f>MIN(20,MAX(0,O1479+0+0-0))</f>
        <v>8</v>
      </c>
      <c r="AZ1479" s="1">
        <f t="shared" si="2081"/>
        <v>5</v>
      </c>
      <c r="BA1479" s="1">
        <f t="shared" si="2063"/>
        <v>5</v>
      </c>
      <c r="BB1479" s="1">
        <f t="shared" si="2071"/>
        <v>20</v>
      </c>
      <c r="BC1479" s="1">
        <f t="shared" si="2069"/>
        <v>3</v>
      </c>
      <c r="BD1479" s="1">
        <f t="shared" si="2050"/>
        <v>0</v>
      </c>
      <c r="BE1479" s="1">
        <f>MAX(0,U1479-IF(AF1479&gt;0,1,0))+1</f>
        <v>1</v>
      </c>
      <c r="BF1479" s="1">
        <f t="shared" si="2073"/>
        <v>4</v>
      </c>
      <c r="BG1479" s="1">
        <f t="shared" si="2060"/>
        <v>1</v>
      </c>
      <c r="BH1479" s="1">
        <f t="shared" si="2044"/>
        <v>1</v>
      </c>
      <c r="BI1479" s="1">
        <f t="shared" si="2061"/>
        <v>1</v>
      </c>
      <c r="BJ1479" s="1">
        <f t="shared" si="2064"/>
        <v>1</v>
      </c>
      <c r="BK1479" s="1">
        <f t="shared" si="2065"/>
        <v>1</v>
      </c>
      <c r="BL1479" s="1">
        <f t="shared" si="2070"/>
        <v>1</v>
      </c>
      <c r="BM1479" s="1">
        <f t="shared" si="2068"/>
        <v>1</v>
      </c>
      <c r="BN1479" s="1">
        <f t="shared" si="2045"/>
        <v>1</v>
      </c>
      <c r="BO1479" s="1">
        <f t="shared" si="2046"/>
        <v>1</v>
      </c>
    </row>
    <row r="1480" spans="1:67" ht="30.95" customHeight="1">
      <c r="A1480" s="1">
        <f>40</f>
        <v>40</v>
      </c>
      <c r="B1480" s="1">
        <f>固定流程!A40</f>
        <v>35</v>
      </c>
      <c r="C1480" s="1">
        <f>43</f>
        <v>43</v>
      </c>
      <c r="D1480" s="1">
        <f>2</f>
        <v>2</v>
      </c>
      <c r="E1480" s="1">
        <f>固定流程!C40</f>
        <v>3</v>
      </c>
      <c r="F1480" s="1">
        <f>固定流程!G40</f>
        <v>2</v>
      </c>
      <c r="G1480" s="1" t="str">
        <f>固定流程!H40</f>
        <v>37_WEAK</v>
      </c>
      <c r="H1480" s="1">
        <f>固定流程!F40</f>
        <v>1</v>
      </c>
      <c r="I1480" s="1">
        <f>INDEX(配置与结果!$B$15:$B$18,F1480)</f>
        <v>2306</v>
      </c>
      <c r="J1480" s="1">
        <f>INDEX(配置与结果!$D$15:$D$18,F1480)</f>
        <v>0.46</v>
      </c>
      <c r="K1480" s="1">
        <f>INDEX(配置与结果!$E$15:$E$18,F1480)</f>
        <v>1.9279999999999999</v>
      </c>
      <c r="L1480" s="1">
        <f t="shared" si="2057"/>
        <v>2</v>
      </c>
      <c r="M1480" s="1">
        <f t="shared" si="2058"/>
        <v>10</v>
      </c>
      <c r="N1480" s="1">
        <f t="shared" si="2059"/>
        <v>2</v>
      </c>
      <c r="O1480" s="1">
        <f t="shared" si="2051"/>
        <v>8</v>
      </c>
      <c r="P1480" s="1">
        <f>MIN(方案参数!$AI$43,AZ1479+0+0)</f>
        <v>5</v>
      </c>
      <c r="Q1480" s="1">
        <f t="shared" si="2029"/>
        <v>5</v>
      </c>
      <c r="R1480" s="1">
        <f t="shared" si="2030"/>
        <v>20</v>
      </c>
      <c r="S1480" s="1">
        <f t="shared" si="2031"/>
        <v>3</v>
      </c>
      <c r="T1480" s="1">
        <f t="shared" si="2066"/>
        <v>0</v>
      </c>
      <c r="U1480" s="1">
        <f t="shared" si="2033"/>
        <v>1</v>
      </c>
      <c r="V1480" s="1">
        <f t="shared" si="2034"/>
        <v>4</v>
      </c>
      <c r="W1480" s="1">
        <f t="shared" si="2035"/>
        <v>1</v>
      </c>
      <c r="X1480" s="1">
        <f t="shared" si="2036"/>
        <v>1</v>
      </c>
      <c r="Y1480" s="1">
        <f t="shared" si="2037"/>
        <v>1</v>
      </c>
      <c r="Z1480" s="1">
        <f t="shared" si="2038"/>
        <v>1</v>
      </c>
      <c r="AA1480" s="1">
        <f t="shared" si="2062"/>
        <v>1</v>
      </c>
      <c r="AB1480" s="1">
        <f t="shared" si="2040"/>
        <v>1</v>
      </c>
      <c r="AC1480" s="1">
        <f t="shared" si="2067"/>
        <v>1</v>
      </c>
      <c r="AD1480" s="1">
        <f>ROUNDDOWN(I1480*(1+IF(F1480=3,0.05+方案参数!$Y$43+AA1480*0.12,IF(F1480=4,方案参数!$BZ$43*方案参数!$AS$43,0)))+IF(AND(X1480=1,F1480&lt;&gt;3),方案参数!$CC$43,0)+AC1480*方案参数!$CB$43,0)</f>
        <v>3044</v>
      </c>
      <c r="AE1480" s="1">
        <f>IF(OR(F1480=1,F1480=4),配置与结果!$B$24,配置与结果!$B$25)*MAX(0,1-INDEX(配置与结果!$I$15:$I$18,F1480))</f>
        <v>1000</v>
      </c>
      <c r="AF1480" s="1">
        <f>方案参数!$CE$43</f>
        <v>8</v>
      </c>
      <c r="AG1480" s="1">
        <f>MAX(配置与结果!$B$32,1+INDEX(配置与结果!$F$15:$F$18,F1480)+0+Q1480*方案参数!$W$43+Y1480*(方案参数!$AN$43+MIN(方案参数!$AO$43,P1480*0.03))+AB1480*方案参数!$BZ$43*0.025-配置与结果!$B$28+方案参数!$AE$43)</f>
        <v>2.2800000000000002</v>
      </c>
      <c r="AH1480" s="1">
        <f>MAX(0,1+V1480*方案参数!$U$43+方案参数!$AE$43-配置与结果!$B$29)</f>
        <v>1.56</v>
      </c>
      <c r="AI1480" s="1">
        <f>IF(OR(INDEX(配置与结果!$K$15:$K$18,F1480)=1,G1480="RHI_BERRY"),1+配置与结果!$B$33+P1480*方案参数!$AH$43,1)</f>
        <v>1</v>
      </c>
      <c r="AJ1480" s="1">
        <f>MIN(1,MAX(0,J1480+方案参数!$AB$43-配置与结果!$B$27))</f>
        <v>0.76</v>
      </c>
      <c r="AK1480" s="1">
        <f>MAX(1,K1480+IF(F1480=2,0.15+方案参数!$CH$43,0)+BN1480*方案参数!$X$43+R1480*方案参数!$AA$43+0-配置与结果!$B$26+Z1480*(方案参数!$AP$43+MIN(方案参数!$AQ$43,P1480*0.03)))</f>
        <v>2.3380000000000001</v>
      </c>
      <c r="AL1480" s="7">
        <f>ROUNDDOWN(MAX(AD1480*配置与结果!$B$31,AD1480-AE1480)*AF1480*AG1480*AH1480*AI1480,0)</f>
        <v>58160</v>
      </c>
      <c r="AM1480" s="7">
        <f>ROUNDDOWN(MAX(AD1480*配置与结果!$B$31,AD1480-AE1480)*AF1480*AG1480*AH1480*AI1480*AK1480,0)</f>
        <v>135979</v>
      </c>
      <c r="AN1480" s="7">
        <f t="shared" si="2074"/>
        <v>117302.44</v>
      </c>
      <c r="AO1480" s="7">
        <f>0</f>
        <v>0</v>
      </c>
      <c r="AP1480" s="7">
        <f>MAX(0,1+INDEX(配置与结果!$J$15:$J$18,F1480)+IF(T1480&gt;0,方案参数!$BY$43,0)-配置与结果!$B$30)</f>
        <v>1</v>
      </c>
      <c r="AQ1480" s="7">
        <f t="shared" si="2075"/>
        <v>0</v>
      </c>
      <c r="AR1480" s="7">
        <f t="shared" si="2076"/>
        <v>0</v>
      </c>
      <c r="AS1480" s="7">
        <f t="shared" si="2077"/>
        <v>0</v>
      </c>
      <c r="AT1480" s="7">
        <f>IF(U1480&gt;0,ROUNDDOWN(AL1480*方案参数!$AF$43,0)*(1-AJ1480)+ROUNDDOWN(AM1480*方案参数!$AF$43,0)*AJ1480,0)</f>
        <v>46920.520000000004</v>
      </c>
      <c r="AU1480" s="7">
        <f t="shared" si="2078"/>
        <v>164222.96000000002</v>
      </c>
      <c r="AV1480" s="1">
        <f t="shared" si="2079"/>
        <v>2</v>
      </c>
      <c r="AW1480" s="1">
        <f t="shared" si="2072"/>
        <v>10</v>
      </c>
      <c r="AX1480" s="1">
        <f t="shared" si="2080"/>
        <v>2</v>
      </c>
      <c r="AY1480" s="1">
        <f>MIN(20,MAX(0,O1480+0+0-0))</f>
        <v>8</v>
      </c>
      <c r="AZ1480" s="1">
        <f t="shared" si="2081"/>
        <v>5</v>
      </c>
      <c r="BA1480" s="1">
        <f t="shared" si="2063"/>
        <v>5</v>
      </c>
      <c r="BB1480" s="1">
        <f t="shared" si="2071"/>
        <v>20</v>
      </c>
      <c r="BC1480" s="1">
        <f t="shared" si="2069"/>
        <v>3</v>
      </c>
      <c r="BD1480" s="1">
        <f t="shared" si="2050"/>
        <v>0</v>
      </c>
      <c r="BE1480" s="1">
        <f>MAX(0,U1480-IF(AF1480&gt;0,1,0))+1</f>
        <v>1</v>
      </c>
      <c r="BF1480" s="1">
        <f t="shared" si="2073"/>
        <v>4</v>
      </c>
      <c r="BG1480" s="1">
        <f t="shared" si="2060"/>
        <v>1</v>
      </c>
      <c r="BH1480" s="1">
        <f t="shared" si="2044"/>
        <v>1</v>
      </c>
      <c r="BI1480" s="1">
        <f t="shared" si="2061"/>
        <v>1</v>
      </c>
      <c r="BJ1480" s="1">
        <f t="shared" si="2064"/>
        <v>1</v>
      </c>
      <c r="BK1480" s="1">
        <f t="shared" si="2065"/>
        <v>1</v>
      </c>
      <c r="BL1480" s="1">
        <f t="shared" si="2070"/>
        <v>1</v>
      </c>
      <c r="BM1480" s="1">
        <f t="shared" si="2068"/>
        <v>1</v>
      </c>
      <c r="BN1480" s="1">
        <f t="shared" si="2045"/>
        <v>1</v>
      </c>
      <c r="BO1480" s="1">
        <f t="shared" si="2046"/>
        <v>1</v>
      </c>
    </row>
    <row r="1481" spans="1:67" ht="30.95" customHeight="1">
      <c r="A1481" s="1">
        <f>40</f>
        <v>40</v>
      </c>
      <c r="B1481" s="1">
        <f>固定流程!A41</f>
        <v>36</v>
      </c>
      <c r="C1481" s="1">
        <f>43</f>
        <v>43</v>
      </c>
      <c r="D1481" s="1">
        <f>2</f>
        <v>2</v>
      </c>
      <c r="E1481" s="1">
        <f>固定流程!C41</f>
        <v>3</v>
      </c>
      <c r="F1481" s="1">
        <f>固定流程!G41</f>
        <v>1</v>
      </c>
      <c r="G1481" s="1" t="str">
        <f>固定流程!H41</f>
        <v>LILYA_FINISH</v>
      </c>
      <c r="H1481" s="1">
        <f>固定流程!F41</f>
        <v>1</v>
      </c>
      <c r="I1481" s="1">
        <f>INDEX(配置与结果!$B$15:$B$18,F1481)</f>
        <v>2296</v>
      </c>
      <c r="J1481" s="1">
        <f>INDEX(配置与结果!$D$15:$D$18,F1481)</f>
        <v>0.7</v>
      </c>
      <c r="K1481" s="1">
        <f>INDEX(配置与结果!$E$15:$E$18,F1481)</f>
        <v>2.0249999999999999</v>
      </c>
      <c r="L1481" s="1">
        <f t="shared" si="2057"/>
        <v>2</v>
      </c>
      <c r="M1481" s="1">
        <f t="shared" si="2058"/>
        <v>10</v>
      </c>
      <c r="N1481" s="1">
        <f t="shared" si="2059"/>
        <v>2</v>
      </c>
      <c r="O1481" s="1">
        <f t="shared" si="2051"/>
        <v>8</v>
      </c>
      <c r="P1481" s="1">
        <f>MIN(方案参数!$AI$43,AZ1480+0+0)</f>
        <v>5</v>
      </c>
      <c r="Q1481" s="1">
        <f t="shared" si="2029"/>
        <v>5</v>
      </c>
      <c r="R1481" s="1">
        <f t="shared" si="2030"/>
        <v>20</v>
      </c>
      <c r="S1481" s="1">
        <f t="shared" si="2031"/>
        <v>3</v>
      </c>
      <c r="T1481" s="1">
        <f t="shared" si="2066"/>
        <v>0</v>
      </c>
      <c r="U1481" s="1">
        <f t="shared" si="2033"/>
        <v>1</v>
      </c>
      <c r="V1481" s="1">
        <f t="shared" si="2034"/>
        <v>4</v>
      </c>
      <c r="W1481" s="1">
        <f t="shared" si="2035"/>
        <v>1</v>
      </c>
      <c r="X1481" s="1">
        <f t="shared" si="2036"/>
        <v>1</v>
      </c>
      <c r="Y1481" s="1">
        <f t="shared" si="2037"/>
        <v>1</v>
      </c>
      <c r="Z1481" s="1">
        <f t="shared" si="2038"/>
        <v>1</v>
      </c>
      <c r="AA1481" s="1">
        <f t="shared" si="2062"/>
        <v>1</v>
      </c>
      <c r="AB1481" s="1">
        <f t="shared" si="2040"/>
        <v>1</v>
      </c>
      <c r="AC1481" s="1">
        <f t="shared" si="2067"/>
        <v>1</v>
      </c>
      <c r="AD1481" s="1">
        <f>ROUNDDOWN(I1481*(1+IF(F1481=3,0.05+方案参数!$Y$43+AA1481*0.12,IF(F1481=4,方案参数!$BZ$43*方案参数!$AS$43,0)))+IF(AND(X1481=1,F1481&lt;&gt;3),方案参数!$CC$43,0)+AC1481*方案参数!$CB$43,0)</f>
        <v>3034</v>
      </c>
      <c r="AE1481" s="1">
        <f>IF(OR(F1481=1,F1481=4),配置与结果!$B$24,配置与结果!$B$25)*MAX(0,1-INDEX(配置与结果!$I$15:$I$18,F1481))</f>
        <v>1200</v>
      </c>
      <c r="AF1481" s="1">
        <f>方案参数!$BN$43+12*方案参数!$BO$43</f>
        <v>48</v>
      </c>
      <c r="AG1481" s="1">
        <f>MAX(配置与结果!$B$32,1+INDEX(配置与结果!$F$15:$F$18,F1481)+0.08+方案参数!$CD$43+Q1481*方案参数!$W$43+Y1481*(方案参数!$AN$43+MIN(方案参数!$AO$43,P1481*0.03))+AB1481*方案参数!$BZ$43*0.025-配置与结果!$B$28+方案参数!$AE$43)</f>
        <v>2.6150000000000002</v>
      </c>
      <c r="AH1481" s="1">
        <f>MAX(0,1+V1481*方案参数!$U$43+12*方案参数!$V$43+方案参数!$AE$43-配置与结果!$B$29)</f>
        <v>2.2799999999999998</v>
      </c>
      <c r="AI1481" s="1">
        <f>IF(OR(INDEX(配置与结果!$K$15:$K$18,F1481)=1,G1481="RHI_BERRY"),1+配置与结果!$B$33+P1481*方案参数!$AH$43,1)</f>
        <v>1</v>
      </c>
      <c r="AJ1481" s="1">
        <f>MIN(1,MAX(0,J1481+方案参数!$AB$43-配置与结果!$B$27))</f>
        <v>1</v>
      </c>
      <c r="AK1481" s="1">
        <f>MAX(1,K1481+IF(F1481=2,0.15+方案参数!$CH$43,0)+BN1481*方案参数!$X$43+R1481*方案参数!$AA$43+方案参数!$BR$43-配置与结果!$B$26+Z1481*(方案参数!$AP$43+MIN(方案参数!$AQ$43,P1481*0.03)))</f>
        <v>3.165</v>
      </c>
      <c r="AL1481" s="7">
        <f>ROUNDDOWN(MAX(AD1481*配置与结果!$B$31,AD1481-AE1481)*AF1481*AG1481*AH1481*AI1481,0)</f>
        <v>524864</v>
      </c>
      <c r="AM1481" s="7">
        <f>ROUNDDOWN(MAX(AD1481*配置与结果!$B$31,AD1481-AE1481)*AF1481*AG1481*AH1481*AI1481*AK1481,0)</f>
        <v>1661195</v>
      </c>
      <c r="AN1481" s="7">
        <f t="shared" si="2074"/>
        <v>1661195</v>
      </c>
      <c r="AO1481" s="7">
        <f>0</f>
        <v>0</v>
      </c>
      <c r="AP1481" s="7">
        <f>MAX(0,1+INDEX(配置与结果!$J$15:$J$18,F1481)+IF(T1481&gt;0,方案参数!$BY$43,0)-配置与结果!$B$30)</f>
        <v>1</v>
      </c>
      <c r="AQ1481" s="7">
        <f t="shared" si="2075"/>
        <v>0</v>
      </c>
      <c r="AR1481" s="7">
        <f t="shared" si="2076"/>
        <v>0</v>
      </c>
      <c r="AS1481" s="7">
        <f t="shared" si="2077"/>
        <v>0</v>
      </c>
      <c r="AT1481" s="7">
        <f>IF(U1481&gt;0,ROUNDDOWN(AL1481*方案参数!$AF$43,0)*(1-AJ1481)+ROUNDDOWN(AM1481*方案参数!$AF$43,0)*AJ1481,0)</f>
        <v>664478</v>
      </c>
      <c r="AU1481" s="7">
        <f t="shared" si="2078"/>
        <v>2325673</v>
      </c>
      <c r="AV1481" s="1">
        <f t="shared" si="2079"/>
        <v>2</v>
      </c>
      <c r="AW1481" s="1">
        <f t="shared" si="2072"/>
        <v>10</v>
      </c>
      <c r="AX1481" s="1">
        <f t="shared" si="2080"/>
        <v>2</v>
      </c>
      <c r="AY1481" s="1">
        <f>MIN(20,MAX(0,O1481+0+1-0))</f>
        <v>9</v>
      </c>
      <c r="AZ1481" s="1">
        <f t="shared" si="2081"/>
        <v>5</v>
      </c>
      <c r="BA1481" s="1">
        <f t="shared" si="2063"/>
        <v>5</v>
      </c>
      <c r="BB1481" s="1">
        <f t="shared" si="2071"/>
        <v>20</v>
      </c>
      <c r="BC1481" s="1">
        <f t="shared" si="2069"/>
        <v>3</v>
      </c>
      <c r="BD1481" s="1">
        <f t="shared" si="2050"/>
        <v>0</v>
      </c>
      <c r="BE1481" s="1">
        <f>MAX(0,U1481-IF(AF1481&gt;0,1,0))+0</f>
        <v>0</v>
      </c>
      <c r="BF1481" s="1">
        <f t="shared" si="2073"/>
        <v>4</v>
      </c>
      <c r="BG1481" s="1">
        <f t="shared" si="2060"/>
        <v>1</v>
      </c>
      <c r="BH1481" s="1">
        <f t="shared" si="2044"/>
        <v>1</v>
      </c>
      <c r="BI1481" s="1">
        <f t="shared" si="2061"/>
        <v>1</v>
      </c>
      <c r="BJ1481" s="1">
        <f t="shared" si="2064"/>
        <v>1</v>
      </c>
      <c r="BK1481" s="1">
        <f t="shared" si="2065"/>
        <v>1</v>
      </c>
      <c r="BL1481" s="1">
        <f t="shared" si="2070"/>
        <v>1</v>
      </c>
      <c r="BM1481" s="1">
        <f t="shared" si="2068"/>
        <v>1</v>
      </c>
      <c r="BN1481" s="1">
        <f t="shared" si="2045"/>
        <v>1</v>
      </c>
      <c r="BO1481" s="1">
        <f t="shared" si="2046"/>
        <v>1</v>
      </c>
    </row>
    <row r="1482" spans="1:67" ht="30.95" customHeight="1">
      <c r="A1482" s="1">
        <f>41</f>
        <v>41</v>
      </c>
      <c r="B1482" s="1">
        <f>固定流程!A6</f>
        <v>1</v>
      </c>
      <c r="C1482" s="1">
        <f>44</f>
        <v>44</v>
      </c>
      <c r="D1482" s="1">
        <f>1</f>
        <v>1</v>
      </c>
      <c r="E1482" s="1">
        <f>固定流程!C6</f>
        <v>1</v>
      </c>
      <c r="F1482" s="1">
        <f>固定流程!G6</f>
        <v>3</v>
      </c>
      <c r="G1482" s="1" t="str">
        <f>固定流程!H6</f>
        <v>RHI_ULT</v>
      </c>
      <c r="H1482" s="1">
        <f>固定流程!F6</f>
        <v>1</v>
      </c>
      <c r="I1482" s="1">
        <f>INDEX(配置与结果!$B$15:$B$18,F1482)</f>
        <v>2597</v>
      </c>
      <c r="J1482" s="1">
        <f>INDEX(配置与结果!$D$15:$D$18,F1482)</f>
        <v>0.255</v>
      </c>
      <c r="K1482" s="1">
        <f>INDEX(配置与结果!$E$15:$E$18,F1482)</f>
        <v>1.55</v>
      </c>
      <c r="L1482" s="1">
        <f>0</f>
        <v>0</v>
      </c>
      <c r="M1482" s="1">
        <f>0</f>
        <v>0</v>
      </c>
      <c r="N1482" s="1">
        <f>0</f>
        <v>0</v>
      </c>
      <c r="O1482" s="1">
        <f>0</f>
        <v>0</v>
      </c>
      <c r="P1482" s="1">
        <f>MIN(方案参数!$AI$44,0+方案参数!$AJ$44+0)</f>
        <v>1</v>
      </c>
      <c r="Q1482" s="1">
        <f>0</f>
        <v>0</v>
      </c>
      <c r="R1482" s="1">
        <f>0</f>
        <v>0</v>
      </c>
      <c r="S1482" s="1">
        <f>0</f>
        <v>0</v>
      </c>
      <c r="T1482" s="1">
        <f>0+0</f>
        <v>0</v>
      </c>
      <c r="U1482" s="1">
        <f>0</f>
        <v>0</v>
      </c>
      <c r="V1482" s="1">
        <f>0</f>
        <v>0</v>
      </c>
      <c r="W1482" s="1">
        <f>0</f>
        <v>0</v>
      </c>
      <c r="X1482" s="1">
        <f>0</f>
        <v>0</v>
      </c>
      <c r="Y1482" s="1">
        <f>0</f>
        <v>0</v>
      </c>
      <c r="Z1482" s="1">
        <f>0</f>
        <v>0</v>
      </c>
      <c r="AA1482" s="1">
        <f>MAX(0,0)</f>
        <v>0</v>
      </c>
      <c r="AB1482" s="1">
        <f>0</f>
        <v>0</v>
      </c>
      <c r="AC1482" s="1">
        <f>MAX(0,0)</f>
        <v>0</v>
      </c>
      <c r="AD1482" s="1">
        <f>ROUNDDOWN(I1482*(1+IF(F1482=3,0.05+方案参数!$Y$44+AA1482*0.12,IF(F1482=4,方案参数!$BZ$44*方案参数!$AS$44,0)))+IF(AND(X1482=1,F1482&lt;&gt;3),方案参数!$CC$44,0)+AC1482*方案参数!$CB$44,0)</f>
        <v>2986</v>
      </c>
      <c r="AE1482" s="1">
        <f>IF(OR(F1482=1,F1482=4),配置与结果!$B$24,配置与结果!$B$25)*MAX(0,1-INDEX(配置与结果!$I$15:$I$18,F1482))</f>
        <v>1000</v>
      </c>
      <c r="AF1482" s="1">
        <f>0</f>
        <v>0</v>
      </c>
      <c r="AG1482" s="1">
        <f>MAX(配置与结果!$B$32,1+INDEX(配置与结果!$F$15:$F$18,F1482)+0+Q1482*方案参数!$W$44+Y1482*(方案参数!$AN$44+MIN(方案参数!$AO$44,P1482*0.03))+AB1482*方案参数!$BZ$44*0.025-配置与结果!$B$28)</f>
        <v>0.6349999999999999</v>
      </c>
      <c r="AH1482" s="1">
        <f>MAX(0,1+INDEX(配置与结果!$G$15:$G$18,F1482)+W1482*方案参数!$AG$44)</f>
        <v>1</v>
      </c>
      <c r="AI1482" s="1">
        <f>IF(OR(INDEX(配置与结果!$K$15:$K$18,F1482)=1,G1482="RHI_BERRY"),1+配置与结果!$B$33+P1482*方案参数!$AH$44,1)</f>
        <v>1</v>
      </c>
      <c r="AJ1482" s="1">
        <f>MIN(1,MAX(0,J1482+方案参数!$AB$44-配置与结果!$B$27))</f>
        <v>0.55499999999999994</v>
      </c>
      <c r="AK1482" s="1">
        <f>MAX(1,K1482+IF(F1482=2,0.15+方案参数!$CH$44,0)+BN1482*方案参数!$X$44+R1482*方案参数!$AA$44+0-配置与结果!$B$26+Z1482*(方案参数!$AP$44+MIN(方案参数!$AQ$44,P1482*0.03)))</f>
        <v>1.1499999999999999</v>
      </c>
      <c r="AL1482" s="7">
        <f>ROUNDDOWN(MAX(AD1482*配置与结果!$B$31,AD1482-AE1482)*AF1482*AG1482*AH1482*AI1482,0)</f>
        <v>0</v>
      </c>
      <c r="AM1482" s="7">
        <f>ROUNDDOWN(MAX(AD1482*配置与结果!$B$31,AD1482-AE1482)*AF1482*AG1482*AH1482*AI1482*AK1482,0)</f>
        <v>0</v>
      </c>
      <c r="AN1482" s="7">
        <f t="shared" si="2074"/>
        <v>0</v>
      </c>
      <c r="AO1482" s="7">
        <f>0</f>
        <v>0</v>
      </c>
      <c r="AP1482" s="7">
        <f>MAX(0,1+INDEX(配置与结果!$J$15:$J$18,F1482)+IF(T1482&gt;0,方案参数!$BY$44,0)-配置与结果!$B$30)</f>
        <v>1</v>
      </c>
      <c r="AQ1482" s="7">
        <f t="shared" si="2075"/>
        <v>0</v>
      </c>
      <c r="AR1482" s="7">
        <f t="shared" si="2076"/>
        <v>0</v>
      </c>
      <c r="AS1482" s="7">
        <f t="shared" si="2077"/>
        <v>0</v>
      </c>
      <c r="AT1482" s="7">
        <f>0</f>
        <v>0</v>
      </c>
      <c r="AU1482" s="7">
        <f t="shared" si="2078"/>
        <v>0</v>
      </c>
      <c r="AV1482" s="1">
        <f t="shared" si="2079"/>
        <v>0</v>
      </c>
      <c r="AW1482" s="1">
        <f t="shared" si="2072"/>
        <v>0</v>
      </c>
      <c r="AX1482" s="1">
        <f t="shared" si="2080"/>
        <v>0</v>
      </c>
      <c r="AY1482" s="1">
        <f>MIN(20,MAX(0,O1482+0+0-0))</f>
        <v>0</v>
      </c>
      <c r="AZ1482" s="1">
        <f t="shared" si="2081"/>
        <v>1</v>
      </c>
      <c r="BA1482" s="1">
        <f>MIN(6,Q1482+1)</f>
        <v>1</v>
      </c>
      <c r="BB1482" s="1">
        <f>MIN(30,R1482+5)</f>
        <v>5</v>
      </c>
      <c r="BC1482" s="1">
        <f t="shared" si="2069"/>
        <v>0</v>
      </c>
      <c r="BD1482" s="1">
        <f t="shared" si="2050"/>
        <v>0</v>
      </c>
      <c r="BE1482" s="1">
        <f>0</f>
        <v>0</v>
      </c>
      <c r="BF1482" s="1">
        <f t="shared" si="2073"/>
        <v>0</v>
      </c>
      <c r="BG1482" s="1">
        <f t="shared" si="2060"/>
        <v>0</v>
      </c>
      <c r="BH1482" s="1">
        <f>MAX(X1482,1)</f>
        <v>1</v>
      </c>
      <c r="BI1482" s="1">
        <f t="shared" si="2061"/>
        <v>0</v>
      </c>
      <c r="BJ1482" s="1">
        <f t="shared" si="2064"/>
        <v>0</v>
      </c>
      <c r="BK1482" s="1">
        <f t="shared" si="2065"/>
        <v>0</v>
      </c>
      <c r="BL1482" s="1">
        <f t="shared" si="2070"/>
        <v>0</v>
      </c>
      <c r="BM1482" s="1">
        <f t="shared" si="2068"/>
        <v>0</v>
      </c>
      <c r="BN1482" s="1">
        <f>0</f>
        <v>0</v>
      </c>
      <c r="BO1482" s="1">
        <f>MAX(BN1482,1)</f>
        <v>1</v>
      </c>
    </row>
    <row r="1483" spans="1:67" ht="30.95" customHeight="1">
      <c r="A1483" s="1">
        <f>41</f>
        <v>41</v>
      </c>
      <c r="B1483" s="1">
        <f>固定流程!A7</f>
        <v>2</v>
      </c>
      <c r="C1483" s="1">
        <f>44</f>
        <v>44</v>
      </c>
      <c r="D1483" s="1">
        <f>1</f>
        <v>1</v>
      </c>
      <c r="E1483" s="1">
        <f>固定流程!C7</f>
        <v>1</v>
      </c>
      <c r="F1483" s="1">
        <f>固定流程!G7</f>
        <v>3</v>
      </c>
      <c r="G1483" s="1" t="str">
        <f>固定流程!H7</f>
        <v>RHI_BUFF</v>
      </c>
      <c r="H1483" s="1">
        <f>固定流程!F7</f>
        <v>1</v>
      </c>
      <c r="I1483" s="1">
        <f>INDEX(配置与结果!$B$15:$B$18,F1483)</f>
        <v>2597</v>
      </c>
      <c r="J1483" s="1">
        <f>INDEX(配置与结果!$D$15:$D$18,F1483)</f>
        <v>0.255</v>
      </c>
      <c r="K1483" s="1">
        <f>INDEX(配置与结果!$E$15:$E$18,F1483)</f>
        <v>1.55</v>
      </c>
      <c r="L1483" s="1">
        <f t="shared" ref="L1483:O1488" si="2082">AV1482</f>
        <v>0</v>
      </c>
      <c r="M1483" s="1">
        <f t="shared" si="2082"/>
        <v>0</v>
      </c>
      <c r="N1483" s="1">
        <f t="shared" si="2082"/>
        <v>0</v>
      </c>
      <c r="O1483" s="1">
        <f t="shared" si="2082"/>
        <v>0</v>
      </c>
      <c r="P1483" s="1">
        <f>MIN(方案参数!$AI$44,AZ1482+0+方案参数!$AK$44)</f>
        <v>3</v>
      </c>
      <c r="Q1483" s="1">
        <f t="shared" ref="Q1483:Q1517" si="2083">BA1482</f>
        <v>1</v>
      </c>
      <c r="R1483" s="1">
        <f t="shared" ref="R1483:R1517" si="2084">BB1482</f>
        <v>5</v>
      </c>
      <c r="S1483" s="1">
        <f t="shared" ref="S1483:S1517" si="2085">BC1482</f>
        <v>0</v>
      </c>
      <c r="T1483" s="1">
        <f t="shared" ref="T1483:T1496" si="2086">BD1482+0</f>
        <v>0</v>
      </c>
      <c r="U1483" s="1">
        <f t="shared" ref="U1483:U1517" si="2087">BE1482</f>
        <v>0</v>
      </c>
      <c r="V1483" s="1">
        <f t="shared" ref="V1483:V1517" si="2088">BF1482</f>
        <v>0</v>
      </c>
      <c r="W1483" s="1">
        <f t="shared" ref="W1483:W1517" si="2089">BG1482</f>
        <v>0</v>
      </c>
      <c r="X1483" s="1">
        <f t="shared" ref="X1483:X1517" si="2090">BH1482</f>
        <v>1</v>
      </c>
      <c r="Y1483" s="1">
        <f t="shared" ref="Y1483:Y1517" si="2091">BI1482</f>
        <v>0</v>
      </c>
      <c r="Z1483" s="1">
        <f t="shared" ref="Z1483:Z1517" si="2092">BJ1482</f>
        <v>0</v>
      </c>
      <c r="AA1483" s="1">
        <f t="shared" ref="AA1483:AA1488" si="2093">MAX(BK1482,0)</f>
        <v>0</v>
      </c>
      <c r="AB1483" s="1">
        <f t="shared" ref="AB1483:AB1517" si="2094">BL1482</f>
        <v>0</v>
      </c>
      <c r="AC1483" s="1">
        <f t="shared" ref="AC1483:AC1496" si="2095">MAX(BM1482,0)</f>
        <v>0</v>
      </c>
      <c r="AD1483" s="1">
        <f>ROUNDDOWN(I1483*(1+IF(F1483=3,0.05+方案参数!$Y$44+AA1483*0.12,IF(F1483=4,方案参数!$BZ$44*方案参数!$AS$44,0)))+IF(AND(X1483=1,F1483&lt;&gt;3),方案参数!$CC$44,0)+AC1483*方案参数!$CB$44,0)</f>
        <v>2986</v>
      </c>
      <c r="AE1483" s="1">
        <f>IF(OR(F1483=1,F1483=4),配置与结果!$B$24,配置与结果!$B$25)*MAX(0,1-INDEX(配置与结果!$I$15:$I$18,F1483))</f>
        <v>1000</v>
      </c>
      <c r="AF1483" s="1">
        <f>0</f>
        <v>0</v>
      </c>
      <c r="AG1483" s="1">
        <f>MAX(配置与结果!$B$32,1+INDEX(配置与结果!$F$15:$F$18,F1483)+0+Q1483*方案参数!$W$44+Y1483*(方案参数!$AN$44+MIN(方案参数!$AO$44,P1483*0.03))+AB1483*方案参数!$BZ$44*0.025-配置与结果!$B$28)</f>
        <v>0.65499999999999992</v>
      </c>
      <c r="AH1483" s="1">
        <f>MAX(0,1+INDEX(配置与结果!$G$15:$G$18,F1483)+W1483*方案参数!$AG$44)</f>
        <v>1</v>
      </c>
      <c r="AI1483" s="1">
        <f>IF(OR(INDEX(配置与结果!$K$15:$K$18,F1483)=1,G1483="RHI_BERRY"),1+配置与结果!$B$33+P1483*方案参数!$AH$44,1)</f>
        <v>1</v>
      </c>
      <c r="AJ1483" s="1">
        <f>MIN(1,MAX(0,J1483+方案参数!$AB$44-配置与结果!$B$27))</f>
        <v>0.55499999999999994</v>
      </c>
      <c r="AK1483" s="1">
        <f>MAX(1,K1483+IF(F1483=2,0.15+方案参数!$CH$44,0)+BN1483*方案参数!$X$44+R1483*方案参数!$AA$44+0-配置与结果!$B$26+Z1483*(方案参数!$AP$44+MIN(方案参数!$AQ$44,P1483*0.03)))</f>
        <v>1.33</v>
      </c>
      <c r="AL1483" s="7">
        <f>ROUNDDOWN(MAX(AD1483*配置与结果!$B$31,AD1483-AE1483)*AF1483*AG1483*AH1483*AI1483,0)</f>
        <v>0</v>
      </c>
      <c r="AM1483" s="7">
        <f>ROUNDDOWN(MAX(AD1483*配置与结果!$B$31,AD1483-AE1483)*AF1483*AG1483*AH1483*AI1483*AK1483,0)</f>
        <v>0</v>
      </c>
      <c r="AN1483" s="7">
        <f t="shared" si="2074"/>
        <v>0</v>
      </c>
      <c r="AO1483" s="7">
        <f>0</f>
        <v>0</v>
      </c>
      <c r="AP1483" s="7">
        <f>MAX(0,1+INDEX(配置与结果!$J$15:$J$18,F1483)+IF(T1483&gt;0,方案参数!$BY$44,0)-配置与结果!$B$30)</f>
        <v>1</v>
      </c>
      <c r="AQ1483" s="7">
        <f t="shared" si="2075"/>
        <v>0</v>
      </c>
      <c r="AR1483" s="7">
        <f t="shared" si="2076"/>
        <v>0</v>
      </c>
      <c r="AS1483" s="7">
        <f t="shared" si="2077"/>
        <v>0</v>
      </c>
      <c r="AT1483" s="7">
        <f>0</f>
        <v>0</v>
      </c>
      <c r="AU1483" s="7">
        <f t="shared" si="2078"/>
        <v>0</v>
      </c>
      <c r="AV1483" s="1">
        <f t="shared" si="2079"/>
        <v>0</v>
      </c>
      <c r="AW1483" s="1">
        <f t="shared" si="2072"/>
        <v>0</v>
      </c>
      <c r="AX1483" s="1">
        <f t="shared" si="2080"/>
        <v>0</v>
      </c>
      <c r="AY1483" s="1">
        <f>MIN(20,MAX(0,O1483+0+0-0))</f>
        <v>0</v>
      </c>
      <c r="AZ1483" s="1">
        <f t="shared" si="2081"/>
        <v>3</v>
      </c>
      <c r="BA1483" s="1">
        <f>MIN(6,Q1483+1)</f>
        <v>2</v>
      </c>
      <c r="BB1483" s="1">
        <f t="shared" ref="BB1483:BB1496" si="2096">MIN(30,R1483+0)</f>
        <v>5</v>
      </c>
      <c r="BC1483" s="1">
        <f t="shared" si="2069"/>
        <v>0</v>
      </c>
      <c r="BD1483" s="1">
        <f t="shared" si="2050"/>
        <v>0</v>
      </c>
      <c r="BE1483" s="1">
        <f t="shared" ref="BE1483:BE1504" si="2097">BE1482</f>
        <v>0</v>
      </c>
      <c r="BF1483" s="1">
        <f t="shared" si="2073"/>
        <v>0</v>
      </c>
      <c r="BG1483" s="1">
        <f>MAX(W1483,1)</f>
        <v>1</v>
      </c>
      <c r="BH1483" s="1">
        <f t="shared" ref="BH1483:BH1517" si="2098">MAX(X1483,0)</f>
        <v>1</v>
      </c>
      <c r="BI1483" s="1">
        <f>MAX(Y1483,1)</f>
        <v>1</v>
      </c>
      <c r="BJ1483" s="1">
        <f t="shared" si="2064"/>
        <v>0</v>
      </c>
      <c r="BK1483" s="1">
        <f t="shared" si="2065"/>
        <v>0</v>
      </c>
      <c r="BL1483" s="1">
        <f t="shared" si="2070"/>
        <v>0</v>
      </c>
      <c r="BM1483" s="1">
        <f t="shared" si="2068"/>
        <v>0</v>
      </c>
      <c r="BN1483" s="1">
        <f t="shared" ref="BN1483:BN1517" si="2099">BO1482</f>
        <v>1</v>
      </c>
      <c r="BO1483" s="1">
        <f t="shared" ref="BO1483:BO1517" si="2100">MAX(BN1483,0)</f>
        <v>1</v>
      </c>
    </row>
    <row r="1484" spans="1:67" ht="30.95" customHeight="1">
      <c r="A1484" s="1">
        <f>41</f>
        <v>41</v>
      </c>
      <c r="B1484" s="1">
        <f>固定流程!A8</f>
        <v>3</v>
      </c>
      <c r="C1484" s="1">
        <f>44</f>
        <v>44</v>
      </c>
      <c r="D1484" s="1">
        <f>1</f>
        <v>1</v>
      </c>
      <c r="E1484" s="1">
        <f>固定流程!C8</f>
        <v>1</v>
      </c>
      <c r="F1484" s="1">
        <f>固定流程!G8</f>
        <v>1</v>
      </c>
      <c r="G1484" s="1" t="str">
        <f>固定流程!H8</f>
        <v>LILYA_COBRA</v>
      </c>
      <c r="H1484" s="1">
        <f>固定流程!F8</f>
        <v>1</v>
      </c>
      <c r="I1484" s="1">
        <f>INDEX(配置与结果!$B$15:$B$18,F1484)</f>
        <v>2296</v>
      </c>
      <c r="J1484" s="1">
        <f>INDEX(配置与结果!$D$15:$D$18,F1484)</f>
        <v>0.7</v>
      </c>
      <c r="K1484" s="1">
        <f>INDEX(配置与结果!$E$15:$E$18,F1484)</f>
        <v>2.0249999999999999</v>
      </c>
      <c r="L1484" s="1">
        <f t="shared" si="2082"/>
        <v>0</v>
      </c>
      <c r="M1484" s="1">
        <f t="shared" si="2082"/>
        <v>0</v>
      </c>
      <c r="N1484" s="1">
        <f t="shared" si="2082"/>
        <v>0</v>
      </c>
      <c r="O1484" s="1">
        <f t="shared" si="2082"/>
        <v>0</v>
      </c>
      <c r="P1484" s="1">
        <f>MIN(方案参数!$AI$44,AZ1483+0+0)</f>
        <v>3</v>
      </c>
      <c r="Q1484" s="1">
        <f t="shared" si="2083"/>
        <v>2</v>
      </c>
      <c r="R1484" s="1">
        <f t="shared" si="2084"/>
        <v>5</v>
      </c>
      <c r="S1484" s="1">
        <f t="shared" si="2085"/>
        <v>0</v>
      </c>
      <c r="T1484" s="1">
        <f t="shared" si="2086"/>
        <v>0</v>
      </c>
      <c r="U1484" s="1">
        <f t="shared" si="2087"/>
        <v>0</v>
      </c>
      <c r="V1484" s="1">
        <f t="shared" si="2088"/>
        <v>0</v>
      </c>
      <c r="W1484" s="1">
        <f t="shared" si="2089"/>
        <v>1</v>
      </c>
      <c r="X1484" s="1">
        <f t="shared" si="2090"/>
        <v>1</v>
      </c>
      <c r="Y1484" s="1">
        <f t="shared" si="2091"/>
        <v>1</v>
      </c>
      <c r="Z1484" s="1">
        <f t="shared" si="2092"/>
        <v>0</v>
      </c>
      <c r="AA1484" s="1">
        <f t="shared" si="2093"/>
        <v>0</v>
      </c>
      <c r="AB1484" s="1">
        <f t="shared" si="2094"/>
        <v>0</v>
      </c>
      <c r="AC1484" s="1">
        <f t="shared" si="2095"/>
        <v>0</v>
      </c>
      <c r="AD1484" s="1">
        <f>ROUNDDOWN(I1484*(1+IF(F1484=3,0.05+方案参数!$Y$44+AA1484*0.12,IF(F1484=4,方案参数!$BZ$44*方案参数!$AS$44,0)))+IF(AND(X1484=1,F1484&lt;&gt;3),方案参数!$CC$44,0)+AC1484*方案参数!$CB$44,0)</f>
        <v>2534</v>
      </c>
      <c r="AE1484" s="1">
        <f>IF(OR(F1484=1,F1484=4),配置与结果!$B$24,配置与结果!$B$25)*MAX(0,1-INDEX(配置与结果!$I$15:$I$18,F1484))</f>
        <v>1200</v>
      </c>
      <c r="AF1484" s="1">
        <f>0</f>
        <v>0</v>
      </c>
      <c r="AG1484" s="1">
        <f>MAX(配置与结果!$B$32,1+INDEX(配置与结果!$F$15:$F$18,F1484)+0.08+方案参数!$CD$44+Q1484*方案参数!$W$44+Y1484*(方案参数!$AN$44+MIN(方案参数!$AO$44,P1484*0.03))+AB1484*方案参数!$BZ$44*0.025-配置与结果!$B$28)</f>
        <v>1.2200000000000002</v>
      </c>
      <c r="AH1484" s="1">
        <f>MAX(0,1+INDEX(配置与结果!$G$15:$G$18,F1484)+W1484*方案参数!$AG$44)</f>
        <v>1.3</v>
      </c>
      <c r="AI1484" s="1">
        <f>IF(OR(INDEX(配置与结果!$K$15:$K$18,F1484)=1,G1484="RHI_BERRY"),1+配置与结果!$B$33+P1484*方案参数!$AH$44,1)</f>
        <v>1</v>
      </c>
      <c r="AJ1484" s="1">
        <f>MIN(1,MAX(0,J1484+方案参数!$AB$44-配置与结果!$B$27))</f>
        <v>1</v>
      </c>
      <c r="AK1484" s="1">
        <f>MAX(1,K1484+IF(F1484=2,0.15+方案参数!$CH$44,0)+BN1484*方案参数!$X$44+R1484*方案参数!$AA$44+0-配置与结果!$B$26+Z1484*(方案参数!$AP$44+MIN(方案参数!$AQ$44,P1484*0.03)))</f>
        <v>1.8050000000000002</v>
      </c>
      <c r="AL1484" s="7">
        <f>ROUNDDOWN(MAX(AD1484*配置与结果!$B$31,AD1484-AE1484)*AF1484*AG1484*AH1484*AI1484,0)</f>
        <v>0</v>
      </c>
      <c r="AM1484" s="7">
        <f>ROUNDDOWN(MAX(AD1484*配置与结果!$B$31,AD1484-AE1484)*AF1484*AG1484*AH1484*AI1484*AK1484,0)</f>
        <v>0</v>
      </c>
      <c r="AN1484" s="7">
        <f t="shared" si="2074"/>
        <v>0</v>
      </c>
      <c r="AO1484" s="7">
        <f>0</f>
        <v>0</v>
      </c>
      <c r="AP1484" s="7">
        <f>MAX(0,1+INDEX(配置与结果!$J$15:$J$18,F1484)+IF(T1484&gt;0,方案参数!$BY$44,0)-配置与结果!$B$30)</f>
        <v>1</v>
      </c>
      <c r="AQ1484" s="7">
        <f t="shared" si="2075"/>
        <v>0</v>
      </c>
      <c r="AR1484" s="7">
        <f t="shared" si="2076"/>
        <v>0</v>
      </c>
      <c r="AS1484" s="7">
        <f t="shared" si="2077"/>
        <v>0</v>
      </c>
      <c r="AT1484" s="7">
        <f>0</f>
        <v>0</v>
      </c>
      <c r="AU1484" s="7">
        <f t="shared" si="2078"/>
        <v>0</v>
      </c>
      <c r="AV1484" s="1">
        <f t="shared" si="2079"/>
        <v>1</v>
      </c>
      <c r="AW1484" s="1">
        <f>MIN(10,M1484+方案参数!$BD$44+0)</f>
        <v>3</v>
      </c>
      <c r="AX1484" s="1">
        <f t="shared" si="2080"/>
        <v>0</v>
      </c>
      <c r="AY1484" s="1">
        <f>MIN(20,MAX(0,O1484+6+0-0))</f>
        <v>6</v>
      </c>
      <c r="AZ1484" s="1">
        <f t="shared" si="2081"/>
        <v>3</v>
      </c>
      <c r="BA1484" s="1">
        <f>MIN(6,Q1484+0)</f>
        <v>2</v>
      </c>
      <c r="BB1484" s="1">
        <f t="shared" si="2096"/>
        <v>5</v>
      </c>
      <c r="BC1484" s="1">
        <f t="shared" si="2069"/>
        <v>0</v>
      </c>
      <c r="BD1484" s="1">
        <f t="shared" si="2050"/>
        <v>0</v>
      </c>
      <c r="BE1484" s="1">
        <f t="shared" si="2097"/>
        <v>0</v>
      </c>
      <c r="BF1484" s="1">
        <f t="shared" si="2073"/>
        <v>0</v>
      </c>
      <c r="BG1484" s="1">
        <f t="shared" ref="BG1484:BG1494" si="2101">MAX(W1484,0)</f>
        <v>1</v>
      </c>
      <c r="BH1484" s="1">
        <f t="shared" si="2098"/>
        <v>1</v>
      </c>
      <c r="BI1484" s="1">
        <f t="shared" ref="BI1484:BI1494" si="2102">MAX(Y1484,0)</f>
        <v>1</v>
      </c>
      <c r="BJ1484" s="1">
        <f t="shared" si="2064"/>
        <v>0</v>
      </c>
      <c r="BK1484" s="1">
        <f t="shared" si="2065"/>
        <v>0</v>
      </c>
      <c r="BL1484" s="1">
        <f t="shared" si="2070"/>
        <v>0</v>
      </c>
      <c r="BM1484" s="1">
        <f t="shared" si="2068"/>
        <v>0</v>
      </c>
      <c r="BN1484" s="1">
        <f t="shared" si="2099"/>
        <v>1</v>
      </c>
      <c r="BO1484" s="1">
        <f t="shared" si="2100"/>
        <v>1</v>
      </c>
    </row>
    <row r="1485" spans="1:67" ht="30.95" customHeight="1">
      <c r="A1485" s="1">
        <f>41</f>
        <v>41</v>
      </c>
      <c r="B1485" s="1">
        <f>固定流程!A9</f>
        <v>4</v>
      </c>
      <c r="C1485" s="1">
        <f>44</f>
        <v>44</v>
      </c>
      <c r="D1485" s="1">
        <f>1</f>
        <v>1</v>
      </c>
      <c r="E1485" s="1">
        <f>固定流程!C9</f>
        <v>1</v>
      </c>
      <c r="F1485" s="1">
        <f>固定流程!G9</f>
        <v>1</v>
      </c>
      <c r="G1485" s="1" t="str">
        <f>固定流程!H9</f>
        <v>LILYA_DIVE</v>
      </c>
      <c r="H1485" s="1">
        <f>固定流程!F9</f>
        <v>1</v>
      </c>
      <c r="I1485" s="1">
        <f>INDEX(配置与结果!$B$15:$B$18,F1485)</f>
        <v>2296</v>
      </c>
      <c r="J1485" s="1">
        <f>INDEX(配置与结果!$D$15:$D$18,F1485)</f>
        <v>0.7</v>
      </c>
      <c r="K1485" s="1">
        <f>INDEX(配置与结果!$E$15:$E$18,F1485)</f>
        <v>2.0249999999999999</v>
      </c>
      <c r="L1485" s="1">
        <f t="shared" si="2082"/>
        <v>1</v>
      </c>
      <c r="M1485" s="1">
        <f t="shared" si="2082"/>
        <v>3</v>
      </c>
      <c r="N1485" s="1">
        <f t="shared" si="2082"/>
        <v>0</v>
      </c>
      <c r="O1485" s="1">
        <f t="shared" si="2082"/>
        <v>6</v>
      </c>
      <c r="P1485" s="1">
        <f>MIN(方案参数!$AI$44,AZ1484+0+0)</f>
        <v>3</v>
      </c>
      <c r="Q1485" s="1">
        <f t="shared" si="2083"/>
        <v>2</v>
      </c>
      <c r="R1485" s="1">
        <f t="shared" si="2084"/>
        <v>5</v>
      </c>
      <c r="S1485" s="1">
        <f t="shared" si="2085"/>
        <v>0</v>
      </c>
      <c r="T1485" s="1">
        <f t="shared" si="2086"/>
        <v>0</v>
      </c>
      <c r="U1485" s="1">
        <f t="shared" si="2087"/>
        <v>0</v>
      </c>
      <c r="V1485" s="1">
        <f t="shared" si="2088"/>
        <v>0</v>
      </c>
      <c r="W1485" s="1">
        <f t="shared" si="2089"/>
        <v>1</v>
      </c>
      <c r="X1485" s="1">
        <f t="shared" si="2090"/>
        <v>1</v>
      </c>
      <c r="Y1485" s="1">
        <f t="shared" si="2091"/>
        <v>1</v>
      </c>
      <c r="Z1485" s="1">
        <f t="shared" si="2092"/>
        <v>0</v>
      </c>
      <c r="AA1485" s="1">
        <f t="shared" si="2093"/>
        <v>0</v>
      </c>
      <c r="AB1485" s="1">
        <f t="shared" si="2094"/>
        <v>0</v>
      </c>
      <c r="AC1485" s="1">
        <f t="shared" si="2095"/>
        <v>0</v>
      </c>
      <c r="AD1485" s="1">
        <f>ROUNDDOWN(I1485*(1+IF(F1485=3,0.05+方案参数!$Y$44+AA1485*0.12,IF(F1485=4,方案参数!$BZ$44*方案参数!$AS$44,0)))+IF(AND(X1485=1,F1485&lt;&gt;3),方案参数!$CC$44,0)+AC1485*方案参数!$CB$44,0)</f>
        <v>2534</v>
      </c>
      <c r="AE1485" s="1">
        <f>IF(OR(F1485=1,F1485=4),配置与结果!$B$24,配置与结果!$B$25)*MAX(0,1-INDEX(配置与结果!$I$15:$I$18,F1485))</f>
        <v>1200</v>
      </c>
      <c r="AF1485" s="1">
        <f>(IF(L1485=1,方案参数!$AW$44,IF(L1485=2,方案参数!$AX$44,0))+方案参数!$AV$44)*H1485</f>
        <v>6</v>
      </c>
      <c r="AG1485" s="1">
        <f>MAX(配置与结果!$B$32,1+INDEX(配置与结果!$F$15:$F$18,F1485)+0.08+方案参数!$CD$44+Q1485*方案参数!$W$44+Y1485*(方案参数!$AN$44+MIN(方案参数!$AO$44,P1485*0.03))+AB1485*方案参数!$BZ$44*0.025+IF(L1485=1,方案参数!$AY$44+(H1485-1)*0.1,IF(L1485=2,方案参数!$AZ$44+(H1485-1)*0.2,0))-配置与结果!$B$28)</f>
        <v>1.3200000000000003</v>
      </c>
      <c r="AH1485" s="1">
        <f>MAX(0,1+INDEX(配置与结果!$G$15:$G$18,F1485)+W1485*方案参数!$AG$44+IF(L1485=1,方案参数!$BA$44,IF(L1485=2,方案参数!$BB$44,0))+M1485*方案参数!$BC$44)</f>
        <v>2.08</v>
      </c>
      <c r="AI1485" s="1">
        <f>IF(OR(INDEX(配置与结果!$K$15:$K$18,F1485)=1,G1485="RHI_BERRY"),1+配置与结果!$B$33+P1485*方案参数!$AH$44,1)</f>
        <v>1</v>
      </c>
      <c r="AJ1485" s="1">
        <f>MIN(1,MAX(0,J1485+方案参数!$AB$44-配置与结果!$B$27))</f>
        <v>1</v>
      </c>
      <c r="AK1485" s="1">
        <f>MAX(1,K1485+IF(F1485=2,0.15+方案参数!$CH$44,0)+BN1485*方案参数!$X$44+R1485*方案参数!$AA$44+0-配置与结果!$B$26+Z1485*(方案参数!$AP$44+MIN(方案参数!$AQ$44,P1485*0.03)))</f>
        <v>1.8050000000000002</v>
      </c>
      <c r="AL1485" s="7">
        <f>ROUNDDOWN(MAX(AD1485*配置与结果!$B$31,AD1485-AE1485)*AF1485*AG1485*AH1485*AI1485,0)</f>
        <v>21975</v>
      </c>
      <c r="AM1485" s="7">
        <f>ROUNDDOWN(MAX(AD1485*配置与结果!$B$31,AD1485-AE1485)*AF1485*AG1485*AH1485*AI1485*AK1485,0)</f>
        <v>39666</v>
      </c>
      <c r="AN1485" s="7">
        <f t="shared" si="2074"/>
        <v>39666</v>
      </c>
      <c r="AO1485" s="7">
        <f>0</f>
        <v>0</v>
      </c>
      <c r="AP1485" s="7">
        <f>MAX(0,1+INDEX(配置与结果!$J$15:$J$18,F1485)+IF(T1485&gt;0,方案参数!$BY$44,0)-配置与结果!$B$30)</f>
        <v>1</v>
      </c>
      <c r="AQ1485" s="7">
        <f t="shared" si="2075"/>
        <v>0</v>
      </c>
      <c r="AR1485" s="7">
        <f t="shared" si="2076"/>
        <v>0</v>
      </c>
      <c r="AS1485" s="7">
        <f t="shared" si="2077"/>
        <v>0</v>
      </c>
      <c r="AT1485" s="7">
        <f>0</f>
        <v>0</v>
      </c>
      <c r="AU1485" s="7">
        <f t="shared" si="2078"/>
        <v>39666</v>
      </c>
      <c r="AV1485" s="1">
        <f t="shared" si="2079"/>
        <v>1</v>
      </c>
      <c r="AW1485" s="1">
        <f>MIN(10,M1485+0+IF(L1485=1,方案参数!$BE$44,0))</f>
        <v>4</v>
      </c>
      <c r="AX1485" s="1">
        <f t="shared" si="2080"/>
        <v>0</v>
      </c>
      <c r="AY1485" s="1">
        <f t="shared" ref="AY1485:AY1500" si="2103">MIN(20,MAX(0,O1485+0+0-0))</f>
        <v>6</v>
      </c>
      <c r="AZ1485" s="1">
        <f t="shared" si="2081"/>
        <v>3</v>
      </c>
      <c r="BA1485" s="1">
        <f>MIN(6,Q1485+0)</f>
        <v>2</v>
      </c>
      <c r="BB1485" s="1">
        <f t="shared" si="2096"/>
        <v>5</v>
      </c>
      <c r="BC1485" s="1">
        <f t="shared" si="2069"/>
        <v>0</v>
      </c>
      <c r="BD1485" s="1">
        <f t="shared" si="2050"/>
        <v>0</v>
      </c>
      <c r="BE1485" s="1">
        <f t="shared" si="2097"/>
        <v>0</v>
      </c>
      <c r="BF1485" s="1">
        <f t="shared" si="2073"/>
        <v>0</v>
      </c>
      <c r="BG1485" s="1">
        <f t="shared" si="2101"/>
        <v>1</v>
      </c>
      <c r="BH1485" s="1">
        <f t="shared" si="2098"/>
        <v>1</v>
      </c>
      <c r="BI1485" s="1">
        <f t="shared" si="2102"/>
        <v>1</v>
      </c>
      <c r="BJ1485" s="1">
        <f t="shared" si="2064"/>
        <v>0</v>
      </c>
      <c r="BK1485" s="1">
        <f t="shared" si="2065"/>
        <v>0</v>
      </c>
      <c r="BL1485" s="1">
        <f t="shared" si="2070"/>
        <v>0</v>
      </c>
      <c r="BM1485" s="1">
        <f t="shared" si="2068"/>
        <v>0</v>
      </c>
      <c r="BN1485" s="1">
        <f t="shared" si="2099"/>
        <v>1</v>
      </c>
      <c r="BO1485" s="1">
        <f t="shared" si="2100"/>
        <v>1</v>
      </c>
    </row>
    <row r="1486" spans="1:67" ht="30.95" customHeight="1">
      <c r="A1486" s="1">
        <f>41</f>
        <v>41</v>
      </c>
      <c r="B1486" s="1">
        <f>固定流程!A10</f>
        <v>5</v>
      </c>
      <c r="C1486" s="1">
        <f>44</f>
        <v>44</v>
      </c>
      <c r="D1486" s="1">
        <f>1</f>
        <v>1</v>
      </c>
      <c r="E1486" s="1">
        <f>固定流程!C10</f>
        <v>1</v>
      </c>
      <c r="F1486" s="1">
        <f>固定流程!G10</f>
        <v>2</v>
      </c>
      <c r="G1486" s="1" t="str">
        <f>固定流程!H10</f>
        <v>37_TRIANGLE</v>
      </c>
      <c r="H1486" s="1">
        <f>固定流程!F10</f>
        <v>1</v>
      </c>
      <c r="I1486" s="1">
        <f>INDEX(配置与结果!$B$15:$B$18,F1486)</f>
        <v>2306</v>
      </c>
      <c r="J1486" s="1">
        <f>INDEX(配置与结果!$D$15:$D$18,F1486)</f>
        <v>0.46</v>
      </c>
      <c r="K1486" s="1">
        <f>INDEX(配置与结果!$E$15:$E$18,F1486)</f>
        <v>1.9279999999999999</v>
      </c>
      <c r="L1486" s="1">
        <f t="shared" si="2082"/>
        <v>1</v>
      </c>
      <c r="M1486" s="1">
        <f t="shared" si="2082"/>
        <v>4</v>
      </c>
      <c r="N1486" s="1">
        <f t="shared" si="2082"/>
        <v>0</v>
      </c>
      <c r="O1486" s="1">
        <f t="shared" si="2082"/>
        <v>6</v>
      </c>
      <c r="P1486" s="1">
        <f>MIN(方案参数!$AI$44,AZ1485+0+0)</f>
        <v>3</v>
      </c>
      <c r="Q1486" s="1">
        <f t="shared" si="2083"/>
        <v>2</v>
      </c>
      <c r="R1486" s="1">
        <f t="shared" si="2084"/>
        <v>5</v>
      </c>
      <c r="S1486" s="1">
        <f t="shared" si="2085"/>
        <v>0</v>
      </c>
      <c r="T1486" s="1">
        <f t="shared" si="2086"/>
        <v>0</v>
      </c>
      <c r="U1486" s="1">
        <f t="shared" si="2087"/>
        <v>0</v>
      </c>
      <c r="V1486" s="1">
        <f t="shared" si="2088"/>
        <v>0</v>
      </c>
      <c r="W1486" s="1">
        <f t="shared" si="2089"/>
        <v>1</v>
      </c>
      <c r="X1486" s="1">
        <f t="shared" si="2090"/>
        <v>1</v>
      </c>
      <c r="Y1486" s="1">
        <f t="shared" si="2091"/>
        <v>1</v>
      </c>
      <c r="Z1486" s="1">
        <f t="shared" si="2092"/>
        <v>0</v>
      </c>
      <c r="AA1486" s="1">
        <f t="shared" si="2093"/>
        <v>0</v>
      </c>
      <c r="AB1486" s="1">
        <f t="shared" si="2094"/>
        <v>0</v>
      </c>
      <c r="AC1486" s="1">
        <f t="shared" si="2095"/>
        <v>0</v>
      </c>
      <c r="AD1486" s="1">
        <f>ROUNDDOWN(I1486*(1+IF(F1486=3,0.05+方案参数!$Y$44+AA1486*0.12,IF(F1486=4,方案参数!$BZ$44*方案参数!$AS$44,0)))+IF(AND(X1486=1,F1486&lt;&gt;3),方案参数!$CC$44,0)+AC1486*方案参数!$CB$44,0)</f>
        <v>2544</v>
      </c>
      <c r="AE1486" s="1">
        <f>IF(OR(F1486=1,F1486=4),配置与结果!$B$24,配置与结果!$B$25)*MAX(0,1-INDEX(配置与结果!$I$15:$I$18,F1486))</f>
        <v>1000</v>
      </c>
      <c r="AF1486" s="1">
        <f>方案参数!$BS$44*IF(H1486=1,1,IF(H1486=2,1.5,2.5))</f>
        <v>2.8</v>
      </c>
      <c r="AG1486" s="1">
        <f>MAX(配置与结果!$B$32,1+INDEX(配置与结果!$F$15:$F$18,F1486)+0+Q1486*方案参数!$W$44+Y1486*(方案参数!$AN$44+MIN(方案参数!$AO$44,P1486*0.03))+AB1486*方案参数!$BZ$44*0.025-配置与结果!$B$28)</f>
        <v>0.8849999999999999</v>
      </c>
      <c r="AH1486" s="1">
        <f>MAX(0,1+INDEX(配置与结果!$G$15:$G$18,F1486)+W1486*方案参数!$AG$44)</f>
        <v>1.3</v>
      </c>
      <c r="AI1486" s="1">
        <f>IF(OR(INDEX(配置与结果!$K$15:$K$18,F1486)=1,G1486="RHI_BERRY"),1+配置与结果!$B$33+P1486*方案参数!$AH$44,1)</f>
        <v>1</v>
      </c>
      <c r="AJ1486" s="1">
        <f>MIN(1,MAX(0,J1486+方案参数!$AB$44-配置与结果!$B$27))</f>
        <v>0.76</v>
      </c>
      <c r="AK1486" s="1">
        <f>MAX(1,K1486+IF(F1486=2,0.15+方案参数!$CH$44,0)+BN1486*方案参数!$X$44+R1486*方案参数!$AA$44+0-配置与结果!$B$26+Z1486*(方案参数!$AP$44+MIN(方案参数!$AQ$44,P1486*0.03)))</f>
        <v>1.9780000000000002</v>
      </c>
      <c r="AL1486" s="7">
        <f>ROUNDDOWN(MAX(AD1486*配置与结果!$B$31,AD1486-AE1486)*AF1486*AG1486*AH1486*AI1486,0)</f>
        <v>4973</v>
      </c>
      <c r="AM1486" s="7">
        <f>ROUNDDOWN(MAX(AD1486*配置与结果!$B$31,AD1486-AE1486)*AF1486*AG1486*AH1486*AI1486*AK1486,0)</f>
        <v>9838</v>
      </c>
      <c r="AN1486" s="7">
        <f t="shared" si="2074"/>
        <v>8670.4</v>
      </c>
      <c r="AO1486" s="7">
        <f>方案参数!$BU$44*IF(H1486=1,1,IF(H1486=2,1.5,2.5))</f>
        <v>0.8</v>
      </c>
      <c r="AP1486" s="7">
        <f>MAX(0,1+INDEX(配置与结果!$J$15:$J$18,F1486)+IF(T1486&gt;0,方案参数!$BY$44,0)-配置与结果!$B$30)</f>
        <v>1</v>
      </c>
      <c r="AQ1486" s="7">
        <f t="shared" si="2075"/>
        <v>2035</v>
      </c>
      <c r="AR1486" s="7">
        <f t="shared" si="2076"/>
        <v>4025</v>
      </c>
      <c r="AS1486" s="7">
        <f t="shared" si="2077"/>
        <v>3547.4</v>
      </c>
      <c r="AT1486" s="7">
        <f>0</f>
        <v>0</v>
      </c>
      <c r="AU1486" s="7">
        <f t="shared" si="2078"/>
        <v>12217.8</v>
      </c>
      <c r="AV1486" s="1">
        <f t="shared" si="2079"/>
        <v>1</v>
      </c>
      <c r="AW1486" s="1">
        <f>MIN(10,M1486+0+0)</f>
        <v>4</v>
      </c>
      <c r="AX1486" s="1">
        <f t="shared" si="2080"/>
        <v>0</v>
      </c>
      <c r="AY1486" s="1">
        <f t="shared" si="2103"/>
        <v>6</v>
      </c>
      <c r="AZ1486" s="1">
        <f t="shared" si="2081"/>
        <v>3</v>
      </c>
      <c r="BA1486" s="1">
        <f>MIN(6,Q1486+0)</f>
        <v>2</v>
      </c>
      <c r="BB1486" s="1">
        <f t="shared" si="2096"/>
        <v>5</v>
      </c>
      <c r="BC1486" s="1">
        <f t="shared" si="2069"/>
        <v>0</v>
      </c>
      <c r="BD1486" s="1">
        <f>MAX(0,T1486-IF(AO1486&gt;0,1,0))+1</f>
        <v>1</v>
      </c>
      <c r="BE1486" s="1">
        <f t="shared" si="2097"/>
        <v>0</v>
      </c>
      <c r="BF1486" s="1">
        <f t="shared" si="2073"/>
        <v>0</v>
      </c>
      <c r="BG1486" s="1">
        <f t="shared" si="2101"/>
        <v>1</v>
      </c>
      <c r="BH1486" s="1">
        <f t="shared" si="2098"/>
        <v>1</v>
      </c>
      <c r="BI1486" s="1">
        <f t="shared" si="2102"/>
        <v>1</v>
      </c>
      <c r="BJ1486" s="1">
        <f t="shared" si="2064"/>
        <v>0</v>
      </c>
      <c r="BK1486" s="1">
        <f t="shared" si="2065"/>
        <v>0</v>
      </c>
      <c r="BL1486" s="1">
        <f t="shared" si="2070"/>
        <v>0</v>
      </c>
      <c r="BM1486" s="1">
        <f t="shared" si="2068"/>
        <v>0</v>
      </c>
      <c r="BN1486" s="1">
        <f t="shared" si="2099"/>
        <v>1</v>
      </c>
      <c r="BO1486" s="1">
        <f t="shared" si="2100"/>
        <v>1</v>
      </c>
    </row>
    <row r="1487" spans="1:67" ht="30.95" customHeight="1">
      <c r="A1487" s="1">
        <f>41</f>
        <v>41</v>
      </c>
      <c r="B1487" s="1">
        <f>固定流程!A11</f>
        <v>6</v>
      </c>
      <c r="C1487" s="1">
        <f>44</f>
        <v>44</v>
      </c>
      <c r="D1487" s="1">
        <f>1</f>
        <v>1</v>
      </c>
      <c r="E1487" s="1">
        <f>固定流程!C11</f>
        <v>1</v>
      </c>
      <c r="F1487" s="1">
        <f>固定流程!G11</f>
        <v>2</v>
      </c>
      <c r="G1487" s="1" t="str">
        <f>固定流程!H11</f>
        <v>37_FOLLOW</v>
      </c>
      <c r="H1487" s="1">
        <f>固定流程!F11</f>
        <v>1</v>
      </c>
      <c r="I1487" s="1">
        <f>INDEX(配置与结果!$B$15:$B$18,F1487)</f>
        <v>2306</v>
      </c>
      <c r="J1487" s="1">
        <f>INDEX(配置与结果!$D$15:$D$18,F1487)</f>
        <v>0.46</v>
      </c>
      <c r="K1487" s="1">
        <f>INDEX(配置与结果!$E$15:$E$18,F1487)</f>
        <v>1.9279999999999999</v>
      </c>
      <c r="L1487" s="1">
        <f t="shared" si="2082"/>
        <v>1</v>
      </c>
      <c r="M1487" s="1">
        <f t="shared" si="2082"/>
        <v>4</v>
      </c>
      <c r="N1487" s="1">
        <f t="shared" si="2082"/>
        <v>0</v>
      </c>
      <c r="O1487" s="1">
        <f t="shared" si="2082"/>
        <v>6</v>
      </c>
      <c r="P1487" s="1">
        <f>MIN(方案参数!$AI$44,AZ1486+0+0)</f>
        <v>3</v>
      </c>
      <c r="Q1487" s="1">
        <f t="shared" si="2083"/>
        <v>2</v>
      </c>
      <c r="R1487" s="1">
        <f t="shared" si="2084"/>
        <v>5</v>
      </c>
      <c r="S1487" s="1">
        <f t="shared" si="2085"/>
        <v>0</v>
      </c>
      <c r="T1487" s="1">
        <f t="shared" si="2086"/>
        <v>1</v>
      </c>
      <c r="U1487" s="1">
        <f t="shared" si="2087"/>
        <v>0</v>
      </c>
      <c r="V1487" s="1">
        <f t="shared" si="2088"/>
        <v>0</v>
      </c>
      <c r="W1487" s="1">
        <f t="shared" si="2089"/>
        <v>1</v>
      </c>
      <c r="X1487" s="1">
        <f t="shared" si="2090"/>
        <v>1</v>
      </c>
      <c r="Y1487" s="1">
        <f t="shared" si="2091"/>
        <v>1</v>
      </c>
      <c r="Z1487" s="1">
        <f t="shared" si="2092"/>
        <v>0</v>
      </c>
      <c r="AA1487" s="1">
        <f t="shared" si="2093"/>
        <v>0</v>
      </c>
      <c r="AB1487" s="1">
        <f t="shared" si="2094"/>
        <v>0</v>
      </c>
      <c r="AC1487" s="1">
        <f t="shared" si="2095"/>
        <v>0</v>
      </c>
      <c r="AD1487" s="1">
        <f>ROUNDDOWN(I1487*(1+IF(F1487=3,0.05+方案参数!$Y$44+AA1487*0.12,IF(F1487=4,方案参数!$BZ$44*方案参数!$AS$44,0)))+IF(AND(X1487=1,F1487&lt;&gt;3),方案参数!$CC$44,0)+AC1487*方案参数!$CB$44,0)</f>
        <v>2544</v>
      </c>
      <c r="AE1487" s="1">
        <f>IF(OR(F1487=1,F1487=4),配置与结果!$B$24,配置与结果!$B$25)*MAX(0,1-INDEX(配置与结果!$I$15:$I$18,F1487))</f>
        <v>1000</v>
      </c>
      <c r="AF1487" s="1">
        <f>方案参数!$BV$44</f>
        <v>3</v>
      </c>
      <c r="AG1487" s="1">
        <f>MAX(配置与结果!$B$32,1+INDEX(配置与结果!$F$15:$F$18,F1487)+0+Q1487*方案参数!$W$44+Y1487*(方案参数!$AN$44+MIN(方案参数!$AO$44,P1487*0.03))+AB1487*方案参数!$BZ$44*0.025-配置与结果!$B$28)</f>
        <v>0.8849999999999999</v>
      </c>
      <c r="AH1487" s="1">
        <f>MAX(0,1+INDEX(配置与结果!$G$15:$G$18,F1487)+W1487*方案参数!$AG$44)</f>
        <v>1.3</v>
      </c>
      <c r="AI1487" s="1">
        <f>IF(OR(INDEX(配置与结果!$K$15:$K$18,F1487)=1,G1487="RHI_BERRY"),1+配置与结果!$B$33+P1487*方案参数!$AH$44,1)</f>
        <v>1</v>
      </c>
      <c r="AJ1487" s="1">
        <f>MIN(1,MAX(0,J1487+方案参数!$AB$44-配置与结果!$B$27))</f>
        <v>0.76</v>
      </c>
      <c r="AK1487" s="1">
        <f>MAX(1,K1487+IF(F1487=2,0.15+方案参数!$CH$44,0)+BN1487*方案参数!$X$44+R1487*方案参数!$AA$44+0-配置与结果!$B$26+Z1487*(方案参数!$AP$44+MIN(方案参数!$AQ$44,P1487*0.03)))</f>
        <v>1.9780000000000002</v>
      </c>
      <c r="AL1487" s="7">
        <f>ROUNDDOWN(MAX(AD1487*配置与结果!$B$31,AD1487-AE1487)*AF1487*AG1487*AH1487*AI1487,0)</f>
        <v>5329</v>
      </c>
      <c r="AM1487" s="7">
        <f>ROUNDDOWN(MAX(AD1487*配置与结果!$B$31,AD1487-AE1487)*AF1487*AG1487*AH1487*AI1487*AK1487,0)</f>
        <v>10540</v>
      </c>
      <c r="AN1487" s="7">
        <f t="shared" si="2074"/>
        <v>9289.36</v>
      </c>
      <c r="AO1487" s="7">
        <f>方案参数!$BW$44</f>
        <v>1</v>
      </c>
      <c r="AP1487" s="7">
        <f>MAX(0,1+INDEX(配置与结果!$J$15:$J$18,F1487)+IF(T1487&gt;0,方案参数!$BY$44,0)-配置与结果!$B$30)</f>
        <v>2</v>
      </c>
      <c r="AQ1487" s="7">
        <f t="shared" si="2075"/>
        <v>5088</v>
      </c>
      <c r="AR1487" s="7">
        <f t="shared" si="2076"/>
        <v>10064</v>
      </c>
      <c r="AS1487" s="7">
        <f t="shared" si="2077"/>
        <v>8869.76</v>
      </c>
      <c r="AT1487" s="7">
        <f>0</f>
        <v>0</v>
      </c>
      <c r="AU1487" s="7">
        <f t="shared" si="2078"/>
        <v>18159.120000000003</v>
      </c>
      <c r="AV1487" s="1">
        <f t="shared" si="2079"/>
        <v>1</v>
      </c>
      <c r="AW1487" s="1">
        <f>MIN(10,M1487+0+0)</f>
        <v>4</v>
      </c>
      <c r="AX1487" s="1">
        <f t="shared" si="2080"/>
        <v>0</v>
      </c>
      <c r="AY1487" s="1">
        <f t="shared" si="2103"/>
        <v>6</v>
      </c>
      <c r="AZ1487" s="1">
        <f t="shared" si="2081"/>
        <v>3</v>
      </c>
      <c r="BA1487" s="1">
        <f>MIN(6,Q1487+0)</f>
        <v>2</v>
      </c>
      <c r="BB1487" s="1">
        <f t="shared" si="2096"/>
        <v>5</v>
      </c>
      <c r="BC1487" s="1">
        <f t="shared" si="2069"/>
        <v>0</v>
      </c>
      <c r="BD1487" s="1">
        <f t="shared" ref="BD1487:BD1521" si="2104">MAX(0,T1487-IF(AO1487&gt;0,1,0))+0</f>
        <v>0</v>
      </c>
      <c r="BE1487" s="1">
        <f t="shared" si="2097"/>
        <v>0</v>
      </c>
      <c r="BF1487" s="1">
        <f>MIN(4,V1487+1)</f>
        <v>1</v>
      </c>
      <c r="BG1487" s="1">
        <f t="shared" si="2101"/>
        <v>1</v>
      </c>
      <c r="BH1487" s="1">
        <f t="shared" si="2098"/>
        <v>1</v>
      </c>
      <c r="BI1487" s="1">
        <f t="shared" si="2102"/>
        <v>1</v>
      </c>
      <c r="BJ1487" s="1">
        <f t="shared" si="2064"/>
        <v>0</v>
      </c>
      <c r="BK1487" s="1">
        <f t="shared" si="2065"/>
        <v>0</v>
      </c>
      <c r="BL1487" s="1">
        <f t="shared" si="2070"/>
        <v>0</v>
      </c>
      <c r="BM1487" s="1">
        <f t="shared" si="2068"/>
        <v>0</v>
      </c>
      <c r="BN1487" s="1">
        <f t="shared" si="2099"/>
        <v>1</v>
      </c>
      <c r="BO1487" s="1">
        <f t="shared" si="2100"/>
        <v>1</v>
      </c>
    </row>
    <row r="1488" spans="1:67" ht="30.95" customHeight="1">
      <c r="A1488" s="1">
        <f>41</f>
        <v>41</v>
      </c>
      <c r="B1488" s="1">
        <f>固定流程!A12</f>
        <v>7</v>
      </c>
      <c r="C1488" s="1">
        <f>44</f>
        <v>44</v>
      </c>
      <c r="D1488" s="1">
        <f>1</f>
        <v>1</v>
      </c>
      <c r="E1488" s="1">
        <f>固定流程!C12</f>
        <v>1</v>
      </c>
      <c r="F1488" s="1">
        <f>固定流程!G12</f>
        <v>4</v>
      </c>
      <c r="G1488" s="1" t="str">
        <f>固定流程!H12</f>
        <v>J_HARD</v>
      </c>
      <c r="H1488" s="1">
        <f>固定流程!F12</f>
        <v>1</v>
      </c>
      <c r="I1488" s="1">
        <f>INDEX(配置与结果!$B$15:$B$18,F1488)</f>
        <v>1906</v>
      </c>
      <c r="J1488" s="1">
        <f>INDEX(配置与结果!$D$15:$D$18,F1488)</f>
        <v>0.36699999999999999</v>
      </c>
      <c r="K1488" s="1">
        <f>INDEX(配置与结果!$E$15:$E$18,F1488)</f>
        <v>1.7170000000000001</v>
      </c>
      <c r="L1488" s="1">
        <f t="shared" si="2082"/>
        <v>1</v>
      </c>
      <c r="M1488" s="1">
        <f t="shared" si="2082"/>
        <v>4</v>
      </c>
      <c r="N1488" s="1">
        <f t="shared" si="2082"/>
        <v>0</v>
      </c>
      <c r="O1488" s="1">
        <f t="shared" si="2082"/>
        <v>6</v>
      </c>
      <c r="P1488" s="1">
        <f>MIN(方案参数!$AI$44,AZ1487+0+0)</f>
        <v>3</v>
      </c>
      <c r="Q1488" s="1">
        <f t="shared" si="2083"/>
        <v>2</v>
      </c>
      <c r="R1488" s="1">
        <f t="shared" si="2084"/>
        <v>5</v>
      </c>
      <c r="S1488" s="1">
        <f t="shared" si="2085"/>
        <v>0</v>
      </c>
      <c r="T1488" s="1">
        <f t="shared" si="2086"/>
        <v>0</v>
      </c>
      <c r="U1488" s="1">
        <f t="shared" si="2087"/>
        <v>0</v>
      </c>
      <c r="V1488" s="1">
        <f t="shared" si="2088"/>
        <v>1</v>
      </c>
      <c r="W1488" s="1">
        <f t="shared" si="2089"/>
        <v>1</v>
      </c>
      <c r="X1488" s="1">
        <f t="shared" si="2090"/>
        <v>1</v>
      </c>
      <c r="Y1488" s="1">
        <f t="shared" si="2091"/>
        <v>1</v>
      </c>
      <c r="Z1488" s="1">
        <f t="shared" si="2092"/>
        <v>0</v>
      </c>
      <c r="AA1488" s="1">
        <f t="shared" si="2093"/>
        <v>0</v>
      </c>
      <c r="AB1488" s="1">
        <f t="shared" si="2094"/>
        <v>0</v>
      </c>
      <c r="AC1488" s="1">
        <f t="shared" si="2095"/>
        <v>0</v>
      </c>
      <c r="AD1488" s="1">
        <f>ROUNDDOWN(I1488*(1+IF(F1488=3,0.05+方案参数!$Y$44+AA1488*0.12,IF(F1488=4,方案参数!$BZ$44*方案参数!$AS$44,0)))+IF(AND(X1488=1,F1488&lt;&gt;3),方案参数!$CC$44,0)+AC1488*方案参数!$CB$44,0)</f>
        <v>2811</v>
      </c>
      <c r="AE1488" s="1">
        <f>IF(OR(F1488=1,F1488=4),配置与结果!$B$24,配置与结果!$B$25)*MAX(0,1-INDEX(配置与结果!$I$15:$I$18,F1488))</f>
        <v>1200</v>
      </c>
      <c r="AF1488" s="1">
        <f>3.6*IF(H1488=1,1,IF(H1488=2,1.5,2.5))</f>
        <v>3.6</v>
      </c>
      <c r="AG1488" s="1">
        <f>MAX(配置与结果!$B$32,1+INDEX(配置与结果!$F$15:$F$18,F1488)+0.08+Q1488*方案参数!$W$44+Y1488*(方案参数!$AN$44+MIN(方案参数!$AO$44,P1488*0.03))+AB1488*方案参数!$BZ$44*0.025+0.1+IF(方案参数!$BZ$44&gt;=30,方案参数!$BZ$44*0.01,0)-配置与结果!$B$28)</f>
        <v>1.4350000000000001</v>
      </c>
      <c r="AH1488" s="1">
        <f>MAX(0,1+INDEX(配置与结果!$G$15:$G$18,F1488)+W1488*方案参数!$AG$44)</f>
        <v>1.3</v>
      </c>
      <c r="AI1488" s="1">
        <f>IF(OR(INDEX(配置与结果!$K$15:$K$18,F1488)=1,G1488="RHI_BERRY"),1+配置与结果!$B$33+P1488*方案参数!$AH$44,1)</f>
        <v>1</v>
      </c>
      <c r="AJ1488" s="1">
        <f>MIN(1,MAX(0,J1488+方案参数!$AB$44-配置与结果!$B$27))</f>
        <v>0.66700000000000004</v>
      </c>
      <c r="AK1488" s="1">
        <f>MAX(1,K1488+IF(F1488=2,0.15+方案参数!$CH$44,0)+BN1488*方案参数!$X$44+R1488*方案参数!$AA$44+0-配置与结果!$B$26+Z1488*(方案参数!$AP$44+MIN(方案参数!$AQ$44,P1488*0.03)))</f>
        <v>1.4969999999999999</v>
      </c>
      <c r="AL1488" s="7">
        <f>ROUNDDOWN(MAX(AD1488*配置与结果!$B$31,AD1488-AE1488)*AF1488*AG1488*AH1488*AI1488,0)</f>
        <v>10819</v>
      </c>
      <c r="AM1488" s="7">
        <f>ROUNDDOWN(MAX(AD1488*配置与结果!$B$31,AD1488-AE1488)*AF1488*AG1488*AH1488*AI1488*AK1488,0)</f>
        <v>16196</v>
      </c>
      <c r="AN1488" s="7">
        <f t="shared" si="2074"/>
        <v>14405.458999999999</v>
      </c>
      <c r="AO1488" s="7">
        <f>0</f>
        <v>0</v>
      </c>
      <c r="AP1488" s="7">
        <f>MAX(0,1+INDEX(配置与结果!$J$15:$J$18,F1488)+IF(T1488&gt;0,方案参数!$BY$44,0)-配置与结果!$B$30)</f>
        <v>1</v>
      </c>
      <c r="AQ1488" s="7">
        <f t="shared" si="2075"/>
        <v>0</v>
      </c>
      <c r="AR1488" s="7">
        <f t="shared" si="2076"/>
        <v>0</v>
      </c>
      <c r="AS1488" s="7">
        <f t="shared" si="2077"/>
        <v>0</v>
      </c>
      <c r="AT1488" s="7">
        <f>0</f>
        <v>0</v>
      </c>
      <c r="AU1488" s="7">
        <f t="shared" si="2078"/>
        <v>14405.458999999999</v>
      </c>
      <c r="AV1488" s="1">
        <f t="shared" si="2079"/>
        <v>1</v>
      </c>
      <c r="AW1488" s="1">
        <f>MIN(10,M1488+0+0)</f>
        <v>4</v>
      </c>
      <c r="AX1488" s="1">
        <f t="shared" si="2080"/>
        <v>0</v>
      </c>
      <c r="AY1488" s="1">
        <f t="shared" si="2103"/>
        <v>6</v>
      </c>
      <c r="AZ1488" s="1">
        <f t="shared" si="2081"/>
        <v>3</v>
      </c>
      <c r="BA1488" s="1">
        <f>MIN(6,Q1488+0)</f>
        <v>2</v>
      </c>
      <c r="BB1488" s="1">
        <f t="shared" si="2096"/>
        <v>5</v>
      </c>
      <c r="BC1488" s="1">
        <f>MIN(3,S1488+1)</f>
        <v>1</v>
      </c>
      <c r="BD1488" s="1">
        <f t="shared" si="2104"/>
        <v>0</v>
      </c>
      <c r="BE1488" s="1">
        <f t="shared" si="2097"/>
        <v>0</v>
      </c>
      <c r="BF1488" s="1">
        <f>MIN(4,V1488+0)</f>
        <v>1</v>
      </c>
      <c r="BG1488" s="1">
        <f t="shared" si="2101"/>
        <v>1</v>
      </c>
      <c r="BH1488" s="1">
        <f t="shared" si="2098"/>
        <v>1</v>
      </c>
      <c r="BI1488" s="1">
        <f t="shared" si="2102"/>
        <v>1</v>
      </c>
      <c r="BJ1488" s="1">
        <f t="shared" si="2064"/>
        <v>0</v>
      </c>
      <c r="BK1488" s="1">
        <f t="shared" si="2065"/>
        <v>0</v>
      </c>
      <c r="BL1488" s="1">
        <f t="shared" si="2070"/>
        <v>0</v>
      </c>
      <c r="BM1488" s="1">
        <f t="shared" si="2068"/>
        <v>0</v>
      </c>
      <c r="BN1488" s="1">
        <f t="shared" si="2099"/>
        <v>1</v>
      </c>
      <c r="BO1488" s="1">
        <f t="shared" si="2100"/>
        <v>1</v>
      </c>
    </row>
    <row r="1489" spans="1:67" ht="30.95" customHeight="1">
      <c r="A1489" s="1">
        <f>41</f>
        <v>41</v>
      </c>
      <c r="B1489" s="1">
        <f>固定流程!A13</f>
        <v>8</v>
      </c>
      <c r="C1489" s="1">
        <f>44</f>
        <v>44</v>
      </c>
      <c r="D1489" s="1">
        <f>1</f>
        <v>1</v>
      </c>
      <c r="E1489" s="1">
        <f>固定流程!C13</f>
        <v>2</v>
      </c>
      <c r="F1489" s="1">
        <f>固定流程!G13</f>
        <v>3</v>
      </c>
      <c r="G1489" s="1" t="str">
        <f>固定流程!H13</f>
        <v>RHI_ATTACK</v>
      </c>
      <c r="H1489" s="1">
        <f>固定流程!F13</f>
        <v>1</v>
      </c>
      <c r="I1489" s="1">
        <f>INDEX(配置与结果!$B$15:$B$18,F1489)</f>
        <v>2597</v>
      </c>
      <c r="J1489" s="1">
        <f>INDEX(配置与结果!$D$15:$D$18,F1489)</f>
        <v>0.255</v>
      </c>
      <c r="K1489" s="1">
        <f>INDEX(配置与结果!$E$15:$E$18,F1489)</f>
        <v>1.55</v>
      </c>
      <c r="L1489" s="1">
        <f>IF(AV1488=1,IF(M1489&gt;=10,2,1),IF(AV1488=2,IF(AX1488&lt;=1,0,2),0))</f>
        <v>1</v>
      </c>
      <c r="M1489" s="1">
        <f>IF(AND(AV1488=2,AX1488&lt;=1),0,MIN(10,AW1488+IF(AV1488=1,3,0)))</f>
        <v>7</v>
      </c>
      <c r="N1489" s="1">
        <f>IF(AND(AV1488=1,M1489&gt;=10),2,IF(AV1488=2,MAX(0,AX1488-1),0))</f>
        <v>0</v>
      </c>
      <c r="O1489" s="1">
        <f t="shared" ref="O1489:O1517" si="2105">AY1488</f>
        <v>6</v>
      </c>
      <c r="P1489" s="1">
        <f>MIN(方案参数!$AI$44,AZ1488+方案参数!$AJ$44+方案参数!$AK$44)</f>
        <v>5</v>
      </c>
      <c r="Q1489" s="1">
        <f t="shared" si="2083"/>
        <v>2</v>
      </c>
      <c r="R1489" s="1">
        <f t="shared" si="2084"/>
        <v>5</v>
      </c>
      <c r="S1489" s="1">
        <f t="shared" si="2085"/>
        <v>1</v>
      </c>
      <c r="T1489" s="1">
        <f t="shared" si="2086"/>
        <v>0</v>
      </c>
      <c r="U1489" s="1">
        <f t="shared" si="2087"/>
        <v>0</v>
      </c>
      <c r="V1489" s="1">
        <f t="shared" si="2088"/>
        <v>1</v>
      </c>
      <c r="W1489" s="1">
        <f t="shared" si="2089"/>
        <v>1</v>
      </c>
      <c r="X1489" s="1">
        <f t="shared" si="2090"/>
        <v>1</v>
      </c>
      <c r="Y1489" s="1">
        <f t="shared" si="2091"/>
        <v>1</v>
      </c>
      <c r="Z1489" s="1">
        <f t="shared" si="2092"/>
        <v>0</v>
      </c>
      <c r="AA1489" s="1">
        <f>MAX(BK1488,1)</f>
        <v>1</v>
      </c>
      <c r="AB1489" s="1">
        <f t="shared" si="2094"/>
        <v>0</v>
      </c>
      <c r="AC1489" s="1">
        <f t="shared" si="2095"/>
        <v>0</v>
      </c>
      <c r="AD1489" s="1">
        <f>ROUNDDOWN(I1489*(1+IF(F1489=3,0.05+方案参数!$Y$44+AA1489*0.12,IF(F1489=4,方案参数!$BZ$44*方案参数!$AS$44,0)))+IF(AND(X1489=1,F1489&lt;&gt;3),方案参数!$CC$44,0)+AC1489*方案参数!$CB$44,0)</f>
        <v>3298</v>
      </c>
      <c r="AE1489" s="1">
        <f>IF(OR(F1489=1,F1489=4),配置与结果!$B$24,配置与结果!$B$25)*MAX(0,1-INDEX(配置与结果!$I$15:$I$18,F1489))</f>
        <v>1000</v>
      </c>
      <c r="AF1489" s="1">
        <f>4</f>
        <v>4</v>
      </c>
      <c r="AG1489" s="1">
        <f>MAX(配置与结果!$B$32,1+INDEX(配置与结果!$F$15:$F$18,F1489)+0+Q1489*方案参数!$W$44+Y1489*(方案参数!$AN$44+MIN(方案参数!$AO$44,P1489*0.03))+AB1489*方案参数!$BZ$44*0.025-配置与结果!$B$28)</f>
        <v>0.97499999999999998</v>
      </c>
      <c r="AH1489" s="1">
        <f>MAX(0,1+INDEX(配置与结果!$G$15:$G$18,F1489)+W1489*方案参数!$AG$44)</f>
        <v>1.3</v>
      </c>
      <c r="AI1489" s="1">
        <f>IF(OR(INDEX(配置与结果!$K$15:$K$18,F1489)=1,G1489="RHI_BERRY"),1+配置与结果!$B$33+P1489*方案参数!$AH$44,1)</f>
        <v>1</v>
      </c>
      <c r="AJ1489" s="1">
        <f>MIN(1,MAX(0,J1489+方案参数!$AB$44-配置与结果!$B$27))</f>
        <v>0.55499999999999994</v>
      </c>
      <c r="AK1489" s="1">
        <f>MAX(1,K1489+IF(F1489=2,0.15+方案参数!$CH$44,0)+BN1489*方案参数!$X$44+R1489*方案参数!$AA$44+0-配置与结果!$B$26+Z1489*(方案参数!$AP$44+MIN(方案参数!$AQ$44,P1489*0.03)))</f>
        <v>1.33</v>
      </c>
      <c r="AL1489" s="7">
        <f>ROUNDDOWN(MAX(AD1489*配置与结果!$B$31,AD1489-AE1489)*AF1489*AG1489*AH1489*AI1489,0)</f>
        <v>11650</v>
      </c>
      <c r="AM1489" s="7">
        <f>ROUNDDOWN(MAX(AD1489*配置与结果!$B$31,AD1489-AE1489)*AF1489*AG1489*AH1489*AI1489*AK1489,0)</f>
        <v>15495</v>
      </c>
      <c r="AN1489" s="7">
        <f t="shared" si="2074"/>
        <v>13783.974999999999</v>
      </c>
      <c r="AO1489" s="7">
        <f>0</f>
        <v>0</v>
      </c>
      <c r="AP1489" s="7">
        <f>MAX(0,1+INDEX(配置与结果!$J$15:$J$18,F1489)+IF(T1489&gt;0,方案参数!$BY$44,0)-配置与结果!$B$30)</f>
        <v>1</v>
      </c>
      <c r="AQ1489" s="7">
        <f t="shared" si="2075"/>
        <v>0</v>
      </c>
      <c r="AR1489" s="7">
        <f t="shared" si="2076"/>
        <v>0</v>
      </c>
      <c r="AS1489" s="7">
        <f t="shared" si="2077"/>
        <v>0</v>
      </c>
      <c r="AT1489" s="7">
        <f>0</f>
        <v>0</v>
      </c>
      <c r="AU1489" s="7">
        <f t="shared" si="2078"/>
        <v>13783.974999999999</v>
      </c>
      <c r="AV1489" s="1">
        <f t="shared" si="2079"/>
        <v>1</v>
      </c>
      <c r="AW1489" s="1">
        <f>MIN(10,M1489+0+0)</f>
        <v>7</v>
      </c>
      <c r="AX1489" s="1">
        <f t="shared" si="2080"/>
        <v>0</v>
      </c>
      <c r="AY1489" s="1">
        <f t="shared" si="2103"/>
        <v>6</v>
      </c>
      <c r="AZ1489" s="1">
        <f t="shared" si="2081"/>
        <v>5</v>
      </c>
      <c r="BA1489" s="1">
        <f>MIN(6,Q1489+1)</f>
        <v>3</v>
      </c>
      <c r="BB1489" s="1">
        <f t="shared" si="2096"/>
        <v>5</v>
      </c>
      <c r="BC1489" s="1">
        <f>MIN(3,S1489+0)</f>
        <v>1</v>
      </c>
      <c r="BD1489" s="1">
        <f t="shared" si="2104"/>
        <v>0</v>
      </c>
      <c r="BE1489" s="1">
        <f t="shared" si="2097"/>
        <v>0</v>
      </c>
      <c r="BF1489" s="1">
        <f>MIN(4,V1489+0)</f>
        <v>1</v>
      </c>
      <c r="BG1489" s="1">
        <f t="shared" si="2101"/>
        <v>1</v>
      </c>
      <c r="BH1489" s="1">
        <f t="shared" si="2098"/>
        <v>1</v>
      </c>
      <c r="BI1489" s="1">
        <f t="shared" si="2102"/>
        <v>1</v>
      </c>
      <c r="BJ1489" s="1">
        <f>MAX(Z1489,1)</f>
        <v>1</v>
      </c>
      <c r="BK1489" s="1">
        <f>MAX(AA1489,1)</f>
        <v>1</v>
      </c>
      <c r="BL1489" s="1">
        <f t="shared" si="2070"/>
        <v>0</v>
      </c>
      <c r="BM1489" s="1">
        <f t="shared" si="2068"/>
        <v>0</v>
      </c>
      <c r="BN1489" s="1">
        <f t="shared" si="2099"/>
        <v>1</v>
      </c>
      <c r="BO1489" s="1">
        <f t="shared" si="2100"/>
        <v>1</v>
      </c>
    </row>
    <row r="1490" spans="1:67" ht="30.95" customHeight="1">
      <c r="A1490" s="1">
        <f>41</f>
        <v>41</v>
      </c>
      <c r="B1490" s="1">
        <f>固定流程!A14</f>
        <v>9</v>
      </c>
      <c r="C1490" s="1">
        <f>44</f>
        <v>44</v>
      </c>
      <c r="D1490" s="1">
        <f>1</f>
        <v>1</v>
      </c>
      <c r="E1490" s="1">
        <f>固定流程!C14</f>
        <v>2</v>
      </c>
      <c r="F1490" s="1">
        <f>固定流程!G14</f>
        <v>1</v>
      </c>
      <c r="G1490" s="1" t="str">
        <f>固定流程!H14</f>
        <v>LILYA_DIVE</v>
      </c>
      <c r="H1490" s="1">
        <f>固定流程!F14</f>
        <v>3</v>
      </c>
      <c r="I1490" s="1">
        <f>INDEX(配置与结果!$B$15:$B$18,F1490)</f>
        <v>2296</v>
      </c>
      <c r="J1490" s="1">
        <f>INDEX(配置与结果!$D$15:$D$18,F1490)</f>
        <v>0.7</v>
      </c>
      <c r="K1490" s="1">
        <f>INDEX(配置与结果!$E$15:$E$18,F1490)</f>
        <v>2.0249999999999999</v>
      </c>
      <c r="L1490" s="1">
        <f t="shared" ref="L1490:N1494" si="2106">AV1489</f>
        <v>1</v>
      </c>
      <c r="M1490" s="1">
        <f t="shared" si="2106"/>
        <v>7</v>
      </c>
      <c r="N1490" s="1">
        <f t="shared" si="2106"/>
        <v>0</v>
      </c>
      <c r="O1490" s="1">
        <f t="shared" si="2105"/>
        <v>6</v>
      </c>
      <c r="P1490" s="1">
        <f>MIN(方案参数!$AI$44,AZ1489+0+0)</f>
        <v>5</v>
      </c>
      <c r="Q1490" s="1">
        <f t="shared" si="2083"/>
        <v>3</v>
      </c>
      <c r="R1490" s="1">
        <f t="shared" si="2084"/>
        <v>5</v>
      </c>
      <c r="S1490" s="1">
        <f t="shared" si="2085"/>
        <v>1</v>
      </c>
      <c r="T1490" s="1">
        <f t="shared" si="2086"/>
        <v>0</v>
      </c>
      <c r="U1490" s="1">
        <f t="shared" si="2087"/>
        <v>0</v>
      </c>
      <c r="V1490" s="1">
        <f t="shared" si="2088"/>
        <v>1</v>
      </c>
      <c r="W1490" s="1">
        <f t="shared" si="2089"/>
        <v>1</v>
      </c>
      <c r="X1490" s="1">
        <f t="shared" si="2090"/>
        <v>1</v>
      </c>
      <c r="Y1490" s="1">
        <f t="shared" si="2091"/>
        <v>1</v>
      </c>
      <c r="Z1490" s="1">
        <f t="shared" si="2092"/>
        <v>1</v>
      </c>
      <c r="AA1490" s="1">
        <f t="shared" ref="AA1490:AA1495" si="2107">MAX(BK1489,0)</f>
        <v>1</v>
      </c>
      <c r="AB1490" s="1">
        <f t="shared" si="2094"/>
        <v>0</v>
      </c>
      <c r="AC1490" s="1">
        <f t="shared" si="2095"/>
        <v>0</v>
      </c>
      <c r="AD1490" s="1">
        <f>ROUNDDOWN(I1490*(1+IF(F1490=3,0.05+方案参数!$Y$44+AA1490*0.12,IF(F1490=4,方案参数!$BZ$44*方案参数!$AS$44,0)))+IF(AND(X1490=1,F1490&lt;&gt;3),方案参数!$CC$44,0)+AC1490*方案参数!$CB$44,0)</f>
        <v>2534</v>
      </c>
      <c r="AE1490" s="1">
        <f>IF(OR(F1490=1,F1490=4),配置与结果!$B$24,配置与结果!$B$25)*MAX(0,1-INDEX(配置与结果!$I$15:$I$18,F1490))</f>
        <v>1200</v>
      </c>
      <c r="AF1490" s="1">
        <f>(IF(L1490=1,方案参数!$AW$44,IF(L1490=2,方案参数!$AX$44,0))+方案参数!$AV$44)*H1490</f>
        <v>18</v>
      </c>
      <c r="AG1490" s="1">
        <f>MAX(配置与结果!$B$32,1+INDEX(配置与结果!$F$15:$F$18,F1490)+0.08+方案参数!$CD$44+Q1490*方案参数!$W$44+Y1490*(方案参数!$AN$44+MIN(方案参数!$AO$44,P1490*0.03))+AB1490*方案参数!$BZ$44*0.025+IF(L1490=1,方案参数!$AY$44+(H1490-1)*0.1,IF(L1490=2,方案参数!$AZ$44+(H1490-1)*0.2,0))-配置与结果!$B$28)</f>
        <v>1.6</v>
      </c>
      <c r="AH1490" s="1">
        <f>MAX(0,1+INDEX(配置与结果!$G$15:$G$18,F1490)+W1490*方案参数!$AG$44+IF(L1490=1,方案参数!$BA$44,IF(L1490=2,方案参数!$BB$44,0))+M1490*方案参数!$BC$44)</f>
        <v>2.3199999999999998</v>
      </c>
      <c r="AI1490" s="1">
        <f>IF(OR(INDEX(配置与结果!$K$15:$K$18,F1490)=1,G1490="RHI_BERRY"),1+配置与结果!$B$33+P1490*方案参数!$AH$44,1)</f>
        <v>1</v>
      </c>
      <c r="AJ1490" s="1">
        <f>MIN(1,MAX(0,J1490+方案参数!$AB$44-配置与结果!$B$27))</f>
        <v>1</v>
      </c>
      <c r="AK1490" s="1">
        <f>MAX(1,K1490+IF(F1490=2,0.15+方案参数!$CH$44,0)+BN1490*方案参数!$X$44+R1490*方案参数!$AA$44+0-配置与结果!$B$26+Z1490*(方案参数!$AP$44+MIN(方案参数!$AQ$44,P1490*0.03)))</f>
        <v>2.105</v>
      </c>
      <c r="AL1490" s="7">
        <f>ROUNDDOWN(MAX(AD1490*配置与结果!$B$31,AD1490-AE1490)*AF1490*AG1490*AH1490*AI1490,0)</f>
        <v>89132</v>
      </c>
      <c r="AM1490" s="7">
        <f>ROUNDDOWN(MAX(AD1490*配置与结果!$B$31,AD1490-AE1490)*AF1490*AG1490*AH1490*AI1490*AK1490,0)</f>
        <v>187624</v>
      </c>
      <c r="AN1490" s="7">
        <f t="shared" si="2074"/>
        <v>187624</v>
      </c>
      <c r="AO1490" s="7">
        <f>0</f>
        <v>0</v>
      </c>
      <c r="AP1490" s="7">
        <f>MAX(0,1+INDEX(配置与结果!$J$15:$J$18,F1490)+IF(T1490&gt;0,方案参数!$BY$44,0)-配置与结果!$B$30)</f>
        <v>1</v>
      </c>
      <c r="AQ1490" s="7">
        <f t="shared" si="2075"/>
        <v>0</v>
      </c>
      <c r="AR1490" s="7">
        <f t="shared" si="2076"/>
        <v>0</v>
      </c>
      <c r="AS1490" s="7">
        <f t="shared" si="2077"/>
        <v>0</v>
      </c>
      <c r="AT1490" s="7">
        <f>0</f>
        <v>0</v>
      </c>
      <c r="AU1490" s="7">
        <f t="shared" si="2078"/>
        <v>187624</v>
      </c>
      <c r="AV1490" s="1">
        <f t="shared" si="2079"/>
        <v>1</v>
      </c>
      <c r="AW1490" s="1">
        <f>MIN(10,M1490+0+IF(L1490=1,方案参数!$BE$44,0))</f>
        <v>8</v>
      </c>
      <c r="AX1490" s="1">
        <f t="shared" si="2080"/>
        <v>0</v>
      </c>
      <c r="AY1490" s="1">
        <f t="shared" si="2103"/>
        <v>6</v>
      </c>
      <c r="AZ1490" s="1">
        <f t="shared" si="2081"/>
        <v>5</v>
      </c>
      <c r="BA1490" s="1">
        <f>MIN(6,Q1490+0)</f>
        <v>3</v>
      </c>
      <c r="BB1490" s="1">
        <f t="shared" si="2096"/>
        <v>5</v>
      </c>
      <c r="BC1490" s="1">
        <f>MIN(3,S1490+0)</f>
        <v>1</v>
      </c>
      <c r="BD1490" s="1">
        <f t="shared" si="2104"/>
        <v>0</v>
      </c>
      <c r="BE1490" s="1">
        <f t="shared" si="2097"/>
        <v>0</v>
      </c>
      <c r="BF1490" s="1">
        <f>MIN(4,V1490+0)</f>
        <v>1</v>
      </c>
      <c r="BG1490" s="1">
        <f t="shared" si="2101"/>
        <v>1</v>
      </c>
      <c r="BH1490" s="1">
        <f t="shared" si="2098"/>
        <v>1</v>
      </c>
      <c r="BI1490" s="1">
        <f t="shared" si="2102"/>
        <v>1</v>
      </c>
      <c r="BJ1490" s="1">
        <f t="shared" ref="BJ1490:BK1495" si="2108">MAX(Z1490,0)</f>
        <v>1</v>
      </c>
      <c r="BK1490" s="1">
        <f t="shared" si="2108"/>
        <v>1</v>
      </c>
      <c r="BL1490" s="1">
        <f t="shared" si="2070"/>
        <v>0</v>
      </c>
      <c r="BM1490" s="1">
        <f t="shared" si="2068"/>
        <v>0</v>
      </c>
      <c r="BN1490" s="1">
        <f t="shared" si="2099"/>
        <v>1</v>
      </c>
      <c r="BO1490" s="1">
        <f t="shared" si="2100"/>
        <v>1</v>
      </c>
    </row>
    <row r="1491" spans="1:67" ht="30.95" customHeight="1">
      <c r="A1491" s="1">
        <f>41</f>
        <v>41</v>
      </c>
      <c r="B1491" s="1">
        <f>固定流程!A15</f>
        <v>10</v>
      </c>
      <c r="C1491" s="1">
        <f>44</f>
        <v>44</v>
      </c>
      <c r="D1491" s="1">
        <f>1</f>
        <v>1</v>
      </c>
      <c r="E1491" s="1">
        <f>固定流程!C15</f>
        <v>2</v>
      </c>
      <c r="F1491" s="1">
        <f>固定流程!G15</f>
        <v>4</v>
      </c>
      <c r="G1491" s="1" t="str">
        <f>固定流程!H15</f>
        <v>J_HARD</v>
      </c>
      <c r="H1491" s="1">
        <f>固定流程!F15</f>
        <v>1</v>
      </c>
      <c r="I1491" s="1">
        <f>INDEX(配置与结果!$B$15:$B$18,F1491)</f>
        <v>1906</v>
      </c>
      <c r="J1491" s="1">
        <f>INDEX(配置与结果!$D$15:$D$18,F1491)</f>
        <v>0.36699999999999999</v>
      </c>
      <c r="K1491" s="1">
        <f>INDEX(配置与结果!$E$15:$E$18,F1491)</f>
        <v>1.7170000000000001</v>
      </c>
      <c r="L1491" s="1">
        <f t="shared" si="2106"/>
        <v>1</v>
      </c>
      <c r="M1491" s="1">
        <f t="shared" si="2106"/>
        <v>8</v>
      </c>
      <c r="N1491" s="1">
        <f t="shared" si="2106"/>
        <v>0</v>
      </c>
      <c r="O1491" s="1">
        <f t="shared" si="2105"/>
        <v>6</v>
      </c>
      <c r="P1491" s="1">
        <f>MIN(方案参数!$AI$44,AZ1490+0+0)</f>
        <v>5</v>
      </c>
      <c r="Q1491" s="1">
        <f t="shared" si="2083"/>
        <v>3</v>
      </c>
      <c r="R1491" s="1">
        <f t="shared" si="2084"/>
        <v>5</v>
      </c>
      <c r="S1491" s="1">
        <f t="shared" si="2085"/>
        <v>1</v>
      </c>
      <c r="T1491" s="1">
        <f t="shared" si="2086"/>
        <v>0</v>
      </c>
      <c r="U1491" s="1">
        <f t="shared" si="2087"/>
        <v>0</v>
      </c>
      <c r="V1491" s="1">
        <f t="shared" si="2088"/>
        <v>1</v>
      </c>
      <c r="W1491" s="1">
        <f t="shared" si="2089"/>
        <v>1</v>
      </c>
      <c r="X1491" s="1">
        <f t="shared" si="2090"/>
        <v>1</v>
      </c>
      <c r="Y1491" s="1">
        <f t="shared" si="2091"/>
        <v>1</v>
      </c>
      <c r="Z1491" s="1">
        <f t="shared" si="2092"/>
        <v>1</v>
      </c>
      <c r="AA1491" s="1">
        <f t="shared" si="2107"/>
        <v>1</v>
      </c>
      <c r="AB1491" s="1">
        <f t="shared" si="2094"/>
        <v>0</v>
      </c>
      <c r="AC1491" s="1">
        <f t="shared" si="2095"/>
        <v>0</v>
      </c>
      <c r="AD1491" s="1">
        <f>ROUNDDOWN(I1491*(1+IF(F1491=3,0.05+方案参数!$Y$44+AA1491*0.12,IF(F1491=4,方案参数!$BZ$44*方案参数!$AS$44,0)))+IF(AND(X1491=1,F1491&lt;&gt;3),方案参数!$CC$44,0)+AC1491*方案参数!$CB$44,0)</f>
        <v>2811</v>
      </c>
      <c r="AE1491" s="1">
        <f>IF(OR(F1491=1,F1491=4),配置与结果!$B$24,配置与结果!$B$25)*MAX(0,1-INDEX(配置与结果!$I$15:$I$18,F1491))</f>
        <v>1200</v>
      </c>
      <c r="AF1491" s="1">
        <f>3.6*IF(H1491=1,1,IF(H1491=2,1.5,2.5))</f>
        <v>3.6</v>
      </c>
      <c r="AG1491" s="1">
        <f>MAX(配置与结果!$B$32,1+INDEX(配置与结果!$F$15:$F$18,F1491)+0.08+Q1491*方案参数!$W$44+Y1491*(方案参数!$AN$44+MIN(方案参数!$AO$44,P1491*0.03))+AB1491*方案参数!$BZ$44*0.025+0.1+IF(方案参数!$BZ$44&gt;=30,方案参数!$BZ$44*0.01,0)-配置与结果!$B$28)</f>
        <v>1.5150000000000001</v>
      </c>
      <c r="AH1491" s="1">
        <f>MAX(0,1+INDEX(配置与结果!$G$15:$G$18,F1491)+W1491*方案参数!$AG$44)</f>
        <v>1.3</v>
      </c>
      <c r="AI1491" s="1">
        <f>IF(OR(INDEX(配置与结果!$K$15:$K$18,F1491)=1,G1491="RHI_BERRY"),1+配置与结果!$B$33+P1491*方案参数!$AH$44,1)</f>
        <v>1</v>
      </c>
      <c r="AJ1491" s="1">
        <f>MIN(1,MAX(0,J1491+方案参数!$AB$44-配置与结果!$B$27))</f>
        <v>0.66700000000000004</v>
      </c>
      <c r="AK1491" s="1">
        <f>MAX(1,K1491+IF(F1491=2,0.15+方案参数!$CH$44,0)+BN1491*方案参数!$X$44+R1491*方案参数!$AA$44+0-配置与结果!$B$26+Z1491*(方案参数!$AP$44+MIN(方案参数!$AQ$44,P1491*0.03)))</f>
        <v>1.7969999999999999</v>
      </c>
      <c r="AL1491" s="7">
        <f>ROUNDDOWN(MAX(AD1491*配置与结果!$B$31,AD1491-AE1491)*AF1491*AG1491*AH1491*AI1491,0)</f>
        <v>11422</v>
      </c>
      <c r="AM1491" s="7">
        <f>ROUNDDOWN(MAX(AD1491*配置与结果!$B$31,AD1491-AE1491)*AF1491*AG1491*AH1491*AI1491*AK1491,0)</f>
        <v>20525</v>
      </c>
      <c r="AN1491" s="7">
        <f t="shared" si="2074"/>
        <v>17493.701000000001</v>
      </c>
      <c r="AO1491" s="7">
        <f>0</f>
        <v>0</v>
      </c>
      <c r="AP1491" s="7">
        <f>MAX(0,1+INDEX(配置与结果!$J$15:$J$18,F1491)+IF(T1491&gt;0,方案参数!$BY$44,0)-配置与结果!$B$30)</f>
        <v>1</v>
      </c>
      <c r="AQ1491" s="7">
        <f t="shared" si="2075"/>
        <v>0</v>
      </c>
      <c r="AR1491" s="7">
        <f t="shared" si="2076"/>
        <v>0</v>
      </c>
      <c r="AS1491" s="7">
        <f t="shared" si="2077"/>
        <v>0</v>
      </c>
      <c r="AT1491" s="7">
        <f>0</f>
        <v>0</v>
      </c>
      <c r="AU1491" s="7">
        <f t="shared" si="2078"/>
        <v>17493.701000000001</v>
      </c>
      <c r="AV1491" s="1">
        <f t="shared" si="2079"/>
        <v>1</v>
      </c>
      <c r="AW1491" s="1">
        <f t="shared" ref="AW1491:AW1501" si="2109">MIN(10,M1491+0+0)</f>
        <v>8</v>
      </c>
      <c r="AX1491" s="1">
        <f t="shared" si="2080"/>
        <v>0</v>
      </c>
      <c r="AY1491" s="1">
        <f t="shared" si="2103"/>
        <v>6</v>
      </c>
      <c r="AZ1491" s="1">
        <f t="shared" si="2081"/>
        <v>5</v>
      </c>
      <c r="BA1491" s="1">
        <f>MIN(6,Q1491+0)</f>
        <v>3</v>
      </c>
      <c r="BB1491" s="1">
        <f t="shared" si="2096"/>
        <v>5</v>
      </c>
      <c r="BC1491" s="1">
        <f>MIN(3,S1491+1)</f>
        <v>2</v>
      </c>
      <c r="BD1491" s="1">
        <f t="shared" si="2104"/>
        <v>0</v>
      </c>
      <c r="BE1491" s="1">
        <f t="shared" si="2097"/>
        <v>0</v>
      </c>
      <c r="BF1491" s="1">
        <f>MIN(4,V1491+0)</f>
        <v>1</v>
      </c>
      <c r="BG1491" s="1">
        <f t="shared" si="2101"/>
        <v>1</v>
      </c>
      <c r="BH1491" s="1">
        <f t="shared" si="2098"/>
        <v>1</v>
      </c>
      <c r="BI1491" s="1">
        <f t="shared" si="2102"/>
        <v>1</v>
      </c>
      <c r="BJ1491" s="1">
        <f t="shared" si="2108"/>
        <v>1</v>
      </c>
      <c r="BK1491" s="1">
        <f t="shared" si="2108"/>
        <v>1</v>
      </c>
      <c r="BL1491" s="1">
        <f t="shared" si="2070"/>
        <v>0</v>
      </c>
      <c r="BM1491" s="1">
        <f t="shared" si="2068"/>
        <v>0</v>
      </c>
      <c r="BN1491" s="1">
        <f t="shared" si="2099"/>
        <v>1</v>
      </c>
      <c r="BO1491" s="1">
        <f t="shared" si="2100"/>
        <v>1</v>
      </c>
    </row>
    <row r="1492" spans="1:67" ht="30.95" customHeight="1">
      <c r="A1492" s="1">
        <f>41</f>
        <v>41</v>
      </c>
      <c r="B1492" s="1">
        <f>固定流程!A16</f>
        <v>11</v>
      </c>
      <c r="C1492" s="1">
        <f>44</f>
        <v>44</v>
      </c>
      <c r="D1492" s="1">
        <f>1</f>
        <v>1</v>
      </c>
      <c r="E1492" s="1">
        <f>固定流程!C16</f>
        <v>2</v>
      </c>
      <c r="F1492" s="1">
        <f>固定流程!G16</f>
        <v>2</v>
      </c>
      <c r="G1492" s="1" t="str">
        <f>固定流程!H16</f>
        <v>37_CURVE</v>
      </c>
      <c r="H1492" s="1">
        <f>固定流程!F16</f>
        <v>1</v>
      </c>
      <c r="I1492" s="1">
        <f>INDEX(配置与结果!$B$15:$B$18,F1492)</f>
        <v>2306</v>
      </c>
      <c r="J1492" s="1">
        <f>INDEX(配置与结果!$D$15:$D$18,F1492)</f>
        <v>0.46</v>
      </c>
      <c r="K1492" s="1">
        <f>INDEX(配置与结果!$E$15:$E$18,F1492)</f>
        <v>1.9279999999999999</v>
      </c>
      <c r="L1492" s="1">
        <f t="shared" si="2106"/>
        <v>1</v>
      </c>
      <c r="M1492" s="1">
        <f t="shared" si="2106"/>
        <v>8</v>
      </c>
      <c r="N1492" s="1">
        <f t="shared" si="2106"/>
        <v>0</v>
      </c>
      <c r="O1492" s="1">
        <f t="shared" si="2105"/>
        <v>6</v>
      </c>
      <c r="P1492" s="1">
        <f>MIN(方案参数!$AI$44,AZ1491+0+0)</f>
        <v>5</v>
      </c>
      <c r="Q1492" s="1">
        <f t="shared" si="2083"/>
        <v>3</v>
      </c>
      <c r="R1492" s="1">
        <f t="shared" si="2084"/>
        <v>5</v>
      </c>
      <c r="S1492" s="1">
        <f t="shared" si="2085"/>
        <v>2</v>
      </c>
      <c r="T1492" s="1">
        <f t="shared" si="2086"/>
        <v>0</v>
      </c>
      <c r="U1492" s="1">
        <f t="shared" si="2087"/>
        <v>0</v>
      </c>
      <c r="V1492" s="1">
        <f t="shared" si="2088"/>
        <v>1</v>
      </c>
      <c r="W1492" s="1">
        <f t="shared" si="2089"/>
        <v>1</v>
      </c>
      <c r="X1492" s="1">
        <f t="shared" si="2090"/>
        <v>1</v>
      </c>
      <c r="Y1492" s="1">
        <f t="shared" si="2091"/>
        <v>1</v>
      </c>
      <c r="Z1492" s="1">
        <f t="shared" si="2092"/>
        <v>1</v>
      </c>
      <c r="AA1492" s="1">
        <f t="shared" si="2107"/>
        <v>1</v>
      </c>
      <c r="AB1492" s="1">
        <f t="shared" si="2094"/>
        <v>0</v>
      </c>
      <c r="AC1492" s="1">
        <f t="shared" si="2095"/>
        <v>0</v>
      </c>
      <c r="AD1492" s="1">
        <f>ROUNDDOWN(I1492*(1+IF(F1492=3,0.05+方案参数!$Y$44+AA1492*0.12,IF(F1492=4,方案参数!$BZ$44*方案参数!$AS$44,0)))+IF(AND(X1492=1,F1492&lt;&gt;3),方案参数!$CC$44,0)+AC1492*方案参数!$CB$44,0)</f>
        <v>2544</v>
      </c>
      <c r="AE1492" s="1">
        <f>IF(OR(F1492=1,F1492=4),配置与结果!$B$24,配置与结果!$B$25)*MAX(0,1-INDEX(配置与结果!$I$15:$I$18,F1492))</f>
        <v>1000</v>
      </c>
      <c r="AF1492" s="1">
        <f>方案参数!$BT$44*IF(H1492=1,1,IF(H1492=2,1.5,2.5))</f>
        <v>1.4</v>
      </c>
      <c r="AG1492" s="1">
        <f>MAX(配置与结果!$B$32,1+INDEX(配置与结果!$F$15:$F$18,F1492)+0+Q1492*方案参数!$W$44+Y1492*(方案参数!$AN$44+MIN(方案参数!$AO$44,P1492*0.03))+AB1492*方案参数!$BZ$44*0.025-配置与结果!$B$28)</f>
        <v>0.96499999999999997</v>
      </c>
      <c r="AH1492" s="1">
        <f>MAX(0,1+INDEX(配置与结果!$G$15:$G$18,F1492)+W1492*方案参数!$AG$44)</f>
        <v>1.3</v>
      </c>
      <c r="AI1492" s="1">
        <f>IF(OR(INDEX(配置与结果!$K$15:$K$18,F1492)=1,G1492="RHI_BERRY"),1+配置与结果!$B$33+P1492*方案参数!$AH$44,1)</f>
        <v>1</v>
      </c>
      <c r="AJ1492" s="1">
        <f>MIN(1,MAX(0,J1492+方案参数!$AB$44-配置与结果!$B$27))</f>
        <v>0.76</v>
      </c>
      <c r="AK1492" s="1">
        <f>MAX(1,K1492+IF(F1492=2,0.15+方案参数!$CH$44,0)+BN1492*方案参数!$X$44+R1492*方案参数!$AA$44+0-配置与结果!$B$26+Z1492*(方案参数!$AP$44+MIN(方案参数!$AQ$44,P1492*0.03)))</f>
        <v>2.278</v>
      </c>
      <c r="AL1492" s="7">
        <f>ROUNDDOWN(MAX(AD1492*配置与结果!$B$31,AD1492-AE1492)*AF1492*AG1492*AH1492*AI1492,0)</f>
        <v>2711</v>
      </c>
      <c r="AM1492" s="7">
        <f>ROUNDDOWN(MAX(AD1492*配置与结果!$B$31,AD1492-AE1492)*AF1492*AG1492*AH1492*AI1492*AK1492,0)</f>
        <v>6177</v>
      </c>
      <c r="AN1492" s="7">
        <f t="shared" si="2074"/>
        <v>5345.1600000000008</v>
      </c>
      <c r="AO1492" s="7">
        <f>方案参数!$BU$44*IF(H1492=1,1,IF(H1492=2,1.5,2.5))</f>
        <v>0.8</v>
      </c>
      <c r="AP1492" s="7">
        <f>MAX(0,1+INDEX(配置与结果!$J$15:$J$18,F1492)+IF(T1492&gt;0,方案参数!$BY$44,0)-配置与结果!$B$30)</f>
        <v>1</v>
      </c>
      <c r="AQ1492" s="7">
        <f t="shared" si="2075"/>
        <v>2035</v>
      </c>
      <c r="AR1492" s="7">
        <f t="shared" si="2076"/>
        <v>4635</v>
      </c>
      <c r="AS1492" s="7">
        <f t="shared" si="2077"/>
        <v>4011</v>
      </c>
      <c r="AT1492" s="7">
        <f>0</f>
        <v>0</v>
      </c>
      <c r="AU1492" s="7">
        <f t="shared" si="2078"/>
        <v>9356.16</v>
      </c>
      <c r="AV1492" s="1">
        <f t="shared" si="2079"/>
        <v>1</v>
      </c>
      <c r="AW1492" s="1">
        <f t="shared" si="2109"/>
        <v>8</v>
      </c>
      <c r="AX1492" s="1">
        <f t="shared" si="2080"/>
        <v>0</v>
      </c>
      <c r="AY1492" s="1">
        <f t="shared" si="2103"/>
        <v>6</v>
      </c>
      <c r="AZ1492" s="1">
        <f t="shared" si="2081"/>
        <v>5</v>
      </c>
      <c r="BA1492" s="1">
        <f>MIN(6,Q1492+0)</f>
        <v>3</v>
      </c>
      <c r="BB1492" s="1">
        <f t="shared" si="2096"/>
        <v>5</v>
      </c>
      <c r="BC1492" s="1">
        <f t="shared" ref="BC1492:BC1498" si="2110">MIN(3,S1492+0)</f>
        <v>2</v>
      </c>
      <c r="BD1492" s="1">
        <f t="shared" si="2104"/>
        <v>0</v>
      </c>
      <c r="BE1492" s="1">
        <f t="shared" si="2097"/>
        <v>0</v>
      </c>
      <c r="BF1492" s="1">
        <f>MIN(4,V1492+0)</f>
        <v>1</v>
      </c>
      <c r="BG1492" s="1">
        <f t="shared" si="2101"/>
        <v>1</v>
      </c>
      <c r="BH1492" s="1">
        <f t="shared" si="2098"/>
        <v>1</v>
      </c>
      <c r="BI1492" s="1">
        <f t="shared" si="2102"/>
        <v>1</v>
      </c>
      <c r="BJ1492" s="1">
        <f t="shared" si="2108"/>
        <v>1</v>
      </c>
      <c r="BK1492" s="1">
        <f t="shared" si="2108"/>
        <v>1</v>
      </c>
      <c r="BL1492" s="1">
        <f t="shared" si="2070"/>
        <v>0</v>
      </c>
      <c r="BM1492" s="1">
        <f t="shared" si="2068"/>
        <v>0</v>
      </c>
      <c r="BN1492" s="1">
        <f t="shared" si="2099"/>
        <v>1</v>
      </c>
      <c r="BO1492" s="1">
        <f t="shared" si="2100"/>
        <v>1</v>
      </c>
    </row>
    <row r="1493" spans="1:67" ht="30.95" customHeight="1">
      <c r="A1493" s="1">
        <f>41</f>
        <v>41</v>
      </c>
      <c r="B1493" s="1">
        <f>固定流程!A17</f>
        <v>12</v>
      </c>
      <c r="C1493" s="1">
        <f>44</f>
        <v>44</v>
      </c>
      <c r="D1493" s="1">
        <f>1</f>
        <v>1</v>
      </c>
      <c r="E1493" s="1">
        <f>固定流程!C17</f>
        <v>2</v>
      </c>
      <c r="F1493" s="1">
        <f>固定流程!G17</f>
        <v>2</v>
      </c>
      <c r="G1493" s="1" t="str">
        <f>固定流程!H17</f>
        <v>37_FOLLOW</v>
      </c>
      <c r="H1493" s="1">
        <f>固定流程!F17</f>
        <v>1</v>
      </c>
      <c r="I1493" s="1">
        <f>INDEX(配置与结果!$B$15:$B$18,F1493)</f>
        <v>2306</v>
      </c>
      <c r="J1493" s="1">
        <f>INDEX(配置与结果!$D$15:$D$18,F1493)</f>
        <v>0.46</v>
      </c>
      <c r="K1493" s="1">
        <f>INDEX(配置与结果!$E$15:$E$18,F1493)</f>
        <v>1.9279999999999999</v>
      </c>
      <c r="L1493" s="1">
        <f t="shared" si="2106"/>
        <v>1</v>
      </c>
      <c r="M1493" s="1">
        <f t="shared" si="2106"/>
        <v>8</v>
      </c>
      <c r="N1493" s="1">
        <f t="shared" si="2106"/>
        <v>0</v>
      </c>
      <c r="O1493" s="1">
        <f t="shared" si="2105"/>
        <v>6</v>
      </c>
      <c r="P1493" s="1">
        <f>MIN(方案参数!$AI$44,AZ1492+0+0)</f>
        <v>5</v>
      </c>
      <c r="Q1493" s="1">
        <f t="shared" si="2083"/>
        <v>3</v>
      </c>
      <c r="R1493" s="1">
        <f t="shared" si="2084"/>
        <v>5</v>
      </c>
      <c r="S1493" s="1">
        <f t="shared" si="2085"/>
        <v>2</v>
      </c>
      <c r="T1493" s="1">
        <f t="shared" si="2086"/>
        <v>0</v>
      </c>
      <c r="U1493" s="1">
        <f t="shared" si="2087"/>
        <v>0</v>
      </c>
      <c r="V1493" s="1">
        <f t="shared" si="2088"/>
        <v>1</v>
      </c>
      <c r="W1493" s="1">
        <f t="shared" si="2089"/>
        <v>1</v>
      </c>
      <c r="X1493" s="1">
        <f t="shared" si="2090"/>
        <v>1</v>
      </c>
      <c r="Y1493" s="1">
        <f t="shared" si="2091"/>
        <v>1</v>
      </c>
      <c r="Z1493" s="1">
        <f t="shared" si="2092"/>
        <v>1</v>
      </c>
      <c r="AA1493" s="1">
        <f t="shared" si="2107"/>
        <v>1</v>
      </c>
      <c r="AB1493" s="1">
        <f t="shared" si="2094"/>
        <v>0</v>
      </c>
      <c r="AC1493" s="1">
        <f t="shared" si="2095"/>
        <v>0</v>
      </c>
      <c r="AD1493" s="1">
        <f>ROUNDDOWN(I1493*(1+IF(F1493=3,0.05+方案参数!$Y$44+AA1493*0.12,IF(F1493=4,方案参数!$BZ$44*方案参数!$AS$44,0)))+IF(AND(X1493=1,F1493&lt;&gt;3),方案参数!$CC$44,0)+AC1493*方案参数!$CB$44,0)</f>
        <v>2544</v>
      </c>
      <c r="AE1493" s="1">
        <f>IF(OR(F1493=1,F1493=4),配置与结果!$B$24,配置与结果!$B$25)*MAX(0,1-INDEX(配置与结果!$I$15:$I$18,F1493))</f>
        <v>1000</v>
      </c>
      <c r="AF1493" s="1">
        <f>方案参数!$BV$44</f>
        <v>3</v>
      </c>
      <c r="AG1493" s="1">
        <f>MAX(配置与结果!$B$32,1+INDEX(配置与结果!$F$15:$F$18,F1493)+0+Q1493*方案参数!$W$44+Y1493*(方案参数!$AN$44+MIN(方案参数!$AO$44,P1493*0.03))+AB1493*方案参数!$BZ$44*0.025-配置与结果!$B$28)</f>
        <v>0.96499999999999997</v>
      </c>
      <c r="AH1493" s="1">
        <f>MAX(0,1+INDEX(配置与结果!$G$15:$G$18,F1493)+W1493*方案参数!$AG$44)</f>
        <v>1.3</v>
      </c>
      <c r="AI1493" s="1">
        <f>IF(OR(INDEX(配置与结果!$K$15:$K$18,F1493)=1,G1493="RHI_BERRY"),1+配置与结果!$B$33+P1493*方案参数!$AH$44,1)</f>
        <v>1</v>
      </c>
      <c r="AJ1493" s="1">
        <f>MIN(1,MAX(0,J1493+方案参数!$AB$44-配置与结果!$B$27))</f>
        <v>0.76</v>
      </c>
      <c r="AK1493" s="1">
        <f>MAX(1,K1493+IF(F1493=2,0.15+方案参数!$CH$44,0)+BN1493*方案参数!$X$44+R1493*方案参数!$AA$44+0-配置与结果!$B$26+Z1493*(方案参数!$AP$44+MIN(方案参数!$AQ$44,P1493*0.03)))</f>
        <v>2.278</v>
      </c>
      <c r="AL1493" s="7">
        <f>ROUNDDOWN(MAX(AD1493*配置与结果!$B$31,AD1493-AE1493)*AF1493*AG1493*AH1493*AI1493,0)</f>
        <v>5810</v>
      </c>
      <c r="AM1493" s="7">
        <f>ROUNDDOWN(MAX(AD1493*配置与结果!$B$31,AD1493-AE1493)*AF1493*AG1493*AH1493*AI1493*AK1493,0)</f>
        <v>13237</v>
      </c>
      <c r="AN1493" s="7">
        <f t="shared" si="2074"/>
        <v>11454.52</v>
      </c>
      <c r="AO1493" s="7">
        <f>方案参数!$BW$44</f>
        <v>1</v>
      </c>
      <c r="AP1493" s="7">
        <f>MAX(0,1+INDEX(配置与结果!$J$15:$J$18,F1493)+IF(T1493&gt;0,方案参数!$BY$44,0)-配置与结果!$B$30)</f>
        <v>1</v>
      </c>
      <c r="AQ1493" s="7">
        <f t="shared" si="2075"/>
        <v>2544</v>
      </c>
      <c r="AR1493" s="7">
        <f t="shared" si="2076"/>
        <v>5795</v>
      </c>
      <c r="AS1493" s="7">
        <f t="shared" si="2077"/>
        <v>5014.76</v>
      </c>
      <c r="AT1493" s="7">
        <f>0</f>
        <v>0</v>
      </c>
      <c r="AU1493" s="7">
        <f t="shared" si="2078"/>
        <v>16469.28</v>
      </c>
      <c r="AV1493" s="1">
        <f t="shared" si="2079"/>
        <v>1</v>
      </c>
      <c r="AW1493" s="1">
        <f t="shared" si="2109"/>
        <v>8</v>
      </c>
      <c r="AX1493" s="1">
        <f t="shared" si="2080"/>
        <v>0</v>
      </c>
      <c r="AY1493" s="1">
        <f t="shared" si="2103"/>
        <v>6</v>
      </c>
      <c r="AZ1493" s="1">
        <f t="shared" si="2081"/>
        <v>5</v>
      </c>
      <c r="BA1493" s="1">
        <f>MIN(6,Q1493+0)</f>
        <v>3</v>
      </c>
      <c r="BB1493" s="1">
        <f t="shared" si="2096"/>
        <v>5</v>
      </c>
      <c r="BC1493" s="1">
        <f t="shared" si="2110"/>
        <v>2</v>
      </c>
      <c r="BD1493" s="1">
        <f t="shared" si="2104"/>
        <v>0</v>
      </c>
      <c r="BE1493" s="1">
        <f t="shared" si="2097"/>
        <v>0</v>
      </c>
      <c r="BF1493" s="1">
        <f>MIN(4,V1493+1)</f>
        <v>2</v>
      </c>
      <c r="BG1493" s="1">
        <f t="shared" si="2101"/>
        <v>1</v>
      </c>
      <c r="BH1493" s="1">
        <f t="shared" si="2098"/>
        <v>1</v>
      </c>
      <c r="BI1493" s="1">
        <f t="shared" si="2102"/>
        <v>1</v>
      </c>
      <c r="BJ1493" s="1">
        <f t="shared" si="2108"/>
        <v>1</v>
      </c>
      <c r="BK1493" s="1">
        <f t="shared" si="2108"/>
        <v>1</v>
      </c>
      <c r="BL1493" s="1">
        <f t="shared" si="2070"/>
        <v>0</v>
      </c>
      <c r="BM1493" s="1">
        <f t="shared" si="2068"/>
        <v>0</v>
      </c>
      <c r="BN1493" s="1">
        <f t="shared" si="2099"/>
        <v>1</v>
      </c>
      <c r="BO1493" s="1">
        <f t="shared" si="2100"/>
        <v>1</v>
      </c>
    </row>
    <row r="1494" spans="1:67" ht="30.95" customHeight="1">
      <c r="A1494" s="1">
        <f>41</f>
        <v>41</v>
      </c>
      <c r="B1494" s="1">
        <f>固定流程!A18</f>
        <v>13</v>
      </c>
      <c r="C1494" s="1">
        <f>44</f>
        <v>44</v>
      </c>
      <c r="D1494" s="1">
        <f>1</f>
        <v>1</v>
      </c>
      <c r="E1494" s="1">
        <f>固定流程!C18</f>
        <v>2</v>
      </c>
      <c r="F1494" s="1">
        <f>固定流程!G18</f>
        <v>3</v>
      </c>
      <c r="G1494" s="1" t="str">
        <f>固定流程!H18</f>
        <v>RHI_BERRY</v>
      </c>
      <c r="H1494" s="1">
        <f>固定流程!F18</f>
        <v>1</v>
      </c>
      <c r="I1494" s="1">
        <f>INDEX(配置与结果!$B$15:$B$18,F1494)</f>
        <v>2597</v>
      </c>
      <c r="J1494" s="1">
        <f>INDEX(配置与结果!$D$15:$D$18,F1494)</f>
        <v>0.255</v>
      </c>
      <c r="K1494" s="1">
        <f>INDEX(配置与结果!$E$15:$E$18,F1494)</f>
        <v>1.55</v>
      </c>
      <c r="L1494" s="1">
        <f t="shared" si="2106"/>
        <v>1</v>
      </c>
      <c r="M1494" s="1">
        <f t="shared" si="2106"/>
        <v>8</v>
      </c>
      <c r="N1494" s="1">
        <f t="shared" si="2106"/>
        <v>0</v>
      </c>
      <c r="O1494" s="1">
        <f t="shared" si="2105"/>
        <v>6</v>
      </c>
      <c r="P1494" s="1">
        <f>MIN(方案参数!$AI$44,AZ1493+0+0)</f>
        <v>5</v>
      </c>
      <c r="Q1494" s="1">
        <f t="shared" si="2083"/>
        <v>3</v>
      </c>
      <c r="R1494" s="1">
        <f t="shared" si="2084"/>
        <v>5</v>
      </c>
      <c r="S1494" s="1">
        <f t="shared" si="2085"/>
        <v>2</v>
      </c>
      <c r="T1494" s="1">
        <f t="shared" si="2086"/>
        <v>0</v>
      </c>
      <c r="U1494" s="1">
        <f t="shared" si="2087"/>
        <v>0</v>
      </c>
      <c r="V1494" s="1">
        <f t="shared" si="2088"/>
        <v>2</v>
      </c>
      <c r="W1494" s="1">
        <f t="shared" si="2089"/>
        <v>1</v>
      </c>
      <c r="X1494" s="1">
        <f t="shared" si="2090"/>
        <v>1</v>
      </c>
      <c r="Y1494" s="1">
        <f t="shared" si="2091"/>
        <v>1</v>
      </c>
      <c r="Z1494" s="1">
        <f t="shared" si="2092"/>
        <v>1</v>
      </c>
      <c r="AA1494" s="1">
        <f t="shared" si="2107"/>
        <v>1</v>
      </c>
      <c r="AB1494" s="1">
        <f t="shared" si="2094"/>
        <v>0</v>
      </c>
      <c r="AC1494" s="1">
        <f t="shared" si="2095"/>
        <v>0</v>
      </c>
      <c r="AD1494" s="1">
        <f>ROUNDDOWN(I1494*(1+IF(F1494=3,0.05+方案参数!$Y$44+AA1494*0.12,IF(F1494=4,方案参数!$BZ$44*方案参数!$AS$44,0)))+IF(AND(X1494=1,F1494&lt;&gt;3),方案参数!$CC$44,0)+AC1494*方案参数!$CB$44,0)</f>
        <v>3298</v>
      </c>
      <c r="AE1494" s="1">
        <f>IF(OR(F1494=1,F1494=4),配置与结果!$B$24,配置与结果!$B$25)*MAX(0,1-INDEX(配置与结果!$I$15:$I$18,F1494))</f>
        <v>1000</v>
      </c>
      <c r="AF1494" s="1">
        <f>方案参数!$CF$44+P1494*方案参数!$CG$44</f>
        <v>22.5</v>
      </c>
      <c r="AG1494" s="1">
        <f>MAX(配置与结果!$B$32,1+INDEX(配置与结果!$F$15:$F$18,F1494)+0+Q1494*方案参数!$W$44+Y1494*(方案参数!$AN$44+MIN(方案参数!$AO$44,P1494*0.03))+AB1494*方案参数!$BZ$44*0.025-配置与结果!$B$28)</f>
        <v>0.995</v>
      </c>
      <c r="AH1494" s="1">
        <f>MAX(0,1+INDEX(配置与结果!$G$15:$G$18,F1494)+W1494*方案参数!$AG$44)</f>
        <v>1.3</v>
      </c>
      <c r="AI1494" s="1">
        <f>IF(OR(INDEX(配置与结果!$K$15:$K$18,F1494)=1,G1494="RHI_BERRY"),1+配置与结果!$B$33+P1494*方案参数!$AH$44,1)</f>
        <v>1.5</v>
      </c>
      <c r="AJ1494" s="1">
        <f>MIN(1,MAX(0,J1494+方案参数!$AB$44-配置与结果!$B$27))</f>
        <v>0.55499999999999994</v>
      </c>
      <c r="AK1494" s="1">
        <f>MAX(1,K1494+IF(F1494=2,0.15+方案参数!$CH$44,0)+BN1494*方案参数!$X$44+R1494*方案参数!$AA$44+0-配置与结果!$B$26+Z1494*(方案参数!$AP$44+MIN(方案参数!$AQ$44,P1494*0.03)))</f>
        <v>1.6300000000000001</v>
      </c>
      <c r="AL1494" s="7">
        <f>ROUNDDOWN(MAX(AD1494*配置与结果!$B$31,AD1494-AE1494)*AF1494*AG1494*AH1494*AI1494,0)</f>
        <v>100320</v>
      </c>
      <c r="AM1494" s="7">
        <f>ROUNDDOWN(MAX(AD1494*配置与结果!$B$31,AD1494-AE1494)*AF1494*AG1494*AH1494*AI1494*AK1494,0)</f>
        <v>163522</v>
      </c>
      <c r="AN1494" s="7">
        <f t="shared" si="2074"/>
        <v>135397.10999999999</v>
      </c>
      <c r="AO1494" s="7">
        <f>0</f>
        <v>0</v>
      </c>
      <c r="AP1494" s="7">
        <f>MAX(0,1+INDEX(配置与结果!$J$15:$J$18,F1494)+IF(T1494&gt;0,方案参数!$BY$44,0)-配置与结果!$B$30)</f>
        <v>1</v>
      </c>
      <c r="AQ1494" s="7">
        <f t="shared" si="2075"/>
        <v>0</v>
      </c>
      <c r="AR1494" s="7">
        <f t="shared" si="2076"/>
        <v>0</v>
      </c>
      <c r="AS1494" s="7">
        <f t="shared" si="2077"/>
        <v>0</v>
      </c>
      <c r="AT1494" s="7">
        <f>0</f>
        <v>0</v>
      </c>
      <c r="AU1494" s="7">
        <f t="shared" si="2078"/>
        <v>135397.10999999999</v>
      </c>
      <c r="AV1494" s="1">
        <f t="shared" si="2079"/>
        <v>1</v>
      </c>
      <c r="AW1494" s="1">
        <f t="shared" si="2109"/>
        <v>8</v>
      </c>
      <c r="AX1494" s="1">
        <f t="shared" si="2080"/>
        <v>0</v>
      </c>
      <c r="AY1494" s="1">
        <f t="shared" si="2103"/>
        <v>6</v>
      </c>
      <c r="AZ1494" s="1">
        <f t="shared" si="2081"/>
        <v>5</v>
      </c>
      <c r="BA1494" s="1">
        <f>MIN(6,Q1494+0)</f>
        <v>3</v>
      </c>
      <c r="BB1494" s="1">
        <f t="shared" si="2096"/>
        <v>5</v>
      </c>
      <c r="BC1494" s="1">
        <f t="shared" si="2110"/>
        <v>2</v>
      </c>
      <c r="BD1494" s="1">
        <f t="shared" si="2104"/>
        <v>0</v>
      </c>
      <c r="BE1494" s="1">
        <f t="shared" si="2097"/>
        <v>0</v>
      </c>
      <c r="BF1494" s="1">
        <f>MIN(4,V1494+0)</f>
        <v>2</v>
      </c>
      <c r="BG1494" s="1">
        <f t="shared" si="2101"/>
        <v>1</v>
      </c>
      <c r="BH1494" s="1">
        <f t="shared" si="2098"/>
        <v>1</v>
      </c>
      <c r="BI1494" s="1">
        <f t="shared" si="2102"/>
        <v>1</v>
      </c>
      <c r="BJ1494" s="1">
        <f t="shared" si="2108"/>
        <v>1</v>
      </c>
      <c r="BK1494" s="1">
        <f t="shared" si="2108"/>
        <v>1</v>
      </c>
      <c r="BL1494" s="1">
        <f t="shared" si="2070"/>
        <v>0</v>
      </c>
      <c r="BM1494" s="1">
        <f t="shared" si="2068"/>
        <v>0</v>
      </c>
      <c r="BN1494" s="1">
        <f t="shared" si="2099"/>
        <v>1</v>
      </c>
      <c r="BO1494" s="1">
        <f t="shared" si="2100"/>
        <v>1</v>
      </c>
    </row>
    <row r="1495" spans="1:67" ht="30.95" customHeight="1">
      <c r="A1495" s="1">
        <f>41</f>
        <v>41</v>
      </c>
      <c r="B1495" s="1">
        <f>固定流程!A19</f>
        <v>14</v>
      </c>
      <c r="C1495" s="1">
        <f>44</f>
        <v>44</v>
      </c>
      <c r="D1495" s="1">
        <f>1</f>
        <v>1</v>
      </c>
      <c r="E1495" s="1">
        <f>固定流程!C19</f>
        <v>3</v>
      </c>
      <c r="F1495" s="1">
        <f>固定流程!G19</f>
        <v>3</v>
      </c>
      <c r="G1495" s="1" t="str">
        <f>固定流程!H19</f>
        <v>RHI_BUFF</v>
      </c>
      <c r="H1495" s="1">
        <f>固定流程!F19</f>
        <v>1</v>
      </c>
      <c r="I1495" s="1">
        <f>INDEX(配置与结果!$B$15:$B$18,F1495)</f>
        <v>2597</v>
      </c>
      <c r="J1495" s="1">
        <f>INDEX(配置与结果!$D$15:$D$18,F1495)</f>
        <v>0.255</v>
      </c>
      <c r="K1495" s="1">
        <f>INDEX(配置与结果!$E$15:$E$18,F1495)</f>
        <v>1.55</v>
      </c>
      <c r="L1495" s="1">
        <f>IF(AV1494=1,IF(M1495&gt;=10,2,1),IF(AV1494=2,IF(AX1494&lt;=1,0,2),0))</f>
        <v>2</v>
      </c>
      <c r="M1495" s="1">
        <f>IF(AND(AV1494=2,AX1494&lt;=1),0,MIN(10,AW1494+IF(AV1494=1,3,0)))</f>
        <v>10</v>
      </c>
      <c r="N1495" s="1">
        <f>IF(AND(AV1494=1,M1495&gt;=10),2,IF(AV1494=2,MAX(0,AX1494-1),0))</f>
        <v>2</v>
      </c>
      <c r="O1495" s="1">
        <f t="shared" si="2105"/>
        <v>6</v>
      </c>
      <c r="P1495" s="1">
        <f>MIN(方案参数!$AI$44,AZ1494+方案参数!$AJ$44+方案参数!$AK$44)</f>
        <v>5</v>
      </c>
      <c r="Q1495" s="1">
        <f t="shared" si="2083"/>
        <v>3</v>
      </c>
      <c r="R1495" s="1">
        <f t="shared" si="2084"/>
        <v>5</v>
      </c>
      <c r="S1495" s="1">
        <f t="shared" si="2085"/>
        <v>2</v>
      </c>
      <c r="T1495" s="1">
        <f t="shared" si="2086"/>
        <v>0</v>
      </c>
      <c r="U1495" s="1">
        <f t="shared" si="2087"/>
        <v>0</v>
      </c>
      <c r="V1495" s="1">
        <f t="shared" si="2088"/>
        <v>2</v>
      </c>
      <c r="W1495" s="1">
        <f t="shared" si="2089"/>
        <v>1</v>
      </c>
      <c r="X1495" s="1">
        <f t="shared" si="2090"/>
        <v>1</v>
      </c>
      <c r="Y1495" s="1">
        <f t="shared" si="2091"/>
        <v>1</v>
      </c>
      <c r="Z1495" s="1">
        <f t="shared" si="2092"/>
        <v>1</v>
      </c>
      <c r="AA1495" s="1">
        <f t="shared" si="2107"/>
        <v>1</v>
      </c>
      <c r="AB1495" s="1">
        <f t="shared" si="2094"/>
        <v>0</v>
      </c>
      <c r="AC1495" s="1">
        <f t="shared" si="2095"/>
        <v>0</v>
      </c>
      <c r="AD1495" s="1">
        <f>ROUNDDOWN(I1495*(1+IF(F1495=3,0.05+方案参数!$Y$44+AA1495*0.12,IF(F1495=4,方案参数!$BZ$44*方案参数!$AS$44,0)))+IF(AND(X1495=1,F1495&lt;&gt;3),方案参数!$CC$44,0)+AC1495*方案参数!$CB$44,0)</f>
        <v>3298</v>
      </c>
      <c r="AE1495" s="1">
        <f>IF(OR(F1495=1,F1495=4),配置与结果!$B$24,配置与结果!$B$25)*MAX(0,1-INDEX(配置与结果!$I$15:$I$18,F1495))</f>
        <v>1000</v>
      </c>
      <c r="AF1495" s="1">
        <f>0</f>
        <v>0</v>
      </c>
      <c r="AG1495" s="1">
        <f>MAX(配置与结果!$B$32,1+INDEX(配置与结果!$F$15:$F$18,F1495)+0+Q1495*方案参数!$W$44+Y1495*(方案参数!$AN$44+MIN(方案参数!$AO$44,P1495*0.03))+AB1495*方案参数!$BZ$44*0.025-配置与结果!$B$28)</f>
        <v>0.995</v>
      </c>
      <c r="AH1495" s="1">
        <f>MAX(0,1+INDEX(配置与结果!$G$15:$G$18,F1495)+W1495*方案参数!$AG$44)</f>
        <v>1.3</v>
      </c>
      <c r="AI1495" s="1">
        <f>IF(OR(INDEX(配置与结果!$K$15:$K$18,F1495)=1,G1495="RHI_BERRY"),1+配置与结果!$B$33+P1495*方案参数!$AH$44,1)</f>
        <v>1</v>
      </c>
      <c r="AJ1495" s="1">
        <f>MIN(1,MAX(0,J1495+方案参数!$AB$44-配置与结果!$B$27))</f>
        <v>0.55499999999999994</v>
      </c>
      <c r="AK1495" s="1">
        <f>MAX(1,K1495+IF(F1495=2,0.15+方案参数!$CH$44,0)+BN1495*方案参数!$X$44+R1495*方案参数!$AA$44+0-配置与结果!$B$26+Z1495*(方案参数!$AP$44+MIN(方案参数!$AQ$44,P1495*0.03)))</f>
        <v>1.6300000000000001</v>
      </c>
      <c r="AL1495" s="7">
        <f>ROUNDDOWN(MAX(AD1495*配置与结果!$B$31,AD1495-AE1495)*AF1495*AG1495*AH1495*AI1495,0)</f>
        <v>0</v>
      </c>
      <c r="AM1495" s="7">
        <f>ROUNDDOWN(MAX(AD1495*配置与结果!$B$31,AD1495-AE1495)*AF1495*AG1495*AH1495*AI1495*AK1495,0)</f>
        <v>0</v>
      </c>
      <c r="AN1495" s="7">
        <f t="shared" si="2074"/>
        <v>0</v>
      </c>
      <c r="AO1495" s="7">
        <f>0</f>
        <v>0</v>
      </c>
      <c r="AP1495" s="7">
        <f>MAX(0,1+INDEX(配置与结果!$J$15:$J$18,F1495)+IF(T1495&gt;0,方案参数!$BY$44,0)-配置与结果!$B$30)</f>
        <v>1</v>
      </c>
      <c r="AQ1495" s="7">
        <f t="shared" si="2075"/>
        <v>0</v>
      </c>
      <c r="AR1495" s="7">
        <f t="shared" si="2076"/>
        <v>0</v>
      </c>
      <c r="AS1495" s="7">
        <f t="shared" si="2077"/>
        <v>0</v>
      </c>
      <c r="AT1495" s="7">
        <f>0</f>
        <v>0</v>
      </c>
      <c r="AU1495" s="7">
        <f t="shared" si="2078"/>
        <v>0</v>
      </c>
      <c r="AV1495" s="1">
        <f t="shared" si="2079"/>
        <v>2</v>
      </c>
      <c r="AW1495" s="1">
        <f t="shared" si="2109"/>
        <v>10</v>
      </c>
      <c r="AX1495" s="1">
        <f t="shared" si="2080"/>
        <v>2</v>
      </c>
      <c r="AY1495" s="1">
        <f t="shared" si="2103"/>
        <v>6</v>
      </c>
      <c r="AZ1495" s="1">
        <f t="shared" si="2081"/>
        <v>5</v>
      </c>
      <c r="BA1495" s="1">
        <f>MIN(6,Q1495+1)</f>
        <v>4</v>
      </c>
      <c r="BB1495" s="1">
        <f t="shared" si="2096"/>
        <v>5</v>
      </c>
      <c r="BC1495" s="1">
        <f t="shared" si="2110"/>
        <v>2</v>
      </c>
      <c r="BD1495" s="1">
        <f t="shared" si="2104"/>
        <v>0</v>
      </c>
      <c r="BE1495" s="1">
        <f t="shared" si="2097"/>
        <v>0</v>
      </c>
      <c r="BF1495" s="1">
        <f>MIN(4,V1495+0)</f>
        <v>2</v>
      </c>
      <c r="BG1495" s="1">
        <f>MAX(W1495,1)</f>
        <v>1</v>
      </c>
      <c r="BH1495" s="1">
        <f t="shared" si="2098"/>
        <v>1</v>
      </c>
      <c r="BI1495" s="1">
        <f>MAX(Y1495,1)</f>
        <v>1</v>
      </c>
      <c r="BJ1495" s="1">
        <f t="shared" si="2108"/>
        <v>1</v>
      </c>
      <c r="BK1495" s="1">
        <f t="shared" si="2108"/>
        <v>1</v>
      </c>
      <c r="BL1495" s="1">
        <f t="shared" si="2070"/>
        <v>0</v>
      </c>
      <c r="BM1495" s="1">
        <f t="shared" si="2068"/>
        <v>0</v>
      </c>
      <c r="BN1495" s="1">
        <f t="shared" si="2099"/>
        <v>1</v>
      </c>
      <c r="BO1495" s="1">
        <f t="shared" si="2100"/>
        <v>1</v>
      </c>
    </row>
    <row r="1496" spans="1:67" ht="30.95" customHeight="1">
      <c r="A1496" s="1">
        <f>41</f>
        <v>41</v>
      </c>
      <c r="B1496" s="1">
        <f>固定流程!A20</f>
        <v>15</v>
      </c>
      <c r="C1496" s="1">
        <f>44</f>
        <v>44</v>
      </c>
      <c r="D1496" s="1">
        <f>1</f>
        <v>1</v>
      </c>
      <c r="E1496" s="1">
        <f>固定流程!C20</f>
        <v>3</v>
      </c>
      <c r="F1496" s="1">
        <f>固定流程!G20</f>
        <v>3</v>
      </c>
      <c r="G1496" s="1" t="str">
        <f>固定流程!H20</f>
        <v>RHI_ATTACK</v>
      </c>
      <c r="H1496" s="1">
        <f>固定流程!F20</f>
        <v>1</v>
      </c>
      <c r="I1496" s="1">
        <f>INDEX(配置与结果!$B$15:$B$18,F1496)</f>
        <v>2597</v>
      </c>
      <c r="J1496" s="1">
        <f>INDEX(配置与结果!$D$15:$D$18,F1496)</f>
        <v>0.255</v>
      </c>
      <c r="K1496" s="1">
        <f>INDEX(配置与结果!$E$15:$E$18,F1496)</f>
        <v>1.55</v>
      </c>
      <c r="L1496" s="1">
        <f t="shared" ref="L1496:L1517" si="2111">AV1495</f>
        <v>2</v>
      </c>
      <c r="M1496" s="1">
        <f t="shared" ref="M1496:M1517" si="2112">AW1495</f>
        <v>10</v>
      </c>
      <c r="N1496" s="1">
        <f t="shared" ref="N1496:N1517" si="2113">AX1495</f>
        <v>2</v>
      </c>
      <c r="O1496" s="1">
        <f t="shared" si="2105"/>
        <v>6</v>
      </c>
      <c r="P1496" s="1">
        <f>MIN(方案参数!$AI$44,AZ1495+0+方案参数!$AK$44)</f>
        <v>5</v>
      </c>
      <c r="Q1496" s="1">
        <f t="shared" si="2083"/>
        <v>4</v>
      </c>
      <c r="R1496" s="1">
        <f t="shared" si="2084"/>
        <v>5</v>
      </c>
      <c r="S1496" s="1">
        <f t="shared" si="2085"/>
        <v>2</v>
      </c>
      <c r="T1496" s="1">
        <f t="shared" si="2086"/>
        <v>0</v>
      </c>
      <c r="U1496" s="1">
        <f t="shared" si="2087"/>
        <v>0</v>
      </c>
      <c r="V1496" s="1">
        <f t="shared" si="2088"/>
        <v>2</v>
      </c>
      <c r="W1496" s="1">
        <f t="shared" si="2089"/>
        <v>1</v>
      </c>
      <c r="X1496" s="1">
        <f t="shared" si="2090"/>
        <v>1</v>
      </c>
      <c r="Y1496" s="1">
        <f t="shared" si="2091"/>
        <v>1</v>
      </c>
      <c r="Z1496" s="1">
        <f t="shared" si="2092"/>
        <v>1</v>
      </c>
      <c r="AA1496" s="1">
        <f>MAX(BK1495,1)</f>
        <v>1</v>
      </c>
      <c r="AB1496" s="1">
        <f t="shared" si="2094"/>
        <v>0</v>
      </c>
      <c r="AC1496" s="1">
        <f t="shared" si="2095"/>
        <v>0</v>
      </c>
      <c r="AD1496" s="1">
        <f>ROUNDDOWN(I1496*(1+IF(F1496=3,0.05+方案参数!$Y$44+AA1496*0.12,IF(F1496=4,方案参数!$BZ$44*方案参数!$AS$44,0)))+IF(AND(X1496=1,F1496&lt;&gt;3),方案参数!$CC$44,0)+AC1496*方案参数!$CB$44,0)</f>
        <v>3298</v>
      </c>
      <c r="AE1496" s="1">
        <f>IF(OR(F1496=1,F1496=4),配置与结果!$B$24,配置与结果!$B$25)*MAX(0,1-INDEX(配置与结果!$I$15:$I$18,F1496))</f>
        <v>1000</v>
      </c>
      <c r="AF1496" s="1">
        <f>4</f>
        <v>4</v>
      </c>
      <c r="AG1496" s="1">
        <f>MAX(配置与结果!$B$32,1+INDEX(配置与结果!$F$15:$F$18,F1496)+0+Q1496*方案参数!$W$44+Y1496*(方案参数!$AN$44+MIN(方案参数!$AO$44,P1496*0.03))+AB1496*方案参数!$BZ$44*0.025-配置与结果!$B$28)</f>
        <v>1.0150000000000001</v>
      </c>
      <c r="AH1496" s="1">
        <f>MAX(0,1+INDEX(配置与结果!$G$15:$G$18,F1496)+W1496*方案参数!$AG$44)</f>
        <v>1.3</v>
      </c>
      <c r="AI1496" s="1">
        <f>IF(OR(INDEX(配置与结果!$K$15:$K$18,F1496)=1,G1496="RHI_BERRY"),1+配置与结果!$B$33+P1496*方案参数!$AH$44,1)</f>
        <v>1</v>
      </c>
      <c r="AJ1496" s="1">
        <f>MIN(1,MAX(0,J1496+方案参数!$AB$44-配置与结果!$B$27))</f>
        <v>0.55499999999999994</v>
      </c>
      <c r="AK1496" s="1">
        <f>MAX(1,K1496+IF(F1496=2,0.15+方案参数!$CH$44,0)+BN1496*方案参数!$X$44+R1496*方案参数!$AA$44+0-配置与结果!$B$26+Z1496*(方案参数!$AP$44+MIN(方案参数!$AQ$44,P1496*0.03)))</f>
        <v>1.6300000000000001</v>
      </c>
      <c r="AL1496" s="7">
        <f>ROUNDDOWN(MAX(AD1496*配置与结果!$B$31,AD1496-AE1496)*AF1496*AG1496*AH1496*AI1496,0)</f>
        <v>12128</v>
      </c>
      <c r="AM1496" s="7">
        <f>ROUNDDOWN(MAX(AD1496*配置与结果!$B$31,AD1496-AE1496)*AF1496*AG1496*AH1496*AI1496*AK1496,0)</f>
        <v>19770</v>
      </c>
      <c r="AN1496" s="7">
        <f t="shared" si="2074"/>
        <v>16369.31</v>
      </c>
      <c r="AO1496" s="7">
        <f>0</f>
        <v>0</v>
      </c>
      <c r="AP1496" s="7">
        <f>MAX(0,1+INDEX(配置与结果!$J$15:$J$18,F1496)+IF(T1496&gt;0,方案参数!$BY$44,0)-配置与结果!$B$30)</f>
        <v>1</v>
      </c>
      <c r="AQ1496" s="7">
        <f t="shared" si="2075"/>
        <v>0</v>
      </c>
      <c r="AR1496" s="7">
        <f t="shared" si="2076"/>
        <v>0</v>
      </c>
      <c r="AS1496" s="7">
        <f t="shared" si="2077"/>
        <v>0</v>
      </c>
      <c r="AT1496" s="7">
        <f>0</f>
        <v>0</v>
      </c>
      <c r="AU1496" s="7">
        <f t="shared" si="2078"/>
        <v>16369.31</v>
      </c>
      <c r="AV1496" s="1">
        <f t="shared" si="2079"/>
        <v>2</v>
      </c>
      <c r="AW1496" s="1">
        <f t="shared" si="2109"/>
        <v>10</v>
      </c>
      <c r="AX1496" s="1">
        <f t="shared" si="2080"/>
        <v>2</v>
      </c>
      <c r="AY1496" s="1">
        <f t="shared" si="2103"/>
        <v>6</v>
      </c>
      <c r="AZ1496" s="1">
        <f t="shared" si="2081"/>
        <v>5</v>
      </c>
      <c r="BA1496" s="1">
        <f>MIN(6,Q1496+1)</f>
        <v>5</v>
      </c>
      <c r="BB1496" s="1">
        <f t="shared" si="2096"/>
        <v>5</v>
      </c>
      <c r="BC1496" s="1">
        <f t="shared" si="2110"/>
        <v>2</v>
      </c>
      <c r="BD1496" s="1">
        <f t="shared" si="2104"/>
        <v>0</v>
      </c>
      <c r="BE1496" s="1">
        <f t="shared" si="2097"/>
        <v>0</v>
      </c>
      <c r="BF1496" s="1">
        <f>MIN(4,V1496+0)</f>
        <v>2</v>
      </c>
      <c r="BG1496" s="1">
        <f t="shared" ref="BG1496:BG1518" si="2114">MAX(W1496,0)</f>
        <v>1</v>
      </c>
      <c r="BH1496" s="1">
        <f t="shared" si="2098"/>
        <v>1</v>
      </c>
      <c r="BI1496" s="1">
        <f t="shared" ref="BI1496:BI1518" si="2115">MAX(Y1496,0)</f>
        <v>1</v>
      </c>
      <c r="BJ1496" s="1">
        <f>MAX(Z1496,1)</f>
        <v>1</v>
      </c>
      <c r="BK1496" s="1">
        <f>MAX(AA1496,1)</f>
        <v>1</v>
      </c>
      <c r="BL1496" s="1">
        <f t="shared" si="2070"/>
        <v>0</v>
      </c>
      <c r="BM1496" s="1">
        <f t="shared" si="2068"/>
        <v>0</v>
      </c>
      <c r="BN1496" s="1">
        <f t="shared" si="2099"/>
        <v>1</v>
      </c>
      <c r="BO1496" s="1">
        <f t="shared" si="2100"/>
        <v>1</v>
      </c>
    </row>
    <row r="1497" spans="1:67" ht="30.95" customHeight="1">
      <c r="A1497" s="1">
        <f>41</f>
        <v>41</v>
      </c>
      <c r="B1497" s="1">
        <f>固定流程!A21</f>
        <v>16</v>
      </c>
      <c r="C1497" s="1">
        <f>44</f>
        <v>44</v>
      </c>
      <c r="D1497" s="1">
        <f>1</f>
        <v>1</v>
      </c>
      <c r="E1497" s="1">
        <f>固定流程!C21</f>
        <v>3</v>
      </c>
      <c r="F1497" s="1">
        <f>固定流程!G21</f>
        <v>2</v>
      </c>
      <c r="G1497" s="1" t="str">
        <f>固定流程!H21</f>
        <v>37_ULT</v>
      </c>
      <c r="H1497" s="1">
        <f>固定流程!F21</f>
        <v>1</v>
      </c>
      <c r="I1497" s="1">
        <f>INDEX(配置与结果!$B$15:$B$18,F1497)</f>
        <v>2306</v>
      </c>
      <c r="J1497" s="1">
        <f>INDEX(配置与结果!$D$15:$D$18,F1497)</f>
        <v>0.46</v>
      </c>
      <c r="K1497" s="1">
        <f>INDEX(配置与结果!$E$15:$E$18,F1497)</f>
        <v>1.9279999999999999</v>
      </c>
      <c r="L1497" s="1">
        <f t="shared" si="2111"/>
        <v>2</v>
      </c>
      <c r="M1497" s="1">
        <f t="shared" si="2112"/>
        <v>10</v>
      </c>
      <c r="N1497" s="1">
        <f t="shared" si="2113"/>
        <v>2</v>
      </c>
      <c r="O1497" s="1">
        <f t="shared" si="2105"/>
        <v>6</v>
      </c>
      <c r="P1497" s="1">
        <f>MIN(方案参数!$AI$44,AZ1496+0+0)</f>
        <v>5</v>
      </c>
      <c r="Q1497" s="1">
        <f t="shared" si="2083"/>
        <v>5</v>
      </c>
      <c r="R1497" s="1">
        <f t="shared" si="2084"/>
        <v>5</v>
      </c>
      <c r="S1497" s="1">
        <f t="shared" si="2085"/>
        <v>2</v>
      </c>
      <c r="T1497" s="1">
        <f>BD1496+方案参数!$BX$44</f>
        <v>2</v>
      </c>
      <c r="U1497" s="1">
        <f t="shared" si="2087"/>
        <v>0</v>
      </c>
      <c r="V1497" s="1">
        <f t="shared" si="2088"/>
        <v>2</v>
      </c>
      <c r="W1497" s="1">
        <f t="shared" si="2089"/>
        <v>1</v>
      </c>
      <c r="X1497" s="1">
        <f t="shared" si="2090"/>
        <v>1</v>
      </c>
      <c r="Y1497" s="1">
        <f t="shared" si="2091"/>
        <v>1</v>
      </c>
      <c r="Z1497" s="1">
        <f t="shared" si="2092"/>
        <v>1</v>
      </c>
      <c r="AA1497" s="1">
        <f t="shared" ref="AA1497:AA1517" si="2116">MAX(BK1496,0)</f>
        <v>1</v>
      </c>
      <c r="AB1497" s="1">
        <f t="shared" si="2094"/>
        <v>0</v>
      </c>
      <c r="AC1497" s="1">
        <f>MAX(BM1496,1)</f>
        <v>1</v>
      </c>
      <c r="AD1497" s="1">
        <f>ROUNDDOWN(I1497*(1+IF(F1497=3,0.05+方案参数!$Y$44+AA1497*0.12,IF(F1497=4,方案参数!$BZ$44*方案参数!$AS$44,0)))+IF(AND(X1497=1,F1497&lt;&gt;3),方案参数!$CC$44,0)+AC1497*方案参数!$CB$44,0)</f>
        <v>3044</v>
      </c>
      <c r="AE1497" s="1">
        <f>IF(OR(F1497=1,F1497=4),配置与结果!$B$24,配置与结果!$B$25)*MAX(0,1-INDEX(配置与结果!$I$15:$I$18,F1497))</f>
        <v>1000</v>
      </c>
      <c r="AF1497" s="1">
        <f>0</f>
        <v>0</v>
      </c>
      <c r="AG1497" s="1">
        <f>MAX(配置与结果!$B$32,1+INDEX(配置与结果!$F$15:$F$18,F1497)+0+Q1497*方案参数!$W$44+Y1497*(方案参数!$AN$44+MIN(方案参数!$AO$44,P1497*0.03))+AB1497*方案参数!$BZ$44*0.025-配置与结果!$B$28)</f>
        <v>1.0049999999999999</v>
      </c>
      <c r="AH1497" s="1">
        <f>MAX(0,1+INDEX(配置与结果!$G$15:$G$18,F1497)+W1497*方案参数!$AG$44)</f>
        <v>1.3</v>
      </c>
      <c r="AI1497" s="1">
        <f>IF(OR(INDEX(配置与结果!$K$15:$K$18,F1497)=1,G1497="RHI_BERRY"),1+配置与结果!$B$33+P1497*方案参数!$AH$44,1)</f>
        <v>1</v>
      </c>
      <c r="AJ1497" s="1">
        <f>MIN(1,MAX(0,J1497+方案参数!$AB$44-配置与结果!$B$27))</f>
        <v>0.76</v>
      </c>
      <c r="AK1497" s="1">
        <f>MAX(1,K1497+IF(F1497=2,0.15+方案参数!$CH$44,0)+BN1497*方案参数!$X$44+R1497*方案参数!$AA$44+0-配置与结果!$B$26+Z1497*(方案参数!$AP$44+MIN(方案参数!$AQ$44,P1497*0.03)))</f>
        <v>2.278</v>
      </c>
      <c r="AL1497" s="7">
        <f>ROUNDDOWN(MAX(AD1497*配置与结果!$B$31,AD1497-AE1497)*AF1497*AG1497*AH1497*AI1497,0)</f>
        <v>0</v>
      </c>
      <c r="AM1497" s="7">
        <f>ROUNDDOWN(MAX(AD1497*配置与结果!$B$31,AD1497-AE1497)*AF1497*AG1497*AH1497*AI1497*AK1497,0)</f>
        <v>0</v>
      </c>
      <c r="AN1497" s="7">
        <f t="shared" si="2074"/>
        <v>0</v>
      </c>
      <c r="AO1497" s="7">
        <f>0</f>
        <v>0</v>
      </c>
      <c r="AP1497" s="7">
        <f>MAX(0,1+INDEX(配置与结果!$J$15:$J$18,F1497)+IF(T1497&gt;0,方案参数!$BY$44,0)-配置与结果!$B$30)</f>
        <v>2</v>
      </c>
      <c r="AQ1497" s="7">
        <f t="shared" si="2075"/>
        <v>0</v>
      </c>
      <c r="AR1497" s="7">
        <f t="shared" si="2076"/>
        <v>0</v>
      </c>
      <c r="AS1497" s="7">
        <f t="shared" si="2077"/>
        <v>0</v>
      </c>
      <c r="AT1497" s="7">
        <f>0</f>
        <v>0</v>
      </c>
      <c r="AU1497" s="7">
        <f t="shared" si="2078"/>
        <v>0</v>
      </c>
      <c r="AV1497" s="1">
        <f t="shared" si="2079"/>
        <v>2</v>
      </c>
      <c r="AW1497" s="1">
        <f t="shared" si="2109"/>
        <v>10</v>
      </c>
      <c r="AX1497" s="1">
        <f t="shared" si="2080"/>
        <v>2</v>
      </c>
      <c r="AY1497" s="1">
        <f t="shared" si="2103"/>
        <v>6</v>
      </c>
      <c r="AZ1497" s="1">
        <f t="shared" si="2081"/>
        <v>5</v>
      </c>
      <c r="BA1497" s="1">
        <f t="shared" ref="BA1497:BA1517" si="2117">MIN(6,Q1497+0)</f>
        <v>5</v>
      </c>
      <c r="BB1497" s="1">
        <f>MIN(30,R1497+5)</f>
        <v>10</v>
      </c>
      <c r="BC1497" s="1">
        <f t="shared" si="2110"/>
        <v>2</v>
      </c>
      <c r="BD1497" s="1">
        <f t="shared" si="2104"/>
        <v>2</v>
      </c>
      <c r="BE1497" s="1">
        <f t="shared" si="2097"/>
        <v>0</v>
      </c>
      <c r="BF1497" s="1">
        <f>MIN(4,V1497+0)</f>
        <v>2</v>
      </c>
      <c r="BG1497" s="1">
        <f t="shared" si="2114"/>
        <v>1</v>
      </c>
      <c r="BH1497" s="1">
        <f t="shared" si="2098"/>
        <v>1</v>
      </c>
      <c r="BI1497" s="1">
        <f t="shared" si="2115"/>
        <v>1</v>
      </c>
      <c r="BJ1497" s="1">
        <f t="shared" ref="BJ1497:BJ1524" si="2118">MAX(Z1497,0)</f>
        <v>1</v>
      </c>
      <c r="BK1497" s="1">
        <f t="shared" ref="BK1497:BK1524" si="2119">MAX(AA1497,0)</f>
        <v>1</v>
      </c>
      <c r="BL1497" s="1">
        <f t="shared" si="2070"/>
        <v>0</v>
      </c>
      <c r="BM1497" s="1">
        <f>MAX(AC1497,1)</f>
        <v>1</v>
      </c>
      <c r="BN1497" s="1">
        <f t="shared" si="2099"/>
        <v>1</v>
      </c>
      <c r="BO1497" s="1">
        <f t="shared" si="2100"/>
        <v>1</v>
      </c>
    </row>
    <row r="1498" spans="1:67" ht="30.95" customHeight="1">
      <c r="A1498" s="1">
        <f>41</f>
        <v>41</v>
      </c>
      <c r="B1498" s="1">
        <f>固定流程!A22</f>
        <v>17</v>
      </c>
      <c r="C1498" s="1">
        <f>44</f>
        <v>44</v>
      </c>
      <c r="D1498" s="1">
        <f>1</f>
        <v>1</v>
      </c>
      <c r="E1498" s="1">
        <f>固定流程!C22</f>
        <v>3</v>
      </c>
      <c r="F1498" s="1">
        <f>固定流程!G22</f>
        <v>2</v>
      </c>
      <c r="G1498" s="1" t="str">
        <f>固定流程!H22</f>
        <v>37_FOLLOW</v>
      </c>
      <c r="H1498" s="1">
        <f>固定流程!F22</f>
        <v>1</v>
      </c>
      <c r="I1498" s="1">
        <f>INDEX(配置与结果!$B$15:$B$18,F1498)</f>
        <v>2306</v>
      </c>
      <c r="J1498" s="1">
        <f>INDEX(配置与结果!$D$15:$D$18,F1498)</f>
        <v>0.46</v>
      </c>
      <c r="K1498" s="1">
        <f>INDEX(配置与结果!$E$15:$E$18,F1498)</f>
        <v>1.9279999999999999</v>
      </c>
      <c r="L1498" s="1">
        <f t="shared" si="2111"/>
        <v>2</v>
      </c>
      <c r="M1498" s="1">
        <f t="shared" si="2112"/>
        <v>10</v>
      </c>
      <c r="N1498" s="1">
        <f t="shared" si="2113"/>
        <v>2</v>
      </c>
      <c r="O1498" s="1">
        <f t="shared" si="2105"/>
        <v>6</v>
      </c>
      <c r="P1498" s="1">
        <f>MIN(方案参数!$AI$44,AZ1497+0+0)</f>
        <v>5</v>
      </c>
      <c r="Q1498" s="1">
        <f t="shared" si="2083"/>
        <v>5</v>
      </c>
      <c r="R1498" s="1">
        <f t="shared" si="2084"/>
        <v>10</v>
      </c>
      <c r="S1498" s="1">
        <f t="shared" si="2085"/>
        <v>2</v>
      </c>
      <c r="T1498" s="1">
        <f t="shared" ref="T1498:T1517" si="2120">BD1497+0</f>
        <v>2</v>
      </c>
      <c r="U1498" s="1">
        <f t="shared" si="2087"/>
        <v>0</v>
      </c>
      <c r="V1498" s="1">
        <f t="shared" si="2088"/>
        <v>2</v>
      </c>
      <c r="W1498" s="1">
        <f t="shared" si="2089"/>
        <v>1</v>
      </c>
      <c r="X1498" s="1">
        <f t="shared" si="2090"/>
        <v>1</v>
      </c>
      <c r="Y1498" s="1">
        <f t="shared" si="2091"/>
        <v>1</v>
      </c>
      <c r="Z1498" s="1">
        <f t="shared" si="2092"/>
        <v>1</v>
      </c>
      <c r="AA1498" s="1">
        <f t="shared" si="2116"/>
        <v>1</v>
      </c>
      <c r="AB1498" s="1">
        <f t="shared" si="2094"/>
        <v>0</v>
      </c>
      <c r="AC1498" s="1">
        <f t="shared" ref="AC1498:AC1517" si="2121">MAX(BM1497,0)</f>
        <v>1</v>
      </c>
      <c r="AD1498" s="1">
        <f>ROUNDDOWN(I1498*(1+IF(F1498=3,0.05+方案参数!$Y$44+AA1498*0.12,IF(F1498=4,方案参数!$BZ$44*方案参数!$AS$44,0)))+IF(AND(X1498=1,F1498&lt;&gt;3),方案参数!$CC$44,0)+AC1498*方案参数!$CB$44,0)</f>
        <v>3044</v>
      </c>
      <c r="AE1498" s="1">
        <f>IF(OR(F1498=1,F1498=4),配置与结果!$B$24,配置与结果!$B$25)*MAX(0,1-INDEX(配置与结果!$I$15:$I$18,F1498))</f>
        <v>1000</v>
      </c>
      <c r="AF1498" s="1">
        <f>方案参数!$BV$44</f>
        <v>3</v>
      </c>
      <c r="AG1498" s="1">
        <f>MAX(配置与结果!$B$32,1+INDEX(配置与结果!$F$15:$F$18,F1498)+0+Q1498*方案参数!$W$44+Y1498*(方案参数!$AN$44+MIN(方案参数!$AO$44,P1498*0.03))+AB1498*方案参数!$BZ$44*0.025-配置与结果!$B$28)</f>
        <v>1.0049999999999999</v>
      </c>
      <c r="AH1498" s="1">
        <f>MAX(0,1+INDEX(配置与结果!$G$15:$G$18,F1498)+W1498*方案参数!$AG$44)</f>
        <v>1.3</v>
      </c>
      <c r="AI1498" s="1">
        <f>IF(OR(INDEX(配置与结果!$K$15:$K$18,F1498)=1,G1498="RHI_BERRY"),1+配置与结果!$B$33+P1498*方案参数!$AH$44,1)</f>
        <v>1</v>
      </c>
      <c r="AJ1498" s="1">
        <f>MIN(1,MAX(0,J1498+方案参数!$AB$44-配置与结果!$B$27))</f>
        <v>0.76</v>
      </c>
      <c r="AK1498" s="1">
        <f>MAX(1,K1498+IF(F1498=2,0.15+方案参数!$CH$44,0)+BN1498*方案参数!$X$44+R1498*方案参数!$AA$44+0-配置与结果!$B$26+Z1498*(方案参数!$AP$44+MIN(方案参数!$AQ$44,P1498*0.03)))</f>
        <v>2.298</v>
      </c>
      <c r="AL1498" s="7">
        <f>ROUNDDOWN(MAX(AD1498*配置与结果!$B$31,AD1498-AE1498)*AF1498*AG1498*AH1498*AI1498,0)</f>
        <v>8011</v>
      </c>
      <c r="AM1498" s="7">
        <f>ROUNDDOWN(MAX(AD1498*配置与结果!$B$31,AD1498-AE1498)*AF1498*AG1498*AH1498*AI1498*AK1498,0)</f>
        <v>18410</v>
      </c>
      <c r="AN1498" s="7">
        <f t="shared" si="2074"/>
        <v>15914.24</v>
      </c>
      <c r="AO1498" s="7">
        <f>方案参数!$BW$44</f>
        <v>1</v>
      </c>
      <c r="AP1498" s="7">
        <f>MAX(0,1+INDEX(配置与结果!$J$15:$J$18,F1498)+IF(T1498&gt;0,方案参数!$BY$44,0)-配置与结果!$B$30)</f>
        <v>2</v>
      </c>
      <c r="AQ1498" s="7">
        <f t="shared" si="2075"/>
        <v>6088</v>
      </c>
      <c r="AR1498" s="7">
        <f t="shared" si="2076"/>
        <v>13990</v>
      </c>
      <c r="AS1498" s="7">
        <f t="shared" si="2077"/>
        <v>12093.52</v>
      </c>
      <c r="AT1498" s="7">
        <f>0</f>
        <v>0</v>
      </c>
      <c r="AU1498" s="7">
        <f t="shared" si="2078"/>
        <v>28007.760000000002</v>
      </c>
      <c r="AV1498" s="1">
        <f t="shared" si="2079"/>
        <v>2</v>
      </c>
      <c r="AW1498" s="1">
        <f t="shared" si="2109"/>
        <v>10</v>
      </c>
      <c r="AX1498" s="1">
        <f t="shared" si="2080"/>
        <v>2</v>
      </c>
      <c r="AY1498" s="1">
        <f t="shared" si="2103"/>
        <v>6</v>
      </c>
      <c r="AZ1498" s="1">
        <f t="shared" si="2081"/>
        <v>5</v>
      </c>
      <c r="BA1498" s="1">
        <f t="shared" si="2117"/>
        <v>5</v>
      </c>
      <c r="BB1498" s="1">
        <f>MIN(30,R1498+0)</f>
        <v>10</v>
      </c>
      <c r="BC1498" s="1">
        <f t="shared" si="2110"/>
        <v>2</v>
      </c>
      <c r="BD1498" s="1">
        <f t="shared" si="2104"/>
        <v>1</v>
      </c>
      <c r="BE1498" s="1">
        <f t="shared" si="2097"/>
        <v>0</v>
      </c>
      <c r="BF1498" s="1">
        <f>MIN(4,V1498+1)</f>
        <v>3</v>
      </c>
      <c r="BG1498" s="1">
        <f t="shared" si="2114"/>
        <v>1</v>
      </c>
      <c r="BH1498" s="1">
        <f t="shared" si="2098"/>
        <v>1</v>
      </c>
      <c r="BI1498" s="1">
        <f t="shared" si="2115"/>
        <v>1</v>
      </c>
      <c r="BJ1498" s="1">
        <f t="shared" si="2118"/>
        <v>1</v>
      </c>
      <c r="BK1498" s="1">
        <f t="shared" si="2119"/>
        <v>1</v>
      </c>
      <c r="BL1498" s="1">
        <f t="shared" si="2070"/>
        <v>0</v>
      </c>
      <c r="BM1498" s="1">
        <f t="shared" ref="BM1498:BM1532" si="2122">MAX(AC1498,0)</f>
        <v>1</v>
      </c>
      <c r="BN1498" s="1">
        <f t="shared" si="2099"/>
        <v>1</v>
      </c>
      <c r="BO1498" s="1">
        <f t="shared" si="2100"/>
        <v>1</v>
      </c>
    </row>
    <row r="1499" spans="1:67" ht="30.95" customHeight="1">
      <c r="A1499" s="1">
        <f>41</f>
        <v>41</v>
      </c>
      <c r="B1499" s="1">
        <f>固定流程!A23</f>
        <v>18</v>
      </c>
      <c r="C1499" s="1">
        <f>44</f>
        <v>44</v>
      </c>
      <c r="D1499" s="1">
        <f>1</f>
        <v>1</v>
      </c>
      <c r="E1499" s="1">
        <f>固定流程!C23</f>
        <v>3</v>
      </c>
      <c r="F1499" s="1">
        <f>固定流程!G23</f>
        <v>4</v>
      </c>
      <c r="G1499" s="1" t="str">
        <f>固定流程!H23</f>
        <v>J_HARD</v>
      </c>
      <c r="H1499" s="1">
        <f>固定流程!F23</f>
        <v>1</v>
      </c>
      <c r="I1499" s="1">
        <f>INDEX(配置与结果!$B$15:$B$18,F1499)</f>
        <v>1906</v>
      </c>
      <c r="J1499" s="1">
        <f>INDEX(配置与结果!$D$15:$D$18,F1499)</f>
        <v>0.36699999999999999</v>
      </c>
      <c r="K1499" s="1">
        <f>INDEX(配置与结果!$E$15:$E$18,F1499)</f>
        <v>1.7170000000000001</v>
      </c>
      <c r="L1499" s="1">
        <f t="shared" si="2111"/>
        <v>2</v>
      </c>
      <c r="M1499" s="1">
        <f t="shared" si="2112"/>
        <v>10</v>
      </c>
      <c r="N1499" s="1">
        <f t="shared" si="2113"/>
        <v>2</v>
      </c>
      <c r="O1499" s="1">
        <f t="shared" si="2105"/>
        <v>6</v>
      </c>
      <c r="P1499" s="1">
        <f>MIN(方案参数!$AI$44,AZ1498+0+0)</f>
        <v>5</v>
      </c>
      <c r="Q1499" s="1">
        <f t="shared" si="2083"/>
        <v>5</v>
      </c>
      <c r="R1499" s="1">
        <f t="shared" si="2084"/>
        <v>10</v>
      </c>
      <c r="S1499" s="1">
        <f t="shared" si="2085"/>
        <v>2</v>
      </c>
      <c r="T1499" s="1">
        <f t="shared" si="2120"/>
        <v>1</v>
      </c>
      <c r="U1499" s="1">
        <f t="shared" si="2087"/>
        <v>0</v>
      </c>
      <c r="V1499" s="1">
        <f t="shared" si="2088"/>
        <v>3</v>
      </c>
      <c r="W1499" s="1">
        <f t="shared" si="2089"/>
        <v>1</v>
      </c>
      <c r="X1499" s="1">
        <f t="shared" si="2090"/>
        <v>1</v>
      </c>
      <c r="Y1499" s="1">
        <f t="shared" si="2091"/>
        <v>1</v>
      </c>
      <c r="Z1499" s="1">
        <f t="shared" si="2092"/>
        <v>1</v>
      </c>
      <c r="AA1499" s="1">
        <f t="shared" si="2116"/>
        <v>1</v>
      </c>
      <c r="AB1499" s="1">
        <f t="shared" si="2094"/>
        <v>0</v>
      </c>
      <c r="AC1499" s="1">
        <f t="shared" si="2121"/>
        <v>1</v>
      </c>
      <c r="AD1499" s="1">
        <f>ROUNDDOWN(I1499*(1+IF(F1499=3,0.05+方案参数!$Y$44+AA1499*0.12,IF(F1499=4,方案参数!$BZ$44*方案参数!$AS$44,0)))+IF(AND(X1499=1,F1499&lt;&gt;3),方案参数!$CC$44,0)+AC1499*方案参数!$CB$44,0)</f>
        <v>3311</v>
      </c>
      <c r="AE1499" s="1">
        <f>IF(OR(F1499=1,F1499=4),配置与结果!$B$24,配置与结果!$B$25)*MAX(0,1-INDEX(配置与结果!$I$15:$I$18,F1499))</f>
        <v>1200</v>
      </c>
      <c r="AF1499" s="1">
        <f>3.6*IF(H1499=1,1,IF(H1499=2,1.5,2.5))</f>
        <v>3.6</v>
      </c>
      <c r="AG1499" s="1">
        <f>MAX(配置与结果!$B$32,1+INDEX(配置与结果!$F$15:$F$18,F1499)+0.08+Q1499*方案参数!$W$44+Y1499*(方案参数!$AN$44+MIN(方案参数!$AO$44,P1499*0.03))+AB1499*方案参数!$BZ$44*0.025+0.1+IF(方案参数!$BZ$44&gt;=30,方案参数!$BZ$44*0.01,0)-配置与结果!$B$28)</f>
        <v>1.5550000000000002</v>
      </c>
      <c r="AH1499" s="1">
        <f>MAX(0,1+INDEX(配置与结果!$G$15:$G$18,F1499)+W1499*方案参数!$AG$44)</f>
        <v>1.3</v>
      </c>
      <c r="AI1499" s="1">
        <f>IF(OR(INDEX(配置与结果!$K$15:$K$18,F1499)=1,G1499="RHI_BERRY"),1+配置与结果!$B$33+P1499*方案参数!$AH$44,1)</f>
        <v>1</v>
      </c>
      <c r="AJ1499" s="1">
        <f>MIN(1,MAX(0,J1499+方案参数!$AB$44-配置与结果!$B$27))</f>
        <v>0.66700000000000004</v>
      </c>
      <c r="AK1499" s="1">
        <f>MAX(1,K1499+IF(F1499=2,0.15+方案参数!$CH$44,0)+BN1499*方案参数!$X$44+R1499*方案参数!$AA$44+0-配置与结果!$B$26+Z1499*(方案参数!$AP$44+MIN(方案参数!$AQ$44,P1499*0.03)))</f>
        <v>1.8169999999999999</v>
      </c>
      <c r="AL1499" s="7">
        <f>ROUNDDOWN(MAX(AD1499*配置与结果!$B$31,AD1499-AE1499)*AF1499*AG1499*AH1499*AI1499,0)</f>
        <v>15362</v>
      </c>
      <c r="AM1499" s="7">
        <f>ROUNDDOWN(MAX(AD1499*配置与结果!$B$31,AD1499-AE1499)*AF1499*AG1499*AH1499*AI1499*AK1499,0)</f>
        <v>27913</v>
      </c>
      <c r="AN1499" s="7">
        <f t="shared" si="2074"/>
        <v>23733.517</v>
      </c>
      <c r="AO1499" s="7">
        <f>0</f>
        <v>0</v>
      </c>
      <c r="AP1499" s="7">
        <f>MAX(0,1+INDEX(配置与结果!$J$15:$J$18,F1499)+IF(T1499&gt;0,方案参数!$BY$44,0)-配置与结果!$B$30)</f>
        <v>2</v>
      </c>
      <c r="AQ1499" s="7">
        <f t="shared" si="2075"/>
        <v>0</v>
      </c>
      <c r="AR1499" s="7">
        <f t="shared" si="2076"/>
        <v>0</v>
      </c>
      <c r="AS1499" s="7">
        <f t="shared" si="2077"/>
        <v>0</v>
      </c>
      <c r="AT1499" s="7">
        <f>0</f>
        <v>0</v>
      </c>
      <c r="AU1499" s="7">
        <f t="shared" si="2078"/>
        <v>23733.517</v>
      </c>
      <c r="AV1499" s="1">
        <f t="shared" si="2079"/>
        <v>2</v>
      </c>
      <c r="AW1499" s="1">
        <f t="shared" si="2109"/>
        <v>10</v>
      </c>
      <c r="AX1499" s="1">
        <f t="shared" si="2080"/>
        <v>2</v>
      </c>
      <c r="AY1499" s="1">
        <f t="shared" si="2103"/>
        <v>6</v>
      </c>
      <c r="AZ1499" s="1">
        <f t="shared" si="2081"/>
        <v>5</v>
      </c>
      <c r="BA1499" s="1">
        <f t="shared" si="2117"/>
        <v>5</v>
      </c>
      <c r="BB1499" s="1">
        <f>MIN(30,R1499+0)</f>
        <v>10</v>
      </c>
      <c r="BC1499" s="1">
        <f>MIN(3,S1499+1)</f>
        <v>3</v>
      </c>
      <c r="BD1499" s="1">
        <f t="shared" si="2104"/>
        <v>1</v>
      </c>
      <c r="BE1499" s="1">
        <f t="shared" si="2097"/>
        <v>0</v>
      </c>
      <c r="BF1499" s="1">
        <f>MIN(4,V1499+0)</f>
        <v>3</v>
      </c>
      <c r="BG1499" s="1">
        <f t="shared" si="2114"/>
        <v>1</v>
      </c>
      <c r="BH1499" s="1">
        <f t="shared" si="2098"/>
        <v>1</v>
      </c>
      <c r="BI1499" s="1">
        <f t="shared" si="2115"/>
        <v>1</v>
      </c>
      <c r="BJ1499" s="1">
        <f t="shared" si="2118"/>
        <v>1</v>
      </c>
      <c r="BK1499" s="1">
        <f t="shared" si="2119"/>
        <v>1</v>
      </c>
      <c r="BL1499" s="1">
        <f t="shared" si="2070"/>
        <v>0</v>
      </c>
      <c r="BM1499" s="1">
        <f t="shared" si="2122"/>
        <v>1</v>
      </c>
      <c r="BN1499" s="1">
        <f t="shared" si="2099"/>
        <v>1</v>
      </c>
      <c r="BO1499" s="1">
        <f t="shared" si="2100"/>
        <v>1</v>
      </c>
    </row>
    <row r="1500" spans="1:67" ht="30.95" customHeight="1">
      <c r="A1500" s="1">
        <f>41</f>
        <v>41</v>
      </c>
      <c r="B1500" s="1">
        <f>固定流程!A24</f>
        <v>19</v>
      </c>
      <c r="C1500" s="1">
        <f>44</f>
        <v>44</v>
      </c>
      <c r="D1500" s="1">
        <f>1</f>
        <v>1</v>
      </c>
      <c r="E1500" s="1">
        <f>固定流程!C24</f>
        <v>3</v>
      </c>
      <c r="F1500" s="1">
        <f>固定流程!G24</f>
        <v>4</v>
      </c>
      <c r="G1500" s="1" t="str">
        <f>固定流程!H24</f>
        <v>J_ULT</v>
      </c>
      <c r="H1500" s="1">
        <f>固定流程!F24</f>
        <v>1</v>
      </c>
      <c r="I1500" s="1">
        <f>INDEX(配置与结果!$B$15:$B$18,F1500)</f>
        <v>1906</v>
      </c>
      <c r="J1500" s="1">
        <f>INDEX(配置与结果!$D$15:$D$18,F1500)</f>
        <v>0.36699999999999999</v>
      </c>
      <c r="K1500" s="1">
        <f>INDEX(配置与结果!$E$15:$E$18,F1500)</f>
        <v>1.7170000000000001</v>
      </c>
      <c r="L1500" s="1">
        <f t="shared" si="2111"/>
        <v>2</v>
      </c>
      <c r="M1500" s="1">
        <f t="shared" si="2112"/>
        <v>10</v>
      </c>
      <c r="N1500" s="1">
        <f t="shared" si="2113"/>
        <v>2</v>
      </c>
      <c r="O1500" s="1">
        <f t="shared" si="2105"/>
        <v>6</v>
      </c>
      <c r="P1500" s="1">
        <f>MIN(方案参数!$AI$44,AZ1499+0+0)</f>
        <v>5</v>
      </c>
      <c r="Q1500" s="1">
        <f t="shared" si="2083"/>
        <v>5</v>
      </c>
      <c r="R1500" s="1">
        <f t="shared" si="2084"/>
        <v>10</v>
      </c>
      <c r="S1500" s="1">
        <f t="shared" si="2085"/>
        <v>3</v>
      </c>
      <c r="T1500" s="1">
        <f t="shared" si="2120"/>
        <v>1</v>
      </c>
      <c r="U1500" s="1">
        <f t="shared" si="2087"/>
        <v>0</v>
      </c>
      <c r="V1500" s="1">
        <f t="shared" si="2088"/>
        <v>3</v>
      </c>
      <c r="W1500" s="1">
        <f t="shared" si="2089"/>
        <v>1</v>
      </c>
      <c r="X1500" s="1">
        <f t="shared" si="2090"/>
        <v>1</v>
      </c>
      <c r="Y1500" s="1">
        <f t="shared" si="2091"/>
        <v>1</v>
      </c>
      <c r="Z1500" s="1">
        <f t="shared" si="2092"/>
        <v>1</v>
      </c>
      <c r="AA1500" s="1">
        <f t="shared" si="2116"/>
        <v>1</v>
      </c>
      <c r="AB1500" s="1">
        <f t="shared" si="2094"/>
        <v>0</v>
      </c>
      <c r="AC1500" s="1">
        <f t="shared" si="2121"/>
        <v>1</v>
      </c>
      <c r="AD1500" s="1">
        <f>ROUNDDOWN(I1500*(1+IF(F1500=3,0.05+方案参数!$Y$44+AA1500*0.12,IF(F1500=4,方案参数!$BZ$44*方案参数!$AS$44,0)))+IF(AND(X1500=1,F1500&lt;&gt;3),方案参数!$CC$44,0)+AC1500*方案参数!$CB$44,0)</f>
        <v>3311</v>
      </c>
      <c r="AE1500" s="1">
        <f>IF(OR(F1500=1,F1500=4),配置与结果!$B$24,配置与结果!$B$25)*MAX(0,1-INDEX(配置与结果!$I$15:$I$18,F1500))</f>
        <v>1200</v>
      </c>
      <c r="AF1500" s="1">
        <f>方案参数!$AT$44+MAX(0,配置与结果!$H$26+方案参数!$BZ$44-30)*方案参数!$AU$44*配置与结果!$H$27</f>
        <v>42</v>
      </c>
      <c r="AG1500" s="1">
        <f>MAX(配置与结果!$B$32,1+INDEX(配置与结果!$F$15:$F$18,F1500)+0.08+Q1500*方案参数!$W$44+Y1500*(方案参数!$AN$44+MIN(方案参数!$AO$44,P1500*0.03))+AB1500*方案参数!$BZ$44*0.025-配置与结果!$B$28)</f>
        <v>1.105</v>
      </c>
      <c r="AH1500" s="1">
        <f>MAX(0,1+INDEX(配置与结果!$H$15:$H$18,F1500)+W1500*方案参数!$AG$44+S1500*方案参数!$Z$44)</f>
        <v>1.42</v>
      </c>
      <c r="AI1500" s="1">
        <f>IF(OR(INDEX(配置与结果!$K$15:$K$18,F1500)=1,G1500="RHI_BERRY"),1+配置与结果!$B$33+P1500*方案参数!$AH$44,1)</f>
        <v>1</v>
      </c>
      <c r="AJ1500" s="1">
        <f>MIN(1,MAX(0,J1500+方案参数!$AB$44-配置与结果!$B$27))</f>
        <v>0.66700000000000004</v>
      </c>
      <c r="AK1500" s="1">
        <f>MAX(1,K1500+IF(F1500=2,0.15+方案参数!$CH$44,0)+BN1500*方案参数!$X$44+R1500*方案参数!$AA$44+0-配置与结果!$B$26+Z1500*(方案参数!$AP$44+MIN(方案参数!$AQ$44,P1500*0.03)))</f>
        <v>1.8169999999999999</v>
      </c>
      <c r="AL1500" s="7">
        <f>ROUNDDOWN(MAX(AD1500*配置与结果!$B$31,AD1500-AE1500)*AF1500*AG1500*AH1500*AI1500,0)</f>
        <v>139119</v>
      </c>
      <c r="AM1500" s="7">
        <f>ROUNDDOWN(MAX(AD1500*配置与结果!$B$31,AD1500-AE1500)*AF1500*AG1500*AH1500*AI1500*AK1500,0)</f>
        <v>252780</v>
      </c>
      <c r="AN1500" s="7">
        <f t="shared" si="2074"/>
        <v>214930.88699999999</v>
      </c>
      <c r="AO1500" s="7">
        <f>0</f>
        <v>0</v>
      </c>
      <c r="AP1500" s="7">
        <f>MAX(0,1+INDEX(配置与结果!$J$15:$J$18,F1500)+IF(T1500&gt;0,方案参数!$BY$44,0)-配置与结果!$B$30)</f>
        <v>2</v>
      </c>
      <c r="AQ1500" s="7">
        <f t="shared" si="2075"/>
        <v>0</v>
      </c>
      <c r="AR1500" s="7">
        <f t="shared" si="2076"/>
        <v>0</v>
      </c>
      <c r="AS1500" s="7">
        <f t="shared" si="2077"/>
        <v>0</v>
      </c>
      <c r="AT1500" s="7">
        <f>0</f>
        <v>0</v>
      </c>
      <c r="AU1500" s="7">
        <f t="shared" si="2078"/>
        <v>214930.88699999999</v>
      </c>
      <c r="AV1500" s="1">
        <f t="shared" si="2079"/>
        <v>2</v>
      </c>
      <c r="AW1500" s="1">
        <f t="shared" si="2109"/>
        <v>10</v>
      </c>
      <c r="AX1500" s="1">
        <f t="shared" si="2080"/>
        <v>2</v>
      </c>
      <c r="AY1500" s="1">
        <f t="shared" si="2103"/>
        <v>6</v>
      </c>
      <c r="AZ1500" s="1">
        <f t="shared" si="2081"/>
        <v>5</v>
      </c>
      <c r="BA1500" s="1">
        <f t="shared" si="2117"/>
        <v>5</v>
      </c>
      <c r="BB1500" s="1">
        <f>MIN(30,R1500+5)</f>
        <v>15</v>
      </c>
      <c r="BC1500" s="1">
        <f t="shared" ref="BC1500:BC1523" si="2123">MIN(3,S1500+0)</f>
        <v>3</v>
      </c>
      <c r="BD1500" s="1">
        <f t="shared" si="2104"/>
        <v>1</v>
      </c>
      <c r="BE1500" s="1">
        <f t="shared" si="2097"/>
        <v>0</v>
      </c>
      <c r="BF1500" s="1">
        <f>MIN(4,V1500+0)</f>
        <v>3</v>
      </c>
      <c r="BG1500" s="1">
        <f t="shared" si="2114"/>
        <v>1</v>
      </c>
      <c r="BH1500" s="1">
        <f t="shared" si="2098"/>
        <v>1</v>
      </c>
      <c r="BI1500" s="1">
        <f t="shared" si="2115"/>
        <v>1</v>
      </c>
      <c r="BJ1500" s="1">
        <f t="shared" si="2118"/>
        <v>1</v>
      </c>
      <c r="BK1500" s="1">
        <f t="shared" si="2119"/>
        <v>1</v>
      </c>
      <c r="BL1500" s="1">
        <f>MAX(AB1500,1)</f>
        <v>1</v>
      </c>
      <c r="BM1500" s="1">
        <f t="shared" si="2122"/>
        <v>1</v>
      </c>
      <c r="BN1500" s="1">
        <f t="shared" si="2099"/>
        <v>1</v>
      </c>
      <c r="BO1500" s="1">
        <f t="shared" si="2100"/>
        <v>1</v>
      </c>
    </row>
    <row r="1501" spans="1:67" ht="30.95" customHeight="1">
      <c r="A1501" s="1">
        <f>41</f>
        <v>41</v>
      </c>
      <c r="B1501" s="1">
        <f>固定流程!A25</f>
        <v>20</v>
      </c>
      <c r="C1501" s="1">
        <f>44</f>
        <v>44</v>
      </c>
      <c r="D1501" s="1">
        <f>1</f>
        <v>1</v>
      </c>
      <c r="E1501" s="1">
        <f>固定流程!C25</f>
        <v>3</v>
      </c>
      <c r="F1501" s="1">
        <f>固定流程!G25</f>
        <v>1</v>
      </c>
      <c r="G1501" s="1" t="str">
        <f>固定流程!H25</f>
        <v>LILYA_ULT</v>
      </c>
      <c r="H1501" s="1">
        <f>固定流程!F25</f>
        <v>1</v>
      </c>
      <c r="I1501" s="1">
        <f>INDEX(配置与结果!$B$15:$B$18,F1501)</f>
        <v>2296</v>
      </c>
      <c r="J1501" s="1">
        <f>INDEX(配置与结果!$D$15:$D$18,F1501)</f>
        <v>0.7</v>
      </c>
      <c r="K1501" s="1">
        <f>INDEX(配置与结果!$E$15:$E$18,F1501)</f>
        <v>2.0249999999999999</v>
      </c>
      <c r="L1501" s="1">
        <f t="shared" si="2111"/>
        <v>2</v>
      </c>
      <c r="M1501" s="1">
        <f t="shared" si="2112"/>
        <v>10</v>
      </c>
      <c r="N1501" s="1">
        <f t="shared" si="2113"/>
        <v>2</v>
      </c>
      <c r="O1501" s="1">
        <f t="shared" si="2105"/>
        <v>6</v>
      </c>
      <c r="P1501" s="1">
        <f>MIN(方案参数!$AI$44,AZ1500+0+0)</f>
        <v>5</v>
      </c>
      <c r="Q1501" s="1">
        <f t="shared" si="2083"/>
        <v>5</v>
      </c>
      <c r="R1501" s="1">
        <f t="shared" si="2084"/>
        <v>15</v>
      </c>
      <c r="S1501" s="1">
        <f t="shared" si="2085"/>
        <v>3</v>
      </c>
      <c r="T1501" s="1">
        <f t="shared" si="2120"/>
        <v>1</v>
      </c>
      <c r="U1501" s="1">
        <f t="shared" si="2087"/>
        <v>0</v>
      </c>
      <c r="V1501" s="1">
        <f t="shared" si="2088"/>
        <v>3</v>
      </c>
      <c r="W1501" s="1">
        <f t="shared" si="2089"/>
        <v>1</v>
      </c>
      <c r="X1501" s="1">
        <f t="shared" si="2090"/>
        <v>1</v>
      </c>
      <c r="Y1501" s="1">
        <f t="shared" si="2091"/>
        <v>1</v>
      </c>
      <c r="Z1501" s="1">
        <f t="shared" si="2092"/>
        <v>1</v>
      </c>
      <c r="AA1501" s="1">
        <f t="shared" si="2116"/>
        <v>1</v>
      </c>
      <c r="AB1501" s="1">
        <f t="shared" si="2094"/>
        <v>1</v>
      </c>
      <c r="AC1501" s="1">
        <f t="shared" si="2121"/>
        <v>1</v>
      </c>
      <c r="AD1501" s="1">
        <f>ROUNDDOWN(I1501*(1+IF(F1501=3,0.05+方案参数!$Y$44+AA1501*0.12,IF(F1501=4,方案参数!$BZ$44*方案参数!$AS$44,0)))+IF(AND(X1501=1,F1501&lt;&gt;3),方案参数!$CC$44,0)+AC1501*方案参数!$CB$44,0)</f>
        <v>3034</v>
      </c>
      <c r="AE1501" s="1">
        <f>IF(OR(F1501=1,F1501=4),配置与结果!$B$24,配置与结果!$B$25)*MAX(0,1-INDEX(配置与结果!$I$15:$I$18,F1501)+IF(O1501&gt;=6,方案参数!$BK$44,0))</f>
        <v>1440</v>
      </c>
      <c r="AF1501" s="1">
        <f>方案参数!$BG$44+IF(O1501&gt;=6,方案参数!$BH$44,0)</f>
        <v>36</v>
      </c>
      <c r="AG1501" s="1">
        <f>MAX(配置与结果!$B$32,1+INDEX(配置与结果!$F$15:$F$18,F1501)+0.08+方案参数!$CD$44+Q1501*方案参数!$W$44+Y1501*(方案参数!$AN$44+MIN(方案参数!$AO$44,P1501*0.03))+AB1501*方案参数!$BZ$44*0.025-配置与结果!$B$28)</f>
        <v>2.2150000000000003</v>
      </c>
      <c r="AH1501" s="1">
        <f>MAX(0,1+INDEX(配置与结果!$H$15:$H$18,F1501)+W1501*方案参数!$AG$44+O1501*方案参数!$BF$44+IF(O1501&gt;=6,方案参数!$BI$44,0))</f>
        <v>2.4500000000000002</v>
      </c>
      <c r="AI1501" s="1">
        <f>IF(OR(INDEX(配置与结果!$K$15:$K$18,F1501)=1,G1501="RHI_BERRY"),1+配置与结果!$B$33+P1501*方案参数!$AH$44,1)</f>
        <v>1</v>
      </c>
      <c r="AJ1501" s="1">
        <f>MIN(1,MAX(0,J1501+方案参数!$AB$44-配置与结果!$B$27))</f>
        <v>1</v>
      </c>
      <c r="AK1501" s="1">
        <f>MAX(1,K1501+IF(F1501=2,0.15+方案参数!$CH$44,0)+BN1501*方案参数!$X$44+R1501*方案参数!$AA$44+IF(O1501&gt;=6,方案参数!$BJ$44,0)-配置与结果!$B$26+Z1501*(方案参数!$AP$44+MIN(方案参数!$AQ$44,P1501*0.03)))</f>
        <v>3.145</v>
      </c>
      <c r="AL1501" s="7">
        <f>ROUNDDOWN(MAX(AD1501*配置与结果!$B$31,AD1501-AE1501)*AF1501*AG1501*AH1501*AI1501,0)</f>
        <v>311408</v>
      </c>
      <c r="AM1501" s="7">
        <f>ROUNDDOWN(MAX(AD1501*配置与结果!$B$31,AD1501-AE1501)*AF1501*AG1501*AH1501*AI1501*AK1501,0)</f>
        <v>979380</v>
      </c>
      <c r="AN1501" s="7">
        <f t="shared" si="2074"/>
        <v>979380</v>
      </c>
      <c r="AO1501" s="7">
        <f>0</f>
        <v>0</v>
      </c>
      <c r="AP1501" s="7">
        <f>MAX(0,1+INDEX(配置与结果!$J$15:$J$18,F1501)+IF(T1501&gt;0,方案参数!$BY$44,0)-配置与结果!$B$30)</f>
        <v>2</v>
      </c>
      <c r="AQ1501" s="7">
        <f t="shared" si="2075"/>
        <v>0</v>
      </c>
      <c r="AR1501" s="7">
        <f t="shared" si="2076"/>
        <v>0</v>
      </c>
      <c r="AS1501" s="7">
        <f t="shared" si="2077"/>
        <v>0</v>
      </c>
      <c r="AT1501" s="7">
        <f>0</f>
        <v>0</v>
      </c>
      <c r="AU1501" s="7">
        <f t="shared" si="2078"/>
        <v>979380</v>
      </c>
      <c r="AV1501" s="1">
        <f t="shared" si="2079"/>
        <v>2</v>
      </c>
      <c r="AW1501" s="1">
        <f t="shared" si="2109"/>
        <v>10</v>
      </c>
      <c r="AX1501" s="1">
        <f t="shared" si="2080"/>
        <v>2</v>
      </c>
      <c r="AY1501" s="1">
        <f>MIN(20,MAX(0,O1501+0+0-IF(O1501&gt;=6,6,0)))</f>
        <v>0</v>
      </c>
      <c r="AZ1501" s="1">
        <f t="shared" si="2081"/>
        <v>5</v>
      </c>
      <c r="BA1501" s="1">
        <f t="shared" si="2117"/>
        <v>5</v>
      </c>
      <c r="BB1501" s="1">
        <f>MIN(30,R1501+5)</f>
        <v>20</v>
      </c>
      <c r="BC1501" s="1">
        <f t="shared" si="2123"/>
        <v>3</v>
      </c>
      <c r="BD1501" s="1">
        <f t="shared" si="2104"/>
        <v>1</v>
      </c>
      <c r="BE1501" s="1">
        <f t="shared" si="2097"/>
        <v>0</v>
      </c>
      <c r="BF1501" s="1">
        <f>MIN(4,V1501+0)</f>
        <v>3</v>
      </c>
      <c r="BG1501" s="1">
        <f t="shared" si="2114"/>
        <v>1</v>
      </c>
      <c r="BH1501" s="1">
        <f t="shared" si="2098"/>
        <v>1</v>
      </c>
      <c r="BI1501" s="1">
        <f t="shared" si="2115"/>
        <v>1</v>
      </c>
      <c r="BJ1501" s="1">
        <f t="shared" si="2118"/>
        <v>1</v>
      </c>
      <c r="BK1501" s="1">
        <f t="shared" si="2119"/>
        <v>1</v>
      </c>
      <c r="BL1501" s="1">
        <f t="shared" ref="BL1501:BL1535" si="2124">MAX(AB1501,0)</f>
        <v>1</v>
      </c>
      <c r="BM1501" s="1">
        <f t="shared" si="2122"/>
        <v>1</v>
      </c>
      <c r="BN1501" s="1">
        <f t="shared" si="2099"/>
        <v>1</v>
      </c>
      <c r="BO1501" s="1">
        <f t="shared" si="2100"/>
        <v>1</v>
      </c>
    </row>
    <row r="1502" spans="1:67" ht="30.95" customHeight="1">
      <c r="A1502" s="1">
        <f>41</f>
        <v>41</v>
      </c>
      <c r="B1502" s="1">
        <f>固定流程!A26</f>
        <v>21</v>
      </c>
      <c r="C1502" s="1">
        <f>44</f>
        <v>44</v>
      </c>
      <c r="D1502" s="1">
        <f>1</f>
        <v>1</v>
      </c>
      <c r="E1502" s="1">
        <f>固定流程!C26</f>
        <v>3</v>
      </c>
      <c r="F1502" s="1">
        <f>固定流程!G26</f>
        <v>1</v>
      </c>
      <c r="G1502" s="1" t="str">
        <f>固定流程!H26</f>
        <v>LILYA_DIVE</v>
      </c>
      <c r="H1502" s="1">
        <f>固定流程!F26</f>
        <v>3</v>
      </c>
      <c r="I1502" s="1">
        <f>INDEX(配置与结果!$B$15:$B$18,F1502)</f>
        <v>2296</v>
      </c>
      <c r="J1502" s="1">
        <f>INDEX(配置与结果!$D$15:$D$18,F1502)</f>
        <v>0.7</v>
      </c>
      <c r="K1502" s="1">
        <f>INDEX(配置与结果!$E$15:$E$18,F1502)</f>
        <v>2.0249999999999999</v>
      </c>
      <c r="L1502" s="1">
        <f t="shared" si="2111"/>
        <v>2</v>
      </c>
      <c r="M1502" s="1">
        <f t="shared" si="2112"/>
        <v>10</v>
      </c>
      <c r="N1502" s="1">
        <f t="shared" si="2113"/>
        <v>2</v>
      </c>
      <c r="O1502" s="1">
        <f t="shared" si="2105"/>
        <v>0</v>
      </c>
      <c r="P1502" s="1">
        <f>MIN(方案参数!$AI$44,AZ1501+0+0)</f>
        <v>5</v>
      </c>
      <c r="Q1502" s="1">
        <f t="shared" si="2083"/>
        <v>5</v>
      </c>
      <c r="R1502" s="1">
        <f t="shared" si="2084"/>
        <v>20</v>
      </c>
      <c r="S1502" s="1">
        <f t="shared" si="2085"/>
        <v>3</v>
      </c>
      <c r="T1502" s="1">
        <f t="shared" si="2120"/>
        <v>1</v>
      </c>
      <c r="U1502" s="1">
        <f t="shared" si="2087"/>
        <v>0</v>
      </c>
      <c r="V1502" s="1">
        <f t="shared" si="2088"/>
        <v>3</v>
      </c>
      <c r="W1502" s="1">
        <f t="shared" si="2089"/>
        <v>1</v>
      </c>
      <c r="X1502" s="1">
        <f t="shared" si="2090"/>
        <v>1</v>
      </c>
      <c r="Y1502" s="1">
        <f t="shared" si="2091"/>
        <v>1</v>
      </c>
      <c r="Z1502" s="1">
        <f t="shared" si="2092"/>
        <v>1</v>
      </c>
      <c r="AA1502" s="1">
        <f t="shared" si="2116"/>
        <v>1</v>
      </c>
      <c r="AB1502" s="1">
        <f t="shared" si="2094"/>
        <v>1</v>
      </c>
      <c r="AC1502" s="1">
        <f t="shared" si="2121"/>
        <v>1</v>
      </c>
      <c r="AD1502" s="1">
        <f>ROUNDDOWN(I1502*(1+IF(F1502=3,0.05+方案参数!$Y$44+AA1502*0.12,IF(F1502=4,方案参数!$BZ$44*方案参数!$AS$44,0)))+IF(AND(X1502=1,F1502&lt;&gt;3),方案参数!$CC$44,0)+AC1502*方案参数!$CB$44,0)</f>
        <v>3034</v>
      </c>
      <c r="AE1502" s="1">
        <f>IF(OR(F1502=1,F1502=4),配置与结果!$B$24,配置与结果!$B$25)*MAX(0,1-INDEX(配置与结果!$I$15:$I$18,F1502))</f>
        <v>1200</v>
      </c>
      <c r="AF1502" s="1">
        <f>(IF(L1502=1,方案参数!$AW$44,IF(L1502=2,方案参数!$AX$44,0))+方案参数!$AV$44)*H1502</f>
        <v>30</v>
      </c>
      <c r="AG1502" s="1">
        <f>MAX(配置与结果!$B$32,1+INDEX(配置与结果!$F$15:$F$18,F1502)+0.08+方案参数!$CD$44+Q1502*方案参数!$W$44+Y1502*(方案参数!$AN$44+MIN(方案参数!$AO$44,P1502*0.03))+AB1502*方案参数!$BZ$44*0.025+IF(L1502=1,方案参数!$AY$44+(H1502-1)*0.1,IF(L1502=2,方案参数!$AZ$44+(H1502-1)*0.2,0))-配置与结果!$B$28)</f>
        <v>2.8150000000000004</v>
      </c>
      <c r="AH1502" s="1">
        <f>MAX(0,1+INDEX(配置与结果!$G$15:$G$18,F1502)+W1502*方案参数!$AG$44+IF(L1502=1,方案参数!$BA$44,IF(L1502=2,方案参数!$BB$44,0))+M1502*方案参数!$BC$44)</f>
        <v>3.1</v>
      </c>
      <c r="AI1502" s="1">
        <f>IF(OR(INDEX(配置与结果!$K$15:$K$18,F1502)=1,G1502="RHI_BERRY"),1+配置与结果!$B$33+P1502*方案参数!$AH$44,1)</f>
        <v>1</v>
      </c>
      <c r="AJ1502" s="1">
        <f>MIN(1,MAX(0,J1502+方案参数!$AB$44-配置与结果!$B$27))</f>
        <v>1</v>
      </c>
      <c r="AK1502" s="1">
        <f>MAX(1,K1502+IF(F1502=2,0.15+方案参数!$CH$44,0)+BN1502*方案参数!$X$44+R1502*方案参数!$AA$44+0-配置与结果!$B$26+Z1502*(方案参数!$AP$44+MIN(方案参数!$AQ$44,P1502*0.03)))</f>
        <v>2.165</v>
      </c>
      <c r="AL1502" s="7">
        <f>ROUNDDOWN(MAX(AD1502*配置与结果!$B$31,AD1502-AE1502)*AF1502*AG1502*AH1502*AI1502,0)</f>
        <v>480132</v>
      </c>
      <c r="AM1502" s="7">
        <f>ROUNDDOWN(MAX(AD1502*配置与结果!$B$31,AD1502-AE1502)*AF1502*AG1502*AH1502*AI1502*AK1502,0)</f>
        <v>1039485</v>
      </c>
      <c r="AN1502" s="7">
        <f t="shared" si="2074"/>
        <v>1039485</v>
      </c>
      <c r="AO1502" s="7">
        <f>0</f>
        <v>0</v>
      </c>
      <c r="AP1502" s="7">
        <f>MAX(0,1+INDEX(配置与结果!$J$15:$J$18,F1502)+IF(T1502&gt;0,方案参数!$BY$44,0)-配置与结果!$B$30)</f>
        <v>2</v>
      </c>
      <c r="AQ1502" s="7">
        <f t="shared" si="2075"/>
        <v>0</v>
      </c>
      <c r="AR1502" s="7">
        <f t="shared" si="2076"/>
        <v>0</v>
      </c>
      <c r="AS1502" s="7">
        <f t="shared" si="2077"/>
        <v>0</v>
      </c>
      <c r="AT1502" s="7">
        <f>0</f>
        <v>0</v>
      </c>
      <c r="AU1502" s="7">
        <f t="shared" si="2078"/>
        <v>1039485</v>
      </c>
      <c r="AV1502" s="1">
        <f t="shared" si="2079"/>
        <v>2</v>
      </c>
      <c r="AW1502" s="1">
        <f>MIN(10,M1502+0+IF(L1502=1,方案参数!$BE$44,0))</f>
        <v>10</v>
      </c>
      <c r="AX1502" s="1">
        <f t="shared" si="2080"/>
        <v>2</v>
      </c>
      <c r="AY1502" s="1">
        <f>MIN(20,MAX(0,O1502+0+0-0))</f>
        <v>0</v>
      </c>
      <c r="AZ1502" s="1">
        <f t="shared" si="2081"/>
        <v>5</v>
      </c>
      <c r="BA1502" s="1">
        <f t="shared" si="2117"/>
        <v>5</v>
      </c>
      <c r="BB1502" s="1">
        <f t="shared" ref="BB1502:BB1517" si="2125">MIN(30,R1502+0)</f>
        <v>20</v>
      </c>
      <c r="BC1502" s="1">
        <f t="shared" si="2123"/>
        <v>3</v>
      </c>
      <c r="BD1502" s="1">
        <f t="shared" si="2104"/>
        <v>1</v>
      </c>
      <c r="BE1502" s="1">
        <f t="shared" si="2097"/>
        <v>0</v>
      </c>
      <c r="BF1502" s="1">
        <f>MIN(4,V1502+0)</f>
        <v>3</v>
      </c>
      <c r="BG1502" s="1">
        <f t="shared" si="2114"/>
        <v>1</v>
      </c>
      <c r="BH1502" s="1">
        <f t="shared" si="2098"/>
        <v>1</v>
      </c>
      <c r="BI1502" s="1">
        <f t="shared" si="2115"/>
        <v>1</v>
      </c>
      <c r="BJ1502" s="1">
        <f t="shared" si="2118"/>
        <v>1</v>
      </c>
      <c r="BK1502" s="1">
        <f t="shared" si="2119"/>
        <v>1</v>
      </c>
      <c r="BL1502" s="1">
        <f t="shared" si="2124"/>
        <v>1</v>
      </c>
      <c r="BM1502" s="1">
        <f t="shared" si="2122"/>
        <v>1</v>
      </c>
      <c r="BN1502" s="1">
        <f t="shared" si="2099"/>
        <v>1</v>
      </c>
      <c r="BO1502" s="1">
        <f t="shared" si="2100"/>
        <v>1</v>
      </c>
    </row>
    <row r="1503" spans="1:67" ht="30.95" customHeight="1">
      <c r="A1503" s="1">
        <f>41</f>
        <v>41</v>
      </c>
      <c r="B1503" s="1">
        <f>固定流程!A27</f>
        <v>22</v>
      </c>
      <c r="C1503" s="1">
        <f>44</f>
        <v>44</v>
      </c>
      <c r="D1503" s="1">
        <f>1</f>
        <v>1</v>
      </c>
      <c r="E1503" s="1">
        <f>固定流程!C27</f>
        <v>3</v>
      </c>
      <c r="F1503" s="1">
        <f>固定流程!G27</f>
        <v>3</v>
      </c>
      <c r="G1503" s="1" t="str">
        <f>固定流程!H27</f>
        <v>RHI_BERRY</v>
      </c>
      <c r="H1503" s="1">
        <f>固定流程!F27</f>
        <v>1</v>
      </c>
      <c r="I1503" s="1">
        <f>INDEX(配置与结果!$B$15:$B$18,F1503)</f>
        <v>2597</v>
      </c>
      <c r="J1503" s="1">
        <f>INDEX(配置与结果!$D$15:$D$18,F1503)</f>
        <v>0.255</v>
      </c>
      <c r="K1503" s="1">
        <f>INDEX(配置与结果!$E$15:$E$18,F1503)</f>
        <v>1.55</v>
      </c>
      <c r="L1503" s="1">
        <f t="shared" si="2111"/>
        <v>2</v>
      </c>
      <c r="M1503" s="1">
        <f t="shared" si="2112"/>
        <v>10</v>
      </c>
      <c r="N1503" s="1">
        <f t="shared" si="2113"/>
        <v>2</v>
      </c>
      <c r="O1503" s="1">
        <f t="shared" si="2105"/>
        <v>0</v>
      </c>
      <c r="P1503" s="1">
        <f>MIN(方案参数!$AI$44,AZ1502+0+0)</f>
        <v>5</v>
      </c>
      <c r="Q1503" s="1">
        <f t="shared" si="2083"/>
        <v>5</v>
      </c>
      <c r="R1503" s="1">
        <f t="shared" si="2084"/>
        <v>20</v>
      </c>
      <c r="S1503" s="1">
        <f t="shared" si="2085"/>
        <v>3</v>
      </c>
      <c r="T1503" s="1">
        <f t="shared" si="2120"/>
        <v>1</v>
      </c>
      <c r="U1503" s="1">
        <f t="shared" si="2087"/>
        <v>0</v>
      </c>
      <c r="V1503" s="1">
        <f t="shared" si="2088"/>
        <v>3</v>
      </c>
      <c r="W1503" s="1">
        <f t="shared" si="2089"/>
        <v>1</v>
      </c>
      <c r="X1503" s="1">
        <f t="shared" si="2090"/>
        <v>1</v>
      </c>
      <c r="Y1503" s="1">
        <f t="shared" si="2091"/>
        <v>1</v>
      </c>
      <c r="Z1503" s="1">
        <f t="shared" si="2092"/>
        <v>1</v>
      </c>
      <c r="AA1503" s="1">
        <f t="shared" si="2116"/>
        <v>1</v>
      </c>
      <c r="AB1503" s="1">
        <f t="shared" si="2094"/>
        <v>1</v>
      </c>
      <c r="AC1503" s="1">
        <f t="shared" si="2121"/>
        <v>1</v>
      </c>
      <c r="AD1503" s="1">
        <f>ROUNDDOWN(I1503*(1+IF(F1503=3,0.05+方案参数!$Y$44+AA1503*0.12,IF(F1503=4,方案参数!$BZ$44*方案参数!$AS$44,0)))+IF(AND(X1503=1,F1503&lt;&gt;3),方案参数!$CC$44,0)+AC1503*方案参数!$CB$44,0)</f>
        <v>3798</v>
      </c>
      <c r="AE1503" s="1">
        <f>IF(OR(F1503=1,F1503=4),配置与结果!$B$24,配置与结果!$B$25)*MAX(0,1-INDEX(配置与结果!$I$15:$I$18,F1503))</f>
        <v>1000</v>
      </c>
      <c r="AF1503" s="1">
        <f>方案参数!$CF$44+P1503*方案参数!$CG$44</f>
        <v>22.5</v>
      </c>
      <c r="AG1503" s="1">
        <f>MAX(配置与结果!$B$32,1+INDEX(配置与结果!$F$15:$F$18,F1503)+0+Q1503*方案参数!$W$44+Y1503*(方案参数!$AN$44+MIN(方案参数!$AO$44,P1503*0.03))+AB1503*方案参数!$BZ$44*0.025-配置与结果!$B$28)</f>
        <v>1.9100000000000001</v>
      </c>
      <c r="AH1503" s="1">
        <f>MAX(0,1+INDEX(配置与结果!$G$15:$G$18,F1503)+W1503*方案参数!$AG$44)</f>
        <v>1.3</v>
      </c>
      <c r="AI1503" s="1">
        <f>IF(OR(INDEX(配置与结果!$K$15:$K$18,F1503)=1,G1503="RHI_BERRY"),1+配置与结果!$B$33+P1503*方案参数!$AH$44,1)</f>
        <v>1.5</v>
      </c>
      <c r="AJ1503" s="1">
        <f>MIN(1,MAX(0,J1503+方案参数!$AB$44-配置与结果!$B$27))</f>
        <v>0.55499999999999994</v>
      </c>
      <c r="AK1503" s="1">
        <f>MAX(1,K1503+IF(F1503=2,0.15+方案参数!$CH$44,0)+BN1503*方案参数!$X$44+R1503*方案参数!$AA$44+0-配置与结果!$B$26+Z1503*(方案参数!$AP$44+MIN(方案参数!$AQ$44,P1503*0.03)))</f>
        <v>1.6900000000000002</v>
      </c>
      <c r="AL1503" s="7">
        <f>ROUNDDOWN(MAX(AD1503*配置与结果!$B$31,AD1503-AE1503)*AF1503*AG1503*AH1503*AI1503,0)</f>
        <v>234475</v>
      </c>
      <c r="AM1503" s="7">
        <f>ROUNDDOWN(MAX(AD1503*配置与结果!$B$31,AD1503-AE1503)*AF1503*AG1503*AH1503*AI1503*AK1503,0)</f>
        <v>396264</v>
      </c>
      <c r="AN1503" s="7">
        <f t="shared" si="2074"/>
        <v>324267.89500000002</v>
      </c>
      <c r="AO1503" s="7">
        <f>0</f>
        <v>0</v>
      </c>
      <c r="AP1503" s="7">
        <f>MAX(0,1+INDEX(配置与结果!$J$15:$J$18,F1503)+IF(T1503&gt;0,方案参数!$BY$44,0)-配置与结果!$B$30)</f>
        <v>2</v>
      </c>
      <c r="AQ1503" s="7">
        <f t="shared" si="2075"/>
        <v>0</v>
      </c>
      <c r="AR1503" s="7">
        <f t="shared" si="2076"/>
        <v>0</v>
      </c>
      <c r="AS1503" s="7">
        <f t="shared" si="2077"/>
        <v>0</v>
      </c>
      <c r="AT1503" s="7">
        <f>0</f>
        <v>0</v>
      </c>
      <c r="AU1503" s="7">
        <f t="shared" si="2078"/>
        <v>324267.89500000002</v>
      </c>
      <c r="AV1503" s="1">
        <f t="shared" si="2079"/>
        <v>2</v>
      </c>
      <c r="AW1503" s="1">
        <f t="shared" ref="AW1503:AW1519" si="2126">MIN(10,M1503+0+0)</f>
        <v>10</v>
      </c>
      <c r="AX1503" s="1">
        <f t="shared" si="2080"/>
        <v>2</v>
      </c>
      <c r="AY1503" s="1">
        <f>MIN(20,MAX(0,O1503+0+0-0))</f>
        <v>0</v>
      </c>
      <c r="AZ1503" s="1">
        <f t="shared" si="2081"/>
        <v>5</v>
      </c>
      <c r="BA1503" s="1">
        <f t="shared" si="2117"/>
        <v>5</v>
      </c>
      <c r="BB1503" s="1">
        <f t="shared" si="2125"/>
        <v>20</v>
      </c>
      <c r="BC1503" s="1">
        <f t="shared" si="2123"/>
        <v>3</v>
      </c>
      <c r="BD1503" s="1">
        <f t="shared" si="2104"/>
        <v>1</v>
      </c>
      <c r="BE1503" s="1">
        <f t="shared" si="2097"/>
        <v>0</v>
      </c>
      <c r="BF1503" s="1">
        <f>MIN(4,V1503+0)</f>
        <v>3</v>
      </c>
      <c r="BG1503" s="1">
        <f t="shared" si="2114"/>
        <v>1</v>
      </c>
      <c r="BH1503" s="1">
        <f t="shared" si="2098"/>
        <v>1</v>
      </c>
      <c r="BI1503" s="1">
        <f t="shared" si="2115"/>
        <v>1</v>
      </c>
      <c r="BJ1503" s="1">
        <f t="shared" si="2118"/>
        <v>1</v>
      </c>
      <c r="BK1503" s="1">
        <f t="shared" si="2119"/>
        <v>1</v>
      </c>
      <c r="BL1503" s="1">
        <f t="shared" si="2124"/>
        <v>1</v>
      </c>
      <c r="BM1503" s="1">
        <f t="shared" si="2122"/>
        <v>1</v>
      </c>
      <c r="BN1503" s="1">
        <f t="shared" si="2099"/>
        <v>1</v>
      </c>
      <c r="BO1503" s="1">
        <f t="shared" si="2100"/>
        <v>1</v>
      </c>
    </row>
    <row r="1504" spans="1:67" ht="30.95" customHeight="1">
      <c r="A1504" s="1">
        <f>41</f>
        <v>41</v>
      </c>
      <c r="B1504" s="1">
        <f>固定流程!A28</f>
        <v>23</v>
      </c>
      <c r="C1504" s="1">
        <f>44</f>
        <v>44</v>
      </c>
      <c r="D1504" s="1">
        <f>1</f>
        <v>1</v>
      </c>
      <c r="E1504" s="1">
        <f>固定流程!C28</f>
        <v>3</v>
      </c>
      <c r="F1504" s="1">
        <f>固定流程!G28</f>
        <v>2</v>
      </c>
      <c r="G1504" s="1" t="str">
        <f>固定流程!H28</f>
        <v>37_FOLLOW</v>
      </c>
      <c r="H1504" s="1">
        <f>固定流程!F28</f>
        <v>1</v>
      </c>
      <c r="I1504" s="1">
        <f>INDEX(配置与结果!$B$15:$B$18,F1504)</f>
        <v>2306</v>
      </c>
      <c r="J1504" s="1">
        <f>INDEX(配置与结果!$D$15:$D$18,F1504)</f>
        <v>0.46</v>
      </c>
      <c r="K1504" s="1">
        <f>INDEX(配置与结果!$E$15:$E$18,F1504)</f>
        <v>1.9279999999999999</v>
      </c>
      <c r="L1504" s="1">
        <f t="shared" si="2111"/>
        <v>2</v>
      </c>
      <c r="M1504" s="1">
        <f t="shared" si="2112"/>
        <v>10</v>
      </c>
      <c r="N1504" s="1">
        <f t="shared" si="2113"/>
        <v>2</v>
      </c>
      <c r="O1504" s="1">
        <f t="shared" si="2105"/>
        <v>0</v>
      </c>
      <c r="P1504" s="1">
        <f>MIN(方案参数!$AI$44,AZ1503+0+0)</f>
        <v>5</v>
      </c>
      <c r="Q1504" s="1">
        <f t="shared" si="2083"/>
        <v>5</v>
      </c>
      <c r="R1504" s="1">
        <f t="shared" si="2084"/>
        <v>20</v>
      </c>
      <c r="S1504" s="1">
        <f t="shared" si="2085"/>
        <v>3</v>
      </c>
      <c r="T1504" s="1">
        <f t="shared" si="2120"/>
        <v>1</v>
      </c>
      <c r="U1504" s="1">
        <f t="shared" si="2087"/>
        <v>0</v>
      </c>
      <c r="V1504" s="1">
        <f t="shared" si="2088"/>
        <v>3</v>
      </c>
      <c r="W1504" s="1">
        <f t="shared" si="2089"/>
        <v>1</v>
      </c>
      <c r="X1504" s="1">
        <f t="shared" si="2090"/>
        <v>1</v>
      </c>
      <c r="Y1504" s="1">
        <f t="shared" si="2091"/>
        <v>1</v>
      </c>
      <c r="Z1504" s="1">
        <f t="shared" si="2092"/>
        <v>1</v>
      </c>
      <c r="AA1504" s="1">
        <f t="shared" si="2116"/>
        <v>1</v>
      </c>
      <c r="AB1504" s="1">
        <f t="shared" si="2094"/>
        <v>1</v>
      </c>
      <c r="AC1504" s="1">
        <f t="shared" si="2121"/>
        <v>1</v>
      </c>
      <c r="AD1504" s="1">
        <f>ROUNDDOWN(I1504*(1+IF(F1504=3,0.05+方案参数!$Y$44+AA1504*0.12,IF(F1504=4,方案参数!$BZ$44*方案参数!$AS$44,0)))+IF(AND(X1504=1,F1504&lt;&gt;3),方案参数!$CC$44,0)+AC1504*方案参数!$CB$44,0)</f>
        <v>3044</v>
      </c>
      <c r="AE1504" s="1">
        <f>IF(OR(F1504=1,F1504=4),配置与结果!$B$24,配置与结果!$B$25)*MAX(0,1-INDEX(配置与结果!$I$15:$I$18,F1504))</f>
        <v>1000</v>
      </c>
      <c r="AF1504" s="1">
        <f>方案参数!$BV$44</f>
        <v>3</v>
      </c>
      <c r="AG1504" s="1">
        <f>MAX(配置与结果!$B$32,1+INDEX(配置与结果!$F$15:$F$18,F1504)+0+Q1504*方案参数!$W$44+Y1504*(方案参数!$AN$44+MIN(方案参数!$AO$44,P1504*0.03))+AB1504*方案参数!$BZ$44*0.025-配置与结果!$B$28)</f>
        <v>1.8800000000000003</v>
      </c>
      <c r="AH1504" s="1">
        <f>MAX(0,1+INDEX(配置与结果!$G$15:$G$18,F1504)+W1504*方案参数!$AG$44)</f>
        <v>1.3</v>
      </c>
      <c r="AI1504" s="1">
        <f>IF(OR(INDEX(配置与结果!$K$15:$K$18,F1504)=1,G1504="RHI_BERRY"),1+配置与结果!$B$33+P1504*方案参数!$AH$44,1)</f>
        <v>1</v>
      </c>
      <c r="AJ1504" s="1">
        <f>MIN(1,MAX(0,J1504+方案参数!$AB$44-配置与结果!$B$27))</f>
        <v>0.76</v>
      </c>
      <c r="AK1504" s="1">
        <f>MAX(1,K1504+IF(F1504=2,0.15+方案参数!$CH$44,0)+BN1504*方案参数!$X$44+R1504*方案参数!$AA$44+0-配置与结果!$B$26+Z1504*(方案参数!$AP$44+MIN(方案参数!$AQ$44,P1504*0.03)))</f>
        <v>2.3380000000000001</v>
      </c>
      <c r="AL1504" s="7">
        <f>ROUNDDOWN(MAX(AD1504*配置与结果!$B$31,AD1504-AE1504)*AF1504*AG1504*AH1504*AI1504,0)</f>
        <v>14986</v>
      </c>
      <c r="AM1504" s="7">
        <f>ROUNDDOWN(MAX(AD1504*配置与结果!$B$31,AD1504-AE1504)*AF1504*AG1504*AH1504*AI1504*AK1504,0)</f>
        <v>35038</v>
      </c>
      <c r="AN1504" s="7">
        <f t="shared" si="2074"/>
        <v>30225.52</v>
      </c>
      <c r="AO1504" s="7">
        <f>方案参数!$BW$44</f>
        <v>1</v>
      </c>
      <c r="AP1504" s="7">
        <f>MAX(0,1+INDEX(配置与结果!$J$15:$J$18,F1504)+IF(T1504&gt;0,方案参数!$BY$44,0)-配置与结果!$B$30)</f>
        <v>2</v>
      </c>
      <c r="AQ1504" s="7">
        <f t="shared" si="2075"/>
        <v>6088</v>
      </c>
      <c r="AR1504" s="7">
        <f t="shared" si="2076"/>
        <v>14233</v>
      </c>
      <c r="AS1504" s="7">
        <f t="shared" si="2077"/>
        <v>12278.2</v>
      </c>
      <c r="AT1504" s="7">
        <f>0</f>
        <v>0</v>
      </c>
      <c r="AU1504" s="7">
        <f t="shared" si="2078"/>
        <v>42503.72</v>
      </c>
      <c r="AV1504" s="1">
        <f t="shared" si="2079"/>
        <v>2</v>
      </c>
      <c r="AW1504" s="1">
        <f t="shared" si="2126"/>
        <v>10</v>
      </c>
      <c r="AX1504" s="1">
        <f t="shared" si="2080"/>
        <v>2</v>
      </c>
      <c r="AY1504" s="1">
        <f>MIN(20,MAX(0,O1504+0+0-0))</f>
        <v>0</v>
      </c>
      <c r="AZ1504" s="1">
        <f t="shared" si="2081"/>
        <v>5</v>
      </c>
      <c r="BA1504" s="1">
        <f t="shared" si="2117"/>
        <v>5</v>
      </c>
      <c r="BB1504" s="1">
        <f t="shared" si="2125"/>
        <v>20</v>
      </c>
      <c r="BC1504" s="1">
        <f t="shared" si="2123"/>
        <v>3</v>
      </c>
      <c r="BD1504" s="1">
        <f t="shared" si="2104"/>
        <v>0</v>
      </c>
      <c r="BE1504" s="1">
        <f t="shared" si="2097"/>
        <v>0</v>
      </c>
      <c r="BF1504" s="1">
        <f>MIN(4,V1504+1)</f>
        <v>4</v>
      </c>
      <c r="BG1504" s="1">
        <f t="shared" si="2114"/>
        <v>1</v>
      </c>
      <c r="BH1504" s="1">
        <f t="shared" si="2098"/>
        <v>1</v>
      </c>
      <c r="BI1504" s="1">
        <f t="shared" si="2115"/>
        <v>1</v>
      </c>
      <c r="BJ1504" s="1">
        <f t="shared" si="2118"/>
        <v>1</v>
      </c>
      <c r="BK1504" s="1">
        <f t="shared" si="2119"/>
        <v>1</v>
      </c>
      <c r="BL1504" s="1">
        <f t="shared" si="2124"/>
        <v>1</v>
      </c>
      <c r="BM1504" s="1">
        <f t="shared" si="2122"/>
        <v>1</v>
      </c>
      <c r="BN1504" s="1">
        <f t="shared" si="2099"/>
        <v>1</v>
      </c>
      <c r="BO1504" s="1">
        <f t="shared" si="2100"/>
        <v>1</v>
      </c>
    </row>
    <row r="1505" spans="1:67" ht="30.95" customHeight="1">
      <c r="A1505" s="1">
        <f>41</f>
        <v>41</v>
      </c>
      <c r="B1505" s="1">
        <f>固定流程!A29</f>
        <v>24</v>
      </c>
      <c r="C1505" s="1">
        <f>44</f>
        <v>44</v>
      </c>
      <c r="D1505" s="1">
        <f>2</f>
        <v>2</v>
      </c>
      <c r="E1505" s="1">
        <f>固定流程!C29</f>
        <v>3</v>
      </c>
      <c r="F1505" s="1">
        <f>固定流程!G29</f>
        <v>1</v>
      </c>
      <c r="G1505" s="1" t="str">
        <f>固定流程!H29</f>
        <v>LILYA_WEAK</v>
      </c>
      <c r="H1505" s="1">
        <f>固定流程!F29</f>
        <v>1</v>
      </c>
      <c r="I1505" s="1">
        <f>INDEX(配置与结果!$B$15:$B$18,F1505)</f>
        <v>2296</v>
      </c>
      <c r="J1505" s="1">
        <f>INDEX(配置与结果!$D$15:$D$18,F1505)</f>
        <v>0.7</v>
      </c>
      <c r="K1505" s="1">
        <f>INDEX(配置与结果!$E$15:$E$18,F1505)</f>
        <v>2.0249999999999999</v>
      </c>
      <c r="L1505" s="1">
        <f t="shared" si="2111"/>
        <v>2</v>
      </c>
      <c r="M1505" s="1">
        <f t="shared" si="2112"/>
        <v>10</v>
      </c>
      <c r="N1505" s="1">
        <f t="shared" si="2113"/>
        <v>2</v>
      </c>
      <c r="O1505" s="1">
        <f t="shared" si="2105"/>
        <v>0</v>
      </c>
      <c r="P1505" s="1">
        <f>MIN(方案参数!$AI$44,AZ1504+0+0)</f>
        <v>5</v>
      </c>
      <c r="Q1505" s="1">
        <f t="shared" si="2083"/>
        <v>5</v>
      </c>
      <c r="R1505" s="1">
        <f t="shared" si="2084"/>
        <v>20</v>
      </c>
      <c r="S1505" s="1">
        <f t="shared" si="2085"/>
        <v>3</v>
      </c>
      <c r="T1505" s="1">
        <f t="shared" si="2120"/>
        <v>0</v>
      </c>
      <c r="U1505" s="1">
        <f t="shared" si="2087"/>
        <v>0</v>
      </c>
      <c r="V1505" s="1">
        <f t="shared" si="2088"/>
        <v>4</v>
      </c>
      <c r="W1505" s="1">
        <f t="shared" si="2089"/>
        <v>1</v>
      </c>
      <c r="X1505" s="1">
        <f t="shared" si="2090"/>
        <v>1</v>
      </c>
      <c r="Y1505" s="1">
        <f t="shared" si="2091"/>
        <v>1</v>
      </c>
      <c r="Z1505" s="1">
        <f t="shared" si="2092"/>
        <v>1</v>
      </c>
      <c r="AA1505" s="1">
        <f t="shared" si="2116"/>
        <v>1</v>
      </c>
      <c r="AB1505" s="1">
        <f t="shared" si="2094"/>
        <v>1</v>
      </c>
      <c r="AC1505" s="1">
        <f t="shared" si="2121"/>
        <v>1</v>
      </c>
      <c r="AD1505" s="1">
        <f>ROUNDDOWN(I1505*(1+IF(F1505=3,0.05+方案参数!$Y$44+AA1505*0.12,IF(F1505=4,方案参数!$BZ$44*方案参数!$AS$44,0)))+IF(AND(X1505=1,F1505&lt;&gt;3),方案参数!$CC$44,0)+AC1505*方案参数!$CB$44,0)</f>
        <v>3034</v>
      </c>
      <c r="AE1505" s="1">
        <f>IF(OR(F1505=1,F1505=4),配置与结果!$B$24,配置与结果!$B$25)*MAX(0,1-INDEX(配置与结果!$I$15:$I$18,F1505))</f>
        <v>1200</v>
      </c>
      <c r="AF1505" s="1">
        <f>方案参数!$BL$44</f>
        <v>9</v>
      </c>
      <c r="AG1505" s="1">
        <f>MAX(配置与结果!$B$32,1+INDEX(配置与结果!$F$15:$F$18,F1505)+0.08+方案参数!$CD$44+Q1505*方案参数!$W$44+Y1505*(方案参数!$AN$44+MIN(方案参数!$AO$44,P1505*0.03))+AB1505*方案参数!$BZ$44*0.025-配置与结果!$B$28+方案参数!$AE$44)</f>
        <v>2.6150000000000002</v>
      </c>
      <c r="AH1505" s="1">
        <f>MAX(0,1+V1505*方案参数!$U$44+0*方案参数!$V$44+方案参数!$AE$44-配置与结果!$B$29)</f>
        <v>1.56</v>
      </c>
      <c r="AI1505" s="1">
        <f>IF(OR(INDEX(配置与结果!$K$15:$K$18,F1505)=1,G1505="RHI_BERRY"),1+配置与结果!$B$33+P1505*方案参数!$AH$44,1)</f>
        <v>1</v>
      </c>
      <c r="AJ1505" s="1">
        <f>MIN(1,MAX(0,J1505+方案参数!$AB$44-配置与结果!$B$27))</f>
        <v>1</v>
      </c>
      <c r="AK1505" s="1">
        <f>MAX(1,K1505+IF(F1505=2,0.15+方案参数!$CH$44,0)+BN1505*方案参数!$X$44+R1505*方案参数!$AA$44+方案参数!$BP$44-配置与结果!$B$26+Z1505*(方案参数!$AP$44+MIN(方案参数!$AQ$44,P1505*0.03)))</f>
        <v>2.7650000000000001</v>
      </c>
      <c r="AL1505" s="7">
        <f>ROUNDDOWN(MAX(AD1505*配置与结果!$B$31,AD1505-AE1505)*AF1505*AG1505*AH1505*AI1505,0)</f>
        <v>67334</v>
      </c>
      <c r="AM1505" s="7">
        <f>ROUNDDOWN(MAX(AD1505*配置与结果!$B$31,AD1505-AE1505)*AF1505*AG1505*AH1505*AI1505*AK1505,0)</f>
        <v>186180</v>
      </c>
      <c r="AN1505" s="7">
        <f t="shared" si="2074"/>
        <v>186180</v>
      </c>
      <c r="AO1505" s="7">
        <f>0</f>
        <v>0</v>
      </c>
      <c r="AP1505" s="7">
        <f>MAX(0,1+INDEX(配置与结果!$J$15:$J$18,F1505)+IF(T1505&gt;0,方案参数!$BY$44,0)-配置与结果!$B$30)</f>
        <v>1</v>
      </c>
      <c r="AQ1505" s="7">
        <f t="shared" si="2075"/>
        <v>0</v>
      </c>
      <c r="AR1505" s="7">
        <f t="shared" si="2076"/>
        <v>0</v>
      </c>
      <c r="AS1505" s="7">
        <f t="shared" si="2077"/>
        <v>0</v>
      </c>
      <c r="AT1505" s="7">
        <f>IF(U1505&gt;0,ROUNDDOWN(AL1505*方案参数!$AF$44,0)*(1-AJ1505)+ROUNDDOWN(AM1505*方案参数!$AF$44,0)*AJ1505,0)</f>
        <v>0</v>
      </c>
      <c r="AU1505" s="7">
        <f t="shared" si="2078"/>
        <v>186180</v>
      </c>
      <c r="AV1505" s="1">
        <f t="shared" si="2079"/>
        <v>2</v>
      </c>
      <c r="AW1505" s="1">
        <f t="shared" si="2126"/>
        <v>10</v>
      </c>
      <c r="AX1505" s="1">
        <f t="shared" si="2080"/>
        <v>2</v>
      </c>
      <c r="AY1505" s="1">
        <f>MIN(20,MAX(0,O1505+0+1-0))</f>
        <v>1</v>
      </c>
      <c r="AZ1505" s="1">
        <f t="shared" si="2081"/>
        <v>5</v>
      </c>
      <c r="BA1505" s="1">
        <f t="shared" si="2117"/>
        <v>5</v>
      </c>
      <c r="BB1505" s="1">
        <f t="shared" si="2125"/>
        <v>20</v>
      </c>
      <c r="BC1505" s="1">
        <f t="shared" si="2123"/>
        <v>3</v>
      </c>
      <c r="BD1505" s="1">
        <f t="shared" si="2104"/>
        <v>0</v>
      </c>
      <c r="BE1505" s="1">
        <f>MAX(0,U1505-IF(AF1505&gt;0,1,0))+0</f>
        <v>0</v>
      </c>
      <c r="BF1505" s="1">
        <f t="shared" ref="BF1505:BF1522" si="2127">MIN(4,V1505+0)</f>
        <v>4</v>
      </c>
      <c r="BG1505" s="1">
        <f t="shared" si="2114"/>
        <v>1</v>
      </c>
      <c r="BH1505" s="1">
        <f t="shared" si="2098"/>
        <v>1</v>
      </c>
      <c r="BI1505" s="1">
        <f t="shared" si="2115"/>
        <v>1</v>
      </c>
      <c r="BJ1505" s="1">
        <f t="shared" si="2118"/>
        <v>1</v>
      </c>
      <c r="BK1505" s="1">
        <f t="shared" si="2119"/>
        <v>1</v>
      </c>
      <c r="BL1505" s="1">
        <f t="shared" si="2124"/>
        <v>1</v>
      </c>
      <c r="BM1505" s="1">
        <f t="shared" si="2122"/>
        <v>1</v>
      </c>
      <c r="BN1505" s="1">
        <f t="shared" si="2099"/>
        <v>1</v>
      </c>
      <c r="BO1505" s="1">
        <f t="shared" si="2100"/>
        <v>1</v>
      </c>
    </row>
    <row r="1506" spans="1:67" ht="30.95" customHeight="1">
      <c r="A1506" s="1">
        <f>41</f>
        <v>41</v>
      </c>
      <c r="B1506" s="1">
        <f>固定流程!A30</f>
        <v>25</v>
      </c>
      <c r="C1506" s="1">
        <f>44</f>
        <v>44</v>
      </c>
      <c r="D1506" s="1">
        <f>2</f>
        <v>2</v>
      </c>
      <c r="E1506" s="1">
        <f>固定流程!C30</f>
        <v>3</v>
      </c>
      <c r="F1506" s="1">
        <f>固定流程!G30</f>
        <v>1</v>
      </c>
      <c r="G1506" s="1" t="str">
        <f>固定流程!H30</f>
        <v>LILYA_WEAK</v>
      </c>
      <c r="H1506" s="1">
        <f>固定流程!F30</f>
        <v>1</v>
      </c>
      <c r="I1506" s="1">
        <f>INDEX(配置与结果!$B$15:$B$18,F1506)</f>
        <v>2296</v>
      </c>
      <c r="J1506" s="1">
        <f>INDEX(配置与结果!$D$15:$D$18,F1506)</f>
        <v>0.7</v>
      </c>
      <c r="K1506" s="1">
        <f>INDEX(配置与结果!$E$15:$E$18,F1506)</f>
        <v>2.0249999999999999</v>
      </c>
      <c r="L1506" s="1">
        <f t="shared" si="2111"/>
        <v>2</v>
      </c>
      <c r="M1506" s="1">
        <f t="shared" si="2112"/>
        <v>10</v>
      </c>
      <c r="N1506" s="1">
        <f t="shared" si="2113"/>
        <v>2</v>
      </c>
      <c r="O1506" s="1">
        <f t="shared" si="2105"/>
        <v>1</v>
      </c>
      <c r="P1506" s="1">
        <f>MIN(方案参数!$AI$44,AZ1505+0+0)</f>
        <v>5</v>
      </c>
      <c r="Q1506" s="1">
        <f t="shared" si="2083"/>
        <v>5</v>
      </c>
      <c r="R1506" s="1">
        <f t="shared" si="2084"/>
        <v>20</v>
      </c>
      <c r="S1506" s="1">
        <f t="shared" si="2085"/>
        <v>3</v>
      </c>
      <c r="T1506" s="1">
        <f t="shared" si="2120"/>
        <v>0</v>
      </c>
      <c r="U1506" s="1">
        <f t="shared" si="2087"/>
        <v>0</v>
      </c>
      <c r="V1506" s="1">
        <f t="shared" si="2088"/>
        <v>4</v>
      </c>
      <c r="W1506" s="1">
        <f t="shared" si="2089"/>
        <v>1</v>
      </c>
      <c r="X1506" s="1">
        <f t="shared" si="2090"/>
        <v>1</v>
      </c>
      <c r="Y1506" s="1">
        <f t="shared" si="2091"/>
        <v>1</v>
      </c>
      <c r="Z1506" s="1">
        <f t="shared" si="2092"/>
        <v>1</v>
      </c>
      <c r="AA1506" s="1">
        <f t="shared" si="2116"/>
        <v>1</v>
      </c>
      <c r="AB1506" s="1">
        <f t="shared" si="2094"/>
        <v>1</v>
      </c>
      <c r="AC1506" s="1">
        <f t="shared" si="2121"/>
        <v>1</v>
      </c>
      <c r="AD1506" s="1">
        <f>ROUNDDOWN(I1506*(1+IF(F1506=3,0.05+方案参数!$Y$44+AA1506*0.12,IF(F1506=4,方案参数!$BZ$44*方案参数!$AS$44,0)))+IF(AND(X1506=1,F1506&lt;&gt;3),方案参数!$CC$44,0)+AC1506*方案参数!$CB$44,0)</f>
        <v>3034</v>
      </c>
      <c r="AE1506" s="1">
        <f>IF(OR(F1506=1,F1506=4),配置与结果!$B$24,配置与结果!$B$25)*MAX(0,1-INDEX(配置与结果!$I$15:$I$18,F1506))</f>
        <v>1200</v>
      </c>
      <c r="AF1506" s="1">
        <f>方案参数!$BL$44</f>
        <v>9</v>
      </c>
      <c r="AG1506" s="1">
        <f>MAX(配置与结果!$B$32,1+INDEX(配置与结果!$F$15:$F$18,F1506)+0.08+方案参数!$CD$44+Q1506*方案参数!$W$44+Y1506*(方案参数!$AN$44+MIN(方案参数!$AO$44,P1506*0.03))+AB1506*方案参数!$BZ$44*0.025-配置与结果!$B$28+方案参数!$AE$44)</f>
        <v>2.6150000000000002</v>
      </c>
      <c r="AH1506" s="1">
        <f>MAX(0,1+V1506*方案参数!$U$44+1*方案参数!$V$44+方案参数!$AE$44-配置与结果!$B$29)</f>
        <v>1.62</v>
      </c>
      <c r="AI1506" s="1">
        <f>IF(OR(INDEX(配置与结果!$K$15:$K$18,F1506)=1,G1506="RHI_BERRY"),1+配置与结果!$B$33+P1506*方案参数!$AH$44,1)</f>
        <v>1</v>
      </c>
      <c r="AJ1506" s="1">
        <f>MIN(1,MAX(0,J1506+方案参数!$AB$44-配置与结果!$B$27))</f>
        <v>1</v>
      </c>
      <c r="AK1506" s="1">
        <f>MAX(1,K1506+IF(F1506=2,0.15+方案参数!$CH$44,0)+BN1506*方案参数!$X$44+R1506*方案参数!$AA$44+方案参数!$BP$44-配置与结果!$B$26+Z1506*(方案参数!$AP$44+MIN(方案参数!$AQ$44,P1506*0.03)))</f>
        <v>2.7650000000000001</v>
      </c>
      <c r="AL1506" s="7">
        <f>ROUNDDOWN(MAX(AD1506*配置与结果!$B$31,AD1506-AE1506)*AF1506*AG1506*AH1506*AI1506,0)</f>
        <v>69924</v>
      </c>
      <c r="AM1506" s="7">
        <f>ROUNDDOWN(MAX(AD1506*配置与结果!$B$31,AD1506-AE1506)*AF1506*AG1506*AH1506*AI1506*AK1506,0)</f>
        <v>193340</v>
      </c>
      <c r="AN1506" s="7">
        <f t="shared" si="2074"/>
        <v>193340</v>
      </c>
      <c r="AO1506" s="7">
        <f>0</f>
        <v>0</v>
      </c>
      <c r="AP1506" s="7">
        <f>MAX(0,1+INDEX(配置与结果!$J$15:$J$18,F1506)+IF(T1506&gt;0,方案参数!$BY$44,0)-配置与结果!$B$30)</f>
        <v>1</v>
      </c>
      <c r="AQ1506" s="7">
        <f t="shared" si="2075"/>
        <v>0</v>
      </c>
      <c r="AR1506" s="7">
        <f t="shared" si="2076"/>
        <v>0</v>
      </c>
      <c r="AS1506" s="7">
        <f t="shared" si="2077"/>
        <v>0</v>
      </c>
      <c r="AT1506" s="7">
        <f>IF(U1506&gt;0,ROUNDDOWN(AL1506*方案参数!$AF$44,0)*(1-AJ1506)+ROUNDDOWN(AM1506*方案参数!$AF$44,0)*AJ1506,0)</f>
        <v>0</v>
      </c>
      <c r="AU1506" s="7">
        <f t="shared" si="2078"/>
        <v>193340</v>
      </c>
      <c r="AV1506" s="1">
        <f t="shared" si="2079"/>
        <v>2</v>
      </c>
      <c r="AW1506" s="1">
        <f t="shared" si="2126"/>
        <v>10</v>
      </c>
      <c r="AX1506" s="1">
        <f t="shared" si="2080"/>
        <v>2</v>
      </c>
      <c r="AY1506" s="1">
        <f>MIN(20,MAX(0,O1506+0+1-0))</f>
        <v>2</v>
      </c>
      <c r="AZ1506" s="1">
        <f t="shared" si="2081"/>
        <v>5</v>
      </c>
      <c r="BA1506" s="1">
        <f t="shared" si="2117"/>
        <v>5</v>
      </c>
      <c r="BB1506" s="1">
        <f t="shared" si="2125"/>
        <v>20</v>
      </c>
      <c r="BC1506" s="1">
        <f t="shared" si="2123"/>
        <v>3</v>
      </c>
      <c r="BD1506" s="1">
        <f t="shared" si="2104"/>
        <v>0</v>
      </c>
      <c r="BE1506" s="1">
        <f>MAX(0,U1506-IF(AF1506&gt;0,1,0))+0</f>
        <v>0</v>
      </c>
      <c r="BF1506" s="1">
        <f t="shared" si="2127"/>
        <v>4</v>
      </c>
      <c r="BG1506" s="1">
        <f t="shared" si="2114"/>
        <v>1</v>
      </c>
      <c r="BH1506" s="1">
        <f t="shared" si="2098"/>
        <v>1</v>
      </c>
      <c r="BI1506" s="1">
        <f t="shared" si="2115"/>
        <v>1</v>
      </c>
      <c r="BJ1506" s="1">
        <f t="shared" si="2118"/>
        <v>1</v>
      </c>
      <c r="BK1506" s="1">
        <f t="shared" si="2119"/>
        <v>1</v>
      </c>
      <c r="BL1506" s="1">
        <f t="shared" si="2124"/>
        <v>1</v>
      </c>
      <c r="BM1506" s="1">
        <f t="shared" si="2122"/>
        <v>1</v>
      </c>
      <c r="BN1506" s="1">
        <f t="shared" si="2099"/>
        <v>1</v>
      </c>
      <c r="BO1506" s="1">
        <f t="shared" si="2100"/>
        <v>1</v>
      </c>
    </row>
    <row r="1507" spans="1:67" ht="30.95" customHeight="1">
      <c r="A1507" s="1">
        <f>41</f>
        <v>41</v>
      </c>
      <c r="B1507" s="1">
        <f>固定流程!A31</f>
        <v>26</v>
      </c>
      <c r="C1507" s="1">
        <f>44</f>
        <v>44</v>
      </c>
      <c r="D1507" s="1">
        <f>2</f>
        <v>2</v>
      </c>
      <c r="E1507" s="1">
        <f>固定流程!C31</f>
        <v>3</v>
      </c>
      <c r="F1507" s="1">
        <f>固定流程!G31</f>
        <v>2</v>
      </c>
      <c r="G1507" s="1" t="str">
        <f>固定流程!H31</f>
        <v>37_WEAK</v>
      </c>
      <c r="H1507" s="1">
        <f>固定流程!F31</f>
        <v>1</v>
      </c>
      <c r="I1507" s="1">
        <f>INDEX(配置与结果!$B$15:$B$18,F1507)</f>
        <v>2306</v>
      </c>
      <c r="J1507" s="1">
        <f>INDEX(配置与结果!$D$15:$D$18,F1507)</f>
        <v>0.46</v>
      </c>
      <c r="K1507" s="1">
        <f>INDEX(配置与结果!$E$15:$E$18,F1507)</f>
        <v>1.9279999999999999</v>
      </c>
      <c r="L1507" s="1">
        <f t="shared" si="2111"/>
        <v>2</v>
      </c>
      <c r="M1507" s="1">
        <f t="shared" si="2112"/>
        <v>10</v>
      </c>
      <c r="N1507" s="1">
        <f t="shared" si="2113"/>
        <v>2</v>
      </c>
      <c r="O1507" s="1">
        <f t="shared" si="2105"/>
        <v>2</v>
      </c>
      <c r="P1507" s="1">
        <f>MIN(方案参数!$AI$44,AZ1506+0+0)</f>
        <v>5</v>
      </c>
      <c r="Q1507" s="1">
        <f t="shared" si="2083"/>
        <v>5</v>
      </c>
      <c r="R1507" s="1">
        <f t="shared" si="2084"/>
        <v>20</v>
      </c>
      <c r="S1507" s="1">
        <f t="shared" si="2085"/>
        <v>3</v>
      </c>
      <c r="T1507" s="1">
        <f t="shared" si="2120"/>
        <v>0</v>
      </c>
      <c r="U1507" s="1">
        <f t="shared" si="2087"/>
        <v>0</v>
      </c>
      <c r="V1507" s="1">
        <f t="shared" si="2088"/>
        <v>4</v>
      </c>
      <c r="W1507" s="1">
        <f t="shared" si="2089"/>
        <v>1</v>
      </c>
      <c r="X1507" s="1">
        <f t="shared" si="2090"/>
        <v>1</v>
      </c>
      <c r="Y1507" s="1">
        <f t="shared" si="2091"/>
        <v>1</v>
      </c>
      <c r="Z1507" s="1">
        <f t="shared" si="2092"/>
        <v>1</v>
      </c>
      <c r="AA1507" s="1">
        <f t="shared" si="2116"/>
        <v>1</v>
      </c>
      <c r="AB1507" s="1">
        <f t="shared" si="2094"/>
        <v>1</v>
      </c>
      <c r="AC1507" s="1">
        <f t="shared" si="2121"/>
        <v>1</v>
      </c>
      <c r="AD1507" s="1">
        <f>ROUNDDOWN(I1507*(1+IF(F1507=3,0.05+方案参数!$Y$44+AA1507*0.12,IF(F1507=4,方案参数!$BZ$44*方案参数!$AS$44,0)))+IF(AND(X1507=1,F1507&lt;&gt;3),方案参数!$CC$44,0)+AC1507*方案参数!$CB$44,0)</f>
        <v>3044</v>
      </c>
      <c r="AE1507" s="1">
        <f>IF(OR(F1507=1,F1507=4),配置与结果!$B$24,配置与结果!$B$25)*MAX(0,1-INDEX(配置与结果!$I$15:$I$18,F1507))</f>
        <v>1000</v>
      </c>
      <c r="AF1507" s="1">
        <f>方案参数!$CE$44</f>
        <v>8</v>
      </c>
      <c r="AG1507" s="1">
        <f>MAX(配置与结果!$B$32,1+INDEX(配置与结果!$F$15:$F$18,F1507)+0+Q1507*方案参数!$W$44+Y1507*(方案参数!$AN$44+MIN(方案参数!$AO$44,P1507*0.03))+AB1507*方案参数!$BZ$44*0.025-配置与结果!$B$28+方案参数!$AE$44)</f>
        <v>2.2800000000000002</v>
      </c>
      <c r="AH1507" s="1">
        <f>MAX(0,1+V1507*方案参数!$U$44+方案参数!$AE$44-配置与结果!$B$29)</f>
        <v>1.56</v>
      </c>
      <c r="AI1507" s="1">
        <f>IF(OR(INDEX(配置与结果!$K$15:$K$18,F1507)=1,G1507="RHI_BERRY"),1+配置与结果!$B$33+P1507*方案参数!$AH$44,1)</f>
        <v>1</v>
      </c>
      <c r="AJ1507" s="1">
        <f>MIN(1,MAX(0,J1507+方案参数!$AB$44-配置与结果!$B$27))</f>
        <v>0.76</v>
      </c>
      <c r="AK1507" s="1">
        <f>MAX(1,K1507+IF(F1507=2,0.15+方案参数!$CH$44,0)+BN1507*方案参数!$X$44+R1507*方案参数!$AA$44+0-配置与结果!$B$26+Z1507*(方案参数!$AP$44+MIN(方案参数!$AQ$44,P1507*0.03)))</f>
        <v>2.3380000000000001</v>
      </c>
      <c r="AL1507" s="7">
        <f>ROUNDDOWN(MAX(AD1507*配置与结果!$B$31,AD1507-AE1507)*AF1507*AG1507*AH1507*AI1507,0)</f>
        <v>58160</v>
      </c>
      <c r="AM1507" s="7">
        <f>ROUNDDOWN(MAX(AD1507*配置与结果!$B$31,AD1507-AE1507)*AF1507*AG1507*AH1507*AI1507*AK1507,0)</f>
        <v>135979</v>
      </c>
      <c r="AN1507" s="7">
        <f t="shared" si="2074"/>
        <v>117302.44</v>
      </c>
      <c r="AO1507" s="7">
        <f>0</f>
        <v>0</v>
      </c>
      <c r="AP1507" s="7">
        <f>MAX(0,1+INDEX(配置与结果!$J$15:$J$18,F1507)+IF(T1507&gt;0,方案参数!$BY$44,0)-配置与结果!$B$30)</f>
        <v>1</v>
      </c>
      <c r="AQ1507" s="7">
        <f t="shared" si="2075"/>
        <v>0</v>
      </c>
      <c r="AR1507" s="7">
        <f t="shared" si="2076"/>
        <v>0</v>
      </c>
      <c r="AS1507" s="7">
        <f t="shared" si="2077"/>
        <v>0</v>
      </c>
      <c r="AT1507" s="7">
        <f>IF(U1507&gt;0,ROUNDDOWN(AL1507*方案参数!$AF$44,0)*(1-AJ1507)+ROUNDDOWN(AM1507*方案参数!$AF$44,0)*AJ1507,0)</f>
        <v>0</v>
      </c>
      <c r="AU1507" s="7">
        <f t="shared" si="2078"/>
        <v>117302.44</v>
      </c>
      <c r="AV1507" s="1">
        <f t="shared" si="2079"/>
        <v>2</v>
      </c>
      <c r="AW1507" s="1">
        <f t="shared" si="2126"/>
        <v>10</v>
      </c>
      <c r="AX1507" s="1">
        <f t="shared" si="2080"/>
        <v>2</v>
      </c>
      <c r="AY1507" s="1">
        <f>MIN(20,MAX(0,O1507+0+0-0))</f>
        <v>2</v>
      </c>
      <c r="AZ1507" s="1">
        <f t="shared" si="2081"/>
        <v>5</v>
      </c>
      <c r="BA1507" s="1">
        <f t="shared" si="2117"/>
        <v>5</v>
      </c>
      <c r="BB1507" s="1">
        <f t="shared" si="2125"/>
        <v>20</v>
      </c>
      <c r="BC1507" s="1">
        <f t="shared" si="2123"/>
        <v>3</v>
      </c>
      <c r="BD1507" s="1">
        <f t="shared" si="2104"/>
        <v>0</v>
      </c>
      <c r="BE1507" s="1">
        <f>MAX(0,U1507-IF(AF1507&gt;0,1,0))+1</f>
        <v>1</v>
      </c>
      <c r="BF1507" s="1">
        <f t="shared" si="2127"/>
        <v>4</v>
      </c>
      <c r="BG1507" s="1">
        <f t="shared" si="2114"/>
        <v>1</v>
      </c>
      <c r="BH1507" s="1">
        <f t="shared" si="2098"/>
        <v>1</v>
      </c>
      <c r="BI1507" s="1">
        <f t="shared" si="2115"/>
        <v>1</v>
      </c>
      <c r="BJ1507" s="1">
        <f t="shared" si="2118"/>
        <v>1</v>
      </c>
      <c r="BK1507" s="1">
        <f t="shared" si="2119"/>
        <v>1</v>
      </c>
      <c r="BL1507" s="1">
        <f t="shared" si="2124"/>
        <v>1</v>
      </c>
      <c r="BM1507" s="1">
        <f t="shared" si="2122"/>
        <v>1</v>
      </c>
      <c r="BN1507" s="1">
        <f t="shared" si="2099"/>
        <v>1</v>
      </c>
      <c r="BO1507" s="1">
        <f t="shared" si="2100"/>
        <v>1</v>
      </c>
    </row>
    <row r="1508" spans="1:67" ht="30.95" customHeight="1">
      <c r="A1508" s="1">
        <f>41</f>
        <v>41</v>
      </c>
      <c r="B1508" s="1">
        <f>固定流程!A32</f>
        <v>27</v>
      </c>
      <c r="C1508" s="1">
        <f>44</f>
        <v>44</v>
      </c>
      <c r="D1508" s="1">
        <f>2</f>
        <v>2</v>
      </c>
      <c r="E1508" s="1">
        <f>固定流程!C32</f>
        <v>3</v>
      </c>
      <c r="F1508" s="1">
        <f>固定流程!G32</f>
        <v>1</v>
      </c>
      <c r="G1508" s="1" t="str">
        <f>固定流程!H32</f>
        <v>LILYA_THIRD</v>
      </c>
      <c r="H1508" s="1">
        <f>固定流程!F32</f>
        <v>1</v>
      </c>
      <c r="I1508" s="1">
        <f>INDEX(配置与结果!$B$15:$B$18,F1508)</f>
        <v>2296</v>
      </c>
      <c r="J1508" s="1">
        <f>INDEX(配置与结果!$D$15:$D$18,F1508)</f>
        <v>0.7</v>
      </c>
      <c r="K1508" s="1">
        <f>INDEX(配置与结果!$E$15:$E$18,F1508)</f>
        <v>2.0249999999999999</v>
      </c>
      <c r="L1508" s="1">
        <f t="shared" si="2111"/>
        <v>2</v>
      </c>
      <c r="M1508" s="1">
        <f t="shared" si="2112"/>
        <v>10</v>
      </c>
      <c r="N1508" s="1">
        <f t="shared" si="2113"/>
        <v>2</v>
      </c>
      <c r="O1508" s="1">
        <f t="shared" si="2105"/>
        <v>2</v>
      </c>
      <c r="P1508" s="1">
        <f>MIN(方案参数!$AI$44,AZ1507+0+0)</f>
        <v>5</v>
      </c>
      <c r="Q1508" s="1">
        <f t="shared" si="2083"/>
        <v>5</v>
      </c>
      <c r="R1508" s="1">
        <f t="shared" si="2084"/>
        <v>20</v>
      </c>
      <c r="S1508" s="1">
        <f t="shared" si="2085"/>
        <v>3</v>
      </c>
      <c r="T1508" s="1">
        <f t="shared" si="2120"/>
        <v>0</v>
      </c>
      <c r="U1508" s="1">
        <f t="shared" si="2087"/>
        <v>1</v>
      </c>
      <c r="V1508" s="1">
        <f t="shared" si="2088"/>
        <v>4</v>
      </c>
      <c r="W1508" s="1">
        <f t="shared" si="2089"/>
        <v>1</v>
      </c>
      <c r="X1508" s="1">
        <f t="shared" si="2090"/>
        <v>1</v>
      </c>
      <c r="Y1508" s="1">
        <f t="shared" si="2091"/>
        <v>1</v>
      </c>
      <c r="Z1508" s="1">
        <f t="shared" si="2092"/>
        <v>1</v>
      </c>
      <c r="AA1508" s="1">
        <f t="shared" si="2116"/>
        <v>1</v>
      </c>
      <c r="AB1508" s="1">
        <f t="shared" si="2094"/>
        <v>1</v>
      </c>
      <c r="AC1508" s="1">
        <f t="shared" si="2121"/>
        <v>1</v>
      </c>
      <c r="AD1508" s="1">
        <f>ROUNDDOWN(I1508*(1+IF(F1508=3,0.05+方案参数!$Y$44+AA1508*0.12,IF(F1508=4,方案参数!$BZ$44*方案参数!$AS$44,0)))+IF(AND(X1508=1,F1508&lt;&gt;3),方案参数!$CC$44,0)+AC1508*方案参数!$CB$44,0)</f>
        <v>3034</v>
      </c>
      <c r="AE1508" s="1">
        <f>IF(OR(F1508=1,F1508=4),配置与结果!$B$24,配置与结果!$B$25)*MAX(0,1-INDEX(配置与结果!$I$15:$I$18,F1508))</f>
        <v>1200</v>
      </c>
      <c r="AF1508" s="1">
        <f>方案参数!$BM$44</f>
        <v>20</v>
      </c>
      <c r="AG1508" s="1">
        <f>MAX(配置与结果!$B$32,1+INDEX(配置与结果!$F$15:$F$18,F1508)+0.08+方案参数!$CD$44+Q1508*方案参数!$W$44+Y1508*(方案参数!$AN$44+MIN(方案参数!$AO$44,P1508*0.03))+AB1508*方案参数!$BZ$44*0.025-配置与结果!$B$28+方案参数!$AE$44)</f>
        <v>2.6150000000000002</v>
      </c>
      <c r="AH1508" s="1">
        <f>MAX(0,1+V1508*方案参数!$U$44+3*方案参数!$V$44+方案参数!$AE$44-配置与结果!$B$29)</f>
        <v>1.7399999999999998</v>
      </c>
      <c r="AI1508" s="1">
        <f>IF(OR(INDEX(配置与结果!$K$15:$K$18,F1508)=1,G1508="RHI_BERRY"),1+配置与结果!$B$33+P1508*方案参数!$AH$44,1)</f>
        <v>1</v>
      </c>
      <c r="AJ1508" s="1">
        <f>MIN(1,MAX(0,J1508+方案参数!$AB$44-配置与结果!$B$27))</f>
        <v>1</v>
      </c>
      <c r="AK1508" s="1">
        <f>MAX(1,K1508+IF(F1508=2,0.15+方案参数!$CH$44,0)+BN1508*方案参数!$X$44+R1508*方案参数!$AA$44+方案参数!$BQ$44-配置与结果!$B$26+Z1508*(方案参数!$AP$44+MIN(方案参数!$AQ$44,P1508*0.03)))</f>
        <v>2.9650000000000003</v>
      </c>
      <c r="AL1508" s="7">
        <f>ROUNDDOWN(MAX(AD1508*配置与结果!$B$31,AD1508-AE1508)*AF1508*AG1508*AH1508*AI1508,0)</f>
        <v>166897</v>
      </c>
      <c r="AM1508" s="7">
        <f>ROUNDDOWN(MAX(AD1508*配置与结果!$B$31,AD1508-AE1508)*AF1508*AG1508*AH1508*AI1508*AK1508,0)</f>
        <v>494851</v>
      </c>
      <c r="AN1508" s="7">
        <f t="shared" si="2074"/>
        <v>494851</v>
      </c>
      <c r="AO1508" s="7">
        <f>0</f>
        <v>0</v>
      </c>
      <c r="AP1508" s="7">
        <f>MAX(0,1+INDEX(配置与结果!$J$15:$J$18,F1508)+IF(T1508&gt;0,方案参数!$BY$44,0)-配置与结果!$B$30)</f>
        <v>1</v>
      </c>
      <c r="AQ1508" s="7">
        <f t="shared" si="2075"/>
        <v>0</v>
      </c>
      <c r="AR1508" s="7">
        <f t="shared" si="2076"/>
        <v>0</v>
      </c>
      <c r="AS1508" s="7">
        <f t="shared" si="2077"/>
        <v>0</v>
      </c>
      <c r="AT1508" s="7">
        <f>IF(U1508&gt;0,ROUNDDOWN(AL1508*方案参数!$AF$44,0)*(1-AJ1508)+ROUNDDOWN(AM1508*方案参数!$AF$44,0)*AJ1508,0)</f>
        <v>197940</v>
      </c>
      <c r="AU1508" s="7">
        <f t="shared" si="2078"/>
        <v>692791</v>
      </c>
      <c r="AV1508" s="1">
        <f t="shared" si="2079"/>
        <v>2</v>
      </c>
      <c r="AW1508" s="1">
        <f t="shared" si="2126"/>
        <v>10</v>
      </c>
      <c r="AX1508" s="1">
        <f t="shared" si="2080"/>
        <v>2</v>
      </c>
      <c r="AY1508" s="1">
        <f>MIN(20,MAX(0,O1508+0+1-0))</f>
        <v>3</v>
      </c>
      <c r="AZ1508" s="1">
        <f t="shared" si="2081"/>
        <v>5</v>
      </c>
      <c r="BA1508" s="1">
        <f t="shared" si="2117"/>
        <v>5</v>
      </c>
      <c r="BB1508" s="1">
        <f t="shared" si="2125"/>
        <v>20</v>
      </c>
      <c r="BC1508" s="1">
        <f t="shared" si="2123"/>
        <v>3</v>
      </c>
      <c r="BD1508" s="1">
        <f t="shared" si="2104"/>
        <v>0</v>
      </c>
      <c r="BE1508" s="1">
        <f>MAX(0,U1508-IF(AF1508&gt;0,1,0))+0</f>
        <v>0</v>
      </c>
      <c r="BF1508" s="1">
        <f t="shared" si="2127"/>
        <v>4</v>
      </c>
      <c r="BG1508" s="1">
        <f t="shared" si="2114"/>
        <v>1</v>
      </c>
      <c r="BH1508" s="1">
        <f t="shared" si="2098"/>
        <v>1</v>
      </c>
      <c r="BI1508" s="1">
        <f t="shared" si="2115"/>
        <v>1</v>
      </c>
      <c r="BJ1508" s="1">
        <f t="shared" si="2118"/>
        <v>1</v>
      </c>
      <c r="BK1508" s="1">
        <f t="shared" si="2119"/>
        <v>1</v>
      </c>
      <c r="BL1508" s="1">
        <f t="shared" si="2124"/>
        <v>1</v>
      </c>
      <c r="BM1508" s="1">
        <f t="shared" si="2122"/>
        <v>1</v>
      </c>
      <c r="BN1508" s="1">
        <f t="shared" si="2099"/>
        <v>1</v>
      </c>
      <c r="BO1508" s="1">
        <f t="shared" si="2100"/>
        <v>1</v>
      </c>
    </row>
    <row r="1509" spans="1:67" ht="30.95" customHeight="1">
      <c r="A1509" s="1">
        <f>41</f>
        <v>41</v>
      </c>
      <c r="B1509" s="1">
        <f>固定流程!A33</f>
        <v>28</v>
      </c>
      <c r="C1509" s="1">
        <f>44</f>
        <v>44</v>
      </c>
      <c r="D1509" s="1">
        <f>2</f>
        <v>2</v>
      </c>
      <c r="E1509" s="1">
        <f>固定流程!C33</f>
        <v>3</v>
      </c>
      <c r="F1509" s="1">
        <f>固定流程!G33</f>
        <v>1</v>
      </c>
      <c r="G1509" s="1" t="str">
        <f>固定流程!H33</f>
        <v>LILYA_WEAK</v>
      </c>
      <c r="H1509" s="1">
        <f>固定流程!F33</f>
        <v>1</v>
      </c>
      <c r="I1509" s="1">
        <f>INDEX(配置与结果!$B$15:$B$18,F1509)</f>
        <v>2296</v>
      </c>
      <c r="J1509" s="1">
        <f>INDEX(配置与结果!$D$15:$D$18,F1509)</f>
        <v>0.7</v>
      </c>
      <c r="K1509" s="1">
        <f>INDEX(配置与结果!$E$15:$E$18,F1509)</f>
        <v>2.0249999999999999</v>
      </c>
      <c r="L1509" s="1">
        <f t="shared" si="2111"/>
        <v>2</v>
      </c>
      <c r="M1509" s="1">
        <f t="shared" si="2112"/>
        <v>10</v>
      </c>
      <c r="N1509" s="1">
        <f t="shared" si="2113"/>
        <v>2</v>
      </c>
      <c r="O1509" s="1">
        <f t="shared" si="2105"/>
        <v>3</v>
      </c>
      <c r="P1509" s="1">
        <f>MIN(方案参数!$AI$44,AZ1508+0+0)</f>
        <v>5</v>
      </c>
      <c r="Q1509" s="1">
        <f t="shared" si="2083"/>
        <v>5</v>
      </c>
      <c r="R1509" s="1">
        <f t="shared" si="2084"/>
        <v>20</v>
      </c>
      <c r="S1509" s="1">
        <f t="shared" si="2085"/>
        <v>3</v>
      </c>
      <c r="T1509" s="1">
        <f t="shared" si="2120"/>
        <v>0</v>
      </c>
      <c r="U1509" s="1">
        <f t="shared" si="2087"/>
        <v>0</v>
      </c>
      <c r="V1509" s="1">
        <f t="shared" si="2088"/>
        <v>4</v>
      </c>
      <c r="W1509" s="1">
        <f t="shared" si="2089"/>
        <v>1</v>
      </c>
      <c r="X1509" s="1">
        <f t="shared" si="2090"/>
        <v>1</v>
      </c>
      <c r="Y1509" s="1">
        <f t="shared" si="2091"/>
        <v>1</v>
      </c>
      <c r="Z1509" s="1">
        <f t="shared" si="2092"/>
        <v>1</v>
      </c>
      <c r="AA1509" s="1">
        <f t="shared" si="2116"/>
        <v>1</v>
      </c>
      <c r="AB1509" s="1">
        <f t="shared" si="2094"/>
        <v>1</v>
      </c>
      <c r="AC1509" s="1">
        <f t="shared" si="2121"/>
        <v>1</v>
      </c>
      <c r="AD1509" s="1">
        <f>ROUNDDOWN(I1509*(1+IF(F1509=3,0.05+方案参数!$Y$44+AA1509*0.12,IF(F1509=4,方案参数!$BZ$44*方案参数!$AS$44,0)))+IF(AND(X1509=1,F1509&lt;&gt;3),方案参数!$CC$44,0)+AC1509*方案参数!$CB$44,0)</f>
        <v>3034</v>
      </c>
      <c r="AE1509" s="1">
        <f>IF(OR(F1509=1,F1509=4),配置与结果!$B$24,配置与结果!$B$25)*MAX(0,1-INDEX(配置与结果!$I$15:$I$18,F1509))</f>
        <v>1200</v>
      </c>
      <c r="AF1509" s="1">
        <f>方案参数!$BL$44</f>
        <v>9</v>
      </c>
      <c r="AG1509" s="1">
        <f>MAX(配置与结果!$B$32,1+INDEX(配置与结果!$F$15:$F$18,F1509)+0.08+方案参数!$CD$44+Q1509*方案参数!$W$44+Y1509*(方案参数!$AN$44+MIN(方案参数!$AO$44,P1509*0.03))+AB1509*方案参数!$BZ$44*0.025-配置与结果!$B$28+方案参数!$AE$44)</f>
        <v>2.6150000000000002</v>
      </c>
      <c r="AH1509" s="1">
        <f>MAX(0,1+V1509*方案参数!$U$44+4*方案参数!$V$44+方案参数!$AE$44-配置与结果!$B$29)</f>
        <v>1.7999999999999998</v>
      </c>
      <c r="AI1509" s="1">
        <f>IF(OR(INDEX(配置与结果!$K$15:$K$18,F1509)=1,G1509="RHI_BERRY"),1+配置与结果!$B$33+P1509*方案参数!$AH$44,1)</f>
        <v>1</v>
      </c>
      <c r="AJ1509" s="1">
        <f>MIN(1,MAX(0,J1509+方案参数!$AB$44-配置与结果!$B$27))</f>
        <v>1</v>
      </c>
      <c r="AK1509" s="1">
        <f>MAX(1,K1509+IF(F1509=2,0.15+方案参数!$CH$44,0)+BN1509*方案参数!$X$44+R1509*方案参数!$AA$44+方案参数!$BP$44-配置与结果!$B$26+Z1509*(方案参数!$AP$44+MIN(方案参数!$AQ$44,P1509*0.03)))</f>
        <v>2.7650000000000001</v>
      </c>
      <c r="AL1509" s="7">
        <f>ROUNDDOWN(MAX(AD1509*配置与结果!$B$31,AD1509-AE1509)*AF1509*AG1509*AH1509*AI1509,0)</f>
        <v>77693</v>
      </c>
      <c r="AM1509" s="7">
        <f>ROUNDDOWN(MAX(AD1509*配置与结果!$B$31,AD1509-AE1509)*AF1509*AG1509*AH1509*AI1509*AK1509,0)</f>
        <v>214823</v>
      </c>
      <c r="AN1509" s="7">
        <f t="shared" si="2074"/>
        <v>214823</v>
      </c>
      <c r="AO1509" s="7">
        <f>0</f>
        <v>0</v>
      </c>
      <c r="AP1509" s="7">
        <f>MAX(0,1+INDEX(配置与结果!$J$15:$J$18,F1509)+IF(T1509&gt;0,方案参数!$BY$44,0)-配置与结果!$B$30)</f>
        <v>1</v>
      </c>
      <c r="AQ1509" s="7">
        <f t="shared" si="2075"/>
        <v>0</v>
      </c>
      <c r="AR1509" s="7">
        <f t="shared" si="2076"/>
        <v>0</v>
      </c>
      <c r="AS1509" s="7">
        <f t="shared" si="2077"/>
        <v>0</v>
      </c>
      <c r="AT1509" s="7">
        <f>IF(U1509&gt;0,ROUNDDOWN(AL1509*方案参数!$AF$44,0)*(1-AJ1509)+ROUNDDOWN(AM1509*方案参数!$AF$44,0)*AJ1509,0)</f>
        <v>0</v>
      </c>
      <c r="AU1509" s="7">
        <f t="shared" si="2078"/>
        <v>214823</v>
      </c>
      <c r="AV1509" s="1">
        <f t="shared" si="2079"/>
        <v>2</v>
      </c>
      <c r="AW1509" s="1">
        <f t="shared" si="2126"/>
        <v>10</v>
      </c>
      <c r="AX1509" s="1">
        <f t="shared" si="2080"/>
        <v>2</v>
      </c>
      <c r="AY1509" s="1">
        <f>MIN(20,MAX(0,O1509+0+1-0))</f>
        <v>4</v>
      </c>
      <c r="AZ1509" s="1">
        <f t="shared" si="2081"/>
        <v>5</v>
      </c>
      <c r="BA1509" s="1">
        <f t="shared" si="2117"/>
        <v>5</v>
      </c>
      <c r="BB1509" s="1">
        <f t="shared" si="2125"/>
        <v>20</v>
      </c>
      <c r="BC1509" s="1">
        <f t="shared" si="2123"/>
        <v>3</v>
      </c>
      <c r="BD1509" s="1">
        <f t="shared" si="2104"/>
        <v>0</v>
      </c>
      <c r="BE1509" s="1">
        <f>MAX(0,U1509-IF(AF1509&gt;0,1,0))+0</f>
        <v>0</v>
      </c>
      <c r="BF1509" s="1">
        <f t="shared" si="2127"/>
        <v>4</v>
      </c>
      <c r="BG1509" s="1">
        <f t="shared" si="2114"/>
        <v>1</v>
      </c>
      <c r="BH1509" s="1">
        <f t="shared" si="2098"/>
        <v>1</v>
      </c>
      <c r="BI1509" s="1">
        <f t="shared" si="2115"/>
        <v>1</v>
      </c>
      <c r="BJ1509" s="1">
        <f t="shared" si="2118"/>
        <v>1</v>
      </c>
      <c r="BK1509" s="1">
        <f t="shared" si="2119"/>
        <v>1</v>
      </c>
      <c r="BL1509" s="1">
        <f t="shared" si="2124"/>
        <v>1</v>
      </c>
      <c r="BM1509" s="1">
        <f t="shared" si="2122"/>
        <v>1</v>
      </c>
      <c r="BN1509" s="1">
        <f t="shared" si="2099"/>
        <v>1</v>
      </c>
      <c r="BO1509" s="1">
        <f t="shared" si="2100"/>
        <v>1</v>
      </c>
    </row>
    <row r="1510" spans="1:67" ht="30.95" customHeight="1">
      <c r="A1510" s="1">
        <f>41</f>
        <v>41</v>
      </c>
      <c r="B1510" s="1">
        <f>固定流程!A34</f>
        <v>29</v>
      </c>
      <c r="C1510" s="1">
        <f>44</f>
        <v>44</v>
      </c>
      <c r="D1510" s="1">
        <f>2</f>
        <v>2</v>
      </c>
      <c r="E1510" s="1">
        <f>固定流程!C34</f>
        <v>3</v>
      </c>
      <c r="F1510" s="1">
        <f>固定流程!G34</f>
        <v>1</v>
      </c>
      <c r="G1510" s="1" t="str">
        <f>固定流程!H34</f>
        <v>LILYA_WEAK</v>
      </c>
      <c r="H1510" s="1">
        <f>固定流程!F34</f>
        <v>1</v>
      </c>
      <c r="I1510" s="1">
        <f>INDEX(配置与结果!$B$15:$B$18,F1510)</f>
        <v>2296</v>
      </c>
      <c r="J1510" s="1">
        <f>INDEX(配置与结果!$D$15:$D$18,F1510)</f>
        <v>0.7</v>
      </c>
      <c r="K1510" s="1">
        <f>INDEX(配置与结果!$E$15:$E$18,F1510)</f>
        <v>2.0249999999999999</v>
      </c>
      <c r="L1510" s="1">
        <f t="shared" si="2111"/>
        <v>2</v>
      </c>
      <c r="M1510" s="1">
        <f t="shared" si="2112"/>
        <v>10</v>
      </c>
      <c r="N1510" s="1">
        <f t="shared" si="2113"/>
        <v>2</v>
      </c>
      <c r="O1510" s="1">
        <f t="shared" si="2105"/>
        <v>4</v>
      </c>
      <c r="P1510" s="1">
        <f>MIN(方案参数!$AI$44,AZ1509+0+0)</f>
        <v>5</v>
      </c>
      <c r="Q1510" s="1">
        <f t="shared" si="2083"/>
        <v>5</v>
      </c>
      <c r="R1510" s="1">
        <f t="shared" si="2084"/>
        <v>20</v>
      </c>
      <c r="S1510" s="1">
        <f t="shared" si="2085"/>
        <v>3</v>
      </c>
      <c r="T1510" s="1">
        <f t="shared" si="2120"/>
        <v>0</v>
      </c>
      <c r="U1510" s="1">
        <f t="shared" si="2087"/>
        <v>0</v>
      </c>
      <c r="V1510" s="1">
        <f t="shared" si="2088"/>
        <v>4</v>
      </c>
      <c r="W1510" s="1">
        <f t="shared" si="2089"/>
        <v>1</v>
      </c>
      <c r="X1510" s="1">
        <f t="shared" si="2090"/>
        <v>1</v>
      </c>
      <c r="Y1510" s="1">
        <f t="shared" si="2091"/>
        <v>1</v>
      </c>
      <c r="Z1510" s="1">
        <f t="shared" si="2092"/>
        <v>1</v>
      </c>
      <c r="AA1510" s="1">
        <f t="shared" si="2116"/>
        <v>1</v>
      </c>
      <c r="AB1510" s="1">
        <f t="shared" si="2094"/>
        <v>1</v>
      </c>
      <c r="AC1510" s="1">
        <f t="shared" si="2121"/>
        <v>1</v>
      </c>
      <c r="AD1510" s="1">
        <f>ROUNDDOWN(I1510*(1+IF(F1510=3,0.05+方案参数!$Y$44+AA1510*0.12,IF(F1510=4,方案参数!$BZ$44*方案参数!$AS$44,0)))+IF(AND(X1510=1,F1510&lt;&gt;3),方案参数!$CC$44,0)+AC1510*方案参数!$CB$44,0)</f>
        <v>3034</v>
      </c>
      <c r="AE1510" s="1">
        <f>IF(OR(F1510=1,F1510=4),配置与结果!$B$24,配置与结果!$B$25)*MAX(0,1-INDEX(配置与结果!$I$15:$I$18,F1510))</f>
        <v>1200</v>
      </c>
      <c r="AF1510" s="1">
        <f>方案参数!$BL$44</f>
        <v>9</v>
      </c>
      <c r="AG1510" s="1">
        <f>MAX(配置与结果!$B$32,1+INDEX(配置与结果!$F$15:$F$18,F1510)+0.08+方案参数!$CD$44+Q1510*方案参数!$W$44+Y1510*(方案参数!$AN$44+MIN(方案参数!$AO$44,P1510*0.03))+AB1510*方案参数!$BZ$44*0.025-配置与结果!$B$28+方案参数!$AE$44)</f>
        <v>2.6150000000000002</v>
      </c>
      <c r="AH1510" s="1">
        <f>MAX(0,1+V1510*方案参数!$U$44+5*方案参数!$V$44+方案参数!$AE$44-配置与结果!$B$29)</f>
        <v>1.8599999999999999</v>
      </c>
      <c r="AI1510" s="1">
        <f>IF(OR(INDEX(配置与结果!$K$15:$K$18,F1510)=1,G1510="RHI_BERRY"),1+配置与结果!$B$33+P1510*方案参数!$AH$44,1)</f>
        <v>1</v>
      </c>
      <c r="AJ1510" s="1">
        <f>MIN(1,MAX(0,J1510+方案参数!$AB$44-配置与结果!$B$27))</f>
        <v>1</v>
      </c>
      <c r="AK1510" s="1">
        <f>MAX(1,K1510+IF(F1510=2,0.15+方案参数!$CH$44,0)+BN1510*方案参数!$X$44+R1510*方案参数!$AA$44+方案参数!$BP$44-配置与结果!$B$26+Z1510*(方案参数!$AP$44+MIN(方案参数!$AQ$44,P1510*0.03)))</f>
        <v>2.7650000000000001</v>
      </c>
      <c r="AL1510" s="7">
        <f>ROUNDDOWN(MAX(AD1510*配置与结果!$B$31,AD1510-AE1510)*AF1510*AG1510*AH1510*AI1510,0)</f>
        <v>80283</v>
      </c>
      <c r="AM1510" s="7">
        <f>ROUNDDOWN(MAX(AD1510*配置与结果!$B$31,AD1510-AE1510)*AF1510*AG1510*AH1510*AI1510*AK1510,0)</f>
        <v>221983</v>
      </c>
      <c r="AN1510" s="7">
        <f t="shared" si="2074"/>
        <v>221983</v>
      </c>
      <c r="AO1510" s="7">
        <f>0</f>
        <v>0</v>
      </c>
      <c r="AP1510" s="7">
        <f>MAX(0,1+INDEX(配置与结果!$J$15:$J$18,F1510)+IF(T1510&gt;0,方案参数!$BY$44,0)-配置与结果!$B$30)</f>
        <v>1</v>
      </c>
      <c r="AQ1510" s="7">
        <f t="shared" si="2075"/>
        <v>0</v>
      </c>
      <c r="AR1510" s="7">
        <f t="shared" si="2076"/>
        <v>0</v>
      </c>
      <c r="AS1510" s="7">
        <f t="shared" si="2077"/>
        <v>0</v>
      </c>
      <c r="AT1510" s="7">
        <f>IF(U1510&gt;0,ROUNDDOWN(AL1510*方案参数!$AF$44,0)*(1-AJ1510)+ROUNDDOWN(AM1510*方案参数!$AF$44,0)*AJ1510,0)</f>
        <v>0</v>
      </c>
      <c r="AU1510" s="7">
        <f t="shared" si="2078"/>
        <v>221983</v>
      </c>
      <c r="AV1510" s="1">
        <f t="shared" si="2079"/>
        <v>2</v>
      </c>
      <c r="AW1510" s="1">
        <f t="shared" si="2126"/>
        <v>10</v>
      </c>
      <c r="AX1510" s="1">
        <f t="shared" si="2080"/>
        <v>2</v>
      </c>
      <c r="AY1510" s="1">
        <f>MIN(20,MAX(0,O1510+0+1-0))</f>
        <v>5</v>
      </c>
      <c r="AZ1510" s="1">
        <f t="shared" si="2081"/>
        <v>5</v>
      </c>
      <c r="BA1510" s="1">
        <f t="shared" si="2117"/>
        <v>5</v>
      </c>
      <c r="BB1510" s="1">
        <f t="shared" si="2125"/>
        <v>20</v>
      </c>
      <c r="BC1510" s="1">
        <f t="shared" si="2123"/>
        <v>3</v>
      </c>
      <c r="BD1510" s="1">
        <f t="shared" si="2104"/>
        <v>0</v>
      </c>
      <c r="BE1510" s="1">
        <f>MAX(0,U1510-IF(AF1510&gt;0,1,0))+0</f>
        <v>0</v>
      </c>
      <c r="BF1510" s="1">
        <f t="shared" si="2127"/>
        <v>4</v>
      </c>
      <c r="BG1510" s="1">
        <f t="shared" si="2114"/>
        <v>1</v>
      </c>
      <c r="BH1510" s="1">
        <f t="shared" si="2098"/>
        <v>1</v>
      </c>
      <c r="BI1510" s="1">
        <f t="shared" si="2115"/>
        <v>1</v>
      </c>
      <c r="BJ1510" s="1">
        <f t="shared" si="2118"/>
        <v>1</v>
      </c>
      <c r="BK1510" s="1">
        <f t="shared" si="2119"/>
        <v>1</v>
      </c>
      <c r="BL1510" s="1">
        <f t="shared" si="2124"/>
        <v>1</v>
      </c>
      <c r="BM1510" s="1">
        <f t="shared" si="2122"/>
        <v>1</v>
      </c>
      <c r="BN1510" s="1">
        <f t="shared" si="2099"/>
        <v>1</v>
      </c>
      <c r="BO1510" s="1">
        <f t="shared" si="2100"/>
        <v>1</v>
      </c>
    </row>
    <row r="1511" spans="1:67" ht="30.95" customHeight="1">
      <c r="A1511" s="1">
        <f>41</f>
        <v>41</v>
      </c>
      <c r="B1511" s="1">
        <f>固定流程!A35</f>
        <v>30</v>
      </c>
      <c r="C1511" s="1">
        <f>44</f>
        <v>44</v>
      </c>
      <c r="D1511" s="1">
        <f>2</f>
        <v>2</v>
      </c>
      <c r="E1511" s="1">
        <f>固定流程!C35</f>
        <v>3</v>
      </c>
      <c r="F1511" s="1">
        <f>固定流程!G35</f>
        <v>2</v>
      </c>
      <c r="G1511" s="1" t="str">
        <f>固定流程!H35</f>
        <v>37_WEAK</v>
      </c>
      <c r="H1511" s="1">
        <f>固定流程!F35</f>
        <v>1</v>
      </c>
      <c r="I1511" s="1">
        <f>INDEX(配置与结果!$B$15:$B$18,F1511)</f>
        <v>2306</v>
      </c>
      <c r="J1511" s="1">
        <f>INDEX(配置与结果!$D$15:$D$18,F1511)</f>
        <v>0.46</v>
      </c>
      <c r="K1511" s="1">
        <f>INDEX(配置与结果!$E$15:$E$18,F1511)</f>
        <v>1.9279999999999999</v>
      </c>
      <c r="L1511" s="1">
        <f t="shared" si="2111"/>
        <v>2</v>
      </c>
      <c r="M1511" s="1">
        <f t="shared" si="2112"/>
        <v>10</v>
      </c>
      <c r="N1511" s="1">
        <f t="shared" si="2113"/>
        <v>2</v>
      </c>
      <c r="O1511" s="1">
        <f t="shared" si="2105"/>
        <v>5</v>
      </c>
      <c r="P1511" s="1">
        <f>MIN(方案参数!$AI$44,AZ1510+0+0)</f>
        <v>5</v>
      </c>
      <c r="Q1511" s="1">
        <f t="shared" si="2083"/>
        <v>5</v>
      </c>
      <c r="R1511" s="1">
        <f t="shared" si="2084"/>
        <v>20</v>
      </c>
      <c r="S1511" s="1">
        <f t="shared" si="2085"/>
        <v>3</v>
      </c>
      <c r="T1511" s="1">
        <f t="shared" si="2120"/>
        <v>0</v>
      </c>
      <c r="U1511" s="1">
        <f t="shared" si="2087"/>
        <v>0</v>
      </c>
      <c r="V1511" s="1">
        <f t="shared" si="2088"/>
        <v>4</v>
      </c>
      <c r="W1511" s="1">
        <f t="shared" si="2089"/>
        <v>1</v>
      </c>
      <c r="X1511" s="1">
        <f t="shared" si="2090"/>
        <v>1</v>
      </c>
      <c r="Y1511" s="1">
        <f t="shared" si="2091"/>
        <v>1</v>
      </c>
      <c r="Z1511" s="1">
        <f t="shared" si="2092"/>
        <v>1</v>
      </c>
      <c r="AA1511" s="1">
        <f t="shared" si="2116"/>
        <v>1</v>
      </c>
      <c r="AB1511" s="1">
        <f t="shared" si="2094"/>
        <v>1</v>
      </c>
      <c r="AC1511" s="1">
        <f t="shared" si="2121"/>
        <v>1</v>
      </c>
      <c r="AD1511" s="1">
        <f>ROUNDDOWN(I1511*(1+IF(F1511=3,0.05+方案参数!$Y$44+AA1511*0.12,IF(F1511=4,方案参数!$BZ$44*方案参数!$AS$44,0)))+IF(AND(X1511=1,F1511&lt;&gt;3),方案参数!$CC$44,0)+AC1511*方案参数!$CB$44,0)</f>
        <v>3044</v>
      </c>
      <c r="AE1511" s="1">
        <f>IF(OR(F1511=1,F1511=4),配置与结果!$B$24,配置与结果!$B$25)*MAX(0,1-INDEX(配置与结果!$I$15:$I$18,F1511))</f>
        <v>1000</v>
      </c>
      <c r="AF1511" s="1">
        <f>方案参数!$CE$44</f>
        <v>8</v>
      </c>
      <c r="AG1511" s="1">
        <f>MAX(配置与结果!$B$32,1+INDEX(配置与结果!$F$15:$F$18,F1511)+0+Q1511*方案参数!$W$44+Y1511*(方案参数!$AN$44+MIN(方案参数!$AO$44,P1511*0.03))+AB1511*方案参数!$BZ$44*0.025-配置与结果!$B$28+方案参数!$AE$44)</f>
        <v>2.2800000000000002</v>
      </c>
      <c r="AH1511" s="1">
        <f>MAX(0,1+V1511*方案参数!$U$44+方案参数!$AE$44-配置与结果!$B$29)</f>
        <v>1.56</v>
      </c>
      <c r="AI1511" s="1">
        <f>IF(OR(INDEX(配置与结果!$K$15:$K$18,F1511)=1,G1511="RHI_BERRY"),1+配置与结果!$B$33+P1511*方案参数!$AH$44,1)</f>
        <v>1</v>
      </c>
      <c r="AJ1511" s="1">
        <f>MIN(1,MAX(0,J1511+方案参数!$AB$44-配置与结果!$B$27))</f>
        <v>0.76</v>
      </c>
      <c r="AK1511" s="1">
        <f>MAX(1,K1511+IF(F1511=2,0.15+方案参数!$CH$44,0)+BN1511*方案参数!$X$44+R1511*方案参数!$AA$44+0-配置与结果!$B$26+Z1511*(方案参数!$AP$44+MIN(方案参数!$AQ$44,P1511*0.03)))</f>
        <v>2.3380000000000001</v>
      </c>
      <c r="AL1511" s="7">
        <f>ROUNDDOWN(MAX(AD1511*配置与结果!$B$31,AD1511-AE1511)*AF1511*AG1511*AH1511*AI1511,0)</f>
        <v>58160</v>
      </c>
      <c r="AM1511" s="7">
        <f>ROUNDDOWN(MAX(AD1511*配置与结果!$B$31,AD1511-AE1511)*AF1511*AG1511*AH1511*AI1511*AK1511,0)</f>
        <v>135979</v>
      </c>
      <c r="AN1511" s="7">
        <f t="shared" si="2074"/>
        <v>117302.44</v>
      </c>
      <c r="AO1511" s="7">
        <f>0</f>
        <v>0</v>
      </c>
      <c r="AP1511" s="7">
        <f>MAX(0,1+INDEX(配置与结果!$J$15:$J$18,F1511)+IF(T1511&gt;0,方案参数!$BY$44,0)-配置与结果!$B$30)</f>
        <v>1</v>
      </c>
      <c r="AQ1511" s="7">
        <f t="shared" si="2075"/>
        <v>0</v>
      </c>
      <c r="AR1511" s="7">
        <f t="shared" si="2076"/>
        <v>0</v>
      </c>
      <c r="AS1511" s="7">
        <f t="shared" si="2077"/>
        <v>0</v>
      </c>
      <c r="AT1511" s="7">
        <f>IF(U1511&gt;0,ROUNDDOWN(AL1511*方案参数!$AF$44,0)*(1-AJ1511)+ROUNDDOWN(AM1511*方案参数!$AF$44,0)*AJ1511,0)</f>
        <v>0</v>
      </c>
      <c r="AU1511" s="7">
        <f t="shared" si="2078"/>
        <v>117302.44</v>
      </c>
      <c r="AV1511" s="1">
        <f t="shared" si="2079"/>
        <v>2</v>
      </c>
      <c r="AW1511" s="1">
        <f t="shared" si="2126"/>
        <v>10</v>
      </c>
      <c r="AX1511" s="1">
        <f t="shared" si="2080"/>
        <v>2</v>
      </c>
      <c r="AY1511" s="1">
        <f>MIN(20,MAX(0,O1511+0+0-0))</f>
        <v>5</v>
      </c>
      <c r="AZ1511" s="1">
        <f t="shared" si="2081"/>
        <v>5</v>
      </c>
      <c r="BA1511" s="1">
        <f t="shared" si="2117"/>
        <v>5</v>
      </c>
      <c r="BB1511" s="1">
        <f t="shared" si="2125"/>
        <v>20</v>
      </c>
      <c r="BC1511" s="1">
        <f t="shared" si="2123"/>
        <v>3</v>
      </c>
      <c r="BD1511" s="1">
        <f t="shared" si="2104"/>
        <v>0</v>
      </c>
      <c r="BE1511" s="1">
        <f>MAX(0,U1511-IF(AF1511&gt;0,1,0))+1</f>
        <v>1</v>
      </c>
      <c r="BF1511" s="1">
        <f t="shared" si="2127"/>
        <v>4</v>
      </c>
      <c r="BG1511" s="1">
        <f t="shared" si="2114"/>
        <v>1</v>
      </c>
      <c r="BH1511" s="1">
        <f t="shared" si="2098"/>
        <v>1</v>
      </c>
      <c r="BI1511" s="1">
        <f t="shared" si="2115"/>
        <v>1</v>
      </c>
      <c r="BJ1511" s="1">
        <f t="shared" si="2118"/>
        <v>1</v>
      </c>
      <c r="BK1511" s="1">
        <f t="shared" si="2119"/>
        <v>1</v>
      </c>
      <c r="BL1511" s="1">
        <f t="shared" si="2124"/>
        <v>1</v>
      </c>
      <c r="BM1511" s="1">
        <f t="shared" si="2122"/>
        <v>1</v>
      </c>
      <c r="BN1511" s="1">
        <f t="shared" si="2099"/>
        <v>1</v>
      </c>
      <c r="BO1511" s="1">
        <f t="shared" si="2100"/>
        <v>1</v>
      </c>
    </row>
    <row r="1512" spans="1:67" ht="30.95" customHeight="1">
      <c r="A1512" s="1">
        <f>41</f>
        <v>41</v>
      </c>
      <c r="B1512" s="1">
        <f>固定流程!A36</f>
        <v>31</v>
      </c>
      <c r="C1512" s="1">
        <f>44</f>
        <v>44</v>
      </c>
      <c r="D1512" s="1">
        <f>2</f>
        <v>2</v>
      </c>
      <c r="E1512" s="1">
        <f>固定流程!C36</f>
        <v>3</v>
      </c>
      <c r="F1512" s="1">
        <f>固定流程!G36</f>
        <v>1</v>
      </c>
      <c r="G1512" s="1" t="str">
        <f>固定流程!H36</f>
        <v>LILYA_THIRD</v>
      </c>
      <c r="H1512" s="1">
        <f>固定流程!F36</f>
        <v>1</v>
      </c>
      <c r="I1512" s="1">
        <f>INDEX(配置与结果!$B$15:$B$18,F1512)</f>
        <v>2296</v>
      </c>
      <c r="J1512" s="1">
        <f>INDEX(配置与结果!$D$15:$D$18,F1512)</f>
        <v>0.7</v>
      </c>
      <c r="K1512" s="1">
        <f>INDEX(配置与结果!$E$15:$E$18,F1512)</f>
        <v>2.0249999999999999</v>
      </c>
      <c r="L1512" s="1">
        <f t="shared" si="2111"/>
        <v>2</v>
      </c>
      <c r="M1512" s="1">
        <f t="shared" si="2112"/>
        <v>10</v>
      </c>
      <c r="N1512" s="1">
        <f t="shared" si="2113"/>
        <v>2</v>
      </c>
      <c r="O1512" s="1">
        <f t="shared" si="2105"/>
        <v>5</v>
      </c>
      <c r="P1512" s="1">
        <f>MIN(方案参数!$AI$44,AZ1511+0+0)</f>
        <v>5</v>
      </c>
      <c r="Q1512" s="1">
        <f t="shared" si="2083"/>
        <v>5</v>
      </c>
      <c r="R1512" s="1">
        <f t="shared" si="2084"/>
        <v>20</v>
      </c>
      <c r="S1512" s="1">
        <f t="shared" si="2085"/>
        <v>3</v>
      </c>
      <c r="T1512" s="1">
        <f t="shared" si="2120"/>
        <v>0</v>
      </c>
      <c r="U1512" s="1">
        <f t="shared" si="2087"/>
        <v>1</v>
      </c>
      <c r="V1512" s="1">
        <f t="shared" si="2088"/>
        <v>4</v>
      </c>
      <c r="W1512" s="1">
        <f t="shared" si="2089"/>
        <v>1</v>
      </c>
      <c r="X1512" s="1">
        <f t="shared" si="2090"/>
        <v>1</v>
      </c>
      <c r="Y1512" s="1">
        <f t="shared" si="2091"/>
        <v>1</v>
      </c>
      <c r="Z1512" s="1">
        <f t="shared" si="2092"/>
        <v>1</v>
      </c>
      <c r="AA1512" s="1">
        <f t="shared" si="2116"/>
        <v>1</v>
      </c>
      <c r="AB1512" s="1">
        <f t="shared" si="2094"/>
        <v>1</v>
      </c>
      <c r="AC1512" s="1">
        <f t="shared" si="2121"/>
        <v>1</v>
      </c>
      <c r="AD1512" s="1">
        <f>ROUNDDOWN(I1512*(1+IF(F1512=3,0.05+方案参数!$Y$44+AA1512*0.12,IF(F1512=4,方案参数!$BZ$44*方案参数!$AS$44,0)))+IF(AND(X1512=1,F1512&lt;&gt;3),方案参数!$CC$44,0)+AC1512*方案参数!$CB$44,0)</f>
        <v>3034</v>
      </c>
      <c r="AE1512" s="1">
        <f>IF(OR(F1512=1,F1512=4),配置与结果!$B$24,配置与结果!$B$25)*MAX(0,1-INDEX(配置与结果!$I$15:$I$18,F1512))</f>
        <v>1200</v>
      </c>
      <c r="AF1512" s="1">
        <f>方案参数!$BM$44</f>
        <v>20</v>
      </c>
      <c r="AG1512" s="1">
        <f>MAX(配置与结果!$B$32,1+INDEX(配置与结果!$F$15:$F$18,F1512)+0.08+方案参数!$CD$44+Q1512*方案参数!$W$44+Y1512*(方案参数!$AN$44+MIN(方案参数!$AO$44,P1512*0.03))+AB1512*方案参数!$BZ$44*0.025-配置与结果!$B$28+方案参数!$AE$44)</f>
        <v>2.6150000000000002</v>
      </c>
      <c r="AH1512" s="1">
        <f>MAX(0,1+V1512*方案参数!$U$44+7*方案参数!$V$44+方案参数!$AE$44-配置与结果!$B$29)</f>
        <v>1.98</v>
      </c>
      <c r="AI1512" s="1">
        <f>IF(OR(INDEX(配置与结果!$K$15:$K$18,F1512)=1,G1512="RHI_BERRY"),1+配置与结果!$B$33+P1512*方案参数!$AH$44,1)</f>
        <v>1</v>
      </c>
      <c r="AJ1512" s="1">
        <f>MIN(1,MAX(0,J1512+方案参数!$AB$44-配置与结果!$B$27))</f>
        <v>1</v>
      </c>
      <c r="AK1512" s="1">
        <f>MAX(1,K1512+IF(F1512=2,0.15+方案参数!$CH$44,0)+BN1512*方案参数!$X$44+R1512*方案参数!$AA$44+方案参数!$BQ$44-配置与结果!$B$26+Z1512*(方案参数!$AP$44+MIN(方案参数!$AQ$44,P1512*0.03)))</f>
        <v>2.9650000000000003</v>
      </c>
      <c r="AL1512" s="7">
        <f>ROUNDDOWN(MAX(AD1512*配置与结果!$B$31,AD1512-AE1512)*AF1512*AG1512*AH1512*AI1512,0)</f>
        <v>189918</v>
      </c>
      <c r="AM1512" s="7">
        <f>ROUNDDOWN(MAX(AD1512*配置与结果!$B$31,AD1512-AE1512)*AF1512*AG1512*AH1512*AI1512*AK1512,0)</f>
        <v>563106</v>
      </c>
      <c r="AN1512" s="7">
        <f t="shared" si="2074"/>
        <v>563106</v>
      </c>
      <c r="AO1512" s="7">
        <f>0</f>
        <v>0</v>
      </c>
      <c r="AP1512" s="7">
        <f>MAX(0,1+INDEX(配置与结果!$J$15:$J$18,F1512)+IF(T1512&gt;0,方案参数!$BY$44,0)-配置与结果!$B$30)</f>
        <v>1</v>
      </c>
      <c r="AQ1512" s="7">
        <f t="shared" si="2075"/>
        <v>0</v>
      </c>
      <c r="AR1512" s="7">
        <f t="shared" si="2076"/>
        <v>0</v>
      </c>
      <c r="AS1512" s="7">
        <f t="shared" si="2077"/>
        <v>0</v>
      </c>
      <c r="AT1512" s="7">
        <f>IF(U1512&gt;0,ROUNDDOWN(AL1512*方案参数!$AF$44,0)*(1-AJ1512)+ROUNDDOWN(AM1512*方案参数!$AF$44,0)*AJ1512,0)</f>
        <v>225242</v>
      </c>
      <c r="AU1512" s="7">
        <f t="shared" si="2078"/>
        <v>788348</v>
      </c>
      <c r="AV1512" s="1">
        <f t="shared" si="2079"/>
        <v>2</v>
      </c>
      <c r="AW1512" s="1">
        <f t="shared" si="2126"/>
        <v>10</v>
      </c>
      <c r="AX1512" s="1">
        <f t="shared" si="2080"/>
        <v>2</v>
      </c>
      <c r="AY1512" s="1">
        <f>MIN(20,MAX(0,O1512+0+1-0))</f>
        <v>6</v>
      </c>
      <c r="AZ1512" s="1">
        <f t="shared" si="2081"/>
        <v>5</v>
      </c>
      <c r="BA1512" s="1">
        <f t="shared" si="2117"/>
        <v>5</v>
      </c>
      <c r="BB1512" s="1">
        <f t="shared" si="2125"/>
        <v>20</v>
      </c>
      <c r="BC1512" s="1">
        <f t="shared" si="2123"/>
        <v>3</v>
      </c>
      <c r="BD1512" s="1">
        <f t="shared" si="2104"/>
        <v>0</v>
      </c>
      <c r="BE1512" s="1">
        <f>MAX(0,U1512-IF(AF1512&gt;0,1,0))+0</f>
        <v>0</v>
      </c>
      <c r="BF1512" s="1">
        <f t="shared" si="2127"/>
        <v>4</v>
      </c>
      <c r="BG1512" s="1">
        <f t="shared" si="2114"/>
        <v>1</v>
      </c>
      <c r="BH1512" s="1">
        <f t="shared" si="2098"/>
        <v>1</v>
      </c>
      <c r="BI1512" s="1">
        <f t="shared" si="2115"/>
        <v>1</v>
      </c>
      <c r="BJ1512" s="1">
        <f t="shared" si="2118"/>
        <v>1</v>
      </c>
      <c r="BK1512" s="1">
        <f t="shared" si="2119"/>
        <v>1</v>
      </c>
      <c r="BL1512" s="1">
        <f t="shared" si="2124"/>
        <v>1</v>
      </c>
      <c r="BM1512" s="1">
        <f t="shared" si="2122"/>
        <v>1</v>
      </c>
      <c r="BN1512" s="1">
        <f t="shared" si="2099"/>
        <v>1</v>
      </c>
      <c r="BO1512" s="1">
        <f t="shared" si="2100"/>
        <v>1</v>
      </c>
    </row>
    <row r="1513" spans="1:67" ht="30.95" customHeight="1">
      <c r="A1513" s="1">
        <f>41</f>
        <v>41</v>
      </c>
      <c r="B1513" s="1">
        <f>固定流程!A37</f>
        <v>32</v>
      </c>
      <c r="C1513" s="1">
        <f>44</f>
        <v>44</v>
      </c>
      <c r="D1513" s="1">
        <f>2</f>
        <v>2</v>
      </c>
      <c r="E1513" s="1">
        <f>固定流程!C37</f>
        <v>3</v>
      </c>
      <c r="F1513" s="1">
        <f>固定流程!G37</f>
        <v>1</v>
      </c>
      <c r="G1513" s="1" t="str">
        <f>固定流程!H37</f>
        <v>LILYA_WEAK</v>
      </c>
      <c r="H1513" s="1">
        <f>固定流程!F37</f>
        <v>1</v>
      </c>
      <c r="I1513" s="1">
        <f>INDEX(配置与结果!$B$15:$B$18,F1513)</f>
        <v>2296</v>
      </c>
      <c r="J1513" s="1">
        <f>INDEX(配置与结果!$D$15:$D$18,F1513)</f>
        <v>0.7</v>
      </c>
      <c r="K1513" s="1">
        <f>INDEX(配置与结果!$E$15:$E$18,F1513)</f>
        <v>2.0249999999999999</v>
      </c>
      <c r="L1513" s="1">
        <f t="shared" si="2111"/>
        <v>2</v>
      </c>
      <c r="M1513" s="1">
        <f t="shared" si="2112"/>
        <v>10</v>
      </c>
      <c r="N1513" s="1">
        <f t="shared" si="2113"/>
        <v>2</v>
      </c>
      <c r="O1513" s="1">
        <f t="shared" si="2105"/>
        <v>6</v>
      </c>
      <c r="P1513" s="1">
        <f>MIN(方案参数!$AI$44,AZ1512+0+0)</f>
        <v>5</v>
      </c>
      <c r="Q1513" s="1">
        <f t="shared" si="2083"/>
        <v>5</v>
      </c>
      <c r="R1513" s="1">
        <f t="shared" si="2084"/>
        <v>20</v>
      </c>
      <c r="S1513" s="1">
        <f t="shared" si="2085"/>
        <v>3</v>
      </c>
      <c r="T1513" s="1">
        <f t="shared" si="2120"/>
        <v>0</v>
      </c>
      <c r="U1513" s="1">
        <f t="shared" si="2087"/>
        <v>0</v>
      </c>
      <c r="V1513" s="1">
        <f t="shared" si="2088"/>
        <v>4</v>
      </c>
      <c r="W1513" s="1">
        <f t="shared" si="2089"/>
        <v>1</v>
      </c>
      <c r="X1513" s="1">
        <f t="shared" si="2090"/>
        <v>1</v>
      </c>
      <c r="Y1513" s="1">
        <f t="shared" si="2091"/>
        <v>1</v>
      </c>
      <c r="Z1513" s="1">
        <f t="shared" si="2092"/>
        <v>1</v>
      </c>
      <c r="AA1513" s="1">
        <f t="shared" si="2116"/>
        <v>1</v>
      </c>
      <c r="AB1513" s="1">
        <f t="shared" si="2094"/>
        <v>1</v>
      </c>
      <c r="AC1513" s="1">
        <f t="shared" si="2121"/>
        <v>1</v>
      </c>
      <c r="AD1513" s="1">
        <f>ROUNDDOWN(I1513*(1+IF(F1513=3,0.05+方案参数!$Y$44+AA1513*0.12,IF(F1513=4,方案参数!$BZ$44*方案参数!$AS$44,0)))+IF(AND(X1513=1,F1513&lt;&gt;3),方案参数!$CC$44,0)+AC1513*方案参数!$CB$44,0)</f>
        <v>3034</v>
      </c>
      <c r="AE1513" s="1">
        <f>IF(OR(F1513=1,F1513=4),配置与结果!$B$24,配置与结果!$B$25)*MAX(0,1-INDEX(配置与结果!$I$15:$I$18,F1513))</f>
        <v>1200</v>
      </c>
      <c r="AF1513" s="1">
        <f>方案参数!$BL$44</f>
        <v>9</v>
      </c>
      <c r="AG1513" s="1">
        <f>MAX(配置与结果!$B$32,1+INDEX(配置与结果!$F$15:$F$18,F1513)+0.08+方案参数!$CD$44+Q1513*方案参数!$W$44+Y1513*(方案参数!$AN$44+MIN(方案参数!$AO$44,P1513*0.03))+AB1513*方案参数!$BZ$44*0.025-配置与结果!$B$28+方案参数!$AE$44)</f>
        <v>2.6150000000000002</v>
      </c>
      <c r="AH1513" s="1">
        <f>MAX(0,1+V1513*方案参数!$U$44+8*方案参数!$V$44+方案参数!$AE$44-配置与结果!$B$29)</f>
        <v>2.04</v>
      </c>
      <c r="AI1513" s="1">
        <f>IF(OR(INDEX(配置与结果!$K$15:$K$18,F1513)=1,G1513="RHI_BERRY"),1+配置与结果!$B$33+P1513*方案参数!$AH$44,1)</f>
        <v>1</v>
      </c>
      <c r="AJ1513" s="1">
        <f>MIN(1,MAX(0,J1513+方案参数!$AB$44-配置与结果!$B$27))</f>
        <v>1</v>
      </c>
      <c r="AK1513" s="1">
        <f>MAX(1,K1513+IF(F1513=2,0.15+方案参数!$CH$44,0)+BN1513*方案参数!$X$44+R1513*方案参数!$AA$44+方案参数!$BP$44-配置与结果!$B$26+Z1513*(方案参数!$AP$44+MIN(方案参数!$AQ$44,P1513*0.03)))</f>
        <v>2.7650000000000001</v>
      </c>
      <c r="AL1513" s="7">
        <f>ROUNDDOWN(MAX(AD1513*配置与结果!$B$31,AD1513-AE1513)*AF1513*AG1513*AH1513*AI1513,0)</f>
        <v>88052</v>
      </c>
      <c r="AM1513" s="7">
        <f>ROUNDDOWN(MAX(AD1513*配置与结果!$B$31,AD1513-AE1513)*AF1513*AG1513*AH1513*AI1513*AK1513,0)</f>
        <v>243466</v>
      </c>
      <c r="AN1513" s="7">
        <f t="shared" si="2074"/>
        <v>243466</v>
      </c>
      <c r="AO1513" s="7">
        <f>0</f>
        <v>0</v>
      </c>
      <c r="AP1513" s="7">
        <f>MAX(0,1+INDEX(配置与结果!$J$15:$J$18,F1513)+IF(T1513&gt;0,方案参数!$BY$44,0)-配置与结果!$B$30)</f>
        <v>1</v>
      </c>
      <c r="AQ1513" s="7">
        <f t="shared" si="2075"/>
        <v>0</v>
      </c>
      <c r="AR1513" s="7">
        <f t="shared" si="2076"/>
        <v>0</v>
      </c>
      <c r="AS1513" s="7">
        <f t="shared" si="2077"/>
        <v>0</v>
      </c>
      <c r="AT1513" s="7">
        <f>IF(U1513&gt;0,ROUNDDOWN(AL1513*方案参数!$AF$44,0)*(1-AJ1513)+ROUNDDOWN(AM1513*方案参数!$AF$44,0)*AJ1513,0)</f>
        <v>0</v>
      </c>
      <c r="AU1513" s="7">
        <f t="shared" si="2078"/>
        <v>243466</v>
      </c>
      <c r="AV1513" s="1">
        <f t="shared" si="2079"/>
        <v>2</v>
      </c>
      <c r="AW1513" s="1">
        <f t="shared" si="2126"/>
        <v>10</v>
      </c>
      <c r="AX1513" s="1">
        <f t="shared" si="2080"/>
        <v>2</v>
      </c>
      <c r="AY1513" s="1">
        <f>MIN(20,MAX(0,O1513+0+1-0))</f>
        <v>7</v>
      </c>
      <c r="AZ1513" s="1">
        <f t="shared" si="2081"/>
        <v>5</v>
      </c>
      <c r="BA1513" s="1">
        <f t="shared" si="2117"/>
        <v>5</v>
      </c>
      <c r="BB1513" s="1">
        <f t="shared" si="2125"/>
        <v>20</v>
      </c>
      <c r="BC1513" s="1">
        <f t="shared" si="2123"/>
        <v>3</v>
      </c>
      <c r="BD1513" s="1">
        <f t="shared" si="2104"/>
        <v>0</v>
      </c>
      <c r="BE1513" s="1">
        <f>MAX(0,U1513-IF(AF1513&gt;0,1,0))+0</f>
        <v>0</v>
      </c>
      <c r="BF1513" s="1">
        <f t="shared" si="2127"/>
        <v>4</v>
      </c>
      <c r="BG1513" s="1">
        <f t="shared" si="2114"/>
        <v>1</v>
      </c>
      <c r="BH1513" s="1">
        <f t="shared" si="2098"/>
        <v>1</v>
      </c>
      <c r="BI1513" s="1">
        <f t="shared" si="2115"/>
        <v>1</v>
      </c>
      <c r="BJ1513" s="1">
        <f t="shared" si="2118"/>
        <v>1</v>
      </c>
      <c r="BK1513" s="1">
        <f t="shared" si="2119"/>
        <v>1</v>
      </c>
      <c r="BL1513" s="1">
        <f t="shared" si="2124"/>
        <v>1</v>
      </c>
      <c r="BM1513" s="1">
        <f t="shared" si="2122"/>
        <v>1</v>
      </c>
      <c r="BN1513" s="1">
        <f t="shared" si="2099"/>
        <v>1</v>
      </c>
      <c r="BO1513" s="1">
        <f t="shared" si="2100"/>
        <v>1</v>
      </c>
    </row>
    <row r="1514" spans="1:67" ht="30.95" customHeight="1">
      <c r="A1514" s="1">
        <f>41</f>
        <v>41</v>
      </c>
      <c r="B1514" s="1">
        <f>固定流程!A38</f>
        <v>33</v>
      </c>
      <c r="C1514" s="1">
        <f>44</f>
        <v>44</v>
      </c>
      <c r="D1514" s="1">
        <f>2</f>
        <v>2</v>
      </c>
      <c r="E1514" s="1">
        <f>固定流程!C38</f>
        <v>3</v>
      </c>
      <c r="F1514" s="1">
        <f>固定流程!G38</f>
        <v>1</v>
      </c>
      <c r="G1514" s="1" t="str">
        <f>固定流程!H38</f>
        <v>LILYA_WEAK</v>
      </c>
      <c r="H1514" s="1">
        <f>固定流程!F38</f>
        <v>1</v>
      </c>
      <c r="I1514" s="1">
        <f>INDEX(配置与结果!$B$15:$B$18,F1514)</f>
        <v>2296</v>
      </c>
      <c r="J1514" s="1">
        <f>INDEX(配置与结果!$D$15:$D$18,F1514)</f>
        <v>0.7</v>
      </c>
      <c r="K1514" s="1">
        <f>INDEX(配置与结果!$E$15:$E$18,F1514)</f>
        <v>2.0249999999999999</v>
      </c>
      <c r="L1514" s="1">
        <f t="shared" si="2111"/>
        <v>2</v>
      </c>
      <c r="M1514" s="1">
        <f t="shared" si="2112"/>
        <v>10</v>
      </c>
      <c r="N1514" s="1">
        <f t="shared" si="2113"/>
        <v>2</v>
      </c>
      <c r="O1514" s="1">
        <f t="shared" si="2105"/>
        <v>7</v>
      </c>
      <c r="P1514" s="1">
        <f>MIN(方案参数!$AI$44,AZ1513+0+0)</f>
        <v>5</v>
      </c>
      <c r="Q1514" s="1">
        <f t="shared" si="2083"/>
        <v>5</v>
      </c>
      <c r="R1514" s="1">
        <f t="shared" si="2084"/>
        <v>20</v>
      </c>
      <c r="S1514" s="1">
        <f t="shared" si="2085"/>
        <v>3</v>
      </c>
      <c r="T1514" s="1">
        <f t="shared" si="2120"/>
        <v>0</v>
      </c>
      <c r="U1514" s="1">
        <f t="shared" si="2087"/>
        <v>0</v>
      </c>
      <c r="V1514" s="1">
        <f t="shared" si="2088"/>
        <v>4</v>
      </c>
      <c r="W1514" s="1">
        <f t="shared" si="2089"/>
        <v>1</v>
      </c>
      <c r="X1514" s="1">
        <f t="shared" si="2090"/>
        <v>1</v>
      </c>
      <c r="Y1514" s="1">
        <f t="shared" si="2091"/>
        <v>1</v>
      </c>
      <c r="Z1514" s="1">
        <f t="shared" si="2092"/>
        <v>1</v>
      </c>
      <c r="AA1514" s="1">
        <f t="shared" si="2116"/>
        <v>1</v>
      </c>
      <c r="AB1514" s="1">
        <f t="shared" si="2094"/>
        <v>1</v>
      </c>
      <c r="AC1514" s="1">
        <f t="shared" si="2121"/>
        <v>1</v>
      </c>
      <c r="AD1514" s="1">
        <f>ROUNDDOWN(I1514*(1+IF(F1514=3,0.05+方案参数!$Y$44+AA1514*0.12,IF(F1514=4,方案参数!$BZ$44*方案参数!$AS$44,0)))+IF(AND(X1514=1,F1514&lt;&gt;3),方案参数!$CC$44,0)+AC1514*方案参数!$CB$44,0)</f>
        <v>3034</v>
      </c>
      <c r="AE1514" s="1">
        <f>IF(OR(F1514=1,F1514=4),配置与结果!$B$24,配置与结果!$B$25)*MAX(0,1-INDEX(配置与结果!$I$15:$I$18,F1514))</f>
        <v>1200</v>
      </c>
      <c r="AF1514" s="1">
        <f>方案参数!$BL$44</f>
        <v>9</v>
      </c>
      <c r="AG1514" s="1">
        <f>MAX(配置与结果!$B$32,1+INDEX(配置与结果!$F$15:$F$18,F1514)+0.08+方案参数!$CD$44+Q1514*方案参数!$W$44+Y1514*(方案参数!$AN$44+MIN(方案参数!$AO$44,P1514*0.03))+AB1514*方案参数!$BZ$44*0.025-配置与结果!$B$28+方案参数!$AE$44)</f>
        <v>2.6150000000000002</v>
      </c>
      <c r="AH1514" s="1">
        <f>MAX(0,1+V1514*方案参数!$U$44+9*方案参数!$V$44+方案参数!$AE$44-配置与结果!$B$29)</f>
        <v>2.1</v>
      </c>
      <c r="AI1514" s="1">
        <f>IF(OR(INDEX(配置与结果!$K$15:$K$18,F1514)=1,G1514="RHI_BERRY"),1+配置与结果!$B$33+P1514*方案参数!$AH$44,1)</f>
        <v>1</v>
      </c>
      <c r="AJ1514" s="1">
        <f>MIN(1,MAX(0,J1514+方案参数!$AB$44-配置与结果!$B$27))</f>
        <v>1</v>
      </c>
      <c r="AK1514" s="1">
        <f>MAX(1,K1514+IF(F1514=2,0.15+方案参数!$CH$44,0)+BN1514*方案参数!$X$44+R1514*方案参数!$AA$44+方案参数!$BP$44-配置与结果!$B$26+Z1514*(方案参数!$AP$44+MIN(方案参数!$AQ$44,P1514*0.03)))</f>
        <v>2.7650000000000001</v>
      </c>
      <c r="AL1514" s="7">
        <f>ROUNDDOWN(MAX(AD1514*配置与结果!$B$31,AD1514-AE1514)*AF1514*AG1514*AH1514*AI1514,0)</f>
        <v>90642</v>
      </c>
      <c r="AM1514" s="7">
        <f>ROUNDDOWN(MAX(AD1514*配置与结果!$B$31,AD1514-AE1514)*AF1514*AG1514*AH1514*AI1514*AK1514,0)</f>
        <v>250627</v>
      </c>
      <c r="AN1514" s="7">
        <f t="shared" si="2074"/>
        <v>250627</v>
      </c>
      <c r="AO1514" s="7">
        <f>0</f>
        <v>0</v>
      </c>
      <c r="AP1514" s="7">
        <f>MAX(0,1+INDEX(配置与结果!$J$15:$J$18,F1514)+IF(T1514&gt;0,方案参数!$BY$44,0)-配置与结果!$B$30)</f>
        <v>1</v>
      </c>
      <c r="AQ1514" s="7">
        <f t="shared" si="2075"/>
        <v>0</v>
      </c>
      <c r="AR1514" s="7">
        <f t="shared" si="2076"/>
        <v>0</v>
      </c>
      <c r="AS1514" s="7">
        <f t="shared" si="2077"/>
        <v>0</v>
      </c>
      <c r="AT1514" s="7">
        <f>IF(U1514&gt;0,ROUNDDOWN(AL1514*方案参数!$AF$44,0)*(1-AJ1514)+ROUNDDOWN(AM1514*方案参数!$AF$44,0)*AJ1514,0)</f>
        <v>0</v>
      </c>
      <c r="AU1514" s="7">
        <f t="shared" si="2078"/>
        <v>250627</v>
      </c>
      <c r="AV1514" s="1">
        <f t="shared" si="2079"/>
        <v>2</v>
      </c>
      <c r="AW1514" s="1">
        <f t="shared" si="2126"/>
        <v>10</v>
      </c>
      <c r="AX1514" s="1">
        <f t="shared" si="2080"/>
        <v>2</v>
      </c>
      <c r="AY1514" s="1">
        <f>MIN(20,MAX(0,O1514+0+1-0))</f>
        <v>8</v>
      </c>
      <c r="AZ1514" s="1">
        <f t="shared" si="2081"/>
        <v>5</v>
      </c>
      <c r="BA1514" s="1">
        <f t="shared" si="2117"/>
        <v>5</v>
      </c>
      <c r="BB1514" s="1">
        <f t="shared" si="2125"/>
        <v>20</v>
      </c>
      <c r="BC1514" s="1">
        <f t="shared" si="2123"/>
        <v>3</v>
      </c>
      <c r="BD1514" s="1">
        <f t="shared" si="2104"/>
        <v>0</v>
      </c>
      <c r="BE1514" s="1">
        <f>MAX(0,U1514-IF(AF1514&gt;0,1,0))+0</f>
        <v>0</v>
      </c>
      <c r="BF1514" s="1">
        <f t="shared" si="2127"/>
        <v>4</v>
      </c>
      <c r="BG1514" s="1">
        <f t="shared" si="2114"/>
        <v>1</v>
      </c>
      <c r="BH1514" s="1">
        <f t="shared" si="2098"/>
        <v>1</v>
      </c>
      <c r="BI1514" s="1">
        <f t="shared" si="2115"/>
        <v>1</v>
      </c>
      <c r="BJ1514" s="1">
        <f t="shared" si="2118"/>
        <v>1</v>
      </c>
      <c r="BK1514" s="1">
        <f t="shared" si="2119"/>
        <v>1</v>
      </c>
      <c r="BL1514" s="1">
        <f t="shared" si="2124"/>
        <v>1</v>
      </c>
      <c r="BM1514" s="1">
        <f t="shared" si="2122"/>
        <v>1</v>
      </c>
      <c r="BN1514" s="1">
        <f t="shared" si="2099"/>
        <v>1</v>
      </c>
      <c r="BO1514" s="1">
        <f t="shared" si="2100"/>
        <v>1</v>
      </c>
    </row>
    <row r="1515" spans="1:67" ht="30.95" customHeight="1">
      <c r="A1515" s="1">
        <f>41</f>
        <v>41</v>
      </c>
      <c r="B1515" s="1">
        <f>固定流程!A39</f>
        <v>34</v>
      </c>
      <c r="C1515" s="1">
        <f>44</f>
        <v>44</v>
      </c>
      <c r="D1515" s="1">
        <f>2</f>
        <v>2</v>
      </c>
      <c r="E1515" s="1">
        <f>固定流程!C39</f>
        <v>3</v>
      </c>
      <c r="F1515" s="1">
        <f>固定流程!G39</f>
        <v>2</v>
      </c>
      <c r="G1515" s="1" t="str">
        <f>固定流程!H39</f>
        <v>37_WEAK</v>
      </c>
      <c r="H1515" s="1">
        <f>固定流程!F39</f>
        <v>1</v>
      </c>
      <c r="I1515" s="1">
        <f>INDEX(配置与结果!$B$15:$B$18,F1515)</f>
        <v>2306</v>
      </c>
      <c r="J1515" s="1">
        <f>INDEX(配置与结果!$D$15:$D$18,F1515)</f>
        <v>0.46</v>
      </c>
      <c r="K1515" s="1">
        <f>INDEX(配置与结果!$E$15:$E$18,F1515)</f>
        <v>1.9279999999999999</v>
      </c>
      <c r="L1515" s="1">
        <f t="shared" si="2111"/>
        <v>2</v>
      </c>
      <c r="M1515" s="1">
        <f t="shared" si="2112"/>
        <v>10</v>
      </c>
      <c r="N1515" s="1">
        <f t="shared" si="2113"/>
        <v>2</v>
      </c>
      <c r="O1515" s="1">
        <f t="shared" si="2105"/>
        <v>8</v>
      </c>
      <c r="P1515" s="1">
        <f>MIN(方案参数!$AI$44,AZ1514+0+0)</f>
        <v>5</v>
      </c>
      <c r="Q1515" s="1">
        <f t="shared" si="2083"/>
        <v>5</v>
      </c>
      <c r="R1515" s="1">
        <f t="shared" si="2084"/>
        <v>20</v>
      </c>
      <c r="S1515" s="1">
        <f t="shared" si="2085"/>
        <v>3</v>
      </c>
      <c r="T1515" s="1">
        <f t="shared" si="2120"/>
        <v>0</v>
      </c>
      <c r="U1515" s="1">
        <f t="shared" si="2087"/>
        <v>0</v>
      </c>
      <c r="V1515" s="1">
        <f t="shared" si="2088"/>
        <v>4</v>
      </c>
      <c r="W1515" s="1">
        <f t="shared" si="2089"/>
        <v>1</v>
      </c>
      <c r="X1515" s="1">
        <f t="shared" si="2090"/>
        <v>1</v>
      </c>
      <c r="Y1515" s="1">
        <f t="shared" si="2091"/>
        <v>1</v>
      </c>
      <c r="Z1515" s="1">
        <f t="shared" si="2092"/>
        <v>1</v>
      </c>
      <c r="AA1515" s="1">
        <f t="shared" si="2116"/>
        <v>1</v>
      </c>
      <c r="AB1515" s="1">
        <f t="shared" si="2094"/>
        <v>1</v>
      </c>
      <c r="AC1515" s="1">
        <f t="shared" si="2121"/>
        <v>1</v>
      </c>
      <c r="AD1515" s="1">
        <f>ROUNDDOWN(I1515*(1+IF(F1515=3,0.05+方案参数!$Y$44+AA1515*0.12,IF(F1515=4,方案参数!$BZ$44*方案参数!$AS$44,0)))+IF(AND(X1515=1,F1515&lt;&gt;3),方案参数!$CC$44,0)+AC1515*方案参数!$CB$44,0)</f>
        <v>3044</v>
      </c>
      <c r="AE1515" s="1">
        <f>IF(OR(F1515=1,F1515=4),配置与结果!$B$24,配置与结果!$B$25)*MAX(0,1-INDEX(配置与结果!$I$15:$I$18,F1515))</f>
        <v>1000</v>
      </c>
      <c r="AF1515" s="1">
        <f>方案参数!$CE$44</f>
        <v>8</v>
      </c>
      <c r="AG1515" s="1">
        <f>MAX(配置与结果!$B$32,1+INDEX(配置与结果!$F$15:$F$18,F1515)+0+Q1515*方案参数!$W$44+Y1515*(方案参数!$AN$44+MIN(方案参数!$AO$44,P1515*0.03))+AB1515*方案参数!$BZ$44*0.025-配置与结果!$B$28+方案参数!$AE$44)</f>
        <v>2.2800000000000002</v>
      </c>
      <c r="AH1515" s="1">
        <f>MAX(0,1+V1515*方案参数!$U$44+方案参数!$AE$44-配置与结果!$B$29)</f>
        <v>1.56</v>
      </c>
      <c r="AI1515" s="1">
        <f>IF(OR(INDEX(配置与结果!$K$15:$K$18,F1515)=1,G1515="RHI_BERRY"),1+配置与结果!$B$33+P1515*方案参数!$AH$44,1)</f>
        <v>1</v>
      </c>
      <c r="AJ1515" s="1">
        <f>MIN(1,MAX(0,J1515+方案参数!$AB$44-配置与结果!$B$27))</f>
        <v>0.76</v>
      </c>
      <c r="AK1515" s="1">
        <f>MAX(1,K1515+IF(F1515=2,0.15+方案参数!$CH$44,0)+BN1515*方案参数!$X$44+R1515*方案参数!$AA$44+0-配置与结果!$B$26+Z1515*(方案参数!$AP$44+MIN(方案参数!$AQ$44,P1515*0.03)))</f>
        <v>2.3380000000000001</v>
      </c>
      <c r="AL1515" s="7">
        <f>ROUNDDOWN(MAX(AD1515*配置与结果!$B$31,AD1515-AE1515)*AF1515*AG1515*AH1515*AI1515,0)</f>
        <v>58160</v>
      </c>
      <c r="AM1515" s="7">
        <f>ROUNDDOWN(MAX(AD1515*配置与结果!$B$31,AD1515-AE1515)*AF1515*AG1515*AH1515*AI1515*AK1515,0)</f>
        <v>135979</v>
      </c>
      <c r="AN1515" s="7">
        <f t="shared" si="2074"/>
        <v>117302.44</v>
      </c>
      <c r="AO1515" s="7">
        <f>0</f>
        <v>0</v>
      </c>
      <c r="AP1515" s="7">
        <f>MAX(0,1+INDEX(配置与结果!$J$15:$J$18,F1515)+IF(T1515&gt;0,方案参数!$BY$44,0)-配置与结果!$B$30)</f>
        <v>1</v>
      </c>
      <c r="AQ1515" s="7">
        <f t="shared" si="2075"/>
        <v>0</v>
      </c>
      <c r="AR1515" s="7">
        <f t="shared" si="2076"/>
        <v>0</v>
      </c>
      <c r="AS1515" s="7">
        <f t="shared" si="2077"/>
        <v>0</v>
      </c>
      <c r="AT1515" s="7">
        <f>IF(U1515&gt;0,ROUNDDOWN(AL1515*方案参数!$AF$44,0)*(1-AJ1515)+ROUNDDOWN(AM1515*方案参数!$AF$44,0)*AJ1515,0)</f>
        <v>0</v>
      </c>
      <c r="AU1515" s="7">
        <f t="shared" si="2078"/>
        <v>117302.44</v>
      </c>
      <c r="AV1515" s="1">
        <f t="shared" si="2079"/>
        <v>2</v>
      </c>
      <c r="AW1515" s="1">
        <f t="shared" si="2126"/>
        <v>10</v>
      </c>
      <c r="AX1515" s="1">
        <f t="shared" si="2080"/>
        <v>2</v>
      </c>
      <c r="AY1515" s="1">
        <f>MIN(20,MAX(0,O1515+0+0-0))</f>
        <v>8</v>
      </c>
      <c r="AZ1515" s="1">
        <f t="shared" si="2081"/>
        <v>5</v>
      </c>
      <c r="BA1515" s="1">
        <f t="shared" si="2117"/>
        <v>5</v>
      </c>
      <c r="BB1515" s="1">
        <f t="shared" si="2125"/>
        <v>20</v>
      </c>
      <c r="BC1515" s="1">
        <f t="shared" si="2123"/>
        <v>3</v>
      </c>
      <c r="BD1515" s="1">
        <f t="shared" si="2104"/>
        <v>0</v>
      </c>
      <c r="BE1515" s="1">
        <f>MAX(0,U1515-IF(AF1515&gt;0,1,0))+1</f>
        <v>1</v>
      </c>
      <c r="BF1515" s="1">
        <f t="shared" si="2127"/>
        <v>4</v>
      </c>
      <c r="BG1515" s="1">
        <f t="shared" si="2114"/>
        <v>1</v>
      </c>
      <c r="BH1515" s="1">
        <f t="shared" si="2098"/>
        <v>1</v>
      </c>
      <c r="BI1515" s="1">
        <f t="shared" si="2115"/>
        <v>1</v>
      </c>
      <c r="BJ1515" s="1">
        <f t="shared" si="2118"/>
        <v>1</v>
      </c>
      <c r="BK1515" s="1">
        <f t="shared" si="2119"/>
        <v>1</v>
      </c>
      <c r="BL1515" s="1">
        <f t="shared" si="2124"/>
        <v>1</v>
      </c>
      <c r="BM1515" s="1">
        <f t="shared" si="2122"/>
        <v>1</v>
      </c>
      <c r="BN1515" s="1">
        <f t="shared" si="2099"/>
        <v>1</v>
      </c>
      <c r="BO1515" s="1">
        <f t="shared" si="2100"/>
        <v>1</v>
      </c>
    </row>
    <row r="1516" spans="1:67" ht="30.95" customHeight="1">
      <c r="A1516" s="1">
        <f>41</f>
        <v>41</v>
      </c>
      <c r="B1516" s="1">
        <f>固定流程!A40</f>
        <v>35</v>
      </c>
      <c r="C1516" s="1">
        <f>44</f>
        <v>44</v>
      </c>
      <c r="D1516" s="1">
        <f>2</f>
        <v>2</v>
      </c>
      <c r="E1516" s="1">
        <f>固定流程!C40</f>
        <v>3</v>
      </c>
      <c r="F1516" s="1">
        <f>固定流程!G40</f>
        <v>2</v>
      </c>
      <c r="G1516" s="1" t="str">
        <f>固定流程!H40</f>
        <v>37_WEAK</v>
      </c>
      <c r="H1516" s="1">
        <f>固定流程!F40</f>
        <v>1</v>
      </c>
      <c r="I1516" s="1">
        <f>INDEX(配置与结果!$B$15:$B$18,F1516)</f>
        <v>2306</v>
      </c>
      <c r="J1516" s="1">
        <f>INDEX(配置与结果!$D$15:$D$18,F1516)</f>
        <v>0.46</v>
      </c>
      <c r="K1516" s="1">
        <f>INDEX(配置与结果!$E$15:$E$18,F1516)</f>
        <v>1.9279999999999999</v>
      </c>
      <c r="L1516" s="1">
        <f t="shared" si="2111"/>
        <v>2</v>
      </c>
      <c r="M1516" s="1">
        <f t="shared" si="2112"/>
        <v>10</v>
      </c>
      <c r="N1516" s="1">
        <f t="shared" si="2113"/>
        <v>2</v>
      </c>
      <c r="O1516" s="1">
        <f t="shared" si="2105"/>
        <v>8</v>
      </c>
      <c r="P1516" s="1">
        <f>MIN(方案参数!$AI$44,AZ1515+0+0)</f>
        <v>5</v>
      </c>
      <c r="Q1516" s="1">
        <f t="shared" si="2083"/>
        <v>5</v>
      </c>
      <c r="R1516" s="1">
        <f t="shared" si="2084"/>
        <v>20</v>
      </c>
      <c r="S1516" s="1">
        <f t="shared" si="2085"/>
        <v>3</v>
      </c>
      <c r="T1516" s="1">
        <f t="shared" si="2120"/>
        <v>0</v>
      </c>
      <c r="U1516" s="1">
        <f t="shared" si="2087"/>
        <v>1</v>
      </c>
      <c r="V1516" s="1">
        <f t="shared" si="2088"/>
        <v>4</v>
      </c>
      <c r="W1516" s="1">
        <f t="shared" si="2089"/>
        <v>1</v>
      </c>
      <c r="X1516" s="1">
        <f t="shared" si="2090"/>
        <v>1</v>
      </c>
      <c r="Y1516" s="1">
        <f t="shared" si="2091"/>
        <v>1</v>
      </c>
      <c r="Z1516" s="1">
        <f t="shared" si="2092"/>
        <v>1</v>
      </c>
      <c r="AA1516" s="1">
        <f t="shared" si="2116"/>
        <v>1</v>
      </c>
      <c r="AB1516" s="1">
        <f t="shared" si="2094"/>
        <v>1</v>
      </c>
      <c r="AC1516" s="1">
        <f t="shared" si="2121"/>
        <v>1</v>
      </c>
      <c r="AD1516" s="1">
        <f>ROUNDDOWN(I1516*(1+IF(F1516=3,0.05+方案参数!$Y$44+AA1516*0.12,IF(F1516=4,方案参数!$BZ$44*方案参数!$AS$44,0)))+IF(AND(X1516=1,F1516&lt;&gt;3),方案参数!$CC$44,0)+AC1516*方案参数!$CB$44,0)</f>
        <v>3044</v>
      </c>
      <c r="AE1516" s="1">
        <f>IF(OR(F1516=1,F1516=4),配置与结果!$B$24,配置与结果!$B$25)*MAX(0,1-INDEX(配置与结果!$I$15:$I$18,F1516))</f>
        <v>1000</v>
      </c>
      <c r="AF1516" s="1">
        <f>方案参数!$CE$44</f>
        <v>8</v>
      </c>
      <c r="AG1516" s="1">
        <f>MAX(配置与结果!$B$32,1+INDEX(配置与结果!$F$15:$F$18,F1516)+0+Q1516*方案参数!$W$44+Y1516*(方案参数!$AN$44+MIN(方案参数!$AO$44,P1516*0.03))+AB1516*方案参数!$BZ$44*0.025-配置与结果!$B$28+方案参数!$AE$44)</f>
        <v>2.2800000000000002</v>
      </c>
      <c r="AH1516" s="1">
        <f>MAX(0,1+V1516*方案参数!$U$44+方案参数!$AE$44-配置与结果!$B$29)</f>
        <v>1.56</v>
      </c>
      <c r="AI1516" s="1">
        <f>IF(OR(INDEX(配置与结果!$K$15:$K$18,F1516)=1,G1516="RHI_BERRY"),1+配置与结果!$B$33+P1516*方案参数!$AH$44,1)</f>
        <v>1</v>
      </c>
      <c r="AJ1516" s="1">
        <f>MIN(1,MAX(0,J1516+方案参数!$AB$44-配置与结果!$B$27))</f>
        <v>0.76</v>
      </c>
      <c r="AK1516" s="1">
        <f>MAX(1,K1516+IF(F1516=2,0.15+方案参数!$CH$44,0)+BN1516*方案参数!$X$44+R1516*方案参数!$AA$44+0-配置与结果!$B$26+Z1516*(方案参数!$AP$44+MIN(方案参数!$AQ$44,P1516*0.03)))</f>
        <v>2.3380000000000001</v>
      </c>
      <c r="AL1516" s="7">
        <f>ROUNDDOWN(MAX(AD1516*配置与结果!$B$31,AD1516-AE1516)*AF1516*AG1516*AH1516*AI1516,0)</f>
        <v>58160</v>
      </c>
      <c r="AM1516" s="7">
        <f>ROUNDDOWN(MAX(AD1516*配置与结果!$B$31,AD1516-AE1516)*AF1516*AG1516*AH1516*AI1516*AK1516,0)</f>
        <v>135979</v>
      </c>
      <c r="AN1516" s="7">
        <f t="shared" si="2074"/>
        <v>117302.44</v>
      </c>
      <c r="AO1516" s="7">
        <f>0</f>
        <v>0</v>
      </c>
      <c r="AP1516" s="7">
        <f>MAX(0,1+INDEX(配置与结果!$J$15:$J$18,F1516)+IF(T1516&gt;0,方案参数!$BY$44,0)-配置与结果!$B$30)</f>
        <v>1</v>
      </c>
      <c r="AQ1516" s="7">
        <f t="shared" si="2075"/>
        <v>0</v>
      </c>
      <c r="AR1516" s="7">
        <f t="shared" si="2076"/>
        <v>0</v>
      </c>
      <c r="AS1516" s="7">
        <f t="shared" si="2077"/>
        <v>0</v>
      </c>
      <c r="AT1516" s="7">
        <f>IF(U1516&gt;0,ROUNDDOWN(AL1516*方案参数!$AF$44,0)*(1-AJ1516)+ROUNDDOWN(AM1516*方案参数!$AF$44,0)*AJ1516,0)</f>
        <v>46920.520000000004</v>
      </c>
      <c r="AU1516" s="7">
        <f t="shared" si="2078"/>
        <v>164222.96000000002</v>
      </c>
      <c r="AV1516" s="1">
        <f t="shared" si="2079"/>
        <v>2</v>
      </c>
      <c r="AW1516" s="1">
        <f t="shared" si="2126"/>
        <v>10</v>
      </c>
      <c r="AX1516" s="1">
        <f t="shared" si="2080"/>
        <v>2</v>
      </c>
      <c r="AY1516" s="1">
        <f>MIN(20,MAX(0,O1516+0+0-0))</f>
        <v>8</v>
      </c>
      <c r="AZ1516" s="1">
        <f t="shared" si="2081"/>
        <v>5</v>
      </c>
      <c r="BA1516" s="1">
        <f t="shared" si="2117"/>
        <v>5</v>
      </c>
      <c r="BB1516" s="1">
        <f t="shared" si="2125"/>
        <v>20</v>
      </c>
      <c r="BC1516" s="1">
        <f t="shared" si="2123"/>
        <v>3</v>
      </c>
      <c r="BD1516" s="1">
        <f t="shared" si="2104"/>
        <v>0</v>
      </c>
      <c r="BE1516" s="1">
        <f>MAX(0,U1516-IF(AF1516&gt;0,1,0))+1</f>
        <v>1</v>
      </c>
      <c r="BF1516" s="1">
        <f t="shared" si="2127"/>
        <v>4</v>
      </c>
      <c r="BG1516" s="1">
        <f t="shared" si="2114"/>
        <v>1</v>
      </c>
      <c r="BH1516" s="1">
        <f t="shared" si="2098"/>
        <v>1</v>
      </c>
      <c r="BI1516" s="1">
        <f t="shared" si="2115"/>
        <v>1</v>
      </c>
      <c r="BJ1516" s="1">
        <f t="shared" si="2118"/>
        <v>1</v>
      </c>
      <c r="BK1516" s="1">
        <f t="shared" si="2119"/>
        <v>1</v>
      </c>
      <c r="BL1516" s="1">
        <f t="shared" si="2124"/>
        <v>1</v>
      </c>
      <c r="BM1516" s="1">
        <f t="shared" si="2122"/>
        <v>1</v>
      </c>
      <c r="BN1516" s="1">
        <f t="shared" si="2099"/>
        <v>1</v>
      </c>
      <c r="BO1516" s="1">
        <f t="shared" si="2100"/>
        <v>1</v>
      </c>
    </row>
    <row r="1517" spans="1:67" ht="30.95" customHeight="1">
      <c r="A1517" s="1">
        <f>41</f>
        <v>41</v>
      </c>
      <c r="B1517" s="1">
        <f>固定流程!A41</f>
        <v>36</v>
      </c>
      <c r="C1517" s="1">
        <f>44</f>
        <v>44</v>
      </c>
      <c r="D1517" s="1">
        <f>2</f>
        <v>2</v>
      </c>
      <c r="E1517" s="1">
        <f>固定流程!C41</f>
        <v>3</v>
      </c>
      <c r="F1517" s="1">
        <f>固定流程!G41</f>
        <v>1</v>
      </c>
      <c r="G1517" s="1" t="str">
        <f>固定流程!H41</f>
        <v>LILYA_FINISH</v>
      </c>
      <c r="H1517" s="1">
        <f>固定流程!F41</f>
        <v>1</v>
      </c>
      <c r="I1517" s="1">
        <f>INDEX(配置与结果!$B$15:$B$18,F1517)</f>
        <v>2296</v>
      </c>
      <c r="J1517" s="1">
        <f>INDEX(配置与结果!$D$15:$D$18,F1517)</f>
        <v>0.7</v>
      </c>
      <c r="K1517" s="1">
        <f>INDEX(配置与结果!$E$15:$E$18,F1517)</f>
        <v>2.0249999999999999</v>
      </c>
      <c r="L1517" s="1">
        <f t="shared" si="2111"/>
        <v>2</v>
      </c>
      <c r="M1517" s="1">
        <f t="shared" si="2112"/>
        <v>10</v>
      </c>
      <c r="N1517" s="1">
        <f t="shared" si="2113"/>
        <v>2</v>
      </c>
      <c r="O1517" s="1">
        <f t="shared" si="2105"/>
        <v>8</v>
      </c>
      <c r="P1517" s="1">
        <f>MIN(方案参数!$AI$44,AZ1516+0+0)</f>
        <v>5</v>
      </c>
      <c r="Q1517" s="1">
        <f t="shared" si="2083"/>
        <v>5</v>
      </c>
      <c r="R1517" s="1">
        <f t="shared" si="2084"/>
        <v>20</v>
      </c>
      <c r="S1517" s="1">
        <f t="shared" si="2085"/>
        <v>3</v>
      </c>
      <c r="T1517" s="1">
        <f t="shared" si="2120"/>
        <v>0</v>
      </c>
      <c r="U1517" s="1">
        <f t="shared" si="2087"/>
        <v>1</v>
      </c>
      <c r="V1517" s="1">
        <f t="shared" si="2088"/>
        <v>4</v>
      </c>
      <c r="W1517" s="1">
        <f t="shared" si="2089"/>
        <v>1</v>
      </c>
      <c r="X1517" s="1">
        <f t="shared" si="2090"/>
        <v>1</v>
      </c>
      <c r="Y1517" s="1">
        <f t="shared" si="2091"/>
        <v>1</v>
      </c>
      <c r="Z1517" s="1">
        <f t="shared" si="2092"/>
        <v>1</v>
      </c>
      <c r="AA1517" s="1">
        <f t="shared" si="2116"/>
        <v>1</v>
      </c>
      <c r="AB1517" s="1">
        <f t="shared" si="2094"/>
        <v>1</v>
      </c>
      <c r="AC1517" s="1">
        <f t="shared" si="2121"/>
        <v>1</v>
      </c>
      <c r="AD1517" s="1">
        <f>ROUNDDOWN(I1517*(1+IF(F1517=3,0.05+方案参数!$Y$44+AA1517*0.12,IF(F1517=4,方案参数!$BZ$44*方案参数!$AS$44,0)))+IF(AND(X1517=1,F1517&lt;&gt;3),方案参数!$CC$44,0)+AC1517*方案参数!$CB$44,0)</f>
        <v>3034</v>
      </c>
      <c r="AE1517" s="1">
        <f>IF(OR(F1517=1,F1517=4),配置与结果!$B$24,配置与结果!$B$25)*MAX(0,1-INDEX(配置与结果!$I$15:$I$18,F1517))</f>
        <v>1200</v>
      </c>
      <c r="AF1517" s="1">
        <f>方案参数!$BN$44+12*方案参数!$BO$44</f>
        <v>48</v>
      </c>
      <c r="AG1517" s="1">
        <f>MAX(配置与结果!$B$32,1+INDEX(配置与结果!$F$15:$F$18,F1517)+0.08+方案参数!$CD$44+Q1517*方案参数!$W$44+Y1517*(方案参数!$AN$44+MIN(方案参数!$AO$44,P1517*0.03))+AB1517*方案参数!$BZ$44*0.025-配置与结果!$B$28+方案参数!$AE$44)</f>
        <v>2.6150000000000002</v>
      </c>
      <c r="AH1517" s="1">
        <f>MAX(0,1+V1517*方案参数!$U$44+12*方案参数!$V$44+方案参数!$AE$44-配置与结果!$B$29)</f>
        <v>2.2799999999999998</v>
      </c>
      <c r="AI1517" s="1">
        <f>IF(OR(INDEX(配置与结果!$K$15:$K$18,F1517)=1,G1517="RHI_BERRY"),1+配置与结果!$B$33+P1517*方案参数!$AH$44,1)</f>
        <v>1</v>
      </c>
      <c r="AJ1517" s="1">
        <f>MIN(1,MAX(0,J1517+方案参数!$AB$44-配置与结果!$B$27))</f>
        <v>1</v>
      </c>
      <c r="AK1517" s="1">
        <f>MAX(1,K1517+IF(F1517=2,0.15+方案参数!$CH$44,0)+BN1517*方案参数!$X$44+R1517*方案参数!$AA$44+方案参数!$BR$44-配置与结果!$B$26+Z1517*(方案参数!$AP$44+MIN(方案参数!$AQ$44,P1517*0.03)))</f>
        <v>3.165</v>
      </c>
      <c r="AL1517" s="7">
        <f>ROUNDDOWN(MAX(AD1517*配置与结果!$B$31,AD1517-AE1517)*AF1517*AG1517*AH1517*AI1517,0)</f>
        <v>524864</v>
      </c>
      <c r="AM1517" s="7">
        <f>ROUNDDOWN(MAX(AD1517*配置与结果!$B$31,AD1517-AE1517)*AF1517*AG1517*AH1517*AI1517*AK1517,0)</f>
        <v>1661195</v>
      </c>
      <c r="AN1517" s="7">
        <f t="shared" si="2074"/>
        <v>1661195</v>
      </c>
      <c r="AO1517" s="7">
        <f>0</f>
        <v>0</v>
      </c>
      <c r="AP1517" s="7">
        <f>MAX(0,1+INDEX(配置与结果!$J$15:$J$18,F1517)+IF(T1517&gt;0,方案参数!$BY$44,0)-配置与结果!$B$30)</f>
        <v>1</v>
      </c>
      <c r="AQ1517" s="7">
        <f t="shared" si="2075"/>
        <v>0</v>
      </c>
      <c r="AR1517" s="7">
        <f t="shared" si="2076"/>
        <v>0</v>
      </c>
      <c r="AS1517" s="7">
        <f t="shared" si="2077"/>
        <v>0</v>
      </c>
      <c r="AT1517" s="7">
        <f>IF(U1517&gt;0,ROUNDDOWN(AL1517*方案参数!$AF$44,0)*(1-AJ1517)+ROUNDDOWN(AM1517*方案参数!$AF$44,0)*AJ1517,0)</f>
        <v>664478</v>
      </c>
      <c r="AU1517" s="7">
        <f t="shared" si="2078"/>
        <v>2325673</v>
      </c>
      <c r="AV1517" s="1">
        <f t="shared" si="2079"/>
        <v>2</v>
      </c>
      <c r="AW1517" s="1">
        <f t="shared" si="2126"/>
        <v>10</v>
      </c>
      <c r="AX1517" s="1">
        <f t="shared" si="2080"/>
        <v>2</v>
      </c>
      <c r="AY1517" s="1">
        <f>MIN(20,MAX(0,O1517+0+1-0))</f>
        <v>9</v>
      </c>
      <c r="AZ1517" s="1">
        <f t="shared" si="2081"/>
        <v>5</v>
      </c>
      <c r="BA1517" s="1">
        <f t="shared" si="2117"/>
        <v>5</v>
      </c>
      <c r="BB1517" s="1">
        <f t="shared" si="2125"/>
        <v>20</v>
      </c>
      <c r="BC1517" s="1">
        <f t="shared" si="2123"/>
        <v>3</v>
      </c>
      <c r="BD1517" s="1">
        <f t="shared" si="2104"/>
        <v>0</v>
      </c>
      <c r="BE1517" s="1">
        <f>MAX(0,U1517-IF(AF1517&gt;0,1,0))+0</f>
        <v>0</v>
      </c>
      <c r="BF1517" s="1">
        <f t="shared" si="2127"/>
        <v>4</v>
      </c>
      <c r="BG1517" s="1">
        <f t="shared" si="2114"/>
        <v>1</v>
      </c>
      <c r="BH1517" s="1">
        <f t="shared" si="2098"/>
        <v>1</v>
      </c>
      <c r="BI1517" s="1">
        <f t="shared" si="2115"/>
        <v>1</v>
      </c>
      <c r="BJ1517" s="1">
        <f t="shared" si="2118"/>
        <v>1</v>
      </c>
      <c r="BK1517" s="1">
        <f t="shared" si="2119"/>
        <v>1</v>
      </c>
      <c r="BL1517" s="1">
        <f t="shared" si="2124"/>
        <v>1</v>
      </c>
      <c r="BM1517" s="1">
        <f t="shared" si="2122"/>
        <v>1</v>
      </c>
      <c r="BN1517" s="1">
        <f t="shared" si="2099"/>
        <v>1</v>
      </c>
      <c r="BO1517" s="1">
        <f t="shared" si="2100"/>
        <v>1</v>
      </c>
    </row>
    <row r="1518" spans="1:67" ht="30.95" customHeight="1">
      <c r="A1518" s="1">
        <f>42</f>
        <v>42</v>
      </c>
      <c r="B1518" s="1">
        <f>固定流程!A6</f>
        <v>1</v>
      </c>
      <c r="C1518" s="1">
        <f>45</f>
        <v>45</v>
      </c>
      <c r="D1518" s="1">
        <f>1</f>
        <v>1</v>
      </c>
      <c r="E1518" s="1">
        <f>固定流程!C6</f>
        <v>1</v>
      </c>
      <c r="F1518" s="1">
        <f>固定流程!G6</f>
        <v>3</v>
      </c>
      <c r="G1518" s="1" t="str">
        <f>固定流程!H6</f>
        <v>RHI_ULT</v>
      </c>
      <c r="H1518" s="1">
        <f>固定流程!F6</f>
        <v>1</v>
      </c>
      <c r="I1518" s="1">
        <f>INDEX(配置与结果!$B$15:$B$18,F1518)</f>
        <v>2597</v>
      </c>
      <c r="J1518" s="1">
        <f>INDEX(配置与结果!$D$15:$D$18,F1518)</f>
        <v>0.255</v>
      </c>
      <c r="K1518" s="1">
        <f>INDEX(配置与结果!$E$15:$E$18,F1518)</f>
        <v>1.55</v>
      </c>
      <c r="L1518" s="1">
        <f>0</f>
        <v>0</v>
      </c>
      <c r="M1518" s="1">
        <f>0</f>
        <v>0</v>
      </c>
      <c r="N1518" s="1">
        <f>0</f>
        <v>0</v>
      </c>
      <c r="O1518" s="1">
        <f>0</f>
        <v>0</v>
      </c>
      <c r="P1518" s="1">
        <f>MIN(方案参数!$AI$45,0+方案参数!$AJ$45+0)</f>
        <v>1</v>
      </c>
      <c r="Q1518" s="1">
        <f>0</f>
        <v>0</v>
      </c>
      <c r="R1518" s="1">
        <f>0</f>
        <v>0</v>
      </c>
      <c r="S1518" s="1">
        <f>0</f>
        <v>0</v>
      </c>
      <c r="T1518" s="1">
        <f>0+0</f>
        <v>0</v>
      </c>
      <c r="U1518" s="1">
        <f>0</f>
        <v>0</v>
      </c>
      <c r="V1518" s="1">
        <f>0</f>
        <v>0</v>
      </c>
      <c r="W1518" s="1">
        <f>0</f>
        <v>0</v>
      </c>
      <c r="X1518" s="1">
        <f>0</f>
        <v>0</v>
      </c>
      <c r="Y1518" s="1">
        <f>0</f>
        <v>0</v>
      </c>
      <c r="Z1518" s="1">
        <f>0</f>
        <v>0</v>
      </c>
      <c r="AA1518" s="1">
        <f>MAX(0,0)</f>
        <v>0</v>
      </c>
      <c r="AB1518" s="1">
        <f>0</f>
        <v>0</v>
      </c>
      <c r="AC1518" s="1">
        <f>MAX(0,0)</f>
        <v>0</v>
      </c>
      <c r="AD1518" s="1">
        <f>ROUNDDOWN(I1518*(1+IF(F1518=3,0.05+方案参数!$Y$45+AA1518*0.12,IF(F1518=4,方案参数!$BZ$45*方案参数!$AS$45,0)))+IF(AND(X1518=1,F1518&lt;&gt;3),方案参数!$CC$45,0)+AC1518*方案参数!$CB$45,0)</f>
        <v>2986</v>
      </c>
      <c r="AE1518" s="1">
        <f>IF(OR(F1518=1,F1518=4),配置与结果!$B$24,配置与结果!$B$25)*MAX(0,1-INDEX(配置与结果!$I$15:$I$18,F1518))</f>
        <v>1000</v>
      </c>
      <c r="AF1518" s="1">
        <f>0</f>
        <v>0</v>
      </c>
      <c r="AG1518" s="1">
        <f>MAX(配置与结果!$B$32,1+INDEX(配置与结果!$F$15:$F$18,F1518)+0+Q1518*方案参数!$W$45+Y1518*(方案参数!$AN$45+MIN(方案参数!$AO$45,P1518*0.03))+AB1518*方案参数!$BZ$45*0.025-配置与结果!$B$28)</f>
        <v>0.6349999999999999</v>
      </c>
      <c r="AH1518" s="1">
        <f>MAX(0,1+INDEX(配置与结果!$G$15:$G$18,F1518)+W1518*方案参数!$AG$45)</f>
        <v>1</v>
      </c>
      <c r="AI1518" s="1">
        <f>IF(OR(INDEX(配置与结果!$K$15:$K$18,F1518)=1,G1518="RHI_BERRY"),1+配置与结果!$B$33+P1518*方案参数!$AH$45,1)</f>
        <v>1</v>
      </c>
      <c r="AJ1518" s="1">
        <f>MIN(1,MAX(0,J1518+方案参数!$AB$45-配置与结果!$B$27))</f>
        <v>0.55499999999999994</v>
      </c>
      <c r="AK1518" s="1">
        <f>MAX(1,K1518+IF(F1518=2,0.15+方案参数!$CH$45,0)+BN1518*方案参数!$X$45+R1518*方案参数!$AA$45+0-配置与结果!$B$26+Z1518*(方案参数!$AP$45+MIN(方案参数!$AQ$45,P1518*0.03)))</f>
        <v>1.1499999999999999</v>
      </c>
      <c r="AL1518" s="7">
        <f>ROUNDDOWN(MAX(AD1518*配置与结果!$B$31,AD1518-AE1518)*AF1518*AG1518*AH1518*AI1518,0)</f>
        <v>0</v>
      </c>
      <c r="AM1518" s="7">
        <f>ROUNDDOWN(MAX(AD1518*配置与结果!$B$31,AD1518-AE1518)*AF1518*AG1518*AH1518*AI1518*AK1518,0)</f>
        <v>0</v>
      </c>
      <c r="AN1518" s="7">
        <f t="shared" si="2074"/>
        <v>0</v>
      </c>
      <c r="AO1518" s="7">
        <f>0</f>
        <v>0</v>
      </c>
      <c r="AP1518" s="7">
        <f>MAX(0,1+INDEX(配置与结果!$J$15:$J$18,F1518)+IF(T1518&gt;0,方案参数!$BY$45,0)-配置与结果!$B$30)</f>
        <v>1</v>
      </c>
      <c r="AQ1518" s="7">
        <f t="shared" si="2075"/>
        <v>0</v>
      </c>
      <c r="AR1518" s="7">
        <f t="shared" si="2076"/>
        <v>0</v>
      </c>
      <c r="AS1518" s="7">
        <f t="shared" si="2077"/>
        <v>0</v>
      </c>
      <c r="AT1518" s="7">
        <f>0</f>
        <v>0</v>
      </c>
      <c r="AU1518" s="7">
        <f t="shared" si="2078"/>
        <v>0</v>
      </c>
      <c r="AV1518" s="1">
        <f t="shared" si="2079"/>
        <v>0</v>
      </c>
      <c r="AW1518" s="1">
        <f t="shared" si="2126"/>
        <v>0</v>
      </c>
      <c r="AX1518" s="1">
        <f t="shared" si="2080"/>
        <v>0</v>
      </c>
      <c r="AY1518" s="1">
        <f>MIN(20,MAX(0,O1518+0+0-0))</f>
        <v>0</v>
      </c>
      <c r="AZ1518" s="1">
        <f t="shared" si="2081"/>
        <v>1</v>
      </c>
      <c r="BA1518" s="1">
        <f>MIN(6,Q1518+1)</f>
        <v>1</v>
      </c>
      <c r="BB1518" s="1">
        <f>MIN(30,R1518+5)</f>
        <v>5</v>
      </c>
      <c r="BC1518" s="1">
        <f t="shared" si="2123"/>
        <v>0</v>
      </c>
      <c r="BD1518" s="1">
        <f t="shared" si="2104"/>
        <v>0</v>
      </c>
      <c r="BE1518" s="1">
        <f>0</f>
        <v>0</v>
      </c>
      <c r="BF1518" s="1">
        <f t="shared" si="2127"/>
        <v>0</v>
      </c>
      <c r="BG1518" s="1">
        <f t="shared" si="2114"/>
        <v>0</v>
      </c>
      <c r="BH1518" s="1">
        <f>MAX(X1518,1)</f>
        <v>1</v>
      </c>
      <c r="BI1518" s="1">
        <f t="shared" si="2115"/>
        <v>0</v>
      </c>
      <c r="BJ1518" s="1">
        <f t="shared" si="2118"/>
        <v>0</v>
      </c>
      <c r="BK1518" s="1">
        <f t="shared" si="2119"/>
        <v>0</v>
      </c>
      <c r="BL1518" s="1">
        <f t="shared" si="2124"/>
        <v>0</v>
      </c>
      <c r="BM1518" s="1">
        <f t="shared" si="2122"/>
        <v>0</v>
      </c>
      <c r="BN1518" s="1">
        <f>0</f>
        <v>0</v>
      </c>
      <c r="BO1518" s="1">
        <f>MAX(BN1518,1)</f>
        <v>1</v>
      </c>
    </row>
    <row r="1519" spans="1:67" ht="30.95" customHeight="1">
      <c r="A1519" s="1">
        <f>42</f>
        <v>42</v>
      </c>
      <c r="B1519" s="1">
        <f>固定流程!A7</f>
        <v>2</v>
      </c>
      <c r="C1519" s="1">
        <f>45</f>
        <v>45</v>
      </c>
      <c r="D1519" s="1">
        <f>1</f>
        <v>1</v>
      </c>
      <c r="E1519" s="1">
        <f>固定流程!C7</f>
        <v>1</v>
      </c>
      <c r="F1519" s="1">
        <f>固定流程!G7</f>
        <v>3</v>
      </c>
      <c r="G1519" s="1" t="str">
        <f>固定流程!H7</f>
        <v>RHI_BUFF</v>
      </c>
      <c r="H1519" s="1">
        <f>固定流程!F7</f>
        <v>1</v>
      </c>
      <c r="I1519" s="1">
        <f>INDEX(配置与结果!$B$15:$B$18,F1519)</f>
        <v>2597</v>
      </c>
      <c r="J1519" s="1">
        <f>INDEX(配置与结果!$D$15:$D$18,F1519)</f>
        <v>0.255</v>
      </c>
      <c r="K1519" s="1">
        <f>INDEX(配置与结果!$E$15:$E$18,F1519)</f>
        <v>1.55</v>
      </c>
      <c r="L1519" s="1">
        <f t="shared" ref="L1519:O1524" si="2128">AV1518</f>
        <v>0</v>
      </c>
      <c r="M1519" s="1">
        <f t="shared" si="2128"/>
        <v>0</v>
      </c>
      <c r="N1519" s="1">
        <f t="shared" si="2128"/>
        <v>0</v>
      </c>
      <c r="O1519" s="1">
        <f t="shared" si="2128"/>
        <v>0</v>
      </c>
      <c r="P1519" s="1">
        <f>MIN(方案参数!$AI$45,AZ1518+0+方案参数!$AK$45)</f>
        <v>3</v>
      </c>
      <c r="Q1519" s="1">
        <f t="shared" ref="Q1519:Q1553" si="2129">BA1518</f>
        <v>1</v>
      </c>
      <c r="R1519" s="1">
        <f t="shared" ref="R1519:R1553" si="2130">BB1518</f>
        <v>5</v>
      </c>
      <c r="S1519" s="1">
        <f t="shared" ref="S1519:S1553" si="2131">BC1518</f>
        <v>0</v>
      </c>
      <c r="T1519" s="1">
        <f t="shared" ref="T1519:T1532" si="2132">BD1518+0</f>
        <v>0</v>
      </c>
      <c r="U1519" s="1">
        <f t="shared" ref="U1519:U1553" si="2133">BE1518</f>
        <v>0</v>
      </c>
      <c r="V1519" s="1">
        <f t="shared" ref="V1519:V1553" si="2134">BF1518</f>
        <v>0</v>
      </c>
      <c r="W1519" s="1">
        <f t="shared" ref="W1519:W1553" si="2135">BG1518</f>
        <v>0</v>
      </c>
      <c r="X1519" s="1">
        <f t="shared" ref="X1519:X1553" si="2136">BH1518</f>
        <v>1</v>
      </c>
      <c r="Y1519" s="1">
        <f t="shared" ref="Y1519:Y1553" si="2137">BI1518</f>
        <v>0</v>
      </c>
      <c r="Z1519" s="1">
        <f t="shared" ref="Z1519:Z1553" si="2138">BJ1518</f>
        <v>0</v>
      </c>
      <c r="AA1519" s="1">
        <f t="shared" ref="AA1519:AA1524" si="2139">MAX(BK1518,0)</f>
        <v>0</v>
      </c>
      <c r="AB1519" s="1">
        <f t="shared" ref="AB1519:AB1553" si="2140">BL1518</f>
        <v>0</v>
      </c>
      <c r="AC1519" s="1">
        <f t="shared" ref="AC1519:AC1532" si="2141">MAX(BM1518,0)</f>
        <v>0</v>
      </c>
      <c r="AD1519" s="1">
        <f>ROUNDDOWN(I1519*(1+IF(F1519=3,0.05+方案参数!$Y$45+AA1519*0.12,IF(F1519=4,方案参数!$BZ$45*方案参数!$AS$45,0)))+IF(AND(X1519=1,F1519&lt;&gt;3),方案参数!$CC$45,0)+AC1519*方案参数!$CB$45,0)</f>
        <v>2986</v>
      </c>
      <c r="AE1519" s="1">
        <f>IF(OR(F1519=1,F1519=4),配置与结果!$B$24,配置与结果!$B$25)*MAX(0,1-INDEX(配置与结果!$I$15:$I$18,F1519))</f>
        <v>1000</v>
      </c>
      <c r="AF1519" s="1">
        <f>0</f>
        <v>0</v>
      </c>
      <c r="AG1519" s="1">
        <f>MAX(配置与结果!$B$32,1+INDEX(配置与结果!$F$15:$F$18,F1519)+0+Q1519*方案参数!$W$45+Y1519*(方案参数!$AN$45+MIN(方案参数!$AO$45,P1519*0.03))+AB1519*方案参数!$BZ$45*0.025-配置与结果!$B$28)</f>
        <v>0.65499999999999992</v>
      </c>
      <c r="AH1519" s="1">
        <f>MAX(0,1+INDEX(配置与结果!$G$15:$G$18,F1519)+W1519*方案参数!$AG$45)</f>
        <v>1</v>
      </c>
      <c r="AI1519" s="1">
        <f>IF(OR(INDEX(配置与结果!$K$15:$K$18,F1519)=1,G1519="RHI_BERRY"),1+配置与结果!$B$33+P1519*方案参数!$AH$45,1)</f>
        <v>1</v>
      </c>
      <c r="AJ1519" s="1">
        <f>MIN(1,MAX(0,J1519+方案参数!$AB$45-配置与结果!$B$27))</f>
        <v>0.55499999999999994</v>
      </c>
      <c r="AK1519" s="1">
        <f>MAX(1,K1519+IF(F1519=2,0.15+方案参数!$CH$45,0)+BN1519*方案参数!$X$45+R1519*方案参数!$AA$45+0-配置与结果!$B$26+Z1519*(方案参数!$AP$45+MIN(方案参数!$AQ$45,P1519*0.03)))</f>
        <v>1.335</v>
      </c>
      <c r="AL1519" s="7">
        <f>ROUNDDOWN(MAX(AD1519*配置与结果!$B$31,AD1519-AE1519)*AF1519*AG1519*AH1519*AI1519,0)</f>
        <v>0</v>
      </c>
      <c r="AM1519" s="7">
        <f>ROUNDDOWN(MAX(AD1519*配置与结果!$B$31,AD1519-AE1519)*AF1519*AG1519*AH1519*AI1519*AK1519,0)</f>
        <v>0</v>
      </c>
      <c r="AN1519" s="7">
        <f t="shared" si="2074"/>
        <v>0</v>
      </c>
      <c r="AO1519" s="7">
        <f>0</f>
        <v>0</v>
      </c>
      <c r="AP1519" s="7">
        <f>MAX(0,1+INDEX(配置与结果!$J$15:$J$18,F1519)+IF(T1519&gt;0,方案参数!$BY$45,0)-配置与结果!$B$30)</f>
        <v>1</v>
      </c>
      <c r="AQ1519" s="7">
        <f t="shared" si="2075"/>
        <v>0</v>
      </c>
      <c r="AR1519" s="7">
        <f t="shared" si="2076"/>
        <v>0</v>
      </c>
      <c r="AS1519" s="7">
        <f t="shared" si="2077"/>
        <v>0</v>
      </c>
      <c r="AT1519" s="7">
        <f>0</f>
        <v>0</v>
      </c>
      <c r="AU1519" s="7">
        <f t="shared" si="2078"/>
        <v>0</v>
      </c>
      <c r="AV1519" s="1">
        <f t="shared" si="2079"/>
        <v>0</v>
      </c>
      <c r="AW1519" s="1">
        <f t="shared" si="2126"/>
        <v>0</v>
      </c>
      <c r="AX1519" s="1">
        <f t="shared" si="2080"/>
        <v>0</v>
      </c>
      <c r="AY1519" s="1">
        <f>MIN(20,MAX(0,O1519+0+0-0))</f>
        <v>0</v>
      </c>
      <c r="AZ1519" s="1">
        <f t="shared" si="2081"/>
        <v>3</v>
      </c>
      <c r="BA1519" s="1">
        <f>MIN(6,Q1519+1)</f>
        <v>2</v>
      </c>
      <c r="BB1519" s="1">
        <f t="shared" ref="BB1519:BB1532" si="2142">MIN(30,R1519+0)</f>
        <v>5</v>
      </c>
      <c r="BC1519" s="1">
        <f t="shared" si="2123"/>
        <v>0</v>
      </c>
      <c r="BD1519" s="1">
        <f t="shared" si="2104"/>
        <v>0</v>
      </c>
      <c r="BE1519" s="1">
        <f t="shared" ref="BE1519:BE1540" si="2143">BE1518</f>
        <v>0</v>
      </c>
      <c r="BF1519" s="1">
        <f t="shared" si="2127"/>
        <v>0</v>
      </c>
      <c r="BG1519" s="1">
        <f>MAX(W1519,1)</f>
        <v>1</v>
      </c>
      <c r="BH1519" s="1">
        <f t="shared" ref="BH1519:BH1553" si="2144">MAX(X1519,0)</f>
        <v>1</v>
      </c>
      <c r="BI1519" s="1">
        <f>MAX(Y1519,1)</f>
        <v>1</v>
      </c>
      <c r="BJ1519" s="1">
        <f t="shared" si="2118"/>
        <v>0</v>
      </c>
      <c r="BK1519" s="1">
        <f t="shared" si="2119"/>
        <v>0</v>
      </c>
      <c r="BL1519" s="1">
        <f t="shared" si="2124"/>
        <v>0</v>
      </c>
      <c r="BM1519" s="1">
        <f t="shared" si="2122"/>
        <v>0</v>
      </c>
      <c r="BN1519" s="1">
        <f t="shared" ref="BN1519:BN1553" si="2145">BO1518</f>
        <v>1</v>
      </c>
      <c r="BO1519" s="1">
        <f t="shared" ref="BO1519:BO1553" si="2146">MAX(BN1519,0)</f>
        <v>1</v>
      </c>
    </row>
    <row r="1520" spans="1:67" ht="30.95" customHeight="1">
      <c r="A1520" s="1">
        <f>42</f>
        <v>42</v>
      </c>
      <c r="B1520" s="1">
        <f>固定流程!A8</f>
        <v>3</v>
      </c>
      <c r="C1520" s="1">
        <f>45</f>
        <v>45</v>
      </c>
      <c r="D1520" s="1">
        <f>1</f>
        <v>1</v>
      </c>
      <c r="E1520" s="1">
        <f>固定流程!C8</f>
        <v>1</v>
      </c>
      <c r="F1520" s="1">
        <f>固定流程!G8</f>
        <v>1</v>
      </c>
      <c r="G1520" s="1" t="str">
        <f>固定流程!H8</f>
        <v>LILYA_COBRA</v>
      </c>
      <c r="H1520" s="1">
        <f>固定流程!F8</f>
        <v>1</v>
      </c>
      <c r="I1520" s="1">
        <f>INDEX(配置与结果!$B$15:$B$18,F1520)</f>
        <v>2296</v>
      </c>
      <c r="J1520" s="1">
        <f>INDEX(配置与结果!$D$15:$D$18,F1520)</f>
        <v>0.7</v>
      </c>
      <c r="K1520" s="1">
        <f>INDEX(配置与结果!$E$15:$E$18,F1520)</f>
        <v>2.0249999999999999</v>
      </c>
      <c r="L1520" s="1">
        <f t="shared" si="2128"/>
        <v>0</v>
      </c>
      <c r="M1520" s="1">
        <f t="shared" si="2128"/>
        <v>0</v>
      </c>
      <c r="N1520" s="1">
        <f t="shared" si="2128"/>
        <v>0</v>
      </c>
      <c r="O1520" s="1">
        <f t="shared" si="2128"/>
        <v>0</v>
      </c>
      <c r="P1520" s="1">
        <f>MIN(方案参数!$AI$45,AZ1519+0+0)</f>
        <v>3</v>
      </c>
      <c r="Q1520" s="1">
        <f t="shared" si="2129"/>
        <v>2</v>
      </c>
      <c r="R1520" s="1">
        <f t="shared" si="2130"/>
        <v>5</v>
      </c>
      <c r="S1520" s="1">
        <f t="shared" si="2131"/>
        <v>0</v>
      </c>
      <c r="T1520" s="1">
        <f t="shared" si="2132"/>
        <v>0</v>
      </c>
      <c r="U1520" s="1">
        <f t="shared" si="2133"/>
        <v>0</v>
      </c>
      <c r="V1520" s="1">
        <f t="shared" si="2134"/>
        <v>0</v>
      </c>
      <c r="W1520" s="1">
        <f t="shared" si="2135"/>
        <v>1</v>
      </c>
      <c r="X1520" s="1">
        <f t="shared" si="2136"/>
        <v>1</v>
      </c>
      <c r="Y1520" s="1">
        <f t="shared" si="2137"/>
        <v>1</v>
      </c>
      <c r="Z1520" s="1">
        <f t="shared" si="2138"/>
        <v>0</v>
      </c>
      <c r="AA1520" s="1">
        <f t="shared" si="2139"/>
        <v>0</v>
      </c>
      <c r="AB1520" s="1">
        <f t="shared" si="2140"/>
        <v>0</v>
      </c>
      <c r="AC1520" s="1">
        <f t="shared" si="2141"/>
        <v>0</v>
      </c>
      <c r="AD1520" s="1">
        <f>ROUNDDOWN(I1520*(1+IF(F1520=3,0.05+方案参数!$Y$45+AA1520*0.12,IF(F1520=4,方案参数!$BZ$45*方案参数!$AS$45,0)))+IF(AND(X1520=1,F1520&lt;&gt;3),方案参数!$CC$45,0)+AC1520*方案参数!$CB$45,0)</f>
        <v>2534</v>
      </c>
      <c r="AE1520" s="1">
        <f>IF(OR(F1520=1,F1520=4),配置与结果!$B$24,配置与结果!$B$25)*MAX(0,1-INDEX(配置与结果!$I$15:$I$18,F1520))</f>
        <v>1200</v>
      </c>
      <c r="AF1520" s="1">
        <f>0</f>
        <v>0</v>
      </c>
      <c r="AG1520" s="1">
        <f>MAX(配置与结果!$B$32,1+INDEX(配置与结果!$F$15:$F$18,F1520)+0.08+方案参数!$CD$45+Q1520*方案参数!$W$45+Y1520*(方案参数!$AN$45+MIN(方案参数!$AO$45,P1520*0.03))+AB1520*方案参数!$BZ$45*0.025-配置与结果!$B$28)</f>
        <v>1.2200000000000002</v>
      </c>
      <c r="AH1520" s="1">
        <f>MAX(0,1+INDEX(配置与结果!$G$15:$G$18,F1520)+W1520*方案参数!$AG$45)</f>
        <v>1.3</v>
      </c>
      <c r="AI1520" s="1">
        <f>IF(OR(INDEX(配置与结果!$K$15:$K$18,F1520)=1,G1520="RHI_BERRY"),1+配置与结果!$B$33+P1520*方案参数!$AH$45,1)</f>
        <v>1</v>
      </c>
      <c r="AJ1520" s="1">
        <f>MIN(1,MAX(0,J1520+方案参数!$AB$45-配置与结果!$B$27))</f>
        <v>1</v>
      </c>
      <c r="AK1520" s="1">
        <f>MAX(1,K1520+IF(F1520=2,0.15+方案参数!$CH$45,0)+BN1520*方案参数!$X$45+R1520*方案参数!$AA$45+0-配置与结果!$B$26+Z1520*(方案参数!$AP$45+MIN(方案参数!$AQ$45,P1520*0.03)))</f>
        <v>1.81</v>
      </c>
      <c r="AL1520" s="7">
        <f>ROUNDDOWN(MAX(AD1520*配置与结果!$B$31,AD1520-AE1520)*AF1520*AG1520*AH1520*AI1520,0)</f>
        <v>0</v>
      </c>
      <c r="AM1520" s="7">
        <f>ROUNDDOWN(MAX(AD1520*配置与结果!$B$31,AD1520-AE1520)*AF1520*AG1520*AH1520*AI1520*AK1520,0)</f>
        <v>0</v>
      </c>
      <c r="AN1520" s="7">
        <f t="shared" si="2074"/>
        <v>0</v>
      </c>
      <c r="AO1520" s="7">
        <f>0</f>
        <v>0</v>
      </c>
      <c r="AP1520" s="7">
        <f>MAX(0,1+INDEX(配置与结果!$J$15:$J$18,F1520)+IF(T1520&gt;0,方案参数!$BY$45,0)-配置与结果!$B$30)</f>
        <v>1</v>
      </c>
      <c r="AQ1520" s="7">
        <f t="shared" si="2075"/>
        <v>0</v>
      </c>
      <c r="AR1520" s="7">
        <f t="shared" si="2076"/>
        <v>0</v>
      </c>
      <c r="AS1520" s="7">
        <f t="shared" si="2077"/>
        <v>0</v>
      </c>
      <c r="AT1520" s="7">
        <f>0</f>
        <v>0</v>
      </c>
      <c r="AU1520" s="7">
        <f t="shared" si="2078"/>
        <v>0</v>
      </c>
      <c r="AV1520" s="1">
        <f t="shared" si="2079"/>
        <v>1</v>
      </c>
      <c r="AW1520" s="1">
        <f>MIN(10,M1520+方案参数!$BD$45+0)</f>
        <v>3</v>
      </c>
      <c r="AX1520" s="1">
        <f t="shared" si="2080"/>
        <v>0</v>
      </c>
      <c r="AY1520" s="1">
        <f>MIN(20,MAX(0,O1520+6+0-0))</f>
        <v>6</v>
      </c>
      <c r="AZ1520" s="1">
        <f t="shared" si="2081"/>
        <v>3</v>
      </c>
      <c r="BA1520" s="1">
        <f>MIN(6,Q1520+0)</f>
        <v>2</v>
      </c>
      <c r="BB1520" s="1">
        <f t="shared" si="2142"/>
        <v>5</v>
      </c>
      <c r="BC1520" s="1">
        <f t="shared" si="2123"/>
        <v>0</v>
      </c>
      <c r="BD1520" s="1">
        <f t="shared" si="2104"/>
        <v>0</v>
      </c>
      <c r="BE1520" s="1">
        <f t="shared" si="2143"/>
        <v>0</v>
      </c>
      <c r="BF1520" s="1">
        <f t="shared" si="2127"/>
        <v>0</v>
      </c>
      <c r="BG1520" s="1">
        <f t="shared" ref="BG1520:BG1530" si="2147">MAX(W1520,0)</f>
        <v>1</v>
      </c>
      <c r="BH1520" s="1">
        <f t="shared" si="2144"/>
        <v>1</v>
      </c>
      <c r="BI1520" s="1">
        <f t="shared" ref="BI1520:BI1530" si="2148">MAX(Y1520,0)</f>
        <v>1</v>
      </c>
      <c r="BJ1520" s="1">
        <f t="shared" si="2118"/>
        <v>0</v>
      </c>
      <c r="BK1520" s="1">
        <f t="shared" si="2119"/>
        <v>0</v>
      </c>
      <c r="BL1520" s="1">
        <f t="shared" si="2124"/>
        <v>0</v>
      </c>
      <c r="BM1520" s="1">
        <f t="shared" si="2122"/>
        <v>0</v>
      </c>
      <c r="BN1520" s="1">
        <f t="shared" si="2145"/>
        <v>1</v>
      </c>
      <c r="BO1520" s="1">
        <f t="shared" si="2146"/>
        <v>1</v>
      </c>
    </row>
    <row r="1521" spans="1:67" ht="30.95" customHeight="1">
      <c r="A1521" s="1">
        <f>42</f>
        <v>42</v>
      </c>
      <c r="B1521" s="1">
        <f>固定流程!A9</f>
        <v>4</v>
      </c>
      <c r="C1521" s="1">
        <f>45</f>
        <v>45</v>
      </c>
      <c r="D1521" s="1">
        <f>1</f>
        <v>1</v>
      </c>
      <c r="E1521" s="1">
        <f>固定流程!C9</f>
        <v>1</v>
      </c>
      <c r="F1521" s="1">
        <f>固定流程!G9</f>
        <v>1</v>
      </c>
      <c r="G1521" s="1" t="str">
        <f>固定流程!H9</f>
        <v>LILYA_DIVE</v>
      </c>
      <c r="H1521" s="1">
        <f>固定流程!F9</f>
        <v>1</v>
      </c>
      <c r="I1521" s="1">
        <f>INDEX(配置与结果!$B$15:$B$18,F1521)</f>
        <v>2296</v>
      </c>
      <c r="J1521" s="1">
        <f>INDEX(配置与结果!$D$15:$D$18,F1521)</f>
        <v>0.7</v>
      </c>
      <c r="K1521" s="1">
        <f>INDEX(配置与结果!$E$15:$E$18,F1521)</f>
        <v>2.0249999999999999</v>
      </c>
      <c r="L1521" s="1">
        <f t="shared" si="2128"/>
        <v>1</v>
      </c>
      <c r="M1521" s="1">
        <f t="shared" si="2128"/>
        <v>3</v>
      </c>
      <c r="N1521" s="1">
        <f t="shared" si="2128"/>
        <v>0</v>
      </c>
      <c r="O1521" s="1">
        <f t="shared" si="2128"/>
        <v>6</v>
      </c>
      <c r="P1521" s="1">
        <f>MIN(方案参数!$AI$45,AZ1520+0+0)</f>
        <v>3</v>
      </c>
      <c r="Q1521" s="1">
        <f t="shared" si="2129"/>
        <v>2</v>
      </c>
      <c r="R1521" s="1">
        <f t="shared" si="2130"/>
        <v>5</v>
      </c>
      <c r="S1521" s="1">
        <f t="shared" si="2131"/>
        <v>0</v>
      </c>
      <c r="T1521" s="1">
        <f t="shared" si="2132"/>
        <v>0</v>
      </c>
      <c r="U1521" s="1">
        <f t="shared" si="2133"/>
        <v>0</v>
      </c>
      <c r="V1521" s="1">
        <f t="shared" si="2134"/>
        <v>0</v>
      </c>
      <c r="W1521" s="1">
        <f t="shared" si="2135"/>
        <v>1</v>
      </c>
      <c r="X1521" s="1">
        <f t="shared" si="2136"/>
        <v>1</v>
      </c>
      <c r="Y1521" s="1">
        <f t="shared" si="2137"/>
        <v>1</v>
      </c>
      <c r="Z1521" s="1">
        <f t="shared" si="2138"/>
        <v>0</v>
      </c>
      <c r="AA1521" s="1">
        <f t="shared" si="2139"/>
        <v>0</v>
      </c>
      <c r="AB1521" s="1">
        <f t="shared" si="2140"/>
        <v>0</v>
      </c>
      <c r="AC1521" s="1">
        <f t="shared" si="2141"/>
        <v>0</v>
      </c>
      <c r="AD1521" s="1">
        <f>ROUNDDOWN(I1521*(1+IF(F1521=3,0.05+方案参数!$Y$45+AA1521*0.12,IF(F1521=4,方案参数!$BZ$45*方案参数!$AS$45,0)))+IF(AND(X1521=1,F1521&lt;&gt;3),方案参数!$CC$45,0)+AC1521*方案参数!$CB$45,0)</f>
        <v>2534</v>
      </c>
      <c r="AE1521" s="1">
        <f>IF(OR(F1521=1,F1521=4),配置与结果!$B$24,配置与结果!$B$25)*MAX(0,1-INDEX(配置与结果!$I$15:$I$18,F1521))</f>
        <v>1200</v>
      </c>
      <c r="AF1521" s="1">
        <f>(IF(L1521=1,方案参数!$AW$45,IF(L1521=2,方案参数!$AX$45,0))+方案参数!$AV$45)*H1521</f>
        <v>6</v>
      </c>
      <c r="AG1521" s="1">
        <f>MAX(配置与结果!$B$32,1+INDEX(配置与结果!$F$15:$F$18,F1521)+0.08+方案参数!$CD$45+Q1521*方案参数!$W$45+Y1521*(方案参数!$AN$45+MIN(方案参数!$AO$45,P1521*0.03))+AB1521*方案参数!$BZ$45*0.025+IF(L1521=1,方案参数!$AY$45+(H1521-1)*0.1,IF(L1521=2,方案参数!$AZ$45+(H1521-1)*0.2,0))-配置与结果!$B$28)</f>
        <v>1.3200000000000003</v>
      </c>
      <c r="AH1521" s="1">
        <f>MAX(0,1+INDEX(配置与结果!$G$15:$G$18,F1521)+W1521*方案参数!$AG$45+IF(L1521=1,方案参数!$BA$45,IF(L1521=2,方案参数!$BB$45,0))+M1521*方案参数!$BC$45)</f>
        <v>2.08</v>
      </c>
      <c r="AI1521" s="1">
        <f>IF(OR(INDEX(配置与结果!$K$15:$K$18,F1521)=1,G1521="RHI_BERRY"),1+配置与结果!$B$33+P1521*方案参数!$AH$45,1)</f>
        <v>1</v>
      </c>
      <c r="AJ1521" s="1">
        <f>MIN(1,MAX(0,J1521+方案参数!$AB$45-配置与结果!$B$27))</f>
        <v>1</v>
      </c>
      <c r="AK1521" s="1">
        <f>MAX(1,K1521+IF(F1521=2,0.15+方案参数!$CH$45,0)+BN1521*方案参数!$X$45+R1521*方案参数!$AA$45+0-配置与结果!$B$26+Z1521*(方案参数!$AP$45+MIN(方案参数!$AQ$45,P1521*0.03)))</f>
        <v>1.81</v>
      </c>
      <c r="AL1521" s="7">
        <f>ROUNDDOWN(MAX(AD1521*配置与结果!$B$31,AD1521-AE1521)*AF1521*AG1521*AH1521*AI1521,0)</f>
        <v>21975</v>
      </c>
      <c r="AM1521" s="7">
        <f>ROUNDDOWN(MAX(AD1521*配置与结果!$B$31,AD1521-AE1521)*AF1521*AG1521*AH1521*AI1521*AK1521,0)</f>
        <v>39776</v>
      </c>
      <c r="AN1521" s="7">
        <f t="shared" si="2074"/>
        <v>39776</v>
      </c>
      <c r="AO1521" s="7">
        <f>0</f>
        <v>0</v>
      </c>
      <c r="AP1521" s="7">
        <f>MAX(0,1+INDEX(配置与结果!$J$15:$J$18,F1521)+IF(T1521&gt;0,方案参数!$BY$45,0)-配置与结果!$B$30)</f>
        <v>1</v>
      </c>
      <c r="AQ1521" s="7">
        <f t="shared" si="2075"/>
        <v>0</v>
      </c>
      <c r="AR1521" s="7">
        <f t="shared" si="2076"/>
        <v>0</v>
      </c>
      <c r="AS1521" s="7">
        <f t="shared" si="2077"/>
        <v>0</v>
      </c>
      <c r="AT1521" s="7">
        <f>0</f>
        <v>0</v>
      </c>
      <c r="AU1521" s="7">
        <f t="shared" si="2078"/>
        <v>39776</v>
      </c>
      <c r="AV1521" s="1">
        <f t="shared" si="2079"/>
        <v>1</v>
      </c>
      <c r="AW1521" s="1">
        <f>MIN(10,M1521+0+IF(L1521=1,方案参数!$BE$45,0))</f>
        <v>4</v>
      </c>
      <c r="AX1521" s="1">
        <f t="shared" si="2080"/>
        <v>0</v>
      </c>
      <c r="AY1521" s="1">
        <f t="shared" ref="AY1521:AY1536" si="2149">MIN(20,MAX(0,O1521+0+0-0))</f>
        <v>6</v>
      </c>
      <c r="AZ1521" s="1">
        <f t="shared" si="2081"/>
        <v>3</v>
      </c>
      <c r="BA1521" s="1">
        <f>MIN(6,Q1521+0)</f>
        <v>2</v>
      </c>
      <c r="BB1521" s="1">
        <f t="shared" si="2142"/>
        <v>5</v>
      </c>
      <c r="BC1521" s="1">
        <f t="shared" si="2123"/>
        <v>0</v>
      </c>
      <c r="BD1521" s="1">
        <f t="shared" si="2104"/>
        <v>0</v>
      </c>
      <c r="BE1521" s="1">
        <f t="shared" si="2143"/>
        <v>0</v>
      </c>
      <c r="BF1521" s="1">
        <f t="shared" si="2127"/>
        <v>0</v>
      </c>
      <c r="BG1521" s="1">
        <f t="shared" si="2147"/>
        <v>1</v>
      </c>
      <c r="BH1521" s="1">
        <f t="shared" si="2144"/>
        <v>1</v>
      </c>
      <c r="BI1521" s="1">
        <f t="shared" si="2148"/>
        <v>1</v>
      </c>
      <c r="BJ1521" s="1">
        <f t="shared" si="2118"/>
        <v>0</v>
      </c>
      <c r="BK1521" s="1">
        <f t="shared" si="2119"/>
        <v>0</v>
      </c>
      <c r="BL1521" s="1">
        <f t="shared" si="2124"/>
        <v>0</v>
      </c>
      <c r="BM1521" s="1">
        <f t="shared" si="2122"/>
        <v>0</v>
      </c>
      <c r="BN1521" s="1">
        <f t="shared" si="2145"/>
        <v>1</v>
      </c>
      <c r="BO1521" s="1">
        <f t="shared" si="2146"/>
        <v>1</v>
      </c>
    </row>
    <row r="1522" spans="1:67" ht="30.95" customHeight="1">
      <c r="A1522" s="1">
        <f>42</f>
        <v>42</v>
      </c>
      <c r="B1522" s="1">
        <f>固定流程!A10</f>
        <v>5</v>
      </c>
      <c r="C1522" s="1">
        <f>45</f>
        <v>45</v>
      </c>
      <c r="D1522" s="1">
        <f>1</f>
        <v>1</v>
      </c>
      <c r="E1522" s="1">
        <f>固定流程!C10</f>
        <v>1</v>
      </c>
      <c r="F1522" s="1">
        <f>固定流程!G10</f>
        <v>2</v>
      </c>
      <c r="G1522" s="1" t="str">
        <f>固定流程!H10</f>
        <v>37_TRIANGLE</v>
      </c>
      <c r="H1522" s="1">
        <f>固定流程!F10</f>
        <v>1</v>
      </c>
      <c r="I1522" s="1">
        <f>INDEX(配置与结果!$B$15:$B$18,F1522)</f>
        <v>2306</v>
      </c>
      <c r="J1522" s="1">
        <f>INDEX(配置与结果!$D$15:$D$18,F1522)</f>
        <v>0.46</v>
      </c>
      <c r="K1522" s="1">
        <f>INDEX(配置与结果!$E$15:$E$18,F1522)</f>
        <v>1.9279999999999999</v>
      </c>
      <c r="L1522" s="1">
        <f t="shared" si="2128"/>
        <v>1</v>
      </c>
      <c r="M1522" s="1">
        <f t="shared" si="2128"/>
        <v>4</v>
      </c>
      <c r="N1522" s="1">
        <f t="shared" si="2128"/>
        <v>0</v>
      </c>
      <c r="O1522" s="1">
        <f t="shared" si="2128"/>
        <v>6</v>
      </c>
      <c r="P1522" s="1">
        <f>MIN(方案参数!$AI$45,AZ1521+0+0)</f>
        <v>3</v>
      </c>
      <c r="Q1522" s="1">
        <f t="shared" si="2129"/>
        <v>2</v>
      </c>
      <c r="R1522" s="1">
        <f t="shared" si="2130"/>
        <v>5</v>
      </c>
      <c r="S1522" s="1">
        <f t="shared" si="2131"/>
        <v>0</v>
      </c>
      <c r="T1522" s="1">
        <f t="shared" si="2132"/>
        <v>0</v>
      </c>
      <c r="U1522" s="1">
        <f t="shared" si="2133"/>
        <v>0</v>
      </c>
      <c r="V1522" s="1">
        <f t="shared" si="2134"/>
        <v>0</v>
      </c>
      <c r="W1522" s="1">
        <f t="shared" si="2135"/>
        <v>1</v>
      </c>
      <c r="X1522" s="1">
        <f t="shared" si="2136"/>
        <v>1</v>
      </c>
      <c r="Y1522" s="1">
        <f t="shared" si="2137"/>
        <v>1</v>
      </c>
      <c r="Z1522" s="1">
        <f t="shared" si="2138"/>
        <v>0</v>
      </c>
      <c r="AA1522" s="1">
        <f t="shared" si="2139"/>
        <v>0</v>
      </c>
      <c r="AB1522" s="1">
        <f t="shared" si="2140"/>
        <v>0</v>
      </c>
      <c r="AC1522" s="1">
        <f t="shared" si="2141"/>
        <v>0</v>
      </c>
      <c r="AD1522" s="1">
        <f>ROUNDDOWN(I1522*(1+IF(F1522=3,0.05+方案参数!$Y$45+AA1522*0.12,IF(F1522=4,方案参数!$BZ$45*方案参数!$AS$45,0)))+IF(AND(X1522=1,F1522&lt;&gt;3),方案参数!$CC$45,0)+AC1522*方案参数!$CB$45,0)</f>
        <v>2544</v>
      </c>
      <c r="AE1522" s="1">
        <f>IF(OR(F1522=1,F1522=4),配置与结果!$B$24,配置与结果!$B$25)*MAX(0,1-INDEX(配置与结果!$I$15:$I$18,F1522))</f>
        <v>1000</v>
      </c>
      <c r="AF1522" s="1">
        <f>方案参数!$BS$45*IF(H1522=1,1,IF(H1522=2,1.5,2.5))</f>
        <v>2.8</v>
      </c>
      <c r="AG1522" s="1">
        <f>MAX(配置与结果!$B$32,1+INDEX(配置与结果!$F$15:$F$18,F1522)+0+Q1522*方案参数!$W$45+Y1522*(方案参数!$AN$45+MIN(方案参数!$AO$45,P1522*0.03))+AB1522*方案参数!$BZ$45*0.025-配置与结果!$B$28)</f>
        <v>0.8849999999999999</v>
      </c>
      <c r="AH1522" s="1">
        <f>MAX(0,1+INDEX(配置与结果!$G$15:$G$18,F1522)+W1522*方案参数!$AG$45)</f>
        <v>1.3</v>
      </c>
      <c r="AI1522" s="1">
        <f>IF(OR(INDEX(配置与结果!$K$15:$K$18,F1522)=1,G1522="RHI_BERRY"),1+配置与结果!$B$33+P1522*方案参数!$AH$45,1)</f>
        <v>1</v>
      </c>
      <c r="AJ1522" s="1">
        <f>MIN(1,MAX(0,J1522+方案参数!$AB$45-配置与结果!$B$27))</f>
        <v>0.76</v>
      </c>
      <c r="AK1522" s="1">
        <f>MAX(1,K1522+IF(F1522=2,0.15+方案参数!$CH$45,0)+BN1522*方案参数!$X$45+R1522*方案参数!$AA$45+0-配置与结果!$B$26+Z1522*(方案参数!$AP$45+MIN(方案参数!$AQ$45,P1522*0.03)))</f>
        <v>1.9830000000000001</v>
      </c>
      <c r="AL1522" s="7">
        <f>ROUNDDOWN(MAX(AD1522*配置与结果!$B$31,AD1522-AE1522)*AF1522*AG1522*AH1522*AI1522,0)</f>
        <v>4973</v>
      </c>
      <c r="AM1522" s="7">
        <f>ROUNDDOWN(MAX(AD1522*配置与结果!$B$31,AD1522-AE1522)*AF1522*AG1522*AH1522*AI1522*AK1522,0)</f>
        <v>9863</v>
      </c>
      <c r="AN1522" s="7">
        <f t="shared" si="2074"/>
        <v>8689.4</v>
      </c>
      <c r="AO1522" s="7">
        <f>方案参数!$BU$45*IF(H1522=1,1,IF(H1522=2,1.5,2.5))</f>
        <v>0.8</v>
      </c>
      <c r="AP1522" s="7">
        <f>MAX(0,1+INDEX(配置与结果!$J$15:$J$18,F1522)+IF(T1522&gt;0,方案参数!$BY$45,0)-配置与结果!$B$30)</f>
        <v>1</v>
      </c>
      <c r="AQ1522" s="7">
        <f t="shared" si="2075"/>
        <v>2035</v>
      </c>
      <c r="AR1522" s="7">
        <f t="shared" si="2076"/>
        <v>4035</v>
      </c>
      <c r="AS1522" s="7">
        <f t="shared" si="2077"/>
        <v>3555</v>
      </c>
      <c r="AT1522" s="7">
        <f>0</f>
        <v>0</v>
      </c>
      <c r="AU1522" s="7">
        <f t="shared" si="2078"/>
        <v>12244.4</v>
      </c>
      <c r="AV1522" s="1">
        <f t="shared" si="2079"/>
        <v>1</v>
      </c>
      <c r="AW1522" s="1">
        <f>MIN(10,M1522+0+0)</f>
        <v>4</v>
      </c>
      <c r="AX1522" s="1">
        <f t="shared" si="2080"/>
        <v>0</v>
      </c>
      <c r="AY1522" s="1">
        <f t="shared" si="2149"/>
        <v>6</v>
      </c>
      <c r="AZ1522" s="1">
        <f t="shared" si="2081"/>
        <v>3</v>
      </c>
      <c r="BA1522" s="1">
        <f>MIN(6,Q1522+0)</f>
        <v>2</v>
      </c>
      <c r="BB1522" s="1">
        <f t="shared" si="2142"/>
        <v>5</v>
      </c>
      <c r="BC1522" s="1">
        <f t="shared" si="2123"/>
        <v>0</v>
      </c>
      <c r="BD1522" s="1">
        <f>MAX(0,T1522-IF(AO1522&gt;0,1,0))+1</f>
        <v>1</v>
      </c>
      <c r="BE1522" s="1">
        <f t="shared" si="2143"/>
        <v>0</v>
      </c>
      <c r="BF1522" s="1">
        <f t="shared" si="2127"/>
        <v>0</v>
      </c>
      <c r="BG1522" s="1">
        <f t="shared" si="2147"/>
        <v>1</v>
      </c>
      <c r="BH1522" s="1">
        <f t="shared" si="2144"/>
        <v>1</v>
      </c>
      <c r="BI1522" s="1">
        <f t="shared" si="2148"/>
        <v>1</v>
      </c>
      <c r="BJ1522" s="1">
        <f t="shared" si="2118"/>
        <v>0</v>
      </c>
      <c r="BK1522" s="1">
        <f t="shared" si="2119"/>
        <v>0</v>
      </c>
      <c r="BL1522" s="1">
        <f t="shared" si="2124"/>
        <v>0</v>
      </c>
      <c r="BM1522" s="1">
        <f t="shared" si="2122"/>
        <v>0</v>
      </c>
      <c r="BN1522" s="1">
        <f t="shared" si="2145"/>
        <v>1</v>
      </c>
      <c r="BO1522" s="1">
        <f t="shared" si="2146"/>
        <v>1</v>
      </c>
    </row>
    <row r="1523" spans="1:67" ht="30.95" customHeight="1">
      <c r="A1523" s="1">
        <f>42</f>
        <v>42</v>
      </c>
      <c r="B1523" s="1">
        <f>固定流程!A11</f>
        <v>6</v>
      </c>
      <c r="C1523" s="1">
        <f>45</f>
        <v>45</v>
      </c>
      <c r="D1523" s="1">
        <f>1</f>
        <v>1</v>
      </c>
      <c r="E1523" s="1">
        <f>固定流程!C11</f>
        <v>1</v>
      </c>
      <c r="F1523" s="1">
        <f>固定流程!G11</f>
        <v>2</v>
      </c>
      <c r="G1523" s="1" t="str">
        <f>固定流程!H11</f>
        <v>37_FOLLOW</v>
      </c>
      <c r="H1523" s="1">
        <f>固定流程!F11</f>
        <v>1</v>
      </c>
      <c r="I1523" s="1">
        <f>INDEX(配置与结果!$B$15:$B$18,F1523)</f>
        <v>2306</v>
      </c>
      <c r="J1523" s="1">
        <f>INDEX(配置与结果!$D$15:$D$18,F1523)</f>
        <v>0.46</v>
      </c>
      <c r="K1523" s="1">
        <f>INDEX(配置与结果!$E$15:$E$18,F1523)</f>
        <v>1.9279999999999999</v>
      </c>
      <c r="L1523" s="1">
        <f t="shared" si="2128"/>
        <v>1</v>
      </c>
      <c r="M1523" s="1">
        <f t="shared" si="2128"/>
        <v>4</v>
      </c>
      <c r="N1523" s="1">
        <f t="shared" si="2128"/>
        <v>0</v>
      </c>
      <c r="O1523" s="1">
        <f t="shared" si="2128"/>
        <v>6</v>
      </c>
      <c r="P1523" s="1">
        <f>MIN(方案参数!$AI$45,AZ1522+0+0)</f>
        <v>3</v>
      </c>
      <c r="Q1523" s="1">
        <f t="shared" si="2129"/>
        <v>2</v>
      </c>
      <c r="R1523" s="1">
        <f t="shared" si="2130"/>
        <v>5</v>
      </c>
      <c r="S1523" s="1">
        <f t="shared" si="2131"/>
        <v>0</v>
      </c>
      <c r="T1523" s="1">
        <f t="shared" si="2132"/>
        <v>1</v>
      </c>
      <c r="U1523" s="1">
        <f t="shared" si="2133"/>
        <v>0</v>
      </c>
      <c r="V1523" s="1">
        <f t="shared" si="2134"/>
        <v>0</v>
      </c>
      <c r="W1523" s="1">
        <f t="shared" si="2135"/>
        <v>1</v>
      </c>
      <c r="X1523" s="1">
        <f t="shared" si="2136"/>
        <v>1</v>
      </c>
      <c r="Y1523" s="1">
        <f t="shared" si="2137"/>
        <v>1</v>
      </c>
      <c r="Z1523" s="1">
        <f t="shared" si="2138"/>
        <v>0</v>
      </c>
      <c r="AA1523" s="1">
        <f t="shared" si="2139"/>
        <v>0</v>
      </c>
      <c r="AB1523" s="1">
        <f t="shared" si="2140"/>
        <v>0</v>
      </c>
      <c r="AC1523" s="1">
        <f t="shared" si="2141"/>
        <v>0</v>
      </c>
      <c r="AD1523" s="1">
        <f>ROUNDDOWN(I1523*(1+IF(F1523=3,0.05+方案参数!$Y$45+AA1523*0.12,IF(F1523=4,方案参数!$BZ$45*方案参数!$AS$45,0)))+IF(AND(X1523=1,F1523&lt;&gt;3),方案参数!$CC$45,0)+AC1523*方案参数!$CB$45,0)</f>
        <v>2544</v>
      </c>
      <c r="AE1523" s="1">
        <f>IF(OR(F1523=1,F1523=4),配置与结果!$B$24,配置与结果!$B$25)*MAX(0,1-INDEX(配置与结果!$I$15:$I$18,F1523))</f>
        <v>1000</v>
      </c>
      <c r="AF1523" s="1">
        <f>方案参数!$BV$45</f>
        <v>3</v>
      </c>
      <c r="AG1523" s="1">
        <f>MAX(配置与结果!$B$32,1+INDEX(配置与结果!$F$15:$F$18,F1523)+0+Q1523*方案参数!$W$45+Y1523*(方案参数!$AN$45+MIN(方案参数!$AO$45,P1523*0.03))+AB1523*方案参数!$BZ$45*0.025-配置与结果!$B$28)</f>
        <v>0.8849999999999999</v>
      </c>
      <c r="AH1523" s="1">
        <f>MAX(0,1+INDEX(配置与结果!$G$15:$G$18,F1523)+W1523*方案参数!$AG$45)</f>
        <v>1.3</v>
      </c>
      <c r="AI1523" s="1">
        <f>IF(OR(INDEX(配置与结果!$K$15:$K$18,F1523)=1,G1523="RHI_BERRY"),1+配置与结果!$B$33+P1523*方案参数!$AH$45,1)</f>
        <v>1</v>
      </c>
      <c r="AJ1523" s="1">
        <f>MIN(1,MAX(0,J1523+方案参数!$AB$45-配置与结果!$B$27))</f>
        <v>0.76</v>
      </c>
      <c r="AK1523" s="1">
        <f>MAX(1,K1523+IF(F1523=2,0.15+方案参数!$CH$45,0)+BN1523*方案参数!$X$45+R1523*方案参数!$AA$45+0-配置与结果!$B$26+Z1523*(方案参数!$AP$45+MIN(方案参数!$AQ$45,P1523*0.03)))</f>
        <v>1.9830000000000001</v>
      </c>
      <c r="AL1523" s="7">
        <f>ROUNDDOWN(MAX(AD1523*配置与结果!$B$31,AD1523-AE1523)*AF1523*AG1523*AH1523*AI1523,0)</f>
        <v>5329</v>
      </c>
      <c r="AM1523" s="7">
        <f>ROUNDDOWN(MAX(AD1523*配置与结果!$B$31,AD1523-AE1523)*AF1523*AG1523*AH1523*AI1523*AK1523,0)</f>
        <v>10567</v>
      </c>
      <c r="AN1523" s="7">
        <f t="shared" si="2074"/>
        <v>9309.880000000001</v>
      </c>
      <c r="AO1523" s="7">
        <f>方案参数!$BW$45</f>
        <v>1</v>
      </c>
      <c r="AP1523" s="7">
        <f>MAX(0,1+INDEX(配置与结果!$J$15:$J$18,F1523)+IF(T1523&gt;0,方案参数!$BY$45,0)-配置与结果!$B$30)</f>
        <v>2</v>
      </c>
      <c r="AQ1523" s="7">
        <f t="shared" si="2075"/>
        <v>5088</v>
      </c>
      <c r="AR1523" s="7">
        <f t="shared" si="2076"/>
        <v>10089</v>
      </c>
      <c r="AS1523" s="7">
        <f t="shared" si="2077"/>
        <v>8888.76</v>
      </c>
      <c r="AT1523" s="7">
        <f>0</f>
        <v>0</v>
      </c>
      <c r="AU1523" s="7">
        <f t="shared" si="2078"/>
        <v>18198.64</v>
      </c>
      <c r="AV1523" s="1">
        <f t="shared" si="2079"/>
        <v>1</v>
      </c>
      <c r="AW1523" s="1">
        <f>MIN(10,M1523+0+0)</f>
        <v>4</v>
      </c>
      <c r="AX1523" s="1">
        <f t="shared" si="2080"/>
        <v>0</v>
      </c>
      <c r="AY1523" s="1">
        <f t="shared" si="2149"/>
        <v>6</v>
      </c>
      <c r="AZ1523" s="1">
        <f t="shared" si="2081"/>
        <v>3</v>
      </c>
      <c r="BA1523" s="1">
        <f>MIN(6,Q1523+0)</f>
        <v>2</v>
      </c>
      <c r="BB1523" s="1">
        <f t="shared" si="2142"/>
        <v>5</v>
      </c>
      <c r="BC1523" s="1">
        <f t="shared" si="2123"/>
        <v>0</v>
      </c>
      <c r="BD1523" s="1">
        <f t="shared" ref="BD1523:BD1557" si="2150">MAX(0,T1523-IF(AO1523&gt;0,1,0))+0</f>
        <v>0</v>
      </c>
      <c r="BE1523" s="1">
        <f t="shared" si="2143"/>
        <v>0</v>
      </c>
      <c r="BF1523" s="1">
        <f>MIN(4,V1523+1)</f>
        <v>1</v>
      </c>
      <c r="BG1523" s="1">
        <f t="shared" si="2147"/>
        <v>1</v>
      </c>
      <c r="BH1523" s="1">
        <f t="shared" si="2144"/>
        <v>1</v>
      </c>
      <c r="BI1523" s="1">
        <f t="shared" si="2148"/>
        <v>1</v>
      </c>
      <c r="BJ1523" s="1">
        <f t="shared" si="2118"/>
        <v>0</v>
      </c>
      <c r="BK1523" s="1">
        <f t="shared" si="2119"/>
        <v>0</v>
      </c>
      <c r="BL1523" s="1">
        <f t="shared" si="2124"/>
        <v>0</v>
      </c>
      <c r="BM1523" s="1">
        <f t="shared" si="2122"/>
        <v>0</v>
      </c>
      <c r="BN1523" s="1">
        <f t="shared" si="2145"/>
        <v>1</v>
      </c>
      <c r="BO1523" s="1">
        <f t="shared" si="2146"/>
        <v>1</v>
      </c>
    </row>
    <row r="1524" spans="1:67" ht="30.95" customHeight="1">
      <c r="A1524" s="1">
        <f>42</f>
        <v>42</v>
      </c>
      <c r="B1524" s="1">
        <f>固定流程!A12</f>
        <v>7</v>
      </c>
      <c r="C1524" s="1">
        <f>45</f>
        <v>45</v>
      </c>
      <c r="D1524" s="1">
        <f>1</f>
        <v>1</v>
      </c>
      <c r="E1524" s="1">
        <f>固定流程!C12</f>
        <v>1</v>
      </c>
      <c r="F1524" s="1">
        <f>固定流程!G12</f>
        <v>4</v>
      </c>
      <c r="G1524" s="1" t="str">
        <f>固定流程!H12</f>
        <v>J_HARD</v>
      </c>
      <c r="H1524" s="1">
        <f>固定流程!F12</f>
        <v>1</v>
      </c>
      <c r="I1524" s="1">
        <f>INDEX(配置与结果!$B$15:$B$18,F1524)</f>
        <v>1906</v>
      </c>
      <c r="J1524" s="1">
        <f>INDEX(配置与结果!$D$15:$D$18,F1524)</f>
        <v>0.36699999999999999</v>
      </c>
      <c r="K1524" s="1">
        <f>INDEX(配置与结果!$E$15:$E$18,F1524)</f>
        <v>1.7170000000000001</v>
      </c>
      <c r="L1524" s="1">
        <f t="shared" si="2128"/>
        <v>1</v>
      </c>
      <c r="M1524" s="1">
        <f t="shared" si="2128"/>
        <v>4</v>
      </c>
      <c r="N1524" s="1">
        <f t="shared" si="2128"/>
        <v>0</v>
      </c>
      <c r="O1524" s="1">
        <f t="shared" si="2128"/>
        <v>6</v>
      </c>
      <c r="P1524" s="1">
        <f>MIN(方案参数!$AI$45,AZ1523+0+0)</f>
        <v>3</v>
      </c>
      <c r="Q1524" s="1">
        <f t="shared" si="2129"/>
        <v>2</v>
      </c>
      <c r="R1524" s="1">
        <f t="shared" si="2130"/>
        <v>5</v>
      </c>
      <c r="S1524" s="1">
        <f t="shared" si="2131"/>
        <v>0</v>
      </c>
      <c r="T1524" s="1">
        <f t="shared" si="2132"/>
        <v>0</v>
      </c>
      <c r="U1524" s="1">
        <f t="shared" si="2133"/>
        <v>0</v>
      </c>
      <c r="V1524" s="1">
        <f t="shared" si="2134"/>
        <v>1</v>
      </c>
      <c r="W1524" s="1">
        <f t="shared" si="2135"/>
        <v>1</v>
      </c>
      <c r="X1524" s="1">
        <f t="shared" si="2136"/>
        <v>1</v>
      </c>
      <c r="Y1524" s="1">
        <f t="shared" si="2137"/>
        <v>1</v>
      </c>
      <c r="Z1524" s="1">
        <f t="shared" si="2138"/>
        <v>0</v>
      </c>
      <c r="AA1524" s="1">
        <f t="shared" si="2139"/>
        <v>0</v>
      </c>
      <c r="AB1524" s="1">
        <f t="shared" si="2140"/>
        <v>0</v>
      </c>
      <c r="AC1524" s="1">
        <f t="shared" si="2141"/>
        <v>0</v>
      </c>
      <c r="AD1524" s="1">
        <f>ROUNDDOWN(I1524*(1+IF(F1524=3,0.05+方案参数!$Y$45+AA1524*0.12,IF(F1524=4,方案参数!$BZ$45*方案参数!$AS$45,0)))+IF(AND(X1524=1,F1524&lt;&gt;3),方案参数!$CC$45,0)+AC1524*方案参数!$CB$45,0)</f>
        <v>2811</v>
      </c>
      <c r="AE1524" s="1">
        <f>IF(OR(F1524=1,F1524=4),配置与结果!$B$24,配置与结果!$B$25)*MAX(0,1-INDEX(配置与结果!$I$15:$I$18,F1524))</f>
        <v>1200</v>
      </c>
      <c r="AF1524" s="1">
        <f>3.6*IF(H1524=1,1,IF(H1524=2,1.5,2.5))</f>
        <v>3.6</v>
      </c>
      <c r="AG1524" s="1">
        <f>MAX(配置与结果!$B$32,1+INDEX(配置与结果!$F$15:$F$18,F1524)+0.08+Q1524*方案参数!$W$45+Y1524*(方案参数!$AN$45+MIN(方案参数!$AO$45,P1524*0.03))+AB1524*方案参数!$BZ$45*0.025+0.1+IF(方案参数!$BZ$45&gt;=30,方案参数!$BZ$45*0.01,0)-配置与结果!$B$28)</f>
        <v>1.4350000000000001</v>
      </c>
      <c r="AH1524" s="1">
        <f>MAX(0,1+INDEX(配置与结果!$G$15:$G$18,F1524)+W1524*方案参数!$AG$45)</f>
        <v>1.3</v>
      </c>
      <c r="AI1524" s="1">
        <f>IF(OR(INDEX(配置与结果!$K$15:$K$18,F1524)=1,G1524="RHI_BERRY"),1+配置与结果!$B$33+P1524*方案参数!$AH$45,1)</f>
        <v>1</v>
      </c>
      <c r="AJ1524" s="1">
        <f>MIN(1,MAX(0,J1524+方案参数!$AB$45-配置与结果!$B$27))</f>
        <v>0.66700000000000004</v>
      </c>
      <c r="AK1524" s="1">
        <f>MAX(1,K1524+IF(F1524=2,0.15+方案参数!$CH$45,0)+BN1524*方案参数!$X$45+R1524*方案参数!$AA$45+0-配置与结果!$B$26+Z1524*(方案参数!$AP$45+MIN(方案参数!$AQ$45,P1524*0.03)))</f>
        <v>1.5019999999999998</v>
      </c>
      <c r="AL1524" s="7">
        <f>ROUNDDOWN(MAX(AD1524*配置与结果!$B$31,AD1524-AE1524)*AF1524*AG1524*AH1524*AI1524,0)</f>
        <v>10819</v>
      </c>
      <c r="AM1524" s="7">
        <f>ROUNDDOWN(MAX(AD1524*配置与结果!$B$31,AD1524-AE1524)*AF1524*AG1524*AH1524*AI1524*AK1524,0)</f>
        <v>16250</v>
      </c>
      <c r="AN1524" s="7">
        <f t="shared" si="2074"/>
        <v>14441.476999999999</v>
      </c>
      <c r="AO1524" s="7">
        <f>0</f>
        <v>0</v>
      </c>
      <c r="AP1524" s="7">
        <f>MAX(0,1+INDEX(配置与结果!$J$15:$J$18,F1524)+IF(T1524&gt;0,方案参数!$BY$45,0)-配置与结果!$B$30)</f>
        <v>1</v>
      </c>
      <c r="AQ1524" s="7">
        <f t="shared" si="2075"/>
        <v>0</v>
      </c>
      <c r="AR1524" s="7">
        <f t="shared" si="2076"/>
        <v>0</v>
      </c>
      <c r="AS1524" s="7">
        <f t="shared" si="2077"/>
        <v>0</v>
      </c>
      <c r="AT1524" s="7">
        <f>0</f>
        <v>0</v>
      </c>
      <c r="AU1524" s="7">
        <f t="shared" si="2078"/>
        <v>14441.476999999999</v>
      </c>
      <c r="AV1524" s="1">
        <f t="shared" si="2079"/>
        <v>1</v>
      </c>
      <c r="AW1524" s="1">
        <f>MIN(10,M1524+0+0)</f>
        <v>4</v>
      </c>
      <c r="AX1524" s="1">
        <f t="shared" si="2080"/>
        <v>0</v>
      </c>
      <c r="AY1524" s="1">
        <f t="shared" si="2149"/>
        <v>6</v>
      </c>
      <c r="AZ1524" s="1">
        <f t="shared" si="2081"/>
        <v>3</v>
      </c>
      <c r="BA1524" s="1">
        <f>MIN(6,Q1524+0)</f>
        <v>2</v>
      </c>
      <c r="BB1524" s="1">
        <f t="shared" si="2142"/>
        <v>5</v>
      </c>
      <c r="BC1524" s="1">
        <f>MIN(3,S1524+1)</f>
        <v>1</v>
      </c>
      <c r="BD1524" s="1">
        <f t="shared" si="2150"/>
        <v>0</v>
      </c>
      <c r="BE1524" s="1">
        <f t="shared" si="2143"/>
        <v>0</v>
      </c>
      <c r="BF1524" s="1">
        <f>MIN(4,V1524+0)</f>
        <v>1</v>
      </c>
      <c r="BG1524" s="1">
        <f t="shared" si="2147"/>
        <v>1</v>
      </c>
      <c r="BH1524" s="1">
        <f t="shared" si="2144"/>
        <v>1</v>
      </c>
      <c r="BI1524" s="1">
        <f t="shared" si="2148"/>
        <v>1</v>
      </c>
      <c r="BJ1524" s="1">
        <f t="shared" si="2118"/>
        <v>0</v>
      </c>
      <c r="BK1524" s="1">
        <f t="shared" si="2119"/>
        <v>0</v>
      </c>
      <c r="BL1524" s="1">
        <f t="shared" si="2124"/>
        <v>0</v>
      </c>
      <c r="BM1524" s="1">
        <f t="shared" si="2122"/>
        <v>0</v>
      </c>
      <c r="BN1524" s="1">
        <f t="shared" si="2145"/>
        <v>1</v>
      </c>
      <c r="BO1524" s="1">
        <f t="shared" si="2146"/>
        <v>1</v>
      </c>
    </row>
    <row r="1525" spans="1:67" ht="30.95" customHeight="1">
      <c r="A1525" s="1">
        <f>42</f>
        <v>42</v>
      </c>
      <c r="B1525" s="1">
        <f>固定流程!A13</f>
        <v>8</v>
      </c>
      <c r="C1525" s="1">
        <f>45</f>
        <v>45</v>
      </c>
      <c r="D1525" s="1">
        <f>1</f>
        <v>1</v>
      </c>
      <c r="E1525" s="1">
        <f>固定流程!C13</f>
        <v>2</v>
      </c>
      <c r="F1525" s="1">
        <f>固定流程!G13</f>
        <v>3</v>
      </c>
      <c r="G1525" s="1" t="str">
        <f>固定流程!H13</f>
        <v>RHI_ATTACK</v>
      </c>
      <c r="H1525" s="1">
        <f>固定流程!F13</f>
        <v>1</v>
      </c>
      <c r="I1525" s="1">
        <f>INDEX(配置与结果!$B$15:$B$18,F1525)</f>
        <v>2597</v>
      </c>
      <c r="J1525" s="1">
        <f>INDEX(配置与结果!$D$15:$D$18,F1525)</f>
        <v>0.255</v>
      </c>
      <c r="K1525" s="1">
        <f>INDEX(配置与结果!$E$15:$E$18,F1525)</f>
        <v>1.55</v>
      </c>
      <c r="L1525" s="1">
        <f>IF(AV1524=1,IF(M1525&gt;=10,2,1),IF(AV1524=2,IF(AX1524&lt;=1,0,2),0))</f>
        <v>1</v>
      </c>
      <c r="M1525" s="1">
        <f>IF(AND(AV1524=2,AX1524&lt;=1),0,MIN(10,AW1524+IF(AV1524=1,3,0)))</f>
        <v>7</v>
      </c>
      <c r="N1525" s="1">
        <f>IF(AND(AV1524=1,M1525&gt;=10),2,IF(AV1524=2,MAX(0,AX1524-1),0))</f>
        <v>0</v>
      </c>
      <c r="O1525" s="1">
        <f t="shared" ref="O1525:O1553" si="2151">AY1524</f>
        <v>6</v>
      </c>
      <c r="P1525" s="1">
        <f>MIN(方案参数!$AI$45,AZ1524+方案参数!$AJ$45+方案参数!$AK$45)</f>
        <v>5</v>
      </c>
      <c r="Q1525" s="1">
        <f t="shared" si="2129"/>
        <v>2</v>
      </c>
      <c r="R1525" s="1">
        <f t="shared" si="2130"/>
        <v>5</v>
      </c>
      <c r="S1525" s="1">
        <f t="shared" si="2131"/>
        <v>1</v>
      </c>
      <c r="T1525" s="1">
        <f t="shared" si="2132"/>
        <v>0</v>
      </c>
      <c r="U1525" s="1">
        <f t="shared" si="2133"/>
        <v>0</v>
      </c>
      <c r="V1525" s="1">
        <f t="shared" si="2134"/>
        <v>1</v>
      </c>
      <c r="W1525" s="1">
        <f t="shared" si="2135"/>
        <v>1</v>
      </c>
      <c r="X1525" s="1">
        <f t="shared" si="2136"/>
        <v>1</v>
      </c>
      <c r="Y1525" s="1">
        <f t="shared" si="2137"/>
        <v>1</v>
      </c>
      <c r="Z1525" s="1">
        <f t="shared" si="2138"/>
        <v>0</v>
      </c>
      <c r="AA1525" s="1">
        <f>MAX(BK1524,1)</f>
        <v>1</v>
      </c>
      <c r="AB1525" s="1">
        <f t="shared" si="2140"/>
        <v>0</v>
      </c>
      <c r="AC1525" s="1">
        <f t="shared" si="2141"/>
        <v>0</v>
      </c>
      <c r="AD1525" s="1">
        <f>ROUNDDOWN(I1525*(1+IF(F1525=3,0.05+方案参数!$Y$45+AA1525*0.12,IF(F1525=4,方案参数!$BZ$45*方案参数!$AS$45,0)))+IF(AND(X1525=1,F1525&lt;&gt;3),方案参数!$CC$45,0)+AC1525*方案参数!$CB$45,0)</f>
        <v>3298</v>
      </c>
      <c r="AE1525" s="1">
        <f>IF(OR(F1525=1,F1525=4),配置与结果!$B$24,配置与结果!$B$25)*MAX(0,1-INDEX(配置与结果!$I$15:$I$18,F1525))</f>
        <v>1000</v>
      </c>
      <c r="AF1525" s="1">
        <f>4</f>
        <v>4</v>
      </c>
      <c r="AG1525" s="1">
        <f>MAX(配置与结果!$B$32,1+INDEX(配置与结果!$F$15:$F$18,F1525)+0+Q1525*方案参数!$W$45+Y1525*(方案参数!$AN$45+MIN(方案参数!$AO$45,P1525*0.03))+AB1525*方案参数!$BZ$45*0.025-配置与结果!$B$28)</f>
        <v>0.97499999999999998</v>
      </c>
      <c r="AH1525" s="1">
        <f>MAX(0,1+INDEX(配置与结果!$G$15:$G$18,F1525)+W1525*方案参数!$AG$45)</f>
        <v>1.3</v>
      </c>
      <c r="AI1525" s="1">
        <f>IF(OR(INDEX(配置与结果!$K$15:$K$18,F1525)=1,G1525="RHI_BERRY"),1+配置与结果!$B$33+P1525*方案参数!$AH$45,1)</f>
        <v>1</v>
      </c>
      <c r="AJ1525" s="1">
        <f>MIN(1,MAX(0,J1525+方案参数!$AB$45-配置与结果!$B$27))</f>
        <v>0.55499999999999994</v>
      </c>
      <c r="AK1525" s="1">
        <f>MAX(1,K1525+IF(F1525=2,0.15+方案参数!$CH$45,0)+BN1525*方案参数!$X$45+R1525*方案参数!$AA$45+0-配置与结果!$B$26+Z1525*(方案参数!$AP$45+MIN(方案参数!$AQ$45,P1525*0.03)))</f>
        <v>1.335</v>
      </c>
      <c r="AL1525" s="7">
        <f>ROUNDDOWN(MAX(AD1525*配置与结果!$B$31,AD1525-AE1525)*AF1525*AG1525*AH1525*AI1525,0)</f>
        <v>11650</v>
      </c>
      <c r="AM1525" s="7">
        <f>ROUNDDOWN(MAX(AD1525*配置与结果!$B$31,AD1525-AE1525)*AF1525*AG1525*AH1525*AI1525*AK1525,0)</f>
        <v>15553</v>
      </c>
      <c r="AN1525" s="7">
        <f t="shared" si="2074"/>
        <v>13816.165000000001</v>
      </c>
      <c r="AO1525" s="7">
        <f>0</f>
        <v>0</v>
      </c>
      <c r="AP1525" s="7">
        <f>MAX(0,1+INDEX(配置与结果!$J$15:$J$18,F1525)+IF(T1525&gt;0,方案参数!$BY$45,0)-配置与结果!$B$30)</f>
        <v>1</v>
      </c>
      <c r="AQ1525" s="7">
        <f t="shared" si="2075"/>
        <v>0</v>
      </c>
      <c r="AR1525" s="7">
        <f t="shared" si="2076"/>
        <v>0</v>
      </c>
      <c r="AS1525" s="7">
        <f t="shared" si="2077"/>
        <v>0</v>
      </c>
      <c r="AT1525" s="7">
        <f>0</f>
        <v>0</v>
      </c>
      <c r="AU1525" s="7">
        <f t="shared" si="2078"/>
        <v>13816.165000000001</v>
      </c>
      <c r="AV1525" s="1">
        <f t="shared" si="2079"/>
        <v>1</v>
      </c>
      <c r="AW1525" s="1">
        <f>MIN(10,M1525+0+0)</f>
        <v>7</v>
      </c>
      <c r="AX1525" s="1">
        <f t="shared" si="2080"/>
        <v>0</v>
      </c>
      <c r="AY1525" s="1">
        <f t="shared" si="2149"/>
        <v>6</v>
      </c>
      <c r="AZ1525" s="1">
        <f t="shared" si="2081"/>
        <v>5</v>
      </c>
      <c r="BA1525" s="1">
        <f>MIN(6,Q1525+1)</f>
        <v>3</v>
      </c>
      <c r="BB1525" s="1">
        <f t="shared" si="2142"/>
        <v>5</v>
      </c>
      <c r="BC1525" s="1">
        <f>MIN(3,S1525+0)</f>
        <v>1</v>
      </c>
      <c r="BD1525" s="1">
        <f t="shared" si="2150"/>
        <v>0</v>
      </c>
      <c r="BE1525" s="1">
        <f t="shared" si="2143"/>
        <v>0</v>
      </c>
      <c r="BF1525" s="1">
        <f>MIN(4,V1525+0)</f>
        <v>1</v>
      </c>
      <c r="BG1525" s="1">
        <f t="shared" si="2147"/>
        <v>1</v>
      </c>
      <c r="BH1525" s="1">
        <f t="shared" si="2144"/>
        <v>1</v>
      </c>
      <c r="BI1525" s="1">
        <f t="shared" si="2148"/>
        <v>1</v>
      </c>
      <c r="BJ1525" s="1">
        <f>MAX(Z1525,1)</f>
        <v>1</v>
      </c>
      <c r="BK1525" s="1">
        <f>MAX(AA1525,1)</f>
        <v>1</v>
      </c>
      <c r="BL1525" s="1">
        <f t="shared" si="2124"/>
        <v>0</v>
      </c>
      <c r="BM1525" s="1">
        <f t="shared" si="2122"/>
        <v>0</v>
      </c>
      <c r="BN1525" s="1">
        <f t="shared" si="2145"/>
        <v>1</v>
      </c>
      <c r="BO1525" s="1">
        <f t="shared" si="2146"/>
        <v>1</v>
      </c>
    </row>
    <row r="1526" spans="1:67" ht="30.95" customHeight="1">
      <c r="A1526" s="1">
        <f>42</f>
        <v>42</v>
      </c>
      <c r="B1526" s="1">
        <f>固定流程!A14</f>
        <v>9</v>
      </c>
      <c r="C1526" s="1">
        <f>45</f>
        <v>45</v>
      </c>
      <c r="D1526" s="1">
        <f>1</f>
        <v>1</v>
      </c>
      <c r="E1526" s="1">
        <f>固定流程!C14</f>
        <v>2</v>
      </c>
      <c r="F1526" s="1">
        <f>固定流程!G14</f>
        <v>1</v>
      </c>
      <c r="G1526" s="1" t="str">
        <f>固定流程!H14</f>
        <v>LILYA_DIVE</v>
      </c>
      <c r="H1526" s="1">
        <f>固定流程!F14</f>
        <v>3</v>
      </c>
      <c r="I1526" s="1">
        <f>INDEX(配置与结果!$B$15:$B$18,F1526)</f>
        <v>2296</v>
      </c>
      <c r="J1526" s="1">
        <f>INDEX(配置与结果!$D$15:$D$18,F1526)</f>
        <v>0.7</v>
      </c>
      <c r="K1526" s="1">
        <f>INDEX(配置与结果!$E$15:$E$18,F1526)</f>
        <v>2.0249999999999999</v>
      </c>
      <c r="L1526" s="1">
        <f t="shared" ref="L1526:N1530" si="2152">AV1525</f>
        <v>1</v>
      </c>
      <c r="M1526" s="1">
        <f t="shared" si="2152"/>
        <v>7</v>
      </c>
      <c r="N1526" s="1">
        <f t="shared" si="2152"/>
        <v>0</v>
      </c>
      <c r="O1526" s="1">
        <f t="shared" si="2151"/>
        <v>6</v>
      </c>
      <c r="P1526" s="1">
        <f>MIN(方案参数!$AI$45,AZ1525+0+0)</f>
        <v>5</v>
      </c>
      <c r="Q1526" s="1">
        <f t="shared" si="2129"/>
        <v>3</v>
      </c>
      <c r="R1526" s="1">
        <f t="shared" si="2130"/>
        <v>5</v>
      </c>
      <c r="S1526" s="1">
        <f t="shared" si="2131"/>
        <v>1</v>
      </c>
      <c r="T1526" s="1">
        <f t="shared" si="2132"/>
        <v>0</v>
      </c>
      <c r="U1526" s="1">
        <f t="shared" si="2133"/>
        <v>0</v>
      </c>
      <c r="V1526" s="1">
        <f t="shared" si="2134"/>
        <v>1</v>
      </c>
      <c r="W1526" s="1">
        <f t="shared" si="2135"/>
        <v>1</v>
      </c>
      <c r="X1526" s="1">
        <f t="shared" si="2136"/>
        <v>1</v>
      </c>
      <c r="Y1526" s="1">
        <f t="shared" si="2137"/>
        <v>1</v>
      </c>
      <c r="Z1526" s="1">
        <f t="shared" si="2138"/>
        <v>1</v>
      </c>
      <c r="AA1526" s="1">
        <f t="shared" ref="AA1526:AA1531" si="2153">MAX(BK1525,0)</f>
        <v>1</v>
      </c>
      <c r="AB1526" s="1">
        <f t="shared" si="2140"/>
        <v>0</v>
      </c>
      <c r="AC1526" s="1">
        <f t="shared" si="2141"/>
        <v>0</v>
      </c>
      <c r="AD1526" s="1">
        <f>ROUNDDOWN(I1526*(1+IF(F1526=3,0.05+方案参数!$Y$45+AA1526*0.12,IF(F1526=4,方案参数!$BZ$45*方案参数!$AS$45,0)))+IF(AND(X1526=1,F1526&lt;&gt;3),方案参数!$CC$45,0)+AC1526*方案参数!$CB$45,0)</f>
        <v>2534</v>
      </c>
      <c r="AE1526" s="1">
        <f>IF(OR(F1526=1,F1526=4),配置与结果!$B$24,配置与结果!$B$25)*MAX(0,1-INDEX(配置与结果!$I$15:$I$18,F1526))</f>
        <v>1200</v>
      </c>
      <c r="AF1526" s="1">
        <f>(IF(L1526=1,方案参数!$AW$45,IF(L1526=2,方案参数!$AX$45,0))+方案参数!$AV$45)*H1526</f>
        <v>18</v>
      </c>
      <c r="AG1526" s="1">
        <f>MAX(配置与结果!$B$32,1+INDEX(配置与结果!$F$15:$F$18,F1526)+0.08+方案参数!$CD$45+Q1526*方案参数!$W$45+Y1526*(方案参数!$AN$45+MIN(方案参数!$AO$45,P1526*0.03))+AB1526*方案参数!$BZ$45*0.025+IF(L1526=1,方案参数!$AY$45+(H1526-1)*0.1,IF(L1526=2,方案参数!$AZ$45+(H1526-1)*0.2,0))-配置与结果!$B$28)</f>
        <v>1.6</v>
      </c>
      <c r="AH1526" s="1">
        <f>MAX(0,1+INDEX(配置与结果!$G$15:$G$18,F1526)+W1526*方案参数!$AG$45+IF(L1526=1,方案参数!$BA$45,IF(L1526=2,方案参数!$BB$45,0))+M1526*方案参数!$BC$45)</f>
        <v>2.3199999999999998</v>
      </c>
      <c r="AI1526" s="1">
        <f>IF(OR(INDEX(配置与结果!$K$15:$K$18,F1526)=1,G1526="RHI_BERRY"),1+配置与结果!$B$33+P1526*方案参数!$AH$45,1)</f>
        <v>1</v>
      </c>
      <c r="AJ1526" s="1">
        <f>MIN(1,MAX(0,J1526+方案参数!$AB$45-配置与结果!$B$27))</f>
        <v>1</v>
      </c>
      <c r="AK1526" s="1">
        <f>MAX(1,K1526+IF(F1526=2,0.15+方案参数!$CH$45,0)+BN1526*方案参数!$X$45+R1526*方案参数!$AA$45+0-配置与结果!$B$26+Z1526*(方案参数!$AP$45+MIN(方案参数!$AQ$45,P1526*0.03)))</f>
        <v>2.11</v>
      </c>
      <c r="AL1526" s="7">
        <f>ROUNDDOWN(MAX(AD1526*配置与结果!$B$31,AD1526-AE1526)*AF1526*AG1526*AH1526*AI1526,0)</f>
        <v>89132</v>
      </c>
      <c r="AM1526" s="7">
        <f>ROUNDDOWN(MAX(AD1526*配置与结果!$B$31,AD1526-AE1526)*AF1526*AG1526*AH1526*AI1526*AK1526,0)</f>
        <v>188069</v>
      </c>
      <c r="AN1526" s="7">
        <f t="shared" si="2074"/>
        <v>188069</v>
      </c>
      <c r="AO1526" s="7">
        <f>0</f>
        <v>0</v>
      </c>
      <c r="AP1526" s="7">
        <f>MAX(0,1+INDEX(配置与结果!$J$15:$J$18,F1526)+IF(T1526&gt;0,方案参数!$BY$45,0)-配置与结果!$B$30)</f>
        <v>1</v>
      </c>
      <c r="AQ1526" s="7">
        <f t="shared" si="2075"/>
        <v>0</v>
      </c>
      <c r="AR1526" s="7">
        <f t="shared" si="2076"/>
        <v>0</v>
      </c>
      <c r="AS1526" s="7">
        <f t="shared" si="2077"/>
        <v>0</v>
      </c>
      <c r="AT1526" s="7">
        <f>0</f>
        <v>0</v>
      </c>
      <c r="AU1526" s="7">
        <f t="shared" si="2078"/>
        <v>188069</v>
      </c>
      <c r="AV1526" s="1">
        <f t="shared" si="2079"/>
        <v>1</v>
      </c>
      <c r="AW1526" s="1">
        <f>MIN(10,M1526+0+IF(L1526=1,方案参数!$BE$45,0))</f>
        <v>8</v>
      </c>
      <c r="AX1526" s="1">
        <f t="shared" si="2080"/>
        <v>0</v>
      </c>
      <c r="AY1526" s="1">
        <f t="shared" si="2149"/>
        <v>6</v>
      </c>
      <c r="AZ1526" s="1">
        <f t="shared" si="2081"/>
        <v>5</v>
      </c>
      <c r="BA1526" s="1">
        <f>MIN(6,Q1526+0)</f>
        <v>3</v>
      </c>
      <c r="BB1526" s="1">
        <f t="shared" si="2142"/>
        <v>5</v>
      </c>
      <c r="BC1526" s="1">
        <f>MIN(3,S1526+0)</f>
        <v>1</v>
      </c>
      <c r="BD1526" s="1">
        <f t="shared" si="2150"/>
        <v>0</v>
      </c>
      <c r="BE1526" s="1">
        <f t="shared" si="2143"/>
        <v>0</v>
      </c>
      <c r="BF1526" s="1">
        <f>MIN(4,V1526+0)</f>
        <v>1</v>
      </c>
      <c r="BG1526" s="1">
        <f t="shared" si="2147"/>
        <v>1</v>
      </c>
      <c r="BH1526" s="1">
        <f t="shared" si="2144"/>
        <v>1</v>
      </c>
      <c r="BI1526" s="1">
        <f t="shared" si="2148"/>
        <v>1</v>
      </c>
      <c r="BJ1526" s="1">
        <f t="shared" ref="BJ1526:BK1531" si="2154">MAX(Z1526,0)</f>
        <v>1</v>
      </c>
      <c r="BK1526" s="1">
        <f t="shared" si="2154"/>
        <v>1</v>
      </c>
      <c r="BL1526" s="1">
        <f t="shared" si="2124"/>
        <v>0</v>
      </c>
      <c r="BM1526" s="1">
        <f t="shared" si="2122"/>
        <v>0</v>
      </c>
      <c r="BN1526" s="1">
        <f t="shared" si="2145"/>
        <v>1</v>
      </c>
      <c r="BO1526" s="1">
        <f t="shared" si="2146"/>
        <v>1</v>
      </c>
    </row>
    <row r="1527" spans="1:67" ht="30.95" customHeight="1">
      <c r="A1527" s="1">
        <f>42</f>
        <v>42</v>
      </c>
      <c r="B1527" s="1">
        <f>固定流程!A15</f>
        <v>10</v>
      </c>
      <c r="C1527" s="1">
        <f>45</f>
        <v>45</v>
      </c>
      <c r="D1527" s="1">
        <f>1</f>
        <v>1</v>
      </c>
      <c r="E1527" s="1">
        <f>固定流程!C15</f>
        <v>2</v>
      </c>
      <c r="F1527" s="1">
        <f>固定流程!G15</f>
        <v>4</v>
      </c>
      <c r="G1527" s="1" t="str">
        <f>固定流程!H15</f>
        <v>J_HARD</v>
      </c>
      <c r="H1527" s="1">
        <f>固定流程!F15</f>
        <v>1</v>
      </c>
      <c r="I1527" s="1">
        <f>INDEX(配置与结果!$B$15:$B$18,F1527)</f>
        <v>1906</v>
      </c>
      <c r="J1527" s="1">
        <f>INDEX(配置与结果!$D$15:$D$18,F1527)</f>
        <v>0.36699999999999999</v>
      </c>
      <c r="K1527" s="1">
        <f>INDEX(配置与结果!$E$15:$E$18,F1527)</f>
        <v>1.7170000000000001</v>
      </c>
      <c r="L1527" s="1">
        <f t="shared" si="2152"/>
        <v>1</v>
      </c>
      <c r="M1527" s="1">
        <f t="shared" si="2152"/>
        <v>8</v>
      </c>
      <c r="N1527" s="1">
        <f t="shared" si="2152"/>
        <v>0</v>
      </c>
      <c r="O1527" s="1">
        <f t="shared" si="2151"/>
        <v>6</v>
      </c>
      <c r="P1527" s="1">
        <f>MIN(方案参数!$AI$45,AZ1526+0+0)</f>
        <v>5</v>
      </c>
      <c r="Q1527" s="1">
        <f t="shared" si="2129"/>
        <v>3</v>
      </c>
      <c r="R1527" s="1">
        <f t="shared" si="2130"/>
        <v>5</v>
      </c>
      <c r="S1527" s="1">
        <f t="shared" si="2131"/>
        <v>1</v>
      </c>
      <c r="T1527" s="1">
        <f t="shared" si="2132"/>
        <v>0</v>
      </c>
      <c r="U1527" s="1">
        <f t="shared" si="2133"/>
        <v>0</v>
      </c>
      <c r="V1527" s="1">
        <f t="shared" si="2134"/>
        <v>1</v>
      </c>
      <c r="W1527" s="1">
        <f t="shared" si="2135"/>
        <v>1</v>
      </c>
      <c r="X1527" s="1">
        <f t="shared" si="2136"/>
        <v>1</v>
      </c>
      <c r="Y1527" s="1">
        <f t="shared" si="2137"/>
        <v>1</v>
      </c>
      <c r="Z1527" s="1">
        <f t="shared" si="2138"/>
        <v>1</v>
      </c>
      <c r="AA1527" s="1">
        <f t="shared" si="2153"/>
        <v>1</v>
      </c>
      <c r="AB1527" s="1">
        <f t="shared" si="2140"/>
        <v>0</v>
      </c>
      <c r="AC1527" s="1">
        <f t="shared" si="2141"/>
        <v>0</v>
      </c>
      <c r="AD1527" s="1">
        <f>ROUNDDOWN(I1527*(1+IF(F1527=3,0.05+方案参数!$Y$45+AA1527*0.12,IF(F1527=4,方案参数!$BZ$45*方案参数!$AS$45,0)))+IF(AND(X1527=1,F1527&lt;&gt;3),方案参数!$CC$45,0)+AC1527*方案参数!$CB$45,0)</f>
        <v>2811</v>
      </c>
      <c r="AE1527" s="1">
        <f>IF(OR(F1527=1,F1527=4),配置与结果!$B$24,配置与结果!$B$25)*MAX(0,1-INDEX(配置与结果!$I$15:$I$18,F1527))</f>
        <v>1200</v>
      </c>
      <c r="AF1527" s="1">
        <f>3.6*IF(H1527=1,1,IF(H1527=2,1.5,2.5))</f>
        <v>3.6</v>
      </c>
      <c r="AG1527" s="1">
        <f>MAX(配置与结果!$B$32,1+INDEX(配置与结果!$F$15:$F$18,F1527)+0.08+Q1527*方案参数!$W$45+Y1527*(方案参数!$AN$45+MIN(方案参数!$AO$45,P1527*0.03))+AB1527*方案参数!$BZ$45*0.025+0.1+IF(方案参数!$BZ$45&gt;=30,方案参数!$BZ$45*0.01,0)-配置与结果!$B$28)</f>
        <v>1.5150000000000001</v>
      </c>
      <c r="AH1527" s="1">
        <f>MAX(0,1+INDEX(配置与结果!$G$15:$G$18,F1527)+W1527*方案参数!$AG$45)</f>
        <v>1.3</v>
      </c>
      <c r="AI1527" s="1">
        <f>IF(OR(INDEX(配置与结果!$K$15:$K$18,F1527)=1,G1527="RHI_BERRY"),1+配置与结果!$B$33+P1527*方案参数!$AH$45,1)</f>
        <v>1</v>
      </c>
      <c r="AJ1527" s="1">
        <f>MIN(1,MAX(0,J1527+方案参数!$AB$45-配置与结果!$B$27))</f>
        <v>0.66700000000000004</v>
      </c>
      <c r="AK1527" s="1">
        <f>MAX(1,K1527+IF(F1527=2,0.15+方案参数!$CH$45,0)+BN1527*方案参数!$X$45+R1527*方案参数!$AA$45+0-配置与结果!$B$26+Z1527*(方案参数!$AP$45+MIN(方案参数!$AQ$45,P1527*0.03)))</f>
        <v>1.8019999999999998</v>
      </c>
      <c r="AL1527" s="7">
        <f>ROUNDDOWN(MAX(AD1527*配置与结果!$B$31,AD1527-AE1527)*AF1527*AG1527*AH1527*AI1527,0)</f>
        <v>11422</v>
      </c>
      <c r="AM1527" s="7">
        <f>ROUNDDOWN(MAX(AD1527*配置与结果!$B$31,AD1527-AE1527)*AF1527*AG1527*AH1527*AI1527*AK1527,0)</f>
        <v>20583</v>
      </c>
      <c r="AN1527" s="7">
        <f t="shared" si="2074"/>
        <v>17532.386999999999</v>
      </c>
      <c r="AO1527" s="7">
        <f>0</f>
        <v>0</v>
      </c>
      <c r="AP1527" s="7">
        <f>MAX(0,1+INDEX(配置与结果!$J$15:$J$18,F1527)+IF(T1527&gt;0,方案参数!$BY$45,0)-配置与结果!$B$30)</f>
        <v>1</v>
      </c>
      <c r="AQ1527" s="7">
        <f t="shared" si="2075"/>
        <v>0</v>
      </c>
      <c r="AR1527" s="7">
        <f t="shared" si="2076"/>
        <v>0</v>
      </c>
      <c r="AS1527" s="7">
        <f t="shared" si="2077"/>
        <v>0</v>
      </c>
      <c r="AT1527" s="7">
        <f>0</f>
        <v>0</v>
      </c>
      <c r="AU1527" s="7">
        <f t="shared" si="2078"/>
        <v>17532.386999999999</v>
      </c>
      <c r="AV1527" s="1">
        <f t="shared" si="2079"/>
        <v>1</v>
      </c>
      <c r="AW1527" s="1">
        <f t="shared" ref="AW1527:AW1537" si="2155">MIN(10,M1527+0+0)</f>
        <v>8</v>
      </c>
      <c r="AX1527" s="1">
        <f t="shared" si="2080"/>
        <v>0</v>
      </c>
      <c r="AY1527" s="1">
        <f t="shared" si="2149"/>
        <v>6</v>
      </c>
      <c r="AZ1527" s="1">
        <f t="shared" si="2081"/>
        <v>5</v>
      </c>
      <c r="BA1527" s="1">
        <f>MIN(6,Q1527+0)</f>
        <v>3</v>
      </c>
      <c r="BB1527" s="1">
        <f t="shared" si="2142"/>
        <v>5</v>
      </c>
      <c r="BC1527" s="1">
        <f>MIN(3,S1527+1)</f>
        <v>2</v>
      </c>
      <c r="BD1527" s="1">
        <f t="shared" si="2150"/>
        <v>0</v>
      </c>
      <c r="BE1527" s="1">
        <f t="shared" si="2143"/>
        <v>0</v>
      </c>
      <c r="BF1527" s="1">
        <f>MIN(4,V1527+0)</f>
        <v>1</v>
      </c>
      <c r="BG1527" s="1">
        <f t="shared" si="2147"/>
        <v>1</v>
      </c>
      <c r="BH1527" s="1">
        <f t="shared" si="2144"/>
        <v>1</v>
      </c>
      <c r="BI1527" s="1">
        <f t="shared" si="2148"/>
        <v>1</v>
      </c>
      <c r="BJ1527" s="1">
        <f t="shared" si="2154"/>
        <v>1</v>
      </c>
      <c r="BK1527" s="1">
        <f t="shared" si="2154"/>
        <v>1</v>
      </c>
      <c r="BL1527" s="1">
        <f t="shared" si="2124"/>
        <v>0</v>
      </c>
      <c r="BM1527" s="1">
        <f t="shared" si="2122"/>
        <v>0</v>
      </c>
      <c r="BN1527" s="1">
        <f t="shared" si="2145"/>
        <v>1</v>
      </c>
      <c r="BO1527" s="1">
        <f t="shared" si="2146"/>
        <v>1</v>
      </c>
    </row>
    <row r="1528" spans="1:67" ht="30.95" customHeight="1">
      <c r="A1528" s="1">
        <f>42</f>
        <v>42</v>
      </c>
      <c r="B1528" s="1">
        <f>固定流程!A16</f>
        <v>11</v>
      </c>
      <c r="C1528" s="1">
        <f>45</f>
        <v>45</v>
      </c>
      <c r="D1528" s="1">
        <f>1</f>
        <v>1</v>
      </c>
      <c r="E1528" s="1">
        <f>固定流程!C16</f>
        <v>2</v>
      </c>
      <c r="F1528" s="1">
        <f>固定流程!G16</f>
        <v>2</v>
      </c>
      <c r="G1528" s="1" t="str">
        <f>固定流程!H16</f>
        <v>37_CURVE</v>
      </c>
      <c r="H1528" s="1">
        <f>固定流程!F16</f>
        <v>1</v>
      </c>
      <c r="I1528" s="1">
        <f>INDEX(配置与结果!$B$15:$B$18,F1528)</f>
        <v>2306</v>
      </c>
      <c r="J1528" s="1">
        <f>INDEX(配置与结果!$D$15:$D$18,F1528)</f>
        <v>0.46</v>
      </c>
      <c r="K1528" s="1">
        <f>INDEX(配置与结果!$E$15:$E$18,F1528)</f>
        <v>1.9279999999999999</v>
      </c>
      <c r="L1528" s="1">
        <f t="shared" si="2152"/>
        <v>1</v>
      </c>
      <c r="M1528" s="1">
        <f t="shared" si="2152"/>
        <v>8</v>
      </c>
      <c r="N1528" s="1">
        <f t="shared" si="2152"/>
        <v>0</v>
      </c>
      <c r="O1528" s="1">
        <f t="shared" si="2151"/>
        <v>6</v>
      </c>
      <c r="P1528" s="1">
        <f>MIN(方案参数!$AI$45,AZ1527+0+0)</f>
        <v>5</v>
      </c>
      <c r="Q1528" s="1">
        <f t="shared" si="2129"/>
        <v>3</v>
      </c>
      <c r="R1528" s="1">
        <f t="shared" si="2130"/>
        <v>5</v>
      </c>
      <c r="S1528" s="1">
        <f t="shared" si="2131"/>
        <v>2</v>
      </c>
      <c r="T1528" s="1">
        <f t="shared" si="2132"/>
        <v>0</v>
      </c>
      <c r="U1528" s="1">
        <f t="shared" si="2133"/>
        <v>0</v>
      </c>
      <c r="V1528" s="1">
        <f t="shared" si="2134"/>
        <v>1</v>
      </c>
      <c r="W1528" s="1">
        <f t="shared" si="2135"/>
        <v>1</v>
      </c>
      <c r="X1528" s="1">
        <f t="shared" si="2136"/>
        <v>1</v>
      </c>
      <c r="Y1528" s="1">
        <f t="shared" si="2137"/>
        <v>1</v>
      </c>
      <c r="Z1528" s="1">
        <f t="shared" si="2138"/>
        <v>1</v>
      </c>
      <c r="AA1528" s="1">
        <f t="shared" si="2153"/>
        <v>1</v>
      </c>
      <c r="AB1528" s="1">
        <f t="shared" si="2140"/>
        <v>0</v>
      </c>
      <c r="AC1528" s="1">
        <f t="shared" si="2141"/>
        <v>0</v>
      </c>
      <c r="AD1528" s="1">
        <f>ROUNDDOWN(I1528*(1+IF(F1528=3,0.05+方案参数!$Y$45+AA1528*0.12,IF(F1528=4,方案参数!$BZ$45*方案参数!$AS$45,0)))+IF(AND(X1528=1,F1528&lt;&gt;3),方案参数!$CC$45,0)+AC1528*方案参数!$CB$45,0)</f>
        <v>2544</v>
      </c>
      <c r="AE1528" s="1">
        <f>IF(OR(F1528=1,F1528=4),配置与结果!$B$24,配置与结果!$B$25)*MAX(0,1-INDEX(配置与结果!$I$15:$I$18,F1528))</f>
        <v>1000</v>
      </c>
      <c r="AF1528" s="1">
        <f>方案参数!$BT$45*IF(H1528=1,1,IF(H1528=2,1.5,2.5))</f>
        <v>1.4</v>
      </c>
      <c r="AG1528" s="1">
        <f>MAX(配置与结果!$B$32,1+INDEX(配置与结果!$F$15:$F$18,F1528)+0+Q1528*方案参数!$W$45+Y1528*(方案参数!$AN$45+MIN(方案参数!$AO$45,P1528*0.03))+AB1528*方案参数!$BZ$45*0.025-配置与结果!$B$28)</f>
        <v>0.96499999999999997</v>
      </c>
      <c r="AH1528" s="1">
        <f>MAX(0,1+INDEX(配置与结果!$G$15:$G$18,F1528)+W1528*方案参数!$AG$45)</f>
        <v>1.3</v>
      </c>
      <c r="AI1528" s="1">
        <f>IF(OR(INDEX(配置与结果!$K$15:$K$18,F1528)=1,G1528="RHI_BERRY"),1+配置与结果!$B$33+P1528*方案参数!$AH$45,1)</f>
        <v>1</v>
      </c>
      <c r="AJ1528" s="1">
        <f>MIN(1,MAX(0,J1528+方案参数!$AB$45-配置与结果!$B$27))</f>
        <v>0.76</v>
      </c>
      <c r="AK1528" s="1">
        <f>MAX(1,K1528+IF(F1528=2,0.15+方案参数!$CH$45,0)+BN1528*方案参数!$X$45+R1528*方案参数!$AA$45+0-配置与结果!$B$26+Z1528*(方案参数!$AP$45+MIN(方案参数!$AQ$45,P1528*0.03)))</f>
        <v>2.2829999999999999</v>
      </c>
      <c r="AL1528" s="7">
        <f>ROUNDDOWN(MAX(AD1528*配置与结果!$B$31,AD1528-AE1528)*AF1528*AG1528*AH1528*AI1528,0)</f>
        <v>2711</v>
      </c>
      <c r="AM1528" s="7">
        <f>ROUNDDOWN(MAX(AD1528*配置与结果!$B$31,AD1528-AE1528)*AF1528*AG1528*AH1528*AI1528*AK1528,0)</f>
        <v>6190</v>
      </c>
      <c r="AN1528" s="7">
        <f t="shared" si="2074"/>
        <v>5355.04</v>
      </c>
      <c r="AO1528" s="7">
        <f>方案参数!$BU$45*IF(H1528=1,1,IF(H1528=2,1.5,2.5))</f>
        <v>0.8</v>
      </c>
      <c r="AP1528" s="7">
        <f>MAX(0,1+INDEX(配置与结果!$J$15:$J$18,F1528)+IF(T1528&gt;0,方案参数!$BY$45,0)-配置与结果!$B$30)</f>
        <v>1</v>
      </c>
      <c r="AQ1528" s="7">
        <f t="shared" si="2075"/>
        <v>2035</v>
      </c>
      <c r="AR1528" s="7">
        <f t="shared" si="2076"/>
        <v>4645</v>
      </c>
      <c r="AS1528" s="7">
        <f t="shared" si="2077"/>
        <v>4018.6</v>
      </c>
      <c r="AT1528" s="7">
        <f>0</f>
        <v>0</v>
      </c>
      <c r="AU1528" s="7">
        <f t="shared" si="2078"/>
        <v>9373.64</v>
      </c>
      <c r="AV1528" s="1">
        <f t="shared" si="2079"/>
        <v>1</v>
      </c>
      <c r="AW1528" s="1">
        <f t="shared" si="2155"/>
        <v>8</v>
      </c>
      <c r="AX1528" s="1">
        <f t="shared" si="2080"/>
        <v>0</v>
      </c>
      <c r="AY1528" s="1">
        <f t="shared" si="2149"/>
        <v>6</v>
      </c>
      <c r="AZ1528" s="1">
        <f t="shared" si="2081"/>
        <v>5</v>
      </c>
      <c r="BA1528" s="1">
        <f>MIN(6,Q1528+0)</f>
        <v>3</v>
      </c>
      <c r="BB1528" s="1">
        <f t="shared" si="2142"/>
        <v>5</v>
      </c>
      <c r="BC1528" s="1">
        <f t="shared" ref="BC1528:BC1534" si="2156">MIN(3,S1528+0)</f>
        <v>2</v>
      </c>
      <c r="BD1528" s="1">
        <f t="shared" si="2150"/>
        <v>0</v>
      </c>
      <c r="BE1528" s="1">
        <f t="shared" si="2143"/>
        <v>0</v>
      </c>
      <c r="BF1528" s="1">
        <f>MIN(4,V1528+0)</f>
        <v>1</v>
      </c>
      <c r="BG1528" s="1">
        <f t="shared" si="2147"/>
        <v>1</v>
      </c>
      <c r="BH1528" s="1">
        <f t="shared" si="2144"/>
        <v>1</v>
      </c>
      <c r="BI1528" s="1">
        <f t="shared" si="2148"/>
        <v>1</v>
      </c>
      <c r="BJ1528" s="1">
        <f t="shared" si="2154"/>
        <v>1</v>
      </c>
      <c r="BK1528" s="1">
        <f t="shared" si="2154"/>
        <v>1</v>
      </c>
      <c r="BL1528" s="1">
        <f t="shared" si="2124"/>
        <v>0</v>
      </c>
      <c r="BM1528" s="1">
        <f t="shared" si="2122"/>
        <v>0</v>
      </c>
      <c r="BN1528" s="1">
        <f t="shared" si="2145"/>
        <v>1</v>
      </c>
      <c r="BO1528" s="1">
        <f t="shared" si="2146"/>
        <v>1</v>
      </c>
    </row>
    <row r="1529" spans="1:67" ht="30.95" customHeight="1">
      <c r="A1529" s="1">
        <f>42</f>
        <v>42</v>
      </c>
      <c r="B1529" s="1">
        <f>固定流程!A17</f>
        <v>12</v>
      </c>
      <c r="C1529" s="1">
        <f>45</f>
        <v>45</v>
      </c>
      <c r="D1529" s="1">
        <f>1</f>
        <v>1</v>
      </c>
      <c r="E1529" s="1">
        <f>固定流程!C17</f>
        <v>2</v>
      </c>
      <c r="F1529" s="1">
        <f>固定流程!G17</f>
        <v>2</v>
      </c>
      <c r="G1529" s="1" t="str">
        <f>固定流程!H17</f>
        <v>37_FOLLOW</v>
      </c>
      <c r="H1529" s="1">
        <f>固定流程!F17</f>
        <v>1</v>
      </c>
      <c r="I1529" s="1">
        <f>INDEX(配置与结果!$B$15:$B$18,F1529)</f>
        <v>2306</v>
      </c>
      <c r="J1529" s="1">
        <f>INDEX(配置与结果!$D$15:$D$18,F1529)</f>
        <v>0.46</v>
      </c>
      <c r="K1529" s="1">
        <f>INDEX(配置与结果!$E$15:$E$18,F1529)</f>
        <v>1.9279999999999999</v>
      </c>
      <c r="L1529" s="1">
        <f t="shared" si="2152"/>
        <v>1</v>
      </c>
      <c r="M1529" s="1">
        <f t="shared" si="2152"/>
        <v>8</v>
      </c>
      <c r="N1529" s="1">
        <f t="shared" si="2152"/>
        <v>0</v>
      </c>
      <c r="O1529" s="1">
        <f t="shared" si="2151"/>
        <v>6</v>
      </c>
      <c r="P1529" s="1">
        <f>MIN(方案参数!$AI$45,AZ1528+0+0)</f>
        <v>5</v>
      </c>
      <c r="Q1529" s="1">
        <f t="shared" si="2129"/>
        <v>3</v>
      </c>
      <c r="R1529" s="1">
        <f t="shared" si="2130"/>
        <v>5</v>
      </c>
      <c r="S1529" s="1">
        <f t="shared" si="2131"/>
        <v>2</v>
      </c>
      <c r="T1529" s="1">
        <f t="shared" si="2132"/>
        <v>0</v>
      </c>
      <c r="U1529" s="1">
        <f t="shared" si="2133"/>
        <v>0</v>
      </c>
      <c r="V1529" s="1">
        <f t="shared" si="2134"/>
        <v>1</v>
      </c>
      <c r="W1529" s="1">
        <f t="shared" si="2135"/>
        <v>1</v>
      </c>
      <c r="X1529" s="1">
        <f t="shared" si="2136"/>
        <v>1</v>
      </c>
      <c r="Y1529" s="1">
        <f t="shared" si="2137"/>
        <v>1</v>
      </c>
      <c r="Z1529" s="1">
        <f t="shared" si="2138"/>
        <v>1</v>
      </c>
      <c r="AA1529" s="1">
        <f t="shared" si="2153"/>
        <v>1</v>
      </c>
      <c r="AB1529" s="1">
        <f t="shared" si="2140"/>
        <v>0</v>
      </c>
      <c r="AC1529" s="1">
        <f t="shared" si="2141"/>
        <v>0</v>
      </c>
      <c r="AD1529" s="1">
        <f>ROUNDDOWN(I1529*(1+IF(F1529=3,0.05+方案参数!$Y$45+AA1529*0.12,IF(F1529=4,方案参数!$BZ$45*方案参数!$AS$45,0)))+IF(AND(X1529=1,F1529&lt;&gt;3),方案参数!$CC$45,0)+AC1529*方案参数!$CB$45,0)</f>
        <v>2544</v>
      </c>
      <c r="AE1529" s="1">
        <f>IF(OR(F1529=1,F1529=4),配置与结果!$B$24,配置与结果!$B$25)*MAX(0,1-INDEX(配置与结果!$I$15:$I$18,F1529))</f>
        <v>1000</v>
      </c>
      <c r="AF1529" s="1">
        <f>方案参数!$BV$45</f>
        <v>3</v>
      </c>
      <c r="AG1529" s="1">
        <f>MAX(配置与结果!$B$32,1+INDEX(配置与结果!$F$15:$F$18,F1529)+0+Q1529*方案参数!$W$45+Y1529*(方案参数!$AN$45+MIN(方案参数!$AO$45,P1529*0.03))+AB1529*方案参数!$BZ$45*0.025-配置与结果!$B$28)</f>
        <v>0.96499999999999997</v>
      </c>
      <c r="AH1529" s="1">
        <f>MAX(0,1+INDEX(配置与结果!$G$15:$G$18,F1529)+W1529*方案参数!$AG$45)</f>
        <v>1.3</v>
      </c>
      <c r="AI1529" s="1">
        <f>IF(OR(INDEX(配置与结果!$K$15:$K$18,F1529)=1,G1529="RHI_BERRY"),1+配置与结果!$B$33+P1529*方案参数!$AH$45,1)</f>
        <v>1</v>
      </c>
      <c r="AJ1529" s="1">
        <f>MIN(1,MAX(0,J1529+方案参数!$AB$45-配置与结果!$B$27))</f>
        <v>0.76</v>
      </c>
      <c r="AK1529" s="1">
        <f>MAX(1,K1529+IF(F1529=2,0.15+方案参数!$CH$45,0)+BN1529*方案参数!$X$45+R1529*方案参数!$AA$45+0-配置与结果!$B$26+Z1529*(方案参数!$AP$45+MIN(方案参数!$AQ$45,P1529*0.03)))</f>
        <v>2.2829999999999999</v>
      </c>
      <c r="AL1529" s="7">
        <f>ROUNDDOWN(MAX(AD1529*配置与结果!$B$31,AD1529-AE1529)*AF1529*AG1529*AH1529*AI1529,0)</f>
        <v>5810</v>
      </c>
      <c r="AM1529" s="7">
        <f>ROUNDDOWN(MAX(AD1529*配置与结果!$B$31,AD1529-AE1529)*AF1529*AG1529*AH1529*AI1529*AK1529,0)</f>
        <v>13266</v>
      </c>
      <c r="AN1529" s="7">
        <f t="shared" si="2074"/>
        <v>11476.56</v>
      </c>
      <c r="AO1529" s="7">
        <f>方案参数!$BW$45</f>
        <v>1</v>
      </c>
      <c r="AP1529" s="7">
        <f>MAX(0,1+INDEX(配置与结果!$J$15:$J$18,F1529)+IF(T1529&gt;0,方案参数!$BY$45,0)-配置与结果!$B$30)</f>
        <v>1</v>
      </c>
      <c r="AQ1529" s="7">
        <f t="shared" si="2075"/>
        <v>2544</v>
      </c>
      <c r="AR1529" s="7">
        <f t="shared" si="2076"/>
        <v>5807</v>
      </c>
      <c r="AS1529" s="7">
        <f t="shared" si="2077"/>
        <v>5023.8799999999992</v>
      </c>
      <c r="AT1529" s="7">
        <f>0</f>
        <v>0</v>
      </c>
      <c r="AU1529" s="7">
        <f t="shared" si="2078"/>
        <v>16500.439999999999</v>
      </c>
      <c r="AV1529" s="1">
        <f t="shared" si="2079"/>
        <v>1</v>
      </c>
      <c r="AW1529" s="1">
        <f t="shared" si="2155"/>
        <v>8</v>
      </c>
      <c r="AX1529" s="1">
        <f t="shared" si="2080"/>
        <v>0</v>
      </c>
      <c r="AY1529" s="1">
        <f t="shared" si="2149"/>
        <v>6</v>
      </c>
      <c r="AZ1529" s="1">
        <f t="shared" si="2081"/>
        <v>5</v>
      </c>
      <c r="BA1529" s="1">
        <f>MIN(6,Q1529+0)</f>
        <v>3</v>
      </c>
      <c r="BB1529" s="1">
        <f t="shared" si="2142"/>
        <v>5</v>
      </c>
      <c r="BC1529" s="1">
        <f t="shared" si="2156"/>
        <v>2</v>
      </c>
      <c r="BD1529" s="1">
        <f t="shared" si="2150"/>
        <v>0</v>
      </c>
      <c r="BE1529" s="1">
        <f t="shared" si="2143"/>
        <v>0</v>
      </c>
      <c r="BF1529" s="1">
        <f>MIN(4,V1529+1)</f>
        <v>2</v>
      </c>
      <c r="BG1529" s="1">
        <f t="shared" si="2147"/>
        <v>1</v>
      </c>
      <c r="BH1529" s="1">
        <f t="shared" si="2144"/>
        <v>1</v>
      </c>
      <c r="BI1529" s="1">
        <f t="shared" si="2148"/>
        <v>1</v>
      </c>
      <c r="BJ1529" s="1">
        <f t="shared" si="2154"/>
        <v>1</v>
      </c>
      <c r="BK1529" s="1">
        <f t="shared" si="2154"/>
        <v>1</v>
      </c>
      <c r="BL1529" s="1">
        <f t="shared" si="2124"/>
        <v>0</v>
      </c>
      <c r="BM1529" s="1">
        <f t="shared" si="2122"/>
        <v>0</v>
      </c>
      <c r="BN1529" s="1">
        <f t="shared" si="2145"/>
        <v>1</v>
      </c>
      <c r="BO1529" s="1">
        <f t="shared" si="2146"/>
        <v>1</v>
      </c>
    </row>
    <row r="1530" spans="1:67" ht="30.95" customHeight="1">
      <c r="A1530" s="1">
        <f>42</f>
        <v>42</v>
      </c>
      <c r="B1530" s="1">
        <f>固定流程!A18</f>
        <v>13</v>
      </c>
      <c r="C1530" s="1">
        <f>45</f>
        <v>45</v>
      </c>
      <c r="D1530" s="1">
        <f>1</f>
        <v>1</v>
      </c>
      <c r="E1530" s="1">
        <f>固定流程!C18</f>
        <v>2</v>
      </c>
      <c r="F1530" s="1">
        <f>固定流程!G18</f>
        <v>3</v>
      </c>
      <c r="G1530" s="1" t="str">
        <f>固定流程!H18</f>
        <v>RHI_BERRY</v>
      </c>
      <c r="H1530" s="1">
        <f>固定流程!F18</f>
        <v>1</v>
      </c>
      <c r="I1530" s="1">
        <f>INDEX(配置与结果!$B$15:$B$18,F1530)</f>
        <v>2597</v>
      </c>
      <c r="J1530" s="1">
        <f>INDEX(配置与结果!$D$15:$D$18,F1530)</f>
        <v>0.255</v>
      </c>
      <c r="K1530" s="1">
        <f>INDEX(配置与结果!$E$15:$E$18,F1530)</f>
        <v>1.55</v>
      </c>
      <c r="L1530" s="1">
        <f t="shared" si="2152"/>
        <v>1</v>
      </c>
      <c r="M1530" s="1">
        <f t="shared" si="2152"/>
        <v>8</v>
      </c>
      <c r="N1530" s="1">
        <f t="shared" si="2152"/>
        <v>0</v>
      </c>
      <c r="O1530" s="1">
        <f t="shared" si="2151"/>
        <v>6</v>
      </c>
      <c r="P1530" s="1">
        <f>MIN(方案参数!$AI$45,AZ1529+0+0)</f>
        <v>5</v>
      </c>
      <c r="Q1530" s="1">
        <f t="shared" si="2129"/>
        <v>3</v>
      </c>
      <c r="R1530" s="1">
        <f t="shared" si="2130"/>
        <v>5</v>
      </c>
      <c r="S1530" s="1">
        <f t="shared" si="2131"/>
        <v>2</v>
      </c>
      <c r="T1530" s="1">
        <f t="shared" si="2132"/>
        <v>0</v>
      </c>
      <c r="U1530" s="1">
        <f t="shared" si="2133"/>
        <v>0</v>
      </c>
      <c r="V1530" s="1">
        <f t="shared" si="2134"/>
        <v>2</v>
      </c>
      <c r="W1530" s="1">
        <f t="shared" si="2135"/>
        <v>1</v>
      </c>
      <c r="X1530" s="1">
        <f t="shared" si="2136"/>
        <v>1</v>
      </c>
      <c r="Y1530" s="1">
        <f t="shared" si="2137"/>
        <v>1</v>
      </c>
      <c r="Z1530" s="1">
        <f t="shared" si="2138"/>
        <v>1</v>
      </c>
      <c r="AA1530" s="1">
        <f t="shared" si="2153"/>
        <v>1</v>
      </c>
      <c r="AB1530" s="1">
        <f t="shared" si="2140"/>
        <v>0</v>
      </c>
      <c r="AC1530" s="1">
        <f t="shared" si="2141"/>
        <v>0</v>
      </c>
      <c r="AD1530" s="1">
        <f>ROUNDDOWN(I1530*(1+IF(F1530=3,0.05+方案参数!$Y$45+AA1530*0.12,IF(F1530=4,方案参数!$BZ$45*方案参数!$AS$45,0)))+IF(AND(X1530=1,F1530&lt;&gt;3),方案参数!$CC$45,0)+AC1530*方案参数!$CB$45,0)</f>
        <v>3298</v>
      </c>
      <c r="AE1530" s="1">
        <f>IF(OR(F1530=1,F1530=4),配置与结果!$B$24,配置与结果!$B$25)*MAX(0,1-INDEX(配置与结果!$I$15:$I$18,F1530))</f>
        <v>1000</v>
      </c>
      <c r="AF1530" s="1">
        <f>方案参数!$CF$45+P1530*方案参数!$CG$45</f>
        <v>22.5</v>
      </c>
      <c r="AG1530" s="1">
        <f>MAX(配置与结果!$B$32,1+INDEX(配置与结果!$F$15:$F$18,F1530)+0+Q1530*方案参数!$W$45+Y1530*(方案参数!$AN$45+MIN(方案参数!$AO$45,P1530*0.03))+AB1530*方案参数!$BZ$45*0.025-配置与结果!$B$28)</f>
        <v>0.995</v>
      </c>
      <c r="AH1530" s="1">
        <f>MAX(0,1+INDEX(配置与结果!$G$15:$G$18,F1530)+W1530*方案参数!$AG$45)</f>
        <v>1.3</v>
      </c>
      <c r="AI1530" s="1">
        <f>IF(OR(INDEX(配置与结果!$K$15:$K$18,F1530)=1,G1530="RHI_BERRY"),1+配置与结果!$B$33+P1530*方案参数!$AH$45,1)</f>
        <v>1.5</v>
      </c>
      <c r="AJ1530" s="1">
        <f>MIN(1,MAX(0,J1530+方案参数!$AB$45-配置与结果!$B$27))</f>
        <v>0.55499999999999994</v>
      </c>
      <c r="AK1530" s="1">
        <f>MAX(1,K1530+IF(F1530=2,0.15+方案参数!$CH$45,0)+BN1530*方案参数!$X$45+R1530*方案参数!$AA$45+0-配置与结果!$B$26+Z1530*(方案参数!$AP$45+MIN(方案参数!$AQ$45,P1530*0.03)))</f>
        <v>1.635</v>
      </c>
      <c r="AL1530" s="7">
        <f>ROUNDDOWN(MAX(AD1530*配置与结果!$B$31,AD1530-AE1530)*AF1530*AG1530*AH1530*AI1530,0)</f>
        <v>100320</v>
      </c>
      <c r="AM1530" s="7">
        <f>ROUNDDOWN(MAX(AD1530*配置与结果!$B$31,AD1530-AE1530)*AF1530*AG1530*AH1530*AI1530*AK1530,0)</f>
        <v>164024</v>
      </c>
      <c r="AN1530" s="7">
        <f t="shared" si="2074"/>
        <v>135675.72</v>
      </c>
      <c r="AO1530" s="7">
        <f>0</f>
        <v>0</v>
      </c>
      <c r="AP1530" s="7">
        <f>MAX(0,1+INDEX(配置与结果!$J$15:$J$18,F1530)+IF(T1530&gt;0,方案参数!$BY$45,0)-配置与结果!$B$30)</f>
        <v>1</v>
      </c>
      <c r="AQ1530" s="7">
        <f t="shared" si="2075"/>
        <v>0</v>
      </c>
      <c r="AR1530" s="7">
        <f t="shared" si="2076"/>
        <v>0</v>
      </c>
      <c r="AS1530" s="7">
        <f t="shared" si="2077"/>
        <v>0</v>
      </c>
      <c r="AT1530" s="7">
        <f>0</f>
        <v>0</v>
      </c>
      <c r="AU1530" s="7">
        <f t="shared" si="2078"/>
        <v>135675.72</v>
      </c>
      <c r="AV1530" s="1">
        <f t="shared" si="2079"/>
        <v>1</v>
      </c>
      <c r="AW1530" s="1">
        <f t="shared" si="2155"/>
        <v>8</v>
      </c>
      <c r="AX1530" s="1">
        <f t="shared" si="2080"/>
        <v>0</v>
      </c>
      <c r="AY1530" s="1">
        <f t="shared" si="2149"/>
        <v>6</v>
      </c>
      <c r="AZ1530" s="1">
        <f t="shared" si="2081"/>
        <v>5</v>
      </c>
      <c r="BA1530" s="1">
        <f>MIN(6,Q1530+0)</f>
        <v>3</v>
      </c>
      <c r="BB1530" s="1">
        <f t="shared" si="2142"/>
        <v>5</v>
      </c>
      <c r="BC1530" s="1">
        <f t="shared" si="2156"/>
        <v>2</v>
      </c>
      <c r="BD1530" s="1">
        <f t="shared" si="2150"/>
        <v>0</v>
      </c>
      <c r="BE1530" s="1">
        <f t="shared" si="2143"/>
        <v>0</v>
      </c>
      <c r="BF1530" s="1">
        <f>MIN(4,V1530+0)</f>
        <v>2</v>
      </c>
      <c r="BG1530" s="1">
        <f t="shared" si="2147"/>
        <v>1</v>
      </c>
      <c r="BH1530" s="1">
        <f t="shared" si="2144"/>
        <v>1</v>
      </c>
      <c r="BI1530" s="1">
        <f t="shared" si="2148"/>
        <v>1</v>
      </c>
      <c r="BJ1530" s="1">
        <f t="shared" si="2154"/>
        <v>1</v>
      </c>
      <c r="BK1530" s="1">
        <f t="shared" si="2154"/>
        <v>1</v>
      </c>
      <c r="BL1530" s="1">
        <f t="shared" si="2124"/>
        <v>0</v>
      </c>
      <c r="BM1530" s="1">
        <f t="shared" si="2122"/>
        <v>0</v>
      </c>
      <c r="BN1530" s="1">
        <f t="shared" si="2145"/>
        <v>1</v>
      </c>
      <c r="BO1530" s="1">
        <f t="shared" si="2146"/>
        <v>1</v>
      </c>
    </row>
    <row r="1531" spans="1:67" ht="30.95" customHeight="1">
      <c r="A1531" s="1">
        <f>42</f>
        <v>42</v>
      </c>
      <c r="B1531" s="1">
        <f>固定流程!A19</f>
        <v>14</v>
      </c>
      <c r="C1531" s="1">
        <f>45</f>
        <v>45</v>
      </c>
      <c r="D1531" s="1">
        <f>1</f>
        <v>1</v>
      </c>
      <c r="E1531" s="1">
        <f>固定流程!C19</f>
        <v>3</v>
      </c>
      <c r="F1531" s="1">
        <f>固定流程!G19</f>
        <v>3</v>
      </c>
      <c r="G1531" s="1" t="str">
        <f>固定流程!H19</f>
        <v>RHI_BUFF</v>
      </c>
      <c r="H1531" s="1">
        <f>固定流程!F19</f>
        <v>1</v>
      </c>
      <c r="I1531" s="1">
        <f>INDEX(配置与结果!$B$15:$B$18,F1531)</f>
        <v>2597</v>
      </c>
      <c r="J1531" s="1">
        <f>INDEX(配置与结果!$D$15:$D$18,F1531)</f>
        <v>0.255</v>
      </c>
      <c r="K1531" s="1">
        <f>INDEX(配置与结果!$E$15:$E$18,F1531)</f>
        <v>1.55</v>
      </c>
      <c r="L1531" s="1">
        <f>IF(AV1530=1,IF(M1531&gt;=10,2,1),IF(AV1530=2,IF(AX1530&lt;=1,0,2),0))</f>
        <v>2</v>
      </c>
      <c r="M1531" s="1">
        <f>IF(AND(AV1530=2,AX1530&lt;=1),0,MIN(10,AW1530+IF(AV1530=1,3,0)))</f>
        <v>10</v>
      </c>
      <c r="N1531" s="1">
        <f>IF(AND(AV1530=1,M1531&gt;=10),2,IF(AV1530=2,MAX(0,AX1530-1),0))</f>
        <v>2</v>
      </c>
      <c r="O1531" s="1">
        <f t="shared" si="2151"/>
        <v>6</v>
      </c>
      <c r="P1531" s="1">
        <f>MIN(方案参数!$AI$45,AZ1530+方案参数!$AJ$45+方案参数!$AK$45)</f>
        <v>5</v>
      </c>
      <c r="Q1531" s="1">
        <f t="shared" si="2129"/>
        <v>3</v>
      </c>
      <c r="R1531" s="1">
        <f t="shared" si="2130"/>
        <v>5</v>
      </c>
      <c r="S1531" s="1">
        <f t="shared" si="2131"/>
        <v>2</v>
      </c>
      <c r="T1531" s="1">
        <f t="shared" si="2132"/>
        <v>0</v>
      </c>
      <c r="U1531" s="1">
        <f t="shared" si="2133"/>
        <v>0</v>
      </c>
      <c r="V1531" s="1">
        <f t="shared" si="2134"/>
        <v>2</v>
      </c>
      <c r="W1531" s="1">
        <f t="shared" si="2135"/>
        <v>1</v>
      </c>
      <c r="X1531" s="1">
        <f t="shared" si="2136"/>
        <v>1</v>
      </c>
      <c r="Y1531" s="1">
        <f t="shared" si="2137"/>
        <v>1</v>
      </c>
      <c r="Z1531" s="1">
        <f t="shared" si="2138"/>
        <v>1</v>
      </c>
      <c r="AA1531" s="1">
        <f t="shared" si="2153"/>
        <v>1</v>
      </c>
      <c r="AB1531" s="1">
        <f t="shared" si="2140"/>
        <v>0</v>
      </c>
      <c r="AC1531" s="1">
        <f t="shared" si="2141"/>
        <v>0</v>
      </c>
      <c r="AD1531" s="1">
        <f>ROUNDDOWN(I1531*(1+IF(F1531=3,0.05+方案参数!$Y$45+AA1531*0.12,IF(F1531=4,方案参数!$BZ$45*方案参数!$AS$45,0)))+IF(AND(X1531=1,F1531&lt;&gt;3),方案参数!$CC$45,0)+AC1531*方案参数!$CB$45,0)</f>
        <v>3298</v>
      </c>
      <c r="AE1531" s="1">
        <f>IF(OR(F1531=1,F1531=4),配置与结果!$B$24,配置与结果!$B$25)*MAX(0,1-INDEX(配置与结果!$I$15:$I$18,F1531))</f>
        <v>1000</v>
      </c>
      <c r="AF1531" s="1">
        <f>0</f>
        <v>0</v>
      </c>
      <c r="AG1531" s="1">
        <f>MAX(配置与结果!$B$32,1+INDEX(配置与结果!$F$15:$F$18,F1531)+0+Q1531*方案参数!$W$45+Y1531*(方案参数!$AN$45+MIN(方案参数!$AO$45,P1531*0.03))+AB1531*方案参数!$BZ$45*0.025-配置与结果!$B$28)</f>
        <v>0.995</v>
      </c>
      <c r="AH1531" s="1">
        <f>MAX(0,1+INDEX(配置与结果!$G$15:$G$18,F1531)+W1531*方案参数!$AG$45)</f>
        <v>1.3</v>
      </c>
      <c r="AI1531" s="1">
        <f>IF(OR(INDEX(配置与结果!$K$15:$K$18,F1531)=1,G1531="RHI_BERRY"),1+配置与结果!$B$33+P1531*方案参数!$AH$45,1)</f>
        <v>1</v>
      </c>
      <c r="AJ1531" s="1">
        <f>MIN(1,MAX(0,J1531+方案参数!$AB$45-配置与结果!$B$27))</f>
        <v>0.55499999999999994</v>
      </c>
      <c r="AK1531" s="1">
        <f>MAX(1,K1531+IF(F1531=2,0.15+方案参数!$CH$45,0)+BN1531*方案参数!$X$45+R1531*方案参数!$AA$45+0-配置与结果!$B$26+Z1531*(方案参数!$AP$45+MIN(方案参数!$AQ$45,P1531*0.03)))</f>
        <v>1.635</v>
      </c>
      <c r="AL1531" s="7">
        <f>ROUNDDOWN(MAX(AD1531*配置与结果!$B$31,AD1531-AE1531)*AF1531*AG1531*AH1531*AI1531,0)</f>
        <v>0</v>
      </c>
      <c r="AM1531" s="7">
        <f>ROUNDDOWN(MAX(AD1531*配置与结果!$B$31,AD1531-AE1531)*AF1531*AG1531*AH1531*AI1531*AK1531,0)</f>
        <v>0</v>
      </c>
      <c r="AN1531" s="7">
        <f t="shared" si="2074"/>
        <v>0</v>
      </c>
      <c r="AO1531" s="7">
        <f>0</f>
        <v>0</v>
      </c>
      <c r="AP1531" s="7">
        <f>MAX(0,1+INDEX(配置与结果!$J$15:$J$18,F1531)+IF(T1531&gt;0,方案参数!$BY$45,0)-配置与结果!$B$30)</f>
        <v>1</v>
      </c>
      <c r="AQ1531" s="7">
        <f t="shared" si="2075"/>
        <v>0</v>
      </c>
      <c r="AR1531" s="7">
        <f t="shared" si="2076"/>
        <v>0</v>
      </c>
      <c r="AS1531" s="7">
        <f t="shared" si="2077"/>
        <v>0</v>
      </c>
      <c r="AT1531" s="7">
        <f>0</f>
        <v>0</v>
      </c>
      <c r="AU1531" s="7">
        <f t="shared" si="2078"/>
        <v>0</v>
      </c>
      <c r="AV1531" s="1">
        <f t="shared" si="2079"/>
        <v>2</v>
      </c>
      <c r="AW1531" s="1">
        <f t="shared" si="2155"/>
        <v>10</v>
      </c>
      <c r="AX1531" s="1">
        <f t="shared" si="2080"/>
        <v>2</v>
      </c>
      <c r="AY1531" s="1">
        <f t="shared" si="2149"/>
        <v>6</v>
      </c>
      <c r="AZ1531" s="1">
        <f t="shared" si="2081"/>
        <v>5</v>
      </c>
      <c r="BA1531" s="1">
        <f>MIN(6,Q1531+1)</f>
        <v>4</v>
      </c>
      <c r="BB1531" s="1">
        <f t="shared" si="2142"/>
        <v>5</v>
      </c>
      <c r="BC1531" s="1">
        <f t="shared" si="2156"/>
        <v>2</v>
      </c>
      <c r="BD1531" s="1">
        <f t="shared" si="2150"/>
        <v>0</v>
      </c>
      <c r="BE1531" s="1">
        <f t="shared" si="2143"/>
        <v>0</v>
      </c>
      <c r="BF1531" s="1">
        <f>MIN(4,V1531+0)</f>
        <v>2</v>
      </c>
      <c r="BG1531" s="1">
        <f>MAX(W1531,1)</f>
        <v>1</v>
      </c>
      <c r="BH1531" s="1">
        <f t="shared" si="2144"/>
        <v>1</v>
      </c>
      <c r="BI1531" s="1">
        <f>MAX(Y1531,1)</f>
        <v>1</v>
      </c>
      <c r="BJ1531" s="1">
        <f t="shared" si="2154"/>
        <v>1</v>
      </c>
      <c r="BK1531" s="1">
        <f t="shared" si="2154"/>
        <v>1</v>
      </c>
      <c r="BL1531" s="1">
        <f t="shared" si="2124"/>
        <v>0</v>
      </c>
      <c r="BM1531" s="1">
        <f t="shared" si="2122"/>
        <v>0</v>
      </c>
      <c r="BN1531" s="1">
        <f t="shared" si="2145"/>
        <v>1</v>
      </c>
      <c r="BO1531" s="1">
        <f t="shared" si="2146"/>
        <v>1</v>
      </c>
    </row>
    <row r="1532" spans="1:67" ht="30.95" customHeight="1">
      <c r="A1532" s="1">
        <f>42</f>
        <v>42</v>
      </c>
      <c r="B1532" s="1">
        <f>固定流程!A20</f>
        <v>15</v>
      </c>
      <c r="C1532" s="1">
        <f>45</f>
        <v>45</v>
      </c>
      <c r="D1532" s="1">
        <f>1</f>
        <v>1</v>
      </c>
      <c r="E1532" s="1">
        <f>固定流程!C20</f>
        <v>3</v>
      </c>
      <c r="F1532" s="1">
        <f>固定流程!G20</f>
        <v>3</v>
      </c>
      <c r="G1532" s="1" t="str">
        <f>固定流程!H20</f>
        <v>RHI_ATTACK</v>
      </c>
      <c r="H1532" s="1">
        <f>固定流程!F20</f>
        <v>1</v>
      </c>
      <c r="I1532" s="1">
        <f>INDEX(配置与结果!$B$15:$B$18,F1532)</f>
        <v>2597</v>
      </c>
      <c r="J1532" s="1">
        <f>INDEX(配置与结果!$D$15:$D$18,F1532)</f>
        <v>0.255</v>
      </c>
      <c r="K1532" s="1">
        <f>INDEX(配置与结果!$E$15:$E$18,F1532)</f>
        <v>1.55</v>
      </c>
      <c r="L1532" s="1">
        <f t="shared" ref="L1532:L1553" si="2157">AV1531</f>
        <v>2</v>
      </c>
      <c r="M1532" s="1">
        <f t="shared" ref="M1532:M1553" si="2158">AW1531</f>
        <v>10</v>
      </c>
      <c r="N1532" s="1">
        <f t="shared" ref="N1532:N1553" si="2159">AX1531</f>
        <v>2</v>
      </c>
      <c r="O1532" s="1">
        <f t="shared" si="2151"/>
        <v>6</v>
      </c>
      <c r="P1532" s="1">
        <f>MIN(方案参数!$AI$45,AZ1531+0+方案参数!$AK$45)</f>
        <v>5</v>
      </c>
      <c r="Q1532" s="1">
        <f t="shared" si="2129"/>
        <v>4</v>
      </c>
      <c r="R1532" s="1">
        <f t="shared" si="2130"/>
        <v>5</v>
      </c>
      <c r="S1532" s="1">
        <f t="shared" si="2131"/>
        <v>2</v>
      </c>
      <c r="T1532" s="1">
        <f t="shared" si="2132"/>
        <v>0</v>
      </c>
      <c r="U1532" s="1">
        <f t="shared" si="2133"/>
        <v>0</v>
      </c>
      <c r="V1532" s="1">
        <f t="shared" si="2134"/>
        <v>2</v>
      </c>
      <c r="W1532" s="1">
        <f t="shared" si="2135"/>
        <v>1</v>
      </c>
      <c r="X1532" s="1">
        <f t="shared" si="2136"/>
        <v>1</v>
      </c>
      <c r="Y1532" s="1">
        <f t="shared" si="2137"/>
        <v>1</v>
      </c>
      <c r="Z1532" s="1">
        <f t="shared" si="2138"/>
        <v>1</v>
      </c>
      <c r="AA1532" s="1">
        <f>MAX(BK1531,1)</f>
        <v>1</v>
      </c>
      <c r="AB1532" s="1">
        <f t="shared" si="2140"/>
        <v>0</v>
      </c>
      <c r="AC1532" s="1">
        <f t="shared" si="2141"/>
        <v>0</v>
      </c>
      <c r="AD1532" s="1">
        <f>ROUNDDOWN(I1532*(1+IF(F1532=3,0.05+方案参数!$Y$45+AA1532*0.12,IF(F1532=4,方案参数!$BZ$45*方案参数!$AS$45,0)))+IF(AND(X1532=1,F1532&lt;&gt;3),方案参数!$CC$45,0)+AC1532*方案参数!$CB$45,0)</f>
        <v>3298</v>
      </c>
      <c r="AE1532" s="1">
        <f>IF(OR(F1532=1,F1532=4),配置与结果!$B$24,配置与结果!$B$25)*MAX(0,1-INDEX(配置与结果!$I$15:$I$18,F1532))</f>
        <v>1000</v>
      </c>
      <c r="AF1532" s="1">
        <f>4</f>
        <v>4</v>
      </c>
      <c r="AG1532" s="1">
        <f>MAX(配置与结果!$B$32,1+INDEX(配置与结果!$F$15:$F$18,F1532)+0+Q1532*方案参数!$W$45+Y1532*(方案参数!$AN$45+MIN(方案参数!$AO$45,P1532*0.03))+AB1532*方案参数!$BZ$45*0.025-配置与结果!$B$28)</f>
        <v>1.0150000000000001</v>
      </c>
      <c r="AH1532" s="1">
        <f>MAX(0,1+INDEX(配置与结果!$G$15:$G$18,F1532)+W1532*方案参数!$AG$45)</f>
        <v>1.3</v>
      </c>
      <c r="AI1532" s="1">
        <f>IF(OR(INDEX(配置与结果!$K$15:$K$18,F1532)=1,G1532="RHI_BERRY"),1+配置与结果!$B$33+P1532*方案参数!$AH$45,1)</f>
        <v>1</v>
      </c>
      <c r="AJ1532" s="1">
        <f>MIN(1,MAX(0,J1532+方案参数!$AB$45-配置与结果!$B$27))</f>
        <v>0.55499999999999994</v>
      </c>
      <c r="AK1532" s="1">
        <f>MAX(1,K1532+IF(F1532=2,0.15+方案参数!$CH$45,0)+BN1532*方案参数!$X$45+R1532*方案参数!$AA$45+0-配置与结果!$B$26+Z1532*(方案参数!$AP$45+MIN(方案参数!$AQ$45,P1532*0.03)))</f>
        <v>1.635</v>
      </c>
      <c r="AL1532" s="7">
        <f>ROUNDDOWN(MAX(AD1532*配置与结果!$B$31,AD1532-AE1532)*AF1532*AG1532*AH1532*AI1532,0)</f>
        <v>12128</v>
      </c>
      <c r="AM1532" s="7">
        <f>ROUNDDOWN(MAX(AD1532*配置与结果!$B$31,AD1532-AE1532)*AF1532*AG1532*AH1532*AI1532*AK1532,0)</f>
        <v>19830</v>
      </c>
      <c r="AN1532" s="7">
        <f t="shared" si="2074"/>
        <v>16402.61</v>
      </c>
      <c r="AO1532" s="7">
        <f>0</f>
        <v>0</v>
      </c>
      <c r="AP1532" s="7">
        <f>MAX(0,1+INDEX(配置与结果!$J$15:$J$18,F1532)+IF(T1532&gt;0,方案参数!$BY$45,0)-配置与结果!$B$30)</f>
        <v>1</v>
      </c>
      <c r="AQ1532" s="7">
        <f t="shared" si="2075"/>
        <v>0</v>
      </c>
      <c r="AR1532" s="7">
        <f t="shared" si="2076"/>
        <v>0</v>
      </c>
      <c r="AS1532" s="7">
        <f t="shared" si="2077"/>
        <v>0</v>
      </c>
      <c r="AT1532" s="7">
        <f>0</f>
        <v>0</v>
      </c>
      <c r="AU1532" s="7">
        <f t="shared" si="2078"/>
        <v>16402.61</v>
      </c>
      <c r="AV1532" s="1">
        <f t="shared" si="2079"/>
        <v>2</v>
      </c>
      <c r="AW1532" s="1">
        <f t="shared" si="2155"/>
        <v>10</v>
      </c>
      <c r="AX1532" s="1">
        <f t="shared" si="2080"/>
        <v>2</v>
      </c>
      <c r="AY1532" s="1">
        <f t="shared" si="2149"/>
        <v>6</v>
      </c>
      <c r="AZ1532" s="1">
        <f t="shared" si="2081"/>
        <v>5</v>
      </c>
      <c r="BA1532" s="1">
        <f>MIN(6,Q1532+1)</f>
        <v>5</v>
      </c>
      <c r="BB1532" s="1">
        <f t="shared" si="2142"/>
        <v>5</v>
      </c>
      <c r="BC1532" s="1">
        <f t="shared" si="2156"/>
        <v>2</v>
      </c>
      <c r="BD1532" s="1">
        <f t="shared" si="2150"/>
        <v>0</v>
      </c>
      <c r="BE1532" s="1">
        <f t="shared" si="2143"/>
        <v>0</v>
      </c>
      <c r="BF1532" s="1">
        <f>MIN(4,V1532+0)</f>
        <v>2</v>
      </c>
      <c r="BG1532" s="1">
        <f t="shared" ref="BG1532:BG1554" si="2160">MAX(W1532,0)</f>
        <v>1</v>
      </c>
      <c r="BH1532" s="1">
        <f t="shared" si="2144"/>
        <v>1</v>
      </c>
      <c r="BI1532" s="1">
        <f t="shared" ref="BI1532:BI1554" si="2161">MAX(Y1532,0)</f>
        <v>1</v>
      </c>
      <c r="BJ1532" s="1">
        <f>MAX(Z1532,1)</f>
        <v>1</v>
      </c>
      <c r="BK1532" s="1">
        <f>MAX(AA1532,1)</f>
        <v>1</v>
      </c>
      <c r="BL1532" s="1">
        <f t="shared" si="2124"/>
        <v>0</v>
      </c>
      <c r="BM1532" s="1">
        <f t="shared" si="2122"/>
        <v>0</v>
      </c>
      <c r="BN1532" s="1">
        <f t="shared" si="2145"/>
        <v>1</v>
      </c>
      <c r="BO1532" s="1">
        <f t="shared" si="2146"/>
        <v>1</v>
      </c>
    </row>
    <row r="1533" spans="1:67" ht="30.95" customHeight="1">
      <c r="A1533" s="1">
        <f>42</f>
        <v>42</v>
      </c>
      <c r="B1533" s="1">
        <f>固定流程!A21</f>
        <v>16</v>
      </c>
      <c r="C1533" s="1">
        <f>45</f>
        <v>45</v>
      </c>
      <c r="D1533" s="1">
        <f>1</f>
        <v>1</v>
      </c>
      <c r="E1533" s="1">
        <f>固定流程!C21</f>
        <v>3</v>
      </c>
      <c r="F1533" s="1">
        <f>固定流程!G21</f>
        <v>2</v>
      </c>
      <c r="G1533" s="1" t="str">
        <f>固定流程!H21</f>
        <v>37_ULT</v>
      </c>
      <c r="H1533" s="1">
        <f>固定流程!F21</f>
        <v>1</v>
      </c>
      <c r="I1533" s="1">
        <f>INDEX(配置与结果!$B$15:$B$18,F1533)</f>
        <v>2306</v>
      </c>
      <c r="J1533" s="1">
        <f>INDEX(配置与结果!$D$15:$D$18,F1533)</f>
        <v>0.46</v>
      </c>
      <c r="K1533" s="1">
        <f>INDEX(配置与结果!$E$15:$E$18,F1533)</f>
        <v>1.9279999999999999</v>
      </c>
      <c r="L1533" s="1">
        <f t="shared" si="2157"/>
        <v>2</v>
      </c>
      <c r="M1533" s="1">
        <f t="shared" si="2158"/>
        <v>10</v>
      </c>
      <c r="N1533" s="1">
        <f t="shared" si="2159"/>
        <v>2</v>
      </c>
      <c r="O1533" s="1">
        <f t="shared" si="2151"/>
        <v>6</v>
      </c>
      <c r="P1533" s="1">
        <f>MIN(方案参数!$AI$45,AZ1532+0+0)</f>
        <v>5</v>
      </c>
      <c r="Q1533" s="1">
        <f t="shared" si="2129"/>
        <v>5</v>
      </c>
      <c r="R1533" s="1">
        <f t="shared" si="2130"/>
        <v>5</v>
      </c>
      <c r="S1533" s="1">
        <f t="shared" si="2131"/>
        <v>2</v>
      </c>
      <c r="T1533" s="1">
        <f>BD1532+方案参数!$BX$45</f>
        <v>2</v>
      </c>
      <c r="U1533" s="1">
        <f t="shared" si="2133"/>
        <v>0</v>
      </c>
      <c r="V1533" s="1">
        <f t="shared" si="2134"/>
        <v>2</v>
      </c>
      <c r="W1533" s="1">
        <f t="shared" si="2135"/>
        <v>1</v>
      </c>
      <c r="X1533" s="1">
        <f t="shared" si="2136"/>
        <v>1</v>
      </c>
      <c r="Y1533" s="1">
        <f t="shared" si="2137"/>
        <v>1</v>
      </c>
      <c r="Z1533" s="1">
        <f t="shared" si="2138"/>
        <v>1</v>
      </c>
      <c r="AA1533" s="1">
        <f t="shared" ref="AA1533:AA1553" si="2162">MAX(BK1532,0)</f>
        <v>1</v>
      </c>
      <c r="AB1533" s="1">
        <f t="shared" si="2140"/>
        <v>0</v>
      </c>
      <c r="AC1533" s="1">
        <f>MAX(BM1532,1)</f>
        <v>1</v>
      </c>
      <c r="AD1533" s="1">
        <f>ROUNDDOWN(I1533*(1+IF(F1533=3,0.05+方案参数!$Y$45+AA1533*0.12,IF(F1533=4,方案参数!$BZ$45*方案参数!$AS$45,0)))+IF(AND(X1533=1,F1533&lt;&gt;3),方案参数!$CC$45,0)+AC1533*方案参数!$CB$45,0)</f>
        <v>3044</v>
      </c>
      <c r="AE1533" s="1">
        <f>IF(OR(F1533=1,F1533=4),配置与结果!$B$24,配置与结果!$B$25)*MAX(0,1-INDEX(配置与结果!$I$15:$I$18,F1533))</f>
        <v>1000</v>
      </c>
      <c r="AF1533" s="1">
        <f>0</f>
        <v>0</v>
      </c>
      <c r="AG1533" s="1">
        <f>MAX(配置与结果!$B$32,1+INDEX(配置与结果!$F$15:$F$18,F1533)+0+Q1533*方案参数!$W$45+Y1533*(方案参数!$AN$45+MIN(方案参数!$AO$45,P1533*0.03))+AB1533*方案参数!$BZ$45*0.025-配置与结果!$B$28)</f>
        <v>1.0049999999999999</v>
      </c>
      <c r="AH1533" s="1">
        <f>MAX(0,1+INDEX(配置与结果!$G$15:$G$18,F1533)+W1533*方案参数!$AG$45)</f>
        <v>1.3</v>
      </c>
      <c r="AI1533" s="1">
        <f>IF(OR(INDEX(配置与结果!$K$15:$K$18,F1533)=1,G1533="RHI_BERRY"),1+配置与结果!$B$33+P1533*方案参数!$AH$45,1)</f>
        <v>1</v>
      </c>
      <c r="AJ1533" s="1">
        <f>MIN(1,MAX(0,J1533+方案参数!$AB$45-配置与结果!$B$27))</f>
        <v>0.76</v>
      </c>
      <c r="AK1533" s="1">
        <f>MAX(1,K1533+IF(F1533=2,0.15+方案参数!$CH$45,0)+BN1533*方案参数!$X$45+R1533*方案参数!$AA$45+0-配置与结果!$B$26+Z1533*(方案参数!$AP$45+MIN(方案参数!$AQ$45,P1533*0.03)))</f>
        <v>2.2829999999999999</v>
      </c>
      <c r="AL1533" s="7">
        <f>ROUNDDOWN(MAX(AD1533*配置与结果!$B$31,AD1533-AE1533)*AF1533*AG1533*AH1533*AI1533,0)</f>
        <v>0</v>
      </c>
      <c r="AM1533" s="7">
        <f>ROUNDDOWN(MAX(AD1533*配置与结果!$B$31,AD1533-AE1533)*AF1533*AG1533*AH1533*AI1533*AK1533,0)</f>
        <v>0</v>
      </c>
      <c r="AN1533" s="7">
        <f t="shared" si="2074"/>
        <v>0</v>
      </c>
      <c r="AO1533" s="7">
        <f>0</f>
        <v>0</v>
      </c>
      <c r="AP1533" s="7">
        <f>MAX(0,1+INDEX(配置与结果!$J$15:$J$18,F1533)+IF(T1533&gt;0,方案参数!$BY$45,0)-配置与结果!$B$30)</f>
        <v>2</v>
      </c>
      <c r="AQ1533" s="7">
        <f t="shared" si="2075"/>
        <v>0</v>
      </c>
      <c r="AR1533" s="7">
        <f t="shared" si="2076"/>
        <v>0</v>
      </c>
      <c r="AS1533" s="7">
        <f t="shared" si="2077"/>
        <v>0</v>
      </c>
      <c r="AT1533" s="7">
        <f>0</f>
        <v>0</v>
      </c>
      <c r="AU1533" s="7">
        <f t="shared" si="2078"/>
        <v>0</v>
      </c>
      <c r="AV1533" s="1">
        <f t="shared" si="2079"/>
        <v>2</v>
      </c>
      <c r="AW1533" s="1">
        <f t="shared" si="2155"/>
        <v>10</v>
      </c>
      <c r="AX1533" s="1">
        <f t="shared" si="2080"/>
        <v>2</v>
      </c>
      <c r="AY1533" s="1">
        <f t="shared" si="2149"/>
        <v>6</v>
      </c>
      <c r="AZ1533" s="1">
        <f t="shared" si="2081"/>
        <v>5</v>
      </c>
      <c r="BA1533" s="1">
        <f t="shared" ref="BA1533:BA1553" si="2163">MIN(6,Q1533+0)</f>
        <v>5</v>
      </c>
      <c r="BB1533" s="1">
        <f>MIN(30,R1533+5)</f>
        <v>10</v>
      </c>
      <c r="BC1533" s="1">
        <f t="shared" si="2156"/>
        <v>2</v>
      </c>
      <c r="BD1533" s="1">
        <f t="shared" si="2150"/>
        <v>2</v>
      </c>
      <c r="BE1533" s="1">
        <f t="shared" si="2143"/>
        <v>0</v>
      </c>
      <c r="BF1533" s="1">
        <f>MIN(4,V1533+0)</f>
        <v>2</v>
      </c>
      <c r="BG1533" s="1">
        <f t="shared" si="2160"/>
        <v>1</v>
      </c>
      <c r="BH1533" s="1">
        <f t="shared" si="2144"/>
        <v>1</v>
      </c>
      <c r="BI1533" s="1">
        <f t="shared" si="2161"/>
        <v>1</v>
      </c>
      <c r="BJ1533" s="1">
        <f t="shared" ref="BJ1533:BJ1560" si="2164">MAX(Z1533,0)</f>
        <v>1</v>
      </c>
      <c r="BK1533" s="1">
        <f t="shared" ref="BK1533:BK1560" si="2165">MAX(AA1533,0)</f>
        <v>1</v>
      </c>
      <c r="BL1533" s="1">
        <f t="shared" si="2124"/>
        <v>0</v>
      </c>
      <c r="BM1533" s="1">
        <f>MAX(AC1533,1)</f>
        <v>1</v>
      </c>
      <c r="BN1533" s="1">
        <f t="shared" si="2145"/>
        <v>1</v>
      </c>
      <c r="BO1533" s="1">
        <f t="shared" si="2146"/>
        <v>1</v>
      </c>
    </row>
    <row r="1534" spans="1:67" ht="30.95" customHeight="1">
      <c r="A1534" s="1">
        <f>42</f>
        <v>42</v>
      </c>
      <c r="B1534" s="1">
        <f>固定流程!A22</f>
        <v>17</v>
      </c>
      <c r="C1534" s="1">
        <f>45</f>
        <v>45</v>
      </c>
      <c r="D1534" s="1">
        <f>1</f>
        <v>1</v>
      </c>
      <c r="E1534" s="1">
        <f>固定流程!C22</f>
        <v>3</v>
      </c>
      <c r="F1534" s="1">
        <f>固定流程!G22</f>
        <v>2</v>
      </c>
      <c r="G1534" s="1" t="str">
        <f>固定流程!H22</f>
        <v>37_FOLLOW</v>
      </c>
      <c r="H1534" s="1">
        <f>固定流程!F22</f>
        <v>1</v>
      </c>
      <c r="I1534" s="1">
        <f>INDEX(配置与结果!$B$15:$B$18,F1534)</f>
        <v>2306</v>
      </c>
      <c r="J1534" s="1">
        <f>INDEX(配置与结果!$D$15:$D$18,F1534)</f>
        <v>0.46</v>
      </c>
      <c r="K1534" s="1">
        <f>INDEX(配置与结果!$E$15:$E$18,F1534)</f>
        <v>1.9279999999999999</v>
      </c>
      <c r="L1534" s="1">
        <f t="shared" si="2157"/>
        <v>2</v>
      </c>
      <c r="M1534" s="1">
        <f t="shared" si="2158"/>
        <v>10</v>
      </c>
      <c r="N1534" s="1">
        <f t="shared" si="2159"/>
        <v>2</v>
      </c>
      <c r="O1534" s="1">
        <f t="shared" si="2151"/>
        <v>6</v>
      </c>
      <c r="P1534" s="1">
        <f>MIN(方案参数!$AI$45,AZ1533+0+0)</f>
        <v>5</v>
      </c>
      <c r="Q1534" s="1">
        <f t="shared" si="2129"/>
        <v>5</v>
      </c>
      <c r="R1534" s="1">
        <f t="shared" si="2130"/>
        <v>10</v>
      </c>
      <c r="S1534" s="1">
        <f t="shared" si="2131"/>
        <v>2</v>
      </c>
      <c r="T1534" s="1">
        <f t="shared" ref="T1534:T1553" si="2166">BD1533+0</f>
        <v>2</v>
      </c>
      <c r="U1534" s="1">
        <f t="shared" si="2133"/>
        <v>0</v>
      </c>
      <c r="V1534" s="1">
        <f t="shared" si="2134"/>
        <v>2</v>
      </c>
      <c r="W1534" s="1">
        <f t="shared" si="2135"/>
        <v>1</v>
      </c>
      <c r="X1534" s="1">
        <f t="shared" si="2136"/>
        <v>1</v>
      </c>
      <c r="Y1534" s="1">
        <f t="shared" si="2137"/>
        <v>1</v>
      </c>
      <c r="Z1534" s="1">
        <f t="shared" si="2138"/>
        <v>1</v>
      </c>
      <c r="AA1534" s="1">
        <f t="shared" si="2162"/>
        <v>1</v>
      </c>
      <c r="AB1534" s="1">
        <f t="shared" si="2140"/>
        <v>0</v>
      </c>
      <c r="AC1534" s="1">
        <f t="shared" ref="AC1534:AC1553" si="2167">MAX(BM1533,0)</f>
        <v>1</v>
      </c>
      <c r="AD1534" s="1">
        <f>ROUNDDOWN(I1534*(1+IF(F1534=3,0.05+方案参数!$Y$45+AA1534*0.12,IF(F1534=4,方案参数!$BZ$45*方案参数!$AS$45,0)))+IF(AND(X1534=1,F1534&lt;&gt;3),方案参数!$CC$45,0)+AC1534*方案参数!$CB$45,0)</f>
        <v>3044</v>
      </c>
      <c r="AE1534" s="1">
        <f>IF(OR(F1534=1,F1534=4),配置与结果!$B$24,配置与结果!$B$25)*MAX(0,1-INDEX(配置与结果!$I$15:$I$18,F1534))</f>
        <v>1000</v>
      </c>
      <c r="AF1534" s="1">
        <f>方案参数!$BV$45</f>
        <v>3</v>
      </c>
      <c r="AG1534" s="1">
        <f>MAX(配置与结果!$B$32,1+INDEX(配置与结果!$F$15:$F$18,F1534)+0+Q1534*方案参数!$W$45+Y1534*(方案参数!$AN$45+MIN(方案参数!$AO$45,P1534*0.03))+AB1534*方案参数!$BZ$45*0.025-配置与结果!$B$28)</f>
        <v>1.0049999999999999</v>
      </c>
      <c r="AH1534" s="1">
        <f>MAX(0,1+INDEX(配置与结果!$G$15:$G$18,F1534)+W1534*方案参数!$AG$45)</f>
        <v>1.3</v>
      </c>
      <c r="AI1534" s="1">
        <f>IF(OR(INDEX(配置与结果!$K$15:$K$18,F1534)=1,G1534="RHI_BERRY"),1+配置与结果!$B$33+P1534*方案参数!$AH$45,1)</f>
        <v>1</v>
      </c>
      <c r="AJ1534" s="1">
        <f>MIN(1,MAX(0,J1534+方案参数!$AB$45-配置与结果!$B$27))</f>
        <v>0.76</v>
      </c>
      <c r="AK1534" s="1">
        <f>MAX(1,K1534+IF(F1534=2,0.15+方案参数!$CH$45,0)+BN1534*方案参数!$X$45+R1534*方案参数!$AA$45+0-配置与结果!$B$26+Z1534*(方案参数!$AP$45+MIN(方案参数!$AQ$45,P1534*0.03)))</f>
        <v>2.3079999999999998</v>
      </c>
      <c r="AL1534" s="7">
        <f>ROUNDDOWN(MAX(AD1534*配置与结果!$B$31,AD1534-AE1534)*AF1534*AG1534*AH1534*AI1534,0)</f>
        <v>8011</v>
      </c>
      <c r="AM1534" s="7">
        <f>ROUNDDOWN(MAX(AD1534*配置与结果!$B$31,AD1534-AE1534)*AF1534*AG1534*AH1534*AI1534*AK1534,0)</f>
        <v>18490</v>
      </c>
      <c r="AN1534" s="7">
        <f t="shared" si="2074"/>
        <v>15975.039999999999</v>
      </c>
      <c r="AO1534" s="7">
        <f>方案参数!$BW$45</f>
        <v>1</v>
      </c>
      <c r="AP1534" s="7">
        <f>MAX(0,1+INDEX(配置与结果!$J$15:$J$18,F1534)+IF(T1534&gt;0,方案参数!$BY$45,0)-配置与结果!$B$30)</f>
        <v>2</v>
      </c>
      <c r="AQ1534" s="7">
        <f t="shared" si="2075"/>
        <v>6088</v>
      </c>
      <c r="AR1534" s="7">
        <f t="shared" si="2076"/>
        <v>14051</v>
      </c>
      <c r="AS1534" s="7">
        <f t="shared" si="2077"/>
        <v>12139.880000000001</v>
      </c>
      <c r="AT1534" s="7">
        <f>0</f>
        <v>0</v>
      </c>
      <c r="AU1534" s="7">
        <f t="shared" si="2078"/>
        <v>28114.92</v>
      </c>
      <c r="AV1534" s="1">
        <f t="shared" si="2079"/>
        <v>2</v>
      </c>
      <c r="AW1534" s="1">
        <f t="shared" si="2155"/>
        <v>10</v>
      </c>
      <c r="AX1534" s="1">
        <f t="shared" si="2080"/>
        <v>2</v>
      </c>
      <c r="AY1534" s="1">
        <f t="shared" si="2149"/>
        <v>6</v>
      </c>
      <c r="AZ1534" s="1">
        <f t="shared" si="2081"/>
        <v>5</v>
      </c>
      <c r="BA1534" s="1">
        <f t="shared" si="2163"/>
        <v>5</v>
      </c>
      <c r="BB1534" s="1">
        <f>MIN(30,R1534+0)</f>
        <v>10</v>
      </c>
      <c r="BC1534" s="1">
        <f t="shared" si="2156"/>
        <v>2</v>
      </c>
      <c r="BD1534" s="1">
        <f t="shared" si="2150"/>
        <v>1</v>
      </c>
      <c r="BE1534" s="1">
        <f t="shared" si="2143"/>
        <v>0</v>
      </c>
      <c r="BF1534" s="1">
        <f>MIN(4,V1534+1)</f>
        <v>3</v>
      </c>
      <c r="BG1534" s="1">
        <f t="shared" si="2160"/>
        <v>1</v>
      </c>
      <c r="BH1534" s="1">
        <f t="shared" si="2144"/>
        <v>1</v>
      </c>
      <c r="BI1534" s="1">
        <f t="shared" si="2161"/>
        <v>1</v>
      </c>
      <c r="BJ1534" s="1">
        <f t="shared" si="2164"/>
        <v>1</v>
      </c>
      <c r="BK1534" s="1">
        <f t="shared" si="2165"/>
        <v>1</v>
      </c>
      <c r="BL1534" s="1">
        <f t="shared" si="2124"/>
        <v>0</v>
      </c>
      <c r="BM1534" s="1">
        <f t="shared" ref="BM1534:BM1568" si="2168">MAX(AC1534,0)</f>
        <v>1</v>
      </c>
      <c r="BN1534" s="1">
        <f t="shared" si="2145"/>
        <v>1</v>
      </c>
      <c r="BO1534" s="1">
        <f t="shared" si="2146"/>
        <v>1</v>
      </c>
    </row>
    <row r="1535" spans="1:67" ht="30.95" customHeight="1">
      <c r="A1535" s="1">
        <f>42</f>
        <v>42</v>
      </c>
      <c r="B1535" s="1">
        <f>固定流程!A23</f>
        <v>18</v>
      </c>
      <c r="C1535" s="1">
        <f>45</f>
        <v>45</v>
      </c>
      <c r="D1535" s="1">
        <f>1</f>
        <v>1</v>
      </c>
      <c r="E1535" s="1">
        <f>固定流程!C23</f>
        <v>3</v>
      </c>
      <c r="F1535" s="1">
        <f>固定流程!G23</f>
        <v>4</v>
      </c>
      <c r="G1535" s="1" t="str">
        <f>固定流程!H23</f>
        <v>J_HARD</v>
      </c>
      <c r="H1535" s="1">
        <f>固定流程!F23</f>
        <v>1</v>
      </c>
      <c r="I1535" s="1">
        <f>INDEX(配置与结果!$B$15:$B$18,F1535)</f>
        <v>1906</v>
      </c>
      <c r="J1535" s="1">
        <f>INDEX(配置与结果!$D$15:$D$18,F1535)</f>
        <v>0.36699999999999999</v>
      </c>
      <c r="K1535" s="1">
        <f>INDEX(配置与结果!$E$15:$E$18,F1535)</f>
        <v>1.7170000000000001</v>
      </c>
      <c r="L1535" s="1">
        <f t="shared" si="2157"/>
        <v>2</v>
      </c>
      <c r="M1535" s="1">
        <f t="shared" si="2158"/>
        <v>10</v>
      </c>
      <c r="N1535" s="1">
        <f t="shared" si="2159"/>
        <v>2</v>
      </c>
      <c r="O1535" s="1">
        <f t="shared" si="2151"/>
        <v>6</v>
      </c>
      <c r="P1535" s="1">
        <f>MIN(方案参数!$AI$45,AZ1534+0+0)</f>
        <v>5</v>
      </c>
      <c r="Q1535" s="1">
        <f t="shared" si="2129"/>
        <v>5</v>
      </c>
      <c r="R1535" s="1">
        <f t="shared" si="2130"/>
        <v>10</v>
      </c>
      <c r="S1535" s="1">
        <f t="shared" si="2131"/>
        <v>2</v>
      </c>
      <c r="T1535" s="1">
        <f t="shared" si="2166"/>
        <v>1</v>
      </c>
      <c r="U1535" s="1">
        <f t="shared" si="2133"/>
        <v>0</v>
      </c>
      <c r="V1535" s="1">
        <f t="shared" si="2134"/>
        <v>3</v>
      </c>
      <c r="W1535" s="1">
        <f t="shared" si="2135"/>
        <v>1</v>
      </c>
      <c r="X1535" s="1">
        <f t="shared" si="2136"/>
        <v>1</v>
      </c>
      <c r="Y1535" s="1">
        <f t="shared" si="2137"/>
        <v>1</v>
      </c>
      <c r="Z1535" s="1">
        <f t="shared" si="2138"/>
        <v>1</v>
      </c>
      <c r="AA1535" s="1">
        <f t="shared" si="2162"/>
        <v>1</v>
      </c>
      <c r="AB1535" s="1">
        <f t="shared" si="2140"/>
        <v>0</v>
      </c>
      <c r="AC1535" s="1">
        <f t="shared" si="2167"/>
        <v>1</v>
      </c>
      <c r="AD1535" s="1">
        <f>ROUNDDOWN(I1535*(1+IF(F1535=3,0.05+方案参数!$Y$45+AA1535*0.12,IF(F1535=4,方案参数!$BZ$45*方案参数!$AS$45,0)))+IF(AND(X1535=1,F1535&lt;&gt;3),方案参数!$CC$45,0)+AC1535*方案参数!$CB$45,0)</f>
        <v>3311</v>
      </c>
      <c r="AE1535" s="1">
        <f>IF(OR(F1535=1,F1535=4),配置与结果!$B$24,配置与结果!$B$25)*MAX(0,1-INDEX(配置与结果!$I$15:$I$18,F1535))</f>
        <v>1200</v>
      </c>
      <c r="AF1535" s="1">
        <f>3.6*IF(H1535=1,1,IF(H1535=2,1.5,2.5))</f>
        <v>3.6</v>
      </c>
      <c r="AG1535" s="1">
        <f>MAX(配置与结果!$B$32,1+INDEX(配置与结果!$F$15:$F$18,F1535)+0.08+Q1535*方案参数!$W$45+Y1535*(方案参数!$AN$45+MIN(方案参数!$AO$45,P1535*0.03))+AB1535*方案参数!$BZ$45*0.025+0.1+IF(方案参数!$BZ$45&gt;=30,方案参数!$BZ$45*0.01,0)-配置与结果!$B$28)</f>
        <v>1.5550000000000002</v>
      </c>
      <c r="AH1535" s="1">
        <f>MAX(0,1+INDEX(配置与结果!$G$15:$G$18,F1535)+W1535*方案参数!$AG$45)</f>
        <v>1.3</v>
      </c>
      <c r="AI1535" s="1">
        <f>IF(OR(INDEX(配置与结果!$K$15:$K$18,F1535)=1,G1535="RHI_BERRY"),1+配置与结果!$B$33+P1535*方案参数!$AH$45,1)</f>
        <v>1</v>
      </c>
      <c r="AJ1535" s="1">
        <f>MIN(1,MAX(0,J1535+方案参数!$AB$45-配置与结果!$B$27))</f>
        <v>0.66700000000000004</v>
      </c>
      <c r="AK1535" s="1">
        <f>MAX(1,K1535+IF(F1535=2,0.15+方案参数!$CH$45,0)+BN1535*方案参数!$X$45+R1535*方案参数!$AA$45+0-配置与结果!$B$26+Z1535*(方案参数!$AP$45+MIN(方案参数!$AQ$45,P1535*0.03)))</f>
        <v>1.8270000000000002</v>
      </c>
      <c r="AL1535" s="7">
        <f>ROUNDDOWN(MAX(AD1535*配置与结果!$B$31,AD1535-AE1535)*AF1535*AG1535*AH1535*AI1535,0)</f>
        <v>15362</v>
      </c>
      <c r="AM1535" s="7">
        <f>ROUNDDOWN(MAX(AD1535*配置与结果!$B$31,AD1535-AE1535)*AF1535*AG1535*AH1535*AI1535*AK1535,0)</f>
        <v>28067</v>
      </c>
      <c r="AN1535" s="7">
        <f t="shared" si="2074"/>
        <v>23836.235000000001</v>
      </c>
      <c r="AO1535" s="7">
        <f>0</f>
        <v>0</v>
      </c>
      <c r="AP1535" s="7">
        <f>MAX(0,1+INDEX(配置与结果!$J$15:$J$18,F1535)+IF(T1535&gt;0,方案参数!$BY$45,0)-配置与结果!$B$30)</f>
        <v>2</v>
      </c>
      <c r="AQ1535" s="7">
        <f t="shared" si="2075"/>
        <v>0</v>
      </c>
      <c r="AR1535" s="7">
        <f t="shared" si="2076"/>
        <v>0</v>
      </c>
      <c r="AS1535" s="7">
        <f t="shared" si="2077"/>
        <v>0</v>
      </c>
      <c r="AT1535" s="7">
        <f>0</f>
        <v>0</v>
      </c>
      <c r="AU1535" s="7">
        <f t="shared" si="2078"/>
        <v>23836.235000000001</v>
      </c>
      <c r="AV1535" s="1">
        <f t="shared" si="2079"/>
        <v>2</v>
      </c>
      <c r="AW1535" s="1">
        <f t="shared" si="2155"/>
        <v>10</v>
      </c>
      <c r="AX1535" s="1">
        <f t="shared" si="2080"/>
        <v>2</v>
      </c>
      <c r="AY1535" s="1">
        <f t="shared" si="2149"/>
        <v>6</v>
      </c>
      <c r="AZ1535" s="1">
        <f t="shared" si="2081"/>
        <v>5</v>
      </c>
      <c r="BA1535" s="1">
        <f t="shared" si="2163"/>
        <v>5</v>
      </c>
      <c r="BB1535" s="1">
        <f>MIN(30,R1535+0)</f>
        <v>10</v>
      </c>
      <c r="BC1535" s="1">
        <f>MIN(3,S1535+1)</f>
        <v>3</v>
      </c>
      <c r="BD1535" s="1">
        <f t="shared" si="2150"/>
        <v>1</v>
      </c>
      <c r="BE1535" s="1">
        <f t="shared" si="2143"/>
        <v>0</v>
      </c>
      <c r="BF1535" s="1">
        <f>MIN(4,V1535+0)</f>
        <v>3</v>
      </c>
      <c r="BG1535" s="1">
        <f t="shared" si="2160"/>
        <v>1</v>
      </c>
      <c r="BH1535" s="1">
        <f t="shared" si="2144"/>
        <v>1</v>
      </c>
      <c r="BI1535" s="1">
        <f t="shared" si="2161"/>
        <v>1</v>
      </c>
      <c r="BJ1535" s="1">
        <f t="shared" si="2164"/>
        <v>1</v>
      </c>
      <c r="BK1535" s="1">
        <f t="shared" si="2165"/>
        <v>1</v>
      </c>
      <c r="BL1535" s="1">
        <f t="shared" si="2124"/>
        <v>0</v>
      </c>
      <c r="BM1535" s="1">
        <f t="shared" si="2168"/>
        <v>1</v>
      </c>
      <c r="BN1535" s="1">
        <f t="shared" si="2145"/>
        <v>1</v>
      </c>
      <c r="BO1535" s="1">
        <f t="shared" si="2146"/>
        <v>1</v>
      </c>
    </row>
    <row r="1536" spans="1:67" ht="30.95" customHeight="1">
      <c r="A1536" s="1">
        <f>42</f>
        <v>42</v>
      </c>
      <c r="B1536" s="1">
        <f>固定流程!A24</f>
        <v>19</v>
      </c>
      <c r="C1536" s="1">
        <f>45</f>
        <v>45</v>
      </c>
      <c r="D1536" s="1">
        <f>1</f>
        <v>1</v>
      </c>
      <c r="E1536" s="1">
        <f>固定流程!C24</f>
        <v>3</v>
      </c>
      <c r="F1536" s="1">
        <f>固定流程!G24</f>
        <v>4</v>
      </c>
      <c r="G1536" s="1" t="str">
        <f>固定流程!H24</f>
        <v>J_ULT</v>
      </c>
      <c r="H1536" s="1">
        <f>固定流程!F24</f>
        <v>1</v>
      </c>
      <c r="I1536" s="1">
        <f>INDEX(配置与结果!$B$15:$B$18,F1536)</f>
        <v>1906</v>
      </c>
      <c r="J1536" s="1">
        <f>INDEX(配置与结果!$D$15:$D$18,F1536)</f>
        <v>0.36699999999999999</v>
      </c>
      <c r="K1536" s="1">
        <f>INDEX(配置与结果!$E$15:$E$18,F1536)</f>
        <v>1.7170000000000001</v>
      </c>
      <c r="L1536" s="1">
        <f t="shared" si="2157"/>
        <v>2</v>
      </c>
      <c r="M1536" s="1">
        <f t="shared" si="2158"/>
        <v>10</v>
      </c>
      <c r="N1536" s="1">
        <f t="shared" si="2159"/>
        <v>2</v>
      </c>
      <c r="O1536" s="1">
        <f t="shared" si="2151"/>
        <v>6</v>
      </c>
      <c r="P1536" s="1">
        <f>MIN(方案参数!$AI$45,AZ1535+0+0)</f>
        <v>5</v>
      </c>
      <c r="Q1536" s="1">
        <f t="shared" si="2129"/>
        <v>5</v>
      </c>
      <c r="R1536" s="1">
        <f t="shared" si="2130"/>
        <v>10</v>
      </c>
      <c r="S1536" s="1">
        <f t="shared" si="2131"/>
        <v>3</v>
      </c>
      <c r="T1536" s="1">
        <f t="shared" si="2166"/>
        <v>1</v>
      </c>
      <c r="U1536" s="1">
        <f t="shared" si="2133"/>
        <v>0</v>
      </c>
      <c r="V1536" s="1">
        <f t="shared" si="2134"/>
        <v>3</v>
      </c>
      <c r="W1536" s="1">
        <f t="shared" si="2135"/>
        <v>1</v>
      </c>
      <c r="X1536" s="1">
        <f t="shared" si="2136"/>
        <v>1</v>
      </c>
      <c r="Y1536" s="1">
        <f t="shared" si="2137"/>
        <v>1</v>
      </c>
      <c r="Z1536" s="1">
        <f t="shared" si="2138"/>
        <v>1</v>
      </c>
      <c r="AA1536" s="1">
        <f t="shared" si="2162"/>
        <v>1</v>
      </c>
      <c r="AB1536" s="1">
        <f t="shared" si="2140"/>
        <v>0</v>
      </c>
      <c r="AC1536" s="1">
        <f t="shared" si="2167"/>
        <v>1</v>
      </c>
      <c r="AD1536" s="1">
        <f>ROUNDDOWN(I1536*(1+IF(F1536=3,0.05+方案参数!$Y$45+AA1536*0.12,IF(F1536=4,方案参数!$BZ$45*方案参数!$AS$45,0)))+IF(AND(X1536=1,F1536&lt;&gt;3),方案参数!$CC$45,0)+AC1536*方案参数!$CB$45,0)</f>
        <v>3311</v>
      </c>
      <c r="AE1536" s="1">
        <f>IF(OR(F1536=1,F1536=4),配置与结果!$B$24,配置与结果!$B$25)*MAX(0,1-INDEX(配置与结果!$I$15:$I$18,F1536))</f>
        <v>1200</v>
      </c>
      <c r="AF1536" s="1">
        <f>方案参数!$AT$45+MAX(0,配置与结果!$H$26+方案参数!$BZ$45-30)*方案参数!$AU$45*配置与结果!$H$27</f>
        <v>42</v>
      </c>
      <c r="AG1536" s="1">
        <f>MAX(配置与结果!$B$32,1+INDEX(配置与结果!$F$15:$F$18,F1536)+0.08+Q1536*方案参数!$W$45+Y1536*(方案参数!$AN$45+MIN(方案参数!$AO$45,P1536*0.03))+AB1536*方案参数!$BZ$45*0.025-配置与结果!$B$28)</f>
        <v>1.105</v>
      </c>
      <c r="AH1536" s="1">
        <f>MAX(0,1+INDEX(配置与结果!$H$15:$H$18,F1536)+W1536*方案参数!$AG$45+S1536*方案参数!$Z$45)</f>
        <v>1.4500000000000002</v>
      </c>
      <c r="AI1536" s="1">
        <f>IF(OR(INDEX(配置与结果!$K$15:$K$18,F1536)=1,G1536="RHI_BERRY"),1+配置与结果!$B$33+P1536*方案参数!$AH$45,1)</f>
        <v>1</v>
      </c>
      <c r="AJ1536" s="1">
        <f>MIN(1,MAX(0,J1536+方案参数!$AB$45-配置与结果!$B$27))</f>
        <v>0.66700000000000004</v>
      </c>
      <c r="AK1536" s="1">
        <f>MAX(1,K1536+IF(F1536=2,0.15+方案参数!$CH$45,0)+BN1536*方案参数!$X$45+R1536*方案参数!$AA$45+0-配置与结果!$B$26+Z1536*(方案参数!$AP$45+MIN(方案参数!$AQ$45,P1536*0.03)))</f>
        <v>1.8270000000000002</v>
      </c>
      <c r="AL1536" s="7">
        <f>ROUNDDOWN(MAX(AD1536*配置与结果!$B$31,AD1536-AE1536)*AF1536*AG1536*AH1536*AI1536,0)</f>
        <v>142058</v>
      </c>
      <c r="AM1536" s="7">
        <f>ROUNDDOWN(MAX(AD1536*配置与结果!$B$31,AD1536-AE1536)*AF1536*AG1536*AH1536*AI1536*AK1536,0)</f>
        <v>259541</v>
      </c>
      <c r="AN1536" s="7">
        <f t="shared" si="2074"/>
        <v>220419.16099999999</v>
      </c>
      <c r="AO1536" s="7">
        <f>0</f>
        <v>0</v>
      </c>
      <c r="AP1536" s="7">
        <f>MAX(0,1+INDEX(配置与结果!$J$15:$J$18,F1536)+IF(T1536&gt;0,方案参数!$BY$45,0)-配置与结果!$B$30)</f>
        <v>2</v>
      </c>
      <c r="AQ1536" s="7">
        <f t="shared" si="2075"/>
        <v>0</v>
      </c>
      <c r="AR1536" s="7">
        <f t="shared" si="2076"/>
        <v>0</v>
      </c>
      <c r="AS1536" s="7">
        <f t="shared" si="2077"/>
        <v>0</v>
      </c>
      <c r="AT1536" s="7">
        <f>0</f>
        <v>0</v>
      </c>
      <c r="AU1536" s="7">
        <f t="shared" si="2078"/>
        <v>220419.16099999999</v>
      </c>
      <c r="AV1536" s="1">
        <f t="shared" si="2079"/>
        <v>2</v>
      </c>
      <c r="AW1536" s="1">
        <f t="shared" si="2155"/>
        <v>10</v>
      </c>
      <c r="AX1536" s="1">
        <f t="shared" si="2080"/>
        <v>2</v>
      </c>
      <c r="AY1536" s="1">
        <f t="shared" si="2149"/>
        <v>6</v>
      </c>
      <c r="AZ1536" s="1">
        <f t="shared" si="2081"/>
        <v>5</v>
      </c>
      <c r="BA1536" s="1">
        <f t="shared" si="2163"/>
        <v>5</v>
      </c>
      <c r="BB1536" s="1">
        <f>MIN(30,R1536+5)</f>
        <v>15</v>
      </c>
      <c r="BC1536" s="1">
        <f t="shared" ref="BC1536:BC1559" si="2169">MIN(3,S1536+0)</f>
        <v>3</v>
      </c>
      <c r="BD1536" s="1">
        <f t="shared" si="2150"/>
        <v>1</v>
      </c>
      <c r="BE1536" s="1">
        <f t="shared" si="2143"/>
        <v>0</v>
      </c>
      <c r="BF1536" s="1">
        <f>MIN(4,V1536+0)</f>
        <v>3</v>
      </c>
      <c r="BG1536" s="1">
        <f t="shared" si="2160"/>
        <v>1</v>
      </c>
      <c r="BH1536" s="1">
        <f t="shared" si="2144"/>
        <v>1</v>
      </c>
      <c r="BI1536" s="1">
        <f t="shared" si="2161"/>
        <v>1</v>
      </c>
      <c r="BJ1536" s="1">
        <f t="shared" si="2164"/>
        <v>1</v>
      </c>
      <c r="BK1536" s="1">
        <f t="shared" si="2165"/>
        <v>1</v>
      </c>
      <c r="BL1536" s="1">
        <f>MAX(AB1536,1)</f>
        <v>1</v>
      </c>
      <c r="BM1536" s="1">
        <f t="shared" si="2168"/>
        <v>1</v>
      </c>
      <c r="BN1536" s="1">
        <f t="shared" si="2145"/>
        <v>1</v>
      </c>
      <c r="BO1536" s="1">
        <f t="shared" si="2146"/>
        <v>1</v>
      </c>
    </row>
    <row r="1537" spans="1:67" ht="30.95" customHeight="1">
      <c r="A1537" s="1">
        <f>42</f>
        <v>42</v>
      </c>
      <c r="B1537" s="1">
        <f>固定流程!A25</f>
        <v>20</v>
      </c>
      <c r="C1537" s="1">
        <f>45</f>
        <v>45</v>
      </c>
      <c r="D1537" s="1">
        <f>1</f>
        <v>1</v>
      </c>
      <c r="E1537" s="1">
        <f>固定流程!C25</f>
        <v>3</v>
      </c>
      <c r="F1537" s="1">
        <f>固定流程!G25</f>
        <v>1</v>
      </c>
      <c r="G1537" s="1" t="str">
        <f>固定流程!H25</f>
        <v>LILYA_ULT</v>
      </c>
      <c r="H1537" s="1">
        <f>固定流程!F25</f>
        <v>1</v>
      </c>
      <c r="I1537" s="1">
        <f>INDEX(配置与结果!$B$15:$B$18,F1537)</f>
        <v>2296</v>
      </c>
      <c r="J1537" s="1">
        <f>INDEX(配置与结果!$D$15:$D$18,F1537)</f>
        <v>0.7</v>
      </c>
      <c r="K1537" s="1">
        <f>INDEX(配置与结果!$E$15:$E$18,F1537)</f>
        <v>2.0249999999999999</v>
      </c>
      <c r="L1537" s="1">
        <f t="shared" si="2157"/>
        <v>2</v>
      </c>
      <c r="M1537" s="1">
        <f t="shared" si="2158"/>
        <v>10</v>
      </c>
      <c r="N1537" s="1">
        <f t="shared" si="2159"/>
        <v>2</v>
      </c>
      <c r="O1537" s="1">
        <f t="shared" si="2151"/>
        <v>6</v>
      </c>
      <c r="P1537" s="1">
        <f>MIN(方案参数!$AI$45,AZ1536+0+0)</f>
        <v>5</v>
      </c>
      <c r="Q1537" s="1">
        <f t="shared" si="2129"/>
        <v>5</v>
      </c>
      <c r="R1537" s="1">
        <f t="shared" si="2130"/>
        <v>15</v>
      </c>
      <c r="S1537" s="1">
        <f t="shared" si="2131"/>
        <v>3</v>
      </c>
      <c r="T1537" s="1">
        <f t="shared" si="2166"/>
        <v>1</v>
      </c>
      <c r="U1537" s="1">
        <f t="shared" si="2133"/>
        <v>0</v>
      </c>
      <c r="V1537" s="1">
        <f t="shared" si="2134"/>
        <v>3</v>
      </c>
      <c r="W1537" s="1">
        <f t="shared" si="2135"/>
        <v>1</v>
      </c>
      <c r="X1537" s="1">
        <f t="shared" si="2136"/>
        <v>1</v>
      </c>
      <c r="Y1537" s="1">
        <f t="shared" si="2137"/>
        <v>1</v>
      </c>
      <c r="Z1537" s="1">
        <f t="shared" si="2138"/>
        <v>1</v>
      </c>
      <c r="AA1537" s="1">
        <f t="shared" si="2162"/>
        <v>1</v>
      </c>
      <c r="AB1537" s="1">
        <f t="shared" si="2140"/>
        <v>1</v>
      </c>
      <c r="AC1537" s="1">
        <f t="shared" si="2167"/>
        <v>1</v>
      </c>
      <c r="AD1537" s="1">
        <f>ROUNDDOWN(I1537*(1+IF(F1537=3,0.05+方案参数!$Y$45+AA1537*0.12,IF(F1537=4,方案参数!$BZ$45*方案参数!$AS$45,0)))+IF(AND(X1537=1,F1537&lt;&gt;3),方案参数!$CC$45,0)+AC1537*方案参数!$CB$45,0)</f>
        <v>3034</v>
      </c>
      <c r="AE1537" s="1">
        <f>IF(OR(F1537=1,F1537=4),配置与结果!$B$24,配置与结果!$B$25)*MAX(0,1-INDEX(配置与结果!$I$15:$I$18,F1537)+IF(O1537&gt;=6,方案参数!$BK$45,0))</f>
        <v>1440</v>
      </c>
      <c r="AF1537" s="1">
        <f>方案参数!$BG$45+IF(O1537&gt;=6,方案参数!$BH$45,0)</f>
        <v>36</v>
      </c>
      <c r="AG1537" s="1">
        <f>MAX(配置与结果!$B$32,1+INDEX(配置与结果!$F$15:$F$18,F1537)+0.08+方案参数!$CD$45+Q1537*方案参数!$W$45+Y1537*(方案参数!$AN$45+MIN(方案参数!$AO$45,P1537*0.03))+AB1537*方案参数!$BZ$45*0.025-配置与结果!$B$28)</f>
        <v>2.2150000000000003</v>
      </c>
      <c r="AH1537" s="1">
        <f>MAX(0,1+INDEX(配置与结果!$H$15:$H$18,F1537)+W1537*方案参数!$AG$45+O1537*方案参数!$BF$45+IF(O1537&gt;=6,方案参数!$BI$45,0))</f>
        <v>2.4500000000000002</v>
      </c>
      <c r="AI1537" s="1">
        <f>IF(OR(INDEX(配置与结果!$K$15:$K$18,F1537)=1,G1537="RHI_BERRY"),1+配置与结果!$B$33+P1537*方案参数!$AH$45,1)</f>
        <v>1</v>
      </c>
      <c r="AJ1537" s="1">
        <f>MIN(1,MAX(0,J1537+方案参数!$AB$45-配置与结果!$B$27))</f>
        <v>1</v>
      </c>
      <c r="AK1537" s="1">
        <f>MAX(1,K1537+IF(F1537=2,0.15+方案参数!$CH$45,0)+BN1537*方案参数!$X$45+R1537*方案参数!$AA$45+IF(O1537&gt;=6,方案参数!$BJ$45,0)-配置与结果!$B$26+Z1537*(方案参数!$AP$45+MIN(方案参数!$AQ$45,P1537*0.03)))</f>
        <v>3.16</v>
      </c>
      <c r="AL1537" s="7">
        <f>ROUNDDOWN(MAX(AD1537*配置与结果!$B$31,AD1537-AE1537)*AF1537*AG1537*AH1537*AI1537,0)</f>
        <v>311408</v>
      </c>
      <c r="AM1537" s="7">
        <f>ROUNDDOWN(MAX(AD1537*配置与结果!$B$31,AD1537-AE1537)*AF1537*AG1537*AH1537*AI1537*AK1537,0)</f>
        <v>984051</v>
      </c>
      <c r="AN1537" s="7">
        <f t="shared" si="2074"/>
        <v>984051</v>
      </c>
      <c r="AO1537" s="7">
        <f>0</f>
        <v>0</v>
      </c>
      <c r="AP1537" s="7">
        <f>MAX(0,1+INDEX(配置与结果!$J$15:$J$18,F1537)+IF(T1537&gt;0,方案参数!$BY$45,0)-配置与结果!$B$30)</f>
        <v>2</v>
      </c>
      <c r="AQ1537" s="7">
        <f t="shared" si="2075"/>
        <v>0</v>
      </c>
      <c r="AR1537" s="7">
        <f t="shared" si="2076"/>
        <v>0</v>
      </c>
      <c r="AS1537" s="7">
        <f t="shared" si="2077"/>
        <v>0</v>
      </c>
      <c r="AT1537" s="7">
        <f>0</f>
        <v>0</v>
      </c>
      <c r="AU1537" s="7">
        <f t="shared" si="2078"/>
        <v>984051</v>
      </c>
      <c r="AV1537" s="1">
        <f t="shared" si="2079"/>
        <v>2</v>
      </c>
      <c r="AW1537" s="1">
        <f t="shared" si="2155"/>
        <v>10</v>
      </c>
      <c r="AX1537" s="1">
        <f t="shared" si="2080"/>
        <v>2</v>
      </c>
      <c r="AY1537" s="1">
        <f>MIN(20,MAX(0,O1537+0+0-IF(O1537&gt;=6,6,0)))</f>
        <v>0</v>
      </c>
      <c r="AZ1537" s="1">
        <f t="shared" si="2081"/>
        <v>5</v>
      </c>
      <c r="BA1537" s="1">
        <f t="shared" si="2163"/>
        <v>5</v>
      </c>
      <c r="BB1537" s="1">
        <f>MIN(30,R1537+5)</f>
        <v>20</v>
      </c>
      <c r="BC1537" s="1">
        <f t="shared" si="2169"/>
        <v>3</v>
      </c>
      <c r="BD1537" s="1">
        <f t="shared" si="2150"/>
        <v>1</v>
      </c>
      <c r="BE1537" s="1">
        <f t="shared" si="2143"/>
        <v>0</v>
      </c>
      <c r="BF1537" s="1">
        <f>MIN(4,V1537+0)</f>
        <v>3</v>
      </c>
      <c r="BG1537" s="1">
        <f t="shared" si="2160"/>
        <v>1</v>
      </c>
      <c r="BH1537" s="1">
        <f t="shared" si="2144"/>
        <v>1</v>
      </c>
      <c r="BI1537" s="1">
        <f t="shared" si="2161"/>
        <v>1</v>
      </c>
      <c r="BJ1537" s="1">
        <f t="shared" si="2164"/>
        <v>1</v>
      </c>
      <c r="BK1537" s="1">
        <f t="shared" si="2165"/>
        <v>1</v>
      </c>
      <c r="BL1537" s="1">
        <f t="shared" ref="BL1537:BL1571" si="2170">MAX(AB1537,0)</f>
        <v>1</v>
      </c>
      <c r="BM1537" s="1">
        <f t="shared" si="2168"/>
        <v>1</v>
      </c>
      <c r="BN1537" s="1">
        <f t="shared" si="2145"/>
        <v>1</v>
      </c>
      <c r="BO1537" s="1">
        <f t="shared" si="2146"/>
        <v>1</v>
      </c>
    </row>
    <row r="1538" spans="1:67" ht="30.95" customHeight="1">
      <c r="A1538" s="1">
        <f>42</f>
        <v>42</v>
      </c>
      <c r="B1538" s="1">
        <f>固定流程!A26</f>
        <v>21</v>
      </c>
      <c r="C1538" s="1">
        <f>45</f>
        <v>45</v>
      </c>
      <c r="D1538" s="1">
        <f>1</f>
        <v>1</v>
      </c>
      <c r="E1538" s="1">
        <f>固定流程!C26</f>
        <v>3</v>
      </c>
      <c r="F1538" s="1">
        <f>固定流程!G26</f>
        <v>1</v>
      </c>
      <c r="G1538" s="1" t="str">
        <f>固定流程!H26</f>
        <v>LILYA_DIVE</v>
      </c>
      <c r="H1538" s="1">
        <f>固定流程!F26</f>
        <v>3</v>
      </c>
      <c r="I1538" s="1">
        <f>INDEX(配置与结果!$B$15:$B$18,F1538)</f>
        <v>2296</v>
      </c>
      <c r="J1538" s="1">
        <f>INDEX(配置与结果!$D$15:$D$18,F1538)</f>
        <v>0.7</v>
      </c>
      <c r="K1538" s="1">
        <f>INDEX(配置与结果!$E$15:$E$18,F1538)</f>
        <v>2.0249999999999999</v>
      </c>
      <c r="L1538" s="1">
        <f t="shared" si="2157"/>
        <v>2</v>
      </c>
      <c r="M1538" s="1">
        <f t="shared" si="2158"/>
        <v>10</v>
      </c>
      <c r="N1538" s="1">
        <f t="shared" si="2159"/>
        <v>2</v>
      </c>
      <c r="O1538" s="1">
        <f t="shared" si="2151"/>
        <v>0</v>
      </c>
      <c r="P1538" s="1">
        <f>MIN(方案参数!$AI$45,AZ1537+0+0)</f>
        <v>5</v>
      </c>
      <c r="Q1538" s="1">
        <f t="shared" si="2129"/>
        <v>5</v>
      </c>
      <c r="R1538" s="1">
        <f t="shared" si="2130"/>
        <v>20</v>
      </c>
      <c r="S1538" s="1">
        <f t="shared" si="2131"/>
        <v>3</v>
      </c>
      <c r="T1538" s="1">
        <f t="shared" si="2166"/>
        <v>1</v>
      </c>
      <c r="U1538" s="1">
        <f t="shared" si="2133"/>
        <v>0</v>
      </c>
      <c r="V1538" s="1">
        <f t="shared" si="2134"/>
        <v>3</v>
      </c>
      <c r="W1538" s="1">
        <f t="shared" si="2135"/>
        <v>1</v>
      </c>
      <c r="X1538" s="1">
        <f t="shared" si="2136"/>
        <v>1</v>
      </c>
      <c r="Y1538" s="1">
        <f t="shared" si="2137"/>
        <v>1</v>
      </c>
      <c r="Z1538" s="1">
        <f t="shared" si="2138"/>
        <v>1</v>
      </c>
      <c r="AA1538" s="1">
        <f t="shared" si="2162"/>
        <v>1</v>
      </c>
      <c r="AB1538" s="1">
        <f t="shared" si="2140"/>
        <v>1</v>
      </c>
      <c r="AC1538" s="1">
        <f t="shared" si="2167"/>
        <v>1</v>
      </c>
      <c r="AD1538" s="1">
        <f>ROUNDDOWN(I1538*(1+IF(F1538=3,0.05+方案参数!$Y$45+AA1538*0.12,IF(F1538=4,方案参数!$BZ$45*方案参数!$AS$45,0)))+IF(AND(X1538=1,F1538&lt;&gt;3),方案参数!$CC$45,0)+AC1538*方案参数!$CB$45,0)</f>
        <v>3034</v>
      </c>
      <c r="AE1538" s="1">
        <f>IF(OR(F1538=1,F1538=4),配置与结果!$B$24,配置与结果!$B$25)*MAX(0,1-INDEX(配置与结果!$I$15:$I$18,F1538))</f>
        <v>1200</v>
      </c>
      <c r="AF1538" s="1">
        <f>(IF(L1538=1,方案参数!$AW$45,IF(L1538=2,方案参数!$AX$45,0))+方案参数!$AV$45)*H1538</f>
        <v>30</v>
      </c>
      <c r="AG1538" s="1">
        <f>MAX(配置与结果!$B$32,1+INDEX(配置与结果!$F$15:$F$18,F1538)+0.08+方案参数!$CD$45+Q1538*方案参数!$W$45+Y1538*(方案参数!$AN$45+MIN(方案参数!$AO$45,P1538*0.03))+AB1538*方案参数!$BZ$45*0.025+IF(L1538=1,方案参数!$AY$45+(H1538-1)*0.1,IF(L1538=2,方案参数!$AZ$45+(H1538-1)*0.2,0))-配置与结果!$B$28)</f>
        <v>2.8150000000000004</v>
      </c>
      <c r="AH1538" s="1">
        <f>MAX(0,1+INDEX(配置与结果!$G$15:$G$18,F1538)+W1538*方案参数!$AG$45+IF(L1538=1,方案参数!$BA$45,IF(L1538=2,方案参数!$BB$45,0))+M1538*方案参数!$BC$45)</f>
        <v>3.1</v>
      </c>
      <c r="AI1538" s="1">
        <f>IF(OR(INDEX(配置与结果!$K$15:$K$18,F1538)=1,G1538="RHI_BERRY"),1+配置与结果!$B$33+P1538*方案参数!$AH$45,1)</f>
        <v>1</v>
      </c>
      <c r="AJ1538" s="1">
        <f>MIN(1,MAX(0,J1538+方案参数!$AB$45-配置与结果!$B$27))</f>
        <v>1</v>
      </c>
      <c r="AK1538" s="1">
        <f>MAX(1,K1538+IF(F1538=2,0.15+方案参数!$CH$45,0)+BN1538*方案参数!$X$45+R1538*方案参数!$AA$45+0-配置与结果!$B$26+Z1538*(方案参数!$AP$45+MIN(方案参数!$AQ$45,P1538*0.03)))</f>
        <v>2.1850000000000001</v>
      </c>
      <c r="AL1538" s="7">
        <f>ROUNDDOWN(MAX(AD1538*配置与结果!$B$31,AD1538-AE1538)*AF1538*AG1538*AH1538*AI1538,0)</f>
        <v>480132</v>
      </c>
      <c r="AM1538" s="7">
        <f>ROUNDDOWN(MAX(AD1538*配置与结果!$B$31,AD1538-AE1538)*AF1538*AG1538*AH1538*AI1538*AK1538,0)</f>
        <v>1049088</v>
      </c>
      <c r="AN1538" s="7">
        <f t="shared" si="2074"/>
        <v>1049088</v>
      </c>
      <c r="AO1538" s="7">
        <f>0</f>
        <v>0</v>
      </c>
      <c r="AP1538" s="7">
        <f>MAX(0,1+INDEX(配置与结果!$J$15:$J$18,F1538)+IF(T1538&gt;0,方案参数!$BY$45,0)-配置与结果!$B$30)</f>
        <v>2</v>
      </c>
      <c r="AQ1538" s="7">
        <f t="shared" si="2075"/>
        <v>0</v>
      </c>
      <c r="AR1538" s="7">
        <f t="shared" si="2076"/>
        <v>0</v>
      </c>
      <c r="AS1538" s="7">
        <f t="shared" si="2077"/>
        <v>0</v>
      </c>
      <c r="AT1538" s="7">
        <f>0</f>
        <v>0</v>
      </c>
      <c r="AU1538" s="7">
        <f t="shared" si="2078"/>
        <v>1049088</v>
      </c>
      <c r="AV1538" s="1">
        <f t="shared" si="2079"/>
        <v>2</v>
      </c>
      <c r="AW1538" s="1">
        <f>MIN(10,M1538+0+IF(L1538=1,方案参数!$BE$45,0))</f>
        <v>10</v>
      </c>
      <c r="AX1538" s="1">
        <f t="shared" si="2080"/>
        <v>2</v>
      </c>
      <c r="AY1538" s="1">
        <f>MIN(20,MAX(0,O1538+0+0-0))</f>
        <v>0</v>
      </c>
      <c r="AZ1538" s="1">
        <f t="shared" si="2081"/>
        <v>5</v>
      </c>
      <c r="BA1538" s="1">
        <f t="shared" si="2163"/>
        <v>5</v>
      </c>
      <c r="BB1538" s="1">
        <f t="shared" ref="BB1538:BB1553" si="2171">MIN(30,R1538+0)</f>
        <v>20</v>
      </c>
      <c r="BC1538" s="1">
        <f t="shared" si="2169"/>
        <v>3</v>
      </c>
      <c r="BD1538" s="1">
        <f t="shared" si="2150"/>
        <v>1</v>
      </c>
      <c r="BE1538" s="1">
        <f t="shared" si="2143"/>
        <v>0</v>
      </c>
      <c r="BF1538" s="1">
        <f>MIN(4,V1538+0)</f>
        <v>3</v>
      </c>
      <c r="BG1538" s="1">
        <f t="shared" si="2160"/>
        <v>1</v>
      </c>
      <c r="BH1538" s="1">
        <f t="shared" si="2144"/>
        <v>1</v>
      </c>
      <c r="BI1538" s="1">
        <f t="shared" si="2161"/>
        <v>1</v>
      </c>
      <c r="BJ1538" s="1">
        <f t="shared" si="2164"/>
        <v>1</v>
      </c>
      <c r="BK1538" s="1">
        <f t="shared" si="2165"/>
        <v>1</v>
      </c>
      <c r="BL1538" s="1">
        <f t="shared" si="2170"/>
        <v>1</v>
      </c>
      <c r="BM1538" s="1">
        <f t="shared" si="2168"/>
        <v>1</v>
      </c>
      <c r="BN1538" s="1">
        <f t="shared" si="2145"/>
        <v>1</v>
      </c>
      <c r="BO1538" s="1">
        <f t="shared" si="2146"/>
        <v>1</v>
      </c>
    </row>
    <row r="1539" spans="1:67" ht="30.95" customHeight="1">
      <c r="A1539" s="1">
        <f>42</f>
        <v>42</v>
      </c>
      <c r="B1539" s="1">
        <f>固定流程!A27</f>
        <v>22</v>
      </c>
      <c r="C1539" s="1">
        <f>45</f>
        <v>45</v>
      </c>
      <c r="D1539" s="1">
        <f>1</f>
        <v>1</v>
      </c>
      <c r="E1539" s="1">
        <f>固定流程!C27</f>
        <v>3</v>
      </c>
      <c r="F1539" s="1">
        <f>固定流程!G27</f>
        <v>3</v>
      </c>
      <c r="G1539" s="1" t="str">
        <f>固定流程!H27</f>
        <v>RHI_BERRY</v>
      </c>
      <c r="H1539" s="1">
        <f>固定流程!F27</f>
        <v>1</v>
      </c>
      <c r="I1539" s="1">
        <f>INDEX(配置与结果!$B$15:$B$18,F1539)</f>
        <v>2597</v>
      </c>
      <c r="J1539" s="1">
        <f>INDEX(配置与结果!$D$15:$D$18,F1539)</f>
        <v>0.255</v>
      </c>
      <c r="K1539" s="1">
        <f>INDEX(配置与结果!$E$15:$E$18,F1539)</f>
        <v>1.55</v>
      </c>
      <c r="L1539" s="1">
        <f t="shared" si="2157"/>
        <v>2</v>
      </c>
      <c r="M1539" s="1">
        <f t="shared" si="2158"/>
        <v>10</v>
      </c>
      <c r="N1539" s="1">
        <f t="shared" si="2159"/>
        <v>2</v>
      </c>
      <c r="O1539" s="1">
        <f t="shared" si="2151"/>
        <v>0</v>
      </c>
      <c r="P1539" s="1">
        <f>MIN(方案参数!$AI$45,AZ1538+0+0)</f>
        <v>5</v>
      </c>
      <c r="Q1539" s="1">
        <f t="shared" si="2129"/>
        <v>5</v>
      </c>
      <c r="R1539" s="1">
        <f t="shared" si="2130"/>
        <v>20</v>
      </c>
      <c r="S1539" s="1">
        <f t="shared" si="2131"/>
        <v>3</v>
      </c>
      <c r="T1539" s="1">
        <f t="shared" si="2166"/>
        <v>1</v>
      </c>
      <c r="U1539" s="1">
        <f t="shared" si="2133"/>
        <v>0</v>
      </c>
      <c r="V1539" s="1">
        <f t="shared" si="2134"/>
        <v>3</v>
      </c>
      <c r="W1539" s="1">
        <f t="shared" si="2135"/>
        <v>1</v>
      </c>
      <c r="X1539" s="1">
        <f t="shared" si="2136"/>
        <v>1</v>
      </c>
      <c r="Y1539" s="1">
        <f t="shared" si="2137"/>
        <v>1</v>
      </c>
      <c r="Z1539" s="1">
        <f t="shared" si="2138"/>
        <v>1</v>
      </c>
      <c r="AA1539" s="1">
        <f t="shared" si="2162"/>
        <v>1</v>
      </c>
      <c r="AB1539" s="1">
        <f t="shared" si="2140"/>
        <v>1</v>
      </c>
      <c r="AC1539" s="1">
        <f t="shared" si="2167"/>
        <v>1</v>
      </c>
      <c r="AD1539" s="1">
        <f>ROUNDDOWN(I1539*(1+IF(F1539=3,0.05+方案参数!$Y$45+AA1539*0.12,IF(F1539=4,方案参数!$BZ$45*方案参数!$AS$45,0)))+IF(AND(X1539=1,F1539&lt;&gt;3),方案参数!$CC$45,0)+AC1539*方案参数!$CB$45,0)</f>
        <v>3798</v>
      </c>
      <c r="AE1539" s="1">
        <f>IF(OR(F1539=1,F1539=4),配置与结果!$B$24,配置与结果!$B$25)*MAX(0,1-INDEX(配置与结果!$I$15:$I$18,F1539))</f>
        <v>1000</v>
      </c>
      <c r="AF1539" s="1">
        <f>方案参数!$CF$45+P1539*方案参数!$CG$45</f>
        <v>22.5</v>
      </c>
      <c r="AG1539" s="1">
        <f>MAX(配置与结果!$B$32,1+INDEX(配置与结果!$F$15:$F$18,F1539)+0+Q1539*方案参数!$W$45+Y1539*(方案参数!$AN$45+MIN(方案参数!$AO$45,P1539*0.03))+AB1539*方案参数!$BZ$45*0.025-配置与结果!$B$28)</f>
        <v>1.9100000000000001</v>
      </c>
      <c r="AH1539" s="1">
        <f>MAX(0,1+INDEX(配置与结果!$G$15:$G$18,F1539)+W1539*方案参数!$AG$45)</f>
        <v>1.3</v>
      </c>
      <c r="AI1539" s="1">
        <f>IF(OR(INDEX(配置与结果!$K$15:$K$18,F1539)=1,G1539="RHI_BERRY"),1+配置与结果!$B$33+P1539*方案参数!$AH$45,1)</f>
        <v>1.5</v>
      </c>
      <c r="AJ1539" s="1">
        <f>MIN(1,MAX(0,J1539+方案参数!$AB$45-配置与结果!$B$27))</f>
        <v>0.55499999999999994</v>
      </c>
      <c r="AK1539" s="1">
        <f>MAX(1,K1539+IF(F1539=2,0.15+方案参数!$CH$45,0)+BN1539*方案参数!$X$45+R1539*方案参数!$AA$45+0-配置与结果!$B$26+Z1539*(方案参数!$AP$45+MIN(方案参数!$AQ$45,P1539*0.03)))</f>
        <v>1.7100000000000002</v>
      </c>
      <c r="AL1539" s="7">
        <f>ROUNDDOWN(MAX(AD1539*配置与结果!$B$31,AD1539-AE1539)*AF1539*AG1539*AH1539*AI1539,0)</f>
        <v>234475</v>
      </c>
      <c r="AM1539" s="7">
        <f>ROUNDDOWN(MAX(AD1539*配置与结果!$B$31,AD1539-AE1539)*AF1539*AG1539*AH1539*AI1539*AK1539,0)</f>
        <v>400953</v>
      </c>
      <c r="AN1539" s="7">
        <f t="shared" si="2074"/>
        <v>326870.28999999998</v>
      </c>
      <c r="AO1539" s="7">
        <f>0</f>
        <v>0</v>
      </c>
      <c r="AP1539" s="7">
        <f>MAX(0,1+INDEX(配置与结果!$J$15:$J$18,F1539)+IF(T1539&gt;0,方案参数!$BY$45,0)-配置与结果!$B$30)</f>
        <v>2</v>
      </c>
      <c r="AQ1539" s="7">
        <f t="shared" si="2075"/>
        <v>0</v>
      </c>
      <c r="AR1539" s="7">
        <f t="shared" si="2076"/>
        <v>0</v>
      </c>
      <c r="AS1539" s="7">
        <f t="shared" si="2077"/>
        <v>0</v>
      </c>
      <c r="AT1539" s="7">
        <f>0</f>
        <v>0</v>
      </c>
      <c r="AU1539" s="7">
        <f t="shared" si="2078"/>
        <v>326870.28999999998</v>
      </c>
      <c r="AV1539" s="1">
        <f t="shared" si="2079"/>
        <v>2</v>
      </c>
      <c r="AW1539" s="1">
        <f t="shared" ref="AW1539:AW1555" si="2172">MIN(10,M1539+0+0)</f>
        <v>10</v>
      </c>
      <c r="AX1539" s="1">
        <f t="shared" si="2080"/>
        <v>2</v>
      </c>
      <c r="AY1539" s="1">
        <f>MIN(20,MAX(0,O1539+0+0-0))</f>
        <v>0</v>
      </c>
      <c r="AZ1539" s="1">
        <f t="shared" si="2081"/>
        <v>5</v>
      </c>
      <c r="BA1539" s="1">
        <f t="shared" si="2163"/>
        <v>5</v>
      </c>
      <c r="BB1539" s="1">
        <f t="shared" si="2171"/>
        <v>20</v>
      </c>
      <c r="BC1539" s="1">
        <f t="shared" si="2169"/>
        <v>3</v>
      </c>
      <c r="BD1539" s="1">
        <f t="shared" si="2150"/>
        <v>1</v>
      </c>
      <c r="BE1539" s="1">
        <f t="shared" si="2143"/>
        <v>0</v>
      </c>
      <c r="BF1539" s="1">
        <f>MIN(4,V1539+0)</f>
        <v>3</v>
      </c>
      <c r="BG1539" s="1">
        <f t="shared" si="2160"/>
        <v>1</v>
      </c>
      <c r="BH1539" s="1">
        <f t="shared" si="2144"/>
        <v>1</v>
      </c>
      <c r="BI1539" s="1">
        <f t="shared" si="2161"/>
        <v>1</v>
      </c>
      <c r="BJ1539" s="1">
        <f t="shared" si="2164"/>
        <v>1</v>
      </c>
      <c r="BK1539" s="1">
        <f t="shared" si="2165"/>
        <v>1</v>
      </c>
      <c r="BL1539" s="1">
        <f t="shared" si="2170"/>
        <v>1</v>
      </c>
      <c r="BM1539" s="1">
        <f t="shared" si="2168"/>
        <v>1</v>
      </c>
      <c r="BN1539" s="1">
        <f t="shared" si="2145"/>
        <v>1</v>
      </c>
      <c r="BO1539" s="1">
        <f t="shared" si="2146"/>
        <v>1</v>
      </c>
    </row>
    <row r="1540" spans="1:67" ht="30.95" customHeight="1">
      <c r="A1540" s="1">
        <f>42</f>
        <v>42</v>
      </c>
      <c r="B1540" s="1">
        <f>固定流程!A28</f>
        <v>23</v>
      </c>
      <c r="C1540" s="1">
        <f>45</f>
        <v>45</v>
      </c>
      <c r="D1540" s="1">
        <f>1</f>
        <v>1</v>
      </c>
      <c r="E1540" s="1">
        <f>固定流程!C28</f>
        <v>3</v>
      </c>
      <c r="F1540" s="1">
        <f>固定流程!G28</f>
        <v>2</v>
      </c>
      <c r="G1540" s="1" t="str">
        <f>固定流程!H28</f>
        <v>37_FOLLOW</v>
      </c>
      <c r="H1540" s="1">
        <f>固定流程!F28</f>
        <v>1</v>
      </c>
      <c r="I1540" s="1">
        <f>INDEX(配置与结果!$B$15:$B$18,F1540)</f>
        <v>2306</v>
      </c>
      <c r="J1540" s="1">
        <f>INDEX(配置与结果!$D$15:$D$18,F1540)</f>
        <v>0.46</v>
      </c>
      <c r="K1540" s="1">
        <f>INDEX(配置与结果!$E$15:$E$18,F1540)</f>
        <v>1.9279999999999999</v>
      </c>
      <c r="L1540" s="1">
        <f t="shared" si="2157"/>
        <v>2</v>
      </c>
      <c r="M1540" s="1">
        <f t="shared" si="2158"/>
        <v>10</v>
      </c>
      <c r="N1540" s="1">
        <f t="shared" si="2159"/>
        <v>2</v>
      </c>
      <c r="O1540" s="1">
        <f t="shared" si="2151"/>
        <v>0</v>
      </c>
      <c r="P1540" s="1">
        <f>MIN(方案参数!$AI$45,AZ1539+0+0)</f>
        <v>5</v>
      </c>
      <c r="Q1540" s="1">
        <f t="shared" si="2129"/>
        <v>5</v>
      </c>
      <c r="R1540" s="1">
        <f t="shared" si="2130"/>
        <v>20</v>
      </c>
      <c r="S1540" s="1">
        <f t="shared" si="2131"/>
        <v>3</v>
      </c>
      <c r="T1540" s="1">
        <f t="shared" si="2166"/>
        <v>1</v>
      </c>
      <c r="U1540" s="1">
        <f t="shared" si="2133"/>
        <v>0</v>
      </c>
      <c r="V1540" s="1">
        <f t="shared" si="2134"/>
        <v>3</v>
      </c>
      <c r="W1540" s="1">
        <f t="shared" si="2135"/>
        <v>1</v>
      </c>
      <c r="X1540" s="1">
        <f t="shared" si="2136"/>
        <v>1</v>
      </c>
      <c r="Y1540" s="1">
        <f t="shared" si="2137"/>
        <v>1</v>
      </c>
      <c r="Z1540" s="1">
        <f t="shared" si="2138"/>
        <v>1</v>
      </c>
      <c r="AA1540" s="1">
        <f t="shared" si="2162"/>
        <v>1</v>
      </c>
      <c r="AB1540" s="1">
        <f t="shared" si="2140"/>
        <v>1</v>
      </c>
      <c r="AC1540" s="1">
        <f t="shared" si="2167"/>
        <v>1</v>
      </c>
      <c r="AD1540" s="1">
        <f>ROUNDDOWN(I1540*(1+IF(F1540=3,0.05+方案参数!$Y$45+AA1540*0.12,IF(F1540=4,方案参数!$BZ$45*方案参数!$AS$45,0)))+IF(AND(X1540=1,F1540&lt;&gt;3),方案参数!$CC$45,0)+AC1540*方案参数!$CB$45,0)</f>
        <v>3044</v>
      </c>
      <c r="AE1540" s="1">
        <f>IF(OR(F1540=1,F1540=4),配置与结果!$B$24,配置与结果!$B$25)*MAX(0,1-INDEX(配置与结果!$I$15:$I$18,F1540))</f>
        <v>1000</v>
      </c>
      <c r="AF1540" s="1">
        <f>方案参数!$BV$45</f>
        <v>3</v>
      </c>
      <c r="AG1540" s="1">
        <f>MAX(配置与结果!$B$32,1+INDEX(配置与结果!$F$15:$F$18,F1540)+0+Q1540*方案参数!$W$45+Y1540*(方案参数!$AN$45+MIN(方案参数!$AO$45,P1540*0.03))+AB1540*方案参数!$BZ$45*0.025-配置与结果!$B$28)</f>
        <v>1.8800000000000003</v>
      </c>
      <c r="AH1540" s="1">
        <f>MAX(0,1+INDEX(配置与结果!$G$15:$G$18,F1540)+W1540*方案参数!$AG$45)</f>
        <v>1.3</v>
      </c>
      <c r="AI1540" s="1">
        <f>IF(OR(INDEX(配置与结果!$K$15:$K$18,F1540)=1,G1540="RHI_BERRY"),1+配置与结果!$B$33+P1540*方案参数!$AH$45,1)</f>
        <v>1</v>
      </c>
      <c r="AJ1540" s="1">
        <f>MIN(1,MAX(0,J1540+方案参数!$AB$45-配置与结果!$B$27))</f>
        <v>0.76</v>
      </c>
      <c r="AK1540" s="1">
        <f>MAX(1,K1540+IF(F1540=2,0.15+方案参数!$CH$45,0)+BN1540*方案参数!$X$45+R1540*方案参数!$AA$45+0-配置与结果!$B$26+Z1540*(方案参数!$AP$45+MIN(方案参数!$AQ$45,P1540*0.03)))</f>
        <v>2.3580000000000001</v>
      </c>
      <c r="AL1540" s="7">
        <f>ROUNDDOWN(MAX(AD1540*配置与结果!$B$31,AD1540-AE1540)*AF1540*AG1540*AH1540*AI1540,0)</f>
        <v>14986</v>
      </c>
      <c r="AM1540" s="7">
        <f>ROUNDDOWN(MAX(AD1540*配置与结果!$B$31,AD1540-AE1540)*AF1540*AG1540*AH1540*AI1540*AK1540,0)</f>
        <v>35338</v>
      </c>
      <c r="AN1540" s="7">
        <f t="shared" si="2074"/>
        <v>30453.52</v>
      </c>
      <c r="AO1540" s="7">
        <f>方案参数!$BW$45</f>
        <v>1</v>
      </c>
      <c r="AP1540" s="7">
        <f>MAX(0,1+INDEX(配置与结果!$J$15:$J$18,F1540)+IF(T1540&gt;0,方案参数!$BY$45,0)-配置与结果!$B$30)</f>
        <v>2</v>
      </c>
      <c r="AQ1540" s="7">
        <f t="shared" si="2075"/>
        <v>6088</v>
      </c>
      <c r="AR1540" s="7">
        <f t="shared" si="2076"/>
        <v>14355</v>
      </c>
      <c r="AS1540" s="7">
        <f t="shared" si="2077"/>
        <v>12370.919999999998</v>
      </c>
      <c r="AT1540" s="7">
        <f>0</f>
        <v>0</v>
      </c>
      <c r="AU1540" s="7">
        <f t="shared" si="2078"/>
        <v>42824.44</v>
      </c>
      <c r="AV1540" s="1">
        <f t="shared" si="2079"/>
        <v>2</v>
      </c>
      <c r="AW1540" s="1">
        <f t="shared" si="2172"/>
        <v>10</v>
      </c>
      <c r="AX1540" s="1">
        <f t="shared" si="2080"/>
        <v>2</v>
      </c>
      <c r="AY1540" s="1">
        <f>MIN(20,MAX(0,O1540+0+0-0))</f>
        <v>0</v>
      </c>
      <c r="AZ1540" s="1">
        <f t="shared" si="2081"/>
        <v>5</v>
      </c>
      <c r="BA1540" s="1">
        <f t="shared" si="2163"/>
        <v>5</v>
      </c>
      <c r="BB1540" s="1">
        <f t="shared" si="2171"/>
        <v>20</v>
      </c>
      <c r="BC1540" s="1">
        <f t="shared" si="2169"/>
        <v>3</v>
      </c>
      <c r="BD1540" s="1">
        <f t="shared" si="2150"/>
        <v>0</v>
      </c>
      <c r="BE1540" s="1">
        <f t="shared" si="2143"/>
        <v>0</v>
      </c>
      <c r="BF1540" s="1">
        <f>MIN(4,V1540+1)</f>
        <v>4</v>
      </c>
      <c r="BG1540" s="1">
        <f t="shared" si="2160"/>
        <v>1</v>
      </c>
      <c r="BH1540" s="1">
        <f t="shared" si="2144"/>
        <v>1</v>
      </c>
      <c r="BI1540" s="1">
        <f t="shared" si="2161"/>
        <v>1</v>
      </c>
      <c r="BJ1540" s="1">
        <f t="shared" si="2164"/>
        <v>1</v>
      </c>
      <c r="BK1540" s="1">
        <f t="shared" si="2165"/>
        <v>1</v>
      </c>
      <c r="BL1540" s="1">
        <f t="shared" si="2170"/>
        <v>1</v>
      </c>
      <c r="BM1540" s="1">
        <f t="shared" si="2168"/>
        <v>1</v>
      </c>
      <c r="BN1540" s="1">
        <f t="shared" si="2145"/>
        <v>1</v>
      </c>
      <c r="BO1540" s="1">
        <f t="shared" si="2146"/>
        <v>1</v>
      </c>
    </row>
    <row r="1541" spans="1:67" ht="30.95" customHeight="1">
      <c r="A1541" s="1">
        <f>42</f>
        <v>42</v>
      </c>
      <c r="B1541" s="1">
        <f>固定流程!A29</f>
        <v>24</v>
      </c>
      <c r="C1541" s="1">
        <f>45</f>
        <v>45</v>
      </c>
      <c r="D1541" s="1">
        <f>2</f>
        <v>2</v>
      </c>
      <c r="E1541" s="1">
        <f>固定流程!C29</f>
        <v>3</v>
      </c>
      <c r="F1541" s="1">
        <f>固定流程!G29</f>
        <v>1</v>
      </c>
      <c r="G1541" s="1" t="str">
        <f>固定流程!H29</f>
        <v>LILYA_WEAK</v>
      </c>
      <c r="H1541" s="1">
        <f>固定流程!F29</f>
        <v>1</v>
      </c>
      <c r="I1541" s="1">
        <f>INDEX(配置与结果!$B$15:$B$18,F1541)</f>
        <v>2296</v>
      </c>
      <c r="J1541" s="1">
        <f>INDEX(配置与结果!$D$15:$D$18,F1541)</f>
        <v>0.7</v>
      </c>
      <c r="K1541" s="1">
        <f>INDEX(配置与结果!$E$15:$E$18,F1541)</f>
        <v>2.0249999999999999</v>
      </c>
      <c r="L1541" s="1">
        <f t="shared" si="2157"/>
        <v>2</v>
      </c>
      <c r="M1541" s="1">
        <f t="shared" si="2158"/>
        <v>10</v>
      </c>
      <c r="N1541" s="1">
        <f t="shared" si="2159"/>
        <v>2</v>
      </c>
      <c r="O1541" s="1">
        <f t="shared" si="2151"/>
        <v>0</v>
      </c>
      <c r="P1541" s="1">
        <f>MIN(方案参数!$AI$45,AZ1540+0+0)</f>
        <v>5</v>
      </c>
      <c r="Q1541" s="1">
        <f t="shared" si="2129"/>
        <v>5</v>
      </c>
      <c r="R1541" s="1">
        <f t="shared" si="2130"/>
        <v>20</v>
      </c>
      <c r="S1541" s="1">
        <f t="shared" si="2131"/>
        <v>3</v>
      </c>
      <c r="T1541" s="1">
        <f t="shared" si="2166"/>
        <v>0</v>
      </c>
      <c r="U1541" s="1">
        <f t="shared" si="2133"/>
        <v>0</v>
      </c>
      <c r="V1541" s="1">
        <f t="shared" si="2134"/>
        <v>4</v>
      </c>
      <c r="W1541" s="1">
        <f t="shared" si="2135"/>
        <v>1</v>
      </c>
      <c r="X1541" s="1">
        <f t="shared" si="2136"/>
        <v>1</v>
      </c>
      <c r="Y1541" s="1">
        <f t="shared" si="2137"/>
        <v>1</v>
      </c>
      <c r="Z1541" s="1">
        <f t="shared" si="2138"/>
        <v>1</v>
      </c>
      <c r="AA1541" s="1">
        <f t="shared" si="2162"/>
        <v>1</v>
      </c>
      <c r="AB1541" s="1">
        <f t="shared" si="2140"/>
        <v>1</v>
      </c>
      <c r="AC1541" s="1">
        <f t="shared" si="2167"/>
        <v>1</v>
      </c>
      <c r="AD1541" s="1">
        <f>ROUNDDOWN(I1541*(1+IF(F1541=3,0.05+方案参数!$Y$45+AA1541*0.12,IF(F1541=4,方案参数!$BZ$45*方案参数!$AS$45,0)))+IF(AND(X1541=1,F1541&lt;&gt;3),方案参数!$CC$45,0)+AC1541*方案参数!$CB$45,0)</f>
        <v>3034</v>
      </c>
      <c r="AE1541" s="1">
        <f>IF(OR(F1541=1,F1541=4),配置与结果!$B$24,配置与结果!$B$25)*MAX(0,1-INDEX(配置与结果!$I$15:$I$18,F1541))</f>
        <v>1200</v>
      </c>
      <c r="AF1541" s="1">
        <f>方案参数!$BL$45</f>
        <v>9</v>
      </c>
      <c r="AG1541" s="1">
        <f>MAX(配置与结果!$B$32,1+INDEX(配置与结果!$F$15:$F$18,F1541)+0.08+方案参数!$CD$45+Q1541*方案参数!$W$45+Y1541*(方案参数!$AN$45+MIN(方案参数!$AO$45,P1541*0.03))+AB1541*方案参数!$BZ$45*0.025-配置与结果!$B$28+方案参数!$AE$45)</f>
        <v>2.6150000000000002</v>
      </c>
      <c r="AH1541" s="1">
        <f>MAX(0,1+V1541*方案参数!$U$45+0*方案参数!$V$45+方案参数!$AE$45-配置与结果!$B$29)</f>
        <v>1.56</v>
      </c>
      <c r="AI1541" s="1">
        <f>IF(OR(INDEX(配置与结果!$K$15:$K$18,F1541)=1,G1541="RHI_BERRY"),1+配置与结果!$B$33+P1541*方案参数!$AH$45,1)</f>
        <v>1</v>
      </c>
      <c r="AJ1541" s="1">
        <f>MIN(1,MAX(0,J1541+方案参数!$AB$45-配置与结果!$B$27))</f>
        <v>1</v>
      </c>
      <c r="AK1541" s="1">
        <f>MAX(1,K1541+IF(F1541=2,0.15+方案参数!$CH$45,0)+BN1541*方案参数!$X$45+R1541*方案参数!$AA$45+方案参数!$BP$45-配置与结果!$B$26+Z1541*(方案参数!$AP$45+MIN(方案参数!$AQ$45,P1541*0.03)))</f>
        <v>2.7850000000000001</v>
      </c>
      <c r="AL1541" s="7">
        <f>ROUNDDOWN(MAX(AD1541*配置与结果!$B$31,AD1541-AE1541)*AF1541*AG1541*AH1541*AI1541,0)</f>
        <v>67334</v>
      </c>
      <c r="AM1541" s="7">
        <f>ROUNDDOWN(MAX(AD1541*配置与结果!$B$31,AD1541-AE1541)*AF1541*AG1541*AH1541*AI1541*AK1541,0)</f>
        <v>187526</v>
      </c>
      <c r="AN1541" s="7">
        <f t="shared" si="2074"/>
        <v>187526</v>
      </c>
      <c r="AO1541" s="7">
        <f>0</f>
        <v>0</v>
      </c>
      <c r="AP1541" s="7">
        <f>MAX(0,1+INDEX(配置与结果!$J$15:$J$18,F1541)+IF(T1541&gt;0,方案参数!$BY$45,0)-配置与结果!$B$30)</f>
        <v>1</v>
      </c>
      <c r="AQ1541" s="7">
        <f t="shared" si="2075"/>
        <v>0</v>
      </c>
      <c r="AR1541" s="7">
        <f t="shared" si="2076"/>
        <v>0</v>
      </c>
      <c r="AS1541" s="7">
        <f t="shared" si="2077"/>
        <v>0</v>
      </c>
      <c r="AT1541" s="7">
        <f>IF(U1541&gt;0,ROUNDDOWN(AL1541*方案参数!$AF$45,0)*(1-AJ1541)+ROUNDDOWN(AM1541*方案参数!$AF$45,0)*AJ1541,0)</f>
        <v>0</v>
      </c>
      <c r="AU1541" s="7">
        <f t="shared" si="2078"/>
        <v>187526</v>
      </c>
      <c r="AV1541" s="1">
        <f t="shared" si="2079"/>
        <v>2</v>
      </c>
      <c r="AW1541" s="1">
        <f t="shared" si="2172"/>
        <v>10</v>
      </c>
      <c r="AX1541" s="1">
        <f t="shared" si="2080"/>
        <v>2</v>
      </c>
      <c r="AY1541" s="1">
        <f>MIN(20,MAX(0,O1541+0+1-0))</f>
        <v>1</v>
      </c>
      <c r="AZ1541" s="1">
        <f t="shared" si="2081"/>
        <v>5</v>
      </c>
      <c r="BA1541" s="1">
        <f t="shared" si="2163"/>
        <v>5</v>
      </c>
      <c r="BB1541" s="1">
        <f t="shared" si="2171"/>
        <v>20</v>
      </c>
      <c r="BC1541" s="1">
        <f t="shared" si="2169"/>
        <v>3</v>
      </c>
      <c r="BD1541" s="1">
        <f t="shared" si="2150"/>
        <v>0</v>
      </c>
      <c r="BE1541" s="1">
        <f>MAX(0,U1541-IF(AF1541&gt;0,1,0))+0</f>
        <v>0</v>
      </c>
      <c r="BF1541" s="1">
        <f t="shared" ref="BF1541:BF1558" si="2173">MIN(4,V1541+0)</f>
        <v>4</v>
      </c>
      <c r="BG1541" s="1">
        <f t="shared" si="2160"/>
        <v>1</v>
      </c>
      <c r="BH1541" s="1">
        <f t="shared" si="2144"/>
        <v>1</v>
      </c>
      <c r="BI1541" s="1">
        <f t="shared" si="2161"/>
        <v>1</v>
      </c>
      <c r="BJ1541" s="1">
        <f t="shared" si="2164"/>
        <v>1</v>
      </c>
      <c r="BK1541" s="1">
        <f t="shared" si="2165"/>
        <v>1</v>
      </c>
      <c r="BL1541" s="1">
        <f t="shared" si="2170"/>
        <v>1</v>
      </c>
      <c r="BM1541" s="1">
        <f t="shared" si="2168"/>
        <v>1</v>
      </c>
      <c r="BN1541" s="1">
        <f t="shared" si="2145"/>
        <v>1</v>
      </c>
      <c r="BO1541" s="1">
        <f t="shared" si="2146"/>
        <v>1</v>
      </c>
    </row>
    <row r="1542" spans="1:67" ht="30.95" customHeight="1">
      <c r="A1542" s="1">
        <f>42</f>
        <v>42</v>
      </c>
      <c r="B1542" s="1">
        <f>固定流程!A30</f>
        <v>25</v>
      </c>
      <c r="C1542" s="1">
        <f>45</f>
        <v>45</v>
      </c>
      <c r="D1542" s="1">
        <f>2</f>
        <v>2</v>
      </c>
      <c r="E1542" s="1">
        <f>固定流程!C30</f>
        <v>3</v>
      </c>
      <c r="F1542" s="1">
        <f>固定流程!G30</f>
        <v>1</v>
      </c>
      <c r="G1542" s="1" t="str">
        <f>固定流程!H30</f>
        <v>LILYA_WEAK</v>
      </c>
      <c r="H1542" s="1">
        <f>固定流程!F30</f>
        <v>1</v>
      </c>
      <c r="I1542" s="1">
        <f>INDEX(配置与结果!$B$15:$B$18,F1542)</f>
        <v>2296</v>
      </c>
      <c r="J1542" s="1">
        <f>INDEX(配置与结果!$D$15:$D$18,F1542)</f>
        <v>0.7</v>
      </c>
      <c r="K1542" s="1">
        <f>INDEX(配置与结果!$E$15:$E$18,F1542)</f>
        <v>2.0249999999999999</v>
      </c>
      <c r="L1542" s="1">
        <f t="shared" si="2157"/>
        <v>2</v>
      </c>
      <c r="M1542" s="1">
        <f t="shared" si="2158"/>
        <v>10</v>
      </c>
      <c r="N1542" s="1">
        <f t="shared" si="2159"/>
        <v>2</v>
      </c>
      <c r="O1542" s="1">
        <f t="shared" si="2151"/>
        <v>1</v>
      </c>
      <c r="P1542" s="1">
        <f>MIN(方案参数!$AI$45,AZ1541+0+0)</f>
        <v>5</v>
      </c>
      <c r="Q1542" s="1">
        <f t="shared" si="2129"/>
        <v>5</v>
      </c>
      <c r="R1542" s="1">
        <f t="shared" si="2130"/>
        <v>20</v>
      </c>
      <c r="S1542" s="1">
        <f t="shared" si="2131"/>
        <v>3</v>
      </c>
      <c r="T1542" s="1">
        <f t="shared" si="2166"/>
        <v>0</v>
      </c>
      <c r="U1542" s="1">
        <f t="shared" si="2133"/>
        <v>0</v>
      </c>
      <c r="V1542" s="1">
        <f t="shared" si="2134"/>
        <v>4</v>
      </c>
      <c r="W1542" s="1">
        <f t="shared" si="2135"/>
        <v>1</v>
      </c>
      <c r="X1542" s="1">
        <f t="shared" si="2136"/>
        <v>1</v>
      </c>
      <c r="Y1542" s="1">
        <f t="shared" si="2137"/>
        <v>1</v>
      </c>
      <c r="Z1542" s="1">
        <f t="shared" si="2138"/>
        <v>1</v>
      </c>
      <c r="AA1542" s="1">
        <f t="shared" si="2162"/>
        <v>1</v>
      </c>
      <c r="AB1542" s="1">
        <f t="shared" si="2140"/>
        <v>1</v>
      </c>
      <c r="AC1542" s="1">
        <f t="shared" si="2167"/>
        <v>1</v>
      </c>
      <c r="AD1542" s="1">
        <f>ROUNDDOWN(I1542*(1+IF(F1542=3,0.05+方案参数!$Y$45+AA1542*0.12,IF(F1542=4,方案参数!$BZ$45*方案参数!$AS$45,0)))+IF(AND(X1542=1,F1542&lt;&gt;3),方案参数!$CC$45,0)+AC1542*方案参数!$CB$45,0)</f>
        <v>3034</v>
      </c>
      <c r="AE1542" s="1">
        <f>IF(OR(F1542=1,F1542=4),配置与结果!$B$24,配置与结果!$B$25)*MAX(0,1-INDEX(配置与结果!$I$15:$I$18,F1542))</f>
        <v>1200</v>
      </c>
      <c r="AF1542" s="1">
        <f>方案参数!$BL$45</f>
        <v>9</v>
      </c>
      <c r="AG1542" s="1">
        <f>MAX(配置与结果!$B$32,1+INDEX(配置与结果!$F$15:$F$18,F1542)+0.08+方案参数!$CD$45+Q1542*方案参数!$W$45+Y1542*(方案参数!$AN$45+MIN(方案参数!$AO$45,P1542*0.03))+AB1542*方案参数!$BZ$45*0.025-配置与结果!$B$28+方案参数!$AE$45)</f>
        <v>2.6150000000000002</v>
      </c>
      <c r="AH1542" s="1">
        <f>MAX(0,1+V1542*方案参数!$U$45+1*方案参数!$V$45+方案参数!$AE$45-配置与结果!$B$29)</f>
        <v>1.62</v>
      </c>
      <c r="AI1542" s="1">
        <f>IF(OR(INDEX(配置与结果!$K$15:$K$18,F1542)=1,G1542="RHI_BERRY"),1+配置与结果!$B$33+P1542*方案参数!$AH$45,1)</f>
        <v>1</v>
      </c>
      <c r="AJ1542" s="1">
        <f>MIN(1,MAX(0,J1542+方案参数!$AB$45-配置与结果!$B$27))</f>
        <v>1</v>
      </c>
      <c r="AK1542" s="1">
        <f>MAX(1,K1542+IF(F1542=2,0.15+方案参数!$CH$45,0)+BN1542*方案参数!$X$45+R1542*方案参数!$AA$45+方案参数!$BP$45-配置与结果!$B$26+Z1542*(方案参数!$AP$45+MIN(方案参数!$AQ$45,P1542*0.03)))</f>
        <v>2.7850000000000001</v>
      </c>
      <c r="AL1542" s="7">
        <f>ROUNDDOWN(MAX(AD1542*配置与结果!$B$31,AD1542-AE1542)*AF1542*AG1542*AH1542*AI1542,0)</f>
        <v>69924</v>
      </c>
      <c r="AM1542" s="7">
        <f>ROUNDDOWN(MAX(AD1542*配置与结果!$B$31,AD1542-AE1542)*AF1542*AG1542*AH1542*AI1542*AK1542,0)</f>
        <v>194739</v>
      </c>
      <c r="AN1542" s="7">
        <f t="shared" ref="AN1542:AN1605" si="2174">AL1542*(1-AJ1542)+AM1542*AJ1542</f>
        <v>194739</v>
      </c>
      <c r="AO1542" s="7">
        <f>0</f>
        <v>0</v>
      </c>
      <c r="AP1542" s="7">
        <f>MAX(0,1+INDEX(配置与结果!$J$15:$J$18,F1542)+IF(T1542&gt;0,方案参数!$BY$45,0)-配置与结果!$B$30)</f>
        <v>1</v>
      </c>
      <c r="AQ1542" s="7">
        <f t="shared" ref="AQ1542:AQ1605" si="2175">ROUNDDOWN(ROUNDDOWN(AD1542*AO1542,0)*AP1542,0)</f>
        <v>0</v>
      </c>
      <c r="AR1542" s="7">
        <f t="shared" ref="AR1542:AR1605" si="2176">ROUNDDOWN(ROUNDDOWN(AD1542*AO1542,0)*AP1542*AK1542,0)</f>
        <v>0</v>
      </c>
      <c r="AS1542" s="7">
        <f t="shared" ref="AS1542:AS1605" si="2177">AQ1542*(1-AJ1542)+AR1542*AJ1542</f>
        <v>0</v>
      </c>
      <c r="AT1542" s="7">
        <f>IF(U1542&gt;0,ROUNDDOWN(AL1542*方案参数!$AF$45,0)*(1-AJ1542)+ROUNDDOWN(AM1542*方案参数!$AF$45,0)*AJ1542,0)</f>
        <v>0</v>
      </c>
      <c r="AU1542" s="7">
        <f t="shared" ref="AU1542:AU1605" si="2178">AN1542+AS1542+AT1542</f>
        <v>194739</v>
      </c>
      <c r="AV1542" s="1">
        <f t="shared" ref="AV1542:AV1605" si="2179">IF(G1542="LILYA_COBRA",IF(L1542=0,1,L1542),L1542)</f>
        <v>2</v>
      </c>
      <c r="AW1542" s="1">
        <f t="shared" si="2172"/>
        <v>10</v>
      </c>
      <c r="AX1542" s="1">
        <f t="shared" ref="AX1542:AX1605" si="2180">N1542</f>
        <v>2</v>
      </c>
      <c r="AY1542" s="1">
        <f>MIN(20,MAX(0,O1542+0+1-0))</f>
        <v>2</v>
      </c>
      <c r="AZ1542" s="1">
        <f t="shared" ref="AZ1542:AZ1605" si="2181">P1542</f>
        <v>5</v>
      </c>
      <c r="BA1542" s="1">
        <f t="shared" si="2163"/>
        <v>5</v>
      </c>
      <c r="BB1542" s="1">
        <f t="shared" si="2171"/>
        <v>20</v>
      </c>
      <c r="BC1542" s="1">
        <f t="shared" si="2169"/>
        <v>3</v>
      </c>
      <c r="BD1542" s="1">
        <f t="shared" si="2150"/>
        <v>0</v>
      </c>
      <c r="BE1542" s="1">
        <f>MAX(0,U1542-IF(AF1542&gt;0,1,0))+0</f>
        <v>0</v>
      </c>
      <c r="BF1542" s="1">
        <f t="shared" si="2173"/>
        <v>4</v>
      </c>
      <c r="BG1542" s="1">
        <f t="shared" si="2160"/>
        <v>1</v>
      </c>
      <c r="BH1542" s="1">
        <f t="shared" si="2144"/>
        <v>1</v>
      </c>
      <c r="BI1542" s="1">
        <f t="shared" si="2161"/>
        <v>1</v>
      </c>
      <c r="BJ1542" s="1">
        <f t="shared" si="2164"/>
        <v>1</v>
      </c>
      <c r="BK1542" s="1">
        <f t="shared" si="2165"/>
        <v>1</v>
      </c>
      <c r="BL1542" s="1">
        <f t="shared" si="2170"/>
        <v>1</v>
      </c>
      <c r="BM1542" s="1">
        <f t="shared" si="2168"/>
        <v>1</v>
      </c>
      <c r="BN1542" s="1">
        <f t="shared" si="2145"/>
        <v>1</v>
      </c>
      <c r="BO1542" s="1">
        <f t="shared" si="2146"/>
        <v>1</v>
      </c>
    </row>
    <row r="1543" spans="1:67" ht="30.95" customHeight="1">
      <c r="A1543" s="1">
        <f>42</f>
        <v>42</v>
      </c>
      <c r="B1543" s="1">
        <f>固定流程!A31</f>
        <v>26</v>
      </c>
      <c r="C1543" s="1">
        <f>45</f>
        <v>45</v>
      </c>
      <c r="D1543" s="1">
        <f>2</f>
        <v>2</v>
      </c>
      <c r="E1543" s="1">
        <f>固定流程!C31</f>
        <v>3</v>
      </c>
      <c r="F1543" s="1">
        <f>固定流程!G31</f>
        <v>2</v>
      </c>
      <c r="G1543" s="1" t="str">
        <f>固定流程!H31</f>
        <v>37_WEAK</v>
      </c>
      <c r="H1543" s="1">
        <f>固定流程!F31</f>
        <v>1</v>
      </c>
      <c r="I1543" s="1">
        <f>INDEX(配置与结果!$B$15:$B$18,F1543)</f>
        <v>2306</v>
      </c>
      <c r="J1543" s="1">
        <f>INDEX(配置与结果!$D$15:$D$18,F1543)</f>
        <v>0.46</v>
      </c>
      <c r="K1543" s="1">
        <f>INDEX(配置与结果!$E$15:$E$18,F1543)</f>
        <v>1.9279999999999999</v>
      </c>
      <c r="L1543" s="1">
        <f t="shared" si="2157"/>
        <v>2</v>
      </c>
      <c r="M1543" s="1">
        <f t="shared" si="2158"/>
        <v>10</v>
      </c>
      <c r="N1543" s="1">
        <f t="shared" si="2159"/>
        <v>2</v>
      </c>
      <c r="O1543" s="1">
        <f t="shared" si="2151"/>
        <v>2</v>
      </c>
      <c r="P1543" s="1">
        <f>MIN(方案参数!$AI$45,AZ1542+0+0)</f>
        <v>5</v>
      </c>
      <c r="Q1543" s="1">
        <f t="shared" si="2129"/>
        <v>5</v>
      </c>
      <c r="R1543" s="1">
        <f t="shared" si="2130"/>
        <v>20</v>
      </c>
      <c r="S1543" s="1">
        <f t="shared" si="2131"/>
        <v>3</v>
      </c>
      <c r="T1543" s="1">
        <f t="shared" si="2166"/>
        <v>0</v>
      </c>
      <c r="U1543" s="1">
        <f t="shared" si="2133"/>
        <v>0</v>
      </c>
      <c r="V1543" s="1">
        <f t="shared" si="2134"/>
        <v>4</v>
      </c>
      <c r="W1543" s="1">
        <f t="shared" si="2135"/>
        <v>1</v>
      </c>
      <c r="X1543" s="1">
        <f t="shared" si="2136"/>
        <v>1</v>
      </c>
      <c r="Y1543" s="1">
        <f t="shared" si="2137"/>
        <v>1</v>
      </c>
      <c r="Z1543" s="1">
        <f t="shared" si="2138"/>
        <v>1</v>
      </c>
      <c r="AA1543" s="1">
        <f t="shared" si="2162"/>
        <v>1</v>
      </c>
      <c r="AB1543" s="1">
        <f t="shared" si="2140"/>
        <v>1</v>
      </c>
      <c r="AC1543" s="1">
        <f t="shared" si="2167"/>
        <v>1</v>
      </c>
      <c r="AD1543" s="1">
        <f>ROUNDDOWN(I1543*(1+IF(F1543=3,0.05+方案参数!$Y$45+AA1543*0.12,IF(F1543=4,方案参数!$BZ$45*方案参数!$AS$45,0)))+IF(AND(X1543=1,F1543&lt;&gt;3),方案参数!$CC$45,0)+AC1543*方案参数!$CB$45,0)</f>
        <v>3044</v>
      </c>
      <c r="AE1543" s="1">
        <f>IF(OR(F1543=1,F1543=4),配置与结果!$B$24,配置与结果!$B$25)*MAX(0,1-INDEX(配置与结果!$I$15:$I$18,F1543))</f>
        <v>1000</v>
      </c>
      <c r="AF1543" s="1">
        <f>方案参数!$CE$45</f>
        <v>8</v>
      </c>
      <c r="AG1543" s="1">
        <f>MAX(配置与结果!$B$32,1+INDEX(配置与结果!$F$15:$F$18,F1543)+0+Q1543*方案参数!$W$45+Y1543*(方案参数!$AN$45+MIN(方案参数!$AO$45,P1543*0.03))+AB1543*方案参数!$BZ$45*0.025-配置与结果!$B$28+方案参数!$AE$45)</f>
        <v>2.2800000000000002</v>
      </c>
      <c r="AH1543" s="1">
        <f>MAX(0,1+V1543*方案参数!$U$45+方案参数!$AE$45-配置与结果!$B$29)</f>
        <v>1.56</v>
      </c>
      <c r="AI1543" s="1">
        <f>IF(OR(INDEX(配置与结果!$K$15:$K$18,F1543)=1,G1543="RHI_BERRY"),1+配置与结果!$B$33+P1543*方案参数!$AH$45,1)</f>
        <v>1</v>
      </c>
      <c r="AJ1543" s="1">
        <f>MIN(1,MAX(0,J1543+方案参数!$AB$45-配置与结果!$B$27))</f>
        <v>0.76</v>
      </c>
      <c r="AK1543" s="1">
        <f>MAX(1,K1543+IF(F1543=2,0.15+方案参数!$CH$45,0)+BN1543*方案参数!$X$45+R1543*方案参数!$AA$45+0-配置与结果!$B$26+Z1543*(方案参数!$AP$45+MIN(方案参数!$AQ$45,P1543*0.03)))</f>
        <v>2.3580000000000001</v>
      </c>
      <c r="AL1543" s="7">
        <f>ROUNDDOWN(MAX(AD1543*配置与结果!$B$31,AD1543-AE1543)*AF1543*AG1543*AH1543*AI1543,0)</f>
        <v>58160</v>
      </c>
      <c r="AM1543" s="7">
        <f>ROUNDDOWN(MAX(AD1543*配置与结果!$B$31,AD1543-AE1543)*AF1543*AG1543*AH1543*AI1543*AK1543,0)</f>
        <v>137143</v>
      </c>
      <c r="AN1543" s="7">
        <f t="shared" si="2174"/>
        <v>118187.08</v>
      </c>
      <c r="AO1543" s="7">
        <f>0</f>
        <v>0</v>
      </c>
      <c r="AP1543" s="7">
        <f>MAX(0,1+INDEX(配置与结果!$J$15:$J$18,F1543)+IF(T1543&gt;0,方案参数!$BY$45,0)-配置与结果!$B$30)</f>
        <v>1</v>
      </c>
      <c r="AQ1543" s="7">
        <f t="shared" si="2175"/>
        <v>0</v>
      </c>
      <c r="AR1543" s="7">
        <f t="shared" si="2176"/>
        <v>0</v>
      </c>
      <c r="AS1543" s="7">
        <f t="shared" si="2177"/>
        <v>0</v>
      </c>
      <c r="AT1543" s="7">
        <f>IF(U1543&gt;0,ROUNDDOWN(AL1543*方案参数!$AF$45,0)*(1-AJ1543)+ROUNDDOWN(AM1543*方案参数!$AF$45,0)*AJ1543,0)</f>
        <v>0</v>
      </c>
      <c r="AU1543" s="7">
        <f t="shared" si="2178"/>
        <v>118187.08</v>
      </c>
      <c r="AV1543" s="1">
        <f t="shared" si="2179"/>
        <v>2</v>
      </c>
      <c r="AW1543" s="1">
        <f t="shared" si="2172"/>
        <v>10</v>
      </c>
      <c r="AX1543" s="1">
        <f t="shared" si="2180"/>
        <v>2</v>
      </c>
      <c r="AY1543" s="1">
        <f>MIN(20,MAX(0,O1543+0+0-0))</f>
        <v>2</v>
      </c>
      <c r="AZ1543" s="1">
        <f t="shared" si="2181"/>
        <v>5</v>
      </c>
      <c r="BA1543" s="1">
        <f t="shared" si="2163"/>
        <v>5</v>
      </c>
      <c r="BB1543" s="1">
        <f t="shared" si="2171"/>
        <v>20</v>
      </c>
      <c r="BC1543" s="1">
        <f t="shared" si="2169"/>
        <v>3</v>
      </c>
      <c r="BD1543" s="1">
        <f t="shared" si="2150"/>
        <v>0</v>
      </c>
      <c r="BE1543" s="1">
        <f>MAX(0,U1543-IF(AF1543&gt;0,1,0))+1</f>
        <v>1</v>
      </c>
      <c r="BF1543" s="1">
        <f t="shared" si="2173"/>
        <v>4</v>
      </c>
      <c r="BG1543" s="1">
        <f t="shared" si="2160"/>
        <v>1</v>
      </c>
      <c r="BH1543" s="1">
        <f t="shared" si="2144"/>
        <v>1</v>
      </c>
      <c r="BI1543" s="1">
        <f t="shared" si="2161"/>
        <v>1</v>
      </c>
      <c r="BJ1543" s="1">
        <f t="shared" si="2164"/>
        <v>1</v>
      </c>
      <c r="BK1543" s="1">
        <f t="shared" si="2165"/>
        <v>1</v>
      </c>
      <c r="BL1543" s="1">
        <f t="shared" si="2170"/>
        <v>1</v>
      </c>
      <c r="BM1543" s="1">
        <f t="shared" si="2168"/>
        <v>1</v>
      </c>
      <c r="BN1543" s="1">
        <f t="shared" si="2145"/>
        <v>1</v>
      </c>
      <c r="BO1543" s="1">
        <f t="shared" si="2146"/>
        <v>1</v>
      </c>
    </row>
    <row r="1544" spans="1:67" ht="30.95" customHeight="1">
      <c r="A1544" s="1">
        <f>42</f>
        <v>42</v>
      </c>
      <c r="B1544" s="1">
        <f>固定流程!A32</f>
        <v>27</v>
      </c>
      <c r="C1544" s="1">
        <f>45</f>
        <v>45</v>
      </c>
      <c r="D1544" s="1">
        <f>2</f>
        <v>2</v>
      </c>
      <c r="E1544" s="1">
        <f>固定流程!C32</f>
        <v>3</v>
      </c>
      <c r="F1544" s="1">
        <f>固定流程!G32</f>
        <v>1</v>
      </c>
      <c r="G1544" s="1" t="str">
        <f>固定流程!H32</f>
        <v>LILYA_THIRD</v>
      </c>
      <c r="H1544" s="1">
        <f>固定流程!F32</f>
        <v>1</v>
      </c>
      <c r="I1544" s="1">
        <f>INDEX(配置与结果!$B$15:$B$18,F1544)</f>
        <v>2296</v>
      </c>
      <c r="J1544" s="1">
        <f>INDEX(配置与结果!$D$15:$D$18,F1544)</f>
        <v>0.7</v>
      </c>
      <c r="K1544" s="1">
        <f>INDEX(配置与结果!$E$15:$E$18,F1544)</f>
        <v>2.0249999999999999</v>
      </c>
      <c r="L1544" s="1">
        <f t="shared" si="2157"/>
        <v>2</v>
      </c>
      <c r="M1544" s="1">
        <f t="shared" si="2158"/>
        <v>10</v>
      </c>
      <c r="N1544" s="1">
        <f t="shared" si="2159"/>
        <v>2</v>
      </c>
      <c r="O1544" s="1">
        <f t="shared" si="2151"/>
        <v>2</v>
      </c>
      <c r="P1544" s="1">
        <f>MIN(方案参数!$AI$45,AZ1543+0+0)</f>
        <v>5</v>
      </c>
      <c r="Q1544" s="1">
        <f t="shared" si="2129"/>
        <v>5</v>
      </c>
      <c r="R1544" s="1">
        <f t="shared" si="2130"/>
        <v>20</v>
      </c>
      <c r="S1544" s="1">
        <f t="shared" si="2131"/>
        <v>3</v>
      </c>
      <c r="T1544" s="1">
        <f t="shared" si="2166"/>
        <v>0</v>
      </c>
      <c r="U1544" s="1">
        <f t="shared" si="2133"/>
        <v>1</v>
      </c>
      <c r="V1544" s="1">
        <f t="shared" si="2134"/>
        <v>4</v>
      </c>
      <c r="W1544" s="1">
        <f t="shared" si="2135"/>
        <v>1</v>
      </c>
      <c r="X1544" s="1">
        <f t="shared" si="2136"/>
        <v>1</v>
      </c>
      <c r="Y1544" s="1">
        <f t="shared" si="2137"/>
        <v>1</v>
      </c>
      <c r="Z1544" s="1">
        <f t="shared" si="2138"/>
        <v>1</v>
      </c>
      <c r="AA1544" s="1">
        <f t="shared" si="2162"/>
        <v>1</v>
      </c>
      <c r="AB1544" s="1">
        <f t="shared" si="2140"/>
        <v>1</v>
      </c>
      <c r="AC1544" s="1">
        <f t="shared" si="2167"/>
        <v>1</v>
      </c>
      <c r="AD1544" s="1">
        <f>ROUNDDOWN(I1544*(1+IF(F1544=3,0.05+方案参数!$Y$45+AA1544*0.12,IF(F1544=4,方案参数!$BZ$45*方案参数!$AS$45,0)))+IF(AND(X1544=1,F1544&lt;&gt;3),方案参数!$CC$45,0)+AC1544*方案参数!$CB$45,0)</f>
        <v>3034</v>
      </c>
      <c r="AE1544" s="1">
        <f>IF(OR(F1544=1,F1544=4),配置与结果!$B$24,配置与结果!$B$25)*MAX(0,1-INDEX(配置与结果!$I$15:$I$18,F1544))</f>
        <v>1200</v>
      </c>
      <c r="AF1544" s="1">
        <f>方案参数!$BM$45</f>
        <v>20</v>
      </c>
      <c r="AG1544" s="1">
        <f>MAX(配置与结果!$B$32,1+INDEX(配置与结果!$F$15:$F$18,F1544)+0.08+方案参数!$CD$45+Q1544*方案参数!$W$45+Y1544*(方案参数!$AN$45+MIN(方案参数!$AO$45,P1544*0.03))+AB1544*方案参数!$BZ$45*0.025-配置与结果!$B$28+方案参数!$AE$45)</f>
        <v>2.6150000000000002</v>
      </c>
      <c r="AH1544" s="1">
        <f>MAX(0,1+V1544*方案参数!$U$45+3*方案参数!$V$45+方案参数!$AE$45-配置与结果!$B$29)</f>
        <v>1.7399999999999998</v>
      </c>
      <c r="AI1544" s="1">
        <f>IF(OR(INDEX(配置与结果!$K$15:$K$18,F1544)=1,G1544="RHI_BERRY"),1+配置与结果!$B$33+P1544*方案参数!$AH$45,1)</f>
        <v>1</v>
      </c>
      <c r="AJ1544" s="1">
        <f>MIN(1,MAX(0,J1544+方案参数!$AB$45-配置与结果!$B$27))</f>
        <v>1</v>
      </c>
      <c r="AK1544" s="1">
        <f>MAX(1,K1544+IF(F1544=2,0.15+方案参数!$CH$45,0)+BN1544*方案参数!$X$45+R1544*方案参数!$AA$45+方案参数!$BQ$45-配置与结果!$B$26+Z1544*(方案参数!$AP$45+MIN(方案参数!$AQ$45,P1544*0.03)))</f>
        <v>2.9849999999999999</v>
      </c>
      <c r="AL1544" s="7">
        <f>ROUNDDOWN(MAX(AD1544*配置与结果!$B$31,AD1544-AE1544)*AF1544*AG1544*AH1544*AI1544,0)</f>
        <v>166897</v>
      </c>
      <c r="AM1544" s="7">
        <f>ROUNDDOWN(MAX(AD1544*配置与结果!$B$31,AD1544-AE1544)*AF1544*AG1544*AH1544*AI1544*AK1544,0)</f>
        <v>498189</v>
      </c>
      <c r="AN1544" s="7">
        <f t="shared" si="2174"/>
        <v>498189</v>
      </c>
      <c r="AO1544" s="7">
        <f>0</f>
        <v>0</v>
      </c>
      <c r="AP1544" s="7">
        <f>MAX(0,1+INDEX(配置与结果!$J$15:$J$18,F1544)+IF(T1544&gt;0,方案参数!$BY$45,0)-配置与结果!$B$30)</f>
        <v>1</v>
      </c>
      <c r="AQ1544" s="7">
        <f t="shared" si="2175"/>
        <v>0</v>
      </c>
      <c r="AR1544" s="7">
        <f t="shared" si="2176"/>
        <v>0</v>
      </c>
      <c r="AS1544" s="7">
        <f t="shared" si="2177"/>
        <v>0</v>
      </c>
      <c r="AT1544" s="7">
        <f>IF(U1544&gt;0,ROUNDDOWN(AL1544*方案参数!$AF$45,0)*(1-AJ1544)+ROUNDDOWN(AM1544*方案参数!$AF$45,0)*AJ1544,0)</f>
        <v>199275</v>
      </c>
      <c r="AU1544" s="7">
        <f t="shared" si="2178"/>
        <v>697464</v>
      </c>
      <c r="AV1544" s="1">
        <f t="shared" si="2179"/>
        <v>2</v>
      </c>
      <c r="AW1544" s="1">
        <f t="shared" si="2172"/>
        <v>10</v>
      </c>
      <c r="AX1544" s="1">
        <f t="shared" si="2180"/>
        <v>2</v>
      </c>
      <c r="AY1544" s="1">
        <f>MIN(20,MAX(0,O1544+0+1-0))</f>
        <v>3</v>
      </c>
      <c r="AZ1544" s="1">
        <f t="shared" si="2181"/>
        <v>5</v>
      </c>
      <c r="BA1544" s="1">
        <f t="shared" si="2163"/>
        <v>5</v>
      </c>
      <c r="BB1544" s="1">
        <f t="shared" si="2171"/>
        <v>20</v>
      </c>
      <c r="BC1544" s="1">
        <f t="shared" si="2169"/>
        <v>3</v>
      </c>
      <c r="BD1544" s="1">
        <f t="shared" si="2150"/>
        <v>0</v>
      </c>
      <c r="BE1544" s="1">
        <f>MAX(0,U1544-IF(AF1544&gt;0,1,0))+0</f>
        <v>0</v>
      </c>
      <c r="BF1544" s="1">
        <f t="shared" si="2173"/>
        <v>4</v>
      </c>
      <c r="BG1544" s="1">
        <f t="shared" si="2160"/>
        <v>1</v>
      </c>
      <c r="BH1544" s="1">
        <f t="shared" si="2144"/>
        <v>1</v>
      </c>
      <c r="BI1544" s="1">
        <f t="shared" si="2161"/>
        <v>1</v>
      </c>
      <c r="BJ1544" s="1">
        <f t="shared" si="2164"/>
        <v>1</v>
      </c>
      <c r="BK1544" s="1">
        <f t="shared" si="2165"/>
        <v>1</v>
      </c>
      <c r="BL1544" s="1">
        <f t="shared" si="2170"/>
        <v>1</v>
      </c>
      <c r="BM1544" s="1">
        <f t="shared" si="2168"/>
        <v>1</v>
      </c>
      <c r="BN1544" s="1">
        <f t="shared" si="2145"/>
        <v>1</v>
      </c>
      <c r="BO1544" s="1">
        <f t="shared" si="2146"/>
        <v>1</v>
      </c>
    </row>
    <row r="1545" spans="1:67" ht="30.95" customHeight="1">
      <c r="A1545" s="1">
        <f>42</f>
        <v>42</v>
      </c>
      <c r="B1545" s="1">
        <f>固定流程!A33</f>
        <v>28</v>
      </c>
      <c r="C1545" s="1">
        <f>45</f>
        <v>45</v>
      </c>
      <c r="D1545" s="1">
        <f>2</f>
        <v>2</v>
      </c>
      <c r="E1545" s="1">
        <f>固定流程!C33</f>
        <v>3</v>
      </c>
      <c r="F1545" s="1">
        <f>固定流程!G33</f>
        <v>1</v>
      </c>
      <c r="G1545" s="1" t="str">
        <f>固定流程!H33</f>
        <v>LILYA_WEAK</v>
      </c>
      <c r="H1545" s="1">
        <f>固定流程!F33</f>
        <v>1</v>
      </c>
      <c r="I1545" s="1">
        <f>INDEX(配置与结果!$B$15:$B$18,F1545)</f>
        <v>2296</v>
      </c>
      <c r="J1545" s="1">
        <f>INDEX(配置与结果!$D$15:$D$18,F1545)</f>
        <v>0.7</v>
      </c>
      <c r="K1545" s="1">
        <f>INDEX(配置与结果!$E$15:$E$18,F1545)</f>
        <v>2.0249999999999999</v>
      </c>
      <c r="L1545" s="1">
        <f t="shared" si="2157"/>
        <v>2</v>
      </c>
      <c r="M1545" s="1">
        <f t="shared" si="2158"/>
        <v>10</v>
      </c>
      <c r="N1545" s="1">
        <f t="shared" si="2159"/>
        <v>2</v>
      </c>
      <c r="O1545" s="1">
        <f t="shared" si="2151"/>
        <v>3</v>
      </c>
      <c r="P1545" s="1">
        <f>MIN(方案参数!$AI$45,AZ1544+0+0)</f>
        <v>5</v>
      </c>
      <c r="Q1545" s="1">
        <f t="shared" si="2129"/>
        <v>5</v>
      </c>
      <c r="R1545" s="1">
        <f t="shared" si="2130"/>
        <v>20</v>
      </c>
      <c r="S1545" s="1">
        <f t="shared" si="2131"/>
        <v>3</v>
      </c>
      <c r="T1545" s="1">
        <f t="shared" si="2166"/>
        <v>0</v>
      </c>
      <c r="U1545" s="1">
        <f t="shared" si="2133"/>
        <v>0</v>
      </c>
      <c r="V1545" s="1">
        <f t="shared" si="2134"/>
        <v>4</v>
      </c>
      <c r="W1545" s="1">
        <f t="shared" si="2135"/>
        <v>1</v>
      </c>
      <c r="X1545" s="1">
        <f t="shared" si="2136"/>
        <v>1</v>
      </c>
      <c r="Y1545" s="1">
        <f t="shared" si="2137"/>
        <v>1</v>
      </c>
      <c r="Z1545" s="1">
        <f t="shared" si="2138"/>
        <v>1</v>
      </c>
      <c r="AA1545" s="1">
        <f t="shared" si="2162"/>
        <v>1</v>
      </c>
      <c r="AB1545" s="1">
        <f t="shared" si="2140"/>
        <v>1</v>
      </c>
      <c r="AC1545" s="1">
        <f t="shared" si="2167"/>
        <v>1</v>
      </c>
      <c r="AD1545" s="1">
        <f>ROUNDDOWN(I1545*(1+IF(F1545=3,0.05+方案参数!$Y$45+AA1545*0.12,IF(F1545=4,方案参数!$BZ$45*方案参数!$AS$45,0)))+IF(AND(X1545=1,F1545&lt;&gt;3),方案参数!$CC$45,0)+AC1545*方案参数!$CB$45,0)</f>
        <v>3034</v>
      </c>
      <c r="AE1545" s="1">
        <f>IF(OR(F1545=1,F1545=4),配置与结果!$B$24,配置与结果!$B$25)*MAX(0,1-INDEX(配置与结果!$I$15:$I$18,F1545))</f>
        <v>1200</v>
      </c>
      <c r="AF1545" s="1">
        <f>方案参数!$BL$45</f>
        <v>9</v>
      </c>
      <c r="AG1545" s="1">
        <f>MAX(配置与结果!$B$32,1+INDEX(配置与结果!$F$15:$F$18,F1545)+0.08+方案参数!$CD$45+Q1545*方案参数!$W$45+Y1545*(方案参数!$AN$45+MIN(方案参数!$AO$45,P1545*0.03))+AB1545*方案参数!$BZ$45*0.025-配置与结果!$B$28+方案参数!$AE$45)</f>
        <v>2.6150000000000002</v>
      </c>
      <c r="AH1545" s="1">
        <f>MAX(0,1+V1545*方案参数!$U$45+4*方案参数!$V$45+方案参数!$AE$45-配置与结果!$B$29)</f>
        <v>1.7999999999999998</v>
      </c>
      <c r="AI1545" s="1">
        <f>IF(OR(INDEX(配置与结果!$K$15:$K$18,F1545)=1,G1545="RHI_BERRY"),1+配置与结果!$B$33+P1545*方案参数!$AH$45,1)</f>
        <v>1</v>
      </c>
      <c r="AJ1545" s="1">
        <f>MIN(1,MAX(0,J1545+方案参数!$AB$45-配置与结果!$B$27))</f>
        <v>1</v>
      </c>
      <c r="AK1545" s="1">
        <f>MAX(1,K1545+IF(F1545=2,0.15+方案参数!$CH$45,0)+BN1545*方案参数!$X$45+R1545*方案参数!$AA$45+方案参数!$BP$45-配置与结果!$B$26+Z1545*(方案参数!$AP$45+MIN(方案参数!$AQ$45,P1545*0.03)))</f>
        <v>2.7850000000000001</v>
      </c>
      <c r="AL1545" s="7">
        <f>ROUNDDOWN(MAX(AD1545*配置与结果!$B$31,AD1545-AE1545)*AF1545*AG1545*AH1545*AI1545,0)</f>
        <v>77693</v>
      </c>
      <c r="AM1545" s="7">
        <f>ROUNDDOWN(MAX(AD1545*配置与结果!$B$31,AD1545-AE1545)*AF1545*AG1545*AH1545*AI1545*AK1545,0)</f>
        <v>216377</v>
      </c>
      <c r="AN1545" s="7">
        <f t="shared" si="2174"/>
        <v>216377</v>
      </c>
      <c r="AO1545" s="7">
        <f>0</f>
        <v>0</v>
      </c>
      <c r="AP1545" s="7">
        <f>MAX(0,1+INDEX(配置与结果!$J$15:$J$18,F1545)+IF(T1545&gt;0,方案参数!$BY$45,0)-配置与结果!$B$30)</f>
        <v>1</v>
      </c>
      <c r="AQ1545" s="7">
        <f t="shared" si="2175"/>
        <v>0</v>
      </c>
      <c r="AR1545" s="7">
        <f t="shared" si="2176"/>
        <v>0</v>
      </c>
      <c r="AS1545" s="7">
        <f t="shared" si="2177"/>
        <v>0</v>
      </c>
      <c r="AT1545" s="7">
        <f>IF(U1545&gt;0,ROUNDDOWN(AL1545*方案参数!$AF$45,0)*(1-AJ1545)+ROUNDDOWN(AM1545*方案参数!$AF$45,0)*AJ1545,0)</f>
        <v>0</v>
      </c>
      <c r="AU1545" s="7">
        <f t="shared" si="2178"/>
        <v>216377</v>
      </c>
      <c r="AV1545" s="1">
        <f t="shared" si="2179"/>
        <v>2</v>
      </c>
      <c r="AW1545" s="1">
        <f t="shared" si="2172"/>
        <v>10</v>
      </c>
      <c r="AX1545" s="1">
        <f t="shared" si="2180"/>
        <v>2</v>
      </c>
      <c r="AY1545" s="1">
        <f>MIN(20,MAX(0,O1545+0+1-0))</f>
        <v>4</v>
      </c>
      <c r="AZ1545" s="1">
        <f t="shared" si="2181"/>
        <v>5</v>
      </c>
      <c r="BA1545" s="1">
        <f t="shared" si="2163"/>
        <v>5</v>
      </c>
      <c r="BB1545" s="1">
        <f t="shared" si="2171"/>
        <v>20</v>
      </c>
      <c r="BC1545" s="1">
        <f t="shared" si="2169"/>
        <v>3</v>
      </c>
      <c r="BD1545" s="1">
        <f t="shared" si="2150"/>
        <v>0</v>
      </c>
      <c r="BE1545" s="1">
        <f>MAX(0,U1545-IF(AF1545&gt;0,1,0))+0</f>
        <v>0</v>
      </c>
      <c r="BF1545" s="1">
        <f t="shared" si="2173"/>
        <v>4</v>
      </c>
      <c r="BG1545" s="1">
        <f t="shared" si="2160"/>
        <v>1</v>
      </c>
      <c r="BH1545" s="1">
        <f t="shared" si="2144"/>
        <v>1</v>
      </c>
      <c r="BI1545" s="1">
        <f t="shared" si="2161"/>
        <v>1</v>
      </c>
      <c r="BJ1545" s="1">
        <f t="shared" si="2164"/>
        <v>1</v>
      </c>
      <c r="BK1545" s="1">
        <f t="shared" si="2165"/>
        <v>1</v>
      </c>
      <c r="BL1545" s="1">
        <f t="shared" si="2170"/>
        <v>1</v>
      </c>
      <c r="BM1545" s="1">
        <f t="shared" si="2168"/>
        <v>1</v>
      </c>
      <c r="BN1545" s="1">
        <f t="shared" si="2145"/>
        <v>1</v>
      </c>
      <c r="BO1545" s="1">
        <f t="shared" si="2146"/>
        <v>1</v>
      </c>
    </row>
    <row r="1546" spans="1:67" ht="30.95" customHeight="1">
      <c r="A1546" s="1">
        <f>42</f>
        <v>42</v>
      </c>
      <c r="B1546" s="1">
        <f>固定流程!A34</f>
        <v>29</v>
      </c>
      <c r="C1546" s="1">
        <f>45</f>
        <v>45</v>
      </c>
      <c r="D1546" s="1">
        <f>2</f>
        <v>2</v>
      </c>
      <c r="E1546" s="1">
        <f>固定流程!C34</f>
        <v>3</v>
      </c>
      <c r="F1546" s="1">
        <f>固定流程!G34</f>
        <v>1</v>
      </c>
      <c r="G1546" s="1" t="str">
        <f>固定流程!H34</f>
        <v>LILYA_WEAK</v>
      </c>
      <c r="H1546" s="1">
        <f>固定流程!F34</f>
        <v>1</v>
      </c>
      <c r="I1546" s="1">
        <f>INDEX(配置与结果!$B$15:$B$18,F1546)</f>
        <v>2296</v>
      </c>
      <c r="J1546" s="1">
        <f>INDEX(配置与结果!$D$15:$D$18,F1546)</f>
        <v>0.7</v>
      </c>
      <c r="K1546" s="1">
        <f>INDEX(配置与结果!$E$15:$E$18,F1546)</f>
        <v>2.0249999999999999</v>
      </c>
      <c r="L1546" s="1">
        <f t="shared" si="2157"/>
        <v>2</v>
      </c>
      <c r="M1546" s="1">
        <f t="shared" si="2158"/>
        <v>10</v>
      </c>
      <c r="N1546" s="1">
        <f t="shared" si="2159"/>
        <v>2</v>
      </c>
      <c r="O1546" s="1">
        <f t="shared" si="2151"/>
        <v>4</v>
      </c>
      <c r="P1546" s="1">
        <f>MIN(方案参数!$AI$45,AZ1545+0+0)</f>
        <v>5</v>
      </c>
      <c r="Q1546" s="1">
        <f t="shared" si="2129"/>
        <v>5</v>
      </c>
      <c r="R1546" s="1">
        <f t="shared" si="2130"/>
        <v>20</v>
      </c>
      <c r="S1546" s="1">
        <f t="shared" si="2131"/>
        <v>3</v>
      </c>
      <c r="T1546" s="1">
        <f t="shared" si="2166"/>
        <v>0</v>
      </c>
      <c r="U1546" s="1">
        <f t="shared" si="2133"/>
        <v>0</v>
      </c>
      <c r="V1546" s="1">
        <f t="shared" si="2134"/>
        <v>4</v>
      </c>
      <c r="W1546" s="1">
        <f t="shared" si="2135"/>
        <v>1</v>
      </c>
      <c r="X1546" s="1">
        <f t="shared" si="2136"/>
        <v>1</v>
      </c>
      <c r="Y1546" s="1">
        <f t="shared" si="2137"/>
        <v>1</v>
      </c>
      <c r="Z1546" s="1">
        <f t="shared" si="2138"/>
        <v>1</v>
      </c>
      <c r="AA1546" s="1">
        <f t="shared" si="2162"/>
        <v>1</v>
      </c>
      <c r="AB1546" s="1">
        <f t="shared" si="2140"/>
        <v>1</v>
      </c>
      <c r="AC1546" s="1">
        <f t="shared" si="2167"/>
        <v>1</v>
      </c>
      <c r="AD1546" s="1">
        <f>ROUNDDOWN(I1546*(1+IF(F1546=3,0.05+方案参数!$Y$45+AA1546*0.12,IF(F1546=4,方案参数!$BZ$45*方案参数!$AS$45,0)))+IF(AND(X1546=1,F1546&lt;&gt;3),方案参数!$CC$45,0)+AC1546*方案参数!$CB$45,0)</f>
        <v>3034</v>
      </c>
      <c r="AE1546" s="1">
        <f>IF(OR(F1546=1,F1546=4),配置与结果!$B$24,配置与结果!$B$25)*MAX(0,1-INDEX(配置与结果!$I$15:$I$18,F1546))</f>
        <v>1200</v>
      </c>
      <c r="AF1546" s="1">
        <f>方案参数!$BL$45</f>
        <v>9</v>
      </c>
      <c r="AG1546" s="1">
        <f>MAX(配置与结果!$B$32,1+INDEX(配置与结果!$F$15:$F$18,F1546)+0.08+方案参数!$CD$45+Q1546*方案参数!$W$45+Y1546*(方案参数!$AN$45+MIN(方案参数!$AO$45,P1546*0.03))+AB1546*方案参数!$BZ$45*0.025-配置与结果!$B$28+方案参数!$AE$45)</f>
        <v>2.6150000000000002</v>
      </c>
      <c r="AH1546" s="1">
        <f>MAX(0,1+V1546*方案参数!$U$45+5*方案参数!$V$45+方案参数!$AE$45-配置与结果!$B$29)</f>
        <v>1.8599999999999999</v>
      </c>
      <c r="AI1546" s="1">
        <f>IF(OR(INDEX(配置与结果!$K$15:$K$18,F1546)=1,G1546="RHI_BERRY"),1+配置与结果!$B$33+P1546*方案参数!$AH$45,1)</f>
        <v>1</v>
      </c>
      <c r="AJ1546" s="1">
        <f>MIN(1,MAX(0,J1546+方案参数!$AB$45-配置与结果!$B$27))</f>
        <v>1</v>
      </c>
      <c r="AK1546" s="1">
        <f>MAX(1,K1546+IF(F1546=2,0.15+方案参数!$CH$45,0)+BN1546*方案参数!$X$45+R1546*方案参数!$AA$45+方案参数!$BP$45-配置与结果!$B$26+Z1546*(方案参数!$AP$45+MIN(方案参数!$AQ$45,P1546*0.03)))</f>
        <v>2.7850000000000001</v>
      </c>
      <c r="AL1546" s="7">
        <f>ROUNDDOWN(MAX(AD1546*配置与结果!$B$31,AD1546-AE1546)*AF1546*AG1546*AH1546*AI1546,0)</f>
        <v>80283</v>
      </c>
      <c r="AM1546" s="7">
        <f>ROUNDDOWN(MAX(AD1546*配置与结果!$B$31,AD1546-AE1546)*AF1546*AG1546*AH1546*AI1546*AK1546,0)</f>
        <v>223589</v>
      </c>
      <c r="AN1546" s="7">
        <f t="shared" si="2174"/>
        <v>223589</v>
      </c>
      <c r="AO1546" s="7">
        <f>0</f>
        <v>0</v>
      </c>
      <c r="AP1546" s="7">
        <f>MAX(0,1+INDEX(配置与结果!$J$15:$J$18,F1546)+IF(T1546&gt;0,方案参数!$BY$45,0)-配置与结果!$B$30)</f>
        <v>1</v>
      </c>
      <c r="AQ1546" s="7">
        <f t="shared" si="2175"/>
        <v>0</v>
      </c>
      <c r="AR1546" s="7">
        <f t="shared" si="2176"/>
        <v>0</v>
      </c>
      <c r="AS1546" s="7">
        <f t="shared" si="2177"/>
        <v>0</v>
      </c>
      <c r="AT1546" s="7">
        <f>IF(U1546&gt;0,ROUNDDOWN(AL1546*方案参数!$AF$45,0)*(1-AJ1546)+ROUNDDOWN(AM1546*方案参数!$AF$45,0)*AJ1546,0)</f>
        <v>0</v>
      </c>
      <c r="AU1546" s="7">
        <f t="shared" si="2178"/>
        <v>223589</v>
      </c>
      <c r="AV1546" s="1">
        <f t="shared" si="2179"/>
        <v>2</v>
      </c>
      <c r="AW1546" s="1">
        <f t="shared" si="2172"/>
        <v>10</v>
      </c>
      <c r="AX1546" s="1">
        <f t="shared" si="2180"/>
        <v>2</v>
      </c>
      <c r="AY1546" s="1">
        <f>MIN(20,MAX(0,O1546+0+1-0))</f>
        <v>5</v>
      </c>
      <c r="AZ1546" s="1">
        <f t="shared" si="2181"/>
        <v>5</v>
      </c>
      <c r="BA1546" s="1">
        <f t="shared" si="2163"/>
        <v>5</v>
      </c>
      <c r="BB1546" s="1">
        <f t="shared" si="2171"/>
        <v>20</v>
      </c>
      <c r="BC1546" s="1">
        <f t="shared" si="2169"/>
        <v>3</v>
      </c>
      <c r="BD1546" s="1">
        <f t="shared" si="2150"/>
        <v>0</v>
      </c>
      <c r="BE1546" s="1">
        <f>MAX(0,U1546-IF(AF1546&gt;0,1,0))+0</f>
        <v>0</v>
      </c>
      <c r="BF1546" s="1">
        <f t="shared" si="2173"/>
        <v>4</v>
      </c>
      <c r="BG1546" s="1">
        <f t="shared" si="2160"/>
        <v>1</v>
      </c>
      <c r="BH1546" s="1">
        <f t="shared" si="2144"/>
        <v>1</v>
      </c>
      <c r="BI1546" s="1">
        <f t="shared" si="2161"/>
        <v>1</v>
      </c>
      <c r="BJ1546" s="1">
        <f t="shared" si="2164"/>
        <v>1</v>
      </c>
      <c r="BK1546" s="1">
        <f t="shared" si="2165"/>
        <v>1</v>
      </c>
      <c r="BL1546" s="1">
        <f t="shared" si="2170"/>
        <v>1</v>
      </c>
      <c r="BM1546" s="1">
        <f t="shared" si="2168"/>
        <v>1</v>
      </c>
      <c r="BN1546" s="1">
        <f t="shared" si="2145"/>
        <v>1</v>
      </c>
      <c r="BO1546" s="1">
        <f t="shared" si="2146"/>
        <v>1</v>
      </c>
    </row>
    <row r="1547" spans="1:67" ht="30.95" customHeight="1">
      <c r="A1547" s="1">
        <f>42</f>
        <v>42</v>
      </c>
      <c r="B1547" s="1">
        <f>固定流程!A35</f>
        <v>30</v>
      </c>
      <c r="C1547" s="1">
        <f>45</f>
        <v>45</v>
      </c>
      <c r="D1547" s="1">
        <f>2</f>
        <v>2</v>
      </c>
      <c r="E1547" s="1">
        <f>固定流程!C35</f>
        <v>3</v>
      </c>
      <c r="F1547" s="1">
        <f>固定流程!G35</f>
        <v>2</v>
      </c>
      <c r="G1547" s="1" t="str">
        <f>固定流程!H35</f>
        <v>37_WEAK</v>
      </c>
      <c r="H1547" s="1">
        <f>固定流程!F35</f>
        <v>1</v>
      </c>
      <c r="I1547" s="1">
        <f>INDEX(配置与结果!$B$15:$B$18,F1547)</f>
        <v>2306</v>
      </c>
      <c r="J1547" s="1">
        <f>INDEX(配置与结果!$D$15:$D$18,F1547)</f>
        <v>0.46</v>
      </c>
      <c r="K1547" s="1">
        <f>INDEX(配置与结果!$E$15:$E$18,F1547)</f>
        <v>1.9279999999999999</v>
      </c>
      <c r="L1547" s="1">
        <f t="shared" si="2157"/>
        <v>2</v>
      </c>
      <c r="M1547" s="1">
        <f t="shared" si="2158"/>
        <v>10</v>
      </c>
      <c r="N1547" s="1">
        <f t="shared" si="2159"/>
        <v>2</v>
      </c>
      <c r="O1547" s="1">
        <f t="shared" si="2151"/>
        <v>5</v>
      </c>
      <c r="P1547" s="1">
        <f>MIN(方案参数!$AI$45,AZ1546+0+0)</f>
        <v>5</v>
      </c>
      <c r="Q1547" s="1">
        <f t="shared" si="2129"/>
        <v>5</v>
      </c>
      <c r="R1547" s="1">
        <f t="shared" si="2130"/>
        <v>20</v>
      </c>
      <c r="S1547" s="1">
        <f t="shared" si="2131"/>
        <v>3</v>
      </c>
      <c r="T1547" s="1">
        <f t="shared" si="2166"/>
        <v>0</v>
      </c>
      <c r="U1547" s="1">
        <f t="shared" si="2133"/>
        <v>0</v>
      </c>
      <c r="V1547" s="1">
        <f t="shared" si="2134"/>
        <v>4</v>
      </c>
      <c r="W1547" s="1">
        <f t="shared" si="2135"/>
        <v>1</v>
      </c>
      <c r="X1547" s="1">
        <f t="shared" si="2136"/>
        <v>1</v>
      </c>
      <c r="Y1547" s="1">
        <f t="shared" si="2137"/>
        <v>1</v>
      </c>
      <c r="Z1547" s="1">
        <f t="shared" si="2138"/>
        <v>1</v>
      </c>
      <c r="AA1547" s="1">
        <f t="shared" si="2162"/>
        <v>1</v>
      </c>
      <c r="AB1547" s="1">
        <f t="shared" si="2140"/>
        <v>1</v>
      </c>
      <c r="AC1547" s="1">
        <f t="shared" si="2167"/>
        <v>1</v>
      </c>
      <c r="AD1547" s="1">
        <f>ROUNDDOWN(I1547*(1+IF(F1547=3,0.05+方案参数!$Y$45+AA1547*0.12,IF(F1547=4,方案参数!$BZ$45*方案参数!$AS$45,0)))+IF(AND(X1547=1,F1547&lt;&gt;3),方案参数!$CC$45,0)+AC1547*方案参数!$CB$45,0)</f>
        <v>3044</v>
      </c>
      <c r="AE1547" s="1">
        <f>IF(OR(F1547=1,F1547=4),配置与结果!$B$24,配置与结果!$B$25)*MAX(0,1-INDEX(配置与结果!$I$15:$I$18,F1547))</f>
        <v>1000</v>
      </c>
      <c r="AF1547" s="1">
        <f>方案参数!$CE$45</f>
        <v>8</v>
      </c>
      <c r="AG1547" s="1">
        <f>MAX(配置与结果!$B$32,1+INDEX(配置与结果!$F$15:$F$18,F1547)+0+Q1547*方案参数!$W$45+Y1547*(方案参数!$AN$45+MIN(方案参数!$AO$45,P1547*0.03))+AB1547*方案参数!$BZ$45*0.025-配置与结果!$B$28+方案参数!$AE$45)</f>
        <v>2.2800000000000002</v>
      </c>
      <c r="AH1547" s="1">
        <f>MAX(0,1+V1547*方案参数!$U$45+方案参数!$AE$45-配置与结果!$B$29)</f>
        <v>1.56</v>
      </c>
      <c r="AI1547" s="1">
        <f>IF(OR(INDEX(配置与结果!$K$15:$K$18,F1547)=1,G1547="RHI_BERRY"),1+配置与结果!$B$33+P1547*方案参数!$AH$45,1)</f>
        <v>1</v>
      </c>
      <c r="AJ1547" s="1">
        <f>MIN(1,MAX(0,J1547+方案参数!$AB$45-配置与结果!$B$27))</f>
        <v>0.76</v>
      </c>
      <c r="AK1547" s="1">
        <f>MAX(1,K1547+IF(F1547=2,0.15+方案参数!$CH$45,0)+BN1547*方案参数!$X$45+R1547*方案参数!$AA$45+0-配置与结果!$B$26+Z1547*(方案参数!$AP$45+MIN(方案参数!$AQ$45,P1547*0.03)))</f>
        <v>2.3580000000000001</v>
      </c>
      <c r="AL1547" s="7">
        <f>ROUNDDOWN(MAX(AD1547*配置与结果!$B$31,AD1547-AE1547)*AF1547*AG1547*AH1547*AI1547,0)</f>
        <v>58160</v>
      </c>
      <c r="AM1547" s="7">
        <f>ROUNDDOWN(MAX(AD1547*配置与结果!$B$31,AD1547-AE1547)*AF1547*AG1547*AH1547*AI1547*AK1547,0)</f>
        <v>137143</v>
      </c>
      <c r="AN1547" s="7">
        <f t="shared" si="2174"/>
        <v>118187.08</v>
      </c>
      <c r="AO1547" s="7">
        <f>0</f>
        <v>0</v>
      </c>
      <c r="AP1547" s="7">
        <f>MAX(0,1+INDEX(配置与结果!$J$15:$J$18,F1547)+IF(T1547&gt;0,方案参数!$BY$45,0)-配置与结果!$B$30)</f>
        <v>1</v>
      </c>
      <c r="AQ1547" s="7">
        <f t="shared" si="2175"/>
        <v>0</v>
      </c>
      <c r="AR1547" s="7">
        <f t="shared" si="2176"/>
        <v>0</v>
      </c>
      <c r="AS1547" s="7">
        <f t="shared" si="2177"/>
        <v>0</v>
      </c>
      <c r="AT1547" s="7">
        <f>IF(U1547&gt;0,ROUNDDOWN(AL1547*方案参数!$AF$45,0)*(1-AJ1547)+ROUNDDOWN(AM1547*方案参数!$AF$45,0)*AJ1547,0)</f>
        <v>0</v>
      </c>
      <c r="AU1547" s="7">
        <f t="shared" si="2178"/>
        <v>118187.08</v>
      </c>
      <c r="AV1547" s="1">
        <f t="shared" si="2179"/>
        <v>2</v>
      </c>
      <c r="AW1547" s="1">
        <f t="shared" si="2172"/>
        <v>10</v>
      </c>
      <c r="AX1547" s="1">
        <f t="shared" si="2180"/>
        <v>2</v>
      </c>
      <c r="AY1547" s="1">
        <f>MIN(20,MAX(0,O1547+0+0-0))</f>
        <v>5</v>
      </c>
      <c r="AZ1547" s="1">
        <f t="shared" si="2181"/>
        <v>5</v>
      </c>
      <c r="BA1547" s="1">
        <f t="shared" si="2163"/>
        <v>5</v>
      </c>
      <c r="BB1547" s="1">
        <f t="shared" si="2171"/>
        <v>20</v>
      </c>
      <c r="BC1547" s="1">
        <f t="shared" si="2169"/>
        <v>3</v>
      </c>
      <c r="BD1547" s="1">
        <f t="shared" si="2150"/>
        <v>0</v>
      </c>
      <c r="BE1547" s="1">
        <f>MAX(0,U1547-IF(AF1547&gt;0,1,0))+1</f>
        <v>1</v>
      </c>
      <c r="BF1547" s="1">
        <f t="shared" si="2173"/>
        <v>4</v>
      </c>
      <c r="BG1547" s="1">
        <f t="shared" si="2160"/>
        <v>1</v>
      </c>
      <c r="BH1547" s="1">
        <f t="shared" si="2144"/>
        <v>1</v>
      </c>
      <c r="BI1547" s="1">
        <f t="shared" si="2161"/>
        <v>1</v>
      </c>
      <c r="BJ1547" s="1">
        <f t="shared" si="2164"/>
        <v>1</v>
      </c>
      <c r="BK1547" s="1">
        <f t="shared" si="2165"/>
        <v>1</v>
      </c>
      <c r="BL1547" s="1">
        <f t="shared" si="2170"/>
        <v>1</v>
      </c>
      <c r="BM1547" s="1">
        <f t="shared" si="2168"/>
        <v>1</v>
      </c>
      <c r="BN1547" s="1">
        <f t="shared" si="2145"/>
        <v>1</v>
      </c>
      <c r="BO1547" s="1">
        <f t="shared" si="2146"/>
        <v>1</v>
      </c>
    </row>
    <row r="1548" spans="1:67" ht="30.95" customHeight="1">
      <c r="A1548" s="1">
        <f>42</f>
        <v>42</v>
      </c>
      <c r="B1548" s="1">
        <f>固定流程!A36</f>
        <v>31</v>
      </c>
      <c r="C1548" s="1">
        <f>45</f>
        <v>45</v>
      </c>
      <c r="D1548" s="1">
        <f>2</f>
        <v>2</v>
      </c>
      <c r="E1548" s="1">
        <f>固定流程!C36</f>
        <v>3</v>
      </c>
      <c r="F1548" s="1">
        <f>固定流程!G36</f>
        <v>1</v>
      </c>
      <c r="G1548" s="1" t="str">
        <f>固定流程!H36</f>
        <v>LILYA_THIRD</v>
      </c>
      <c r="H1548" s="1">
        <f>固定流程!F36</f>
        <v>1</v>
      </c>
      <c r="I1548" s="1">
        <f>INDEX(配置与结果!$B$15:$B$18,F1548)</f>
        <v>2296</v>
      </c>
      <c r="J1548" s="1">
        <f>INDEX(配置与结果!$D$15:$D$18,F1548)</f>
        <v>0.7</v>
      </c>
      <c r="K1548" s="1">
        <f>INDEX(配置与结果!$E$15:$E$18,F1548)</f>
        <v>2.0249999999999999</v>
      </c>
      <c r="L1548" s="1">
        <f t="shared" si="2157"/>
        <v>2</v>
      </c>
      <c r="M1548" s="1">
        <f t="shared" si="2158"/>
        <v>10</v>
      </c>
      <c r="N1548" s="1">
        <f t="shared" si="2159"/>
        <v>2</v>
      </c>
      <c r="O1548" s="1">
        <f t="shared" si="2151"/>
        <v>5</v>
      </c>
      <c r="P1548" s="1">
        <f>MIN(方案参数!$AI$45,AZ1547+0+0)</f>
        <v>5</v>
      </c>
      <c r="Q1548" s="1">
        <f t="shared" si="2129"/>
        <v>5</v>
      </c>
      <c r="R1548" s="1">
        <f t="shared" si="2130"/>
        <v>20</v>
      </c>
      <c r="S1548" s="1">
        <f t="shared" si="2131"/>
        <v>3</v>
      </c>
      <c r="T1548" s="1">
        <f t="shared" si="2166"/>
        <v>0</v>
      </c>
      <c r="U1548" s="1">
        <f t="shared" si="2133"/>
        <v>1</v>
      </c>
      <c r="V1548" s="1">
        <f t="shared" si="2134"/>
        <v>4</v>
      </c>
      <c r="W1548" s="1">
        <f t="shared" si="2135"/>
        <v>1</v>
      </c>
      <c r="X1548" s="1">
        <f t="shared" si="2136"/>
        <v>1</v>
      </c>
      <c r="Y1548" s="1">
        <f t="shared" si="2137"/>
        <v>1</v>
      </c>
      <c r="Z1548" s="1">
        <f t="shared" si="2138"/>
        <v>1</v>
      </c>
      <c r="AA1548" s="1">
        <f t="shared" si="2162"/>
        <v>1</v>
      </c>
      <c r="AB1548" s="1">
        <f t="shared" si="2140"/>
        <v>1</v>
      </c>
      <c r="AC1548" s="1">
        <f t="shared" si="2167"/>
        <v>1</v>
      </c>
      <c r="AD1548" s="1">
        <f>ROUNDDOWN(I1548*(1+IF(F1548=3,0.05+方案参数!$Y$45+AA1548*0.12,IF(F1548=4,方案参数!$BZ$45*方案参数!$AS$45,0)))+IF(AND(X1548=1,F1548&lt;&gt;3),方案参数!$CC$45,0)+AC1548*方案参数!$CB$45,0)</f>
        <v>3034</v>
      </c>
      <c r="AE1548" s="1">
        <f>IF(OR(F1548=1,F1548=4),配置与结果!$B$24,配置与结果!$B$25)*MAX(0,1-INDEX(配置与结果!$I$15:$I$18,F1548))</f>
        <v>1200</v>
      </c>
      <c r="AF1548" s="1">
        <f>方案参数!$BM$45</f>
        <v>20</v>
      </c>
      <c r="AG1548" s="1">
        <f>MAX(配置与结果!$B$32,1+INDEX(配置与结果!$F$15:$F$18,F1548)+0.08+方案参数!$CD$45+Q1548*方案参数!$W$45+Y1548*(方案参数!$AN$45+MIN(方案参数!$AO$45,P1548*0.03))+AB1548*方案参数!$BZ$45*0.025-配置与结果!$B$28+方案参数!$AE$45)</f>
        <v>2.6150000000000002</v>
      </c>
      <c r="AH1548" s="1">
        <f>MAX(0,1+V1548*方案参数!$U$45+7*方案参数!$V$45+方案参数!$AE$45-配置与结果!$B$29)</f>
        <v>1.98</v>
      </c>
      <c r="AI1548" s="1">
        <f>IF(OR(INDEX(配置与结果!$K$15:$K$18,F1548)=1,G1548="RHI_BERRY"),1+配置与结果!$B$33+P1548*方案参数!$AH$45,1)</f>
        <v>1</v>
      </c>
      <c r="AJ1548" s="1">
        <f>MIN(1,MAX(0,J1548+方案参数!$AB$45-配置与结果!$B$27))</f>
        <v>1</v>
      </c>
      <c r="AK1548" s="1">
        <f>MAX(1,K1548+IF(F1548=2,0.15+方案参数!$CH$45,0)+BN1548*方案参数!$X$45+R1548*方案参数!$AA$45+方案参数!$BQ$45-配置与结果!$B$26+Z1548*(方案参数!$AP$45+MIN(方案参数!$AQ$45,P1548*0.03)))</f>
        <v>2.9849999999999999</v>
      </c>
      <c r="AL1548" s="7">
        <f>ROUNDDOWN(MAX(AD1548*配置与结果!$B$31,AD1548-AE1548)*AF1548*AG1548*AH1548*AI1548,0)</f>
        <v>189918</v>
      </c>
      <c r="AM1548" s="7">
        <f>ROUNDDOWN(MAX(AD1548*配置与结果!$B$31,AD1548-AE1548)*AF1548*AG1548*AH1548*AI1548*AK1548,0)</f>
        <v>566905</v>
      </c>
      <c r="AN1548" s="7">
        <f t="shared" si="2174"/>
        <v>566905</v>
      </c>
      <c r="AO1548" s="7">
        <f>0</f>
        <v>0</v>
      </c>
      <c r="AP1548" s="7">
        <f>MAX(0,1+INDEX(配置与结果!$J$15:$J$18,F1548)+IF(T1548&gt;0,方案参数!$BY$45,0)-配置与结果!$B$30)</f>
        <v>1</v>
      </c>
      <c r="AQ1548" s="7">
        <f t="shared" si="2175"/>
        <v>0</v>
      </c>
      <c r="AR1548" s="7">
        <f t="shared" si="2176"/>
        <v>0</v>
      </c>
      <c r="AS1548" s="7">
        <f t="shared" si="2177"/>
        <v>0</v>
      </c>
      <c r="AT1548" s="7">
        <f>IF(U1548&gt;0,ROUNDDOWN(AL1548*方案参数!$AF$45,0)*(1-AJ1548)+ROUNDDOWN(AM1548*方案参数!$AF$45,0)*AJ1548,0)</f>
        <v>226762</v>
      </c>
      <c r="AU1548" s="7">
        <f t="shared" si="2178"/>
        <v>793667</v>
      </c>
      <c r="AV1548" s="1">
        <f t="shared" si="2179"/>
        <v>2</v>
      </c>
      <c r="AW1548" s="1">
        <f t="shared" si="2172"/>
        <v>10</v>
      </c>
      <c r="AX1548" s="1">
        <f t="shared" si="2180"/>
        <v>2</v>
      </c>
      <c r="AY1548" s="1">
        <f>MIN(20,MAX(0,O1548+0+1-0))</f>
        <v>6</v>
      </c>
      <c r="AZ1548" s="1">
        <f t="shared" si="2181"/>
        <v>5</v>
      </c>
      <c r="BA1548" s="1">
        <f t="shared" si="2163"/>
        <v>5</v>
      </c>
      <c r="BB1548" s="1">
        <f t="shared" si="2171"/>
        <v>20</v>
      </c>
      <c r="BC1548" s="1">
        <f t="shared" si="2169"/>
        <v>3</v>
      </c>
      <c r="BD1548" s="1">
        <f t="shared" si="2150"/>
        <v>0</v>
      </c>
      <c r="BE1548" s="1">
        <f>MAX(0,U1548-IF(AF1548&gt;0,1,0))+0</f>
        <v>0</v>
      </c>
      <c r="BF1548" s="1">
        <f t="shared" si="2173"/>
        <v>4</v>
      </c>
      <c r="BG1548" s="1">
        <f t="shared" si="2160"/>
        <v>1</v>
      </c>
      <c r="BH1548" s="1">
        <f t="shared" si="2144"/>
        <v>1</v>
      </c>
      <c r="BI1548" s="1">
        <f t="shared" si="2161"/>
        <v>1</v>
      </c>
      <c r="BJ1548" s="1">
        <f t="shared" si="2164"/>
        <v>1</v>
      </c>
      <c r="BK1548" s="1">
        <f t="shared" si="2165"/>
        <v>1</v>
      </c>
      <c r="BL1548" s="1">
        <f t="shared" si="2170"/>
        <v>1</v>
      </c>
      <c r="BM1548" s="1">
        <f t="shared" si="2168"/>
        <v>1</v>
      </c>
      <c r="BN1548" s="1">
        <f t="shared" si="2145"/>
        <v>1</v>
      </c>
      <c r="BO1548" s="1">
        <f t="shared" si="2146"/>
        <v>1</v>
      </c>
    </row>
    <row r="1549" spans="1:67" ht="30.95" customHeight="1">
      <c r="A1549" s="1">
        <f>42</f>
        <v>42</v>
      </c>
      <c r="B1549" s="1">
        <f>固定流程!A37</f>
        <v>32</v>
      </c>
      <c r="C1549" s="1">
        <f>45</f>
        <v>45</v>
      </c>
      <c r="D1549" s="1">
        <f>2</f>
        <v>2</v>
      </c>
      <c r="E1549" s="1">
        <f>固定流程!C37</f>
        <v>3</v>
      </c>
      <c r="F1549" s="1">
        <f>固定流程!G37</f>
        <v>1</v>
      </c>
      <c r="G1549" s="1" t="str">
        <f>固定流程!H37</f>
        <v>LILYA_WEAK</v>
      </c>
      <c r="H1549" s="1">
        <f>固定流程!F37</f>
        <v>1</v>
      </c>
      <c r="I1549" s="1">
        <f>INDEX(配置与结果!$B$15:$B$18,F1549)</f>
        <v>2296</v>
      </c>
      <c r="J1549" s="1">
        <f>INDEX(配置与结果!$D$15:$D$18,F1549)</f>
        <v>0.7</v>
      </c>
      <c r="K1549" s="1">
        <f>INDEX(配置与结果!$E$15:$E$18,F1549)</f>
        <v>2.0249999999999999</v>
      </c>
      <c r="L1549" s="1">
        <f t="shared" si="2157"/>
        <v>2</v>
      </c>
      <c r="M1549" s="1">
        <f t="shared" si="2158"/>
        <v>10</v>
      </c>
      <c r="N1549" s="1">
        <f t="shared" si="2159"/>
        <v>2</v>
      </c>
      <c r="O1549" s="1">
        <f t="shared" si="2151"/>
        <v>6</v>
      </c>
      <c r="P1549" s="1">
        <f>MIN(方案参数!$AI$45,AZ1548+0+0)</f>
        <v>5</v>
      </c>
      <c r="Q1549" s="1">
        <f t="shared" si="2129"/>
        <v>5</v>
      </c>
      <c r="R1549" s="1">
        <f t="shared" si="2130"/>
        <v>20</v>
      </c>
      <c r="S1549" s="1">
        <f t="shared" si="2131"/>
        <v>3</v>
      </c>
      <c r="T1549" s="1">
        <f t="shared" si="2166"/>
        <v>0</v>
      </c>
      <c r="U1549" s="1">
        <f t="shared" si="2133"/>
        <v>0</v>
      </c>
      <c r="V1549" s="1">
        <f t="shared" si="2134"/>
        <v>4</v>
      </c>
      <c r="W1549" s="1">
        <f t="shared" si="2135"/>
        <v>1</v>
      </c>
      <c r="X1549" s="1">
        <f t="shared" si="2136"/>
        <v>1</v>
      </c>
      <c r="Y1549" s="1">
        <f t="shared" si="2137"/>
        <v>1</v>
      </c>
      <c r="Z1549" s="1">
        <f t="shared" si="2138"/>
        <v>1</v>
      </c>
      <c r="AA1549" s="1">
        <f t="shared" si="2162"/>
        <v>1</v>
      </c>
      <c r="AB1549" s="1">
        <f t="shared" si="2140"/>
        <v>1</v>
      </c>
      <c r="AC1549" s="1">
        <f t="shared" si="2167"/>
        <v>1</v>
      </c>
      <c r="AD1549" s="1">
        <f>ROUNDDOWN(I1549*(1+IF(F1549=3,0.05+方案参数!$Y$45+AA1549*0.12,IF(F1549=4,方案参数!$BZ$45*方案参数!$AS$45,0)))+IF(AND(X1549=1,F1549&lt;&gt;3),方案参数!$CC$45,0)+AC1549*方案参数!$CB$45,0)</f>
        <v>3034</v>
      </c>
      <c r="AE1549" s="1">
        <f>IF(OR(F1549=1,F1549=4),配置与结果!$B$24,配置与结果!$B$25)*MAX(0,1-INDEX(配置与结果!$I$15:$I$18,F1549))</f>
        <v>1200</v>
      </c>
      <c r="AF1549" s="1">
        <f>方案参数!$BL$45</f>
        <v>9</v>
      </c>
      <c r="AG1549" s="1">
        <f>MAX(配置与结果!$B$32,1+INDEX(配置与结果!$F$15:$F$18,F1549)+0.08+方案参数!$CD$45+Q1549*方案参数!$W$45+Y1549*(方案参数!$AN$45+MIN(方案参数!$AO$45,P1549*0.03))+AB1549*方案参数!$BZ$45*0.025-配置与结果!$B$28+方案参数!$AE$45)</f>
        <v>2.6150000000000002</v>
      </c>
      <c r="AH1549" s="1">
        <f>MAX(0,1+V1549*方案参数!$U$45+8*方案参数!$V$45+方案参数!$AE$45-配置与结果!$B$29)</f>
        <v>2.04</v>
      </c>
      <c r="AI1549" s="1">
        <f>IF(OR(INDEX(配置与结果!$K$15:$K$18,F1549)=1,G1549="RHI_BERRY"),1+配置与结果!$B$33+P1549*方案参数!$AH$45,1)</f>
        <v>1</v>
      </c>
      <c r="AJ1549" s="1">
        <f>MIN(1,MAX(0,J1549+方案参数!$AB$45-配置与结果!$B$27))</f>
        <v>1</v>
      </c>
      <c r="AK1549" s="1">
        <f>MAX(1,K1549+IF(F1549=2,0.15+方案参数!$CH$45,0)+BN1549*方案参数!$X$45+R1549*方案参数!$AA$45+方案参数!$BP$45-配置与结果!$B$26+Z1549*(方案参数!$AP$45+MIN(方案参数!$AQ$45,P1549*0.03)))</f>
        <v>2.7850000000000001</v>
      </c>
      <c r="AL1549" s="7">
        <f>ROUNDDOWN(MAX(AD1549*配置与结果!$B$31,AD1549-AE1549)*AF1549*AG1549*AH1549*AI1549,0)</f>
        <v>88052</v>
      </c>
      <c r="AM1549" s="7">
        <f>ROUNDDOWN(MAX(AD1549*配置与结果!$B$31,AD1549-AE1549)*AF1549*AG1549*AH1549*AI1549*AK1549,0)</f>
        <v>245227</v>
      </c>
      <c r="AN1549" s="7">
        <f t="shared" si="2174"/>
        <v>245227</v>
      </c>
      <c r="AO1549" s="7">
        <f>0</f>
        <v>0</v>
      </c>
      <c r="AP1549" s="7">
        <f>MAX(0,1+INDEX(配置与结果!$J$15:$J$18,F1549)+IF(T1549&gt;0,方案参数!$BY$45,0)-配置与结果!$B$30)</f>
        <v>1</v>
      </c>
      <c r="AQ1549" s="7">
        <f t="shared" si="2175"/>
        <v>0</v>
      </c>
      <c r="AR1549" s="7">
        <f t="shared" si="2176"/>
        <v>0</v>
      </c>
      <c r="AS1549" s="7">
        <f t="shared" si="2177"/>
        <v>0</v>
      </c>
      <c r="AT1549" s="7">
        <f>IF(U1549&gt;0,ROUNDDOWN(AL1549*方案参数!$AF$45,0)*(1-AJ1549)+ROUNDDOWN(AM1549*方案参数!$AF$45,0)*AJ1549,0)</f>
        <v>0</v>
      </c>
      <c r="AU1549" s="7">
        <f t="shared" si="2178"/>
        <v>245227</v>
      </c>
      <c r="AV1549" s="1">
        <f t="shared" si="2179"/>
        <v>2</v>
      </c>
      <c r="AW1549" s="1">
        <f t="shared" si="2172"/>
        <v>10</v>
      </c>
      <c r="AX1549" s="1">
        <f t="shared" si="2180"/>
        <v>2</v>
      </c>
      <c r="AY1549" s="1">
        <f>MIN(20,MAX(0,O1549+0+1-0))</f>
        <v>7</v>
      </c>
      <c r="AZ1549" s="1">
        <f t="shared" si="2181"/>
        <v>5</v>
      </c>
      <c r="BA1549" s="1">
        <f t="shared" si="2163"/>
        <v>5</v>
      </c>
      <c r="BB1549" s="1">
        <f t="shared" si="2171"/>
        <v>20</v>
      </c>
      <c r="BC1549" s="1">
        <f t="shared" si="2169"/>
        <v>3</v>
      </c>
      <c r="BD1549" s="1">
        <f t="shared" si="2150"/>
        <v>0</v>
      </c>
      <c r="BE1549" s="1">
        <f>MAX(0,U1549-IF(AF1549&gt;0,1,0))+0</f>
        <v>0</v>
      </c>
      <c r="BF1549" s="1">
        <f t="shared" si="2173"/>
        <v>4</v>
      </c>
      <c r="BG1549" s="1">
        <f t="shared" si="2160"/>
        <v>1</v>
      </c>
      <c r="BH1549" s="1">
        <f t="shared" si="2144"/>
        <v>1</v>
      </c>
      <c r="BI1549" s="1">
        <f t="shared" si="2161"/>
        <v>1</v>
      </c>
      <c r="BJ1549" s="1">
        <f t="shared" si="2164"/>
        <v>1</v>
      </c>
      <c r="BK1549" s="1">
        <f t="shared" si="2165"/>
        <v>1</v>
      </c>
      <c r="BL1549" s="1">
        <f t="shared" si="2170"/>
        <v>1</v>
      </c>
      <c r="BM1549" s="1">
        <f t="shared" si="2168"/>
        <v>1</v>
      </c>
      <c r="BN1549" s="1">
        <f t="shared" si="2145"/>
        <v>1</v>
      </c>
      <c r="BO1549" s="1">
        <f t="shared" si="2146"/>
        <v>1</v>
      </c>
    </row>
    <row r="1550" spans="1:67" ht="30.95" customHeight="1">
      <c r="A1550" s="1">
        <f>42</f>
        <v>42</v>
      </c>
      <c r="B1550" s="1">
        <f>固定流程!A38</f>
        <v>33</v>
      </c>
      <c r="C1550" s="1">
        <f>45</f>
        <v>45</v>
      </c>
      <c r="D1550" s="1">
        <f>2</f>
        <v>2</v>
      </c>
      <c r="E1550" s="1">
        <f>固定流程!C38</f>
        <v>3</v>
      </c>
      <c r="F1550" s="1">
        <f>固定流程!G38</f>
        <v>1</v>
      </c>
      <c r="G1550" s="1" t="str">
        <f>固定流程!H38</f>
        <v>LILYA_WEAK</v>
      </c>
      <c r="H1550" s="1">
        <f>固定流程!F38</f>
        <v>1</v>
      </c>
      <c r="I1550" s="1">
        <f>INDEX(配置与结果!$B$15:$B$18,F1550)</f>
        <v>2296</v>
      </c>
      <c r="J1550" s="1">
        <f>INDEX(配置与结果!$D$15:$D$18,F1550)</f>
        <v>0.7</v>
      </c>
      <c r="K1550" s="1">
        <f>INDEX(配置与结果!$E$15:$E$18,F1550)</f>
        <v>2.0249999999999999</v>
      </c>
      <c r="L1550" s="1">
        <f t="shared" si="2157"/>
        <v>2</v>
      </c>
      <c r="M1550" s="1">
        <f t="shared" si="2158"/>
        <v>10</v>
      </c>
      <c r="N1550" s="1">
        <f t="shared" si="2159"/>
        <v>2</v>
      </c>
      <c r="O1550" s="1">
        <f t="shared" si="2151"/>
        <v>7</v>
      </c>
      <c r="P1550" s="1">
        <f>MIN(方案参数!$AI$45,AZ1549+0+0)</f>
        <v>5</v>
      </c>
      <c r="Q1550" s="1">
        <f t="shared" si="2129"/>
        <v>5</v>
      </c>
      <c r="R1550" s="1">
        <f t="shared" si="2130"/>
        <v>20</v>
      </c>
      <c r="S1550" s="1">
        <f t="shared" si="2131"/>
        <v>3</v>
      </c>
      <c r="T1550" s="1">
        <f t="shared" si="2166"/>
        <v>0</v>
      </c>
      <c r="U1550" s="1">
        <f t="shared" si="2133"/>
        <v>0</v>
      </c>
      <c r="V1550" s="1">
        <f t="shared" si="2134"/>
        <v>4</v>
      </c>
      <c r="W1550" s="1">
        <f t="shared" si="2135"/>
        <v>1</v>
      </c>
      <c r="X1550" s="1">
        <f t="shared" si="2136"/>
        <v>1</v>
      </c>
      <c r="Y1550" s="1">
        <f t="shared" si="2137"/>
        <v>1</v>
      </c>
      <c r="Z1550" s="1">
        <f t="shared" si="2138"/>
        <v>1</v>
      </c>
      <c r="AA1550" s="1">
        <f t="shared" si="2162"/>
        <v>1</v>
      </c>
      <c r="AB1550" s="1">
        <f t="shared" si="2140"/>
        <v>1</v>
      </c>
      <c r="AC1550" s="1">
        <f t="shared" si="2167"/>
        <v>1</v>
      </c>
      <c r="AD1550" s="1">
        <f>ROUNDDOWN(I1550*(1+IF(F1550=3,0.05+方案参数!$Y$45+AA1550*0.12,IF(F1550=4,方案参数!$BZ$45*方案参数!$AS$45,0)))+IF(AND(X1550=1,F1550&lt;&gt;3),方案参数!$CC$45,0)+AC1550*方案参数!$CB$45,0)</f>
        <v>3034</v>
      </c>
      <c r="AE1550" s="1">
        <f>IF(OR(F1550=1,F1550=4),配置与结果!$B$24,配置与结果!$B$25)*MAX(0,1-INDEX(配置与结果!$I$15:$I$18,F1550))</f>
        <v>1200</v>
      </c>
      <c r="AF1550" s="1">
        <f>方案参数!$BL$45</f>
        <v>9</v>
      </c>
      <c r="AG1550" s="1">
        <f>MAX(配置与结果!$B$32,1+INDEX(配置与结果!$F$15:$F$18,F1550)+0.08+方案参数!$CD$45+Q1550*方案参数!$W$45+Y1550*(方案参数!$AN$45+MIN(方案参数!$AO$45,P1550*0.03))+AB1550*方案参数!$BZ$45*0.025-配置与结果!$B$28+方案参数!$AE$45)</f>
        <v>2.6150000000000002</v>
      </c>
      <c r="AH1550" s="1">
        <f>MAX(0,1+V1550*方案参数!$U$45+9*方案参数!$V$45+方案参数!$AE$45-配置与结果!$B$29)</f>
        <v>2.1</v>
      </c>
      <c r="AI1550" s="1">
        <f>IF(OR(INDEX(配置与结果!$K$15:$K$18,F1550)=1,G1550="RHI_BERRY"),1+配置与结果!$B$33+P1550*方案参数!$AH$45,1)</f>
        <v>1</v>
      </c>
      <c r="AJ1550" s="1">
        <f>MIN(1,MAX(0,J1550+方案参数!$AB$45-配置与结果!$B$27))</f>
        <v>1</v>
      </c>
      <c r="AK1550" s="1">
        <f>MAX(1,K1550+IF(F1550=2,0.15+方案参数!$CH$45,0)+BN1550*方案参数!$X$45+R1550*方案参数!$AA$45+方案参数!$BP$45-配置与结果!$B$26+Z1550*(方案参数!$AP$45+MIN(方案参数!$AQ$45,P1550*0.03)))</f>
        <v>2.7850000000000001</v>
      </c>
      <c r="AL1550" s="7">
        <f>ROUNDDOWN(MAX(AD1550*配置与结果!$B$31,AD1550-AE1550)*AF1550*AG1550*AH1550*AI1550,0)</f>
        <v>90642</v>
      </c>
      <c r="AM1550" s="7">
        <f>ROUNDDOWN(MAX(AD1550*配置与结果!$B$31,AD1550-AE1550)*AF1550*AG1550*AH1550*AI1550*AK1550,0)</f>
        <v>252439</v>
      </c>
      <c r="AN1550" s="7">
        <f t="shared" si="2174"/>
        <v>252439</v>
      </c>
      <c r="AO1550" s="7">
        <f>0</f>
        <v>0</v>
      </c>
      <c r="AP1550" s="7">
        <f>MAX(0,1+INDEX(配置与结果!$J$15:$J$18,F1550)+IF(T1550&gt;0,方案参数!$BY$45,0)-配置与结果!$B$30)</f>
        <v>1</v>
      </c>
      <c r="AQ1550" s="7">
        <f t="shared" si="2175"/>
        <v>0</v>
      </c>
      <c r="AR1550" s="7">
        <f t="shared" si="2176"/>
        <v>0</v>
      </c>
      <c r="AS1550" s="7">
        <f t="shared" si="2177"/>
        <v>0</v>
      </c>
      <c r="AT1550" s="7">
        <f>IF(U1550&gt;0,ROUNDDOWN(AL1550*方案参数!$AF$45,0)*(1-AJ1550)+ROUNDDOWN(AM1550*方案参数!$AF$45,0)*AJ1550,0)</f>
        <v>0</v>
      </c>
      <c r="AU1550" s="7">
        <f t="shared" si="2178"/>
        <v>252439</v>
      </c>
      <c r="AV1550" s="1">
        <f t="shared" si="2179"/>
        <v>2</v>
      </c>
      <c r="AW1550" s="1">
        <f t="shared" si="2172"/>
        <v>10</v>
      </c>
      <c r="AX1550" s="1">
        <f t="shared" si="2180"/>
        <v>2</v>
      </c>
      <c r="AY1550" s="1">
        <f>MIN(20,MAX(0,O1550+0+1-0))</f>
        <v>8</v>
      </c>
      <c r="AZ1550" s="1">
        <f t="shared" si="2181"/>
        <v>5</v>
      </c>
      <c r="BA1550" s="1">
        <f t="shared" si="2163"/>
        <v>5</v>
      </c>
      <c r="BB1550" s="1">
        <f t="shared" si="2171"/>
        <v>20</v>
      </c>
      <c r="BC1550" s="1">
        <f t="shared" si="2169"/>
        <v>3</v>
      </c>
      <c r="BD1550" s="1">
        <f t="shared" si="2150"/>
        <v>0</v>
      </c>
      <c r="BE1550" s="1">
        <f>MAX(0,U1550-IF(AF1550&gt;0,1,0))+0</f>
        <v>0</v>
      </c>
      <c r="BF1550" s="1">
        <f t="shared" si="2173"/>
        <v>4</v>
      </c>
      <c r="BG1550" s="1">
        <f t="shared" si="2160"/>
        <v>1</v>
      </c>
      <c r="BH1550" s="1">
        <f t="shared" si="2144"/>
        <v>1</v>
      </c>
      <c r="BI1550" s="1">
        <f t="shared" si="2161"/>
        <v>1</v>
      </c>
      <c r="BJ1550" s="1">
        <f t="shared" si="2164"/>
        <v>1</v>
      </c>
      <c r="BK1550" s="1">
        <f t="shared" si="2165"/>
        <v>1</v>
      </c>
      <c r="BL1550" s="1">
        <f t="shared" si="2170"/>
        <v>1</v>
      </c>
      <c r="BM1550" s="1">
        <f t="shared" si="2168"/>
        <v>1</v>
      </c>
      <c r="BN1550" s="1">
        <f t="shared" si="2145"/>
        <v>1</v>
      </c>
      <c r="BO1550" s="1">
        <f t="shared" si="2146"/>
        <v>1</v>
      </c>
    </row>
    <row r="1551" spans="1:67" ht="30.95" customHeight="1">
      <c r="A1551" s="1">
        <f>42</f>
        <v>42</v>
      </c>
      <c r="B1551" s="1">
        <f>固定流程!A39</f>
        <v>34</v>
      </c>
      <c r="C1551" s="1">
        <f>45</f>
        <v>45</v>
      </c>
      <c r="D1551" s="1">
        <f>2</f>
        <v>2</v>
      </c>
      <c r="E1551" s="1">
        <f>固定流程!C39</f>
        <v>3</v>
      </c>
      <c r="F1551" s="1">
        <f>固定流程!G39</f>
        <v>2</v>
      </c>
      <c r="G1551" s="1" t="str">
        <f>固定流程!H39</f>
        <v>37_WEAK</v>
      </c>
      <c r="H1551" s="1">
        <f>固定流程!F39</f>
        <v>1</v>
      </c>
      <c r="I1551" s="1">
        <f>INDEX(配置与结果!$B$15:$B$18,F1551)</f>
        <v>2306</v>
      </c>
      <c r="J1551" s="1">
        <f>INDEX(配置与结果!$D$15:$D$18,F1551)</f>
        <v>0.46</v>
      </c>
      <c r="K1551" s="1">
        <f>INDEX(配置与结果!$E$15:$E$18,F1551)</f>
        <v>1.9279999999999999</v>
      </c>
      <c r="L1551" s="1">
        <f t="shared" si="2157"/>
        <v>2</v>
      </c>
      <c r="M1551" s="1">
        <f t="shared" si="2158"/>
        <v>10</v>
      </c>
      <c r="N1551" s="1">
        <f t="shared" si="2159"/>
        <v>2</v>
      </c>
      <c r="O1551" s="1">
        <f t="shared" si="2151"/>
        <v>8</v>
      </c>
      <c r="P1551" s="1">
        <f>MIN(方案参数!$AI$45,AZ1550+0+0)</f>
        <v>5</v>
      </c>
      <c r="Q1551" s="1">
        <f t="shared" si="2129"/>
        <v>5</v>
      </c>
      <c r="R1551" s="1">
        <f t="shared" si="2130"/>
        <v>20</v>
      </c>
      <c r="S1551" s="1">
        <f t="shared" si="2131"/>
        <v>3</v>
      </c>
      <c r="T1551" s="1">
        <f t="shared" si="2166"/>
        <v>0</v>
      </c>
      <c r="U1551" s="1">
        <f t="shared" si="2133"/>
        <v>0</v>
      </c>
      <c r="V1551" s="1">
        <f t="shared" si="2134"/>
        <v>4</v>
      </c>
      <c r="W1551" s="1">
        <f t="shared" si="2135"/>
        <v>1</v>
      </c>
      <c r="X1551" s="1">
        <f t="shared" si="2136"/>
        <v>1</v>
      </c>
      <c r="Y1551" s="1">
        <f t="shared" si="2137"/>
        <v>1</v>
      </c>
      <c r="Z1551" s="1">
        <f t="shared" si="2138"/>
        <v>1</v>
      </c>
      <c r="AA1551" s="1">
        <f t="shared" si="2162"/>
        <v>1</v>
      </c>
      <c r="AB1551" s="1">
        <f t="shared" si="2140"/>
        <v>1</v>
      </c>
      <c r="AC1551" s="1">
        <f t="shared" si="2167"/>
        <v>1</v>
      </c>
      <c r="AD1551" s="1">
        <f>ROUNDDOWN(I1551*(1+IF(F1551=3,0.05+方案参数!$Y$45+AA1551*0.12,IF(F1551=4,方案参数!$BZ$45*方案参数!$AS$45,0)))+IF(AND(X1551=1,F1551&lt;&gt;3),方案参数!$CC$45,0)+AC1551*方案参数!$CB$45,0)</f>
        <v>3044</v>
      </c>
      <c r="AE1551" s="1">
        <f>IF(OR(F1551=1,F1551=4),配置与结果!$B$24,配置与结果!$B$25)*MAX(0,1-INDEX(配置与结果!$I$15:$I$18,F1551))</f>
        <v>1000</v>
      </c>
      <c r="AF1551" s="1">
        <f>方案参数!$CE$45</f>
        <v>8</v>
      </c>
      <c r="AG1551" s="1">
        <f>MAX(配置与结果!$B$32,1+INDEX(配置与结果!$F$15:$F$18,F1551)+0+Q1551*方案参数!$W$45+Y1551*(方案参数!$AN$45+MIN(方案参数!$AO$45,P1551*0.03))+AB1551*方案参数!$BZ$45*0.025-配置与结果!$B$28+方案参数!$AE$45)</f>
        <v>2.2800000000000002</v>
      </c>
      <c r="AH1551" s="1">
        <f>MAX(0,1+V1551*方案参数!$U$45+方案参数!$AE$45-配置与结果!$B$29)</f>
        <v>1.56</v>
      </c>
      <c r="AI1551" s="1">
        <f>IF(OR(INDEX(配置与结果!$K$15:$K$18,F1551)=1,G1551="RHI_BERRY"),1+配置与结果!$B$33+P1551*方案参数!$AH$45,1)</f>
        <v>1</v>
      </c>
      <c r="AJ1551" s="1">
        <f>MIN(1,MAX(0,J1551+方案参数!$AB$45-配置与结果!$B$27))</f>
        <v>0.76</v>
      </c>
      <c r="AK1551" s="1">
        <f>MAX(1,K1551+IF(F1551=2,0.15+方案参数!$CH$45,0)+BN1551*方案参数!$X$45+R1551*方案参数!$AA$45+0-配置与结果!$B$26+Z1551*(方案参数!$AP$45+MIN(方案参数!$AQ$45,P1551*0.03)))</f>
        <v>2.3580000000000001</v>
      </c>
      <c r="AL1551" s="7">
        <f>ROUNDDOWN(MAX(AD1551*配置与结果!$B$31,AD1551-AE1551)*AF1551*AG1551*AH1551*AI1551,0)</f>
        <v>58160</v>
      </c>
      <c r="AM1551" s="7">
        <f>ROUNDDOWN(MAX(AD1551*配置与结果!$B$31,AD1551-AE1551)*AF1551*AG1551*AH1551*AI1551*AK1551,0)</f>
        <v>137143</v>
      </c>
      <c r="AN1551" s="7">
        <f t="shared" si="2174"/>
        <v>118187.08</v>
      </c>
      <c r="AO1551" s="7">
        <f>0</f>
        <v>0</v>
      </c>
      <c r="AP1551" s="7">
        <f>MAX(0,1+INDEX(配置与结果!$J$15:$J$18,F1551)+IF(T1551&gt;0,方案参数!$BY$45,0)-配置与结果!$B$30)</f>
        <v>1</v>
      </c>
      <c r="AQ1551" s="7">
        <f t="shared" si="2175"/>
        <v>0</v>
      </c>
      <c r="AR1551" s="7">
        <f t="shared" si="2176"/>
        <v>0</v>
      </c>
      <c r="AS1551" s="7">
        <f t="shared" si="2177"/>
        <v>0</v>
      </c>
      <c r="AT1551" s="7">
        <f>IF(U1551&gt;0,ROUNDDOWN(AL1551*方案参数!$AF$45,0)*(1-AJ1551)+ROUNDDOWN(AM1551*方案参数!$AF$45,0)*AJ1551,0)</f>
        <v>0</v>
      </c>
      <c r="AU1551" s="7">
        <f t="shared" si="2178"/>
        <v>118187.08</v>
      </c>
      <c r="AV1551" s="1">
        <f t="shared" si="2179"/>
        <v>2</v>
      </c>
      <c r="AW1551" s="1">
        <f t="shared" si="2172"/>
        <v>10</v>
      </c>
      <c r="AX1551" s="1">
        <f t="shared" si="2180"/>
        <v>2</v>
      </c>
      <c r="AY1551" s="1">
        <f>MIN(20,MAX(0,O1551+0+0-0))</f>
        <v>8</v>
      </c>
      <c r="AZ1551" s="1">
        <f t="shared" si="2181"/>
        <v>5</v>
      </c>
      <c r="BA1551" s="1">
        <f t="shared" si="2163"/>
        <v>5</v>
      </c>
      <c r="BB1551" s="1">
        <f t="shared" si="2171"/>
        <v>20</v>
      </c>
      <c r="BC1551" s="1">
        <f t="shared" si="2169"/>
        <v>3</v>
      </c>
      <c r="BD1551" s="1">
        <f t="shared" si="2150"/>
        <v>0</v>
      </c>
      <c r="BE1551" s="1">
        <f>MAX(0,U1551-IF(AF1551&gt;0,1,0))+1</f>
        <v>1</v>
      </c>
      <c r="BF1551" s="1">
        <f t="shared" si="2173"/>
        <v>4</v>
      </c>
      <c r="BG1551" s="1">
        <f t="shared" si="2160"/>
        <v>1</v>
      </c>
      <c r="BH1551" s="1">
        <f t="shared" si="2144"/>
        <v>1</v>
      </c>
      <c r="BI1551" s="1">
        <f t="shared" si="2161"/>
        <v>1</v>
      </c>
      <c r="BJ1551" s="1">
        <f t="shared" si="2164"/>
        <v>1</v>
      </c>
      <c r="BK1551" s="1">
        <f t="shared" si="2165"/>
        <v>1</v>
      </c>
      <c r="BL1551" s="1">
        <f t="shared" si="2170"/>
        <v>1</v>
      </c>
      <c r="BM1551" s="1">
        <f t="shared" si="2168"/>
        <v>1</v>
      </c>
      <c r="BN1551" s="1">
        <f t="shared" si="2145"/>
        <v>1</v>
      </c>
      <c r="BO1551" s="1">
        <f t="shared" si="2146"/>
        <v>1</v>
      </c>
    </row>
    <row r="1552" spans="1:67" ht="30.95" customHeight="1">
      <c r="A1552" s="1">
        <f>42</f>
        <v>42</v>
      </c>
      <c r="B1552" s="1">
        <f>固定流程!A40</f>
        <v>35</v>
      </c>
      <c r="C1552" s="1">
        <f>45</f>
        <v>45</v>
      </c>
      <c r="D1552" s="1">
        <f>2</f>
        <v>2</v>
      </c>
      <c r="E1552" s="1">
        <f>固定流程!C40</f>
        <v>3</v>
      </c>
      <c r="F1552" s="1">
        <f>固定流程!G40</f>
        <v>2</v>
      </c>
      <c r="G1552" s="1" t="str">
        <f>固定流程!H40</f>
        <v>37_WEAK</v>
      </c>
      <c r="H1552" s="1">
        <f>固定流程!F40</f>
        <v>1</v>
      </c>
      <c r="I1552" s="1">
        <f>INDEX(配置与结果!$B$15:$B$18,F1552)</f>
        <v>2306</v>
      </c>
      <c r="J1552" s="1">
        <f>INDEX(配置与结果!$D$15:$D$18,F1552)</f>
        <v>0.46</v>
      </c>
      <c r="K1552" s="1">
        <f>INDEX(配置与结果!$E$15:$E$18,F1552)</f>
        <v>1.9279999999999999</v>
      </c>
      <c r="L1552" s="1">
        <f t="shared" si="2157"/>
        <v>2</v>
      </c>
      <c r="M1552" s="1">
        <f t="shared" si="2158"/>
        <v>10</v>
      </c>
      <c r="N1552" s="1">
        <f t="shared" si="2159"/>
        <v>2</v>
      </c>
      <c r="O1552" s="1">
        <f t="shared" si="2151"/>
        <v>8</v>
      </c>
      <c r="P1552" s="1">
        <f>MIN(方案参数!$AI$45,AZ1551+0+0)</f>
        <v>5</v>
      </c>
      <c r="Q1552" s="1">
        <f t="shared" si="2129"/>
        <v>5</v>
      </c>
      <c r="R1552" s="1">
        <f t="shared" si="2130"/>
        <v>20</v>
      </c>
      <c r="S1552" s="1">
        <f t="shared" si="2131"/>
        <v>3</v>
      </c>
      <c r="T1552" s="1">
        <f t="shared" si="2166"/>
        <v>0</v>
      </c>
      <c r="U1552" s="1">
        <f t="shared" si="2133"/>
        <v>1</v>
      </c>
      <c r="V1552" s="1">
        <f t="shared" si="2134"/>
        <v>4</v>
      </c>
      <c r="W1552" s="1">
        <f t="shared" si="2135"/>
        <v>1</v>
      </c>
      <c r="X1552" s="1">
        <f t="shared" si="2136"/>
        <v>1</v>
      </c>
      <c r="Y1552" s="1">
        <f t="shared" si="2137"/>
        <v>1</v>
      </c>
      <c r="Z1552" s="1">
        <f t="shared" si="2138"/>
        <v>1</v>
      </c>
      <c r="AA1552" s="1">
        <f t="shared" si="2162"/>
        <v>1</v>
      </c>
      <c r="AB1552" s="1">
        <f t="shared" si="2140"/>
        <v>1</v>
      </c>
      <c r="AC1552" s="1">
        <f t="shared" si="2167"/>
        <v>1</v>
      </c>
      <c r="AD1552" s="1">
        <f>ROUNDDOWN(I1552*(1+IF(F1552=3,0.05+方案参数!$Y$45+AA1552*0.12,IF(F1552=4,方案参数!$BZ$45*方案参数!$AS$45,0)))+IF(AND(X1552=1,F1552&lt;&gt;3),方案参数!$CC$45,0)+AC1552*方案参数!$CB$45,0)</f>
        <v>3044</v>
      </c>
      <c r="AE1552" s="1">
        <f>IF(OR(F1552=1,F1552=4),配置与结果!$B$24,配置与结果!$B$25)*MAX(0,1-INDEX(配置与结果!$I$15:$I$18,F1552))</f>
        <v>1000</v>
      </c>
      <c r="AF1552" s="1">
        <f>方案参数!$CE$45</f>
        <v>8</v>
      </c>
      <c r="AG1552" s="1">
        <f>MAX(配置与结果!$B$32,1+INDEX(配置与结果!$F$15:$F$18,F1552)+0+Q1552*方案参数!$W$45+Y1552*(方案参数!$AN$45+MIN(方案参数!$AO$45,P1552*0.03))+AB1552*方案参数!$BZ$45*0.025-配置与结果!$B$28+方案参数!$AE$45)</f>
        <v>2.2800000000000002</v>
      </c>
      <c r="AH1552" s="1">
        <f>MAX(0,1+V1552*方案参数!$U$45+方案参数!$AE$45-配置与结果!$B$29)</f>
        <v>1.56</v>
      </c>
      <c r="AI1552" s="1">
        <f>IF(OR(INDEX(配置与结果!$K$15:$K$18,F1552)=1,G1552="RHI_BERRY"),1+配置与结果!$B$33+P1552*方案参数!$AH$45,1)</f>
        <v>1</v>
      </c>
      <c r="AJ1552" s="1">
        <f>MIN(1,MAX(0,J1552+方案参数!$AB$45-配置与结果!$B$27))</f>
        <v>0.76</v>
      </c>
      <c r="AK1552" s="1">
        <f>MAX(1,K1552+IF(F1552=2,0.15+方案参数!$CH$45,0)+BN1552*方案参数!$X$45+R1552*方案参数!$AA$45+0-配置与结果!$B$26+Z1552*(方案参数!$AP$45+MIN(方案参数!$AQ$45,P1552*0.03)))</f>
        <v>2.3580000000000001</v>
      </c>
      <c r="AL1552" s="7">
        <f>ROUNDDOWN(MAX(AD1552*配置与结果!$B$31,AD1552-AE1552)*AF1552*AG1552*AH1552*AI1552,0)</f>
        <v>58160</v>
      </c>
      <c r="AM1552" s="7">
        <f>ROUNDDOWN(MAX(AD1552*配置与结果!$B$31,AD1552-AE1552)*AF1552*AG1552*AH1552*AI1552*AK1552,0)</f>
        <v>137143</v>
      </c>
      <c r="AN1552" s="7">
        <f t="shared" si="2174"/>
        <v>118187.08</v>
      </c>
      <c r="AO1552" s="7">
        <f>0</f>
        <v>0</v>
      </c>
      <c r="AP1552" s="7">
        <f>MAX(0,1+INDEX(配置与结果!$J$15:$J$18,F1552)+IF(T1552&gt;0,方案参数!$BY$45,0)-配置与结果!$B$30)</f>
        <v>1</v>
      </c>
      <c r="AQ1552" s="7">
        <f t="shared" si="2175"/>
        <v>0</v>
      </c>
      <c r="AR1552" s="7">
        <f t="shared" si="2176"/>
        <v>0</v>
      </c>
      <c r="AS1552" s="7">
        <f t="shared" si="2177"/>
        <v>0</v>
      </c>
      <c r="AT1552" s="7">
        <f>IF(U1552&gt;0,ROUNDDOWN(AL1552*方案参数!$AF$45,0)*(1-AJ1552)+ROUNDDOWN(AM1552*方案参数!$AF$45,0)*AJ1552,0)</f>
        <v>47274.68</v>
      </c>
      <c r="AU1552" s="7">
        <f t="shared" si="2178"/>
        <v>165461.76000000001</v>
      </c>
      <c r="AV1552" s="1">
        <f t="shared" si="2179"/>
        <v>2</v>
      </c>
      <c r="AW1552" s="1">
        <f t="shared" si="2172"/>
        <v>10</v>
      </c>
      <c r="AX1552" s="1">
        <f t="shared" si="2180"/>
        <v>2</v>
      </c>
      <c r="AY1552" s="1">
        <f>MIN(20,MAX(0,O1552+0+0-0))</f>
        <v>8</v>
      </c>
      <c r="AZ1552" s="1">
        <f t="shared" si="2181"/>
        <v>5</v>
      </c>
      <c r="BA1552" s="1">
        <f t="shared" si="2163"/>
        <v>5</v>
      </c>
      <c r="BB1552" s="1">
        <f t="shared" si="2171"/>
        <v>20</v>
      </c>
      <c r="BC1552" s="1">
        <f t="shared" si="2169"/>
        <v>3</v>
      </c>
      <c r="BD1552" s="1">
        <f t="shared" si="2150"/>
        <v>0</v>
      </c>
      <c r="BE1552" s="1">
        <f>MAX(0,U1552-IF(AF1552&gt;0,1,0))+1</f>
        <v>1</v>
      </c>
      <c r="BF1552" s="1">
        <f t="shared" si="2173"/>
        <v>4</v>
      </c>
      <c r="BG1552" s="1">
        <f t="shared" si="2160"/>
        <v>1</v>
      </c>
      <c r="BH1552" s="1">
        <f t="shared" si="2144"/>
        <v>1</v>
      </c>
      <c r="BI1552" s="1">
        <f t="shared" si="2161"/>
        <v>1</v>
      </c>
      <c r="BJ1552" s="1">
        <f t="shared" si="2164"/>
        <v>1</v>
      </c>
      <c r="BK1552" s="1">
        <f t="shared" si="2165"/>
        <v>1</v>
      </c>
      <c r="BL1552" s="1">
        <f t="shared" si="2170"/>
        <v>1</v>
      </c>
      <c r="BM1552" s="1">
        <f t="shared" si="2168"/>
        <v>1</v>
      </c>
      <c r="BN1552" s="1">
        <f t="shared" si="2145"/>
        <v>1</v>
      </c>
      <c r="BO1552" s="1">
        <f t="shared" si="2146"/>
        <v>1</v>
      </c>
    </row>
    <row r="1553" spans="1:67" ht="30.95" customHeight="1">
      <c r="A1553" s="1">
        <f>42</f>
        <v>42</v>
      </c>
      <c r="B1553" s="1">
        <f>固定流程!A41</f>
        <v>36</v>
      </c>
      <c r="C1553" s="1">
        <f>45</f>
        <v>45</v>
      </c>
      <c r="D1553" s="1">
        <f>2</f>
        <v>2</v>
      </c>
      <c r="E1553" s="1">
        <f>固定流程!C41</f>
        <v>3</v>
      </c>
      <c r="F1553" s="1">
        <f>固定流程!G41</f>
        <v>1</v>
      </c>
      <c r="G1553" s="1" t="str">
        <f>固定流程!H41</f>
        <v>LILYA_FINISH</v>
      </c>
      <c r="H1553" s="1">
        <f>固定流程!F41</f>
        <v>1</v>
      </c>
      <c r="I1553" s="1">
        <f>INDEX(配置与结果!$B$15:$B$18,F1553)</f>
        <v>2296</v>
      </c>
      <c r="J1553" s="1">
        <f>INDEX(配置与结果!$D$15:$D$18,F1553)</f>
        <v>0.7</v>
      </c>
      <c r="K1553" s="1">
        <f>INDEX(配置与结果!$E$15:$E$18,F1553)</f>
        <v>2.0249999999999999</v>
      </c>
      <c r="L1553" s="1">
        <f t="shared" si="2157"/>
        <v>2</v>
      </c>
      <c r="M1553" s="1">
        <f t="shared" si="2158"/>
        <v>10</v>
      </c>
      <c r="N1553" s="1">
        <f t="shared" si="2159"/>
        <v>2</v>
      </c>
      <c r="O1553" s="1">
        <f t="shared" si="2151"/>
        <v>8</v>
      </c>
      <c r="P1553" s="1">
        <f>MIN(方案参数!$AI$45,AZ1552+0+0)</f>
        <v>5</v>
      </c>
      <c r="Q1553" s="1">
        <f t="shared" si="2129"/>
        <v>5</v>
      </c>
      <c r="R1553" s="1">
        <f t="shared" si="2130"/>
        <v>20</v>
      </c>
      <c r="S1553" s="1">
        <f t="shared" si="2131"/>
        <v>3</v>
      </c>
      <c r="T1553" s="1">
        <f t="shared" si="2166"/>
        <v>0</v>
      </c>
      <c r="U1553" s="1">
        <f t="shared" si="2133"/>
        <v>1</v>
      </c>
      <c r="V1553" s="1">
        <f t="shared" si="2134"/>
        <v>4</v>
      </c>
      <c r="W1553" s="1">
        <f t="shared" si="2135"/>
        <v>1</v>
      </c>
      <c r="X1553" s="1">
        <f t="shared" si="2136"/>
        <v>1</v>
      </c>
      <c r="Y1553" s="1">
        <f t="shared" si="2137"/>
        <v>1</v>
      </c>
      <c r="Z1553" s="1">
        <f t="shared" si="2138"/>
        <v>1</v>
      </c>
      <c r="AA1553" s="1">
        <f t="shared" si="2162"/>
        <v>1</v>
      </c>
      <c r="AB1553" s="1">
        <f t="shared" si="2140"/>
        <v>1</v>
      </c>
      <c r="AC1553" s="1">
        <f t="shared" si="2167"/>
        <v>1</v>
      </c>
      <c r="AD1553" s="1">
        <f>ROUNDDOWN(I1553*(1+IF(F1553=3,0.05+方案参数!$Y$45+AA1553*0.12,IF(F1553=4,方案参数!$BZ$45*方案参数!$AS$45,0)))+IF(AND(X1553=1,F1553&lt;&gt;3),方案参数!$CC$45,0)+AC1553*方案参数!$CB$45,0)</f>
        <v>3034</v>
      </c>
      <c r="AE1553" s="1">
        <f>IF(OR(F1553=1,F1553=4),配置与结果!$B$24,配置与结果!$B$25)*MAX(0,1-INDEX(配置与结果!$I$15:$I$18,F1553))</f>
        <v>1200</v>
      </c>
      <c r="AF1553" s="1">
        <f>方案参数!$BN$45+12*方案参数!$BO$45</f>
        <v>48</v>
      </c>
      <c r="AG1553" s="1">
        <f>MAX(配置与结果!$B$32,1+INDEX(配置与结果!$F$15:$F$18,F1553)+0.08+方案参数!$CD$45+Q1553*方案参数!$W$45+Y1553*(方案参数!$AN$45+MIN(方案参数!$AO$45,P1553*0.03))+AB1553*方案参数!$BZ$45*0.025-配置与结果!$B$28+方案参数!$AE$45)</f>
        <v>2.6150000000000002</v>
      </c>
      <c r="AH1553" s="1">
        <f>MAX(0,1+V1553*方案参数!$U$45+12*方案参数!$V$45+方案参数!$AE$45-配置与结果!$B$29)</f>
        <v>2.2799999999999998</v>
      </c>
      <c r="AI1553" s="1">
        <f>IF(OR(INDEX(配置与结果!$K$15:$K$18,F1553)=1,G1553="RHI_BERRY"),1+配置与结果!$B$33+P1553*方案参数!$AH$45,1)</f>
        <v>1</v>
      </c>
      <c r="AJ1553" s="1">
        <f>MIN(1,MAX(0,J1553+方案参数!$AB$45-配置与结果!$B$27))</f>
        <v>1</v>
      </c>
      <c r="AK1553" s="1">
        <f>MAX(1,K1553+IF(F1553=2,0.15+方案参数!$CH$45,0)+BN1553*方案参数!$X$45+R1553*方案参数!$AA$45+方案参数!$BR$45-配置与结果!$B$26+Z1553*(方案参数!$AP$45+MIN(方案参数!$AQ$45,P1553*0.03)))</f>
        <v>3.1850000000000001</v>
      </c>
      <c r="AL1553" s="7">
        <f>ROUNDDOWN(MAX(AD1553*配置与结果!$B$31,AD1553-AE1553)*AF1553*AG1553*AH1553*AI1553,0)</f>
        <v>524864</v>
      </c>
      <c r="AM1553" s="7">
        <f>ROUNDDOWN(MAX(AD1553*配置与结果!$B$31,AD1553-AE1553)*AF1553*AG1553*AH1553*AI1553*AK1553,0)</f>
        <v>1671693</v>
      </c>
      <c r="AN1553" s="7">
        <f t="shared" si="2174"/>
        <v>1671693</v>
      </c>
      <c r="AO1553" s="7">
        <f>0</f>
        <v>0</v>
      </c>
      <c r="AP1553" s="7">
        <f>MAX(0,1+INDEX(配置与结果!$J$15:$J$18,F1553)+IF(T1553&gt;0,方案参数!$BY$45,0)-配置与结果!$B$30)</f>
        <v>1</v>
      </c>
      <c r="AQ1553" s="7">
        <f t="shared" si="2175"/>
        <v>0</v>
      </c>
      <c r="AR1553" s="7">
        <f t="shared" si="2176"/>
        <v>0</v>
      </c>
      <c r="AS1553" s="7">
        <f t="shared" si="2177"/>
        <v>0</v>
      </c>
      <c r="AT1553" s="7">
        <f>IF(U1553&gt;0,ROUNDDOWN(AL1553*方案参数!$AF$45,0)*(1-AJ1553)+ROUNDDOWN(AM1553*方案参数!$AF$45,0)*AJ1553,0)</f>
        <v>668677</v>
      </c>
      <c r="AU1553" s="7">
        <f t="shared" si="2178"/>
        <v>2340370</v>
      </c>
      <c r="AV1553" s="1">
        <f t="shared" si="2179"/>
        <v>2</v>
      </c>
      <c r="AW1553" s="1">
        <f t="shared" si="2172"/>
        <v>10</v>
      </c>
      <c r="AX1553" s="1">
        <f t="shared" si="2180"/>
        <v>2</v>
      </c>
      <c r="AY1553" s="1">
        <f>MIN(20,MAX(0,O1553+0+1-0))</f>
        <v>9</v>
      </c>
      <c r="AZ1553" s="1">
        <f t="shared" si="2181"/>
        <v>5</v>
      </c>
      <c r="BA1553" s="1">
        <f t="shared" si="2163"/>
        <v>5</v>
      </c>
      <c r="BB1553" s="1">
        <f t="shared" si="2171"/>
        <v>20</v>
      </c>
      <c r="BC1553" s="1">
        <f t="shared" si="2169"/>
        <v>3</v>
      </c>
      <c r="BD1553" s="1">
        <f t="shared" si="2150"/>
        <v>0</v>
      </c>
      <c r="BE1553" s="1">
        <f>MAX(0,U1553-IF(AF1553&gt;0,1,0))+0</f>
        <v>0</v>
      </c>
      <c r="BF1553" s="1">
        <f t="shared" si="2173"/>
        <v>4</v>
      </c>
      <c r="BG1553" s="1">
        <f t="shared" si="2160"/>
        <v>1</v>
      </c>
      <c r="BH1553" s="1">
        <f t="shared" si="2144"/>
        <v>1</v>
      </c>
      <c r="BI1553" s="1">
        <f t="shared" si="2161"/>
        <v>1</v>
      </c>
      <c r="BJ1553" s="1">
        <f t="shared" si="2164"/>
        <v>1</v>
      </c>
      <c r="BK1553" s="1">
        <f t="shared" si="2165"/>
        <v>1</v>
      </c>
      <c r="BL1553" s="1">
        <f t="shared" si="2170"/>
        <v>1</v>
      </c>
      <c r="BM1553" s="1">
        <f t="shared" si="2168"/>
        <v>1</v>
      </c>
      <c r="BN1553" s="1">
        <f t="shared" si="2145"/>
        <v>1</v>
      </c>
      <c r="BO1553" s="1">
        <f t="shared" si="2146"/>
        <v>1</v>
      </c>
    </row>
    <row r="1554" spans="1:67" ht="30.95" customHeight="1">
      <c r="A1554" s="1">
        <f>43</f>
        <v>43</v>
      </c>
      <c r="B1554" s="1">
        <f>固定流程!A6</f>
        <v>1</v>
      </c>
      <c r="C1554" s="1">
        <f>46</f>
        <v>46</v>
      </c>
      <c r="D1554" s="1">
        <f>1</f>
        <v>1</v>
      </c>
      <c r="E1554" s="1">
        <f>固定流程!C6</f>
        <v>1</v>
      </c>
      <c r="F1554" s="1">
        <f>固定流程!G6</f>
        <v>3</v>
      </c>
      <c r="G1554" s="1" t="str">
        <f>固定流程!H6</f>
        <v>RHI_ULT</v>
      </c>
      <c r="H1554" s="1">
        <f>固定流程!F6</f>
        <v>1</v>
      </c>
      <c r="I1554" s="1">
        <f>INDEX(配置与结果!$B$15:$B$18,F1554)</f>
        <v>2597</v>
      </c>
      <c r="J1554" s="1">
        <f>INDEX(配置与结果!$D$15:$D$18,F1554)</f>
        <v>0.255</v>
      </c>
      <c r="K1554" s="1">
        <f>INDEX(配置与结果!$E$15:$E$18,F1554)</f>
        <v>1.55</v>
      </c>
      <c r="L1554" s="1">
        <f>0</f>
        <v>0</v>
      </c>
      <c r="M1554" s="1">
        <f>0</f>
        <v>0</v>
      </c>
      <c r="N1554" s="1">
        <f>0</f>
        <v>0</v>
      </c>
      <c r="O1554" s="1">
        <f>0</f>
        <v>0</v>
      </c>
      <c r="P1554" s="1">
        <f>MIN(方案参数!$AI$46,0+方案参数!$AJ$46+0)</f>
        <v>1</v>
      </c>
      <c r="Q1554" s="1">
        <f>0</f>
        <v>0</v>
      </c>
      <c r="R1554" s="1">
        <f>0</f>
        <v>0</v>
      </c>
      <c r="S1554" s="1">
        <f>0</f>
        <v>0</v>
      </c>
      <c r="T1554" s="1">
        <f>0+0</f>
        <v>0</v>
      </c>
      <c r="U1554" s="1">
        <f>0</f>
        <v>0</v>
      </c>
      <c r="V1554" s="1">
        <f>0</f>
        <v>0</v>
      </c>
      <c r="W1554" s="1">
        <f>0</f>
        <v>0</v>
      </c>
      <c r="X1554" s="1">
        <f>0</f>
        <v>0</v>
      </c>
      <c r="Y1554" s="1">
        <f>0</f>
        <v>0</v>
      </c>
      <c r="Z1554" s="1">
        <f>0</f>
        <v>0</v>
      </c>
      <c r="AA1554" s="1">
        <f>MAX(0,0)</f>
        <v>0</v>
      </c>
      <c r="AB1554" s="1">
        <f>0</f>
        <v>0</v>
      </c>
      <c r="AC1554" s="1">
        <f>MAX(0,0)</f>
        <v>0</v>
      </c>
      <c r="AD1554" s="1">
        <f>ROUNDDOWN(I1554*(1+IF(F1554=3,0.05+方案参数!$Y$46+AA1554*0.12,IF(F1554=4,方案参数!$BZ$46*方案参数!$AS$46,0)))+IF(AND(X1554=1,F1554&lt;&gt;3),方案参数!$CC$46,0)+AC1554*方案参数!$CB$46,0)</f>
        <v>2986</v>
      </c>
      <c r="AE1554" s="1">
        <f>IF(OR(F1554=1,F1554=4),配置与结果!$B$24,配置与结果!$B$25)*MAX(0,1-INDEX(配置与结果!$I$15:$I$18,F1554))</f>
        <v>1000</v>
      </c>
      <c r="AF1554" s="1">
        <f>0</f>
        <v>0</v>
      </c>
      <c r="AG1554" s="1">
        <f>MAX(配置与结果!$B$32,1+INDEX(配置与结果!$F$15:$F$18,F1554)+0+Q1554*方案参数!$W$46+Y1554*(方案参数!$AN$46+MIN(方案参数!$AO$46,P1554*0.03))+AB1554*方案参数!$BZ$46*0.025-配置与结果!$B$28)</f>
        <v>0.6349999999999999</v>
      </c>
      <c r="AH1554" s="1">
        <f>MAX(0,1+INDEX(配置与结果!$G$15:$G$18,F1554)+W1554*方案参数!$AG$46)</f>
        <v>1</v>
      </c>
      <c r="AI1554" s="1">
        <f>IF(OR(INDEX(配置与结果!$K$15:$K$18,F1554)=1,G1554="RHI_BERRY"),1+配置与结果!$B$33+P1554*方案参数!$AH$46,1)</f>
        <v>1</v>
      </c>
      <c r="AJ1554" s="1">
        <f>MIN(1,MAX(0,J1554+方案参数!$AB$46-配置与结果!$B$27))</f>
        <v>0.55499999999999994</v>
      </c>
      <c r="AK1554" s="1">
        <f>MAX(1,K1554+IF(F1554=2,0.15+方案参数!$CH$46,0)+BN1554*方案参数!$X$46+R1554*方案参数!$AA$46+0-配置与结果!$B$26+Z1554*(方案参数!$AP$46+MIN(方案参数!$AQ$46,P1554*0.03)))</f>
        <v>1.1499999999999999</v>
      </c>
      <c r="AL1554" s="7">
        <f>ROUNDDOWN(MAX(AD1554*配置与结果!$B$31,AD1554-AE1554)*AF1554*AG1554*AH1554*AI1554,0)</f>
        <v>0</v>
      </c>
      <c r="AM1554" s="7">
        <f>ROUNDDOWN(MAX(AD1554*配置与结果!$B$31,AD1554-AE1554)*AF1554*AG1554*AH1554*AI1554*AK1554,0)</f>
        <v>0</v>
      </c>
      <c r="AN1554" s="7">
        <f t="shared" si="2174"/>
        <v>0</v>
      </c>
      <c r="AO1554" s="7">
        <f>0</f>
        <v>0</v>
      </c>
      <c r="AP1554" s="7">
        <f>MAX(0,1+INDEX(配置与结果!$J$15:$J$18,F1554)+IF(T1554&gt;0,方案参数!$BY$46,0)-配置与结果!$B$30)</f>
        <v>1</v>
      </c>
      <c r="AQ1554" s="7">
        <f t="shared" si="2175"/>
        <v>0</v>
      </c>
      <c r="AR1554" s="7">
        <f t="shared" si="2176"/>
        <v>0</v>
      </c>
      <c r="AS1554" s="7">
        <f t="shared" si="2177"/>
        <v>0</v>
      </c>
      <c r="AT1554" s="7">
        <f>0</f>
        <v>0</v>
      </c>
      <c r="AU1554" s="7">
        <f t="shared" si="2178"/>
        <v>0</v>
      </c>
      <c r="AV1554" s="1">
        <f t="shared" si="2179"/>
        <v>0</v>
      </c>
      <c r="AW1554" s="1">
        <f t="shared" si="2172"/>
        <v>0</v>
      </c>
      <c r="AX1554" s="1">
        <f t="shared" si="2180"/>
        <v>0</v>
      </c>
      <c r="AY1554" s="1">
        <f>MIN(20,MAX(0,O1554+0+0-0))</f>
        <v>0</v>
      </c>
      <c r="AZ1554" s="1">
        <f t="shared" si="2181"/>
        <v>1</v>
      </c>
      <c r="BA1554" s="1">
        <f>MIN(6,Q1554+1)</f>
        <v>1</v>
      </c>
      <c r="BB1554" s="1">
        <f>MIN(30,R1554+5)</f>
        <v>5</v>
      </c>
      <c r="BC1554" s="1">
        <f t="shared" si="2169"/>
        <v>0</v>
      </c>
      <c r="BD1554" s="1">
        <f t="shared" si="2150"/>
        <v>0</v>
      </c>
      <c r="BE1554" s="1">
        <f>0</f>
        <v>0</v>
      </c>
      <c r="BF1554" s="1">
        <f t="shared" si="2173"/>
        <v>0</v>
      </c>
      <c r="BG1554" s="1">
        <f t="shared" si="2160"/>
        <v>0</v>
      </c>
      <c r="BH1554" s="1">
        <f>MAX(X1554,1)</f>
        <v>1</v>
      </c>
      <c r="BI1554" s="1">
        <f t="shared" si="2161"/>
        <v>0</v>
      </c>
      <c r="BJ1554" s="1">
        <f t="shared" si="2164"/>
        <v>0</v>
      </c>
      <c r="BK1554" s="1">
        <f t="shared" si="2165"/>
        <v>0</v>
      </c>
      <c r="BL1554" s="1">
        <f t="shared" si="2170"/>
        <v>0</v>
      </c>
      <c r="BM1554" s="1">
        <f t="shared" si="2168"/>
        <v>0</v>
      </c>
      <c r="BN1554" s="1">
        <f>0</f>
        <v>0</v>
      </c>
      <c r="BO1554" s="1">
        <f>MAX(BN1554,1)</f>
        <v>1</v>
      </c>
    </row>
    <row r="1555" spans="1:67" ht="30.95" customHeight="1">
      <c r="A1555" s="1">
        <f>43</f>
        <v>43</v>
      </c>
      <c r="B1555" s="1">
        <f>固定流程!A7</f>
        <v>2</v>
      </c>
      <c r="C1555" s="1">
        <f>46</f>
        <v>46</v>
      </c>
      <c r="D1555" s="1">
        <f>1</f>
        <v>1</v>
      </c>
      <c r="E1555" s="1">
        <f>固定流程!C7</f>
        <v>1</v>
      </c>
      <c r="F1555" s="1">
        <f>固定流程!G7</f>
        <v>3</v>
      </c>
      <c r="G1555" s="1" t="str">
        <f>固定流程!H7</f>
        <v>RHI_BUFF</v>
      </c>
      <c r="H1555" s="1">
        <f>固定流程!F7</f>
        <v>1</v>
      </c>
      <c r="I1555" s="1">
        <f>INDEX(配置与结果!$B$15:$B$18,F1555)</f>
        <v>2597</v>
      </c>
      <c r="J1555" s="1">
        <f>INDEX(配置与结果!$D$15:$D$18,F1555)</f>
        <v>0.255</v>
      </c>
      <c r="K1555" s="1">
        <f>INDEX(配置与结果!$E$15:$E$18,F1555)</f>
        <v>1.55</v>
      </c>
      <c r="L1555" s="1">
        <f t="shared" ref="L1555:O1560" si="2182">AV1554</f>
        <v>0</v>
      </c>
      <c r="M1555" s="1">
        <f t="shared" si="2182"/>
        <v>0</v>
      </c>
      <c r="N1555" s="1">
        <f t="shared" si="2182"/>
        <v>0</v>
      </c>
      <c r="O1555" s="1">
        <f t="shared" si="2182"/>
        <v>0</v>
      </c>
      <c r="P1555" s="1">
        <f>MIN(方案参数!$AI$46,AZ1554+0+方案参数!$AK$46)</f>
        <v>3</v>
      </c>
      <c r="Q1555" s="1">
        <f t="shared" ref="Q1555:Q1589" si="2183">BA1554</f>
        <v>1</v>
      </c>
      <c r="R1555" s="1">
        <f t="shared" ref="R1555:R1589" si="2184">BB1554</f>
        <v>5</v>
      </c>
      <c r="S1555" s="1">
        <f t="shared" ref="S1555:S1589" si="2185">BC1554</f>
        <v>0</v>
      </c>
      <c r="T1555" s="1">
        <f t="shared" ref="T1555:T1568" si="2186">BD1554+0</f>
        <v>0</v>
      </c>
      <c r="U1555" s="1">
        <f t="shared" ref="U1555:U1589" si="2187">BE1554</f>
        <v>0</v>
      </c>
      <c r="V1555" s="1">
        <f t="shared" ref="V1555:V1589" si="2188">BF1554</f>
        <v>0</v>
      </c>
      <c r="W1555" s="1">
        <f t="shared" ref="W1555:W1589" si="2189">BG1554</f>
        <v>0</v>
      </c>
      <c r="X1555" s="1">
        <f t="shared" ref="X1555:X1589" si="2190">BH1554</f>
        <v>1</v>
      </c>
      <c r="Y1555" s="1">
        <f t="shared" ref="Y1555:Y1589" si="2191">BI1554</f>
        <v>0</v>
      </c>
      <c r="Z1555" s="1">
        <f t="shared" ref="Z1555:Z1589" si="2192">BJ1554</f>
        <v>0</v>
      </c>
      <c r="AA1555" s="1">
        <f t="shared" ref="AA1555:AA1560" si="2193">MAX(BK1554,0)</f>
        <v>0</v>
      </c>
      <c r="AB1555" s="1">
        <f t="shared" ref="AB1555:AB1589" si="2194">BL1554</f>
        <v>0</v>
      </c>
      <c r="AC1555" s="1">
        <f t="shared" ref="AC1555:AC1568" si="2195">MAX(BM1554,0)</f>
        <v>0</v>
      </c>
      <c r="AD1555" s="1">
        <f>ROUNDDOWN(I1555*(1+IF(F1555=3,0.05+方案参数!$Y$46+AA1555*0.12,IF(F1555=4,方案参数!$BZ$46*方案参数!$AS$46,0)))+IF(AND(X1555=1,F1555&lt;&gt;3),方案参数!$CC$46,0)+AC1555*方案参数!$CB$46,0)</f>
        <v>2986</v>
      </c>
      <c r="AE1555" s="1">
        <f>IF(OR(F1555=1,F1555=4),配置与结果!$B$24,配置与结果!$B$25)*MAX(0,1-INDEX(配置与结果!$I$15:$I$18,F1555))</f>
        <v>1000</v>
      </c>
      <c r="AF1555" s="1">
        <f>0</f>
        <v>0</v>
      </c>
      <c r="AG1555" s="1">
        <f>MAX(配置与结果!$B$32,1+INDEX(配置与结果!$F$15:$F$18,F1555)+0+Q1555*方案参数!$W$46+Y1555*(方案参数!$AN$46+MIN(方案参数!$AO$46,P1555*0.03))+AB1555*方案参数!$BZ$46*0.025-配置与结果!$B$28)</f>
        <v>0.65499999999999992</v>
      </c>
      <c r="AH1555" s="1">
        <f>MAX(0,1+INDEX(配置与结果!$G$15:$G$18,F1555)+W1555*方案参数!$AG$46)</f>
        <v>1</v>
      </c>
      <c r="AI1555" s="1">
        <f>IF(OR(INDEX(配置与结果!$K$15:$K$18,F1555)=1,G1555="RHI_BERRY"),1+配置与结果!$B$33+P1555*方案参数!$AH$46,1)</f>
        <v>1</v>
      </c>
      <c r="AJ1555" s="1">
        <f>MIN(1,MAX(0,J1555+方案参数!$AB$46-配置与结果!$B$27))</f>
        <v>0.55499999999999994</v>
      </c>
      <c r="AK1555" s="1">
        <f>MAX(1,K1555+IF(F1555=2,0.15+方案参数!$CH$46,0)+BN1555*方案参数!$X$46+R1555*方案参数!$AA$46+0-配置与结果!$B$26+Z1555*(方案参数!$AP$46+MIN(方案参数!$AQ$46,P1555*0.03)))</f>
        <v>1.3399999999999999</v>
      </c>
      <c r="AL1555" s="7">
        <f>ROUNDDOWN(MAX(AD1555*配置与结果!$B$31,AD1555-AE1555)*AF1555*AG1555*AH1555*AI1555,0)</f>
        <v>0</v>
      </c>
      <c r="AM1555" s="7">
        <f>ROUNDDOWN(MAX(AD1555*配置与结果!$B$31,AD1555-AE1555)*AF1555*AG1555*AH1555*AI1555*AK1555,0)</f>
        <v>0</v>
      </c>
      <c r="AN1555" s="7">
        <f t="shared" si="2174"/>
        <v>0</v>
      </c>
      <c r="AO1555" s="7">
        <f>0</f>
        <v>0</v>
      </c>
      <c r="AP1555" s="7">
        <f>MAX(0,1+INDEX(配置与结果!$J$15:$J$18,F1555)+IF(T1555&gt;0,方案参数!$BY$46,0)-配置与结果!$B$30)</f>
        <v>1</v>
      </c>
      <c r="AQ1555" s="7">
        <f t="shared" si="2175"/>
        <v>0</v>
      </c>
      <c r="AR1555" s="7">
        <f t="shared" si="2176"/>
        <v>0</v>
      </c>
      <c r="AS1555" s="7">
        <f t="shared" si="2177"/>
        <v>0</v>
      </c>
      <c r="AT1555" s="7">
        <f>0</f>
        <v>0</v>
      </c>
      <c r="AU1555" s="7">
        <f t="shared" si="2178"/>
        <v>0</v>
      </c>
      <c r="AV1555" s="1">
        <f t="shared" si="2179"/>
        <v>0</v>
      </c>
      <c r="AW1555" s="1">
        <f t="shared" si="2172"/>
        <v>0</v>
      </c>
      <c r="AX1555" s="1">
        <f t="shared" si="2180"/>
        <v>0</v>
      </c>
      <c r="AY1555" s="1">
        <f>MIN(20,MAX(0,O1555+0+0-0))</f>
        <v>0</v>
      </c>
      <c r="AZ1555" s="1">
        <f t="shared" si="2181"/>
        <v>3</v>
      </c>
      <c r="BA1555" s="1">
        <f>MIN(6,Q1555+1)</f>
        <v>2</v>
      </c>
      <c r="BB1555" s="1">
        <f t="shared" ref="BB1555:BB1568" si="2196">MIN(30,R1555+0)</f>
        <v>5</v>
      </c>
      <c r="BC1555" s="1">
        <f t="shared" si="2169"/>
        <v>0</v>
      </c>
      <c r="BD1555" s="1">
        <f t="shared" si="2150"/>
        <v>0</v>
      </c>
      <c r="BE1555" s="1">
        <f t="shared" ref="BE1555:BE1576" si="2197">BE1554</f>
        <v>0</v>
      </c>
      <c r="BF1555" s="1">
        <f t="shared" si="2173"/>
        <v>0</v>
      </c>
      <c r="BG1555" s="1">
        <f>MAX(W1555,1)</f>
        <v>1</v>
      </c>
      <c r="BH1555" s="1">
        <f t="shared" ref="BH1555:BH1589" si="2198">MAX(X1555,0)</f>
        <v>1</v>
      </c>
      <c r="BI1555" s="1">
        <f>MAX(Y1555,1)</f>
        <v>1</v>
      </c>
      <c r="BJ1555" s="1">
        <f t="shared" si="2164"/>
        <v>0</v>
      </c>
      <c r="BK1555" s="1">
        <f t="shared" si="2165"/>
        <v>0</v>
      </c>
      <c r="BL1555" s="1">
        <f t="shared" si="2170"/>
        <v>0</v>
      </c>
      <c r="BM1555" s="1">
        <f t="shared" si="2168"/>
        <v>0</v>
      </c>
      <c r="BN1555" s="1">
        <f t="shared" ref="BN1555:BN1589" si="2199">BO1554</f>
        <v>1</v>
      </c>
      <c r="BO1555" s="1">
        <f t="shared" ref="BO1555:BO1589" si="2200">MAX(BN1555,0)</f>
        <v>1</v>
      </c>
    </row>
    <row r="1556" spans="1:67" ht="30.95" customHeight="1">
      <c r="A1556" s="1">
        <f>43</f>
        <v>43</v>
      </c>
      <c r="B1556" s="1">
        <f>固定流程!A8</f>
        <v>3</v>
      </c>
      <c r="C1556" s="1">
        <f>46</f>
        <v>46</v>
      </c>
      <c r="D1556" s="1">
        <f>1</f>
        <v>1</v>
      </c>
      <c r="E1556" s="1">
        <f>固定流程!C8</f>
        <v>1</v>
      </c>
      <c r="F1556" s="1">
        <f>固定流程!G8</f>
        <v>1</v>
      </c>
      <c r="G1556" s="1" t="str">
        <f>固定流程!H8</f>
        <v>LILYA_COBRA</v>
      </c>
      <c r="H1556" s="1">
        <f>固定流程!F8</f>
        <v>1</v>
      </c>
      <c r="I1556" s="1">
        <f>INDEX(配置与结果!$B$15:$B$18,F1556)</f>
        <v>2296</v>
      </c>
      <c r="J1556" s="1">
        <f>INDEX(配置与结果!$D$15:$D$18,F1556)</f>
        <v>0.7</v>
      </c>
      <c r="K1556" s="1">
        <f>INDEX(配置与结果!$E$15:$E$18,F1556)</f>
        <v>2.0249999999999999</v>
      </c>
      <c r="L1556" s="1">
        <f t="shared" si="2182"/>
        <v>0</v>
      </c>
      <c r="M1556" s="1">
        <f t="shared" si="2182"/>
        <v>0</v>
      </c>
      <c r="N1556" s="1">
        <f t="shared" si="2182"/>
        <v>0</v>
      </c>
      <c r="O1556" s="1">
        <f t="shared" si="2182"/>
        <v>0</v>
      </c>
      <c r="P1556" s="1">
        <f>MIN(方案参数!$AI$46,AZ1555+0+0)</f>
        <v>3</v>
      </c>
      <c r="Q1556" s="1">
        <f t="shared" si="2183"/>
        <v>2</v>
      </c>
      <c r="R1556" s="1">
        <f t="shared" si="2184"/>
        <v>5</v>
      </c>
      <c r="S1556" s="1">
        <f t="shared" si="2185"/>
        <v>0</v>
      </c>
      <c r="T1556" s="1">
        <f t="shared" si="2186"/>
        <v>0</v>
      </c>
      <c r="U1556" s="1">
        <f t="shared" si="2187"/>
        <v>0</v>
      </c>
      <c r="V1556" s="1">
        <f t="shared" si="2188"/>
        <v>0</v>
      </c>
      <c r="W1556" s="1">
        <f t="shared" si="2189"/>
        <v>1</v>
      </c>
      <c r="X1556" s="1">
        <f t="shared" si="2190"/>
        <v>1</v>
      </c>
      <c r="Y1556" s="1">
        <f t="shared" si="2191"/>
        <v>1</v>
      </c>
      <c r="Z1556" s="1">
        <f t="shared" si="2192"/>
        <v>0</v>
      </c>
      <c r="AA1556" s="1">
        <f t="shared" si="2193"/>
        <v>0</v>
      </c>
      <c r="AB1556" s="1">
        <f t="shared" si="2194"/>
        <v>0</v>
      </c>
      <c r="AC1556" s="1">
        <f t="shared" si="2195"/>
        <v>0</v>
      </c>
      <c r="AD1556" s="1">
        <f>ROUNDDOWN(I1556*(1+IF(F1556=3,0.05+方案参数!$Y$46+AA1556*0.12,IF(F1556=4,方案参数!$BZ$46*方案参数!$AS$46,0)))+IF(AND(X1556=1,F1556&lt;&gt;3),方案参数!$CC$46,0)+AC1556*方案参数!$CB$46,0)</f>
        <v>2534</v>
      </c>
      <c r="AE1556" s="1">
        <f>IF(OR(F1556=1,F1556=4),配置与结果!$B$24,配置与结果!$B$25)*MAX(0,1-INDEX(配置与结果!$I$15:$I$18,F1556))</f>
        <v>1200</v>
      </c>
      <c r="AF1556" s="1">
        <f>0</f>
        <v>0</v>
      </c>
      <c r="AG1556" s="1">
        <f>MAX(配置与结果!$B$32,1+INDEX(配置与结果!$F$15:$F$18,F1556)+0.08+方案参数!$CD$46+Q1556*方案参数!$W$46+Y1556*(方案参数!$AN$46+MIN(方案参数!$AO$46,P1556*0.03))+AB1556*方案参数!$BZ$46*0.025-配置与结果!$B$28)</f>
        <v>1.2200000000000002</v>
      </c>
      <c r="AH1556" s="1">
        <f>MAX(0,1+INDEX(配置与结果!$G$15:$G$18,F1556)+W1556*方案参数!$AG$46)</f>
        <v>1.3</v>
      </c>
      <c r="AI1556" s="1">
        <f>IF(OR(INDEX(配置与结果!$K$15:$K$18,F1556)=1,G1556="RHI_BERRY"),1+配置与结果!$B$33+P1556*方案参数!$AH$46,1)</f>
        <v>1</v>
      </c>
      <c r="AJ1556" s="1">
        <f>MIN(1,MAX(0,J1556+方案参数!$AB$46-配置与结果!$B$27))</f>
        <v>1</v>
      </c>
      <c r="AK1556" s="1">
        <f>MAX(1,K1556+IF(F1556=2,0.15+方案参数!$CH$46,0)+BN1556*方案参数!$X$46+R1556*方案参数!$AA$46+0-配置与结果!$B$26+Z1556*(方案参数!$AP$46+MIN(方案参数!$AQ$46,P1556*0.03)))</f>
        <v>1.8149999999999999</v>
      </c>
      <c r="AL1556" s="7">
        <f>ROUNDDOWN(MAX(AD1556*配置与结果!$B$31,AD1556-AE1556)*AF1556*AG1556*AH1556*AI1556,0)</f>
        <v>0</v>
      </c>
      <c r="AM1556" s="7">
        <f>ROUNDDOWN(MAX(AD1556*配置与结果!$B$31,AD1556-AE1556)*AF1556*AG1556*AH1556*AI1556*AK1556,0)</f>
        <v>0</v>
      </c>
      <c r="AN1556" s="7">
        <f t="shared" si="2174"/>
        <v>0</v>
      </c>
      <c r="AO1556" s="7">
        <f>0</f>
        <v>0</v>
      </c>
      <c r="AP1556" s="7">
        <f>MAX(0,1+INDEX(配置与结果!$J$15:$J$18,F1556)+IF(T1556&gt;0,方案参数!$BY$46,0)-配置与结果!$B$30)</f>
        <v>1</v>
      </c>
      <c r="AQ1556" s="7">
        <f t="shared" si="2175"/>
        <v>0</v>
      </c>
      <c r="AR1556" s="7">
        <f t="shared" si="2176"/>
        <v>0</v>
      </c>
      <c r="AS1556" s="7">
        <f t="shared" si="2177"/>
        <v>0</v>
      </c>
      <c r="AT1556" s="7">
        <f>0</f>
        <v>0</v>
      </c>
      <c r="AU1556" s="7">
        <f t="shared" si="2178"/>
        <v>0</v>
      </c>
      <c r="AV1556" s="1">
        <f t="shared" si="2179"/>
        <v>1</v>
      </c>
      <c r="AW1556" s="1">
        <f>MIN(10,M1556+方案参数!$BD$46+0)</f>
        <v>3</v>
      </c>
      <c r="AX1556" s="1">
        <f t="shared" si="2180"/>
        <v>0</v>
      </c>
      <c r="AY1556" s="1">
        <f>MIN(20,MAX(0,O1556+6+0-0))</f>
        <v>6</v>
      </c>
      <c r="AZ1556" s="1">
        <f t="shared" si="2181"/>
        <v>3</v>
      </c>
      <c r="BA1556" s="1">
        <f>MIN(6,Q1556+0)</f>
        <v>2</v>
      </c>
      <c r="BB1556" s="1">
        <f t="shared" si="2196"/>
        <v>5</v>
      </c>
      <c r="BC1556" s="1">
        <f t="shared" si="2169"/>
        <v>0</v>
      </c>
      <c r="BD1556" s="1">
        <f t="shared" si="2150"/>
        <v>0</v>
      </c>
      <c r="BE1556" s="1">
        <f t="shared" si="2197"/>
        <v>0</v>
      </c>
      <c r="BF1556" s="1">
        <f t="shared" si="2173"/>
        <v>0</v>
      </c>
      <c r="BG1556" s="1">
        <f t="shared" ref="BG1556:BG1566" si="2201">MAX(W1556,0)</f>
        <v>1</v>
      </c>
      <c r="BH1556" s="1">
        <f t="shared" si="2198"/>
        <v>1</v>
      </c>
      <c r="BI1556" s="1">
        <f t="shared" ref="BI1556:BI1566" si="2202">MAX(Y1556,0)</f>
        <v>1</v>
      </c>
      <c r="BJ1556" s="1">
        <f t="shared" si="2164"/>
        <v>0</v>
      </c>
      <c r="BK1556" s="1">
        <f t="shared" si="2165"/>
        <v>0</v>
      </c>
      <c r="BL1556" s="1">
        <f t="shared" si="2170"/>
        <v>0</v>
      </c>
      <c r="BM1556" s="1">
        <f t="shared" si="2168"/>
        <v>0</v>
      </c>
      <c r="BN1556" s="1">
        <f t="shared" si="2199"/>
        <v>1</v>
      </c>
      <c r="BO1556" s="1">
        <f t="shared" si="2200"/>
        <v>1</v>
      </c>
    </row>
    <row r="1557" spans="1:67" ht="30.95" customHeight="1">
      <c r="A1557" s="1">
        <f>43</f>
        <v>43</v>
      </c>
      <c r="B1557" s="1">
        <f>固定流程!A9</f>
        <v>4</v>
      </c>
      <c r="C1557" s="1">
        <f>46</f>
        <v>46</v>
      </c>
      <c r="D1557" s="1">
        <f>1</f>
        <v>1</v>
      </c>
      <c r="E1557" s="1">
        <f>固定流程!C9</f>
        <v>1</v>
      </c>
      <c r="F1557" s="1">
        <f>固定流程!G9</f>
        <v>1</v>
      </c>
      <c r="G1557" s="1" t="str">
        <f>固定流程!H9</f>
        <v>LILYA_DIVE</v>
      </c>
      <c r="H1557" s="1">
        <f>固定流程!F9</f>
        <v>1</v>
      </c>
      <c r="I1557" s="1">
        <f>INDEX(配置与结果!$B$15:$B$18,F1557)</f>
        <v>2296</v>
      </c>
      <c r="J1557" s="1">
        <f>INDEX(配置与结果!$D$15:$D$18,F1557)</f>
        <v>0.7</v>
      </c>
      <c r="K1557" s="1">
        <f>INDEX(配置与结果!$E$15:$E$18,F1557)</f>
        <v>2.0249999999999999</v>
      </c>
      <c r="L1557" s="1">
        <f t="shared" si="2182"/>
        <v>1</v>
      </c>
      <c r="M1557" s="1">
        <f t="shared" si="2182"/>
        <v>3</v>
      </c>
      <c r="N1557" s="1">
        <f t="shared" si="2182"/>
        <v>0</v>
      </c>
      <c r="O1557" s="1">
        <f t="shared" si="2182"/>
        <v>6</v>
      </c>
      <c r="P1557" s="1">
        <f>MIN(方案参数!$AI$46,AZ1556+0+0)</f>
        <v>3</v>
      </c>
      <c r="Q1557" s="1">
        <f t="shared" si="2183"/>
        <v>2</v>
      </c>
      <c r="R1557" s="1">
        <f t="shared" si="2184"/>
        <v>5</v>
      </c>
      <c r="S1557" s="1">
        <f t="shared" si="2185"/>
        <v>0</v>
      </c>
      <c r="T1557" s="1">
        <f t="shared" si="2186"/>
        <v>0</v>
      </c>
      <c r="U1557" s="1">
        <f t="shared" si="2187"/>
        <v>0</v>
      </c>
      <c r="V1557" s="1">
        <f t="shared" si="2188"/>
        <v>0</v>
      </c>
      <c r="W1557" s="1">
        <f t="shared" si="2189"/>
        <v>1</v>
      </c>
      <c r="X1557" s="1">
        <f t="shared" si="2190"/>
        <v>1</v>
      </c>
      <c r="Y1557" s="1">
        <f t="shared" si="2191"/>
        <v>1</v>
      </c>
      <c r="Z1557" s="1">
        <f t="shared" si="2192"/>
        <v>0</v>
      </c>
      <c r="AA1557" s="1">
        <f t="shared" si="2193"/>
        <v>0</v>
      </c>
      <c r="AB1557" s="1">
        <f t="shared" si="2194"/>
        <v>0</v>
      </c>
      <c r="AC1557" s="1">
        <f t="shared" si="2195"/>
        <v>0</v>
      </c>
      <c r="AD1557" s="1">
        <f>ROUNDDOWN(I1557*(1+IF(F1557=3,0.05+方案参数!$Y$46+AA1557*0.12,IF(F1557=4,方案参数!$BZ$46*方案参数!$AS$46,0)))+IF(AND(X1557=1,F1557&lt;&gt;3),方案参数!$CC$46,0)+AC1557*方案参数!$CB$46,0)</f>
        <v>2534</v>
      </c>
      <c r="AE1557" s="1">
        <f>IF(OR(F1557=1,F1557=4),配置与结果!$B$24,配置与结果!$B$25)*MAX(0,1-INDEX(配置与结果!$I$15:$I$18,F1557))</f>
        <v>1200</v>
      </c>
      <c r="AF1557" s="1">
        <f>(IF(L1557=1,方案参数!$AW$46,IF(L1557=2,方案参数!$AX$46,0))+方案参数!$AV$46)*H1557</f>
        <v>6</v>
      </c>
      <c r="AG1557" s="1">
        <f>MAX(配置与结果!$B$32,1+INDEX(配置与结果!$F$15:$F$18,F1557)+0.08+方案参数!$CD$46+Q1557*方案参数!$W$46+Y1557*(方案参数!$AN$46+MIN(方案参数!$AO$46,P1557*0.03))+AB1557*方案参数!$BZ$46*0.025+IF(L1557=1,方案参数!$AY$46+(H1557-1)*0.1,IF(L1557=2,方案参数!$AZ$46+(H1557-1)*0.2,0))-配置与结果!$B$28)</f>
        <v>1.3200000000000003</v>
      </c>
      <c r="AH1557" s="1">
        <f>MAX(0,1+INDEX(配置与结果!$G$15:$G$18,F1557)+W1557*方案参数!$AG$46+IF(L1557=1,方案参数!$BA$46,IF(L1557=2,方案参数!$BB$46,0))+M1557*方案参数!$BC$46)</f>
        <v>2.08</v>
      </c>
      <c r="AI1557" s="1">
        <f>IF(OR(INDEX(配置与结果!$K$15:$K$18,F1557)=1,G1557="RHI_BERRY"),1+配置与结果!$B$33+P1557*方案参数!$AH$46,1)</f>
        <v>1</v>
      </c>
      <c r="AJ1557" s="1">
        <f>MIN(1,MAX(0,J1557+方案参数!$AB$46-配置与结果!$B$27))</f>
        <v>1</v>
      </c>
      <c r="AK1557" s="1">
        <f>MAX(1,K1557+IF(F1557=2,0.15+方案参数!$CH$46,0)+BN1557*方案参数!$X$46+R1557*方案参数!$AA$46+0-配置与结果!$B$26+Z1557*(方案参数!$AP$46+MIN(方案参数!$AQ$46,P1557*0.03)))</f>
        <v>1.8149999999999999</v>
      </c>
      <c r="AL1557" s="7">
        <f>ROUNDDOWN(MAX(AD1557*配置与结果!$B$31,AD1557-AE1557)*AF1557*AG1557*AH1557*AI1557,0)</f>
        <v>21975</v>
      </c>
      <c r="AM1557" s="7">
        <f>ROUNDDOWN(MAX(AD1557*配置与结果!$B$31,AD1557-AE1557)*AF1557*AG1557*AH1557*AI1557*AK1557,0)</f>
        <v>39886</v>
      </c>
      <c r="AN1557" s="7">
        <f t="shared" si="2174"/>
        <v>39886</v>
      </c>
      <c r="AO1557" s="7">
        <f>0</f>
        <v>0</v>
      </c>
      <c r="AP1557" s="7">
        <f>MAX(0,1+INDEX(配置与结果!$J$15:$J$18,F1557)+IF(T1557&gt;0,方案参数!$BY$46,0)-配置与结果!$B$30)</f>
        <v>1</v>
      </c>
      <c r="AQ1557" s="7">
        <f t="shared" si="2175"/>
        <v>0</v>
      </c>
      <c r="AR1557" s="7">
        <f t="shared" si="2176"/>
        <v>0</v>
      </c>
      <c r="AS1557" s="7">
        <f t="shared" si="2177"/>
        <v>0</v>
      </c>
      <c r="AT1557" s="7">
        <f>0</f>
        <v>0</v>
      </c>
      <c r="AU1557" s="7">
        <f t="shared" si="2178"/>
        <v>39886</v>
      </c>
      <c r="AV1557" s="1">
        <f t="shared" si="2179"/>
        <v>1</v>
      </c>
      <c r="AW1557" s="1">
        <f>MIN(10,M1557+0+IF(L1557=1,方案参数!$BE$46,0))</f>
        <v>4</v>
      </c>
      <c r="AX1557" s="1">
        <f t="shared" si="2180"/>
        <v>0</v>
      </c>
      <c r="AY1557" s="1">
        <f t="shared" ref="AY1557:AY1572" si="2203">MIN(20,MAX(0,O1557+0+0-0))</f>
        <v>6</v>
      </c>
      <c r="AZ1557" s="1">
        <f t="shared" si="2181"/>
        <v>3</v>
      </c>
      <c r="BA1557" s="1">
        <f>MIN(6,Q1557+0)</f>
        <v>2</v>
      </c>
      <c r="BB1557" s="1">
        <f t="shared" si="2196"/>
        <v>5</v>
      </c>
      <c r="BC1557" s="1">
        <f t="shared" si="2169"/>
        <v>0</v>
      </c>
      <c r="BD1557" s="1">
        <f t="shared" si="2150"/>
        <v>0</v>
      </c>
      <c r="BE1557" s="1">
        <f t="shared" si="2197"/>
        <v>0</v>
      </c>
      <c r="BF1557" s="1">
        <f t="shared" si="2173"/>
        <v>0</v>
      </c>
      <c r="BG1557" s="1">
        <f t="shared" si="2201"/>
        <v>1</v>
      </c>
      <c r="BH1557" s="1">
        <f t="shared" si="2198"/>
        <v>1</v>
      </c>
      <c r="BI1557" s="1">
        <f t="shared" si="2202"/>
        <v>1</v>
      </c>
      <c r="BJ1557" s="1">
        <f t="shared" si="2164"/>
        <v>0</v>
      </c>
      <c r="BK1557" s="1">
        <f t="shared" si="2165"/>
        <v>0</v>
      </c>
      <c r="BL1557" s="1">
        <f t="shared" si="2170"/>
        <v>0</v>
      </c>
      <c r="BM1557" s="1">
        <f t="shared" si="2168"/>
        <v>0</v>
      </c>
      <c r="BN1557" s="1">
        <f t="shared" si="2199"/>
        <v>1</v>
      </c>
      <c r="BO1557" s="1">
        <f t="shared" si="2200"/>
        <v>1</v>
      </c>
    </row>
    <row r="1558" spans="1:67" ht="30.95" customHeight="1">
      <c r="A1558" s="1">
        <f>43</f>
        <v>43</v>
      </c>
      <c r="B1558" s="1">
        <f>固定流程!A10</f>
        <v>5</v>
      </c>
      <c r="C1558" s="1">
        <f>46</f>
        <v>46</v>
      </c>
      <c r="D1558" s="1">
        <f>1</f>
        <v>1</v>
      </c>
      <c r="E1558" s="1">
        <f>固定流程!C10</f>
        <v>1</v>
      </c>
      <c r="F1558" s="1">
        <f>固定流程!G10</f>
        <v>2</v>
      </c>
      <c r="G1558" s="1" t="str">
        <f>固定流程!H10</f>
        <v>37_TRIANGLE</v>
      </c>
      <c r="H1558" s="1">
        <f>固定流程!F10</f>
        <v>1</v>
      </c>
      <c r="I1558" s="1">
        <f>INDEX(配置与结果!$B$15:$B$18,F1558)</f>
        <v>2306</v>
      </c>
      <c r="J1558" s="1">
        <f>INDEX(配置与结果!$D$15:$D$18,F1558)</f>
        <v>0.46</v>
      </c>
      <c r="K1558" s="1">
        <f>INDEX(配置与结果!$E$15:$E$18,F1558)</f>
        <v>1.9279999999999999</v>
      </c>
      <c r="L1558" s="1">
        <f t="shared" si="2182"/>
        <v>1</v>
      </c>
      <c r="M1558" s="1">
        <f t="shared" si="2182"/>
        <v>4</v>
      </c>
      <c r="N1558" s="1">
        <f t="shared" si="2182"/>
        <v>0</v>
      </c>
      <c r="O1558" s="1">
        <f t="shared" si="2182"/>
        <v>6</v>
      </c>
      <c r="P1558" s="1">
        <f>MIN(方案参数!$AI$46,AZ1557+0+0)</f>
        <v>3</v>
      </c>
      <c r="Q1558" s="1">
        <f t="shared" si="2183"/>
        <v>2</v>
      </c>
      <c r="R1558" s="1">
        <f t="shared" si="2184"/>
        <v>5</v>
      </c>
      <c r="S1558" s="1">
        <f t="shared" si="2185"/>
        <v>0</v>
      </c>
      <c r="T1558" s="1">
        <f t="shared" si="2186"/>
        <v>0</v>
      </c>
      <c r="U1558" s="1">
        <f t="shared" si="2187"/>
        <v>0</v>
      </c>
      <c r="V1558" s="1">
        <f t="shared" si="2188"/>
        <v>0</v>
      </c>
      <c r="W1558" s="1">
        <f t="shared" si="2189"/>
        <v>1</v>
      </c>
      <c r="X1558" s="1">
        <f t="shared" si="2190"/>
        <v>1</v>
      </c>
      <c r="Y1558" s="1">
        <f t="shared" si="2191"/>
        <v>1</v>
      </c>
      <c r="Z1558" s="1">
        <f t="shared" si="2192"/>
        <v>0</v>
      </c>
      <c r="AA1558" s="1">
        <f t="shared" si="2193"/>
        <v>0</v>
      </c>
      <c r="AB1558" s="1">
        <f t="shared" si="2194"/>
        <v>0</v>
      </c>
      <c r="AC1558" s="1">
        <f t="shared" si="2195"/>
        <v>0</v>
      </c>
      <c r="AD1558" s="1">
        <f>ROUNDDOWN(I1558*(1+IF(F1558=3,0.05+方案参数!$Y$46+AA1558*0.12,IF(F1558=4,方案参数!$BZ$46*方案参数!$AS$46,0)))+IF(AND(X1558=1,F1558&lt;&gt;3),方案参数!$CC$46,0)+AC1558*方案参数!$CB$46,0)</f>
        <v>2544</v>
      </c>
      <c r="AE1558" s="1">
        <f>IF(OR(F1558=1,F1558=4),配置与结果!$B$24,配置与结果!$B$25)*MAX(0,1-INDEX(配置与结果!$I$15:$I$18,F1558))</f>
        <v>1000</v>
      </c>
      <c r="AF1558" s="1">
        <f>方案参数!$BS$46*IF(H1558=1,1,IF(H1558=2,1.5,2.5))</f>
        <v>2.8</v>
      </c>
      <c r="AG1558" s="1">
        <f>MAX(配置与结果!$B$32,1+INDEX(配置与结果!$F$15:$F$18,F1558)+0+Q1558*方案参数!$W$46+Y1558*(方案参数!$AN$46+MIN(方案参数!$AO$46,P1558*0.03))+AB1558*方案参数!$BZ$46*0.025-配置与结果!$B$28)</f>
        <v>0.8849999999999999</v>
      </c>
      <c r="AH1558" s="1">
        <f>MAX(0,1+INDEX(配置与结果!$G$15:$G$18,F1558)+W1558*方案参数!$AG$46)</f>
        <v>1.3</v>
      </c>
      <c r="AI1558" s="1">
        <f>IF(OR(INDEX(配置与结果!$K$15:$K$18,F1558)=1,G1558="RHI_BERRY"),1+配置与结果!$B$33+P1558*方案参数!$AH$46,1)</f>
        <v>1</v>
      </c>
      <c r="AJ1558" s="1">
        <f>MIN(1,MAX(0,J1558+方案参数!$AB$46-配置与结果!$B$27))</f>
        <v>0.76</v>
      </c>
      <c r="AK1558" s="1">
        <f>MAX(1,K1558+IF(F1558=2,0.15+方案参数!$CH$46,0)+BN1558*方案参数!$X$46+R1558*方案参数!$AA$46+0-配置与结果!$B$26+Z1558*(方案参数!$AP$46+MIN(方案参数!$AQ$46,P1558*0.03)))</f>
        <v>1.988</v>
      </c>
      <c r="AL1558" s="7">
        <f>ROUNDDOWN(MAX(AD1558*配置与结果!$B$31,AD1558-AE1558)*AF1558*AG1558*AH1558*AI1558,0)</f>
        <v>4973</v>
      </c>
      <c r="AM1558" s="7">
        <f>ROUNDDOWN(MAX(AD1558*配置与结果!$B$31,AD1558-AE1558)*AF1558*AG1558*AH1558*AI1558*AK1558,0)</f>
        <v>9887</v>
      </c>
      <c r="AN1558" s="7">
        <f t="shared" si="2174"/>
        <v>8707.64</v>
      </c>
      <c r="AO1558" s="7">
        <f>方案参数!$BU$46*IF(H1558=1,1,IF(H1558=2,1.5,2.5))</f>
        <v>0.8</v>
      </c>
      <c r="AP1558" s="7">
        <f>MAX(0,1+INDEX(配置与结果!$J$15:$J$18,F1558)+IF(T1558&gt;0,方案参数!$BY$46,0)-配置与结果!$B$30)</f>
        <v>1</v>
      </c>
      <c r="AQ1558" s="7">
        <f t="shared" si="2175"/>
        <v>2035</v>
      </c>
      <c r="AR1558" s="7">
        <f t="shared" si="2176"/>
        <v>4045</v>
      </c>
      <c r="AS1558" s="7">
        <f t="shared" si="2177"/>
        <v>3562.6</v>
      </c>
      <c r="AT1558" s="7">
        <f>0</f>
        <v>0</v>
      </c>
      <c r="AU1558" s="7">
        <f t="shared" si="2178"/>
        <v>12270.24</v>
      </c>
      <c r="AV1558" s="1">
        <f t="shared" si="2179"/>
        <v>1</v>
      </c>
      <c r="AW1558" s="1">
        <f>MIN(10,M1558+0+0)</f>
        <v>4</v>
      </c>
      <c r="AX1558" s="1">
        <f t="shared" si="2180"/>
        <v>0</v>
      </c>
      <c r="AY1558" s="1">
        <f t="shared" si="2203"/>
        <v>6</v>
      </c>
      <c r="AZ1558" s="1">
        <f t="shared" si="2181"/>
        <v>3</v>
      </c>
      <c r="BA1558" s="1">
        <f>MIN(6,Q1558+0)</f>
        <v>2</v>
      </c>
      <c r="BB1558" s="1">
        <f t="shared" si="2196"/>
        <v>5</v>
      </c>
      <c r="BC1558" s="1">
        <f t="shared" si="2169"/>
        <v>0</v>
      </c>
      <c r="BD1558" s="1">
        <f>MAX(0,T1558-IF(AO1558&gt;0,1,0))+1</f>
        <v>1</v>
      </c>
      <c r="BE1558" s="1">
        <f t="shared" si="2197"/>
        <v>0</v>
      </c>
      <c r="BF1558" s="1">
        <f t="shared" si="2173"/>
        <v>0</v>
      </c>
      <c r="BG1558" s="1">
        <f t="shared" si="2201"/>
        <v>1</v>
      </c>
      <c r="BH1558" s="1">
        <f t="shared" si="2198"/>
        <v>1</v>
      </c>
      <c r="BI1558" s="1">
        <f t="shared" si="2202"/>
        <v>1</v>
      </c>
      <c r="BJ1558" s="1">
        <f t="shared" si="2164"/>
        <v>0</v>
      </c>
      <c r="BK1558" s="1">
        <f t="shared" si="2165"/>
        <v>0</v>
      </c>
      <c r="BL1558" s="1">
        <f t="shared" si="2170"/>
        <v>0</v>
      </c>
      <c r="BM1558" s="1">
        <f t="shared" si="2168"/>
        <v>0</v>
      </c>
      <c r="BN1558" s="1">
        <f t="shared" si="2199"/>
        <v>1</v>
      </c>
      <c r="BO1558" s="1">
        <f t="shared" si="2200"/>
        <v>1</v>
      </c>
    </row>
    <row r="1559" spans="1:67" ht="30.95" customHeight="1">
      <c r="A1559" s="1">
        <f>43</f>
        <v>43</v>
      </c>
      <c r="B1559" s="1">
        <f>固定流程!A11</f>
        <v>6</v>
      </c>
      <c r="C1559" s="1">
        <f>46</f>
        <v>46</v>
      </c>
      <c r="D1559" s="1">
        <f>1</f>
        <v>1</v>
      </c>
      <c r="E1559" s="1">
        <f>固定流程!C11</f>
        <v>1</v>
      </c>
      <c r="F1559" s="1">
        <f>固定流程!G11</f>
        <v>2</v>
      </c>
      <c r="G1559" s="1" t="str">
        <f>固定流程!H11</f>
        <v>37_FOLLOW</v>
      </c>
      <c r="H1559" s="1">
        <f>固定流程!F11</f>
        <v>1</v>
      </c>
      <c r="I1559" s="1">
        <f>INDEX(配置与结果!$B$15:$B$18,F1559)</f>
        <v>2306</v>
      </c>
      <c r="J1559" s="1">
        <f>INDEX(配置与结果!$D$15:$D$18,F1559)</f>
        <v>0.46</v>
      </c>
      <c r="K1559" s="1">
        <f>INDEX(配置与结果!$E$15:$E$18,F1559)</f>
        <v>1.9279999999999999</v>
      </c>
      <c r="L1559" s="1">
        <f t="shared" si="2182"/>
        <v>1</v>
      </c>
      <c r="M1559" s="1">
        <f t="shared" si="2182"/>
        <v>4</v>
      </c>
      <c r="N1559" s="1">
        <f t="shared" si="2182"/>
        <v>0</v>
      </c>
      <c r="O1559" s="1">
        <f t="shared" si="2182"/>
        <v>6</v>
      </c>
      <c r="P1559" s="1">
        <f>MIN(方案参数!$AI$46,AZ1558+0+0)</f>
        <v>3</v>
      </c>
      <c r="Q1559" s="1">
        <f t="shared" si="2183"/>
        <v>2</v>
      </c>
      <c r="R1559" s="1">
        <f t="shared" si="2184"/>
        <v>5</v>
      </c>
      <c r="S1559" s="1">
        <f t="shared" si="2185"/>
        <v>0</v>
      </c>
      <c r="T1559" s="1">
        <f t="shared" si="2186"/>
        <v>1</v>
      </c>
      <c r="U1559" s="1">
        <f t="shared" si="2187"/>
        <v>0</v>
      </c>
      <c r="V1559" s="1">
        <f t="shared" si="2188"/>
        <v>0</v>
      </c>
      <c r="W1559" s="1">
        <f t="shared" si="2189"/>
        <v>1</v>
      </c>
      <c r="X1559" s="1">
        <f t="shared" si="2190"/>
        <v>1</v>
      </c>
      <c r="Y1559" s="1">
        <f t="shared" si="2191"/>
        <v>1</v>
      </c>
      <c r="Z1559" s="1">
        <f t="shared" si="2192"/>
        <v>0</v>
      </c>
      <c r="AA1559" s="1">
        <f t="shared" si="2193"/>
        <v>0</v>
      </c>
      <c r="AB1559" s="1">
        <f t="shared" si="2194"/>
        <v>0</v>
      </c>
      <c r="AC1559" s="1">
        <f t="shared" si="2195"/>
        <v>0</v>
      </c>
      <c r="AD1559" s="1">
        <f>ROUNDDOWN(I1559*(1+IF(F1559=3,0.05+方案参数!$Y$46+AA1559*0.12,IF(F1559=4,方案参数!$BZ$46*方案参数!$AS$46,0)))+IF(AND(X1559=1,F1559&lt;&gt;3),方案参数!$CC$46,0)+AC1559*方案参数!$CB$46,0)</f>
        <v>2544</v>
      </c>
      <c r="AE1559" s="1">
        <f>IF(OR(F1559=1,F1559=4),配置与结果!$B$24,配置与结果!$B$25)*MAX(0,1-INDEX(配置与结果!$I$15:$I$18,F1559))</f>
        <v>1000</v>
      </c>
      <c r="AF1559" s="1">
        <f>方案参数!$BV$46</f>
        <v>3</v>
      </c>
      <c r="AG1559" s="1">
        <f>MAX(配置与结果!$B$32,1+INDEX(配置与结果!$F$15:$F$18,F1559)+0+Q1559*方案参数!$W$46+Y1559*(方案参数!$AN$46+MIN(方案参数!$AO$46,P1559*0.03))+AB1559*方案参数!$BZ$46*0.025-配置与结果!$B$28)</f>
        <v>0.8849999999999999</v>
      </c>
      <c r="AH1559" s="1">
        <f>MAX(0,1+INDEX(配置与结果!$G$15:$G$18,F1559)+W1559*方案参数!$AG$46)</f>
        <v>1.3</v>
      </c>
      <c r="AI1559" s="1">
        <f>IF(OR(INDEX(配置与结果!$K$15:$K$18,F1559)=1,G1559="RHI_BERRY"),1+配置与结果!$B$33+P1559*方案参数!$AH$46,1)</f>
        <v>1</v>
      </c>
      <c r="AJ1559" s="1">
        <f>MIN(1,MAX(0,J1559+方案参数!$AB$46-配置与结果!$B$27))</f>
        <v>0.76</v>
      </c>
      <c r="AK1559" s="1">
        <f>MAX(1,K1559+IF(F1559=2,0.15+方案参数!$CH$46,0)+BN1559*方案参数!$X$46+R1559*方案参数!$AA$46+0-配置与结果!$B$26+Z1559*(方案参数!$AP$46+MIN(方案参数!$AQ$46,P1559*0.03)))</f>
        <v>1.988</v>
      </c>
      <c r="AL1559" s="7">
        <f>ROUNDDOWN(MAX(AD1559*配置与结果!$B$31,AD1559-AE1559)*AF1559*AG1559*AH1559*AI1559,0)</f>
        <v>5329</v>
      </c>
      <c r="AM1559" s="7">
        <f>ROUNDDOWN(MAX(AD1559*配置与结果!$B$31,AD1559-AE1559)*AF1559*AG1559*AH1559*AI1559*AK1559,0)</f>
        <v>10594</v>
      </c>
      <c r="AN1559" s="7">
        <f t="shared" si="2174"/>
        <v>9330.4000000000015</v>
      </c>
      <c r="AO1559" s="7">
        <f>方案参数!$BW$46</f>
        <v>1</v>
      </c>
      <c r="AP1559" s="7">
        <f>MAX(0,1+INDEX(配置与结果!$J$15:$J$18,F1559)+IF(T1559&gt;0,方案参数!$BY$46,0)-配置与结果!$B$30)</f>
        <v>2</v>
      </c>
      <c r="AQ1559" s="7">
        <f t="shared" si="2175"/>
        <v>5088</v>
      </c>
      <c r="AR1559" s="7">
        <f t="shared" si="2176"/>
        <v>10114</v>
      </c>
      <c r="AS1559" s="7">
        <f t="shared" si="2177"/>
        <v>8907.76</v>
      </c>
      <c r="AT1559" s="7">
        <f>0</f>
        <v>0</v>
      </c>
      <c r="AU1559" s="7">
        <f t="shared" si="2178"/>
        <v>18238.160000000003</v>
      </c>
      <c r="AV1559" s="1">
        <f t="shared" si="2179"/>
        <v>1</v>
      </c>
      <c r="AW1559" s="1">
        <f>MIN(10,M1559+0+0)</f>
        <v>4</v>
      </c>
      <c r="AX1559" s="1">
        <f t="shared" si="2180"/>
        <v>0</v>
      </c>
      <c r="AY1559" s="1">
        <f t="shared" si="2203"/>
        <v>6</v>
      </c>
      <c r="AZ1559" s="1">
        <f t="shared" si="2181"/>
        <v>3</v>
      </c>
      <c r="BA1559" s="1">
        <f>MIN(6,Q1559+0)</f>
        <v>2</v>
      </c>
      <c r="BB1559" s="1">
        <f t="shared" si="2196"/>
        <v>5</v>
      </c>
      <c r="BC1559" s="1">
        <f t="shared" si="2169"/>
        <v>0</v>
      </c>
      <c r="BD1559" s="1">
        <f t="shared" ref="BD1559:BD1593" si="2204">MAX(0,T1559-IF(AO1559&gt;0,1,0))+0</f>
        <v>0</v>
      </c>
      <c r="BE1559" s="1">
        <f t="shared" si="2197"/>
        <v>0</v>
      </c>
      <c r="BF1559" s="1">
        <f>MIN(4,V1559+1)</f>
        <v>1</v>
      </c>
      <c r="BG1559" s="1">
        <f t="shared" si="2201"/>
        <v>1</v>
      </c>
      <c r="BH1559" s="1">
        <f t="shared" si="2198"/>
        <v>1</v>
      </c>
      <c r="BI1559" s="1">
        <f t="shared" si="2202"/>
        <v>1</v>
      </c>
      <c r="BJ1559" s="1">
        <f t="shared" si="2164"/>
        <v>0</v>
      </c>
      <c r="BK1559" s="1">
        <f t="shared" si="2165"/>
        <v>0</v>
      </c>
      <c r="BL1559" s="1">
        <f t="shared" si="2170"/>
        <v>0</v>
      </c>
      <c r="BM1559" s="1">
        <f t="shared" si="2168"/>
        <v>0</v>
      </c>
      <c r="BN1559" s="1">
        <f t="shared" si="2199"/>
        <v>1</v>
      </c>
      <c r="BO1559" s="1">
        <f t="shared" si="2200"/>
        <v>1</v>
      </c>
    </row>
    <row r="1560" spans="1:67" ht="30.95" customHeight="1">
      <c r="A1560" s="1">
        <f>43</f>
        <v>43</v>
      </c>
      <c r="B1560" s="1">
        <f>固定流程!A12</f>
        <v>7</v>
      </c>
      <c r="C1560" s="1">
        <f>46</f>
        <v>46</v>
      </c>
      <c r="D1560" s="1">
        <f>1</f>
        <v>1</v>
      </c>
      <c r="E1560" s="1">
        <f>固定流程!C12</f>
        <v>1</v>
      </c>
      <c r="F1560" s="1">
        <f>固定流程!G12</f>
        <v>4</v>
      </c>
      <c r="G1560" s="1" t="str">
        <f>固定流程!H12</f>
        <v>J_HARD</v>
      </c>
      <c r="H1560" s="1">
        <f>固定流程!F12</f>
        <v>1</v>
      </c>
      <c r="I1560" s="1">
        <f>INDEX(配置与结果!$B$15:$B$18,F1560)</f>
        <v>1906</v>
      </c>
      <c r="J1560" s="1">
        <f>INDEX(配置与结果!$D$15:$D$18,F1560)</f>
        <v>0.36699999999999999</v>
      </c>
      <c r="K1560" s="1">
        <f>INDEX(配置与结果!$E$15:$E$18,F1560)</f>
        <v>1.7170000000000001</v>
      </c>
      <c r="L1560" s="1">
        <f t="shared" si="2182"/>
        <v>1</v>
      </c>
      <c r="M1560" s="1">
        <f t="shared" si="2182"/>
        <v>4</v>
      </c>
      <c r="N1560" s="1">
        <f t="shared" si="2182"/>
        <v>0</v>
      </c>
      <c r="O1560" s="1">
        <f t="shared" si="2182"/>
        <v>6</v>
      </c>
      <c r="P1560" s="1">
        <f>MIN(方案参数!$AI$46,AZ1559+0+0)</f>
        <v>3</v>
      </c>
      <c r="Q1560" s="1">
        <f t="shared" si="2183"/>
        <v>2</v>
      </c>
      <c r="R1560" s="1">
        <f t="shared" si="2184"/>
        <v>5</v>
      </c>
      <c r="S1560" s="1">
        <f t="shared" si="2185"/>
        <v>0</v>
      </c>
      <c r="T1560" s="1">
        <f t="shared" si="2186"/>
        <v>0</v>
      </c>
      <c r="U1560" s="1">
        <f t="shared" si="2187"/>
        <v>0</v>
      </c>
      <c r="V1560" s="1">
        <f t="shared" si="2188"/>
        <v>1</v>
      </c>
      <c r="W1560" s="1">
        <f t="shared" si="2189"/>
        <v>1</v>
      </c>
      <c r="X1560" s="1">
        <f t="shared" si="2190"/>
        <v>1</v>
      </c>
      <c r="Y1560" s="1">
        <f t="shared" si="2191"/>
        <v>1</v>
      </c>
      <c r="Z1560" s="1">
        <f t="shared" si="2192"/>
        <v>0</v>
      </c>
      <c r="AA1560" s="1">
        <f t="shared" si="2193"/>
        <v>0</v>
      </c>
      <c r="AB1560" s="1">
        <f t="shared" si="2194"/>
        <v>0</v>
      </c>
      <c r="AC1560" s="1">
        <f t="shared" si="2195"/>
        <v>0</v>
      </c>
      <c r="AD1560" s="1">
        <f>ROUNDDOWN(I1560*(1+IF(F1560=3,0.05+方案参数!$Y$46+AA1560*0.12,IF(F1560=4,方案参数!$BZ$46*方案参数!$AS$46,0)))+IF(AND(X1560=1,F1560&lt;&gt;3),方案参数!$CC$46,0)+AC1560*方案参数!$CB$46,0)</f>
        <v>2811</v>
      </c>
      <c r="AE1560" s="1">
        <f>IF(OR(F1560=1,F1560=4),配置与结果!$B$24,配置与结果!$B$25)*MAX(0,1-INDEX(配置与结果!$I$15:$I$18,F1560))</f>
        <v>1200</v>
      </c>
      <c r="AF1560" s="1">
        <f>3.6*IF(H1560=1,1,IF(H1560=2,1.5,2.5))</f>
        <v>3.6</v>
      </c>
      <c r="AG1560" s="1">
        <f>MAX(配置与结果!$B$32,1+INDEX(配置与结果!$F$15:$F$18,F1560)+0.08+Q1560*方案参数!$W$46+Y1560*(方案参数!$AN$46+MIN(方案参数!$AO$46,P1560*0.03))+AB1560*方案参数!$BZ$46*0.025+0.1+IF(方案参数!$BZ$46&gt;=30,方案参数!$BZ$46*0.01,0)-配置与结果!$B$28)</f>
        <v>1.4350000000000001</v>
      </c>
      <c r="AH1560" s="1">
        <f>MAX(0,1+INDEX(配置与结果!$G$15:$G$18,F1560)+W1560*方案参数!$AG$46)</f>
        <v>1.3</v>
      </c>
      <c r="AI1560" s="1">
        <f>IF(OR(INDEX(配置与结果!$K$15:$K$18,F1560)=1,G1560="RHI_BERRY"),1+配置与结果!$B$33+P1560*方案参数!$AH$46,1)</f>
        <v>1</v>
      </c>
      <c r="AJ1560" s="1">
        <f>MIN(1,MAX(0,J1560+方案参数!$AB$46-配置与结果!$B$27))</f>
        <v>0.66700000000000004</v>
      </c>
      <c r="AK1560" s="1">
        <f>MAX(1,K1560+IF(F1560=2,0.15+方案参数!$CH$46,0)+BN1560*方案参数!$X$46+R1560*方案参数!$AA$46+0-配置与结果!$B$26+Z1560*(方案参数!$AP$46+MIN(方案参数!$AQ$46,P1560*0.03)))</f>
        <v>1.5070000000000001</v>
      </c>
      <c r="AL1560" s="7">
        <f>ROUNDDOWN(MAX(AD1560*配置与结果!$B$31,AD1560-AE1560)*AF1560*AG1560*AH1560*AI1560,0)</f>
        <v>10819</v>
      </c>
      <c r="AM1560" s="7">
        <f>ROUNDDOWN(MAX(AD1560*配置与结果!$B$31,AD1560-AE1560)*AF1560*AG1560*AH1560*AI1560*AK1560,0)</f>
        <v>16304</v>
      </c>
      <c r="AN1560" s="7">
        <f t="shared" si="2174"/>
        <v>14477.494999999999</v>
      </c>
      <c r="AO1560" s="7">
        <f>0</f>
        <v>0</v>
      </c>
      <c r="AP1560" s="7">
        <f>MAX(0,1+INDEX(配置与结果!$J$15:$J$18,F1560)+IF(T1560&gt;0,方案参数!$BY$46,0)-配置与结果!$B$30)</f>
        <v>1</v>
      </c>
      <c r="AQ1560" s="7">
        <f t="shared" si="2175"/>
        <v>0</v>
      </c>
      <c r="AR1560" s="7">
        <f t="shared" si="2176"/>
        <v>0</v>
      </c>
      <c r="AS1560" s="7">
        <f t="shared" si="2177"/>
        <v>0</v>
      </c>
      <c r="AT1560" s="7">
        <f>0</f>
        <v>0</v>
      </c>
      <c r="AU1560" s="7">
        <f t="shared" si="2178"/>
        <v>14477.494999999999</v>
      </c>
      <c r="AV1560" s="1">
        <f t="shared" si="2179"/>
        <v>1</v>
      </c>
      <c r="AW1560" s="1">
        <f>MIN(10,M1560+0+0)</f>
        <v>4</v>
      </c>
      <c r="AX1560" s="1">
        <f t="shared" si="2180"/>
        <v>0</v>
      </c>
      <c r="AY1560" s="1">
        <f t="shared" si="2203"/>
        <v>6</v>
      </c>
      <c r="AZ1560" s="1">
        <f t="shared" si="2181"/>
        <v>3</v>
      </c>
      <c r="BA1560" s="1">
        <f>MIN(6,Q1560+0)</f>
        <v>2</v>
      </c>
      <c r="BB1560" s="1">
        <f t="shared" si="2196"/>
        <v>5</v>
      </c>
      <c r="BC1560" s="1">
        <f>MIN(3,S1560+1)</f>
        <v>1</v>
      </c>
      <c r="BD1560" s="1">
        <f t="shared" si="2204"/>
        <v>0</v>
      </c>
      <c r="BE1560" s="1">
        <f t="shared" si="2197"/>
        <v>0</v>
      </c>
      <c r="BF1560" s="1">
        <f>MIN(4,V1560+0)</f>
        <v>1</v>
      </c>
      <c r="BG1560" s="1">
        <f t="shared" si="2201"/>
        <v>1</v>
      </c>
      <c r="BH1560" s="1">
        <f t="shared" si="2198"/>
        <v>1</v>
      </c>
      <c r="BI1560" s="1">
        <f t="shared" si="2202"/>
        <v>1</v>
      </c>
      <c r="BJ1560" s="1">
        <f t="shared" si="2164"/>
        <v>0</v>
      </c>
      <c r="BK1560" s="1">
        <f t="shared" si="2165"/>
        <v>0</v>
      </c>
      <c r="BL1560" s="1">
        <f t="shared" si="2170"/>
        <v>0</v>
      </c>
      <c r="BM1560" s="1">
        <f t="shared" si="2168"/>
        <v>0</v>
      </c>
      <c r="BN1560" s="1">
        <f t="shared" si="2199"/>
        <v>1</v>
      </c>
      <c r="BO1560" s="1">
        <f t="shared" si="2200"/>
        <v>1</v>
      </c>
    </row>
    <row r="1561" spans="1:67" ht="30.95" customHeight="1">
      <c r="A1561" s="1">
        <f>43</f>
        <v>43</v>
      </c>
      <c r="B1561" s="1">
        <f>固定流程!A13</f>
        <v>8</v>
      </c>
      <c r="C1561" s="1">
        <f>46</f>
        <v>46</v>
      </c>
      <c r="D1561" s="1">
        <f>1</f>
        <v>1</v>
      </c>
      <c r="E1561" s="1">
        <f>固定流程!C13</f>
        <v>2</v>
      </c>
      <c r="F1561" s="1">
        <f>固定流程!G13</f>
        <v>3</v>
      </c>
      <c r="G1561" s="1" t="str">
        <f>固定流程!H13</f>
        <v>RHI_ATTACK</v>
      </c>
      <c r="H1561" s="1">
        <f>固定流程!F13</f>
        <v>1</v>
      </c>
      <c r="I1561" s="1">
        <f>INDEX(配置与结果!$B$15:$B$18,F1561)</f>
        <v>2597</v>
      </c>
      <c r="J1561" s="1">
        <f>INDEX(配置与结果!$D$15:$D$18,F1561)</f>
        <v>0.255</v>
      </c>
      <c r="K1561" s="1">
        <f>INDEX(配置与结果!$E$15:$E$18,F1561)</f>
        <v>1.55</v>
      </c>
      <c r="L1561" s="1">
        <f>IF(AV1560=1,IF(M1561&gt;=10,2,1),IF(AV1560=2,IF(AX1560&lt;=1,0,2),0))</f>
        <v>1</v>
      </c>
      <c r="M1561" s="1">
        <f>IF(AND(AV1560=2,AX1560&lt;=1),0,MIN(10,AW1560+IF(AV1560=1,3,0)))</f>
        <v>7</v>
      </c>
      <c r="N1561" s="1">
        <f>IF(AND(AV1560=1,M1561&gt;=10),2,IF(AV1560=2,MAX(0,AX1560-1),0))</f>
        <v>0</v>
      </c>
      <c r="O1561" s="1">
        <f t="shared" ref="O1561:O1589" si="2205">AY1560</f>
        <v>6</v>
      </c>
      <c r="P1561" s="1">
        <f>MIN(方案参数!$AI$46,AZ1560+方案参数!$AJ$46+方案参数!$AK$46)</f>
        <v>5</v>
      </c>
      <c r="Q1561" s="1">
        <f t="shared" si="2183"/>
        <v>2</v>
      </c>
      <c r="R1561" s="1">
        <f t="shared" si="2184"/>
        <v>5</v>
      </c>
      <c r="S1561" s="1">
        <f t="shared" si="2185"/>
        <v>1</v>
      </c>
      <c r="T1561" s="1">
        <f t="shared" si="2186"/>
        <v>0</v>
      </c>
      <c r="U1561" s="1">
        <f t="shared" si="2187"/>
        <v>0</v>
      </c>
      <c r="V1561" s="1">
        <f t="shared" si="2188"/>
        <v>1</v>
      </c>
      <c r="W1561" s="1">
        <f t="shared" si="2189"/>
        <v>1</v>
      </c>
      <c r="X1561" s="1">
        <f t="shared" si="2190"/>
        <v>1</v>
      </c>
      <c r="Y1561" s="1">
        <f t="shared" si="2191"/>
        <v>1</v>
      </c>
      <c r="Z1561" s="1">
        <f t="shared" si="2192"/>
        <v>0</v>
      </c>
      <c r="AA1561" s="1">
        <f>MAX(BK1560,1)</f>
        <v>1</v>
      </c>
      <c r="AB1561" s="1">
        <f t="shared" si="2194"/>
        <v>0</v>
      </c>
      <c r="AC1561" s="1">
        <f t="shared" si="2195"/>
        <v>0</v>
      </c>
      <c r="AD1561" s="1">
        <f>ROUNDDOWN(I1561*(1+IF(F1561=3,0.05+方案参数!$Y$46+AA1561*0.12,IF(F1561=4,方案参数!$BZ$46*方案参数!$AS$46,0)))+IF(AND(X1561=1,F1561&lt;&gt;3),方案参数!$CC$46,0)+AC1561*方案参数!$CB$46,0)</f>
        <v>3298</v>
      </c>
      <c r="AE1561" s="1">
        <f>IF(OR(F1561=1,F1561=4),配置与结果!$B$24,配置与结果!$B$25)*MAX(0,1-INDEX(配置与结果!$I$15:$I$18,F1561))</f>
        <v>1000</v>
      </c>
      <c r="AF1561" s="1">
        <f>4</f>
        <v>4</v>
      </c>
      <c r="AG1561" s="1">
        <f>MAX(配置与结果!$B$32,1+INDEX(配置与结果!$F$15:$F$18,F1561)+0+Q1561*方案参数!$W$46+Y1561*(方案参数!$AN$46+MIN(方案参数!$AO$46,P1561*0.03))+AB1561*方案参数!$BZ$46*0.025-配置与结果!$B$28)</f>
        <v>0.97499999999999998</v>
      </c>
      <c r="AH1561" s="1">
        <f>MAX(0,1+INDEX(配置与结果!$G$15:$G$18,F1561)+W1561*方案参数!$AG$46)</f>
        <v>1.3</v>
      </c>
      <c r="AI1561" s="1">
        <f>IF(OR(INDEX(配置与结果!$K$15:$K$18,F1561)=1,G1561="RHI_BERRY"),1+配置与结果!$B$33+P1561*方案参数!$AH$46,1)</f>
        <v>1</v>
      </c>
      <c r="AJ1561" s="1">
        <f>MIN(1,MAX(0,J1561+方案参数!$AB$46-配置与结果!$B$27))</f>
        <v>0.55499999999999994</v>
      </c>
      <c r="AK1561" s="1">
        <f>MAX(1,K1561+IF(F1561=2,0.15+方案参数!$CH$46,0)+BN1561*方案参数!$X$46+R1561*方案参数!$AA$46+0-配置与结果!$B$26+Z1561*(方案参数!$AP$46+MIN(方案参数!$AQ$46,P1561*0.03)))</f>
        <v>1.3399999999999999</v>
      </c>
      <c r="AL1561" s="7">
        <f>ROUNDDOWN(MAX(AD1561*配置与结果!$B$31,AD1561-AE1561)*AF1561*AG1561*AH1561*AI1561,0)</f>
        <v>11650</v>
      </c>
      <c r="AM1561" s="7">
        <f>ROUNDDOWN(MAX(AD1561*配置与结果!$B$31,AD1561-AE1561)*AF1561*AG1561*AH1561*AI1561*AK1561,0)</f>
        <v>15612</v>
      </c>
      <c r="AN1561" s="7">
        <f t="shared" si="2174"/>
        <v>13848.91</v>
      </c>
      <c r="AO1561" s="7">
        <f>0</f>
        <v>0</v>
      </c>
      <c r="AP1561" s="7">
        <f>MAX(0,1+INDEX(配置与结果!$J$15:$J$18,F1561)+IF(T1561&gt;0,方案参数!$BY$46,0)-配置与结果!$B$30)</f>
        <v>1</v>
      </c>
      <c r="AQ1561" s="7">
        <f t="shared" si="2175"/>
        <v>0</v>
      </c>
      <c r="AR1561" s="7">
        <f t="shared" si="2176"/>
        <v>0</v>
      </c>
      <c r="AS1561" s="7">
        <f t="shared" si="2177"/>
        <v>0</v>
      </c>
      <c r="AT1561" s="7">
        <f>0</f>
        <v>0</v>
      </c>
      <c r="AU1561" s="7">
        <f t="shared" si="2178"/>
        <v>13848.91</v>
      </c>
      <c r="AV1561" s="1">
        <f t="shared" si="2179"/>
        <v>1</v>
      </c>
      <c r="AW1561" s="1">
        <f>MIN(10,M1561+0+0)</f>
        <v>7</v>
      </c>
      <c r="AX1561" s="1">
        <f t="shared" si="2180"/>
        <v>0</v>
      </c>
      <c r="AY1561" s="1">
        <f t="shared" si="2203"/>
        <v>6</v>
      </c>
      <c r="AZ1561" s="1">
        <f t="shared" si="2181"/>
        <v>5</v>
      </c>
      <c r="BA1561" s="1">
        <f>MIN(6,Q1561+1)</f>
        <v>3</v>
      </c>
      <c r="BB1561" s="1">
        <f t="shared" si="2196"/>
        <v>5</v>
      </c>
      <c r="BC1561" s="1">
        <f>MIN(3,S1561+0)</f>
        <v>1</v>
      </c>
      <c r="BD1561" s="1">
        <f t="shared" si="2204"/>
        <v>0</v>
      </c>
      <c r="BE1561" s="1">
        <f t="shared" si="2197"/>
        <v>0</v>
      </c>
      <c r="BF1561" s="1">
        <f>MIN(4,V1561+0)</f>
        <v>1</v>
      </c>
      <c r="BG1561" s="1">
        <f t="shared" si="2201"/>
        <v>1</v>
      </c>
      <c r="BH1561" s="1">
        <f t="shared" si="2198"/>
        <v>1</v>
      </c>
      <c r="BI1561" s="1">
        <f t="shared" si="2202"/>
        <v>1</v>
      </c>
      <c r="BJ1561" s="1">
        <f>MAX(Z1561,1)</f>
        <v>1</v>
      </c>
      <c r="BK1561" s="1">
        <f>MAX(AA1561,1)</f>
        <v>1</v>
      </c>
      <c r="BL1561" s="1">
        <f t="shared" si="2170"/>
        <v>0</v>
      </c>
      <c r="BM1561" s="1">
        <f t="shared" si="2168"/>
        <v>0</v>
      </c>
      <c r="BN1561" s="1">
        <f t="shared" si="2199"/>
        <v>1</v>
      </c>
      <c r="BO1561" s="1">
        <f t="shared" si="2200"/>
        <v>1</v>
      </c>
    </row>
    <row r="1562" spans="1:67" ht="30.95" customHeight="1">
      <c r="A1562" s="1">
        <f>43</f>
        <v>43</v>
      </c>
      <c r="B1562" s="1">
        <f>固定流程!A14</f>
        <v>9</v>
      </c>
      <c r="C1562" s="1">
        <f>46</f>
        <v>46</v>
      </c>
      <c r="D1562" s="1">
        <f>1</f>
        <v>1</v>
      </c>
      <c r="E1562" s="1">
        <f>固定流程!C14</f>
        <v>2</v>
      </c>
      <c r="F1562" s="1">
        <f>固定流程!G14</f>
        <v>1</v>
      </c>
      <c r="G1562" s="1" t="str">
        <f>固定流程!H14</f>
        <v>LILYA_DIVE</v>
      </c>
      <c r="H1562" s="1">
        <f>固定流程!F14</f>
        <v>3</v>
      </c>
      <c r="I1562" s="1">
        <f>INDEX(配置与结果!$B$15:$B$18,F1562)</f>
        <v>2296</v>
      </c>
      <c r="J1562" s="1">
        <f>INDEX(配置与结果!$D$15:$D$18,F1562)</f>
        <v>0.7</v>
      </c>
      <c r="K1562" s="1">
        <f>INDEX(配置与结果!$E$15:$E$18,F1562)</f>
        <v>2.0249999999999999</v>
      </c>
      <c r="L1562" s="1">
        <f t="shared" ref="L1562:N1566" si="2206">AV1561</f>
        <v>1</v>
      </c>
      <c r="M1562" s="1">
        <f t="shared" si="2206"/>
        <v>7</v>
      </c>
      <c r="N1562" s="1">
        <f t="shared" si="2206"/>
        <v>0</v>
      </c>
      <c r="O1562" s="1">
        <f t="shared" si="2205"/>
        <v>6</v>
      </c>
      <c r="P1562" s="1">
        <f>MIN(方案参数!$AI$46,AZ1561+0+0)</f>
        <v>5</v>
      </c>
      <c r="Q1562" s="1">
        <f t="shared" si="2183"/>
        <v>3</v>
      </c>
      <c r="R1562" s="1">
        <f t="shared" si="2184"/>
        <v>5</v>
      </c>
      <c r="S1562" s="1">
        <f t="shared" si="2185"/>
        <v>1</v>
      </c>
      <c r="T1562" s="1">
        <f t="shared" si="2186"/>
        <v>0</v>
      </c>
      <c r="U1562" s="1">
        <f t="shared" si="2187"/>
        <v>0</v>
      </c>
      <c r="V1562" s="1">
        <f t="shared" si="2188"/>
        <v>1</v>
      </c>
      <c r="W1562" s="1">
        <f t="shared" si="2189"/>
        <v>1</v>
      </c>
      <c r="X1562" s="1">
        <f t="shared" si="2190"/>
        <v>1</v>
      </c>
      <c r="Y1562" s="1">
        <f t="shared" si="2191"/>
        <v>1</v>
      </c>
      <c r="Z1562" s="1">
        <f t="shared" si="2192"/>
        <v>1</v>
      </c>
      <c r="AA1562" s="1">
        <f t="shared" ref="AA1562:AA1567" si="2207">MAX(BK1561,0)</f>
        <v>1</v>
      </c>
      <c r="AB1562" s="1">
        <f t="shared" si="2194"/>
        <v>0</v>
      </c>
      <c r="AC1562" s="1">
        <f t="shared" si="2195"/>
        <v>0</v>
      </c>
      <c r="AD1562" s="1">
        <f>ROUNDDOWN(I1562*(1+IF(F1562=3,0.05+方案参数!$Y$46+AA1562*0.12,IF(F1562=4,方案参数!$BZ$46*方案参数!$AS$46,0)))+IF(AND(X1562=1,F1562&lt;&gt;3),方案参数!$CC$46,0)+AC1562*方案参数!$CB$46,0)</f>
        <v>2534</v>
      </c>
      <c r="AE1562" s="1">
        <f>IF(OR(F1562=1,F1562=4),配置与结果!$B$24,配置与结果!$B$25)*MAX(0,1-INDEX(配置与结果!$I$15:$I$18,F1562))</f>
        <v>1200</v>
      </c>
      <c r="AF1562" s="1">
        <f>(IF(L1562=1,方案参数!$AW$46,IF(L1562=2,方案参数!$AX$46,0))+方案参数!$AV$46)*H1562</f>
        <v>18</v>
      </c>
      <c r="AG1562" s="1">
        <f>MAX(配置与结果!$B$32,1+INDEX(配置与结果!$F$15:$F$18,F1562)+0.08+方案参数!$CD$46+Q1562*方案参数!$W$46+Y1562*(方案参数!$AN$46+MIN(方案参数!$AO$46,P1562*0.03))+AB1562*方案参数!$BZ$46*0.025+IF(L1562=1,方案参数!$AY$46+(H1562-1)*0.1,IF(L1562=2,方案参数!$AZ$46+(H1562-1)*0.2,0))-配置与结果!$B$28)</f>
        <v>1.6</v>
      </c>
      <c r="AH1562" s="1">
        <f>MAX(0,1+INDEX(配置与结果!$G$15:$G$18,F1562)+W1562*方案参数!$AG$46+IF(L1562=1,方案参数!$BA$46,IF(L1562=2,方案参数!$BB$46,0))+M1562*方案参数!$BC$46)</f>
        <v>2.3199999999999998</v>
      </c>
      <c r="AI1562" s="1">
        <f>IF(OR(INDEX(配置与结果!$K$15:$K$18,F1562)=1,G1562="RHI_BERRY"),1+配置与结果!$B$33+P1562*方案参数!$AH$46,1)</f>
        <v>1</v>
      </c>
      <c r="AJ1562" s="1">
        <f>MIN(1,MAX(0,J1562+方案参数!$AB$46-配置与结果!$B$27))</f>
        <v>1</v>
      </c>
      <c r="AK1562" s="1">
        <f>MAX(1,K1562+IF(F1562=2,0.15+方案参数!$CH$46,0)+BN1562*方案参数!$X$46+R1562*方案参数!$AA$46+0-配置与结果!$B$26+Z1562*(方案参数!$AP$46+MIN(方案参数!$AQ$46,P1562*0.03)))</f>
        <v>2.1149999999999998</v>
      </c>
      <c r="AL1562" s="7">
        <f>ROUNDDOWN(MAX(AD1562*配置与结果!$B$31,AD1562-AE1562)*AF1562*AG1562*AH1562*AI1562,0)</f>
        <v>89132</v>
      </c>
      <c r="AM1562" s="7">
        <f>ROUNDDOWN(MAX(AD1562*配置与结果!$B$31,AD1562-AE1562)*AF1562*AG1562*AH1562*AI1562*AK1562,0)</f>
        <v>188515</v>
      </c>
      <c r="AN1562" s="7">
        <f t="shared" si="2174"/>
        <v>188515</v>
      </c>
      <c r="AO1562" s="7">
        <f>0</f>
        <v>0</v>
      </c>
      <c r="AP1562" s="7">
        <f>MAX(0,1+INDEX(配置与结果!$J$15:$J$18,F1562)+IF(T1562&gt;0,方案参数!$BY$46,0)-配置与结果!$B$30)</f>
        <v>1</v>
      </c>
      <c r="AQ1562" s="7">
        <f t="shared" si="2175"/>
        <v>0</v>
      </c>
      <c r="AR1562" s="7">
        <f t="shared" si="2176"/>
        <v>0</v>
      </c>
      <c r="AS1562" s="7">
        <f t="shared" si="2177"/>
        <v>0</v>
      </c>
      <c r="AT1562" s="7">
        <f>0</f>
        <v>0</v>
      </c>
      <c r="AU1562" s="7">
        <f t="shared" si="2178"/>
        <v>188515</v>
      </c>
      <c r="AV1562" s="1">
        <f t="shared" si="2179"/>
        <v>1</v>
      </c>
      <c r="AW1562" s="1">
        <f>MIN(10,M1562+0+IF(L1562=1,方案参数!$BE$46,0))</f>
        <v>8</v>
      </c>
      <c r="AX1562" s="1">
        <f t="shared" si="2180"/>
        <v>0</v>
      </c>
      <c r="AY1562" s="1">
        <f t="shared" si="2203"/>
        <v>6</v>
      </c>
      <c r="AZ1562" s="1">
        <f t="shared" si="2181"/>
        <v>5</v>
      </c>
      <c r="BA1562" s="1">
        <f>MIN(6,Q1562+0)</f>
        <v>3</v>
      </c>
      <c r="BB1562" s="1">
        <f t="shared" si="2196"/>
        <v>5</v>
      </c>
      <c r="BC1562" s="1">
        <f>MIN(3,S1562+0)</f>
        <v>1</v>
      </c>
      <c r="BD1562" s="1">
        <f t="shared" si="2204"/>
        <v>0</v>
      </c>
      <c r="BE1562" s="1">
        <f t="shared" si="2197"/>
        <v>0</v>
      </c>
      <c r="BF1562" s="1">
        <f>MIN(4,V1562+0)</f>
        <v>1</v>
      </c>
      <c r="BG1562" s="1">
        <f t="shared" si="2201"/>
        <v>1</v>
      </c>
      <c r="BH1562" s="1">
        <f t="shared" si="2198"/>
        <v>1</v>
      </c>
      <c r="BI1562" s="1">
        <f t="shared" si="2202"/>
        <v>1</v>
      </c>
      <c r="BJ1562" s="1">
        <f t="shared" ref="BJ1562:BK1567" si="2208">MAX(Z1562,0)</f>
        <v>1</v>
      </c>
      <c r="BK1562" s="1">
        <f t="shared" si="2208"/>
        <v>1</v>
      </c>
      <c r="BL1562" s="1">
        <f t="shared" si="2170"/>
        <v>0</v>
      </c>
      <c r="BM1562" s="1">
        <f t="shared" si="2168"/>
        <v>0</v>
      </c>
      <c r="BN1562" s="1">
        <f t="shared" si="2199"/>
        <v>1</v>
      </c>
      <c r="BO1562" s="1">
        <f t="shared" si="2200"/>
        <v>1</v>
      </c>
    </row>
    <row r="1563" spans="1:67" ht="30.95" customHeight="1">
      <c r="A1563" s="1">
        <f>43</f>
        <v>43</v>
      </c>
      <c r="B1563" s="1">
        <f>固定流程!A15</f>
        <v>10</v>
      </c>
      <c r="C1563" s="1">
        <f>46</f>
        <v>46</v>
      </c>
      <c r="D1563" s="1">
        <f>1</f>
        <v>1</v>
      </c>
      <c r="E1563" s="1">
        <f>固定流程!C15</f>
        <v>2</v>
      </c>
      <c r="F1563" s="1">
        <f>固定流程!G15</f>
        <v>4</v>
      </c>
      <c r="G1563" s="1" t="str">
        <f>固定流程!H15</f>
        <v>J_HARD</v>
      </c>
      <c r="H1563" s="1">
        <f>固定流程!F15</f>
        <v>1</v>
      </c>
      <c r="I1563" s="1">
        <f>INDEX(配置与结果!$B$15:$B$18,F1563)</f>
        <v>1906</v>
      </c>
      <c r="J1563" s="1">
        <f>INDEX(配置与结果!$D$15:$D$18,F1563)</f>
        <v>0.36699999999999999</v>
      </c>
      <c r="K1563" s="1">
        <f>INDEX(配置与结果!$E$15:$E$18,F1563)</f>
        <v>1.7170000000000001</v>
      </c>
      <c r="L1563" s="1">
        <f t="shared" si="2206"/>
        <v>1</v>
      </c>
      <c r="M1563" s="1">
        <f t="shared" si="2206"/>
        <v>8</v>
      </c>
      <c r="N1563" s="1">
        <f t="shared" si="2206"/>
        <v>0</v>
      </c>
      <c r="O1563" s="1">
        <f t="shared" si="2205"/>
        <v>6</v>
      </c>
      <c r="P1563" s="1">
        <f>MIN(方案参数!$AI$46,AZ1562+0+0)</f>
        <v>5</v>
      </c>
      <c r="Q1563" s="1">
        <f t="shared" si="2183"/>
        <v>3</v>
      </c>
      <c r="R1563" s="1">
        <f t="shared" si="2184"/>
        <v>5</v>
      </c>
      <c r="S1563" s="1">
        <f t="shared" si="2185"/>
        <v>1</v>
      </c>
      <c r="T1563" s="1">
        <f t="shared" si="2186"/>
        <v>0</v>
      </c>
      <c r="U1563" s="1">
        <f t="shared" si="2187"/>
        <v>0</v>
      </c>
      <c r="V1563" s="1">
        <f t="shared" si="2188"/>
        <v>1</v>
      </c>
      <c r="W1563" s="1">
        <f t="shared" si="2189"/>
        <v>1</v>
      </c>
      <c r="X1563" s="1">
        <f t="shared" si="2190"/>
        <v>1</v>
      </c>
      <c r="Y1563" s="1">
        <f t="shared" si="2191"/>
        <v>1</v>
      </c>
      <c r="Z1563" s="1">
        <f t="shared" si="2192"/>
        <v>1</v>
      </c>
      <c r="AA1563" s="1">
        <f t="shared" si="2207"/>
        <v>1</v>
      </c>
      <c r="AB1563" s="1">
        <f t="shared" si="2194"/>
        <v>0</v>
      </c>
      <c r="AC1563" s="1">
        <f t="shared" si="2195"/>
        <v>0</v>
      </c>
      <c r="AD1563" s="1">
        <f>ROUNDDOWN(I1563*(1+IF(F1563=3,0.05+方案参数!$Y$46+AA1563*0.12,IF(F1563=4,方案参数!$BZ$46*方案参数!$AS$46,0)))+IF(AND(X1563=1,F1563&lt;&gt;3),方案参数!$CC$46,0)+AC1563*方案参数!$CB$46,0)</f>
        <v>2811</v>
      </c>
      <c r="AE1563" s="1">
        <f>IF(OR(F1563=1,F1563=4),配置与结果!$B$24,配置与结果!$B$25)*MAX(0,1-INDEX(配置与结果!$I$15:$I$18,F1563))</f>
        <v>1200</v>
      </c>
      <c r="AF1563" s="1">
        <f>3.6*IF(H1563=1,1,IF(H1563=2,1.5,2.5))</f>
        <v>3.6</v>
      </c>
      <c r="AG1563" s="1">
        <f>MAX(配置与结果!$B$32,1+INDEX(配置与结果!$F$15:$F$18,F1563)+0.08+Q1563*方案参数!$W$46+Y1563*(方案参数!$AN$46+MIN(方案参数!$AO$46,P1563*0.03))+AB1563*方案参数!$BZ$46*0.025+0.1+IF(方案参数!$BZ$46&gt;=30,方案参数!$BZ$46*0.01,0)-配置与结果!$B$28)</f>
        <v>1.5150000000000001</v>
      </c>
      <c r="AH1563" s="1">
        <f>MAX(0,1+INDEX(配置与结果!$G$15:$G$18,F1563)+W1563*方案参数!$AG$46)</f>
        <v>1.3</v>
      </c>
      <c r="AI1563" s="1">
        <f>IF(OR(INDEX(配置与结果!$K$15:$K$18,F1563)=1,G1563="RHI_BERRY"),1+配置与结果!$B$33+P1563*方案参数!$AH$46,1)</f>
        <v>1</v>
      </c>
      <c r="AJ1563" s="1">
        <f>MIN(1,MAX(0,J1563+方案参数!$AB$46-配置与结果!$B$27))</f>
        <v>0.66700000000000004</v>
      </c>
      <c r="AK1563" s="1">
        <f>MAX(1,K1563+IF(F1563=2,0.15+方案参数!$CH$46,0)+BN1563*方案参数!$X$46+R1563*方案参数!$AA$46+0-配置与结果!$B$26+Z1563*(方案参数!$AP$46+MIN(方案参数!$AQ$46,P1563*0.03)))</f>
        <v>1.8070000000000002</v>
      </c>
      <c r="AL1563" s="7">
        <f>ROUNDDOWN(MAX(AD1563*配置与结果!$B$31,AD1563-AE1563)*AF1563*AG1563*AH1563*AI1563,0)</f>
        <v>11422</v>
      </c>
      <c r="AM1563" s="7">
        <f>ROUNDDOWN(MAX(AD1563*配置与结果!$B$31,AD1563-AE1563)*AF1563*AG1563*AH1563*AI1563*AK1563,0)</f>
        <v>20640</v>
      </c>
      <c r="AN1563" s="7">
        <f t="shared" si="2174"/>
        <v>17570.405999999999</v>
      </c>
      <c r="AO1563" s="7">
        <f>0</f>
        <v>0</v>
      </c>
      <c r="AP1563" s="7">
        <f>MAX(0,1+INDEX(配置与结果!$J$15:$J$18,F1563)+IF(T1563&gt;0,方案参数!$BY$46,0)-配置与结果!$B$30)</f>
        <v>1</v>
      </c>
      <c r="AQ1563" s="7">
        <f t="shared" si="2175"/>
        <v>0</v>
      </c>
      <c r="AR1563" s="7">
        <f t="shared" si="2176"/>
        <v>0</v>
      </c>
      <c r="AS1563" s="7">
        <f t="shared" si="2177"/>
        <v>0</v>
      </c>
      <c r="AT1563" s="7">
        <f>0</f>
        <v>0</v>
      </c>
      <c r="AU1563" s="7">
        <f t="shared" si="2178"/>
        <v>17570.405999999999</v>
      </c>
      <c r="AV1563" s="1">
        <f t="shared" si="2179"/>
        <v>1</v>
      </c>
      <c r="AW1563" s="1">
        <f t="shared" ref="AW1563:AW1573" si="2209">MIN(10,M1563+0+0)</f>
        <v>8</v>
      </c>
      <c r="AX1563" s="1">
        <f t="shared" si="2180"/>
        <v>0</v>
      </c>
      <c r="AY1563" s="1">
        <f t="shared" si="2203"/>
        <v>6</v>
      </c>
      <c r="AZ1563" s="1">
        <f t="shared" si="2181"/>
        <v>5</v>
      </c>
      <c r="BA1563" s="1">
        <f>MIN(6,Q1563+0)</f>
        <v>3</v>
      </c>
      <c r="BB1563" s="1">
        <f t="shared" si="2196"/>
        <v>5</v>
      </c>
      <c r="BC1563" s="1">
        <f>MIN(3,S1563+1)</f>
        <v>2</v>
      </c>
      <c r="BD1563" s="1">
        <f t="shared" si="2204"/>
        <v>0</v>
      </c>
      <c r="BE1563" s="1">
        <f t="shared" si="2197"/>
        <v>0</v>
      </c>
      <c r="BF1563" s="1">
        <f>MIN(4,V1563+0)</f>
        <v>1</v>
      </c>
      <c r="BG1563" s="1">
        <f t="shared" si="2201"/>
        <v>1</v>
      </c>
      <c r="BH1563" s="1">
        <f t="shared" si="2198"/>
        <v>1</v>
      </c>
      <c r="BI1563" s="1">
        <f t="shared" si="2202"/>
        <v>1</v>
      </c>
      <c r="BJ1563" s="1">
        <f t="shared" si="2208"/>
        <v>1</v>
      </c>
      <c r="BK1563" s="1">
        <f t="shared" si="2208"/>
        <v>1</v>
      </c>
      <c r="BL1563" s="1">
        <f t="shared" si="2170"/>
        <v>0</v>
      </c>
      <c r="BM1563" s="1">
        <f t="shared" si="2168"/>
        <v>0</v>
      </c>
      <c r="BN1563" s="1">
        <f t="shared" si="2199"/>
        <v>1</v>
      </c>
      <c r="BO1563" s="1">
        <f t="shared" si="2200"/>
        <v>1</v>
      </c>
    </row>
    <row r="1564" spans="1:67" ht="30.95" customHeight="1">
      <c r="A1564" s="1">
        <f>43</f>
        <v>43</v>
      </c>
      <c r="B1564" s="1">
        <f>固定流程!A16</f>
        <v>11</v>
      </c>
      <c r="C1564" s="1">
        <f>46</f>
        <v>46</v>
      </c>
      <c r="D1564" s="1">
        <f>1</f>
        <v>1</v>
      </c>
      <c r="E1564" s="1">
        <f>固定流程!C16</f>
        <v>2</v>
      </c>
      <c r="F1564" s="1">
        <f>固定流程!G16</f>
        <v>2</v>
      </c>
      <c r="G1564" s="1" t="str">
        <f>固定流程!H16</f>
        <v>37_CURVE</v>
      </c>
      <c r="H1564" s="1">
        <f>固定流程!F16</f>
        <v>1</v>
      </c>
      <c r="I1564" s="1">
        <f>INDEX(配置与结果!$B$15:$B$18,F1564)</f>
        <v>2306</v>
      </c>
      <c r="J1564" s="1">
        <f>INDEX(配置与结果!$D$15:$D$18,F1564)</f>
        <v>0.46</v>
      </c>
      <c r="K1564" s="1">
        <f>INDEX(配置与结果!$E$15:$E$18,F1564)</f>
        <v>1.9279999999999999</v>
      </c>
      <c r="L1564" s="1">
        <f t="shared" si="2206"/>
        <v>1</v>
      </c>
      <c r="M1564" s="1">
        <f t="shared" si="2206"/>
        <v>8</v>
      </c>
      <c r="N1564" s="1">
        <f t="shared" si="2206"/>
        <v>0</v>
      </c>
      <c r="O1564" s="1">
        <f t="shared" si="2205"/>
        <v>6</v>
      </c>
      <c r="P1564" s="1">
        <f>MIN(方案参数!$AI$46,AZ1563+0+0)</f>
        <v>5</v>
      </c>
      <c r="Q1564" s="1">
        <f t="shared" si="2183"/>
        <v>3</v>
      </c>
      <c r="R1564" s="1">
        <f t="shared" si="2184"/>
        <v>5</v>
      </c>
      <c r="S1564" s="1">
        <f t="shared" si="2185"/>
        <v>2</v>
      </c>
      <c r="T1564" s="1">
        <f t="shared" si="2186"/>
        <v>0</v>
      </c>
      <c r="U1564" s="1">
        <f t="shared" si="2187"/>
        <v>0</v>
      </c>
      <c r="V1564" s="1">
        <f t="shared" si="2188"/>
        <v>1</v>
      </c>
      <c r="W1564" s="1">
        <f t="shared" si="2189"/>
        <v>1</v>
      </c>
      <c r="X1564" s="1">
        <f t="shared" si="2190"/>
        <v>1</v>
      </c>
      <c r="Y1564" s="1">
        <f t="shared" si="2191"/>
        <v>1</v>
      </c>
      <c r="Z1564" s="1">
        <f t="shared" si="2192"/>
        <v>1</v>
      </c>
      <c r="AA1564" s="1">
        <f t="shared" si="2207"/>
        <v>1</v>
      </c>
      <c r="AB1564" s="1">
        <f t="shared" si="2194"/>
        <v>0</v>
      </c>
      <c r="AC1564" s="1">
        <f t="shared" si="2195"/>
        <v>0</v>
      </c>
      <c r="AD1564" s="1">
        <f>ROUNDDOWN(I1564*(1+IF(F1564=3,0.05+方案参数!$Y$46+AA1564*0.12,IF(F1564=4,方案参数!$BZ$46*方案参数!$AS$46,0)))+IF(AND(X1564=1,F1564&lt;&gt;3),方案参数!$CC$46,0)+AC1564*方案参数!$CB$46,0)</f>
        <v>2544</v>
      </c>
      <c r="AE1564" s="1">
        <f>IF(OR(F1564=1,F1564=4),配置与结果!$B$24,配置与结果!$B$25)*MAX(0,1-INDEX(配置与结果!$I$15:$I$18,F1564))</f>
        <v>1000</v>
      </c>
      <c r="AF1564" s="1">
        <f>方案参数!$BT$46*IF(H1564=1,1,IF(H1564=2,1.5,2.5))</f>
        <v>1.4</v>
      </c>
      <c r="AG1564" s="1">
        <f>MAX(配置与结果!$B$32,1+INDEX(配置与结果!$F$15:$F$18,F1564)+0+Q1564*方案参数!$W$46+Y1564*(方案参数!$AN$46+MIN(方案参数!$AO$46,P1564*0.03))+AB1564*方案参数!$BZ$46*0.025-配置与结果!$B$28)</f>
        <v>0.96499999999999997</v>
      </c>
      <c r="AH1564" s="1">
        <f>MAX(0,1+INDEX(配置与结果!$G$15:$G$18,F1564)+W1564*方案参数!$AG$46)</f>
        <v>1.3</v>
      </c>
      <c r="AI1564" s="1">
        <f>IF(OR(INDEX(配置与结果!$K$15:$K$18,F1564)=1,G1564="RHI_BERRY"),1+配置与结果!$B$33+P1564*方案参数!$AH$46,1)</f>
        <v>1</v>
      </c>
      <c r="AJ1564" s="1">
        <f>MIN(1,MAX(0,J1564+方案参数!$AB$46-配置与结果!$B$27))</f>
        <v>0.76</v>
      </c>
      <c r="AK1564" s="1">
        <f>MAX(1,K1564+IF(F1564=2,0.15+方案参数!$CH$46,0)+BN1564*方案参数!$X$46+R1564*方案参数!$AA$46+0-配置与结果!$B$26+Z1564*(方案参数!$AP$46+MIN(方案参数!$AQ$46,P1564*0.03)))</f>
        <v>2.2879999999999998</v>
      </c>
      <c r="AL1564" s="7">
        <f>ROUNDDOWN(MAX(AD1564*配置与结果!$B$31,AD1564-AE1564)*AF1564*AG1564*AH1564*AI1564,0)</f>
        <v>2711</v>
      </c>
      <c r="AM1564" s="7">
        <f>ROUNDDOWN(MAX(AD1564*配置与结果!$B$31,AD1564-AE1564)*AF1564*AG1564*AH1564*AI1564*AK1564,0)</f>
        <v>6204</v>
      </c>
      <c r="AN1564" s="7">
        <f t="shared" si="2174"/>
        <v>5365.68</v>
      </c>
      <c r="AO1564" s="7">
        <f>方案参数!$BU$46*IF(H1564=1,1,IF(H1564=2,1.5,2.5))</f>
        <v>0.8</v>
      </c>
      <c r="AP1564" s="7">
        <f>MAX(0,1+INDEX(配置与结果!$J$15:$J$18,F1564)+IF(T1564&gt;0,方案参数!$BY$46,0)-配置与结果!$B$30)</f>
        <v>1</v>
      </c>
      <c r="AQ1564" s="7">
        <f t="shared" si="2175"/>
        <v>2035</v>
      </c>
      <c r="AR1564" s="7">
        <f t="shared" si="2176"/>
        <v>4656</v>
      </c>
      <c r="AS1564" s="7">
        <f t="shared" si="2177"/>
        <v>4026.96</v>
      </c>
      <c r="AT1564" s="7">
        <f>0</f>
        <v>0</v>
      </c>
      <c r="AU1564" s="7">
        <f t="shared" si="2178"/>
        <v>9392.64</v>
      </c>
      <c r="AV1564" s="1">
        <f t="shared" si="2179"/>
        <v>1</v>
      </c>
      <c r="AW1564" s="1">
        <f t="shared" si="2209"/>
        <v>8</v>
      </c>
      <c r="AX1564" s="1">
        <f t="shared" si="2180"/>
        <v>0</v>
      </c>
      <c r="AY1564" s="1">
        <f t="shared" si="2203"/>
        <v>6</v>
      </c>
      <c r="AZ1564" s="1">
        <f t="shared" si="2181"/>
        <v>5</v>
      </c>
      <c r="BA1564" s="1">
        <f>MIN(6,Q1564+0)</f>
        <v>3</v>
      </c>
      <c r="BB1564" s="1">
        <f t="shared" si="2196"/>
        <v>5</v>
      </c>
      <c r="BC1564" s="1">
        <f t="shared" ref="BC1564:BC1570" si="2210">MIN(3,S1564+0)</f>
        <v>2</v>
      </c>
      <c r="BD1564" s="1">
        <f t="shared" si="2204"/>
        <v>0</v>
      </c>
      <c r="BE1564" s="1">
        <f t="shared" si="2197"/>
        <v>0</v>
      </c>
      <c r="BF1564" s="1">
        <f>MIN(4,V1564+0)</f>
        <v>1</v>
      </c>
      <c r="BG1564" s="1">
        <f t="shared" si="2201"/>
        <v>1</v>
      </c>
      <c r="BH1564" s="1">
        <f t="shared" si="2198"/>
        <v>1</v>
      </c>
      <c r="BI1564" s="1">
        <f t="shared" si="2202"/>
        <v>1</v>
      </c>
      <c r="BJ1564" s="1">
        <f t="shared" si="2208"/>
        <v>1</v>
      </c>
      <c r="BK1564" s="1">
        <f t="shared" si="2208"/>
        <v>1</v>
      </c>
      <c r="BL1564" s="1">
        <f t="shared" si="2170"/>
        <v>0</v>
      </c>
      <c r="BM1564" s="1">
        <f t="shared" si="2168"/>
        <v>0</v>
      </c>
      <c r="BN1564" s="1">
        <f t="shared" si="2199"/>
        <v>1</v>
      </c>
      <c r="BO1564" s="1">
        <f t="shared" si="2200"/>
        <v>1</v>
      </c>
    </row>
    <row r="1565" spans="1:67" ht="30.95" customHeight="1">
      <c r="A1565" s="1">
        <f>43</f>
        <v>43</v>
      </c>
      <c r="B1565" s="1">
        <f>固定流程!A17</f>
        <v>12</v>
      </c>
      <c r="C1565" s="1">
        <f>46</f>
        <v>46</v>
      </c>
      <c r="D1565" s="1">
        <f>1</f>
        <v>1</v>
      </c>
      <c r="E1565" s="1">
        <f>固定流程!C17</f>
        <v>2</v>
      </c>
      <c r="F1565" s="1">
        <f>固定流程!G17</f>
        <v>2</v>
      </c>
      <c r="G1565" s="1" t="str">
        <f>固定流程!H17</f>
        <v>37_FOLLOW</v>
      </c>
      <c r="H1565" s="1">
        <f>固定流程!F17</f>
        <v>1</v>
      </c>
      <c r="I1565" s="1">
        <f>INDEX(配置与结果!$B$15:$B$18,F1565)</f>
        <v>2306</v>
      </c>
      <c r="J1565" s="1">
        <f>INDEX(配置与结果!$D$15:$D$18,F1565)</f>
        <v>0.46</v>
      </c>
      <c r="K1565" s="1">
        <f>INDEX(配置与结果!$E$15:$E$18,F1565)</f>
        <v>1.9279999999999999</v>
      </c>
      <c r="L1565" s="1">
        <f t="shared" si="2206"/>
        <v>1</v>
      </c>
      <c r="M1565" s="1">
        <f t="shared" si="2206"/>
        <v>8</v>
      </c>
      <c r="N1565" s="1">
        <f t="shared" si="2206"/>
        <v>0</v>
      </c>
      <c r="O1565" s="1">
        <f t="shared" si="2205"/>
        <v>6</v>
      </c>
      <c r="P1565" s="1">
        <f>MIN(方案参数!$AI$46,AZ1564+0+0)</f>
        <v>5</v>
      </c>
      <c r="Q1565" s="1">
        <f t="shared" si="2183"/>
        <v>3</v>
      </c>
      <c r="R1565" s="1">
        <f t="shared" si="2184"/>
        <v>5</v>
      </c>
      <c r="S1565" s="1">
        <f t="shared" si="2185"/>
        <v>2</v>
      </c>
      <c r="T1565" s="1">
        <f t="shared" si="2186"/>
        <v>0</v>
      </c>
      <c r="U1565" s="1">
        <f t="shared" si="2187"/>
        <v>0</v>
      </c>
      <c r="V1565" s="1">
        <f t="shared" si="2188"/>
        <v>1</v>
      </c>
      <c r="W1565" s="1">
        <f t="shared" si="2189"/>
        <v>1</v>
      </c>
      <c r="X1565" s="1">
        <f t="shared" si="2190"/>
        <v>1</v>
      </c>
      <c r="Y1565" s="1">
        <f t="shared" si="2191"/>
        <v>1</v>
      </c>
      <c r="Z1565" s="1">
        <f t="shared" si="2192"/>
        <v>1</v>
      </c>
      <c r="AA1565" s="1">
        <f t="shared" si="2207"/>
        <v>1</v>
      </c>
      <c r="AB1565" s="1">
        <f t="shared" si="2194"/>
        <v>0</v>
      </c>
      <c r="AC1565" s="1">
        <f t="shared" si="2195"/>
        <v>0</v>
      </c>
      <c r="AD1565" s="1">
        <f>ROUNDDOWN(I1565*(1+IF(F1565=3,0.05+方案参数!$Y$46+AA1565*0.12,IF(F1565=4,方案参数!$BZ$46*方案参数!$AS$46,0)))+IF(AND(X1565=1,F1565&lt;&gt;3),方案参数!$CC$46,0)+AC1565*方案参数!$CB$46,0)</f>
        <v>2544</v>
      </c>
      <c r="AE1565" s="1">
        <f>IF(OR(F1565=1,F1565=4),配置与结果!$B$24,配置与结果!$B$25)*MAX(0,1-INDEX(配置与结果!$I$15:$I$18,F1565))</f>
        <v>1000</v>
      </c>
      <c r="AF1565" s="1">
        <f>方案参数!$BV$46</f>
        <v>3</v>
      </c>
      <c r="AG1565" s="1">
        <f>MAX(配置与结果!$B$32,1+INDEX(配置与结果!$F$15:$F$18,F1565)+0+Q1565*方案参数!$W$46+Y1565*(方案参数!$AN$46+MIN(方案参数!$AO$46,P1565*0.03))+AB1565*方案参数!$BZ$46*0.025-配置与结果!$B$28)</f>
        <v>0.96499999999999997</v>
      </c>
      <c r="AH1565" s="1">
        <f>MAX(0,1+INDEX(配置与结果!$G$15:$G$18,F1565)+W1565*方案参数!$AG$46)</f>
        <v>1.3</v>
      </c>
      <c r="AI1565" s="1">
        <f>IF(OR(INDEX(配置与结果!$K$15:$K$18,F1565)=1,G1565="RHI_BERRY"),1+配置与结果!$B$33+P1565*方案参数!$AH$46,1)</f>
        <v>1</v>
      </c>
      <c r="AJ1565" s="1">
        <f>MIN(1,MAX(0,J1565+方案参数!$AB$46-配置与结果!$B$27))</f>
        <v>0.76</v>
      </c>
      <c r="AK1565" s="1">
        <f>MAX(1,K1565+IF(F1565=2,0.15+方案参数!$CH$46,0)+BN1565*方案参数!$X$46+R1565*方案参数!$AA$46+0-配置与结果!$B$26+Z1565*(方案参数!$AP$46+MIN(方案参数!$AQ$46,P1565*0.03)))</f>
        <v>2.2879999999999998</v>
      </c>
      <c r="AL1565" s="7">
        <f>ROUNDDOWN(MAX(AD1565*配置与结果!$B$31,AD1565-AE1565)*AF1565*AG1565*AH1565*AI1565,0)</f>
        <v>5810</v>
      </c>
      <c r="AM1565" s="7">
        <f>ROUNDDOWN(MAX(AD1565*配置与结果!$B$31,AD1565-AE1565)*AF1565*AG1565*AH1565*AI1565*AK1565,0)</f>
        <v>13295</v>
      </c>
      <c r="AN1565" s="7">
        <f t="shared" si="2174"/>
        <v>11498.6</v>
      </c>
      <c r="AO1565" s="7">
        <f>方案参数!$BW$46</f>
        <v>1</v>
      </c>
      <c r="AP1565" s="7">
        <f>MAX(0,1+INDEX(配置与结果!$J$15:$J$18,F1565)+IF(T1565&gt;0,方案参数!$BY$46,0)-配置与结果!$B$30)</f>
        <v>1</v>
      </c>
      <c r="AQ1565" s="7">
        <f t="shared" si="2175"/>
        <v>2544</v>
      </c>
      <c r="AR1565" s="7">
        <f t="shared" si="2176"/>
        <v>5820</v>
      </c>
      <c r="AS1565" s="7">
        <f t="shared" si="2177"/>
        <v>5033.76</v>
      </c>
      <c r="AT1565" s="7">
        <f>0</f>
        <v>0</v>
      </c>
      <c r="AU1565" s="7">
        <f t="shared" si="2178"/>
        <v>16532.36</v>
      </c>
      <c r="AV1565" s="1">
        <f t="shared" si="2179"/>
        <v>1</v>
      </c>
      <c r="AW1565" s="1">
        <f t="shared" si="2209"/>
        <v>8</v>
      </c>
      <c r="AX1565" s="1">
        <f t="shared" si="2180"/>
        <v>0</v>
      </c>
      <c r="AY1565" s="1">
        <f t="shared" si="2203"/>
        <v>6</v>
      </c>
      <c r="AZ1565" s="1">
        <f t="shared" si="2181"/>
        <v>5</v>
      </c>
      <c r="BA1565" s="1">
        <f>MIN(6,Q1565+0)</f>
        <v>3</v>
      </c>
      <c r="BB1565" s="1">
        <f t="shared" si="2196"/>
        <v>5</v>
      </c>
      <c r="BC1565" s="1">
        <f t="shared" si="2210"/>
        <v>2</v>
      </c>
      <c r="BD1565" s="1">
        <f t="shared" si="2204"/>
        <v>0</v>
      </c>
      <c r="BE1565" s="1">
        <f t="shared" si="2197"/>
        <v>0</v>
      </c>
      <c r="BF1565" s="1">
        <f>MIN(4,V1565+1)</f>
        <v>2</v>
      </c>
      <c r="BG1565" s="1">
        <f t="shared" si="2201"/>
        <v>1</v>
      </c>
      <c r="BH1565" s="1">
        <f t="shared" si="2198"/>
        <v>1</v>
      </c>
      <c r="BI1565" s="1">
        <f t="shared" si="2202"/>
        <v>1</v>
      </c>
      <c r="BJ1565" s="1">
        <f t="shared" si="2208"/>
        <v>1</v>
      </c>
      <c r="BK1565" s="1">
        <f t="shared" si="2208"/>
        <v>1</v>
      </c>
      <c r="BL1565" s="1">
        <f t="shared" si="2170"/>
        <v>0</v>
      </c>
      <c r="BM1565" s="1">
        <f t="shared" si="2168"/>
        <v>0</v>
      </c>
      <c r="BN1565" s="1">
        <f t="shared" si="2199"/>
        <v>1</v>
      </c>
      <c r="BO1565" s="1">
        <f t="shared" si="2200"/>
        <v>1</v>
      </c>
    </row>
    <row r="1566" spans="1:67" ht="30.95" customHeight="1">
      <c r="A1566" s="1">
        <f>43</f>
        <v>43</v>
      </c>
      <c r="B1566" s="1">
        <f>固定流程!A18</f>
        <v>13</v>
      </c>
      <c r="C1566" s="1">
        <f>46</f>
        <v>46</v>
      </c>
      <c r="D1566" s="1">
        <f>1</f>
        <v>1</v>
      </c>
      <c r="E1566" s="1">
        <f>固定流程!C18</f>
        <v>2</v>
      </c>
      <c r="F1566" s="1">
        <f>固定流程!G18</f>
        <v>3</v>
      </c>
      <c r="G1566" s="1" t="str">
        <f>固定流程!H18</f>
        <v>RHI_BERRY</v>
      </c>
      <c r="H1566" s="1">
        <f>固定流程!F18</f>
        <v>1</v>
      </c>
      <c r="I1566" s="1">
        <f>INDEX(配置与结果!$B$15:$B$18,F1566)</f>
        <v>2597</v>
      </c>
      <c r="J1566" s="1">
        <f>INDEX(配置与结果!$D$15:$D$18,F1566)</f>
        <v>0.255</v>
      </c>
      <c r="K1566" s="1">
        <f>INDEX(配置与结果!$E$15:$E$18,F1566)</f>
        <v>1.55</v>
      </c>
      <c r="L1566" s="1">
        <f t="shared" si="2206"/>
        <v>1</v>
      </c>
      <c r="M1566" s="1">
        <f t="shared" si="2206"/>
        <v>8</v>
      </c>
      <c r="N1566" s="1">
        <f t="shared" si="2206"/>
        <v>0</v>
      </c>
      <c r="O1566" s="1">
        <f t="shared" si="2205"/>
        <v>6</v>
      </c>
      <c r="P1566" s="1">
        <f>MIN(方案参数!$AI$46,AZ1565+0+0)</f>
        <v>5</v>
      </c>
      <c r="Q1566" s="1">
        <f t="shared" si="2183"/>
        <v>3</v>
      </c>
      <c r="R1566" s="1">
        <f t="shared" si="2184"/>
        <v>5</v>
      </c>
      <c r="S1566" s="1">
        <f t="shared" si="2185"/>
        <v>2</v>
      </c>
      <c r="T1566" s="1">
        <f t="shared" si="2186"/>
        <v>0</v>
      </c>
      <c r="U1566" s="1">
        <f t="shared" si="2187"/>
        <v>0</v>
      </c>
      <c r="V1566" s="1">
        <f t="shared" si="2188"/>
        <v>2</v>
      </c>
      <c r="W1566" s="1">
        <f t="shared" si="2189"/>
        <v>1</v>
      </c>
      <c r="X1566" s="1">
        <f t="shared" si="2190"/>
        <v>1</v>
      </c>
      <c r="Y1566" s="1">
        <f t="shared" si="2191"/>
        <v>1</v>
      </c>
      <c r="Z1566" s="1">
        <f t="shared" si="2192"/>
        <v>1</v>
      </c>
      <c r="AA1566" s="1">
        <f t="shared" si="2207"/>
        <v>1</v>
      </c>
      <c r="AB1566" s="1">
        <f t="shared" si="2194"/>
        <v>0</v>
      </c>
      <c r="AC1566" s="1">
        <f t="shared" si="2195"/>
        <v>0</v>
      </c>
      <c r="AD1566" s="1">
        <f>ROUNDDOWN(I1566*(1+IF(F1566=3,0.05+方案参数!$Y$46+AA1566*0.12,IF(F1566=4,方案参数!$BZ$46*方案参数!$AS$46,0)))+IF(AND(X1566=1,F1566&lt;&gt;3),方案参数!$CC$46,0)+AC1566*方案参数!$CB$46,0)</f>
        <v>3298</v>
      </c>
      <c r="AE1566" s="1">
        <f>IF(OR(F1566=1,F1566=4),配置与结果!$B$24,配置与结果!$B$25)*MAX(0,1-INDEX(配置与结果!$I$15:$I$18,F1566))</f>
        <v>1000</v>
      </c>
      <c r="AF1566" s="1">
        <f>方案参数!$CF$46+P1566*方案参数!$CG$46</f>
        <v>22.5</v>
      </c>
      <c r="AG1566" s="1">
        <f>MAX(配置与结果!$B$32,1+INDEX(配置与结果!$F$15:$F$18,F1566)+0+Q1566*方案参数!$W$46+Y1566*(方案参数!$AN$46+MIN(方案参数!$AO$46,P1566*0.03))+AB1566*方案参数!$BZ$46*0.025-配置与结果!$B$28)</f>
        <v>0.995</v>
      </c>
      <c r="AH1566" s="1">
        <f>MAX(0,1+INDEX(配置与结果!$G$15:$G$18,F1566)+W1566*方案参数!$AG$46)</f>
        <v>1.3</v>
      </c>
      <c r="AI1566" s="1">
        <f>IF(OR(INDEX(配置与结果!$K$15:$K$18,F1566)=1,G1566="RHI_BERRY"),1+配置与结果!$B$33+P1566*方案参数!$AH$46,1)</f>
        <v>1.5</v>
      </c>
      <c r="AJ1566" s="1">
        <f>MIN(1,MAX(0,J1566+方案参数!$AB$46-配置与结果!$B$27))</f>
        <v>0.55499999999999994</v>
      </c>
      <c r="AK1566" s="1">
        <f>MAX(1,K1566+IF(F1566=2,0.15+方案参数!$CH$46,0)+BN1566*方案参数!$X$46+R1566*方案参数!$AA$46+0-配置与结果!$B$26+Z1566*(方案参数!$AP$46+MIN(方案参数!$AQ$46,P1566*0.03)))</f>
        <v>1.64</v>
      </c>
      <c r="AL1566" s="7">
        <f>ROUNDDOWN(MAX(AD1566*配置与结果!$B$31,AD1566-AE1566)*AF1566*AG1566*AH1566*AI1566,0)</f>
        <v>100320</v>
      </c>
      <c r="AM1566" s="7">
        <f>ROUNDDOWN(MAX(AD1566*配置与结果!$B$31,AD1566-AE1566)*AF1566*AG1566*AH1566*AI1566*AK1566,0)</f>
        <v>164525</v>
      </c>
      <c r="AN1566" s="7">
        <f t="shared" si="2174"/>
        <v>135953.77499999999</v>
      </c>
      <c r="AO1566" s="7">
        <f>0</f>
        <v>0</v>
      </c>
      <c r="AP1566" s="7">
        <f>MAX(0,1+INDEX(配置与结果!$J$15:$J$18,F1566)+IF(T1566&gt;0,方案参数!$BY$46,0)-配置与结果!$B$30)</f>
        <v>1</v>
      </c>
      <c r="AQ1566" s="7">
        <f t="shared" si="2175"/>
        <v>0</v>
      </c>
      <c r="AR1566" s="7">
        <f t="shared" si="2176"/>
        <v>0</v>
      </c>
      <c r="AS1566" s="7">
        <f t="shared" si="2177"/>
        <v>0</v>
      </c>
      <c r="AT1566" s="7">
        <f>0</f>
        <v>0</v>
      </c>
      <c r="AU1566" s="7">
        <f t="shared" si="2178"/>
        <v>135953.77499999999</v>
      </c>
      <c r="AV1566" s="1">
        <f t="shared" si="2179"/>
        <v>1</v>
      </c>
      <c r="AW1566" s="1">
        <f t="shared" si="2209"/>
        <v>8</v>
      </c>
      <c r="AX1566" s="1">
        <f t="shared" si="2180"/>
        <v>0</v>
      </c>
      <c r="AY1566" s="1">
        <f t="shared" si="2203"/>
        <v>6</v>
      </c>
      <c r="AZ1566" s="1">
        <f t="shared" si="2181"/>
        <v>5</v>
      </c>
      <c r="BA1566" s="1">
        <f>MIN(6,Q1566+0)</f>
        <v>3</v>
      </c>
      <c r="BB1566" s="1">
        <f t="shared" si="2196"/>
        <v>5</v>
      </c>
      <c r="BC1566" s="1">
        <f t="shared" si="2210"/>
        <v>2</v>
      </c>
      <c r="BD1566" s="1">
        <f t="shared" si="2204"/>
        <v>0</v>
      </c>
      <c r="BE1566" s="1">
        <f t="shared" si="2197"/>
        <v>0</v>
      </c>
      <c r="BF1566" s="1">
        <f>MIN(4,V1566+0)</f>
        <v>2</v>
      </c>
      <c r="BG1566" s="1">
        <f t="shared" si="2201"/>
        <v>1</v>
      </c>
      <c r="BH1566" s="1">
        <f t="shared" si="2198"/>
        <v>1</v>
      </c>
      <c r="BI1566" s="1">
        <f t="shared" si="2202"/>
        <v>1</v>
      </c>
      <c r="BJ1566" s="1">
        <f t="shared" si="2208"/>
        <v>1</v>
      </c>
      <c r="BK1566" s="1">
        <f t="shared" si="2208"/>
        <v>1</v>
      </c>
      <c r="BL1566" s="1">
        <f t="shared" si="2170"/>
        <v>0</v>
      </c>
      <c r="BM1566" s="1">
        <f t="shared" si="2168"/>
        <v>0</v>
      </c>
      <c r="BN1566" s="1">
        <f t="shared" si="2199"/>
        <v>1</v>
      </c>
      <c r="BO1566" s="1">
        <f t="shared" si="2200"/>
        <v>1</v>
      </c>
    </row>
    <row r="1567" spans="1:67" ht="30.95" customHeight="1">
      <c r="A1567" s="1">
        <f>43</f>
        <v>43</v>
      </c>
      <c r="B1567" s="1">
        <f>固定流程!A19</f>
        <v>14</v>
      </c>
      <c r="C1567" s="1">
        <f>46</f>
        <v>46</v>
      </c>
      <c r="D1567" s="1">
        <f>1</f>
        <v>1</v>
      </c>
      <c r="E1567" s="1">
        <f>固定流程!C19</f>
        <v>3</v>
      </c>
      <c r="F1567" s="1">
        <f>固定流程!G19</f>
        <v>3</v>
      </c>
      <c r="G1567" s="1" t="str">
        <f>固定流程!H19</f>
        <v>RHI_BUFF</v>
      </c>
      <c r="H1567" s="1">
        <f>固定流程!F19</f>
        <v>1</v>
      </c>
      <c r="I1567" s="1">
        <f>INDEX(配置与结果!$B$15:$B$18,F1567)</f>
        <v>2597</v>
      </c>
      <c r="J1567" s="1">
        <f>INDEX(配置与结果!$D$15:$D$18,F1567)</f>
        <v>0.255</v>
      </c>
      <c r="K1567" s="1">
        <f>INDEX(配置与结果!$E$15:$E$18,F1567)</f>
        <v>1.55</v>
      </c>
      <c r="L1567" s="1">
        <f>IF(AV1566=1,IF(M1567&gt;=10,2,1),IF(AV1566=2,IF(AX1566&lt;=1,0,2),0))</f>
        <v>2</v>
      </c>
      <c r="M1567" s="1">
        <f>IF(AND(AV1566=2,AX1566&lt;=1),0,MIN(10,AW1566+IF(AV1566=1,3,0)))</f>
        <v>10</v>
      </c>
      <c r="N1567" s="1">
        <f>IF(AND(AV1566=1,M1567&gt;=10),2,IF(AV1566=2,MAX(0,AX1566-1),0))</f>
        <v>2</v>
      </c>
      <c r="O1567" s="1">
        <f t="shared" si="2205"/>
        <v>6</v>
      </c>
      <c r="P1567" s="1">
        <f>MIN(方案参数!$AI$46,AZ1566+方案参数!$AJ$46+方案参数!$AK$46)</f>
        <v>5</v>
      </c>
      <c r="Q1567" s="1">
        <f t="shared" si="2183"/>
        <v>3</v>
      </c>
      <c r="R1567" s="1">
        <f t="shared" si="2184"/>
        <v>5</v>
      </c>
      <c r="S1567" s="1">
        <f t="shared" si="2185"/>
        <v>2</v>
      </c>
      <c r="T1567" s="1">
        <f t="shared" si="2186"/>
        <v>0</v>
      </c>
      <c r="U1567" s="1">
        <f t="shared" si="2187"/>
        <v>0</v>
      </c>
      <c r="V1567" s="1">
        <f t="shared" si="2188"/>
        <v>2</v>
      </c>
      <c r="W1567" s="1">
        <f t="shared" si="2189"/>
        <v>1</v>
      </c>
      <c r="X1567" s="1">
        <f t="shared" si="2190"/>
        <v>1</v>
      </c>
      <c r="Y1567" s="1">
        <f t="shared" si="2191"/>
        <v>1</v>
      </c>
      <c r="Z1567" s="1">
        <f t="shared" si="2192"/>
        <v>1</v>
      </c>
      <c r="AA1567" s="1">
        <f t="shared" si="2207"/>
        <v>1</v>
      </c>
      <c r="AB1567" s="1">
        <f t="shared" si="2194"/>
        <v>0</v>
      </c>
      <c r="AC1567" s="1">
        <f t="shared" si="2195"/>
        <v>0</v>
      </c>
      <c r="AD1567" s="1">
        <f>ROUNDDOWN(I1567*(1+IF(F1567=3,0.05+方案参数!$Y$46+AA1567*0.12,IF(F1567=4,方案参数!$BZ$46*方案参数!$AS$46,0)))+IF(AND(X1567=1,F1567&lt;&gt;3),方案参数!$CC$46,0)+AC1567*方案参数!$CB$46,0)</f>
        <v>3298</v>
      </c>
      <c r="AE1567" s="1">
        <f>IF(OR(F1567=1,F1567=4),配置与结果!$B$24,配置与结果!$B$25)*MAX(0,1-INDEX(配置与结果!$I$15:$I$18,F1567))</f>
        <v>1000</v>
      </c>
      <c r="AF1567" s="1">
        <f>0</f>
        <v>0</v>
      </c>
      <c r="AG1567" s="1">
        <f>MAX(配置与结果!$B$32,1+INDEX(配置与结果!$F$15:$F$18,F1567)+0+Q1567*方案参数!$W$46+Y1567*(方案参数!$AN$46+MIN(方案参数!$AO$46,P1567*0.03))+AB1567*方案参数!$BZ$46*0.025-配置与结果!$B$28)</f>
        <v>0.995</v>
      </c>
      <c r="AH1567" s="1">
        <f>MAX(0,1+INDEX(配置与结果!$G$15:$G$18,F1567)+W1567*方案参数!$AG$46)</f>
        <v>1.3</v>
      </c>
      <c r="AI1567" s="1">
        <f>IF(OR(INDEX(配置与结果!$K$15:$K$18,F1567)=1,G1567="RHI_BERRY"),1+配置与结果!$B$33+P1567*方案参数!$AH$46,1)</f>
        <v>1</v>
      </c>
      <c r="AJ1567" s="1">
        <f>MIN(1,MAX(0,J1567+方案参数!$AB$46-配置与结果!$B$27))</f>
        <v>0.55499999999999994</v>
      </c>
      <c r="AK1567" s="1">
        <f>MAX(1,K1567+IF(F1567=2,0.15+方案参数!$CH$46,0)+BN1567*方案参数!$X$46+R1567*方案参数!$AA$46+0-配置与结果!$B$26+Z1567*(方案参数!$AP$46+MIN(方案参数!$AQ$46,P1567*0.03)))</f>
        <v>1.64</v>
      </c>
      <c r="AL1567" s="7">
        <f>ROUNDDOWN(MAX(AD1567*配置与结果!$B$31,AD1567-AE1567)*AF1567*AG1567*AH1567*AI1567,0)</f>
        <v>0</v>
      </c>
      <c r="AM1567" s="7">
        <f>ROUNDDOWN(MAX(AD1567*配置与结果!$B$31,AD1567-AE1567)*AF1567*AG1567*AH1567*AI1567*AK1567,0)</f>
        <v>0</v>
      </c>
      <c r="AN1567" s="7">
        <f t="shared" si="2174"/>
        <v>0</v>
      </c>
      <c r="AO1567" s="7">
        <f>0</f>
        <v>0</v>
      </c>
      <c r="AP1567" s="7">
        <f>MAX(0,1+INDEX(配置与结果!$J$15:$J$18,F1567)+IF(T1567&gt;0,方案参数!$BY$46,0)-配置与结果!$B$30)</f>
        <v>1</v>
      </c>
      <c r="AQ1567" s="7">
        <f t="shared" si="2175"/>
        <v>0</v>
      </c>
      <c r="AR1567" s="7">
        <f t="shared" si="2176"/>
        <v>0</v>
      </c>
      <c r="AS1567" s="7">
        <f t="shared" si="2177"/>
        <v>0</v>
      </c>
      <c r="AT1567" s="7">
        <f>0</f>
        <v>0</v>
      </c>
      <c r="AU1567" s="7">
        <f t="shared" si="2178"/>
        <v>0</v>
      </c>
      <c r="AV1567" s="1">
        <f t="shared" si="2179"/>
        <v>2</v>
      </c>
      <c r="AW1567" s="1">
        <f t="shared" si="2209"/>
        <v>10</v>
      </c>
      <c r="AX1567" s="1">
        <f t="shared" si="2180"/>
        <v>2</v>
      </c>
      <c r="AY1567" s="1">
        <f t="shared" si="2203"/>
        <v>6</v>
      </c>
      <c r="AZ1567" s="1">
        <f t="shared" si="2181"/>
        <v>5</v>
      </c>
      <c r="BA1567" s="1">
        <f>MIN(6,Q1567+1)</f>
        <v>4</v>
      </c>
      <c r="BB1567" s="1">
        <f t="shared" si="2196"/>
        <v>5</v>
      </c>
      <c r="BC1567" s="1">
        <f t="shared" si="2210"/>
        <v>2</v>
      </c>
      <c r="BD1567" s="1">
        <f t="shared" si="2204"/>
        <v>0</v>
      </c>
      <c r="BE1567" s="1">
        <f t="shared" si="2197"/>
        <v>0</v>
      </c>
      <c r="BF1567" s="1">
        <f>MIN(4,V1567+0)</f>
        <v>2</v>
      </c>
      <c r="BG1567" s="1">
        <f>MAX(W1567,1)</f>
        <v>1</v>
      </c>
      <c r="BH1567" s="1">
        <f t="shared" si="2198"/>
        <v>1</v>
      </c>
      <c r="BI1567" s="1">
        <f>MAX(Y1567,1)</f>
        <v>1</v>
      </c>
      <c r="BJ1567" s="1">
        <f t="shared" si="2208"/>
        <v>1</v>
      </c>
      <c r="BK1567" s="1">
        <f t="shared" si="2208"/>
        <v>1</v>
      </c>
      <c r="BL1567" s="1">
        <f t="shared" si="2170"/>
        <v>0</v>
      </c>
      <c r="BM1567" s="1">
        <f t="shared" si="2168"/>
        <v>0</v>
      </c>
      <c r="BN1567" s="1">
        <f t="shared" si="2199"/>
        <v>1</v>
      </c>
      <c r="BO1567" s="1">
        <f t="shared" si="2200"/>
        <v>1</v>
      </c>
    </row>
    <row r="1568" spans="1:67" ht="30.95" customHeight="1">
      <c r="A1568" s="1">
        <f>43</f>
        <v>43</v>
      </c>
      <c r="B1568" s="1">
        <f>固定流程!A20</f>
        <v>15</v>
      </c>
      <c r="C1568" s="1">
        <f>46</f>
        <v>46</v>
      </c>
      <c r="D1568" s="1">
        <f>1</f>
        <v>1</v>
      </c>
      <c r="E1568" s="1">
        <f>固定流程!C20</f>
        <v>3</v>
      </c>
      <c r="F1568" s="1">
        <f>固定流程!G20</f>
        <v>3</v>
      </c>
      <c r="G1568" s="1" t="str">
        <f>固定流程!H20</f>
        <v>RHI_ATTACK</v>
      </c>
      <c r="H1568" s="1">
        <f>固定流程!F20</f>
        <v>1</v>
      </c>
      <c r="I1568" s="1">
        <f>INDEX(配置与结果!$B$15:$B$18,F1568)</f>
        <v>2597</v>
      </c>
      <c r="J1568" s="1">
        <f>INDEX(配置与结果!$D$15:$D$18,F1568)</f>
        <v>0.255</v>
      </c>
      <c r="K1568" s="1">
        <f>INDEX(配置与结果!$E$15:$E$18,F1568)</f>
        <v>1.55</v>
      </c>
      <c r="L1568" s="1">
        <f t="shared" ref="L1568:L1589" si="2211">AV1567</f>
        <v>2</v>
      </c>
      <c r="M1568" s="1">
        <f t="shared" ref="M1568:M1589" si="2212">AW1567</f>
        <v>10</v>
      </c>
      <c r="N1568" s="1">
        <f t="shared" ref="N1568:N1589" si="2213">AX1567</f>
        <v>2</v>
      </c>
      <c r="O1568" s="1">
        <f t="shared" si="2205"/>
        <v>6</v>
      </c>
      <c r="P1568" s="1">
        <f>MIN(方案参数!$AI$46,AZ1567+0+方案参数!$AK$46)</f>
        <v>5</v>
      </c>
      <c r="Q1568" s="1">
        <f t="shared" si="2183"/>
        <v>4</v>
      </c>
      <c r="R1568" s="1">
        <f t="shared" si="2184"/>
        <v>5</v>
      </c>
      <c r="S1568" s="1">
        <f t="shared" si="2185"/>
        <v>2</v>
      </c>
      <c r="T1568" s="1">
        <f t="shared" si="2186"/>
        <v>0</v>
      </c>
      <c r="U1568" s="1">
        <f t="shared" si="2187"/>
        <v>0</v>
      </c>
      <c r="V1568" s="1">
        <f t="shared" si="2188"/>
        <v>2</v>
      </c>
      <c r="W1568" s="1">
        <f t="shared" si="2189"/>
        <v>1</v>
      </c>
      <c r="X1568" s="1">
        <f t="shared" si="2190"/>
        <v>1</v>
      </c>
      <c r="Y1568" s="1">
        <f t="shared" si="2191"/>
        <v>1</v>
      </c>
      <c r="Z1568" s="1">
        <f t="shared" si="2192"/>
        <v>1</v>
      </c>
      <c r="AA1568" s="1">
        <f>MAX(BK1567,1)</f>
        <v>1</v>
      </c>
      <c r="AB1568" s="1">
        <f t="shared" si="2194"/>
        <v>0</v>
      </c>
      <c r="AC1568" s="1">
        <f t="shared" si="2195"/>
        <v>0</v>
      </c>
      <c r="AD1568" s="1">
        <f>ROUNDDOWN(I1568*(1+IF(F1568=3,0.05+方案参数!$Y$46+AA1568*0.12,IF(F1568=4,方案参数!$BZ$46*方案参数!$AS$46,0)))+IF(AND(X1568=1,F1568&lt;&gt;3),方案参数!$CC$46,0)+AC1568*方案参数!$CB$46,0)</f>
        <v>3298</v>
      </c>
      <c r="AE1568" s="1">
        <f>IF(OR(F1568=1,F1568=4),配置与结果!$B$24,配置与结果!$B$25)*MAX(0,1-INDEX(配置与结果!$I$15:$I$18,F1568))</f>
        <v>1000</v>
      </c>
      <c r="AF1568" s="1">
        <f>4</f>
        <v>4</v>
      </c>
      <c r="AG1568" s="1">
        <f>MAX(配置与结果!$B$32,1+INDEX(配置与结果!$F$15:$F$18,F1568)+0+Q1568*方案参数!$W$46+Y1568*(方案参数!$AN$46+MIN(方案参数!$AO$46,P1568*0.03))+AB1568*方案参数!$BZ$46*0.025-配置与结果!$B$28)</f>
        <v>1.0150000000000001</v>
      </c>
      <c r="AH1568" s="1">
        <f>MAX(0,1+INDEX(配置与结果!$G$15:$G$18,F1568)+W1568*方案参数!$AG$46)</f>
        <v>1.3</v>
      </c>
      <c r="AI1568" s="1">
        <f>IF(OR(INDEX(配置与结果!$K$15:$K$18,F1568)=1,G1568="RHI_BERRY"),1+配置与结果!$B$33+P1568*方案参数!$AH$46,1)</f>
        <v>1</v>
      </c>
      <c r="AJ1568" s="1">
        <f>MIN(1,MAX(0,J1568+方案参数!$AB$46-配置与结果!$B$27))</f>
        <v>0.55499999999999994</v>
      </c>
      <c r="AK1568" s="1">
        <f>MAX(1,K1568+IF(F1568=2,0.15+方案参数!$CH$46,0)+BN1568*方案参数!$X$46+R1568*方案参数!$AA$46+0-配置与结果!$B$26+Z1568*(方案参数!$AP$46+MIN(方案参数!$AQ$46,P1568*0.03)))</f>
        <v>1.64</v>
      </c>
      <c r="AL1568" s="7">
        <f>ROUNDDOWN(MAX(AD1568*配置与结果!$B$31,AD1568-AE1568)*AF1568*AG1568*AH1568*AI1568,0)</f>
        <v>12128</v>
      </c>
      <c r="AM1568" s="7">
        <f>ROUNDDOWN(MAX(AD1568*配置与结果!$B$31,AD1568-AE1568)*AF1568*AG1568*AH1568*AI1568*AK1568,0)</f>
        <v>19891</v>
      </c>
      <c r="AN1568" s="7">
        <f t="shared" si="2174"/>
        <v>16436.465</v>
      </c>
      <c r="AO1568" s="7">
        <f>0</f>
        <v>0</v>
      </c>
      <c r="AP1568" s="7">
        <f>MAX(0,1+INDEX(配置与结果!$J$15:$J$18,F1568)+IF(T1568&gt;0,方案参数!$BY$46,0)-配置与结果!$B$30)</f>
        <v>1</v>
      </c>
      <c r="AQ1568" s="7">
        <f t="shared" si="2175"/>
        <v>0</v>
      </c>
      <c r="AR1568" s="7">
        <f t="shared" si="2176"/>
        <v>0</v>
      </c>
      <c r="AS1568" s="7">
        <f t="shared" si="2177"/>
        <v>0</v>
      </c>
      <c r="AT1568" s="7">
        <f>0</f>
        <v>0</v>
      </c>
      <c r="AU1568" s="7">
        <f t="shared" si="2178"/>
        <v>16436.465</v>
      </c>
      <c r="AV1568" s="1">
        <f t="shared" si="2179"/>
        <v>2</v>
      </c>
      <c r="AW1568" s="1">
        <f t="shared" si="2209"/>
        <v>10</v>
      </c>
      <c r="AX1568" s="1">
        <f t="shared" si="2180"/>
        <v>2</v>
      </c>
      <c r="AY1568" s="1">
        <f t="shared" si="2203"/>
        <v>6</v>
      </c>
      <c r="AZ1568" s="1">
        <f t="shared" si="2181"/>
        <v>5</v>
      </c>
      <c r="BA1568" s="1">
        <f>MIN(6,Q1568+1)</f>
        <v>5</v>
      </c>
      <c r="BB1568" s="1">
        <f t="shared" si="2196"/>
        <v>5</v>
      </c>
      <c r="BC1568" s="1">
        <f t="shared" si="2210"/>
        <v>2</v>
      </c>
      <c r="BD1568" s="1">
        <f t="shared" si="2204"/>
        <v>0</v>
      </c>
      <c r="BE1568" s="1">
        <f t="shared" si="2197"/>
        <v>0</v>
      </c>
      <c r="BF1568" s="1">
        <f>MIN(4,V1568+0)</f>
        <v>2</v>
      </c>
      <c r="BG1568" s="1">
        <f t="shared" ref="BG1568:BG1590" si="2214">MAX(W1568,0)</f>
        <v>1</v>
      </c>
      <c r="BH1568" s="1">
        <f t="shared" si="2198"/>
        <v>1</v>
      </c>
      <c r="BI1568" s="1">
        <f t="shared" ref="BI1568:BI1590" si="2215">MAX(Y1568,0)</f>
        <v>1</v>
      </c>
      <c r="BJ1568" s="1">
        <f>MAX(Z1568,1)</f>
        <v>1</v>
      </c>
      <c r="BK1568" s="1">
        <f>MAX(AA1568,1)</f>
        <v>1</v>
      </c>
      <c r="BL1568" s="1">
        <f t="shared" si="2170"/>
        <v>0</v>
      </c>
      <c r="BM1568" s="1">
        <f t="shared" si="2168"/>
        <v>0</v>
      </c>
      <c r="BN1568" s="1">
        <f t="shared" si="2199"/>
        <v>1</v>
      </c>
      <c r="BO1568" s="1">
        <f t="shared" si="2200"/>
        <v>1</v>
      </c>
    </row>
    <row r="1569" spans="1:67" ht="30.95" customHeight="1">
      <c r="A1569" s="1">
        <f>43</f>
        <v>43</v>
      </c>
      <c r="B1569" s="1">
        <f>固定流程!A21</f>
        <v>16</v>
      </c>
      <c r="C1569" s="1">
        <f>46</f>
        <v>46</v>
      </c>
      <c r="D1569" s="1">
        <f>1</f>
        <v>1</v>
      </c>
      <c r="E1569" s="1">
        <f>固定流程!C21</f>
        <v>3</v>
      </c>
      <c r="F1569" s="1">
        <f>固定流程!G21</f>
        <v>2</v>
      </c>
      <c r="G1569" s="1" t="str">
        <f>固定流程!H21</f>
        <v>37_ULT</v>
      </c>
      <c r="H1569" s="1">
        <f>固定流程!F21</f>
        <v>1</v>
      </c>
      <c r="I1569" s="1">
        <f>INDEX(配置与结果!$B$15:$B$18,F1569)</f>
        <v>2306</v>
      </c>
      <c r="J1569" s="1">
        <f>INDEX(配置与结果!$D$15:$D$18,F1569)</f>
        <v>0.46</v>
      </c>
      <c r="K1569" s="1">
        <f>INDEX(配置与结果!$E$15:$E$18,F1569)</f>
        <v>1.9279999999999999</v>
      </c>
      <c r="L1569" s="1">
        <f t="shared" si="2211"/>
        <v>2</v>
      </c>
      <c r="M1569" s="1">
        <f t="shared" si="2212"/>
        <v>10</v>
      </c>
      <c r="N1569" s="1">
        <f t="shared" si="2213"/>
        <v>2</v>
      </c>
      <c r="O1569" s="1">
        <f t="shared" si="2205"/>
        <v>6</v>
      </c>
      <c r="P1569" s="1">
        <f>MIN(方案参数!$AI$46,AZ1568+0+0)</f>
        <v>5</v>
      </c>
      <c r="Q1569" s="1">
        <f t="shared" si="2183"/>
        <v>5</v>
      </c>
      <c r="R1569" s="1">
        <f t="shared" si="2184"/>
        <v>5</v>
      </c>
      <c r="S1569" s="1">
        <f t="shared" si="2185"/>
        <v>2</v>
      </c>
      <c r="T1569" s="1">
        <f>BD1568+方案参数!$BX$46</f>
        <v>2</v>
      </c>
      <c r="U1569" s="1">
        <f t="shared" si="2187"/>
        <v>0</v>
      </c>
      <c r="V1569" s="1">
        <f t="shared" si="2188"/>
        <v>2</v>
      </c>
      <c r="W1569" s="1">
        <f t="shared" si="2189"/>
        <v>1</v>
      </c>
      <c r="X1569" s="1">
        <f t="shared" si="2190"/>
        <v>1</v>
      </c>
      <c r="Y1569" s="1">
        <f t="shared" si="2191"/>
        <v>1</v>
      </c>
      <c r="Z1569" s="1">
        <f t="shared" si="2192"/>
        <v>1</v>
      </c>
      <c r="AA1569" s="1">
        <f t="shared" ref="AA1569:AA1589" si="2216">MAX(BK1568,0)</f>
        <v>1</v>
      </c>
      <c r="AB1569" s="1">
        <f t="shared" si="2194"/>
        <v>0</v>
      </c>
      <c r="AC1569" s="1">
        <f>MAX(BM1568,1)</f>
        <v>1</v>
      </c>
      <c r="AD1569" s="1">
        <f>ROUNDDOWN(I1569*(1+IF(F1569=3,0.05+方案参数!$Y$46+AA1569*0.12,IF(F1569=4,方案参数!$BZ$46*方案参数!$AS$46,0)))+IF(AND(X1569=1,F1569&lt;&gt;3),方案参数!$CC$46,0)+AC1569*方案参数!$CB$46,0)</f>
        <v>3044</v>
      </c>
      <c r="AE1569" s="1">
        <f>IF(OR(F1569=1,F1569=4),配置与结果!$B$24,配置与结果!$B$25)*MAX(0,1-INDEX(配置与结果!$I$15:$I$18,F1569))</f>
        <v>1000</v>
      </c>
      <c r="AF1569" s="1">
        <f>0</f>
        <v>0</v>
      </c>
      <c r="AG1569" s="1">
        <f>MAX(配置与结果!$B$32,1+INDEX(配置与结果!$F$15:$F$18,F1569)+0+Q1569*方案参数!$W$46+Y1569*(方案参数!$AN$46+MIN(方案参数!$AO$46,P1569*0.03))+AB1569*方案参数!$BZ$46*0.025-配置与结果!$B$28)</f>
        <v>1.0049999999999999</v>
      </c>
      <c r="AH1569" s="1">
        <f>MAX(0,1+INDEX(配置与结果!$G$15:$G$18,F1569)+W1569*方案参数!$AG$46)</f>
        <v>1.3</v>
      </c>
      <c r="AI1569" s="1">
        <f>IF(OR(INDEX(配置与结果!$K$15:$K$18,F1569)=1,G1569="RHI_BERRY"),1+配置与结果!$B$33+P1569*方案参数!$AH$46,1)</f>
        <v>1</v>
      </c>
      <c r="AJ1569" s="1">
        <f>MIN(1,MAX(0,J1569+方案参数!$AB$46-配置与结果!$B$27))</f>
        <v>0.76</v>
      </c>
      <c r="AK1569" s="1">
        <f>MAX(1,K1569+IF(F1569=2,0.15+方案参数!$CH$46,0)+BN1569*方案参数!$X$46+R1569*方案参数!$AA$46+0-配置与结果!$B$26+Z1569*(方案参数!$AP$46+MIN(方案参数!$AQ$46,P1569*0.03)))</f>
        <v>2.2879999999999998</v>
      </c>
      <c r="AL1569" s="7">
        <f>ROUNDDOWN(MAX(AD1569*配置与结果!$B$31,AD1569-AE1569)*AF1569*AG1569*AH1569*AI1569,0)</f>
        <v>0</v>
      </c>
      <c r="AM1569" s="7">
        <f>ROUNDDOWN(MAX(AD1569*配置与结果!$B$31,AD1569-AE1569)*AF1569*AG1569*AH1569*AI1569*AK1569,0)</f>
        <v>0</v>
      </c>
      <c r="AN1569" s="7">
        <f t="shared" si="2174"/>
        <v>0</v>
      </c>
      <c r="AO1569" s="7">
        <f>0</f>
        <v>0</v>
      </c>
      <c r="AP1569" s="7">
        <f>MAX(0,1+INDEX(配置与结果!$J$15:$J$18,F1569)+IF(T1569&gt;0,方案参数!$BY$46,0)-配置与结果!$B$30)</f>
        <v>2</v>
      </c>
      <c r="AQ1569" s="7">
        <f t="shared" si="2175"/>
        <v>0</v>
      </c>
      <c r="AR1569" s="7">
        <f t="shared" si="2176"/>
        <v>0</v>
      </c>
      <c r="AS1569" s="7">
        <f t="shared" si="2177"/>
        <v>0</v>
      </c>
      <c r="AT1569" s="7">
        <f>0</f>
        <v>0</v>
      </c>
      <c r="AU1569" s="7">
        <f t="shared" si="2178"/>
        <v>0</v>
      </c>
      <c r="AV1569" s="1">
        <f t="shared" si="2179"/>
        <v>2</v>
      </c>
      <c r="AW1569" s="1">
        <f t="shared" si="2209"/>
        <v>10</v>
      </c>
      <c r="AX1569" s="1">
        <f t="shared" si="2180"/>
        <v>2</v>
      </c>
      <c r="AY1569" s="1">
        <f t="shared" si="2203"/>
        <v>6</v>
      </c>
      <c r="AZ1569" s="1">
        <f t="shared" si="2181"/>
        <v>5</v>
      </c>
      <c r="BA1569" s="1">
        <f t="shared" ref="BA1569:BA1589" si="2217">MIN(6,Q1569+0)</f>
        <v>5</v>
      </c>
      <c r="BB1569" s="1">
        <f>MIN(30,R1569+5)</f>
        <v>10</v>
      </c>
      <c r="BC1569" s="1">
        <f t="shared" si="2210"/>
        <v>2</v>
      </c>
      <c r="BD1569" s="1">
        <f t="shared" si="2204"/>
        <v>2</v>
      </c>
      <c r="BE1569" s="1">
        <f t="shared" si="2197"/>
        <v>0</v>
      </c>
      <c r="BF1569" s="1">
        <f>MIN(4,V1569+0)</f>
        <v>2</v>
      </c>
      <c r="BG1569" s="1">
        <f t="shared" si="2214"/>
        <v>1</v>
      </c>
      <c r="BH1569" s="1">
        <f t="shared" si="2198"/>
        <v>1</v>
      </c>
      <c r="BI1569" s="1">
        <f t="shared" si="2215"/>
        <v>1</v>
      </c>
      <c r="BJ1569" s="1">
        <f t="shared" ref="BJ1569:BJ1596" si="2218">MAX(Z1569,0)</f>
        <v>1</v>
      </c>
      <c r="BK1569" s="1">
        <f t="shared" ref="BK1569:BK1596" si="2219">MAX(AA1569,0)</f>
        <v>1</v>
      </c>
      <c r="BL1569" s="1">
        <f t="shared" si="2170"/>
        <v>0</v>
      </c>
      <c r="BM1569" s="1">
        <f>MAX(AC1569,1)</f>
        <v>1</v>
      </c>
      <c r="BN1569" s="1">
        <f t="shared" si="2199"/>
        <v>1</v>
      </c>
      <c r="BO1569" s="1">
        <f t="shared" si="2200"/>
        <v>1</v>
      </c>
    </row>
    <row r="1570" spans="1:67" ht="30.95" customHeight="1">
      <c r="A1570" s="1">
        <f>43</f>
        <v>43</v>
      </c>
      <c r="B1570" s="1">
        <f>固定流程!A22</f>
        <v>17</v>
      </c>
      <c r="C1570" s="1">
        <f>46</f>
        <v>46</v>
      </c>
      <c r="D1570" s="1">
        <f>1</f>
        <v>1</v>
      </c>
      <c r="E1570" s="1">
        <f>固定流程!C22</f>
        <v>3</v>
      </c>
      <c r="F1570" s="1">
        <f>固定流程!G22</f>
        <v>2</v>
      </c>
      <c r="G1570" s="1" t="str">
        <f>固定流程!H22</f>
        <v>37_FOLLOW</v>
      </c>
      <c r="H1570" s="1">
        <f>固定流程!F22</f>
        <v>1</v>
      </c>
      <c r="I1570" s="1">
        <f>INDEX(配置与结果!$B$15:$B$18,F1570)</f>
        <v>2306</v>
      </c>
      <c r="J1570" s="1">
        <f>INDEX(配置与结果!$D$15:$D$18,F1570)</f>
        <v>0.46</v>
      </c>
      <c r="K1570" s="1">
        <f>INDEX(配置与结果!$E$15:$E$18,F1570)</f>
        <v>1.9279999999999999</v>
      </c>
      <c r="L1570" s="1">
        <f t="shared" si="2211"/>
        <v>2</v>
      </c>
      <c r="M1570" s="1">
        <f t="shared" si="2212"/>
        <v>10</v>
      </c>
      <c r="N1570" s="1">
        <f t="shared" si="2213"/>
        <v>2</v>
      </c>
      <c r="O1570" s="1">
        <f t="shared" si="2205"/>
        <v>6</v>
      </c>
      <c r="P1570" s="1">
        <f>MIN(方案参数!$AI$46,AZ1569+0+0)</f>
        <v>5</v>
      </c>
      <c r="Q1570" s="1">
        <f t="shared" si="2183"/>
        <v>5</v>
      </c>
      <c r="R1570" s="1">
        <f t="shared" si="2184"/>
        <v>10</v>
      </c>
      <c r="S1570" s="1">
        <f t="shared" si="2185"/>
        <v>2</v>
      </c>
      <c r="T1570" s="1">
        <f t="shared" ref="T1570:T1589" si="2220">BD1569+0</f>
        <v>2</v>
      </c>
      <c r="U1570" s="1">
        <f t="shared" si="2187"/>
        <v>0</v>
      </c>
      <c r="V1570" s="1">
        <f t="shared" si="2188"/>
        <v>2</v>
      </c>
      <c r="W1570" s="1">
        <f t="shared" si="2189"/>
        <v>1</v>
      </c>
      <c r="X1570" s="1">
        <f t="shared" si="2190"/>
        <v>1</v>
      </c>
      <c r="Y1570" s="1">
        <f t="shared" si="2191"/>
        <v>1</v>
      </c>
      <c r="Z1570" s="1">
        <f t="shared" si="2192"/>
        <v>1</v>
      </c>
      <c r="AA1570" s="1">
        <f t="shared" si="2216"/>
        <v>1</v>
      </c>
      <c r="AB1570" s="1">
        <f t="shared" si="2194"/>
        <v>0</v>
      </c>
      <c r="AC1570" s="1">
        <f t="shared" ref="AC1570:AC1589" si="2221">MAX(BM1569,0)</f>
        <v>1</v>
      </c>
      <c r="AD1570" s="1">
        <f>ROUNDDOWN(I1570*(1+IF(F1570=3,0.05+方案参数!$Y$46+AA1570*0.12,IF(F1570=4,方案参数!$BZ$46*方案参数!$AS$46,0)))+IF(AND(X1570=1,F1570&lt;&gt;3),方案参数!$CC$46,0)+AC1570*方案参数!$CB$46,0)</f>
        <v>3044</v>
      </c>
      <c r="AE1570" s="1">
        <f>IF(OR(F1570=1,F1570=4),配置与结果!$B$24,配置与结果!$B$25)*MAX(0,1-INDEX(配置与结果!$I$15:$I$18,F1570))</f>
        <v>1000</v>
      </c>
      <c r="AF1570" s="1">
        <f>方案参数!$BV$46</f>
        <v>3</v>
      </c>
      <c r="AG1570" s="1">
        <f>MAX(配置与结果!$B$32,1+INDEX(配置与结果!$F$15:$F$18,F1570)+0+Q1570*方案参数!$W$46+Y1570*(方案参数!$AN$46+MIN(方案参数!$AO$46,P1570*0.03))+AB1570*方案参数!$BZ$46*0.025-配置与结果!$B$28)</f>
        <v>1.0049999999999999</v>
      </c>
      <c r="AH1570" s="1">
        <f>MAX(0,1+INDEX(配置与结果!$G$15:$G$18,F1570)+W1570*方案参数!$AG$46)</f>
        <v>1.3</v>
      </c>
      <c r="AI1570" s="1">
        <f>IF(OR(INDEX(配置与结果!$K$15:$K$18,F1570)=1,G1570="RHI_BERRY"),1+配置与结果!$B$33+P1570*方案参数!$AH$46,1)</f>
        <v>1</v>
      </c>
      <c r="AJ1570" s="1">
        <f>MIN(1,MAX(0,J1570+方案参数!$AB$46-配置与结果!$B$27))</f>
        <v>0.76</v>
      </c>
      <c r="AK1570" s="1">
        <f>MAX(1,K1570+IF(F1570=2,0.15+方案参数!$CH$46,0)+BN1570*方案参数!$X$46+R1570*方案参数!$AA$46+0-配置与结果!$B$26+Z1570*(方案参数!$AP$46+MIN(方案参数!$AQ$46,P1570*0.03)))</f>
        <v>2.3180000000000001</v>
      </c>
      <c r="AL1570" s="7">
        <f>ROUNDDOWN(MAX(AD1570*配置与结果!$B$31,AD1570-AE1570)*AF1570*AG1570*AH1570*AI1570,0)</f>
        <v>8011</v>
      </c>
      <c r="AM1570" s="7">
        <f>ROUNDDOWN(MAX(AD1570*配置与结果!$B$31,AD1570-AE1570)*AF1570*AG1570*AH1570*AI1570*AK1570,0)</f>
        <v>18570</v>
      </c>
      <c r="AN1570" s="7">
        <f t="shared" si="2174"/>
        <v>16035.84</v>
      </c>
      <c r="AO1570" s="7">
        <f>方案参数!$BW$46</f>
        <v>1</v>
      </c>
      <c r="AP1570" s="7">
        <f>MAX(0,1+INDEX(配置与结果!$J$15:$J$18,F1570)+IF(T1570&gt;0,方案参数!$BY$46,0)-配置与结果!$B$30)</f>
        <v>2</v>
      </c>
      <c r="AQ1570" s="7">
        <f t="shared" si="2175"/>
        <v>6088</v>
      </c>
      <c r="AR1570" s="7">
        <f t="shared" si="2176"/>
        <v>14111</v>
      </c>
      <c r="AS1570" s="7">
        <f t="shared" si="2177"/>
        <v>12185.48</v>
      </c>
      <c r="AT1570" s="7">
        <f>0</f>
        <v>0</v>
      </c>
      <c r="AU1570" s="7">
        <f t="shared" si="2178"/>
        <v>28221.32</v>
      </c>
      <c r="AV1570" s="1">
        <f t="shared" si="2179"/>
        <v>2</v>
      </c>
      <c r="AW1570" s="1">
        <f t="shared" si="2209"/>
        <v>10</v>
      </c>
      <c r="AX1570" s="1">
        <f t="shared" si="2180"/>
        <v>2</v>
      </c>
      <c r="AY1570" s="1">
        <f t="shared" si="2203"/>
        <v>6</v>
      </c>
      <c r="AZ1570" s="1">
        <f t="shared" si="2181"/>
        <v>5</v>
      </c>
      <c r="BA1570" s="1">
        <f t="shared" si="2217"/>
        <v>5</v>
      </c>
      <c r="BB1570" s="1">
        <f>MIN(30,R1570+0)</f>
        <v>10</v>
      </c>
      <c r="BC1570" s="1">
        <f t="shared" si="2210"/>
        <v>2</v>
      </c>
      <c r="BD1570" s="1">
        <f t="shared" si="2204"/>
        <v>1</v>
      </c>
      <c r="BE1570" s="1">
        <f t="shared" si="2197"/>
        <v>0</v>
      </c>
      <c r="BF1570" s="1">
        <f>MIN(4,V1570+1)</f>
        <v>3</v>
      </c>
      <c r="BG1570" s="1">
        <f t="shared" si="2214"/>
        <v>1</v>
      </c>
      <c r="BH1570" s="1">
        <f t="shared" si="2198"/>
        <v>1</v>
      </c>
      <c r="BI1570" s="1">
        <f t="shared" si="2215"/>
        <v>1</v>
      </c>
      <c r="BJ1570" s="1">
        <f t="shared" si="2218"/>
        <v>1</v>
      </c>
      <c r="BK1570" s="1">
        <f t="shared" si="2219"/>
        <v>1</v>
      </c>
      <c r="BL1570" s="1">
        <f t="shared" si="2170"/>
        <v>0</v>
      </c>
      <c r="BM1570" s="1">
        <f t="shared" ref="BM1570:BM1604" si="2222">MAX(AC1570,0)</f>
        <v>1</v>
      </c>
      <c r="BN1570" s="1">
        <f t="shared" si="2199"/>
        <v>1</v>
      </c>
      <c r="BO1570" s="1">
        <f t="shared" si="2200"/>
        <v>1</v>
      </c>
    </row>
    <row r="1571" spans="1:67" ht="30.95" customHeight="1">
      <c r="A1571" s="1">
        <f>43</f>
        <v>43</v>
      </c>
      <c r="B1571" s="1">
        <f>固定流程!A23</f>
        <v>18</v>
      </c>
      <c r="C1571" s="1">
        <f>46</f>
        <v>46</v>
      </c>
      <c r="D1571" s="1">
        <f>1</f>
        <v>1</v>
      </c>
      <c r="E1571" s="1">
        <f>固定流程!C23</f>
        <v>3</v>
      </c>
      <c r="F1571" s="1">
        <f>固定流程!G23</f>
        <v>4</v>
      </c>
      <c r="G1571" s="1" t="str">
        <f>固定流程!H23</f>
        <v>J_HARD</v>
      </c>
      <c r="H1571" s="1">
        <f>固定流程!F23</f>
        <v>1</v>
      </c>
      <c r="I1571" s="1">
        <f>INDEX(配置与结果!$B$15:$B$18,F1571)</f>
        <v>1906</v>
      </c>
      <c r="J1571" s="1">
        <f>INDEX(配置与结果!$D$15:$D$18,F1571)</f>
        <v>0.36699999999999999</v>
      </c>
      <c r="K1571" s="1">
        <f>INDEX(配置与结果!$E$15:$E$18,F1571)</f>
        <v>1.7170000000000001</v>
      </c>
      <c r="L1571" s="1">
        <f t="shared" si="2211"/>
        <v>2</v>
      </c>
      <c r="M1571" s="1">
        <f t="shared" si="2212"/>
        <v>10</v>
      </c>
      <c r="N1571" s="1">
        <f t="shared" si="2213"/>
        <v>2</v>
      </c>
      <c r="O1571" s="1">
        <f t="shared" si="2205"/>
        <v>6</v>
      </c>
      <c r="P1571" s="1">
        <f>MIN(方案参数!$AI$46,AZ1570+0+0)</f>
        <v>5</v>
      </c>
      <c r="Q1571" s="1">
        <f t="shared" si="2183"/>
        <v>5</v>
      </c>
      <c r="R1571" s="1">
        <f t="shared" si="2184"/>
        <v>10</v>
      </c>
      <c r="S1571" s="1">
        <f t="shared" si="2185"/>
        <v>2</v>
      </c>
      <c r="T1571" s="1">
        <f t="shared" si="2220"/>
        <v>1</v>
      </c>
      <c r="U1571" s="1">
        <f t="shared" si="2187"/>
        <v>0</v>
      </c>
      <c r="V1571" s="1">
        <f t="shared" si="2188"/>
        <v>3</v>
      </c>
      <c r="W1571" s="1">
        <f t="shared" si="2189"/>
        <v>1</v>
      </c>
      <c r="X1571" s="1">
        <f t="shared" si="2190"/>
        <v>1</v>
      </c>
      <c r="Y1571" s="1">
        <f t="shared" si="2191"/>
        <v>1</v>
      </c>
      <c r="Z1571" s="1">
        <f t="shared" si="2192"/>
        <v>1</v>
      </c>
      <c r="AA1571" s="1">
        <f t="shared" si="2216"/>
        <v>1</v>
      </c>
      <c r="AB1571" s="1">
        <f t="shared" si="2194"/>
        <v>0</v>
      </c>
      <c r="AC1571" s="1">
        <f t="shared" si="2221"/>
        <v>1</v>
      </c>
      <c r="AD1571" s="1">
        <f>ROUNDDOWN(I1571*(1+IF(F1571=3,0.05+方案参数!$Y$46+AA1571*0.12,IF(F1571=4,方案参数!$BZ$46*方案参数!$AS$46,0)))+IF(AND(X1571=1,F1571&lt;&gt;3),方案参数!$CC$46,0)+AC1571*方案参数!$CB$46,0)</f>
        <v>3311</v>
      </c>
      <c r="AE1571" s="1">
        <f>IF(OR(F1571=1,F1571=4),配置与结果!$B$24,配置与结果!$B$25)*MAX(0,1-INDEX(配置与结果!$I$15:$I$18,F1571))</f>
        <v>1200</v>
      </c>
      <c r="AF1571" s="1">
        <f>3.6*IF(H1571=1,1,IF(H1571=2,1.5,2.5))</f>
        <v>3.6</v>
      </c>
      <c r="AG1571" s="1">
        <f>MAX(配置与结果!$B$32,1+INDEX(配置与结果!$F$15:$F$18,F1571)+0.08+Q1571*方案参数!$W$46+Y1571*(方案参数!$AN$46+MIN(方案参数!$AO$46,P1571*0.03))+AB1571*方案参数!$BZ$46*0.025+0.1+IF(方案参数!$BZ$46&gt;=30,方案参数!$BZ$46*0.01,0)-配置与结果!$B$28)</f>
        <v>1.5550000000000002</v>
      </c>
      <c r="AH1571" s="1">
        <f>MAX(0,1+INDEX(配置与结果!$G$15:$G$18,F1571)+W1571*方案参数!$AG$46)</f>
        <v>1.3</v>
      </c>
      <c r="AI1571" s="1">
        <f>IF(OR(INDEX(配置与结果!$K$15:$K$18,F1571)=1,G1571="RHI_BERRY"),1+配置与结果!$B$33+P1571*方案参数!$AH$46,1)</f>
        <v>1</v>
      </c>
      <c r="AJ1571" s="1">
        <f>MIN(1,MAX(0,J1571+方案参数!$AB$46-配置与结果!$B$27))</f>
        <v>0.66700000000000004</v>
      </c>
      <c r="AK1571" s="1">
        <f>MAX(1,K1571+IF(F1571=2,0.15+方案参数!$CH$46,0)+BN1571*方案参数!$X$46+R1571*方案参数!$AA$46+0-配置与结果!$B$26+Z1571*(方案参数!$AP$46+MIN(方案参数!$AQ$46,P1571*0.03)))</f>
        <v>1.837</v>
      </c>
      <c r="AL1571" s="7">
        <f>ROUNDDOWN(MAX(AD1571*配置与结果!$B$31,AD1571-AE1571)*AF1571*AG1571*AH1571*AI1571,0)</f>
        <v>15362</v>
      </c>
      <c r="AM1571" s="7">
        <f>ROUNDDOWN(MAX(AD1571*配置与结果!$B$31,AD1571-AE1571)*AF1571*AG1571*AH1571*AI1571*AK1571,0)</f>
        <v>28221</v>
      </c>
      <c r="AN1571" s="7">
        <f t="shared" si="2174"/>
        <v>23938.952999999998</v>
      </c>
      <c r="AO1571" s="7">
        <f>0</f>
        <v>0</v>
      </c>
      <c r="AP1571" s="7">
        <f>MAX(0,1+INDEX(配置与结果!$J$15:$J$18,F1571)+IF(T1571&gt;0,方案参数!$BY$46,0)-配置与结果!$B$30)</f>
        <v>2</v>
      </c>
      <c r="AQ1571" s="7">
        <f t="shared" si="2175"/>
        <v>0</v>
      </c>
      <c r="AR1571" s="7">
        <f t="shared" si="2176"/>
        <v>0</v>
      </c>
      <c r="AS1571" s="7">
        <f t="shared" si="2177"/>
        <v>0</v>
      </c>
      <c r="AT1571" s="7">
        <f>0</f>
        <v>0</v>
      </c>
      <c r="AU1571" s="7">
        <f t="shared" si="2178"/>
        <v>23938.952999999998</v>
      </c>
      <c r="AV1571" s="1">
        <f t="shared" si="2179"/>
        <v>2</v>
      </c>
      <c r="AW1571" s="1">
        <f t="shared" si="2209"/>
        <v>10</v>
      </c>
      <c r="AX1571" s="1">
        <f t="shared" si="2180"/>
        <v>2</v>
      </c>
      <c r="AY1571" s="1">
        <f t="shared" si="2203"/>
        <v>6</v>
      </c>
      <c r="AZ1571" s="1">
        <f t="shared" si="2181"/>
        <v>5</v>
      </c>
      <c r="BA1571" s="1">
        <f t="shared" si="2217"/>
        <v>5</v>
      </c>
      <c r="BB1571" s="1">
        <f>MIN(30,R1571+0)</f>
        <v>10</v>
      </c>
      <c r="BC1571" s="1">
        <f>MIN(3,S1571+1)</f>
        <v>3</v>
      </c>
      <c r="BD1571" s="1">
        <f t="shared" si="2204"/>
        <v>1</v>
      </c>
      <c r="BE1571" s="1">
        <f t="shared" si="2197"/>
        <v>0</v>
      </c>
      <c r="BF1571" s="1">
        <f>MIN(4,V1571+0)</f>
        <v>3</v>
      </c>
      <c r="BG1571" s="1">
        <f t="shared" si="2214"/>
        <v>1</v>
      </c>
      <c r="BH1571" s="1">
        <f t="shared" si="2198"/>
        <v>1</v>
      </c>
      <c r="BI1571" s="1">
        <f t="shared" si="2215"/>
        <v>1</v>
      </c>
      <c r="BJ1571" s="1">
        <f t="shared" si="2218"/>
        <v>1</v>
      </c>
      <c r="BK1571" s="1">
        <f t="shared" si="2219"/>
        <v>1</v>
      </c>
      <c r="BL1571" s="1">
        <f t="shared" si="2170"/>
        <v>0</v>
      </c>
      <c r="BM1571" s="1">
        <f t="shared" si="2222"/>
        <v>1</v>
      </c>
      <c r="BN1571" s="1">
        <f t="shared" si="2199"/>
        <v>1</v>
      </c>
      <c r="BO1571" s="1">
        <f t="shared" si="2200"/>
        <v>1</v>
      </c>
    </row>
    <row r="1572" spans="1:67" ht="30.95" customHeight="1">
      <c r="A1572" s="1">
        <f>43</f>
        <v>43</v>
      </c>
      <c r="B1572" s="1">
        <f>固定流程!A24</f>
        <v>19</v>
      </c>
      <c r="C1572" s="1">
        <f>46</f>
        <v>46</v>
      </c>
      <c r="D1572" s="1">
        <f>1</f>
        <v>1</v>
      </c>
      <c r="E1572" s="1">
        <f>固定流程!C24</f>
        <v>3</v>
      </c>
      <c r="F1572" s="1">
        <f>固定流程!G24</f>
        <v>4</v>
      </c>
      <c r="G1572" s="1" t="str">
        <f>固定流程!H24</f>
        <v>J_ULT</v>
      </c>
      <c r="H1572" s="1">
        <f>固定流程!F24</f>
        <v>1</v>
      </c>
      <c r="I1572" s="1">
        <f>INDEX(配置与结果!$B$15:$B$18,F1572)</f>
        <v>1906</v>
      </c>
      <c r="J1572" s="1">
        <f>INDEX(配置与结果!$D$15:$D$18,F1572)</f>
        <v>0.36699999999999999</v>
      </c>
      <c r="K1572" s="1">
        <f>INDEX(配置与结果!$E$15:$E$18,F1572)</f>
        <v>1.7170000000000001</v>
      </c>
      <c r="L1572" s="1">
        <f t="shared" si="2211"/>
        <v>2</v>
      </c>
      <c r="M1572" s="1">
        <f t="shared" si="2212"/>
        <v>10</v>
      </c>
      <c r="N1572" s="1">
        <f t="shared" si="2213"/>
        <v>2</v>
      </c>
      <c r="O1572" s="1">
        <f t="shared" si="2205"/>
        <v>6</v>
      </c>
      <c r="P1572" s="1">
        <f>MIN(方案参数!$AI$46,AZ1571+0+0)</f>
        <v>5</v>
      </c>
      <c r="Q1572" s="1">
        <f t="shared" si="2183"/>
        <v>5</v>
      </c>
      <c r="R1572" s="1">
        <f t="shared" si="2184"/>
        <v>10</v>
      </c>
      <c r="S1572" s="1">
        <f t="shared" si="2185"/>
        <v>3</v>
      </c>
      <c r="T1572" s="1">
        <f t="shared" si="2220"/>
        <v>1</v>
      </c>
      <c r="U1572" s="1">
        <f t="shared" si="2187"/>
        <v>0</v>
      </c>
      <c r="V1572" s="1">
        <f t="shared" si="2188"/>
        <v>3</v>
      </c>
      <c r="W1572" s="1">
        <f t="shared" si="2189"/>
        <v>1</v>
      </c>
      <c r="X1572" s="1">
        <f t="shared" si="2190"/>
        <v>1</v>
      </c>
      <c r="Y1572" s="1">
        <f t="shared" si="2191"/>
        <v>1</v>
      </c>
      <c r="Z1572" s="1">
        <f t="shared" si="2192"/>
        <v>1</v>
      </c>
      <c r="AA1572" s="1">
        <f t="shared" si="2216"/>
        <v>1</v>
      </c>
      <c r="AB1572" s="1">
        <f t="shared" si="2194"/>
        <v>0</v>
      </c>
      <c r="AC1572" s="1">
        <f t="shared" si="2221"/>
        <v>1</v>
      </c>
      <c r="AD1572" s="1">
        <f>ROUNDDOWN(I1572*(1+IF(F1572=3,0.05+方案参数!$Y$46+AA1572*0.12,IF(F1572=4,方案参数!$BZ$46*方案参数!$AS$46,0)))+IF(AND(X1572=1,F1572&lt;&gt;3),方案参数!$CC$46,0)+AC1572*方案参数!$CB$46,0)</f>
        <v>3311</v>
      </c>
      <c r="AE1572" s="1">
        <f>IF(OR(F1572=1,F1572=4),配置与结果!$B$24,配置与结果!$B$25)*MAX(0,1-INDEX(配置与结果!$I$15:$I$18,F1572))</f>
        <v>1200</v>
      </c>
      <c r="AF1572" s="1">
        <f>方案参数!$AT$46+MAX(0,配置与结果!$H$26+方案参数!$BZ$46-30)*方案参数!$AU$46*配置与结果!$H$27</f>
        <v>42</v>
      </c>
      <c r="AG1572" s="1">
        <f>MAX(配置与结果!$B$32,1+INDEX(配置与结果!$F$15:$F$18,F1572)+0.08+Q1572*方案参数!$W$46+Y1572*(方案参数!$AN$46+MIN(方案参数!$AO$46,P1572*0.03))+AB1572*方案参数!$BZ$46*0.025-配置与结果!$B$28)</f>
        <v>1.105</v>
      </c>
      <c r="AH1572" s="1">
        <f>MAX(0,1+INDEX(配置与结果!$H$15:$H$18,F1572)+W1572*方案参数!$AG$46+S1572*方案参数!$Z$46)</f>
        <v>1.48</v>
      </c>
      <c r="AI1572" s="1">
        <f>IF(OR(INDEX(配置与结果!$K$15:$K$18,F1572)=1,G1572="RHI_BERRY"),1+配置与结果!$B$33+P1572*方案参数!$AH$46,1)</f>
        <v>1</v>
      </c>
      <c r="AJ1572" s="1">
        <f>MIN(1,MAX(0,J1572+方案参数!$AB$46-配置与结果!$B$27))</f>
        <v>0.66700000000000004</v>
      </c>
      <c r="AK1572" s="1">
        <f>MAX(1,K1572+IF(F1572=2,0.15+方案参数!$CH$46,0)+BN1572*方案参数!$X$46+R1572*方案参数!$AA$46+0-配置与结果!$B$26+Z1572*(方案参数!$AP$46+MIN(方案参数!$AQ$46,P1572*0.03)))</f>
        <v>1.837</v>
      </c>
      <c r="AL1572" s="7">
        <f>ROUNDDOWN(MAX(AD1572*配置与结果!$B$31,AD1572-AE1572)*AF1572*AG1572*AH1572*AI1572,0)</f>
        <v>144997</v>
      </c>
      <c r="AM1572" s="7">
        <f>ROUNDDOWN(MAX(AD1572*配置与结果!$B$31,AD1572-AE1572)*AF1572*AG1572*AH1572*AI1572*AK1572,0)</f>
        <v>266361</v>
      </c>
      <c r="AN1572" s="7">
        <f t="shared" si="2174"/>
        <v>225946.788</v>
      </c>
      <c r="AO1572" s="7">
        <f>0</f>
        <v>0</v>
      </c>
      <c r="AP1572" s="7">
        <f>MAX(0,1+INDEX(配置与结果!$J$15:$J$18,F1572)+IF(T1572&gt;0,方案参数!$BY$46,0)-配置与结果!$B$30)</f>
        <v>2</v>
      </c>
      <c r="AQ1572" s="7">
        <f t="shared" si="2175"/>
        <v>0</v>
      </c>
      <c r="AR1572" s="7">
        <f t="shared" si="2176"/>
        <v>0</v>
      </c>
      <c r="AS1572" s="7">
        <f t="shared" si="2177"/>
        <v>0</v>
      </c>
      <c r="AT1572" s="7">
        <f>0</f>
        <v>0</v>
      </c>
      <c r="AU1572" s="7">
        <f t="shared" si="2178"/>
        <v>225946.788</v>
      </c>
      <c r="AV1572" s="1">
        <f t="shared" si="2179"/>
        <v>2</v>
      </c>
      <c r="AW1572" s="1">
        <f t="shared" si="2209"/>
        <v>10</v>
      </c>
      <c r="AX1572" s="1">
        <f t="shared" si="2180"/>
        <v>2</v>
      </c>
      <c r="AY1572" s="1">
        <f t="shared" si="2203"/>
        <v>6</v>
      </c>
      <c r="AZ1572" s="1">
        <f t="shared" si="2181"/>
        <v>5</v>
      </c>
      <c r="BA1572" s="1">
        <f t="shared" si="2217"/>
        <v>5</v>
      </c>
      <c r="BB1572" s="1">
        <f>MIN(30,R1572+5)</f>
        <v>15</v>
      </c>
      <c r="BC1572" s="1">
        <f t="shared" ref="BC1572:BC1595" si="2223">MIN(3,S1572+0)</f>
        <v>3</v>
      </c>
      <c r="BD1572" s="1">
        <f t="shared" si="2204"/>
        <v>1</v>
      </c>
      <c r="BE1572" s="1">
        <f t="shared" si="2197"/>
        <v>0</v>
      </c>
      <c r="BF1572" s="1">
        <f>MIN(4,V1572+0)</f>
        <v>3</v>
      </c>
      <c r="BG1572" s="1">
        <f t="shared" si="2214"/>
        <v>1</v>
      </c>
      <c r="BH1572" s="1">
        <f t="shared" si="2198"/>
        <v>1</v>
      </c>
      <c r="BI1572" s="1">
        <f t="shared" si="2215"/>
        <v>1</v>
      </c>
      <c r="BJ1572" s="1">
        <f t="shared" si="2218"/>
        <v>1</v>
      </c>
      <c r="BK1572" s="1">
        <f t="shared" si="2219"/>
        <v>1</v>
      </c>
      <c r="BL1572" s="1">
        <f>MAX(AB1572,1)</f>
        <v>1</v>
      </c>
      <c r="BM1572" s="1">
        <f t="shared" si="2222"/>
        <v>1</v>
      </c>
      <c r="BN1572" s="1">
        <f t="shared" si="2199"/>
        <v>1</v>
      </c>
      <c r="BO1572" s="1">
        <f t="shared" si="2200"/>
        <v>1</v>
      </c>
    </row>
    <row r="1573" spans="1:67" ht="30.95" customHeight="1">
      <c r="A1573" s="1">
        <f>43</f>
        <v>43</v>
      </c>
      <c r="B1573" s="1">
        <f>固定流程!A25</f>
        <v>20</v>
      </c>
      <c r="C1573" s="1">
        <f>46</f>
        <v>46</v>
      </c>
      <c r="D1573" s="1">
        <f>1</f>
        <v>1</v>
      </c>
      <c r="E1573" s="1">
        <f>固定流程!C25</f>
        <v>3</v>
      </c>
      <c r="F1573" s="1">
        <f>固定流程!G25</f>
        <v>1</v>
      </c>
      <c r="G1573" s="1" t="str">
        <f>固定流程!H25</f>
        <v>LILYA_ULT</v>
      </c>
      <c r="H1573" s="1">
        <f>固定流程!F25</f>
        <v>1</v>
      </c>
      <c r="I1573" s="1">
        <f>INDEX(配置与结果!$B$15:$B$18,F1573)</f>
        <v>2296</v>
      </c>
      <c r="J1573" s="1">
        <f>INDEX(配置与结果!$D$15:$D$18,F1573)</f>
        <v>0.7</v>
      </c>
      <c r="K1573" s="1">
        <f>INDEX(配置与结果!$E$15:$E$18,F1573)</f>
        <v>2.0249999999999999</v>
      </c>
      <c r="L1573" s="1">
        <f t="shared" si="2211"/>
        <v>2</v>
      </c>
      <c r="M1573" s="1">
        <f t="shared" si="2212"/>
        <v>10</v>
      </c>
      <c r="N1573" s="1">
        <f t="shared" si="2213"/>
        <v>2</v>
      </c>
      <c r="O1573" s="1">
        <f t="shared" si="2205"/>
        <v>6</v>
      </c>
      <c r="P1573" s="1">
        <f>MIN(方案参数!$AI$46,AZ1572+0+0)</f>
        <v>5</v>
      </c>
      <c r="Q1573" s="1">
        <f t="shared" si="2183"/>
        <v>5</v>
      </c>
      <c r="R1573" s="1">
        <f t="shared" si="2184"/>
        <v>15</v>
      </c>
      <c r="S1573" s="1">
        <f t="shared" si="2185"/>
        <v>3</v>
      </c>
      <c r="T1573" s="1">
        <f t="shared" si="2220"/>
        <v>1</v>
      </c>
      <c r="U1573" s="1">
        <f t="shared" si="2187"/>
        <v>0</v>
      </c>
      <c r="V1573" s="1">
        <f t="shared" si="2188"/>
        <v>3</v>
      </c>
      <c r="W1573" s="1">
        <f t="shared" si="2189"/>
        <v>1</v>
      </c>
      <c r="X1573" s="1">
        <f t="shared" si="2190"/>
        <v>1</v>
      </c>
      <c r="Y1573" s="1">
        <f t="shared" si="2191"/>
        <v>1</v>
      </c>
      <c r="Z1573" s="1">
        <f t="shared" si="2192"/>
        <v>1</v>
      </c>
      <c r="AA1573" s="1">
        <f t="shared" si="2216"/>
        <v>1</v>
      </c>
      <c r="AB1573" s="1">
        <f t="shared" si="2194"/>
        <v>1</v>
      </c>
      <c r="AC1573" s="1">
        <f t="shared" si="2221"/>
        <v>1</v>
      </c>
      <c r="AD1573" s="1">
        <f>ROUNDDOWN(I1573*(1+IF(F1573=3,0.05+方案参数!$Y$46+AA1573*0.12,IF(F1573=4,方案参数!$BZ$46*方案参数!$AS$46,0)))+IF(AND(X1573=1,F1573&lt;&gt;3),方案参数!$CC$46,0)+AC1573*方案参数!$CB$46,0)</f>
        <v>3034</v>
      </c>
      <c r="AE1573" s="1">
        <f>IF(OR(F1573=1,F1573=4),配置与结果!$B$24,配置与结果!$B$25)*MAX(0,1-INDEX(配置与结果!$I$15:$I$18,F1573)+IF(O1573&gt;=6,方案参数!$BK$46,0))</f>
        <v>1440</v>
      </c>
      <c r="AF1573" s="1">
        <f>方案参数!$BG$46+IF(O1573&gt;=6,方案参数!$BH$46,0)</f>
        <v>36</v>
      </c>
      <c r="AG1573" s="1">
        <f>MAX(配置与结果!$B$32,1+INDEX(配置与结果!$F$15:$F$18,F1573)+0.08+方案参数!$CD$46+Q1573*方案参数!$W$46+Y1573*(方案参数!$AN$46+MIN(方案参数!$AO$46,P1573*0.03))+AB1573*方案参数!$BZ$46*0.025-配置与结果!$B$28)</f>
        <v>2.2150000000000003</v>
      </c>
      <c r="AH1573" s="1">
        <f>MAX(0,1+INDEX(配置与结果!$H$15:$H$18,F1573)+W1573*方案参数!$AG$46+O1573*方案参数!$BF$46+IF(O1573&gt;=6,方案参数!$BI$46,0))</f>
        <v>2.4500000000000002</v>
      </c>
      <c r="AI1573" s="1">
        <f>IF(OR(INDEX(配置与结果!$K$15:$K$18,F1573)=1,G1573="RHI_BERRY"),1+配置与结果!$B$33+P1573*方案参数!$AH$46,1)</f>
        <v>1</v>
      </c>
      <c r="AJ1573" s="1">
        <f>MIN(1,MAX(0,J1573+方案参数!$AB$46-配置与结果!$B$27))</f>
        <v>1</v>
      </c>
      <c r="AK1573" s="1">
        <f>MAX(1,K1573+IF(F1573=2,0.15+方案参数!$CH$46,0)+BN1573*方案参数!$X$46+R1573*方案参数!$AA$46+IF(O1573&gt;=6,方案参数!$BJ$46,0)-配置与结果!$B$26+Z1573*(方案参数!$AP$46+MIN(方案参数!$AQ$46,P1573*0.03)))</f>
        <v>3.1749999999999998</v>
      </c>
      <c r="AL1573" s="7">
        <f>ROUNDDOWN(MAX(AD1573*配置与结果!$B$31,AD1573-AE1573)*AF1573*AG1573*AH1573*AI1573,0)</f>
        <v>311408</v>
      </c>
      <c r="AM1573" s="7">
        <f>ROUNDDOWN(MAX(AD1573*配置与结果!$B$31,AD1573-AE1573)*AF1573*AG1573*AH1573*AI1573*AK1573,0)</f>
        <v>988722</v>
      </c>
      <c r="AN1573" s="7">
        <f t="shared" si="2174"/>
        <v>988722</v>
      </c>
      <c r="AO1573" s="7">
        <f>0</f>
        <v>0</v>
      </c>
      <c r="AP1573" s="7">
        <f>MAX(0,1+INDEX(配置与结果!$J$15:$J$18,F1573)+IF(T1573&gt;0,方案参数!$BY$46,0)-配置与结果!$B$30)</f>
        <v>2</v>
      </c>
      <c r="AQ1573" s="7">
        <f t="shared" si="2175"/>
        <v>0</v>
      </c>
      <c r="AR1573" s="7">
        <f t="shared" si="2176"/>
        <v>0</v>
      </c>
      <c r="AS1573" s="7">
        <f t="shared" si="2177"/>
        <v>0</v>
      </c>
      <c r="AT1573" s="7">
        <f>0</f>
        <v>0</v>
      </c>
      <c r="AU1573" s="7">
        <f t="shared" si="2178"/>
        <v>988722</v>
      </c>
      <c r="AV1573" s="1">
        <f t="shared" si="2179"/>
        <v>2</v>
      </c>
      <c r="AW1573" s="1">
        <f t="shared" si="2209"/>
        <v>10</v>
      </c>
      <c r="AX1573" s="1">
        <f t="shared" si="2180"/>
        <v>2</v>
      </c>
      <c r="AY1573" s="1">
        <f>MIN(20,MAX(0,O1573+0+0-IF(O1573&gt;=6,6,0)))</f>
        <v>0</v>
      </c>
      <c r="AZ1573" s="1">
        <f t="shared" si="2181"/>
        <v>5</v>
      </c>
      <c r="BA1573" s="1">
        <f t="shared" si="2217"/>
        <v>5</v>
      </c>
      <c r="BB1573" s="1">
        <f>MIN(30,R1573+5)</f>
        <v>20</v>
      </c>
      <c r="BC1573" s="1">
        <f t="shared" si="2223"/>
        <v>3</v>
      </c>
      <c r="BD1573" s="1">
        <f t="shared" si="2204"/>
        <v>1</v>
      </c>
      <c r="BE1573" s="1">
        <f t="shared" si="2197"/>
        <v>0</v>
      </c>
      <c r="BF1573" s="1">
        <f>MIN(4,V1573+0)</f>
        <v>3</v>
      </c>
      <c r="BG1573" s="1">
        <f t="shared" si="2214"/>
        <v>1</v>
      </c>
      <c r="BH1573" s="1">
        <f t="shared" si="2198"/>
        <v>1</v>
      </c>
      <c r="BI1573" s="1">
        <f t="shared" si="2215"/>
        <v>1</v>
      </c>
      <c r="BJ1573" s="1">
        <f t="shared" si="2218"/>
        <v>1</v>
      </c>
      <c r="BK1573" s="1">
        <f t="shared" si="2219"/>
        <v>1</v>
      </c>
      <c r="BL1573" s="1">
        <f t="shared" ref="BL1573:BL1607" si="2224">MAX(AB1573,0)</f>
        <v>1</v>
      </c>
      <c r="BM1573" s="1">
        <f t="shared" si="2222"/>
        <v>1</v>
      </c>
      <c r="BN1573" s="1">
        <f t="shared" si="2199"/>
        <v>1</v>
      </c>
      <c r="BO1573" s="1">
        <f t="shared" si="2200"/>
        <v>1</v>
      </c>
    </row>
    <row r="1574" spans="1:67" ht="30.95" customHeight="1">
      <c r="A1574" s="1">
        <f>43</f>
        <v>43</v>
      </c>
      <c r="B1574" s="1">
        <f>固定流程!A26</f>
        <v>21</v>
      </c>
      <c r="C1574" s="1">
        <f>46</f>
        <v>46</v>
      </c>
      <c r="D1574" s="1">
        <f>1</f>
        <v>1</v>
      </c>
      <c r="E1574" s="1">
        <f>固定流程!C26</f>
        <v>3</v>
      </c>
      <c r="F1574" s="1">
        <f>固定流程!G26</f>
        <v>1</v>
      </c>
      <c r="G1574" s="1" t="str">
        <f>固定流程!H26</f>
        <v>LILYA_DIVE</v>
      </c>
      <c r="H1574" s="1">
        <f>固定流程!F26</f>
        <v>3</v>
      </c>
      <c r="I1574" s="1">
        <f>INDEX(配置与结果!$B$15:$B$18,F1574)</f>
        <v>2296</v>
      </c>
      <c r="J1574" s="1">
        <f>INDEX(配置与结果!$D$15:$D$18,F1574)</f>
        <v>0.7</v>
      </c>
      <c r="K1574" s="1">
        <f>INDEX(配置与结果!$E$15:$E$18,F1574)</f>
        <v>2.0249999999999999</v>
      </c>
      <c r="L1574" s="1">
        <f t="shared" si="2211"/>
        <v>2</v>
      </c>
      <c r="M1574" s="1">
        <f t="shared" si="2212"/>
        <v>10</v>
      </c>
      <c r="N1574" s="1">
        <f t="shared" si="2213"/>
        <v>2</v>
      </c>
      <c r="O1574" s="1">
        <f t="shared" si="2205"/>
        <v>0</v>
      </c>
      <c r="P1574" s="1">
        <f>MIN(方案参数!$AI$46,AZ1573+0+0)</f>
        <v>5</v>
      </c>
      <c r="Q1574" s="1">
        <f t="shared" si="2183"/>
        <v>5</v>
      </c>
      <c r="R1574" s="1">
        <f t="shared" si="2184"/>
        <v>20</v>
      </c>
      <c r="S1574" s="1">
        <f t="shared" si="2185"/>
        <v>3</v>
      </c>
      <c r="T1574" s="1">
        <f t="shared" si="2220"/>
        <v>1</v>
      </c>
      <c r="U1574" s="1">
        <f t="shared" si="2187"/>
        <v>0</v>
      </c>
      <c r="V1574" s="1">
        <f t="shared" si="2188"/>
        <v>3</v>
      </c>
      <c r="W1574" s="1">
        <f t="shared" si="2189"/>
        <v>1</v>
      </c>
      <c r="X1574" s="1">
        <f t="shared" si="2190"/>
        <v>1</v>
      </c>
      <c r="Y1574" s="1">
        <f t="shared" si="2191"/>
        <v>1</v>
      </c>
      <c r="Z1574" s="1">
        <f t="shared" si="2192"/>
        <v>1</v>
      </c>
      <c r="AA1574" s="1">
        <f t="shared" si="2216"/>
        <v>1</v>
      </c>
      <c r="AB1574" s="1">
        <f t="shared" si="2194"/>
        <v>1</v>
      </c>
      <c r="AC1574" s="1">
        <f t="shared" si="2221"/>
        <v>1</v>
      </c>
      <c r="AD1574" s="1">
        <f>ROUNDDOWN(I1574*(1+IF(F1574=3,0.05+方案参数!$Y$46+AA1574*0.12,IF(F1574=4,方案参数!$BZ$46*方案参数!$AS$46,0)))+IF(AND(X1574=1,F1574&lt;&gt;3),方案参数!$CC$46,0)+AC1574*方案参数!$CB$46,0)</f>
        <v>3034</v>
      </c>
      <c r="AE1574" s="1">
        <f>IF(OR(F1574=1,F1574=4),配置与结果!$B$24,配置与结果!$B$25)*MAX(0,1-INDEX(配置与结果!$I$15:$I$18,F1574))</f>
        <v>1200</v>
      </c>
      <c r="AF1574" s="1">
        <f>(IF(L1574=1,方案参数!$AW$46,IF(L1574=2,方案参数!$AX$46,0))+方案参数!$AV$46)*H1574</f>
        <v>30</v>
      </c>
      <c r="AG1574" s="1">
        <f>MAX(配置与结果!$B$32,1+INDEX(配置与结果!$F$15:$F$18,F1574)+0.08+方案参数!$CD$46+Q1574*方案参数!$W$46+Y1574*(方案参数!$AN$46+MIN(方案参数!$AO$46,P1574*0.03))+AB1574*方案参数!$BZ$46*0.025+IF(L1574=1,方案参数!$AY$46+(H1574-1)*0.1,IF(L1574=2,方案参数!$AZ$46+(H1574-1)*0.2,0))-配置与结果!$B$28)</f>
        <v>2.8150000000000004</v>
      </c>
      <c r="AH1574" s="1">
        <f>MAX(0,1+INDEX(配置与结果!$G$15:$G$18,F1574)+W1574*方案参数!$AG$46+IF(L1574=1,方案参数!$BA$46,IF(L1574=2,方案参数!$BB$46,0))+M1574*方案参数!$BC$46)</f>
        <v>3.1</v>
      </c>
      <c r="AI1574" s="1">
        <f>IF(OR(INDEX(配置与结果!$K$15:$K$18,F1574)=1,G1574="RHI_BERRY"),1+配置与结果!$B$33+P1574*方案参数!$AH$46,1)</f>
        <v>1</v>
      </c>
      <c r="AJ1574" s="1">
        <f>MIN(1,MAX(0,J1574+方案参数!$AB$46-配置与结果!$B$27))</f>
        <v>1</v>
      </c>
      <c r="AK1574" s="1">
        <f>MAX(1,K1574+IF(F1574=2,0.15+方案参数!$CH$46,0)+BN1574*方案参数!$X$46+R1574*方案参数!$AA$46+0-配置与结果!$B$26+Z1574*(方案参数!$AP$46+MIN(方案参数!$AQ$46,P1574*0.03)))</f>
        <v>2.2050000000000001</v>
      </c>
      <c r="AL1574" s="7">
        <f>ROUNDDOWN(MAX(AD1574*配置与结果!$B$31,AD1574-AE1574)*AF1574*AG1574*AH1574*AI1574,0)</f>
        <v>480132</v>
      </c>
      <c r="AM1574" s="7">
        <f>ROUNDDOWN(MAX(AD1574*配置与结果!$B$31,AD1574-AE1574)*AF1574*AG1574*AH1574*AI1574*AK1574,0)</f>
        <v>1058691</v>
      </c>
      <c r="AN1574" s="7">
        <f t="shared" si="2174"/>
        <v>1058691</v>
      </c>
      <c r="AO1574" s="7">
        <f>0</f>
        <v>0</v>
      </c>
      <c r="AP1574" s="7">
        <f>MAX(0,1+INDEX(配置与结果!$J$15:$J$18,F1574)+IF(T1574&gt;0,方案参数!$BY$46,0)-配置与结果!$B$30)</f>
        <v>2</v>
      </c>
      <c r="AQ1574" s="7">
        <f t="shared" si="2175"/>
        <v>0</v>
      </c>
      <c r="AR1574" s="7">
        <f t="shared" si="2176"/>
        <v>0</v>
      </c>
      <c r="AS1574" s="7">
        <f t="shared" si="2177"/>
        <v>0</v>
      </c>
      <c r="AT1574" s="7">
        <f>0</f>
        <v>0</v>
      </c>
      <c r="AU1574" s="7">
        <f t="shared" si="2178"/>
        <v>1058691</v>
      </c>
      <c r="AV1574" s="1">
        <f t="shared" si="2179"/>
        <v>2</v>
      </c>
      <c r="AW1574" s="1">
        <f>MIN(10,M1574+0+IF(L1574=1,方案参数!$BE$46,0))</f>
        <v>10</v>
      </c>
      <c r="AX1574" s="1">
        <f t="shared" si="2180"/>
        <v>2</v>
      </c>
      <c r="AY1574" s="1">
        <f>MIN(20,MAX(0,O1574+0+0-0))</f>
        <v>0</v>
      </c>
      <c r="AZ1574" s="1">
        <f t="shared" si="2181"/>
        <v>5</v>
      </c>
      <c r="BA1574" s="1">
        <f t="shared" si="2217"/>
        <v>5</v>
      </c>
      <c r="BB1574" s="1">
        <f t="shared" ref="BB1574:BB1589" si="2225">MIN(30,R1574+0)</f>
        <v>20</v>
      </c>
      <c r="BC1574" s="1">
        <f t="shared" si="2223"/>
        <v>3</v>
      </c>
      <c r="BD1574" s="1">
        <f t="shared" si="2204"/>
        <v>1</v>
      </c>
      <c r="BE1574" s="1">
        <f t="shared" si="2197"/>
        <v>0</v>
      </c>
      <c r="BF1574" s="1">
        <f>MIN(4,V1574+0)</f>
        <v>3</v>
      </c>
      <c r="BG1574" s="1">
        <f t="shared" si="2214"/>
        <v>1</v>
      </c>
      <c r="BH1574" s="1">
        <f t="shared" si="2198"/>
        <v>1</v>
      </c>
      <c r="BI1574" s="1">
        <f t="shared" si="2215"/>
        <v>1</v>
      </c>
      <c r="BJ1574" s="1">
        <f t="shared" si="2218"/>
        <v>1</v>
      </c>
      <c r="BK1574" s="1">
        <f t="shared" si="2219"/>
        <v>1</v>
      </c>
      <c r="BL1574" s="1">
        <f t="shared" si="2224"/>
        <v>1</v>
      </c>
      <c r="BM1574" s="1">
        <f t="shared" si="2222"/>
        <v>1</v>
      </c>
      <c r="BN1574" s="1">
        <f t="shared" si="2199"/>
        <v>1</v>
      </c>
      <c r="BO1574" s="1">
        <f t="shared" si="2200"/>
        <v>1</v>
      </c>
    </row>
    <row r="1575" spans="1:67" ht="30.95" customHeight="1">
      <c r="A1575" s="1">
        <f>43</f>
        <v>43</v>
      </c>
      <c r="B1575" s="1">
        <f>固定流程!A27</f>
        <v>22</v>
      </c>
      <c r="C1575" s="1">
        <f>46</f>
        <v>46</v>
      </c>
      <c r="D1575" s="1">
        <f>1</f>
        <v>1</v>
      </c>
      <c r="E1575" s="1">
        <f>固定流程!C27</f>
        <v>3</v>
      </c>
      <c r="F1575" s="1">
        <f>固定流程!G27</f>
        <v>3</v>
      </c>
      <c r="G1575" s="1" t="str">
        <f>固定流程!H27</f>
        <v>RHI_BERRY</v>
      </c>
      <c r="H1575" s="1">
        <f>固定流程!F27</f>
        <v>1</v>
      </c>
      <c r="I1575" s="1">
        <f>INDEX(配置与结果!$B$15:$B$18,F1575)</f>
        <v>2597</v>
      </c>
      <c r="J1575" s="1">
        <f>INDEX(配置与结果!$D$15:$D$18,F1575)</f>
        <v>0.255</v>
      </c>
      <c r="K1575" s="1">
        <f>INDEX(配置与结果!$E$15:$E$18,F1575)</f>
        <v>1.55</v>
      </c>
      <c r="L1575" s="1">
        <f t="shared" si="2211"/>
        <v>2</v>
      </c>
      <c r="M1575" s="1">
        <f t="shared" si="2212"/>
        <v>10</v>
      </c>
      <c r="N1575" s="1">
        <f t="shared" si="2213"/>
        <v>2</v>
      </c>
      <c r="O1575" s="1">
        <f t="shared" si="2205"/>
        <v>0</v>
      </c>
      <c r="P1575" s="1">
        <f>MIN(方案参数!$AI$46,AZ1574+0+0)</f>
        <v>5</v>
      </c>
      <c r="Q1575" s="1">
        <f t="shared" si="2183"/>
        <v>5</v>
      </c>
      <c r="R1575" s="1">
        <f t="shared" si="2184"/>
        <v>20</v>
      </c>
      <c r="S1575" s="1">
        <f t="shared" si="2185"/>
        <v>3</v>
      </c>
      <c r="T1575" s="1">
        <f t="shared" si="2220"/>
        <v>1</v>
      </c>
      <c r="U1575" s="1">
        <f t="shared" si="2187"/>
        <v>0</v>
      </c>
      <c r="V1575" s="1">
        <f t="shared" si="2188"/>
        <v>3</v>
      </c>
      <c r="W1575" s="1">
        <f t="shared" si="2189"/>
        <v>1</v>
      </c>
      <c r="X1575" s="1">
        <f t="shared" si="2190"/>
        <v>1</v>
      </c>
      <c r="Y1575" s="1">
        <f t="shared" si="2191"/>
        <v>1</v>
      </c>
      <c r="Z1575" s="1">
        <f t="shared" si="2192"/>
        <v>1</v>
      </c>
      <c r="AA1575" s="1">
        <f t="shared" si="2216"/>
        <v>1</v>
      </c>
      <c r="AB1575" s="1">
        <f t="shared" si="2194"/>
        <v>1</v>
      </c>
      <c r="AC1575" s="1">
        <f t="shared" si="2221"/>
        <v>1</v>
      </c>
      <c r="AD1575" s="1">
        <f>ROUNDDOWN(I1575*(1+IF(F1575=3,0.05+方案参数!$Y$46+AA1575*0.12,IF(F1575=4,方案参数!$BZ$46*方案参数!$AS$46,0)))+IF(AND(X1575=1,F1575&lt;&gt;3),方案参数!$CC$46,0)+AC1575*方案参数!$CB$46,0)</f>
        <v>3798</v>
      </c>
      <c r="AE1575" s="1">
        <f>IF(OR(F1575=1,F1575=4),配置与结果!$B$24,配置与结果!$B$25)*MAX(0,1-INDEX(配置与结果!$I$15:$I$18,F1575))</f>
        <v>1000</v>
      </c>
      <c r="AF1575" s="1">
        <f>方案参数!$CF$46+P1575*方案参数!$CG$46</f>
        <v>22.5</v>
      </c>
      <c r="AG1575" s="1">
        <f>MAX(配置与结果!$B$32,1+INDEX(配置与结果!$F$15:$F$18,F1575)+0+Q1575*方案参数!$W$46+Y1575*(方案参数!$AN$46+MIN(方案参数!$AO$46,P1575*0.03))+AB1575*方案参数!$BZ$46*0.025-配置与结果!$B$28)</f>
        <v>1.9100000000000001</v>
      </c>
      <c r="AH1575" s="1">
        <f>MAX(0,1+INDEX(配置与结果!$G$15:$G$18,F1575)+W1575*方案参数!$AG$46)</f>
        <v>1.3</v>
      </c>
      <c r="AI1575" s="1">
        <f>IF(OR(INDEX(配置与结果!$K$15:$K$18,F1575)=1,G1575="RHI_BERRY"),1+配置与结果!$B$33+P1575*方案参数!$AH$46,1)</f>
        <v>1.5</v>
      </c>
      <c r="AJ1575" s="1">
        <f>MIN(1,MAX(0,J1575+方案参数!$AB$46-配置与结果!$B$27))</f>
        <v>0.55499999999999994</v>
      </c>
      <c r="AK1575" s="1">
        <f>MAX(1,K1575+IF(F1575=2,0.15+方案参数!$CH$46,0)+BN1575*方案参数!$X$46+R1575*方案参数!$AA$46+0-配置与结果!$B$26+Z1575*(方案参数!$AP$46+MIN(方案参数!$AQ$46,P1575*0.03)))</f>
        <v>1.7300000000000002</v>
      </c>
      <c r="AL1575" s="7">
        <f>ROUNDDOWN(MAX(AD1575*配置与结果!$B$31,AD1575-AE1575)*AF1575*AG1575*AH1575*AI1575,0)</f>
        <v>234475</v>
      </c>
      <c r="AM1575" s="7">
        <f>ROUNDDOWN(MAX(AD1575*配置与结果!$B$31,AD1575-AE1575)*AF1575*AG1575*AH1575*AI1575*AK1575,0)</f>
        <v>405643</v>
      </c>
      <c r="AN1575" s="7">
        <f t="shared" si="2174"/>
        <v>329473.24</v>
      </c>
      <c r="AO1575" s="7">
        <f>0</f>
        <v>0</v>
      </c>
      <c r="AP1575" s="7">
        <f>MAX(0,1+INDEX(配置与结果!$J$15:$J$18,F1575)+IF(T1575&gt;0,方案参数!$BY$46,0)-配置与结果!$B$30)</f>
        <v>2</v>
      </c>
      <c r="AQ1575" s="7">
        <f t="shared" si="2175"/>
        <v>0</v>
      </c>
      <c r="AR1575" s="7">
        <f t="shared" si="2176"/>
        <v>0</v>
      </c>
      <c r="AS1575" s="7">
        <f t="shared" si="2177"/>
        <v>0</v>
      </c>
      <c r="AT1575" s="7">
        <f>0</f>
        <v>0</v>
      </c>
      <c r="AU1575" s="7">
        <f t="shared" si="2178"/>
        <v>329473.24</v>
      </c>
      <c r="AV1575" s="1">
        <f t="shared" si="2179"/>
        <v>2</v>
      </c>
      <c r="AW1575" s="1">
        <f t="shared" ref="AW1575:AW1591" si="2226">MIN(10,M1575+0+0)</f>
        <v>10</v>
      </c>
      <c r="AX1575" s="1">
        <f t="shared" si="2180"/>
        <v>2</v>
      </c>
      <c r="AY1575" s="1">
        <f>MIN(20,MAX(0,O1575+0+0-0))</f>
        <v>0</v>
      </c>
      <c r="AZ1575" s="1">
        <f t="shared" si="2181"/>
        <v>5</v>
      </c>
      <c r="BA1575" s="1">
        <f t="shared" si="2217"/>
        <v>5</v>
      </c>
      <c r="BB1575" s="1">
        <f t="shared" si="2225"/>
        <v>20</v>
      </c>
      <c r="BC1575" s="1">
        <f t="shared" si="2223"/>
        <v>3</v>
      </c>
      <c r="BD1575" s="1">
        <f t="shared" si="2204"/>
        <v>1</v>
      </c>
      <c r="BE1575" s="1">
        <f t="shared" si="2197"/>
        <v>0</v>
      </c>
      <c r="BF1575" s="1">
        <f>MIN(4,V1575+0)</f>
        <v>3</v>
      </c>
      <c r="BG1575" s="1">
        <f t="shared" si="2214"/>
        <v>1</v>
      </c>
      <c r="BH1575" s="1">
        <f t="shared" si="2198"/>
        <v>1</v>
      </c>
      <c r="BI1575" s="1">
        <f t="shared" si="2215"/>
        <v>1</v>
      </c>
      <c r="BJ1575" s="1">
        <f t="shared" si="2218"/>
        <v>1</v>
      </c>
      <c r="BK1575" s="1">
        <f t="shared" si="2219"/>
        <v>1</v>
      </c>
      <c r="BL1575" s="1">
        <f t="shared" si="2224"/>
        <v>1</v>
      </c>
      <c r="BM1575" s="1">
        <f t="shared" si="2222"/>
        <v>1</v>
      </c>
      <c r="BN1575" s="1">
        <f t="shared" si="2199"/>
        <v>1</v>
      </c>
      <c r="BO1575" s="1">
        <f t="shared" si="2200"/>
        <v>1</v>
      </c>
    </row>
    <row r="1576" spans="1:67" ht="30.95" customHeight="1">
      <c r="A1576" s="1">
        <f>43</f>
        <v>43</v>
      </c>
      <c r="B1576" s="1">
        <f>固定流程!A28</f>
        <v>23</v>
      </c>
      <c r="C1576" s="1">
        <f>46</f>
        <v>46</v>
      </c>
      <c r="D1576" s="1">
        <f>1</f>
        <v>1</v>
      </c>
      <c r="E1576" s="1">
        <f>固定流程!C28</f>
        <v>3</v>
      </c>
      <c r="F1576" s="1">
        <f>固定流程!G28</f>
        <v>2</v>
      </c>
      <c r="G1576" s="1" t="str">
        <f>固定流程!H28</f>
        <v>37_FOLLOW</v>
      </c>
      <c r="H1576" s="1">
        <f>固定流程!F28</f>
        <v>1</v>
      </c>
      <c r="I1576" s="1">
        <f>INDEX(配置与结果!$B$15:$B$18,F1576)</f>
        <v>2306</v>
      </c>
      <c r="J1576" s="1">
        <f>INDEX(配置与结果!$D$15:$D$18,F1576)</f>
        <v>0.46</v>
      </c>
      <c r="K1576" s="1">
        <f>INDEX(配置与结果!$E$15:$E$18,F1576)</f>
        <v>1.9279999999999999</v>
      </c>
      <c r="L1576" s="1">
        <f t="shared" si="2211"/>
        <v>2</v>
      </c>
      <c r="M1576" s="1">
        <f t="shared" si="2212"/>
        <v>10</v>
      </c>
      <c r="N1576" s="1">
        <f t="shared" si="2213"/>
        <v>2</v>
      </c>
      <c r="O1576" s="1">
        <f t="shared" si="2205"/>
        <v>0</v>
      </c>
      <c r="P1576" s="1">
        <f>MIN(方案参数!$AI$46,AZ1575+0+0)</f>
        <v>5</v>
      </c>
      <c r="Q1576" s="1">
        <f t="shared" si="2183"/>
        <v>5</v>
      </c>
      <c r="R1576" s="1">
        <f t="shared" si="2184"/>
        <v>20</v>
      </c>
      <c r="S1576" s="1">
        <f t="shared" si="2185"/>
        <v>3</v>
      </c>
      <c r="T1576" s="1">
        <f t="shared" si="2220"/>
        <v>1</v>
      </c>
      <c r="U1576" s="1">
        <f t="shared" si="2187"/>
        <v>0</v>
      </c>
      <c r="V1576" s="1">
        <f t="shared" si="2188"/>
        <v>3</v>
      </c>
      <c r="W1576" s="1">
        <f t="shared" si="2189"/>
        <v>1</v>
      </c>
      <c r="X1576" s="1">
        <f t="shared" si="2190"/>
        <v>1</v>
      </c>
      <c r="Y1576" s="1">
        <f t="shared" si="2191"/>
        <v>1</v>
      </c>
      <c r="Z1576" s="1">
        <f t="shared" si="2192"/>
        <v>1</v>
      </c>
      <c r="AA1576" s="1">
        <f t="shared" si="2216"/>
        <v>1</v>
      </c>
      <c r="AB1576" s="1">
        <f t="shared" si="2194"/>
        <v>1</v>
      </c>
      <c r="AC1576" s="1">
        <f t="shared" si="2221"/>
        <v>1</v>
      </c>
      <c r="AD1576" s="1">
        <f>ROUNDDOWN(I1576*(1+IF(F1576=3,0.05+方案参数!$Y$46+AA1576*0.12,IF(F1576=4,方案参数!$BZ$46*方案参数!$AS$46,0)))+IF(AND(X1576=1,F1576&lt;&gt;3),方案参数!$CC$46,0)+AC1576*方案参数!$CB$46,0)</f>
        <v>3044</v>
      </c>
      <c r="AE1576" s="1">
        <f>IF(OR(F1576=1,F1576=4),配置与结果!$B$24,配置与结果!$B$25)*MAX(0,1-INDEX(配置与结果!$I$15:$I$18,F1576))</f>
        <v>1000</v>
      </c>
      <c r="AF1576" s="1">
        <f>方案参数!$BV$46</f>
        <v>3</v>
      </c>
      <c r="AG1576" s="1">
        <f>MAX(配置与结果!$B$32,1+INDEX(配置与结果!$F$15:$F$18,F1576)+0+Q1576*方案参数!$W$46+Y1576*(方案参数!$AN$46+MIN(方案参数!$AO$46,P1576*0.03))+AB1576*方案参数!$BZ$46*0.025-配置与结果!$B$28)</f>
        <v>1.8800000000000003</v>
      </c>
      <c r="AH1576" s="1">
        <f>MAX(0,1+INDEX(配置与结果!$G$15:$G$18,F1576)+W1576*方案参数!$AG$46)</f>
        <v>1.3</v>
      </c>
      <c r="AI1576" s="1">
        <f>IF(OR(INDEX(配置与结果!$K$15:$K$18,F1576)=1,G1576="RHI_BERRY"),1+配置与结果!$B$33+P1576*方案参数!$AH$46,1)</f>
        <v>1</v>
      </c>
      <c r="AJ1576" s="1">
        <f>MIN(1,MAX(0,J1576+方案参数!$AB$46-配置与结果!$B$27))</f>
        <v>0.76</v>
      </c>
      <c r="AK1576" s="1">
        <f>MAX(1,K1576+IF(F1576=2,0.15+方案参数!$CH$46,0)+BN1576*方案参数!$X$46+R1576*方案参数!$AA$46+0-配置与结果!$B$26+Z1576*(方案参数!$AP$46+MIN(方案参数!$AQ$46,P1576*0.03)))</f>
        <v>2.3780000000000001</v>
      </c>
      <c r="AL1576" s="7">
        <f>ROUNDDOWN(MAX(AD1576*配置与结果!$B$31,AD1576-AE1576)*AF1576*AG1576*AH1576*AI1576,0)</f>
        <v>14986</v>
      </c>
      <c r="AM1576" s="7">
        <f>ROUNDDOWN(MAX(AD1576*配置与结果!$B$31,AD1576-AE1576)*AF1576*AG1576*AH1576*AI1576*AK1576,0)</f>
        <v>35638</v>
      </c>
      <c r="AN1576" s="7">
        <f t="shared" si="2174"/>
        <v>30681.52</v>
      </c>
      <c r="AO1576" s="7">
        <f>方案参数!$BW$46</f>
        <v>1</v>
      </c>
      <c r="AP1576" s="7">
        <f>MAX(0,1+INDEX(配置与结果!$J$15:$J$18,F1576)+IF(T1576&gt;0,方案参数!$BY$46,0)-配置与结果!$B$30)</f>
        <v>2</v>
      </c>
      <c r="AQ1576" s="7">
        <f t="shared" si="2175"/>
        <v>6088</v>
      </c>
      <c r="AR1576" s="7">
        <f t="shared" si="2176"/>
        <v>14477</v>
      </c>
      <c r="AS1576" s="7">
        <f t="shared" si="2177"/>
        <v>12463.64</v>
      </c>
      <c r="AT1576" s="7">
        <f>0</f>
        <v>0</v>
      </c>
      <c r="AU1576" s="7">
        <f t="shared" si="2178"/>
        <v>43145.16</v>
      </c>
      <c r="AV1576" s="1">
        <f t="shared" si="2179"/>
        <v>2</v>
      </c>
      <c r="AW1576" s="1">
        <f t="shared" si="2226"/>
        <v>10</v>
      </c>
      <c r="AX1576" s="1">
        <f t="shared" si="2180"/>
        <v>2</v>
      </c>
      <c r="AY1576" s="1">
        <f>MIN(20,MAX(0,O1576+0+0-0))</f>
        <v>0</v>
      </c>
      <c r="AZ1576" s="1">
        <f t="shared" si="2181"/>
        <v>5</v>
      </c>
      <c r="BA1576" s="1">
        <f t="shared" si="2217"/>
        <v>5</v>
      </c>
      <c r="BB1576" s="1">
        <f t="shared" si="2225"/>
        <v>20</v>
      </c>
      <c r="BC1576" s="1">
        <f t="shared" si="2223"/>
        <v>3</v>
      </c>
      <c r="BD1576" s="1">
        <f t="shared" si="2204"/>
        <v>0</v>
      </c>
      <c r="BE1576" s="1">
        <f t="shared" si="2197"/>
        <v>0</v>
      </c>
      <c r="BF1576" s="1">
        <f>MIN(4,V1576+1)</f>
        <v>4</v>
      </c>
      <c r="BG1576" s="1">
        <f t="shared" si="2214"/>
        <v>1</v>
      </c>
      <c r="BH1576" s="1">
        <f t="shared" si="2198"/>
        <v>1</v>
      </c>
      <c r="BI1576" s="1">
        <f t="shared" si="2215"/>
        <v>1</v>
      </c>
      <c r="BJ1576" s="1">
        <f t="shared" si="2218"/>
        <v>1</v>
      </c>
      <c r="BK1576" s="1">
        <f t="shared" si="2219"/>
        <v>1</v>
      </c>
      <c r="BL1576" s="1">
        <f t="shared" si="2224"/>
        <v>1</v>
      </c>
      <c r="BM1576" s="1">
        <f t="shared" si="2222"/>
        <v>1</v>
      </c>
      <c r="BN1576" s="1">
        <f t="shared" si="2199"/>
        <v>1</v>
      </c>
      <c r="BO1576" s="1">
        <f t="shared" si="2200"/>
        <v>1</v>
      </c>
    </row>
    <row r="1577" spans="1:67" ht="30.95" customHeight="1">
      <c r="A1577" s="1">
        <f>43</f>
        <v>43</v>
      </c>
      <c r="B1577" s="1">
        <f>固定流程!A29</f>
        <v>24</v>
      </c>
      <c r="C1577" s="1">
        <f>46</f>
        <v>46</v>
      </c>
      <c r="D1577" s="1">
        <f>2</f>
        <v>2</v>
      </c>
      <c r="E1577" s="1">
        <f>固定流程!C29</f>
        <v>3</v>
      </c>
      <c r="F1577" s="1">
        <f>固定流程!G29</f>
        <v>1</v>
      </c>
      <c r="G1577" s="1" t="str">
        <f>固定流程!H29</f>
        <v>LILYA_WEAK</v>
      </c>
      <c r="H1577" s="1">
        <f>固定流程!F29</f>
        <v>1</v>
      </c>
      <c r="I1577" s="1">
        <f>INDEX(配置与结果!$B$15:$B$18,F1577)</f>
        <v>2296</v>
      </c>
      <c r="J1577" s="1">
        <f>INDEX(配置与结果!$D$15:$D$18,F1577)</f>
        <v>0.7</v>
      </c>
      <c r="K1577" s="1">
        <f>INDEX(配置与结果!$E$15:$E$18,F1577)</f>
        <v>2.0249999999999999</v>
      </c>
      <c r="L1577" s="1">
        <f t="shared" si="2211"/>
        <v>2</v>
      </c>
      <c r="M1577" s="1">
        <f t="shared" si="2212"/>
        <v>10</v>
      </c>
      <c r="N1577" s="1">
        <f t="shared" si="2213"/>
        <v>2</v>
      </c>
      <c r="O1577" s="1">
        <f t="shared" si="2205"/>
        <v>0</v>
      </c>
      <c r="P1577" s="1">
        <f>MIN(方案参数!$AI$46,AZ1576+0+0)</f>
        <v>5</v>
      </c>
      <c r="Q1577" s="1">
        <f t="shared" si="2183"/>
        <v>5</v>
      </c>
      <c r="R1577" s="1">
        <f t="shared" si="2184"/>
        <v>20</v>
      </c>
      <c r="S1577" s="1">
        <f t="shared" si="2185"/>
        <v>3</v>
      </c>
      <c r="T1577" s="1">
        <f t="shared" si="2220"/>
        <v>0</v>
      </c>
      <c r="U1577" s="1">
        <f t="shared" si="2187"/>
        <v>0</v>
      </c>
      <c r="V1577" s="1">
        <f t="shared" si="2188"/>
        <v>4</v>
      </c>
      <c r="W1577" s="1">
        <f t="shared" si="2189"/>
        <v>1</v>
      </c>
      <c r="X1577" s="1">
        <f t="shared" si="2190"/>
        <v>1</v>
      </c>
      <c r="Y1577" s="1">
        <f t="shared" si="2191"/>
        <v>1</v>
      </c>
      <c r="Z1577" s="1">
        <f t="shared" si="2192"/>
        <v>1</v>
      </c>
      <c r="AA1577" s="1">
        <f t="shared" si="2216"/>
        <v>1</v>
      </c>
      <c r="AB1577" s="1">
        <f t="shared" si="2194"/>
        <v>1</v>
      </c>
      <c r="AC1577" s="1">
        <f t="shared" si="2221"/>
        <v>1</v>
      </c>
      <c r="AD1577" s="1">
        <f>ROUNDDOWN(I1577*(1+IF(F1577=3,0.05+方案参数!$Y$46+AA1577*0.12,IF(F1577=4,方案参数!$BZ$46*方案参数!$AS$46,0)))+IF(AND(X1577=1,F1577&lt;&gt;3),方案参数!$CC$46,0)+AC1577*方案参数!$CB$46,0)</f>
        <v>3034</v>
      </c>
      <c r="AE1577" s="1">
        <f>IF(OR(F1577=1,F1577=4),配置与结果!$B$24,配置与结果!$B$25)*MAX(0,1-INDEX(配置与结果!$I$15:$I$18,F1577))</f>
        <v>1200</v>
      </c>
      <c r="AF1577" s="1">
        <f>方案参数!$BL$46</f>
        <v>9</v>
      </c>
      <c r="AG1577" s="1">
        <f>MAX(配置与结果!$B$32,1+INDEX(配置与结果!$F$15:$F$18,F1577)+0.08+方案参数!$CD$46+Q1577*方案参数!$W$46+Y1577*(方案参数!$AN$46+MIN(方案参数!$AO$46,P1577*0.03))+AB1577*方案参数!$BZ$46*0.025-配置与结果!$B$28+方案参数!$AE$46)</f>
        <v>2.6150000000000002</v>
      </c>
      <c r="AH1577" s="1">
        <f>MAX(0,1+V1577*方案参数!$U$46+0*方案参数!$V$46+方案参数!$AE$46-配置与结果!$B$29)</f>
        <v>1.56</v>
      </c>
      <c r="AI1577" s="1">
        <f>IF(OR(INDEX(配置与结果!$K$15:$K$18,F1577)=1,G1577="RHI_BERRY"),1+配置与结果!$B$33+P1577*方案参数!$AH$46,1)</f>
        <v>1</v>
      </c>
      <c r="AJ1577" s="1">
        <f>MIN(1,MAX(0,J1577+方案参数!$AB$46-配置与结果!$B$27))</f>
        <v>1</v>
      </c>
      <c r="AK1577" s="1">
        <f>MAX(1,K1577+IF(F1577=2,0.15+方案参数!$CH$46,0)+BN1577*方案参数!$X$46+R1577*方案参数!$AA$46+方案参数!$BP$46-配置与结果!$B$26+Z1577*(方案参数!$AP$46+MIN(方案参数!$AQ$46,P1577*0.03)))</f>
        <v>2.8050000000000002</v>
      </c>
      <c r="AL1577" s="7">
        <f>ROUNDDOWN(MAX(AD1577*配置与结果!$B$31,AD1577-AE1577)*AF1577*AG1577*AH1577*AI1577,0)</f>
        <v>67334</v>
      </c>
      <c r="AM1577" s="7">
        <f>ROUNDDOWN(MAX(AD1577*配置与结果!$B$31,AD1577-AE1577)*AF1577*AG1577*AH1577*AI1577*AK1577,0)</f>
        <v>188873</v>
      </c>
      <c r="AN1577" s="7">
        <f t="shared" si="2174"/>
        <v>188873</v>
      </c>
      <c r="AO1577" s="7">
        <f>0</f>
        <v>0</v>
      </c>
      <c r="AP1577" s="7">
        <f>MAX(0,1+INDEX(配置与结果!$J$15:$J$18,F1577)+IF(T1577&gt;0,方案参数!$BY$46,0)-配置与结果!$B$30)</f>
        <v>1</v>
      </c>
      <c r="AQ1577" s="7">
        <f t="shared" si="2175"/>
        <v>0</v>
      </c>
      <c r="AR1577" s="7">
        <f t="shared" si="2176"/>
        <v>0</v>
      </c>
      <c r="AS1577" s="7">
        <f t="shared" si="2177"/>
        <v>0</v>
      </c>
      <c r="AT1577" s="7">
        <f>IF(U1577&gt;0,ROUNDDOWN(AL1577*方案参数!$AF$46,0)*(1-AJ1577)+ROUNDDOWN(AM1577*方案参数!$AF$46,0)*AJ1577,0)</f>
        <v>0</v>
      </c>
      <c r="AU1577" s="7">
        <f t="shared" si="2178"/>
        <v>188873</v>
      </c>
      <c r="AV1577" s="1">
        <f t="shared" si="2179"/>
        <v>2</v>
      </c>
      <c r="AW1577" s="1">
        <f t="shared" si="2226"/>
        <v>10</v>
      </c>
      <c r="AX1577" s="1">
        <f t="shared" si="2180"/>
        <v>2</v>
      </c>
      <c r="AY1577" s="1">
        <f>MIN(20,MAX(0,O1577+0+1-0))</f>
        <v>1</v>
      </c>
      <c r="AZ1577" s="1">
        <f t="shared" si="2181"/>
        <v>5</v>
      </c>
      <c r="BA1577" s="1">
        <f t="shared" si="2217"/>
        <v>5</v>
      </c>
      <c r="BB1577" s="1">
        <f t="shared" si="2225"/>
        <v>20</v>
      </c>
      <c r="BC1577" s="1">
        <f t="shared" si="2223"/>
        <v>3</v>
      </c>
      <c r="BD1577" s="1">
        <f t="shared" si="2204"/>
        <v>0</v>
      </c>
      <c r="BE1577" s="1">
        <f>MAX(0,U1577-IF(AF1577&gt;0,1,0))+0</f>
        <v>0</v>
      </c>
      <c r="BF1577" s="1">
        <f t="shared" ref="BF1577:BF1594" si="2227">MIN(4,V1577+0)</f>
        <v>4</v>
      </c>
      <c r="BG1577" s="1">
        <f t="shared" si="2214"/>
        <v>1</v>
      </c>
      <c r="BH1577" s="1">
        <f t="shared" si="2198"/>
        <v>1</v>
      </c>
      <c r="BI1577" s="1">
        <f t="shared" si="2215"/>
        <v>1</v>
      </c>
      <c r="BJ1577" s="1">
        <f t="shared" si="2218"/>
        <v>1</v>
      </c>
      <c r="BK1577" s="1">
        <f t="shared" si="2219"/>
        <v>1</v>
      </c>
      <c r="BL1577" s="1">
        <f t="shared" si="2224"/>
        <v>1</v>
      </c>
      <c r="BM1577" s="1">
        <f t="shared" si="2222"/>
        <v>1</v>
      </c>
      <c r="BN1577" s="1">
        <f t="shared" si="2199"/>
        <v>1</v>
      </c>
      <c r="BO1577" s="1">
        <f t="shared" si="2200"/>
        <v>1</v>
      </c>
    </row>
    <row r="1578" spans="1:67" ht="30.95" customHeight="1">
      <c r="A1578" s="1">
        <f>43</f>
        <v>43</v>
      </c>
      <c r="B1578" s="1">
        <f>固定流程!A30</f>
        <v>25</v>
      </c>
      <c r="C1578" s="1">
        <f>46</f>
        <v>46</v>
      </c>
      <c r="D1578" s="1">
        <f>2</f>
        <v>2</v>
      </c>
      <c r="E1578" s="1">
        <f>固定流程!C30</f>
        <v>3</v>
      </c>
      <c r="F1578" s="1">
        <f>固定流程!G30</f>
        <v>1</v>
      </c>
      <c r="G1578" s="1" t="str">
        <f>固定流程!H30</f>
        <v>LILYA_WEAK</v>
      </c>
      <c r="H1578" s="1">
        <f>固定流程!F30</f>
        <v>1</v>
      </c>
      <c r="I1578" s="1">
        <f>INDEX(配置与结果!$B$15:$B$18,F1578)</f>
        <v>2296</v>
      </c>
      <c r="J1578" s="1">
        <f>INDEX(配置与结果!$D$15:$D$18,F1578)</f>
        <v>0.7</v>
      </c>
      <c r="K1578" s="1">
        <f>INDEX(配置与结果!$E$15:$E$18,F1578)</f>
        <v>2.0249999999999999</v>
      </c>
      <c r="L1578" s="1">
        <f t="shared" si="2211"/>
        <v>2</v>
      </c>
      <c r="M1578" s="1">
        <f t="shared" si="2212"/>
        <v>10</v>
      </c>
      <c r="N1578" s="1">
        <f t="shared" si="2213"/>
        <v>2</v>
      </c>
      <c r="O1578" s="1">
        <f t="shared" si="2205"/>
        <v>1</v>
      </c>
      <c r="P1578" s="1">
        <f>MIN(方案参数!$AI$46,AZ1577+0+0)</f>
        <v>5</v>
      </c>
      <c r="Q1578" s="1">
        <f t="shared" si="2183"/>
        <v>5</v>
      </c>
      <c r="R1578" s="1">
        <f t="shared" si="2184"/>
        <v>20</v>
      </c>
      <c r="S1578" s="1">
        <f t="shared" si="2185"/>
        <v>3</v>
      </c>
      <c r="T1578" s="1">
        <f t="shared" si="2220"/>
        <v>0</v>
      </c>
      <c r="U1578" s="1">
        <f t="shared" si="2187"/>
        <v>0</v>
      </c>
      <c r="V1578" s="1">
        <f t="shared" si="2188"/>
        <v>4</v>
      </c>
      <c r="W1578" s="1">
        <f t="shared" si="2189"/>
        <v>1</v>
      </c>
      <c r="X1578" s="1">
        <f t="shared" si="2190"/>
        <v>1</v>
      </c>
      <c r="Y1578" s="1">
        <f t="shared" si="2191"/>
        <v>1</v>
      </c>
      <c r="Z1578" s="1">
        <f t="shared" si="2192"/>
        <v>1</v>
      </c>
      <c r="AA1578" s="1">
        <f t="shared" si="2216"/>
        <v>1</v>
      </c>
      <c r="AB1578" s="1">
        <f t="shared" si="2194"/>
        <v>1</v>
      </c>
      <c r="AC1578" s="1">
        <f t="shared" si="2221"/>
        <v>1</v>
      </c>
      <c r="AD1578" s="1">
        <f>ROUNDDOWN(I1578*(1+IF(F1578=3,0.05+方案参数!$Y$46+AA1578*0.12,IF(F1578=4,方案参数!$BZ$46*方案参数!$AS$46,0)))+IF(AND(X1578=1,F1578&lt;&gt;3),方案参数!$CC$46,0)+AC1578*方案参数!$CB$46,0)</f>
        <v>3034</v>
      </c>
      <c r="AE1578" s="1">
        <f>IF(OR(F1578=1,F1578=4),配置与结果!$B$24,配置与结果!$B$25)*MAX(0,1-INDEX(配置与结果!$I$15:$I$18,F1578))</f>
        <v>1200</v>
      </c>
      <c r="AF1578" s="1">
        <f>方案参数!$BL$46</f>
        <v>9</v>
      </c>
      <c r="AG1578" s="1">
        <f>MAX(配置与结果!$B$32,1+INDEX(配置与结果!$F$15:$F$18,F1578)+0.08+方案参数!$CD$46+Q1578*方案参数!$W$46+Y1578*(方案参数!$AN$46+MIN(方案参数!$AO$46,P1578*0.03))+AB1578*方案参数!$BZ$46*0.025-配置与结果!$B$28+方案参数!$AE$46)</f>
        <v>2.6150000000000002</v>
      </c>
      <c r="AH1578" s="1">
        <f>MAX(0,1+V1578*方案参数!$U$46+1*方案参数!$V$46+方案参数!$AE$46-配置与结果!$B$29)</f>
        <v>1.62</v>
      </c>
      <c r="AI1578" s="1">
        <f>IF(OR(INDEX(配置与结果!$K$15:$K$18,F1578)=1,G1578="RHI_BERRY"),1+配置与结果!$B$33+P1578*方案参数!$AH$46,1)</f>
        <v>1</v>
      </c>
      <c r="AJ1578" s="1">
        <f>MIN(1,MAX(0,J1578+方案参数!$AB$46-配置与结果!$B$27))</f>
        <v>1</v>
      </c>
      <c r="AK1578" s="1">
        <f>MAX(1,K1578+IF(F1578=2,0.15+方案参数!$CH$46,0)+BN1578*方案参数!$X$46+R1578*方案参数!$AA$46+方案参数!$BP$46-配置与结果!$B$26+Z1578*(方案参数!$AP$46+MIN(方案参数!$AQ$46,P1578*0.03)))</f>
        <v>2.8050000000000002</v>
      </c>
      <c r="AL1578" s="7">
        <f>ROUNDDOWN(MAX(AD1578*配置与结果!$B$31,AD1578-AE1578)*AF1578*AG1578*AH1578*AI1578,0)</f>
        <v>69924</v>
      </c>
      <c r="AM1578" s="7">
        <f>ROUNDDOWN(MAX(AD1578*配置与结果!$B$31,AD1578-AE1578)*AF1578*AG1578*AH1578*AI1578*AK1578,0)</f>
        <v>196137</v>
      </c>
      <c r="AN1578" s="7">
        <f t="shared" si="2174"/>
        <v>196137</v>
      </c>
      <c r="AO1578" s="7">
        <f>0</f>
        <v>0</v>
      </c>
      <c r="AP1578" s="7">
        <f>MAX(0,1+INDEX(配置与结果!$J$15:$J$18,F1578)+IF(T1578&gt;0,方案参数!$BY$46,0)-配置与结果!$B$30)</f>
        <v>1</v>
      </c>
      <c r="AQ1578" s="7">
        <f t="shared" si="2175"/>
        <v>0</v>
      </c>
      <c r="AR1578" s="7">
        <f t="shared" si="2176"/>
        <v>0</v>
      </c>
      <c r="AS1578" s="7">
        <f t="shared" si="2177"/>
        <v>0</v>
      </c>
      <c r="AT1578" s="7">
        <f>IF(U1578&gt;0,ROUNDDOWN(AL1578*方案参数!$AF$46,0)*(1-AJ1578)+ROUNDDOWN(AM1578*方案参数!$AF$46,0)*AJ1578,0)</f>
        <v>0</v>
      </c>
      <c r="AU1578" s="7">
        <f t="shared" si="2178"/>
        <v>196137</v>
      </c>
      <c r="AV1578" s="1">
        <f t="shared" si="2179"/>
        <v>2</v>
      </c>
      <c r="AW1578" s="1">
        <f t="shared" si="2226"/>
        <v>10</v>
      </c>
      <c r="AX1578" s="1">
        <f t="shared" si="2180"/>
        <v>2</v>
      </c>
      <c r="AY1578" s="1">
        <f>MIN(20,MAX(0,O1578+0+1-0))</f>
        <v>2</v>
      </c>
      <c r="AZ1578" s="1">
        <f t="shared" si="2181"/>
        <v>5</v>
      </c>
      <c r="BA1578" s="1">
        <f t="shared" si="2217"/>
        <v>5</v>
      </c>
      <c r="BB1578" s="1">
        <f t="shared" si="2225"/>
        <v>20</v>
      </c>
      <c r="BC1578" s="1">
        <f t="shared" si="2223"/>
        <v>3</v>
      </c>
      <c r="BD1578" s="1">
        <f t="shared" si="2204"/>
        <v>0</v>
      </c>
      <c r="BE1578" s="1">
        <f>MAX(0,U1578-IF(AF1578&gt;0,1,0))+0</f>
        <v>0</v>
      </c>
      <c r="BF1578" s="1">
        <f t="shared" si="2227"/>
        <v>4</v>
      </c>
      <c r="BG1578" s="1">
        <f t="shared" si="2214"/>
        <v>1</v>
      </c>
      <c r="BH1578" s="1">
        <f t="shared" si="2198"/>
        <v>1</v>
      </c>
      <c r="BI1578" s="1">
        <f t="shared" si="2215"/>
        <v>1</v>
      </c>
      <c r="BJ1578" s="1">
        <f t="shared" si="2218"/>
        <v>1</v>
      </c>
      <c r="BK1578" s="1">
        <f t="shared" si="2219"/>
        <v>1</v>
      </c>
      <c r="BL1578" s="1">
        <f t="shared" si="2224"/>
        <v>1</v>
      </c>
      <c r="BM1578" s="1">
        <f t="shared" si="2222"/>
        <v>1</v>
      </c>
      <c r="BN1578" s="1">
        <f t="shared" si="2199"/>
        <v>1</v>
      </c>
      <c r="BO1578" s="1">
        <f t="shared" si="2200"/>
        <v>1</v>
      </c>
    </row>
    <row r="1579" spans="1:67" ht="30.95" customHeight="1">
      <c r="A1579" s="1">
        <f>43</f>
        <v>43</v>
      </c>
      <c r="B1579" s="1">
        <f>固定流程!A31</f>
        <v>26</v>
      </c>
      <c r="C1579" s="1">
        <f>46</f>
        <v>46</v>
      </c>
      <c r="D1579" s="1">
        <f>2</f>
        <v>2</v>
      </c>
      <c r="E1579" s="1">
        <f>固定流程!C31</f>
        <v>3</v>
      </c>
      <c r="F1579" s="1">
        <f>固定流程!G31</f>
        <v>2</v>
      </c>
      <c r="G1579" s="1" t="str">
        <f>固定流程!H31</f>
        <v>37_WEAK</v>
      </c>
      <c r="H1579" s="1">
        <f>固定流程!F31</f>
        <v>1</v>
      </c>
      <c r="I1579" s="1">
        <f>INDEX(配置与结果!$B$15:$B$18,F1579)</f>
        <v>2306</v>
      </c>
      <c r="J1579" s="1">
        <f>INDEX(配置与结果!$D$15:$D$18,F1579)</f>
        <v>0.46</v>
      </c>
      <c r="K1579" s="1">
        <f>INDEX(配置与结果!$E$15:$E$18,F1579)</f>
        <v>1.9279999999999999</v>
      </c>
      <c r="L1579" s="1">
        <f t="shared" si="2211"/>
        <v>2</v>
      </c>
      <c r="M1579" s="1">
        <f t="shared" si="2212"/>
        <v>10</v>
      </c>
      <c r="N1579" s="1">
        <f t="shared" si="2213"/>
        <v>2</v>
      </c>
      <c r="O1579" s="1">
        <f t="shared" si="2205"/>
        <v>2</v>
      </c>
      <c r="P1579" s="1">
        <f>MIN(方案参数!$AI$46,AZ1578+0+0)</f>
        <v>5</v>
      </c>
      <c r="Q1579" s="1">
        <f t="shared" si="2183"/>
        <v>5</v>
      </c>
      <c r="R1579" s="1">
        <f t="shared" si="2184"/>
        <v>20</v>
      </c>
      <c r="S1579" s="1">
        <f t="shared" si="2185"/>
        <v>3</v>
      </c>
      <c r="T1579" s="1">
        <f t="shared" si="2220"/>
        <v>0</v>
      </c>
      <c r="U1579" s="1">
        <f t="shared" si="2187"/>
        <v>0</v>
      </c>
      <c r="V1579" s="1">
        <f t="shared" si="2188"/>
        <v>4</v>
      </c>
      <c r="W1579" s="1">
        <f t="shared" si="2189"/>
        <v>1</v>
      </c>
      <c r="X1579" s="1">
        <f t="shared" si="2190"/>
        <v>1</v>
      </c>
      <c r="Y1579" s="1">
        <f t="shared" si="2191"/>
        <v>1</v>
      </c>
      <c r="Z1579" s="1">
        <f t="shared" si="2192"/>
        <v>1</v>
      </c>
      <c r="AA1579" s="1">
        <f t="shared" si="2216"/>
        <v>1</v>
      </c>
      <c r="AB1579" s="1">
        <f t="shared" si="2194"/>
        <v>1</v>
      </c>
      <c r="AC1579" s="1">
        <f t="shared" si="2221"/>
        <v>1</v>
      </c>
      <c r="AD1579" s="1">
        <f>ROUNDDOWN(I1579*(1+IF(F1579=3,0.05+方案参数!$Y$46+AA1579*0.12,IF(F1579=4,方案参数!$BZ$46*方案参数!$AS$46,0)))+IF(AND(X1579=1,F1579&lt;&gt;3),方案参数!$CC$46,0)+AC1579*方案参数!$CB$46,0)</f>
        <v>3044</v>
      </c>
      <c r="AE1579" s="1">
        <f>IF(OR(F1579=1,F1579=4),配置与结果!$B$24,配置与结果!$B$25)*MAX(0,1-INDEX(配置与结果!$I$15:$I$18,F1579))</f>
        <v>1000</v>
      </c>
      <c r="AF1579" s="1">
        <f>方案参数!$CE$46</f>
        <v>8</v>
      </c>
      <c r="AG1579" s="1">
        <f>MAX(配置与结果!$B$32,1+INDEX(配置与结果!$F$15:$F$18,F1579)+0+Q1579*方案参数!$W$46+Y1579*(方案参数!$AN$46+MIN(方案参数!$AO$46,P1579*0.03))+AB1579*方案参数!$BZ$46*0.025-配置与结果!$B$28+方案参数!$AE$46)</f>
        <v>2.2800000000000002</v>
      </c>
      <c r="AH1579" s="1">
        <f>MAX(0,1+V1579*方案参数!$U$46+方案参数!$AE$46-配置与结果!$B$29)</f>
        <v>1.56</v>
      </c>
      <c r="AI1579" s="1">
        <f>IF(OR(INDEX(配置与结果!$K$15:$K$18,F1579)=1,G1579="RHI_BERRY"),1+配置与结果!$B$33+P1579*方案参数!$AH$46,1)</f>
        <v>1</v>
      </c>
      <c r="AJ1579" s="1">
        <f>MIN(1,MAX(0,J1579+方案参数!$AB$46-配置与结果!$B$27))</f>
        <v>0.76</v>
      </c>
      <c r="AK1579" s="1">
        <f>MAX(1,K1579+IF(F1579=2,0.15+方案参数!$CH$46,0)+BN1579*方案参数!$X$46+R1579*方案参数!$AA$46+0-配置与结果!$B$26+Z1579*(方案参数!$AP$46+MIN(方案参数!$AQ$46,P1579*0.03)))</f>
        <v>2.3780000000000001</v>
      </c>
      <c r="AL1579" s="7">
        <f>ROUNDDOWN(MAX(AD1579*配置与结果!$B$31,AD1579-AE1579)*AF1579*AG1579*AH1579*AI1579,0)</f>
        <v>58160</v>
      </c>
      <c r="AM1579" s="7">
        <f>ROUNDDOWN(MAX(AD1579*配置与结果!$B$31,AD1579-AE1579)*AF1579*AG1579*AH1579*AI1579*AK1579,0)</f>
        <v>138306</v>
      </c>
      <c r="AN1579" s="7">
        <f t="shared" si="2174"/>
        <v>119070.95999999999</v>
      </c>
      <c r="AO1579" s="7">
        <f>0</f>
        <v>0</v>
      </c>
      <c r="AP1579" s="7">
        <f>MAX(0,1+INDEX(配置与结果!$J$15:$J$18,F1579)+IF(T1579&gt;0,方案参数!$BY$46,0)-配置与结果!$B$30)</f>
        <v>1</v>
      </c>
      <c r="AQ1579" s="7">
        <f t="shared" si="2175"/>
        <v>0</v>
      </c>
      <c r="AR1579" s="7">
        <f t="shared" si="2176"/>
        <v>0</v>
      </c>
      <c r="AS1579" s="7">
        <f t="shared" si="2177"/>
        <v>0</v>
      </c>
      <c r="AT1579" s="7">
        <f>IF(U1579&gt;0,ROUNDDOWN(AL1579*方案参数!$AF$46,0)*(1-AJ1579)+ROUNDDOWN(AM1579*方案参数!$AF$46,0)*AJ1579,0)</f>
        <v>0</v>
      </c>
      <c r="AU1579" s="7">
        <f t="shared" si="2178"/>
        <v>119070.95999999999</v>
      </c>
      <c r="AV1579" s="1">
        <f t="shared" si="2179"/>
        <v>2</v>
      </c>
      <c r="AW1579" s="1">
        <f t="shared" si="2226"/>
        <v>10</v>
      </c>
      <c r="AX1579" s="1">
        <f t="shared" si="2180"/>
        <v>2</v>
      </c>
      <c r="AY1579" s="1">
        <f>MIN(20,MAX(0,O1579+0+0-0))</f>
        <v>2</v>
      </c>
      <c r="AZ1579" s="1">
        <f t="shared" si="2181"/>
        <v>5</v>
      </c>
      <c r="BA1579" s="1">
        <f t="shared" si="2217"/>
        <v>5</v>
      </c>
      <c r="BB1579" s="1">
        <f t="shared" si="2225"/>
        <v>20</v>
      </c>
      <c r="BC1579" s="1">
        <f t="shared" si="2223"/>
        <v>3</v>
      </c>
      <c r="BD1579" s="1">
        <f t="shared" si="2204"/>
        <v>0</v>
      </c>
      <c r="BE1579" s="1">
        <f>MAX(0,U1579-IF(AF1579&gt;0,1,0))+1</f>
        <v>1</v>
      </c>
      <c r="BF1579" s="1">
        <f t="shared" si="2227"/>
        <v>4</v>
      </c>
      <c r="BG1579" s="1">
        <f t="shared" si="2214"/>
        <v>1</v>
      </c>
      <c r="BH1579" s="1">
        <f t="shared" si="2198"/>
        <v>1</v>
      </c>
      <c r="BI1579" s="1">
        <f t="shared" si="2215"/>
        <v>1</v>
      </c>
      <c r="BJ1579" s="1">
        <f t="shared" si="2218"/>
        <v>1</v>
      </c>
      <c r="BK1579" s="1">
        <f t="shared" si="2219"/>
        <v>1</v>
      </c>
      <c r="BL1579" s="1">
        <f t="shared" si="2224"/>
        <v>1</v>
      </c>
      <c r="BM1579" s="1">
        <f t="shared" si="2222"/>
        <v>1</v>
      </c>
      <c r="BN1579" s="1">
        <f t="shared" si="2199"/>
        <v>1</v>
      </c>
      <c r="BO1579" s="1">
        <f t="shared" si="2200"/>
        <v>1</v>
      </c>
    </row>
    <row r="1580" spans="1:67" ht="30.95" customHeight="1">
      <c r="A1580" s="1">
        <f>43</f>
        <v>43</v>
      </c>
      <c r="B1580" s="1">
        <f>固定流程!A32</f>
        <v>27</v>
      </c>
      <c r="C1580" s="1">
        <f>46</f>
        <v>46</v>
      </c>
      <c r="D1580" s="1">
        <f>2</f>
        <v>2</v>
      </c>
      <c r="E1580" s="1">
        <f>固定流程!C32</f>
        <v>3</v>
      </c>
      <c r="F1580" s="1">
        <f>固定流程!G32</f>
        <v>1</v>
      </c>
      <c r="G1580" s="1" t="str">
        <f>固定流程!H32</f>
        <v>LILYA_THIRD</v>
      </c>
      <c r="H1580" s="1">
        <f>固定流程!F32</f>
        <v>1</v>
      </c>
      <c r="I1580" s="1">
        <f>INDEX(配置与结果!$B$15:$B$18,F1580)</f>
        <v>2296</v>
      </c>
      <c r="J1580" s="1">
        <f>INDEX(配置与结果!$D$15:$D$18,F1580)</f>
        <v>0.7</v>
      </c>
      <c r="K1580" s="1">
        <f>INDEX(配置与结果!$E$15:$E$18,F1580)</f>
        <v>2.0249999999999999</v>
      </c>
      <c r="L1580" s="1">
        <f t="shared" si="2211"/>
        <v>2</v>
      </c>
      <c r="M1580" s="1">
        <f t="shared" si="2212"/>
        <v>10</v>
      </c>
      <c r="N1580" s="1">
        <f t="shared" si="2213"/>
        <v>2</v>
      </c>
      <c r="O1580" s="1">
        <f t="shared" si="2205"/>
        <v>2</v>
      </c>
      <c r="P1580" s="1">
        <f>MIN(方案参数!$AI$46,AZ1579+0+0)</f>
        <v>5</v>
      </c>
      <c r="Q1580" s="1">
        <f t="shared" si="2183"/>
        <v>5</v>
      </c>
      <c r="R1580" s="1">
        <f t="shared" si="2184"/>
        <v>20</v>
      </c>
      <c r="S1580" s="1">
        <f t="shared" si="2185"/>
        <v>3</v>
      </c>
      <c r="T1580" s="1">
        <f t="shared" si="2220"/>
        <v>0</v>
      </c>
      <c r="U1580" s="1">
        <f t="shared" si="2187"/>
        <v>1</v>
      </c>
      <c r="V1580" s="1">
        <f t="shared" si="2188"/>
        <v>4</v>
      </c>
      <c r="W1580" s="1">
        <f t="shared" si="2189"/>
        <v>1</v>
      </c>
      <c r="X1580" s="1">
        <f t="shared" si="2190"/>
        <v>1</v>
      </c>
      <c r="Y1580" s="1">
        <f t="shared" si="2191"/>
        <v>1</v>
      </c>
      <c r="Z1580" s="1">
        <f t="shared" si="2192"/>
        <v>1</v>
      </c>
      <c r="AA1580" s="1">
        <f t="shared" si="2216"/>
        <v>1</v>
      </c>
      <c r="AB1580" s="1">
        <f t="shared" si="2194"/>
        <v>1</v>
      </c>
      <c r="AC1580" s="1">
        <f t="shared" si="2221"/>
        <v>1</v>
      </c>
      <c r="AD1580" s="1">
        <f>ROUNDDOWN(I1580*(1+IF(F1580=3,0.05+方案参数!$Y$46+AA1580*0.12,IF(F1580=4,方案参数!$BZ$46*方案参数!$AS$46,0)))+IF(AND(X1580=1,F1580&lt;&gt;3),方案参数!$CC$46,0)+AC1580*方案参数!$CB$46,0)</f>
        <v>3034</v>
      </c>
      <c r="AE1580" s="1">
        <f>IF(OR(F1580=1,F1580=4),配置与结果!$B$24,配置与结果!$B$25)*MAX(0,1-INDEX(配置与结果!$I$15:$I$18,F1580))</f>
        <v>1200</v>
      </c>
      <c r="AF1580" s="1">
        <f>方案参数!$BM$46</f>
        <v>20</v>
      </c>
      <c r="AG1580" s="1">
        <f>MAX(配置与结果!$B$32,1+INDEX(配置与结果!$F$15:$F$18,F1580)+0.08+方案参数!$CD$46+Q1580*方案参数!$W$46+Y1580*(方案参数!$AN$46+MIN(方案参数!$AO$46,P1580*0.03))+AB1580*方案参数!$BZ$46*0.025-配置与结果!$B$28+方案参数!$AE$46)</f>
        <v>2.6150000000000002</v>
      </c>
      <c r="AH1580" s="1">
        <f>MAX(0,1+V1580*方案参数!$U$46+3*方案参数!$V$46+方案参数!$AE$46-配置与结果!$B$29)</f>
        <v>1.7399999999999998</v>
      </c>
      <c r="AI1580" s="1">
        <f>IF(OR(INDEX(配置与结果!$K$15:$K$18,F1580)=1,G1580="RHI_BERRY"),1+配置与结果!$B$33+P1580*方案参数!$AH$46,1)</f>
        <v>1</v>
      </c>
      <c r="AJ1580" s="1">
        <f>MIN(1,MAX(0,J1580+方案参数!$AB$46-配置与结果!$B$27))</f>
        <v>1</v>
      </c>
      <c r="AK1580" s="1">
        <f>MAX(1,K1580+IF(F1580=2,0.15+方案参数!$CH$46,0)+BN1580*方案参数!$X$46+R1580*方案参数!$AA$46+方案参数!$BQ$46-配置与结果!$B$26+Z1580*(方案参数!$AP$46+MIN(方案参数!$AQ$46,P1580*0.03)))</f>
        <v>3.0050000000000003</v>
      </c>
      <c r="AL1580" s="7">
        <f>ROUNDDOWN(MAX(AD1580*配置与结果!$B$31,AD1580-AE1580)*AF1580*AG1580*AH1580*AI1580,0)</f>
        <v>166897</v>
      </c>
      <c r="AM1580" s="7">
        <f>ROUNDDOWN(MAX(AD1580*配置与结果!$B$31,AD1580-AE1580)*AF1580*AG1580*AH1580*AI1580*AK1580,0)</f>
        <v>501527</v>
      </c>
      <c r="AN1580" s="7">
        <f t="shared" si="2174"/>
        <v>501527</v>
      </c>
      <c r="AO1580" s="7">
        <f>0</f>
        <v>0</v>
      </c>
      <c r="AP1580" s="7">
        <f>MAX(0,1+INDEX(配置与结果!$J$15:$J$18,F1580)+IF(T1580&gt;0,方案参数!$BY$46,0)-配置与结果!$B$30)</f>
        <v>1</v>
      </c>
      <c r="AQ1580" s="7">
        <f t="shared" si="2175"/>
        <v>0</v>
      </c>
      <c r="AR1580" s="7">
        <f t="shared" si="2176"/>
        <v>0</v>
      </c>
      <c r="AS1580" s="7">
        <f t="shared" si="2177"/>
        <v>0</v>
      </c>
      <c r="AT1580" s="7">
        <f>IF(U1580&gt;0,ROUNDDOWN(AL1580*方案参数!$AF$46,0)*(1-AJ1580)+ROUNDDOWN(AM1580*方案参数!$AF$46,0)*AJ1580,0)</f>
        <v>200610</v>
      </c>
      <c r="AU1580" s="7">
        <f t="shared" si="2178"/>
        <v>702137</v>
      </c>
      <c r="AV1580" s="1">
        <f t="shared" si="2179"/>
        <v>2</v>
      </c>
      <c r="AW1580" s="1">
        <f t="shared" si="2226"/>
        <v>10</v>
      </c>
      <c r="AX1580" s="1">
        <f t="shared" si="2180"/>
        <v>2</v>
      </c>
      <c r="AY1580" s="1">
        <f>MIN(20,MAX(0,O1580+0+1-0))</f>
        <v>3</v>
      </c>
      <c r="AZ1580" s="1">
        <f t="shared" si="2181"/>
        <v>5</v>
      </c>
      <c r="BA1580" s="1">
        <f t="shared" si="2217"/>
        <v>5</v>
      </c>
      <c r="BB1580" s="1">
        <f t="shared" si="2225"/>
        <v>20</v>
      </c>
      <c r="BC1580" s="1">
        <f t="shared" si="2223"/>
        <v>3</v>
      </c>
      <c r="BD1580" s="1">
        <f t="shared" si="2204"/>
        <v>0</v>
      </c>
      <c r="BE1580" s="1">
        <f>MAX(0,U1580-IF(AF1580&gt;0,1,0))+0</f>
        <v>0</v>
      </c>
      <c r="BF1580" s="1">
        <f t="shared" si="2227"/>
        <v>4</v>
      </c>
      <c r="BG1580" s="1">
        <f t="shared" si="2214"/>
        <v>1</v>
      </c>
      <c r="BH1580" s="1">
        <f t="shared" si="2198"/>
        <v>1</v>
      </c>
      <c r="BI1580" s="1">
        <f t="shared" si="2215"/>
        <v>1</v>
      </c>
      <c r="BJ1580" s="1">
        <f t="shared" si="2218"/>
        <v>1</v>
      </c>
      <c r="BK1580" s="1">
        <f t="shared" si="2219"/>
        <v>1</v>
      </c>
      <c r="BL1580" s="1">
        <f t="shared" si="2224"/>
        <v>1</v>
      </c>
      <c r="BM1580" s="1">
        <f t="shared" si="2222"/>
        <v>1</v>
      </c>
      <c r="BN1580" s="1">
        <f t="shared" si="2199"/>
        <v>1</v>
      </c>
      <c r="BO1580" s="1">
        <f t="shared" si="2200"/>
        <v>1</v>
      </c>
    </row>
    <row r="1581" spans="1:67" ht="30.95" customHeight="1">
      <c r="A1581" s="1">
        <f>43</f>
        <v>43</v>
      </c>
      <c r="B1581" s="1">
        <f>固定流程!A33</f>
        <v>28</v>
      </c>
      <c r="C1581" s="1">
        <f>46</f>
        <v>46</v>
      </c>
      <c r="D1581" s="1">
        <f>2</f>
        <v>2</v>
      </c>
      <c r="E1581" s="1">
        <f>固定流程!C33</f>
        <v>3</v>
      </c>
      <c r="F1581" s="1">
        <f>固定流程!G33</f>
        <v>1</v>
      </c>
      <c r="G1581" s="1" t="str">
        <f>固定流程!H33</f>
        <v>LILYA_WEAK</v>
      </c>
      <c r="H1581" s="1">
        <f>固定流程!F33</f>
        <v>1</v>
      </c>
      <c r="I1581" s="1">
        <f>INDEX(配置与结果!$B$15:$B$18,F1581)</f>
        <v>2296</v>
      </c>
      <c r="J1581" s="1">
        <f>INDEX(配置与结果!$D$15:$D$18,F1581)</f>
        <v>0.7</v>
      </c>
      <c r="K1581" s="1">
        <f>INDEX(配置与结果!$E$15:$E$18,F1581)</f>
        <v>2.0249999999999999</v>
      </c>
      <c r="L1581" s="1">
        <f t="shared" si="2211"/>
        <v>2</v>
      </c>
      <c r="M1581" s="1">
        <f t="shared" si="2212"/>
        <v>10</v>
      </c>
      <c r="N1581" s="1">
        <f t="shared" si="2213"/>
        <v>2</v>
      </c>
      <c r="O1581" s="1">
        <f t="shared" si="2205"/>
        <v>3</v>
      </c>
      <c r="P1581" s="1">
        <f>MIN(方案参数!$AI$46,AZ1580+0+0)</f>
        <v>5</v>
      </c>
      <c r="Q1581" s="1">
        <f t="shared" si="2183"/>
        <v>5</v>
      </c>
      <c r="R1581" s="1">
        <f t="shared" si="2184"/>
        <v>20</v>
      </c>
      <c r="S1581" s="1">
        <f t="shared" si="2185"/>
        <v>3</v>
      </c>
      <c r="T1581" s="1">
        <f t="shared" si="2220"/>
        <v>0</v>
      </c>
      <c r="U1581" s="1">
        <f t="shared" si="2187"/>
        <v>0</v>
      </c>
      <c r="V1581" s="1">
        <f t="shared" si="2188"/>
        <v>4</v>
      </c>
      <c r="W1581" s="1">
        <f t="shared" si="2189"/>
        <v>1</v>
      </c>
      <c r="X1581" s="1">
        <f t="shared" si="2190"/>
        <v>1</v>
      </c>
      <c r="Y1581" s="1">
        <f t="shared" si="2191"/>
        <v>1</v>
      </c>
      <c r="Z1581" s="1">
        <f t="shared" si="2192"/>
        <v>1</v>
      </c>
      <c r="AA1581" s="1">
        <f t="shared" si="2216"/>
        <v>1</v>
      </c>
      <c r="AB1581" s="1">
        <f t="shared" si="2194"/>
        <v>1</v>
      </c>
      <c r="AC1581" s="1">
        <f t="shared" si="2221"/>
        <v>1</v>
      </c>
      <c r="AD1581" s="1">
        <f>ROUNDDOWN(I1581*(1+IF(F1581=3,0.05+方案参数!$Y$46+AA1581*0.12,IF(F1581=4,方案参数!$BZ$46*方案参数!$AS$46,0)))+IF(AND(X1581=1,F1581&lt;&gt;3),方案参数!$CC$46,0)+AC1581*方案参数!$CB$46,0)</f>
        <v>3034</v>
      </c>
      <c r="AE1581" s="1">
        <f>IF(OR(F1581=1,F1581=4),配置与结果!$B$24,配置与结果!$B$25)*MAX(0,1-INDEX(配置与结果!$I$15:$I$18,F1581))</f>
        <v>1200</v>
      </c>
      <c r="AF1581" s="1">
        <f>方案参数!$BL$46</f>
        <v>9</v>
      </c>
      <c r="AG1581" s="1">
        <f>MAX(配置与结果!$B$32,1+INDEX(配置与结果!$F$15:$F$18,F1581)+0.08+方案参数!$CD$46+Q1581*方案参数!$W$46+Y1581*(方案参数!$AN$46+MIN(方案参数!$AO$46,P1581*0.03))+AB1581*方案参数!$BZ$46*0.025-配置与结果!$B$28+方案参数!$AE$46)</f>
        <v>2.6150000000000002</v>
      </c>
      <c r="AH1581" s="1">
        <f>MAX(0,1+V1581*方案参数!$U$46+4*方案参数!$V$46+方案参数!$AE$46-配置与结果!$B$29)</f>
        <v>1.7999999999999998</v>
      </c>
      <c r="AI1581" s="1">
        <f>IF(OR(INDEX(配置与结果!$K$15:$K$18,F1581)=1,G1581="RHI_BERRY"),1+配置与结果!$B$33+P1581*方案参数!$AH$46,1)</f>
        <v>1</v>
      </c>
      <c r="AJ1581" s="1">
        <f>MIN(1,MAX(0,J1581+方案参数!$AB$46-配置与结果!$B$27))</f>
        <v>1</v>
      </c>
      <c r="AK1581" s="1">
        <f>MAX(1,K1581+IF(F1581=2,0.15+方案参数!$CH$46,0)+BN1581*方案参数!$X$46+R1581*方案参数!$AA$46+方案参数!$BP$46-配置与结果!$B$26+Z1581*(方案参数!$AP$46+MIN(方案参数!$AQ$46,P1581*0.03)))</f>
        <v>2.8050000000000002</v>
      </c>
      <c r="AL1581" s="7">
        <f>ROUNDDOWN(MAX(AD1581*配置与结果!$B$31,AD1581-AE1581)*AF1581*AG1581*AH1581*AI1581,0)</f>
        <v>77693</v>
      </c>
      <c r="AM1581" s="7">
        <f>ROUNDDOWN(MAX(AD1581*配置与结果!$B$31,AD1581-AE1581)*AF1581*AG1581*AH1581*AI1581*AK1581,0)</f>
        <v>217930</v>
      </c>
      <c r="AN1581" s="7">
        <f t="shared" si="2174"/>
        <v>217930</v>
      </c>
      <c r="AO1581" s="7">
        <f>0</f>
        <v>0</v>
      </c>
      <c r="AP1581" s="7">
        <f>MAX(0,1+INDEX(配置与结果!$J$15:$J$18,F1581)+IF(T1581&gt;0,方案参数!$BY$46,0)-配置与结果!$B$30)</f>
        <v>1</v>
      </c>
      <c r="AQ1581" s="7">
        <f t="shared" si="2175"/>
        <v>0</v>
      </c>
      <c r="AR1581" s="7">
        <f t="shared" si="2176"/>
        <v>0</v>
      </c>
      <c r="AS1581" s="7">
        <f t="shared" si="2177"/>
        <v>0</v>
      </c>
      <c r="AT1581" s="7">
        <f>IF(U1581&gt;0,ROUNDDOWN(AL1581*方案参数!$AF$46,0)*(1-AJ1581)+ROUNDDOWN(AM1581*方案参数!$AF$46,0)*AJ1581,0)</f>
        <v>0</v>
      </c>
      <c r="AU1581" s="7">
        <f t="shared" si="2178"/>
        <v>217930</v>
      </c>
      <c r="AV1581" s="1">
        <f t="shared" si="2179"/>
        <v>2</v>
      </c>
      <c r="AW1581" s="1">
        <f t="shared" si="2226"/>
        <v>10</v>
      </c>
      <c r="AX1581" s="1">
        <f t="shared" si="2180"/>
        <v>2</v>
      </c>
      <c r="AY1581" s="1">
        <f>MIN(20,MAX(0,O1581+0+1-0))</f>
        <v>4</v>
      </c>
      <c r="AZ1581" s="1">
        <f t="shared" si="2181"/>
        <v>5</v>
      </c>
      <c r="BA1581" s="1">
        <f t="shared" si="2217"/>
        <v>5</v>
      </c>
      <c r="BB1581" s="1">
        <f t="shared" si="2225"/>
        <v>20</v>
      </c>
      <c r="BC1581" s="1">
        <f t="shared" si="2223"/>
        <v>3</v>
      </c>
      <c r="BD1581" s="1">
        <f t="shared" si="2204"/>
        <v>0</v>
      </c>
      <c r="BE1581" s="1">
        <f>MAX(0,U1581-IF(AF1581&gt;0,1,0))+0</f>
        <v>0</v>
      </c>
      <c r="BF1581" s="1">
        <f t="shared" si="2227"/>
        <v>4</v>
      </c>
      <c r="BG1581" s="1">
        <f t="shared" si="2214"/>
        <v>1</v>
      </c>
      <c r="BH1581" s="1">
        <f t="shared" si="2198"/>
        <v>1</v>
      </c>
      <c r="BI1581" s="1">
        <f t="shared" si="2215"/>
        <v>1</v>
      </c>
      <c r="BJ1581" s="1">
        <f t="shared" si="2218"/>
        <v>1</v>
      </c>
      <c r="BK1581" s="1">
        <f t="shared" si="2219"/>
        <v>1</v>
      </c>
      <c r="BL1581" s="1">
        <f t="shared" si="2224"/>
        <v>1</v>
      </c>
      <c r="BM1581" s="1">
        <f t="shared" si="2222"/>
        <v>1</v>
      </c>
      <c r="BN1581" s="1">
        <f t="shared" si="2199"/>
        <v>1</v>
      </c>
      <c r="BO1581" s="1">
        <f t="shared" si="2200"/>
        <v>1</v>
      </c>
    </row>
    <row r="1582" spans="1:67" ht="30.95" customHeight="1">
      <c r="A1582" s="1">
        <f>43</f>
        <v>43</v>
      </c>
      <c r="B1582" s="1">
        <f>固定流程!A34</f>
        <v>29</v>
      </c>
      <c r="C1582" s="1">
        <f>46</f>
        <v>46</v>
      </c>
      <c r="D1582" s="1">
        <f>2</f>
        <v>2</v>
      </c>
      <c r="E1582" s="1">
        <f>固定流程!C34</f>
        <v>3</v>
      </c>
      <c r="F1582" s="1">
        <f>固定流程!G34</f>
        <v>1</v>
      </c>
      <c r="G1582" s="1" t="str">
        <f>固定流程!H34</f>
        <v>LILYA_WEAK</v>
      </c>
      <c r="H1582" s="1">
        <f>固定流程!F34</f>
        <v>1</v>
      </c>
      <c r="I1582" s="1">
        <f>INDEX(配置与结果!$B$15:$B$18,F1582)</f>
        <v>2296</v>
      </c>
      <c r="J1582" s="1">
        <f>INDEX(配置与结果!$D$15:$D$18,F1582)</f>
        <v>0.7</v>
      </c>
      <c r="K1582" s="1">
        <f>INDEX(配置与结果!$E$15:$E$18,F1582)</f>
        <v>2.0249999999999999</v>
      </c>
      <c r="L1582" s="1">
        <f t="shared" si="2211"/>
        <v>2</v>
      </c>
      <c r="M1582" s="1">
        <f t="shared" si="2212"/>
        <v>10</v>
      </c>
      <c r="N1582" s="1">
        <f t="shared" si="2213"/>
        <v>2</v>
      </c>
      <c r="O1582" s="1">
        <f t="shared" si="2205"/>
        <v>4</v>
      </c>
      <c r="P1582" s="1">
        <f>MIN(方案参数!$AI$46,AZ1581+0+0)</f>
        <v>5</v>
      </c>
      <c r="Q1582" s="1">
        <f t="shared" si="2183"/>
        <v>5</v>
      </c>
      <c r="R1582" s="1">
        <f t="shared" si="2184"/>
        <v>20</v>
      </c>
      <c r="S1582" s="1">
        <f t="shared" si="2185"/>
        <v>3</v>
      </c>
      <c r="T1582" s="1">
        <f t="shared" si="2220"/>
        <v>0</v>
      </c>
      <c r="U1582" s="1">
        <f t="shared" si="2187"/>
        <v>0</v>
      </c>
      <c r="V1582" s="1">
        <f t="shared" si="2188"/>
        <v>4</v>
      </c>
      <c r="W1582" s="1">
        <f t="shared" si="2189"/>
        <v>1</v>
      </c>
      <c r="X1582" s="1">
        <f t="shared" si="2190"/>
        <v>1</v>
      </c>
      <c r="Y1582" s="1">
        <f t="shared" si="2191"/>
        <v>1</v>
      </c>
      <c r="Z1582" s="1">
        <f t="shared" si="2192"/>
        <v>1</v>
      </c>
      <c r="AA1582" s="1">
        <f t="shared" si="2216"/>
        <v>1</v>
      </c>
      <c r="AB1582" s="1">
        <f t="shared" si="2194"/>
        <v>1</v>
      </c>
      <c r="AC1582" s="1">
        <f t="shared" si="2221"/>
        <v>1</v>
      </c>
      <c r="AD1582" s="1">
        <f>ROUNDDOWN(I1582*(1+IF(F1582=3,0.05+方案参数!$Y$46+AA1582*0.12,IF(F1582=4,方案参数!$BZ$46*方案参数!$AS$46,0)))+IF(AND(X1582=1,F1582&lt;&gt;3),方案参数!$CC$46,0)+AC1582*方案参数!$CB$46,0)</f>
        <v>3034</v>
      </c>
      <c r="AE1582" s="1">
        <f>IF(OR(F1582=1,F1582=4),配置与结果!$B$24,配置与结果!$B$25)*MAX(0,1-INDEX(配置与结果!$I$15:$I$18,F1582))</f>
        <v>1200</v>
      </c>
      <c r="AF1582" s="1">
        <f>方案参数!$BL$46</f>
        <v>9</v>
      </c>
      <c r="AG1582" s="1">
        <f>MAX(配置与结果!$B$32,1+INDEX(配置与结果!$F$15:$F$18,F1582)+0.08+方案参数!$CD$46+Q1582*方案参数!$W$46+Y1582*(方案参数!$AN$46+MIN(方案参数!$AO$46,P1582*0.03))+AB1582*方案参数!$BZ$46*0.025-配置与结果!$B$28+方案参数!$AE$46)</f>
        <v>2.6150000000000002</v>
      </c>
      <c r="AH1582" s="1">
        <f>MAX(0,1+V1582*方案参数!$U$46+5*方案参数!$V$46+方案参数!$AE$46-配置与结果!$B$29)</f>
        <v>1.8599999999999999</v>
      </c>
      <c r="AI1582" s="1">
        <f>IF(OR(INDEX(配置与结果!$K$15:$K$18,F1582)=1,G1582="RHI_BERRY"),1+配置与结果!$B$33+P1582*方案参数!$AH$46,1)</f>
        <v>1</v>
      </c>
      <c r="AJ1582" s="1">
        <f>MIN(1,MAX(0,J1582+方案参数!$AB$46-配置与结果!$B$27))</f>
        <v>1</v>
      </c>
      <c r="AK1582" s="1">
        <f>MAX(1,K1582+IF(F1582=2,0.15+方案参数!$CH$46,0)+BN1582*方案参数!$X$46+R1582*方案参数!$AA$46+方案参数!$BP$46-配置与结果!$B$26+Z1582*(方案参数!$AP$46+MIN(方案参数!$AQ$46,P1582*0.03)))</f>
        <v>2.8050000000000002</v>
      </c>
      <c r="AL1582" s="7">
        <f>ROUNDDOWN(MAX(AD1582*配置与结果!$B$31,AD1582-AE1582)*AF1582*AG1582*AH1582*AI1582,0)</f>
        <v>80283</v>
      </c>
      <c r="AM1582" s="7">
        <f>ROUNDDOWN(MAX(AD1582*配置与结果!$B$31,AD1582-AE1582)*AF1582*AG1582*AH1582*AI1582*AK1582,0)</f>
        <v>225195</v>
      </c>
      <c r="AN1582" s="7">
        <f t="shared" si="2174"/>
        <v>225195</v>
      </c>
      <c r="AO1582" s="7">
        <f>0</f>
        <v>0</v>
      </c>
      <c r="AP1582" s="7">
        <f>MAX(0,1+INDEX(配置与结果!$J$15:$J$18,F1582)+IF(T1582&gt;0,方案参数!$BY$46,0)-配置与结果!$B$30)</f>
        <v>1</v>
      </c>
      <c r="AQ1582" s="7">
        <f t="shared" si="2175"/>
        <v>0</v>
      </c>
      <c r="AR1582" s="7">
        <f t="shared" si="2176"/>
        <v>0</v>
      </c>
      <c r="AS1582" s="7">
        <f t="shared" si="2177"/>
        <v>0</v>
      </c>
      <c r="AT1582" s="7">
        <f>IF(U1582&gt;0,ROUNDDOWN(AL1582*方案参数!$AF$46,0)*(1-AJ1582)+ROUNDDOWN(AM1582*方案参数!$AF$46,0)*AJ1582,0)</f>
        <v>0</v>
      </c>
      <c r="AU1582" s="7">
        <f t="shared" si="2178"/>
        <v>225195</v>
      </c>
      <c r="AV1582" s="1">
        <f t="shared" si="2179"/>
        <v>2</v>
      </c>
      <c r="AW1582" s="1">
        <f t="shared" si="2226"/>
        <v>10</v>
      </c>
      <c r="AX1582" s="1">
        <f t="shared" si="2180"/>
        <v>2</v>
      </c>
      <c r="AY1582" s="1">
        <f>MIN(20,MAX(0,O1582+0+1-0))</f>
        <v>5</v>
      </c>
      <c r="AZ1582" s="1">
        <f t="shared" si="2181"/>
        <v>5</v>
      </c>
      <c r="BA1582" s="1">
        <f t="shared" si="2217"/>
        <v>5</v>
      </c>
      <c r="BB1582" s="1">
        <f t="shared" si="2225"/>
        <v>20</v>
      </c>
      <c r="BC1582" s="1">
        <f t="shared" si="2223"/>
        <v>3</v>
      </c>
      <c r="BD1582" s="1">
        <f t="shared" si="2204"/>
        <v>0</v>
      </c>
      <c r="BE1582" s="1">
        <f>MAX(0,U1582-IF(AF1582&gt;0,1,0))+0</f>
        <v>0</v>
      </c>
      <c r="BF1582" s="1">
        <f t="shared" si="2227"/>
        <v>4</v>
      </c>
      <c r="BG1582" s="1">
        <f t="shared" si="2214"/>
        <v>1</v>
      </c>
      <c r="BH1582" s="1">
        <f t="shared" si="2198"/>
        <v>1</v>
      </c>
      <c r="BI1582" s="1">
        <f t="shared" si="2215"/>
        <v>1</v>
      </c>
      <c r="BJ1582" s="1">
        <f t="shared" si="2218"/>
        <v>1</v>
      </c>
      <c r="BK1582" s="1">
        <f t="shared" si="2219"/>
        <v>1</v>
      </c>
      <c r="BL1582" s="1">
        <f t="shared" si="2224"/>
        <v>1</v>
      </c>
      <c r="BM1582" s="1">
        <f t="shared" si="2222"/>
        <v>1</v>
      </c>
      <c r="BN1582" s="1">
        <f t="shared" si="2199"/>
        <v>1</v>
      </c>
      <c r="BO1582" s="1">
        <f t="shared" si="2200"/>
        <v>1</v>
      </c>
    </row>
    <row r="1583" spans="1:67" ht="30.95" customHeight="1">
      <c r="A1583" s="1">
        <f>43</f>
        <v>43</v>
      </c>
      <c r="B1583" s="1">
        <f>固定流程!A35</f>
        <v>30</v>
      </c>
      <c r="C1583" s="1">
        <f>46</f>
        <v>46</v>
      </c>
      <c r="D1583" s="1">
        <f>2</f>
        <v>2</v>
      </c>
      <c r="E1583" s="1">
        <f>固定流程!C35</f>
        <v>3</v>
      </c>
      <c r="F1583" s="1">
        <f>固定流程!G35</f>
        <v>2</v>
      </c>
      <c r="G1583" s="1" t="str">
        <f>固定流程!H35</f>
        <v>37_WEAK</v>
      </c>
      <c r="H1583" s="1">
        <f>固定流程!F35</f>
        <v>1</v>
      </c>
      <c r="I1583" s="1">
        <f>INDEX(配置与结果!$B$15:$B$18,F1583)</f>
        <v>2306</v>
      </c>
      <c r="J1583" s="1">
        <f>INDEX(配置与结果!$D$15:$D$18,F1583)</f>
        <v>0.46</v>
      </c>
      <c r="K1583" s="1">
        <f>INDEX(配置与结果!$E$15:$E$18,F1583)</f>
        <v>1.9279999999999999</v>
      </c>
      <c r="L1583" s="1">
        <f t="shared" si="2211"/>
        <v>2</v>
      </c>
      <c r="M1583" s="1">
        <f t="shared" si="2212"/>
        <v>10</v>
      </c>
      <c r="N1583" s="1">
        <f t="shared" si="2213"/>
        <v>2</v>
      </c>
      <c r="O1583" s="1">
        <f t="shared" si="2205"/>
        <v>5</v>
      </c>
      <c r="P1583" s="1">
        <f>MIN(方案参数!$AI$46,AZ1582+0+0)</f>
        <v>5</v>
      </c>
      <c r="Q1583" s="1">
        <f t="shared" si="2183"/>
        <v>5</v>
      </c>
      <c r="R1583" s="1">
        <f t="shared" si="2184"/>
        <v>20</v>
      </c>
      <c r="S1583" s="1">
        <f t="shared" si="2185"/>
        <v>3</v>
      </c>
      <c r="T1583" s="1">
        <f t="shared" si="2220"/>
        <v>0</v>
      </c>
      <c r="U1583" s="1">
        <f t="shared" si="2187"/>
        <v>0</v>
      </c>
      <c r="V1583" s="1">
        <f t="shared" si="2188"/>
        <v>4</v>
      </c>
      <c r="W1583" s="1">
        <f t="shared" si="2189"/>
        <v>1</v>
      </c>
      <c r="X1583" s="1">
        <f t="shared" si="2190"/>
        <v>1</v>
      </c>
      <c r="Y1583" s="1">
        <f t="shared" si="2191"/>
        <v>1</v>
      </c>
      <c r="Z1583" s="1">
        <f t="shared" si="2192"/>
        <v>1</v>
      </c>
      <c r="AA1583" s="1">
        <f t="shared" si="2216"/>
        <v>1</v>
      </c>
      <c r="AB1583" s="1">
        <f t="shared" si="2194"/>
        <v>1</v>
      </c>
      <c r="AC1583" s="1">
        <f t="shared" si="2221"/>
        <v>1</v>
      </c>
      <c r="AD1583" s="1">
        <f>ROUNDDOWN(I1583*(1+IF(F1583=3,0.05+方案参数!$Y$46+AA1583*0.12,IF(F1583=4,方案参数!$BZ$46*方案参数!$AS$46,0)))+IF(AND(X1583=1,F1583&lt;&gt;3),方案参数!$CC$46,0)+AC1583*方案参数!$CB$46,0)</f>
        <v>3044</v>
      </c>
      <c r="AE1583" s="1">
        <f>IF(OR(F1583=1,F1583=4),配置与结果!$B$24,配置与结果!$B$25)*MAX(0,1-INDEX(配置与结果!$I$15:$I$18,F1583))</f>
        <v>1000</v>
      </c>
      <c r="AF1583" s="1">
        <f>方案参数!$CE$46</f>
        <v>8</v>
      </c>
      <c r="AG1583" s="1">
        <f>MAX(配置与结果!$B$32,1+INDEX(配置与结果!$F$15:$F$18,F1583)+0+Q1583*方案参数!$W$46+Y1583*(方案参数!$AN$46+MIN(方案参数!$AO$46,P1583*0.03))+AB1583*方案参数!$BZ$46*0.025-配置与结果!$B$28+方案参数!$AE$46)</f>
        <v>2.2800000000000002</v>
      </c>
      <c r="AH1583" s="1">
        <f>MAX(0,1+V1583*方案参数!$U$46+方案参数!$AE$46-配置与结果!$B$29)</f>
        <v>1.56</v>
      </c>
      <c r="AI1583" s="1">
        <f>IF(OR(INDEX(配置与结果!$K$15:$K$18,F1583)=1,G1583="RHI_BERRY"),1+配置与结果!$B$33+P1583*方案参数!$AH$46,1)</f>
        <v>1</v>
      </c>
      <c r="AJ1583" s="1">
        <f>MIN(1,MAX(0,J1583+方案参数!$AB$46-配置与结果!$B$27))</f>
        <v>0.76</v>
      </c>
      <c r="AK1583" s="1">
        <f>MAX(1,K1583+IF(F1583=2,0.15+方案参数!$CH$46,0)+BN1583*方案参数!$X$46+R1583*方案参数!$AA$46+0-配置与结果!$B$26+Z1583*(方案参数!$AP$46+MIN(方案参数!$AQ$46,P1583*0.03)))</f>
        <v>2.3780000000000001</v>
      </c>
      <c r="AL1583" s="7">
        <f>ROUNDDOWN(MAX(AD1583*配置与结果!$B$31,AD1583-AE1583)*AF1583*AG1583*AH1583*AI1583,0)</f>
        <v>58160</v>
      </c>
      <c r="AM1583" s="7">
        <f>ROUNDDOWN(MAX(AD1583*配置与结果!$B$31,AD1583-AE1583)*AF1583*AG1583*AH1583*AI1583*AK1583,0)</f>
        <v>138306</v>
      </c>
      <c r="AN1583" s="7">
        <f t="shared" si="2174"/>
        <v>119070.95999999999</v>
      </c>
      <c r="AO1583" s="7">
        <f>0</f>
        <v>0</v>
      </c>
      <c r="AP1583" s="7">
        <f>MAX(0,1+INDEX(配置与结果!$J$15:$J$18,F1583)+IF(T1583&gt;0,方案参数!$BY$46,0)-配置与结果!$B$30)</f>
        <v>1</v>
      </c>
      <c r="AQ1583" s="7">
        <f t="shared" si="2175"/>
        <v>0</v>
      </c>
      <c r="AR1583" s="7">
        <f t="shared" si="2176"/>
        <v>0</v>
      </c>
      <c r="AS1583" s="7">
        <f t="shared" si="2177"/>
        <v>0</v>
      </c>
      <c r="AT1583" s="7">
        <f>IF(U1583&gt;0,ROUNDDOWN(AL1583*方案参数!$AF$46,0)*(1-AJ1583)+ROUNDDOWN(AM1583*方案参数!$AF$46,0)*AJ1583,0)</f>
        <v>0</v>
      </c>
      <c r="AU1583" s="7">
        <f t="shared" si="2178"/>
        <v>119070.95999999999</v>
      </c>
      <c r="AV1583" s="1">
        <f t="shared" si="2179"/>
        <v>2</v>
      </c>
      <c r="AW1583" s="1">
        <f t="shared" si="2226"/>
        <v>10</v>
      </c>
      <c r="AX1583" s="1">
        <f t="shared" si="2180"/>
        <v>2</v>
      </c>
      <c r="AY1583" s="1">
        <f>MIN(20,MAX(0,O1583+0+0-0))</f>
        <v>5</v>
      </c>
      <c r="AZ1583" s="1">
        <f t="shared" si="2181"/>
        <v>5</v>
      </c>
      <c r="BA1583" s="1">
        <f t="shared" si="2217"/>
        <v>5</v>
      </c>
      <c r="BB1583" s="1">
        <f t="shared" si="2225"/>
        <v>20</v>
      </c>
      <c r="BC1583" s="1">
        <f t="shared" si="2223"/>
        <v>3</v>
      </c>
      <c r="BD1583" s="1">
        <f t="shared" si="2204"/>
        <v>0</v>
      </c>
      <c r="BE1583" s="1">
        <f>MAX(0,U1583-IF(AF1583&gt;0,1,0))+1</f>
        <v>1</v>
      </c>
      <c r="BF1583" s="1">
        <f t="shared" si="2227"/>
        <v>4</v>
      </c>
      <c r="BG1583" s="1">
        <f t="shared" si="2214"/>
        <v>1</v>
      </c>
      <c r="BH1583" s="1">
        <f t="shared" si="2198"/>
        <v>1</v>
      </c>
      <c r="BI1583" s="1">
        <f t="shared" si="2215"/>
        <v>1</v>
      </c>
      <c r="BJ1583" s="1">
        <f t="shared" si="2218"/>
        <v>1</v>
      </c>
      <c r="BK1583" s="1">
        <f t="shared" si="2219"/>
        <v>1</v>
      </c>
      <c r="BL1583" s="1">
        <f t="shared" si="2224"/>
        <v>1</v>
      </c>
      <c r="BM1583" s="1">
        <f t="shared" si="2222"/>
        <v>1</v>
      </c>
      <c r="BN1583" s="1">
        <f t="shared" si="2199"/>
        <v>1</v>
      </c>
      <c r="BO1583" s="1">
        <f t="shared" si="2200"/>
        <v>1</v>
      </c>
    </row>
    <row r="1584" spans="1:67" ht="30.95" customHeight="1">
      <c r="A1584" s="1">
        <f>43</f>
        <v>43</v>
      </c>
      <c r="B1584" s="1">
        <f>固定流程!A36</f>
        <v>31</v>
      </c>
      <c r="C1584" s="1">
        <f>46</f>
        <v>46</v>
      </c>
      <c r="D1584" s="1">
        <f>2</f>
        <v>2</v>
      </c>
      <c r="E1584" s="1">
        <f>固定流程!C36</f>
        <v>3</v>
      </c>
      <c r="F1584" s="1">
        <f>固定流程!G36</f>
        <v>1</v>
      </c>
      <c r="G1584" s="1" t="str">
        <f>固定流程!H36</f>
        <v>LILYA_THIRD</v>
      </c>
      <c r="H1584" s="1">
        <f>固定流程!F36</f>
        <v>1</v>
      </c>
      <c r="I1584" s="1">
        <f>INDEX(配置与结果!$B$15:$B$18,F1584)</f>
        <v>2296</v>
      </c>
      <c r="J1584" s="1">
        <f>INDEX(配置与结果!$D$15:$D$18,F1584)</f>
        <v>0.7</v>
      </c>
      <c r="K1584" s="1">
        <f>INDEX(配置与结果!$E$15:$E$18,F1584)</f>
        <v>2.0249999999999999</v>
      </c>
      <c r="L1584" s="1">
        <f t="shared" si="2211"/>
        <v>2</v>
      </c>
      <c r="M1584" s="1">
        <f t="shared" si="2212"/>
        <v>10</v>
      </c>
      <c r="N1584" s="1">
        <f t="shared" si="2213"/>
        <v>2</v>
      </c>
      <c r="O1584" s="1">
        <f t="shared" si="2205"/>
        <v>5</v>
      </c>
      <c r="P1584" s="1">
        <f>MIN(方案参数!$AI$46,AZ1583+0+0)</f>
        <v>5</v>
      </c>
      <c r="Q1584" s="1">
        <f t="shared" si="2183"/>
        <v>5</v>
      </c>
      <c r="R1584" s="1">
        <f t="shared" si="2184"/>
        <v>20</v>
      </c>
      <c r="S1584" s="1">
        <f t="shared" si="2185"/>
        <v>3</v>
      </c>
      <c r="T1584" s="1">
        <f t="shared" si="2220"/>
        <v>0</v>
      </c>
      <c r="U1584" s="1">
        <f t="shared" si="2187"/>
        <v>1</v>
      </c>
      <c r="V1584" s="1">
        <f t="shared" si="2188"/>
        <v>4</v>
      </c>
      <c r="W1584" s="1">
        <f t="shared" si="2189"/>
        <v>1</v>
      </c>
      <c r="X1584" s="1">
        <f t="shared" si="2190"/>
        <v>1</v>
      </c>
      <c r="Y1584" s="1">
        <f t="shared" si="2191"/>
        <v>1</v>
      </c>
      <c r="Z1584" s="1">
        <f t="shared" si="2192"/>
        <v>1</v>
      </c>
      <c r="AA1584" s="1">
        <f t="shared" si="2216"/>
        <v>1</v>
      </c>
      <c r="AB1584" s="1">
        <f t="shared" si="2194"/>
        <v>1</v>
      </c>
      <c r="AC1584" s="1">
        <f t="shared" si="2221"/>
        <v>1</v>
      </c>
      <c r="AD1584" s="1">
        <f>ROUNDDOWN(I1584*(1+IF(F1584=3,0.05+方案参数!$Y$46+AA1584*0.12,IF(F1584=4,方案参数!$BZ$46*方案参数!$AS$46,0)))+IF(AND(X1584=1,F1584&lt;&gt;3),方案参数!$CC$46,0)+AC1584*方案参数!$CB$46,0)</f>
        <v>3034</v>
      </c>
      <c r="AE1584" s="1">
        <f>IF(OR(F1584=1,F1584=4),配置与结果!$B$24,配置与结果!$B$25)*MAX(0,1-INDEX(配置与结果!$I$15:$I$18,F1584))</f>
        <v>1200</v>
      </c>
      <c r="AF1584" s="1">
        <f>方案参数!$BM$46</f>
        <v>20</v>
      </c>
      <c r="AG1584" s="1">
        <f>MAX(配置与结果!$B$32,1+INDEX(配置与结果!$F$15:$F$18,F1584)+0.08+方案参数!$CD$46+Q1584*方案参数!$W$46+Y1584*(方案参数!$AN$46+MIN(方案参数!$AO$46,P1584*0.03))+AB1584*方案参数!$BZ$46*0.025-配置与结果!$B$28+方案参数!$AE$46)</f>
        <v>2.6150000000000002</v>
      </c>
      <c r="AH1584" s="1">
        <f>MAX(0,1+V1584*方案参数!$U$46+7*方案参数!$V$46+方案参数!$AE$46-配置与结果!$B$29)</f>
        <v>1.98</v>
      </c>
      <c r="AI1584" s="1">
        <f>IF(OR(INDEX(配置与结果!$K$15:$K$18,F1584)=1,G1584="RHI_BERRY"),1+配置与结果!$B$33+P1584*方案参数!$AH$46,1)</f>
        <v>1</v>
      </c>
      <c r="AJ1584" s="1">
        <f>MIN(1,MAX(0,J1584+方案参数!$AB$46-配置与结果!$B$27))</f>
        <v>1</v>
      </c>
      <c r="AK1584" s="1">
        <f>MAX(1,K1584+IF(F1584=2,0.15+方案参数!$CH$46,0)+BN1584*方案参数!$X$46+R1584*方案参数!$AA$46+方案参数!$BQ$46-配置与结果!$B$26+Z1584*(方案参数!$AP$46+MIN(方案参数!$AQ$46,P1584*0.03)))</f>
        <v>3.0050000000000003</v>
      </c>
      <c r="AL1584" s="7">
        <f>ROUNDDOWN(MAX(AD1584*配置与结果!$B$31,AD1584-AE1584)*AF1584*AG1584*AH1584*AI1584,0)</f>
        <v>189918</v>
      </c>
      <c r="AM1584" s="7">
        <f>ROUNDDOWN(MAX(AD1584*配置与结果!$B$31,AD1584-AE1584)*AF1584*AG1584*AH1584*AI1584*AK1584,0)</f>
        <v>570703</v>
      </c>
      <c r="AN1584" s="7">
        <f t="shared" si="2174"/>
        <v>570703</v>
      </c>
      <c r="AO1584" s="7">
        <f>0</f>
        <v>0</v>
      </c>
      <c r="AP1584" s="7">
        <f>MAX(0,1+INDEX(配置与结果!$J$15:$J$18,F1584)+IF(T1584&gt;0,方案参数!$BY$46,0)-配置与结果!$B$30)</f>
        <v>1</v>
      </c>
      <c r="AQ1584" s="7">
        <f t="shared" si="2175"/>
        <v>0</v>
      </c>
      <c r="AR1584" s="7">
        <f t="shared" si="2176"/>
        <v>0</v>
      </c>
      <c r="AS1584" s="7">
        <f t="shared" si="2177"/>
        <v>0</v>
      </c>
      <c r="AT1584" s="7">
        <f>IF(U1584&gt;0,ROUNDDOWN(AL1584*方案参数!$AF$46,0)*(1-AJ1584)+ROUNDDOWN(AM1584*方案参数!$AF$46,0)*AJ1584,0)</f>
        <v>228281</v>
      </c>
      <c r="AU1584" s="7">
        <f t="shared" si="2178"/>
        <v>798984</v>
      </c>
      <c r="AV1584" s="1">
        <f t="shared" si="2179"/>
        <v>2</v>
      </c>
      <c r="AW1584" s="1">
        <f t="shared" si="2226"/>
        <v>10</v>
      </c>
      <c r="AX1584" s="1">
        <f t="shared" si="2180"/>
        <v>2</v>
      </c>
      <c r="AY1584" s="1">
        <f>MIN(20,MAX(0,O1584+0+1-0))</f>
        <v>6</v>
      </c>
      <c r="AZ1584" s="1">
        <f t="shared" si="2181"/>
        <v>5</v>
      </c>
      <c r="BA1584" s="1">
        <f t="shared" si="2217"/>
        <v>5</v>
      </c>
      <c r="BB1584" s="1">
        <f t="shared" si="2225"/>
        <v>20</v>
      </c>
      <c r="BC1584" s="1">
        <f t="shared" si="2223"/>
        <v>3</v>
      </c>
      <c r="BD1584" s="1">
        <f t="shared" si="2204"/>
        <v>0</v>
      </c>
      <c r="BE1584" s="1">
        <f>MAX(0,U1584-IF(AF1584&gt;0,1,0))+0</f>
        <v>0</v>
      </c>
      <c r="BF1584" s="1">
        <f t="shared" si="2227"/>
        <v>4</v>
      </c>
      <c r="BG1584" s="1">
        <f t="shared" si="2214"/>
        <v>1</v>
      </c>
      <c r="BH1584" s="1">
        <f t="shared" si="2198"/>
        <v>1</v>
      </c>
      <c r="BI1584" s="1">
        <f t="shared" si="2215"/>
        <v>1</v>
      </c>
      <c r="BJ1584" s="1">
        <f t="shared" si="2218"/>
        <v>1</v>
      </c>
      <c r="BK1584" s="1">
        <f t="shared" si="2219"/>
        <v>1</v>
      </c>
      <c r="BL1584" s="1">
        <f t="shared" si="2224"/>
        <v>1</v>
      </c>
      <c r="BM1584" s="1">
        <f t="shared" si="2222"/>
        <v>1</v>
      </c>
      <c r="BN1584" s="1">
        <f t="shared" si="2199"/>
        <v>1</v>
      </c>
      <c r="BO1584" s="1">
        <f t="shared" si="2200"/>
        <v>1</v>
      </c>
    </row>
    <row r="1585" spans="1:67" ht="30.95" customHeight="1">
      <c r="A1585" s="1">
        <f>43</f>
        <v>43</v>
      </c>
      <c r="B1585" s="1">
        <f>固定流程!A37</f>
        <v>32</v>
      </c>
      <c r="C1585" s="1">
        <f>46</f>
        <v>46</v>
      </c>
      <c r="D1585" s="1">
        <f>2</f>
        <v>2</v>
      </c>
      <c r="E1585" s="1">
        <f>固定流程!C37</f>
        <v>3</v>
      </c>
      <c r="F1585" s="1">
        <f>固定流程!G37</f>
        <v>1</v>
      </c>
      <c r="G1585" s="1" t="str">
        <f>固定流程!H37</f>
        <v>LILYA_WEAK</v>
      </c>
      <c r="H1585" s="1">
        <f>固定流程!F37</f>
        <v>1</v>
      </c>
      <c r="I1585" s="1">
        <f>INDEX(配置与结果!$B$15:$B$18,F1585)</f>
        <v>2296</v>
      </c>
      <c r="J1585" s="1">
        <f>INDEX(配置与结果!$D$15:$D$18,F1585)</f>
        <v>0.7</v>
      </c>
      <c r="K1585" s="1">
        <f>INDEX(配置与结果!$E$15:$E$18,F1585)</f>
        <v>2.0249999999999999</v>
      </c>
      <c r="L1585" s="1">
        <f t="shared" si="2211"/>
        <v>2</v>
      </c>
      <c r="M1585" s="1">
        <f t="shared" si="2212"/>
        <v>10</v>
      </c>
      <c r="N1585" s="1">
        <f t="shared" si="2213"/>
        <v>2</v>
      </c>
      <c r="O1585" s="1">
        <f t="shared" si="2205"/>
        <v>6</v>
      </c>
      <c r="P1585" s="1">
        <f>MIN(方案参数!$AI$46,AZ1584+0+0)</f>
        <v>5</v>
      </c>
      <c r="Q1585" s="1">
        <f t="shared" si="2183"/>
        <v>5</v>
      </c>
      <c r="R1585" s="1">
        <f t="shared" si="2184"/>
        <v>20</v>
      </c>
      <c r="S1585" s="1">
        <f t="shared" si="2185"/>
        <v>3</v>
      </c>
      <c r="T1585" s="1">
        <f t="shared" si="2220"/>
        <v>0</v>
      </c>
      <c r="U1585" s="1">
        <f t="shared" si="2187"/>
        <v>0</v>
      </c>
      <c r="V1585" s="1">
        <f t="shared" si="2188"/>
        <v>4</v>
      </c>
      <c r="W1585" s="1">
        <f t="shared" si="2189"/>
        <v>1</v>
      </c>
      <c r="X1585" s="1">
        <f t="shared" si="2190"/>
        <v>1</v>
      </c>
      <c r="Y1585" s="1">
        <f t="shared" si="2191"/>
        <v>1</v>
      </c>
      <c r="Z1585" s="1">
        <f t="shared" si="2192"/>
        <v>1</v>
      </c>
      <c r="AA1585" s="1">
        <f t="shared" si="2216"/>
        <v>1</v>
      </c>
      <c r="AB1585" s="1">
        <f t="shared" si="2194"/>
        <v>1</v>
      </c>
      <c r="AC1585" s="1">
        <f t="shared" si="2221"/>
        <v>1</v>
      </c>
      <c r="AD1585" s="1">
        <f>ROUNDDOWN(I1585*(1+IF(F1585=3,0.05+方案参数!$Y$46+AA1585*0.12,IF(F1585=4,方案参数!$BZ$46*方案参数!$AS$46,0)))+IF(AND(X1585=1,F1585&lt;&gt;3),方案参数!$CC$46,0)+AC1585*方案参数!$CB$46,0)</f>
        <v>3034</v>
      </c>
      <c r="AE1585" s="1">
        <f>IF(OR(F1585=1,F1585=4),配置与结果!$B$24,配置与结果!$B$25)*MAX(0,1-INDEX(配置与结果!$I$15:$I$18,F1585))</f>
        <v>1200</v>
      </c>
      <c r="AF1585" s="1">
        <f>方案参数!$BL$46</f>
        <v>9</v>
      </c>
      <c r="AG1585" s="1">
        <f>MAX(配置与结果!$B$32,1+INDEX(配置与结果!$F$15:$F$18,F1585)+0.08+方案参数!$CD$46+Q1585*方案参数!$W$46+Y1585*(方案参数!$AN$46+MIN(方案参数!$AO$46,P1585*0.03))+AB1585*方案参数!$BZ$46*0.025-配置与结果!$B$28+方案参数!$AE$46)</f>
        <v>2.6150000000000002</v>
      </c>
      <c r="AH1585" s="1">
        <f>MAX(0,1+V1585*方案参数!$U$46+8*方案参数!$V$46+方案参数!$AE$46-配置与结果!$B$29)</f>
        <v>2.04</v>
      </c>
      <c r="AI1585" s="1">
        <f>IF(OR(INDEX(配置与结果!$K$15:$K$18,F1585)=1,G1585="RHI_BERRY"),1+配置与结果!$B$33+P1585*方案参数!$AH$46,1)</f>
        <v>1</v>
      </c>
      <c r="AJ1585" s="1">
        <f>MIN(1,MAX(0,J1585+方案参数!$AB$46-配置与结果!$B$27))</f>
        <v>1</v>
      </c>
      <c r="AK1585" s="1">
        <f>MAX(1,K1585+IF(F1585=2,0.15+方案参数!$CH$46,0)+BN1585*方案参数!$X$46+R1585*方案参数!$AA$46+方案参数!$BP$46-配置与结果!$B$26+Z1585*(方案参数!$AP$46+MIN(方案参数!$AQ$46,P1585*0.03)))</f>
        <v>2.8050000000000002</v>
      </c>
      <c r="AL1585" s="7">
        <f>ROUNDDOWN(MAX(AD1585*配置与结果!$B$31,AD1585-AE1585)*AF1585*AG1585*AH1585*AI1585,0)</f>
        <v>88052</v>
      </c>
      <c r="AM1585" s="7">
        <f>ROUNDDOWN(MAX(AD1585*配置与结果!$B$31,AD1585-AE1585)*AF1585*AG1585*AH1585*AI1585*AK1585,0)</f>
        <v>246988</v>
      </c>
      <c r="AN1585" s="7">
        <f t="shared" si="2174"/>
        <v>246988</v>
      </c>
      <c r="AO1585" s="7">
        <f>0</f>
        <v>0</v>
      </c>
      <c r="AP1585" s="7">
        <f>MAX(0,1+INDEX(配置与结果!$J$15:$J$18,F1585)+IF(T1585&gt;0,方案参数!$BY$46,0)-配置与结果!$B$30)</f>
        <v>1</v>
      </c>
      <c r="AQ1585" s="7">
        <f t="shared" si="2175"/>
        <v>0</v>
      </c>
      <c r="AR1585" s="7">
        <f t="shared" si="2176"/>
        <v>0</v>
      </c>
      <c r="AS1585" s="7">
        <f t="shared" si="2177"/>
        <v>0</v>
      </c>
      <c r="AT1585" s="7">
        <f>IF(U1585&gt;0,ROUNDDOWN(AL1585*方案参数!$AF$46,0)*(1-AJ1585)+ROUNDDOWN(AM1585*方案参数!$AF$46,0)*AJ1585,0)</f>
        <v>0</v>
      </c>
      <c r="AU1585" s="7">
        <f t="shared" si="2178"/>
        <v>246988</v>
      </c>
      <c r="AV1585" s="1">
        <f t="shared" si="2179"/>
        <v>2</v>
      </c>
      <c r="AW1585" s="1">
        <f t="shared" si="2226"/>
        <v>10</v>
      </c>
      <c r="AX1585" s="1">
        <f t="shared" si="2180"/>
        <v>2</v>
      </c>
      <c r="AY1585" s="1">
        <f>MIN(20,MAX(0,O1585+0+1-0))</f>
        <v>7</v>
      </c>
      <c r="AZ1585" s="1">
        <f t="shared" si="2181"/>
        <v>5</v>
      </c>
      <c r="BA1585" s="1">
        <f t="shared" si="2217"/>
        <v>5</v>
      </c>
      <c r="BB1585" s="1">
        <f t="shared" si="2225"/>
        <v>20</v>
      </c>
      <c r="BC1585" s="1">
        <f t="shared" si="2223"/>
        <v>3</v>
      </c>
      <c r="BD1585" s="1">
        <f t="shared" si="2204"/>
        <v>0</v>
      </c>
      <c r="BE1585" s="1">
        <f>MAX(0,U1585-IF(AF1585&gt;0,1,0))+0</f>
        <v>0</v>
      </c>
      <c r="BF1585" s="1">
        <f t="shared" si="2227"/>
        <v>4</v>
      </c>
      <c r="BG1585" s="1">
        <f t="shared" si="2214"/>
        <v>1</v>
      </c>
      <c r="BH1585" s="1">
        <f t="shared" si="2198"/>
        <v>1</v>
      </c>
      <c r="BI1585" s="1">
        <f t="shared" si="2215"/>
        <v>1</v>
      </c>
      <c r="BJ1585" s="1">
        <f t="shared" si="2218"/>
        <v>1</v>
      </c>
      <c r="BK1585" s="1">
        <f t="shared" si="2219"/>
        <v>1</v>
      </c>
      <c r="BL1585" s="1">
        <f t="shared" si="2224"/>
        <v>1</v>
      </c>
      <c r="BM1585" s="1">
        <f t="shared" si="2222"/>
        <v>1</v>
      </c>
      <c r="BN1585" s="1">
        <f t="shared" si="2199"/>
        <v>1</v>
      </c>
      <c r="BO1585" s="1">
        <f t="shared" si="2200"/>
        <v>1</v>
      </c>
    </row>
    <row r="1586" spans="1:67" ht="30.95" customHeight="1">
      <c r="A1586" s="1">
        <f>43</f>
        <v>43</v>
      </c>
      <c r="B1586" s="1">
        <f>固定流程!A38</f>
        <v>33</v>
      </c>
      <c r="C1586" s="1">
        <f>46</f>
        <v>46</v>
      </c>
      <c r="D1586" s="1">
        <f>2</f>
        <v>2</v>
      </c>
      <c r="E1586" s="1">
        <f>固定流程!C38</f>
        <v>3</v>
      </c>
      <c r="F1586" s="1">
        <f>固定流程!G38</f>
        <v>1</v>
      </c>
      <c r="G1586" s="1" t="str">
        <f>固定流程!H38</f>
        <v>LILYA_WEAK</v>
      </c>
      <c r="H1586" s="1">
        <f>固定流程!F38</f>
        <v>1</v>
      </c>
      <c r="I1586" s="1">
        <f>INDEX(配置与结果!$B$15:$B$18,F1586)</f>
        <v>2296</v>
      </c>
      <c r="J1586" s="1">
        <f>INDEX(配置与结果!$D$15:$D$18,F1586)</f>
        <v>0.7</v>
      </c>
      <c r="K1586" s="1">
        <f>INDEX(配置与结果!$E$15:$E$18,F1586)</f>
        <v>2.0249999999999999</v>
      </c>
      <c r="L1586" s="1">
        <f t="shared" si="2211"/>
        <v>2</v>
      </c>
      <c r="M1586" s="1">
        <f t="shared" si="2212"/>
        <v>10</v>
      </c>
      <c r="N1586" s="1">
        <f t="shared" si="2213"/>
        <v>2</v>
      </c>
      <c r="O1586" s="1">
        <f t="shared" si="2205"/>
        <v>7</v>
      </c>
      <c r="P1586" s="1">
        <f>MIN(方案参数!$AI$46,AZ1585+0+0)</f>
        <v>5</v>
      </c>
      <c r="Q1586" s="1">
        <f t="shared" si="2183"/>
        <v>5</v>
      </c>
      <c r="R1586" s="1">
        <f t="shared" si="2184"/>
        <v>20</v>
      </c>
      <c r="S1586" s="1">
        <f t="shared" si="2185"/>
        <v>3</v>
      </c>
      <c r="T1586" s="1">
        <f t="shared" si="2220"/>
        <v>0</v>
      </c>
      <c r="U1586" s="1">
        <f t="shared" si="2187"/>
        <v>0</v>
      </c>
      <c r="V1586" s="1">
        <f t="shared" si="2188"/>
        <v>4</v>
      </c>
      <c r="W1586" s="1">
        <f t="shared" si="2189"/>
        <v>1</v>
      </c>
      <c r="X1586" s="1">
        <f t="shared" si="2190"/>
        <v>1</v>
      </c>
      <c r="Y1586" s="1">
        <f t="shared" si="2191"/>
        <v>1</v>
      </c>
      <c r="Z1586" s="1">
        <f t="shared" si="2192"/>
        <v>1</v>
      </c>
      <c r="AA1586" s="1">
        <f t="shared" si="2216"/>
        <v>1</v>
      </c>
      <c r="AB1586" s="1">
        <f t="shared" si="2194"/>
        <v>1</v>
      </c>
      <c r="AC1586" s="1">
        <f t="shared" si="2221"/>
        <v>1</v>
      </c>
      <c r="AD1586" s="1">
        <f>ROUNDDOWN(I1586*(1+IF(F1586=3,0.05+方案参数!$Y$46+AA1586*0.12,IF(F1586=4,方案参数!$BZ$46*方案参数!$AS$46,0)))+IF(AND(X1586=1,F1586&lt;&gt;3),方案参数!$CC$46,0)+AC1586*方案参数!$CB$46,0)</f>
        <v>3034</v>
      </c>
      <c r="AE1586" s="1">
        <f>IF(OR(F1586=1,F1586=4),配置与结果!$B$24,配置与结果!$B$25)*MAX(0,1-INDEX(配置与结果!$I$15:$I$18,F1586))</f>
        <v>1200</v>
      </c>
      <c r="AF1586" s="1">
        <f>方案参数!$BL$46</f>
        <v>9</v>
      </c>
      <c r="AG1586" s="1">
        <f>MAX(配置与结果!$B$32,1+INDEX(配置与结果!$F$15:$F$18,F1586)+0.08+方案参数!$CD$46+Q1586*方案参数!$W$46+Y1586*(方案参数!$AN$46+MIN(方案参数!$AO$46,P1586*0.03))+AB1586*方案参数!$BZ$46*0.025-配置与结果!$B$28+方案参数!$AE$46)</f>
        <v>2.6150000000000002</v>
      </c>
      <c r="AH1586" s="1">
        <f>MAX(0,1+V1586*方案参数!$U$46+9*方案参数!$V$46+方案参数!$AE$46-配置与结果!$B$29)</f>
        <v>2.1</v>
      </c>
      <c r="AI1586" s="1">
        <f>IF(OR(INDEX(配置与结果!$K$15:$K$18,F1586)=1,G1586="RHI_BERRY"),1+配置与结果!$B$33+P1586*方案参数!$AH$46,1)</f>
        <v>1</v>
      </c>
      <c r="AJ1586" s="1">
        <f>MIN(1,MAX(0,J1586+方案参数!$AB$46-配置与结果!$B$27))</f>
        <v>1</v>
      </c>
      <c r="AK1586" s="1">
        <f>MAX(1,K1586+IF(F1586=2,0.15+方案参数!$CH$46,0)+BN1586*方案参数!$X$46+R1586*方案参数!$AA$46+方案参数!$BP$46-配置与结果!$B$26+Z1586*(方案参数!$AP$46+MIN(方案参数!$AQ$46,P1586*0.03)))</f>
        <v>2.8050000000000002</v>
      </c>
      <c r="AL1586" s="7">
        <f>ROUNDDOWN(MAX(AD1586*配置与结果!$B$31,AD1586-AE1586)*AF1586*AG1586*AH1586*AI1586,0)</f>
        <v>90642</v>
      </c>
      <c r="AM1586" s="7">
        <f>ROUNDDOWN(MAX(AD1586*配置与结果!$B$31,AD1586-AE1586)*AF1586*AG1586*AH1586*AI1586*AK1586,0)</f>
        <v>254252</v>
      </c>
      <c r="AN1586" s="7">
        <f t="shared" si="2174"/>
        <v>254252</v>
      </c>
      <c r="AO1586" s="7">
        <f>0</f>
        <v>0</v>
      </c>
      <c r="AP1586" s="7">
        <f>MAX(0,1+INDEX(配置与结果!$J$15:$J$18,F1586)+IF(T1586&gt;0,方案参数!$BY$46,0)-配置与结果!$B$30)</f>
        <v>1</v>
      </c>
      <c r="AQ1586" s="7">
        <f t="shared" si="2175"/>
        <v>0</v>
      </c>
      <c r="AR1586" s="7">
        <f t="shared" si="2176"/>
        <v>0</v>
      </c>
      <c r="AS1586" s="7">
        <f t="shared" si="2177"/>
        <v>0</v>
      </c>
      <c r="AT1586" s="7">
        <f>IF(U1586&gt;0,ROUNDDOWN(AL1586*方案参数!$AF$46,0)*(1-AJ1586)+ROUNDDOWN(AM1586*方案参数!$AF$46,0)*AJ1586,0)</f>
        <v>0</v>
      </c>
      <c r="AU1586" s="7">
        <f t="shared" si="2178"/>
        <v>254252</v>
      </c>
      <c r="AV1586" s="1">
        <f t="shared" si="2179"/>
        <v>2</v>
      </c>
      <c r="AW1586" s="1">
        <f t="shared" si="2226"/>
        <v>10</v>
      </c>
      <c r="AX1586" s="1">
        <f t="shared" si="2180"/>
        <v>2</v>
      </c>
      <c r="AY1586" s="1">
        <f>MIN(20,MAX(0,O1586+0+1-0))</f>
        <v>8</v>
      </c>
      <c r="AZ1586" s="1">
        <f t="shared" si="2181"/>
        <v>5</v>
      </c>
      <c r="BA1586" s="1">
        <f t="shared" si="2217"/>
        <v>5</v>
      </c>
      <c r="BB1586" s="1">
        <f t="shared" si="2225"/>
        <v>20</v>
      </c>
      <c r="BC1586" s="1">
        <f t="shared" si="2223"/>
        <v>3</v>
      </c>
      <c r="BD1586" s="1">
        <f t="shared" si="2204"/>
        <v>0</v>
      </c>
      <c r="BE1586" s="1">
        <f>MAX(0,U1586-IF(AF1586&gt;0,1,0))+0</f>
        <v>0</v>
      </c>
      <c r="BF1586" s="1">
        <f t="shared" si="2227"/>
        <v>4</v>
      </c>
      <c r="BG1586" s="1">
        <f t="shared" si="2214"/>
        <v>1</v>
      </c>
      <c r="BH1586" s="1">
        <f t="shared" si="2198"/>
        <v>1</v>
      </c>
      <c r="BI1586" s="1">
        <f t="shared" si="2215"/>
        <v>1</v>
      </c>
      <c r="BJ1586" s="1">
        <f t="shared" si="2218"/>
        <v>1</v>
      </c>
      <c r="BK1586" s="1">
        <f t="shared" si="2219"/>
        <v>1</v>
      </c>
      <c r="BL1586" s="1">
        <f t="shared" si="2224"/>
        <v>1</v>
      </c>
      <c r="BM1586" s="1">
        <f t="shared" si="2222"/>
        <v>1</v>
      </c>
      <c r="BN1586" s="1">
        <f t="shared" si="2199"/>
        <v>1</v>
      </c>
      <c r="BO1586" s="1">
        <f t="shared" si="2200"/>
        <v>1</v>
      </c>
    </row>
    <row r="1587" spans="1:67" ht="30.95" customHeight="1">
      <c r="A1587" s="1">
        <f>43</f>
        <v>43</v>
      </c>
      <c r="B1587" s="1">
        <f>固定流程!A39</f>
        <v>34</v>
      </c>
      <c r="C1587" s="1">
        <f>46</f>
        <v>46</v>
      </c>
      <c r="D1587" s="1">
        <f>2</f>
        <v>2</v>
      </c>
      <c r="E1587" s="1">
        <f>固定流程!C39</f>
        <v>3</v>
      </c>
      <c r="F1587" s="1">
        <f>固定流程!G39</f>
        <v>2</v>
      </c>
      <c r="G1587" s="1" t="str">
        <f>固定流程!H39</f>
        <v>37_WEAK</v>
      </c>
      <c r="H1587" s="1">
        <f>固定流程!F39</f>
        <v>1</v>
      </c>
      <c r="I1587" s="1">
        <f>INDEX(配置与结果!$B$15:$B$18,F1587)</f>
        <v>2306</v>
      </c>
      <c r="J1587" s="1">
        <f>INDEX(配置与结果!$D$15:$D$18,F1587)</f>
        <v>0.46</v>
      </c>
      <c r="K1587" s="1">
        <f>INDEX(配置与结果!$E$15:$E$18,F1587)</f>
        <v>1.9279999999999999</v>
      </c>
      <c r="L1587" s="1">
        <f t="shared" si="2211"/>
        <v>2</v>
      </c>
      <c r="M1587" s="1">
        <f t="shared" si="2212"/>
        <v>10</v>
      </c>
      <c r="N1587" s="1">
        <f t="shared" si="2213"/>
        <v>2</v>
      </c>
      <c r="O1587" s="1">
        <f t="shared" si="2205"/>
        <v>8</v>
      </c>
      <c r="P1587" s="1">
        <f>MIN(方案参数!$AI$46,AZ1586+0+0)</f>
        <v>5</v>
      </c>
      <c r="Q1587" s="1">
        <f t="shared" si="2183"/>
        <v>5</v>
      </c>
      <c r="R1587" s="1">
        <f t="shared" si="2184"/>
        <v>20</v>
      </c>
      <c r="S1587" s="1">
        <f t="shared" si="2185"/>
        <v>3</v>
      </c>
      <c r="T1587" s="1">
        <f t="shared" si="2220"/>
        <v>0</v>
      </c>
      <c r="U1587" s="1">
        <f t="shared" si="2187"/>
        <v>0</v>
      </c>
      <c r="V1587" s="1">
        <f t="shared" si="2188"/>
        <v>4</v>
      </c>
      <c r="W1587" s="1">
        <f t="shared" si="2189"/>
        <v>1</v>
      </c>
      <c r="X1587" s="1">
        <f t="shared" si="2190"/>
        <v>1</v>
      </c>
      <c r="Y1587" s="1">
        <f t="shared" si="2191"/>
        <v>1</v>
      </c>
      <c r="Z1587" s="1">
        <f t="shared" si="2192"/>
        <v>1</v>
      </c>
      <c r="AA1587" s="1">
        <f t="shared" si="2216"/>
        <v>1</v>
      </c>
      <c r="AB1587" s="1">
        <f t="shared" si="2194"/>
        <v>1</v>
      </c>
      <c r="AC1587" s="1">
        <f t="shared" si="2221"/>
        <v>1</v>
      </c>
      <c r="AD1587" s="1">
        <f>ROUNDDOWN(I1587*(1+IF(F1587=3,0.05+方案参数!$Y$46+AA1587*0.12,IF(F1587=4,方案参数!$BZ$46*方案参数!$AS$46,0)))+IF(AND(X1587=1,F1587&lt;&gt;3),方案参数!$CC$46,0)+AC1587*方案参数!$CB$46,0)</f>
        <v>3044</v>
      </c>
      <c r="AE1587" s="1">
        <f>IF(OR(F1587=1,F1587=4),配置与结果!$B$24,配置与结果!$B$25)*MAX(0,1-INDEX(配置与结果!$I$15:$I$18,F1587))</f>
        <v>1000</v>
      </c>
      <c r="AF1587" s="1">
        <f>方案参数!$CE$46</f>
        <v>8</v>
      </c>
      <c r="AG1587" s="1">
        <f>MAX(配置与结果!$B$32,1+INDEX(配置与结果!$F$15:$F$18,F1587)+0+Q1587*方案参数!$W$46+Y1587*(方案参数!$AN$46+MIN(方案参数!$AO$46,P1587*0.03))+AB1587*方案参数!$BZ$46*0.025-配置与结果!$B$28+方案参数!$AE$46)</f>
        <v>2.2800000000000002</v>
      </c>
      <c r="AH1587" s="1">
        <f>MAX(0,1+V1587*方案参数!$U$46+方案参数!$AE$46-配置与结果!$B$29)</f>
        <v>1.56</v>
      </c>
      <c r="AI1587" s="1">
        <f>IF(OR(INDEX(配置与结果!$K$15:$K$18,F1587)=1,G1587="RHI_BERRY"),1+配置与结果!$B$33+P1587*方案参数!$AH$46,1)</f>
        <v>1</v>
      </c>
      <c r="AJ1587" s="1">
        <f>MIN(1,MAX(0,J1587+方案参数!$AB$46-配置与结果!$B$27))</f>
        <v>0.76</v>
      </c>
      <c r="AK1587" s="1">
        <f>MAX(1,K1587+IF(F1587=2,0.15+方案参数!$CH$46,0)+BN1587*方案参数!$X$46+R1587*方案参数!$AA$46+0-配置与结果!$B$26+Z1587*(方案参数!$AP$46+MIN(方案参数!$AQ$46,P1587*0.03)))</f>
        <v>2.3780000000000001</v>
      </c>
      <c r="AL1587" s="7">
        <f>ROUNDDOWN(MAX(AD1587*配置与结果!$B$31,AD1587-AE1587)*AF1587*AG1587*AH1587*AI1587,0)</f>
        <v>58160</v>
      </c>
      <c r="AM1587" s="7">
        <f>ROUNDDOWN(MAX(AD1587*配置与结果!$B$31,AD1587-AE1587)*AF1587*AG1587*AH1587*AI1587*AK1587,0)</f>
        <v>138306</v>
      </c>
      <c r="AN1587" s="7">
        <f t="shared" si="2174"/>
        <v>119070.95999999999</v>
      </c>
      <c r="AO1587" s="7">
        <f>0</f>
        <v>0</v>
      </c>
      <c r="AP1587" s="7">
        <f>MAX(0,1+INDEX(配置与结果!$J$15:$J$18,F1587)+IF(T1587&gt;0,方案参数!$BY$46,0)-配置与结果!$B$30)</f>
        <v>1</v>
      </c>
      <c r="AQ1587" s="7">
        <f t="shared" si="2175"/>
        <v>0</v>
      </c>
      <c r="AR1587" s="7">
        <f t="shared" si="2176"/>
        <v>0</v>
      </c>
      <c r="AS1587" s="7">
        <f t="shared" si="2177"/>
        <v>0</v>
      </c>
      <c r="AT1587" s="7">
        <f>IF(U1587&gt;0,ROUNDDOWN(AL1587*方案参数!$AF$46,0)*(1-AJ1587)+ROUNDDOWN(AM1587*方案参数!$AF$46,0)*AJ1587,0)</f>
        <v>0</v>
      </c>
      <c r="AU1587" s="7">
        <f t="shared" si="2178"/>
        <v>119070.95999999999</v>
      </c>
      <c r="AV1587" s="1">
        <f t="shared" si="2179"/>
        <v>2</v>
      </c>
      <c r="AW1587" s="1">
        <f t="shared" si="2226"/>
        <v>10</v>
      </c>
      <c r="AX1587" s="1">
        <f t="shared" si="2180"/>
        <v>2</v>
      </c>
      <c r="AY1587" s="1">
        <f>MIN(20,MAX(0,O1587+0+0-0))</f>
        <v>8</v>
      </c>
      <c r="AZ1587" s="1">
        <f t="shared" si="2181"/>
        <v>5</v>
      </c>
      <c r="BA1587" s="1">
        <f t="shared" si="2217"/>
        <v>5</v>
      </c>
      <c r="BB1587" s="1">
        <f t="shared" si="2225"/>
        <v>20</v>
      </c>
      <c r="BC1587" s="1">
        <f t="shared" si="2223"/>
        <v>3</v>
      </c>
      <c r="BD1587" s="1">
        <f t="shared" si="2204"/>
        <v>0</v>
      </c>
      <c r="BE1587" s="1">
        <f>MAX(0,U1587-IF(AF1587&gt;0,1,0))+1</f>
        <v>1</v>
      </c>
      <c r="BF1587" s="1">
        <f t="shared" si="2227"/>
        <v>4</v>
      </c>
      <c r="BG1587" s="1">
        <f t="shared" si="2214"/>
        <v>1</v>
      </c>
      <c r="BH1587" s="1">
        <f t="shared" si="2198"/>
        <v>1</v>
      </c>
      <c r="BI1587" s="1">
        <f t="shared" si="2215"/>
        <v>1</v>
      </c>
      <c r="BJ1587" s="1">
        <f t="shared" si="2218"/>
        <v>1</v>
      </c>
      <c r="BK1587" s="1">
        <f t="shared" si="2219"/>
        <v>1</v>
      </c>
      <c r="BL1587" s="1">
        <f t="shared" si="2224"/>
        <v>1</v>
      </c>
      <c r="BM1587" s="1">
        <f t="shared" si="2222"/>
        <v>1</v>
      </c>
      <c r="BN1587" s="1">
        <f t="shared" si="2199"/>
        <v>1</v>
      </c>
      <c r="BO1587" s="1">
        <f t="shared" si="2200"/>
        <v>1</v>
      </c>
    </row>
    <row r="1588" spans="1:67" ht="30.95" customHeight="1">
      <c r="A1588" s="1">
        <f>43</f>
        <v>43</v>
      </c>
      <c r="B1588" s="1">
        <f>固定流程!A40</f>
        <v>35</v>
      </c>
      <c r="C1588" s="1">
        <f>46</f>
        <v>46</v>
      </c>
      <c r="D1588" s="1">
        <f>2</f>
        <v>2</v>
      </c>
      <c r="E1588" s="1">
        <f>固定流程!C40</f>
        <v>3</v>
      </c>
      <c r="F1588" s="1">
        <f>固定流程!G40</f>
        <v>2</v>
      </c>
      <c r="G1588" s="1" t="str">
        <f>固定流程!H40</f>
        <v>37_WEAK</v>
      </c>
      <c r="H1588" s="1">
        <f>固定流程!F40</f>
        <v>1</v>
      </c>
      <c r="I1588" s="1">
        <f>INDEX(配置与结果!$B$15:$B$18,F1588)</f>
        <v>2306</v>
      </c>
      <c r="J1588" s="1">
        <f>INDEX(配置与结果!$D$15:$D$18,F1588)</f>
        <v>0.46</v>
      </c>
      <c r="K1588" s="1">
        <f>INDEX(配置与结果!$E$15:$E$18,F1588)</f>
        <v>1.9279999999999999</v>
      </c>
      <c r="L1588" s="1">
        <f t="shared" si="2211"/>
        <v>2</v>
      </c>
      <c r="M1588" s="1">
        <f t="shared" si="2212"/>
        <v>10</v>
      </c>
      <c r="N1588" s="1">
        <f t="shared" si="2213"/>
        <v>2</v>
      </c>
      <c r="O1588" s="1">
        <f t="shared" si="2205"/>
        <v>8</v>
      </c>
      <c r="P1588" s="1">
        <f>MIN(方案参数!$AI$46,AZ1587+0+0)</f>
        <v>5</v>
      </c>
      <c r="Q1588" s="1">
        <f t="shared" si="2183"/>
        <v>5</v>
      </c>
      <c r="R1588" s="1">
        <f t="shared" si="2184"/>
        <v>20</v>
      </c>
      <c r="S1588" s="1">
        <f t="shared" si="2185"/>
        <v>3</v>
      </c>
      <c r="T1588" s="1">
        <f t="shared" si="2220"/>
        <v>0</v>
      </c>
      <c r="U1588" s="1">
        <f t="shared" si="2187"/>
        <v>1</v>
      </c>
      <c r="V1588" s="1">
        <f t="shared" si="2188"/>
        <v>4</v>
      </c>
      <c r="W1588" s="1">
        <f t="shared" si="2189"/>
        <v>1</v>
      </c>
      <c r="X1588" s="1">
        <f t="shared" si="2190"/>
        <v>1</v>
      </c>
      <c r="Y1588" s="1">
        <f t="shared" si="2191"/>
        <v>1</v>
      </c>
      <c r="Z1588" s="1">
        <f t="shared" si="2192"/>
        <v>1</v>
      </c>
      <c r="AA1588" s="1">
        <f t="shared" si="2216"/>
        <v>1</v>
      </c>
      <c r="AB1588" s="1">
        <f t="shared" si="2194"/>
        <v>1</v>
      </c>
      <c r="AC1588" s="1">
        <f t="shared" si="2221"/>
        <v>1</v>
      </c>
      <c r="AD1588" s="1">
        <f>ROUNDDOWN(I1588*(1+IF(F1588=3,0.05+方案参数!$Y$46+AA1588*0.12,IF(F1588=4,方案参数!$BZ$46*方案参数!$AS$46,0)))+IF(AND(X1588=1,F1588&lt;&gt;3),方案参数!$CC$46,0)+AC1588*方案参数!$CB$46,0)</f>
        <v>3044</v>
      </c>
      <c r="AE1588" s="1">
        <f>IF(OR(F1588=1,F1588=4),配置与结果!$B$24,配置与结果!$B$25)*MAX(0,1-INDEX(配置与结果!$I$15:$I$18,F1588))</f>
        <v>1000</v>
      </c>
      <c r="AF1588" s="1">
        <f>方案参数!$CE$46</f>
        <v>8</v>
      </c>
      <c r="AG1588" s="1">
        <f>MAX(配置与结果!$B$32,1+INDEX(配置与结果!$F$15:$F$18,F1588)+0+Q1588*方案参数!$W$46+Y1588*(方案参数!$AN$46+MIN(方案参数!$AO$46,P1588*0.03))+AB1588*方案参数!$BZ$46*0.025-配置与结果!$B$28+方案参数!$AE$46)</f>
        <v>2.2800000000000002</v>
      </c>
      <c r="AH1588" s="1">
        <f>MAX(0,1+V1588*方案参数!$U$46+方案参数!$AE$46-配置与结果!$B$29)</f>
        <v>1.56</v>
      </c>
      <c r="AI1588" s="1">
        <f>IF(OR(INDEX(配置与结果!$K$15:$K$18,F1588)=1,G1588="RHI_BERRY"),1+配置与结果!$B$33+P1588*方案参数!$AH$46,1)</f>
        <v>1</v>
      </c>
      <c r="AJ1588" s="1">
        <f>MIN(1,MAX(0,J1588+方案参数!$AB$46-配置与结果!$B$27))</f>
        <v>0.76</v>
      </c>
      <c r="AK1588" s="1">
        <f>MAX(1,K1588+IF(F1588=2,0.15+方案参数!$CH$46,0)+BN1588*方案参数!$X$46+R1588*方案参数!$AA$46+0-配置与结果!$B$26+Z1588*(方案参数!$AP$46+MIN(方案参数!$AQ$46,P1588*0.03)))</f>
        <v>2.3780000000000001</v>
      </c>
      <c r="AL1588" s="7">
        <f>ROUNDDOWN(MAX(AD1588*配置与结果!$B$31,AD1588-AE1588)*AF1588*AG1588*AH1588*AI1588,0)</f>
        <v>58160</v>
      </c>
      <c r="AM1588" s="7">
        <f>ROUNDDOWN(MAX(AD1588*配置与结果!$B$31,AD1588-AE1588)*AF1588*AG1588*AH1588*AI1588*AK1588,0)</f>
        <v>138306</v>
      </c>
      <c r="AN1588" s="7">
        <f t="shared" si="2174"/>
        <v>119070.95999999999</v>
      </c>
      <c r="AO1588" s="7">
        <f>0</f>
        <v>0</v>
      </c>
      <c r="AP1588" s="7">
        <f>MAX(0,1+INDEX(配置与结果!$J$15:$J$18,F1588)+IF(T1588&gt;0,方案参数!$BY$46,0)-配置与结果!$B$30)</f>
        <v>1</v>
      </c>
      <c r="AQ1588" s="7">
        <f t="shared" si="2175"/>
        <v>0</v>
      </c>
      <c r="AR1588" s="7">
        <f t="shared" si="2176"/>
        <v>0</v>
      </c>
      <c r="AS1588" s="7">
        <f t="shared" si="2177"/>
        <v>0</v>
      </c>
      <c r="AT1588" s="7">
        <f>IF(U1588&gt;0,ROUNDDOWN(AL1588*方案参数!$AF$46,0)*(1-AJ1588)+ROUNDDOWN(AM1588*方案参数!$AF$46,0)*AJ1588,0)</f>
        <v>47628.08</v>
      </c>
      <c r="AU1588" s="7">
        <f t="shared" si="2178"/>
        <v>166699.03999999998</v>
      </c>
      <c r="AV1588" s="1">
        <f t="shared" si="2179"/>
        <v>2</v>
      </c>
      <c r="AW1588" s="1">
        <f t="shared" si="2226"/>
        <v>10</v>
      </c>
      <c r="AX1588" s="1">
        <f t="shared" si="2180"/>
        <v>2</v>
      </c>
      <c r="AY1588" s="1">
        <f>MIN(20,MAX(0,O1588+0+0-0))</f>
        <v>8</v>
      </c>
      <c r="AZ1588" s="1">
        <f t="shared" si="2181"/>
        <v>5</v>
      </c>
      <c r="BA1588" s="1">
        <f t="shared" si="2217"/>
        <v>5</v>
      </c>
      <c r="BB1588" s="1">
        <f t="shared" si="2225"/>
        <v>20</v>
      </c>
      <c r="BC1588" s="1">
        <f t="shared" si="2223"/>
        <v>3</v>
      </c>
      <c r="BD1588" s="1">
        <f t="shared" si="2204"/>
        <v>0</v>
      </c>
      <c r="BE1588" s="1">
        <f>MAX(0,U1588-IF(AF1588&gt;0,1,0))+1</f>
        <v>1</v>
      </c>
      <c r="BF1588" s="1">
        <f t="shared" si="2227"/>
        <v>4</v>
      </c>
      <c r="BG1588" s="1">
        <f t="shared" si="2214"/>
        <v>1</v>
      </c>
      <c r="BH1588" s="1">
        <f t="shared" si="2198"/>
        <v>1</v>
      </c>
      <c r="BI1588" s="1">
        <f t="shared" si="2215"/>
        <v>1</v>
      </c>
      <c r="BJ1588" s="1">
        <f t="shared" si="2218"/>
        <v>1</v>
      </c>
      <c r="BK1588" s="1">
        <f t="shared" si="2219"/>
        <v>1</v>
      </c>
      <c r="BL1588" s="1">
        <f t="shared" si="2224"/>
        <v>1</v>
      </c>
      <c r="BM1588" s="1">
        <f t="shared" si="2222"/>
        <v>1</v>
      </c>
      <c r="BN1588" s="1">
        <f t="shared" si="2199"/>
        <v>1</v>
      </c>
      <c r="BO1588" s="1">
        <f t="shared" si="2200"/>
        <v>1</v>
      </c>
    </row>
    <row r="1589" spans="1:67" ht="30.95" customHeight="1">
      <c r="A1589" s="1">
        <f>43</f>
        <v>43</v>
      </c>
      <c r="B1589" s="1">
        <f>固定流程!A41</f>
        <v>36</v>
      </c>
      <c r="C1589" s="1">
        <f>46</f>
        <v>46</v>
      </c>
      <c r="D1589" s="1">
        <f>2</f>
        <v>2</v>
      </c>
      <c r="E1589" s="1">
        <f>固定流程!C41</f>
        <v>3</v>
      </c>
      <c r="F1589" s="1">
        <f>固定流程!G41</f>
        <v>1</v>
      </c>
      <c r="G1589" s="1" t="str">
        <f>固定流程!H41</f>
        <v>LILYA_FINISH</v>
      </c>
      <c r="H1589" s="1">
        <f>固定流程!F41</f>
        <v>1</v>
      </c>
      <c r="I1589" s="1">
        <f>INDEX(配置与结果!$B$15:$B$18,F1589)</f>
        <v>2296</v>
      </c>
      <c r="J1589" s="1">
        <f>INDEX(配置与结果!$D$15:$D$18,F1589)</f>
        <v>0.7</v>
      </c>
      <c r="K1589" s="1">
        <f>INDEX(配置与结果!$E$15:$E$18,F1589)</f>
        <v>2.0249999999999999</v>
      </c>
      <c r="L1589" s="1">
        <f t="shared" si="2211"/>
        <v>2</v>
      </c>
      <c r="M1589" s="1">
        <f t="shared" si="2212"/>
        <v>10</v>
      </c>
      <c r="N1589" s="1">
        <f t="shared" si="2213"/>
        <v>2</v>
      </c>
      <c r="O1589" s="1">
        <f t="shared" si="2205"/>
        <v>8</v>
      </c>
      <c r="P1589" s="1">
        <f>MIN(方案参数!$AI$46,AZ1588+0+0)</f>
        <v>5</v>
      </c>
      <c r="Q1589" s="1">
        <f t="shared" si="2183"/>
        <v>5</v>
      </c>
      <c r="R1589" s="1">
        <f t="shared" si="2184"/>
        <v>20</v>
      </c>
      <c r="S1589" s="1">
        <f t="shared" si="2185"/>
        <v>3</v>
      </c>
      <c r="T1589" s="1">
        <f t="shared" si="2220"/>
        <v>0</v>
      </c>
      <c r="U1589" s="1">
        <f t="shared" si="2187"/>
        <v>1</v>
      </c>
      <c r="V1589" s="1">
        <f t="shared" si="2188"/>
        <v>4</v>
      </c>
      <c r="W1589" s="1">
        <f t="shared" si="2189"/>
        <v>1</v>
      </c>
      <c r="X1589" s="1">
        <f t="shared" si="2190"/>
        <v>1</v>
      </c>
      <c r="Y1589" s="1">
        <f t="shared" si="2191"/>
        <v>1</v>
      </c>
      <c r="Z1589" s="1">
        <f t="shared" si="2192"/>
        <v>1</v>
      </c>
      <c r="AA1589" s="1">
        <f t="shared" si="2216"/>
        <v>1</v>
      </c>
      <c r="AB1589" s="1">
        <f t="shared" si="2194"/>
        <v>1</v>
      </c>
      <c r="AC1589" s="1">
        <f t="shared" si="2221"/>
        <v>1</v>
      </c>
      <c r="AD1589" s="1">
        <f>ROUNDDOWN(I1589*(1+IF(F1589=3,0.05+方案参数!$Y$46+AA1589*0.12,IF(F1589=4,方案参数!$BZ$46*方案参数!$AS$46,0)))+IF(AND(X1589=1,F1589&lt;&gt;3),方案参数!$CC$46,0)+AC1589*方案参数!$CB$46,0)</f>
        <v>3034</v>
      </c>
      <c r="AE1589" s="1">
        <f>IF(OR(F1589=1,F1589=4),配置与结果!$B$24,配置与结果!$B$25)*MAX(0,1-INDEX(配置与结果!$I$15:$I$18,F1589))</f>
        <v>1200</v>
      </c>
      <c r="AF1589" s="1">
        <f>方案参数!$BN$46+12*方案参数!$BO$46</f>
        <v>48</v>
      </c>
      <c r="AG1589" s="1">
        <f>MAX(配置与结果!$B$32,1+INDEX(配置与结果!$F$15:$F$18,F1589)+0.08+方案参数!$CD$46+Q1589*方案参数!$W$46+Y1589*(方案参数!$AN$46+MIN(方案参数!$AO$46,P1589*0.03))+AB1589*方案参数!$BZ$46*0.025-配置与结果!$B$28+方案参数!$AE$46)</f>
        <v>2.6150000000000002</v>
      </c>
      <c r="AH1589" s="1">
        <f>MAX(0,1+V1589*方案参数!$U$46+12*方案参数!$V$46+方案参数!$AE$46-配置与结果!$B$29)</f>
        <v>2.2799999999999998</v>
      </c>
      <c r="AI1589" s="1">
        <f>IF(OR(INDEX(配置与结果!$K$15:$K$18,F1589)=1,G1589="RHI_BERRY"),1+配置与结果!$B$33+P1589*方案参数!$AH$46,1)</f>
        <v>1</v>
      </c>
      <c r="AJ1589" s="1">
        <f>MIN(1,MAX(0,J1589+方案参数!$AB$46-配置与结果!$B$27))</f>
        <v>1</v>
      </c>
      <c r="AK1589" s="1">
        <f>MAX(1,K1589+IF(F1589=2,0.15+方案参数!$CH$46,0)+BN1589*方案参数!$X$46+R1589*方案参数!$AA$46+方案参数!$BR$46-配置与结果!$B$26+Z1589*(方案参数!$AP$46+MIN(方案参数!$AQ$46,P1589*0.03)))</f>
        <v>3.2050000000000001</v>
      </c>
      <c r="AL1589" s="7">
        <f>ROUNDDOWN(MAX(AD1589*配置与结果!$B$31,AD1589-AE1589)*AF1589*AG1589*AH1589*AI1589,0)</f>
        <v>524864</v>
      </c>
      <c r="AM1589" s="7">
        <f>ROUNDDOWN(MAX(AD1589*配置与结果!$B$31,AD1589-AE1589)*AF1589*AG1589*AH1589*AI1589*AK1589,0)</f>
        <v>1682190</v>
      </c>
      <c r="AN1589" s="7">
        <f t="shared" si="2174"/>
        <v>1682190</v>
      </c>
      <c r="AO1589" s="7">
        <f>0</f>
        <v>0</v>
      </c>
      <c r="AP1589" s="7">
        <f>MAX(0,1+INDEX(配置与结果!$J$15:$J$18,F1589)+IF(T1589&gt;0,方案参数!$BY$46,0)-配置与结果!$B$30)</f>
        <v>1</v>
      </c>
      <c r="AQ1589" s="7">
        <f t="shared" si="2175"/>
        <v>0</v>
      </c>
      <c r="AR1589" s="7">
        <f t="shared" si="2176"/>
        <v>0</v>
      </c>
      <c r="AS1589" s="7">
        <f t="shared" si="2177"/>
        <v>0</v>
      </c>
      <c r="AT1589" s="7">
        <f>IF(U1589&gt;0,ROUNDDOWN(AL1589*方案参数!$AF$46,0)*(1-AJ1589)+ROUNDDOWN(AM1589*方案参数!$AF$46,0)*AJ1589,0)</f>
        <v>672876</v>
      </c>
      <c r="AU1589" s="7">
        <f t="shared" si="2178"/>
        <v>2355066</v>
      </c>
      <c r="AV1589" s="1">
        <f t="shared" si="2179"/>
        <v>2</v>
      </c>
      <c r="AW1589" s="1">
        <f t="shared" si="2226"/>
        <v>10</v>
      </c>
      <c r="AX1589" s="1">
        <f t="shared" si="2180"/>
        <v>2</v>
      </c>
      <c r="AY1589" s="1">
        <f>MIN(20,MAX(0,O1589+0+1-0))</f>
        <v>9</v>
      </c>
      <c r="AZ1589" s="1">
        <f t="shared" si="2181"/>
        <v>5</v>
      </c>
      <c r="BA1589" s="1">
        <f t="shared" si="2217"/>
        <v>5</v>
      </c>
      <c r="BB1589" s="1">
        <f t="shared" si="2225"/>
        <v>20</v>
      </c>
      <c r="BC1589" s="1">
        <f t="shared" si="2223"/>
        <v>3</v>
      </c>
      <c r="BD1589" s="1">
        <f t="shared" si="2204"/>
        <v>0</v>
      </c>
      <c r="BE1589" s="1">
        <f>MAX(0,U1589-IF(AF1589&gt;0,1,0))+0</f>
        <v>0</v>
      </c>
      <c r="BF1589" s="1">
        <f t="shared" si="2227"/>
        <v>4</v>
      </c>
      <c r="BG1589" s="1">
        <f t="shared" si="2214"/>
        <v>1</v>
      </c>
      <c r="BH1589" s="1">
        <f t="shared" si="2198"/>
        <v>1</v>
      </c>
      <c r="BI1589" s="1">
        <f t="shared" si="2215"/>
        <v>1</v>
      </c>
      <c r="BJ1589" s="1">
        <f t="shared" si="2218"/>
        <v>1</v>
      </c>
      <c r="BK1589" s="1">
        <f t="shared" si="2219"/>
        <v>1</v>
      </c>
      <c r="BL1589" s="1">
        <f t="shared" si="2224"/>
        <v>1</v>
      </c>
      <c r="BM1589" s="1">
        <f t="shared" si="2222"/>
        <v>1</v>
      </c>
      <c r="BN1589" s="1">
        <f t="shared" si="2199"/>
        <v>1</v>
      </c>
      <c r="BO1589" s="1">
        <f t="shared" si="2200"/>
        <v>1</v>
      </c>
    </row>
    <row r="1590" spans="1:67" ht="30.95" customHeight="1">
      <c r="A1590" s="1">
        <f>44</f>
        <v>44</v>
      </c>
      <c r="B1590" s="1">
        <f>固定流程!A6</f>
        <v>1</v>
      </c>
      <c r="C1590" s="1">
        <f>47</f>
        <v>47</v>
      </c>
      <c r="D1590" s="1">
        <f>1</f>
        <v>1</v>
      </c>
      <c r="E1590" s="1">
        <f>固定流程!C6</f>
        <v>1</v>
      </c>
      <c r="F1590" s="1">
        <f>固定流程!G6</f>
        <v>3</v>
      </c>
      <c r="G1590" s="1" t="str">
        <f>固定流程!H6</f>
        <v>RHI_ULT</v>
      </c>
      <c r="H1590" s="1">
        <f>固定流程!F6</f>
        <v>1</v>
      </c>
      <c r="I1590" s="1">
        <f>INDEX(配置与结果!$B$15:$B$18,F1590)</f>
        <v>2597</v>
      </c>
      <c r="J1590" s="1">
        <f>INDEX(配置与结果!$D$15:$D$18,F1590)</f>
        <v>0.255</v>
      </c>
      <c r="K1590" s="1">
        <f>INDEX(配置与结果!$E$15:$E$18,F1590)</f>
        <v>1.55</v>
      </c>
      <c r="L1590" s="1">
        <f>0</f>
        <v>0</v>
      </c>
      <c r="M1590" s="1">
        <f>0</f>
        <v>0</v>
      </c>
      <c r="N1590" s="1">
        <f>0</f>
        <v>0</v>
      </c>
      <c r="O1590" s="1">
        <f>0</f>
        <v>0</v>
      </c>
      <c r="P1590" s="1">
        <f>MIN(方案参数!$AI$47,0+方案参数!$AJ$47+0)</f>
        <v>1</v>
      </c>
      <c r="Q1590" s="1">
        <f>0</f>
        <v>0</v>
      </c>
      <c r="R1590" s="1">
        <f>0</f>
        <v>0</v>
      </c>
      <c r="S1590" s="1">
        <f>0</f>
        <v>0</v>
      </c>
      <c r="T1590" s="1">
        <f>0+0</f>
        <v>0</v>
      </c>
      <c r="U1590" s="1">
        <f>0</f>
        <v>0</v>
      </c>
      <c r="V1590" s="1">
        <f>0</f>
        <v>0</v>
      </c>
      <c r="W1590" s="1">
        <f>0</f>
        <v>0</v>
      </c>
      <c r="X1590" s="1">
        <f>0</f>
        <v>0</v>
      </c>
      <c r="Y1590" s="1">
        <f>0</f>
        <v>0</v>
      </c>
      <c r="Z1590" s="1">
        <f>0</f>
        <v>0</v>
      </c>
      <c r="AA1590" s="1">
        <f>MAX(0,0)</f>
        <v>0</v>
      </c>
      <c r="AB1590" s="1">
        <f>0</f>
        <v>0</v>
      </c>
      <c r="AC1590" s="1">
        <f>MAX(0,0)</f>
        <v>0</v>
      </c>
      <c r="AD1590" s="1">
        <f>ROUNDDOWN(I1590*(1+IF(F1590=3,0.05+方案参数!$Y$47+AA1590*0.12,IF(F1590=4,方案参数!$BZ$47*方案参数!$AS$47,0)))+IF(AND(X1590=1,F1590&lt;&gt;3),方案参数!$CC$47,0)+AC1590*方案参数!$CB$47,0)</f>
        <v>2986</v>
      </c>
      <c r="AE1590" s="1">
        <f>IF(OR(F1590=1,F1590=4),配置与结果!$B$24,配置与结果!$B$25)*MAX(0,1-INDEX(配置与结果!$I$15:$I$18,F1590))</f>
        <v>1000</v>
      </c>
      <c r="AF1590" s="1">
        <f>0</f>
        <v>0</v>
      </c>
      <c r="AG1590" s="1">
        <f>MAX(配置与结果!$B$32,1+INDEX(配置与结果!$F$15:$F$18,F1590)+0+Q1590*方案参数!$W$47+Y1590*(方案参数!$AN$47+MIN(方案参数!$AO$47,P1590*0.03))+AB1590*方案参数!$BZ$47*0.025-配置与结果!$B$28)</f>
        <v>0.6349999999999999</v>
      </c>
      <c r="AH1590" s="1">
        <f>MAX(0,1+INDEX(配置与结果!$G$15:$G$18,F1590)+W1590*方案参数!$AG$47)</f>
        <v>1</v>
      </c>
      <c r="AI1590" s="1">
        <f>IF(OR(INDEX(配置与结果!$K$15:$K$18,F1590)=1,G1590="RHI_BERRY"),1+配置与结果!$B$33+P1590*方案参数!$AH$47,1)</f>
        <v>1</v>
      </c>
      <c r="AJ1590" s="1">
        <f>MIN(1,MAX(0,J1590+方案参数!$AB$47-配置与结果!$B$27))</f>
        <v>0.55499999999999994</v>
      </c>
      <c r="AK1590" s="1">
        <f>MAX(1,K1590+IF(F1590=2,0.15+方案参数!$CH$47,0)+BN1590*方案参数!$X$47+R1590*方案参数!$AA$47+0-配置与结果!$B$26+Z1590*(方案参数!$AP$47+MIN(方案参数!$AQ$47,P1590*0.03)))</f>
        <v>1.1499999999999999</v>
      </c>
      <c r="AL1590" s="7">
        <f>ROUNDDOWN(MAX(AD1590*配置与结果!$B$31,AD1590-AE1590)*AF1590*AG1590*AH1590*AI1590,0)</f>
        <v>0</v>
      </c>
      <c r="AM1590" s="7">
        <f>ROUNDDOWN(MAX(AD1590*配置与结果!$B$31,AD1590-AE1590)*AF1590*AG1590*AH1590*AI1590*AK1590,0)</f>
        <v>0</v>
      </c>
      <c r="AN1590" s="7">
        <f t="shared" si="2174"/>
        <v>0</v>
      </c>
      <c r="AO1590" s="7">
        <f>0</f>
        <v>0</v>
      </c>
      <c r="AP1590" s="7">
        <f>MAX(0,1+INDEX(配置与结果!$J$15:$J$18,F1590)+IF(T1590&gt;0,方案参数!$BY$47,0)-配置与结果!$B$30)</f>
        <v>1</v>
      </c>
      <c r="AQ1590" s="7">
        <f t="shared" si="2175"/>
        <v>0</v>
      </c>
      <c r="AR1590" s="7">
        <f t="shared" si="2176"/>
        <v>0</v>
      </c>
      <c r="AS1590" s="7">
        <f t="shared" si="2177"/>
        <v>0</v>
      </c>
      <c r="AT1590" s="7">
        <f>0</f>
        <v>0</v>
      </c>
      <c r="AU1590" s="7">
        <f t="shared" si="2178"/>
        <v>0</v>
      </c>
      <c r="AV1590" s="1">
        <f t="shared" si="2179"/>
        <v>0</v>
      </c>
      <c r="AW1590" s="1">
        <f t="shared" si="2226"/>
        <v>0</v>
      </c>
      <c r="AX1590" s="1">
        <f t="shared" si="2180"/>
        <v>0</v>
      </c>
      <c r="AY1590" s="1">
        <f>MIN(20,MAX(0,O1590+0+0-0))</f>
        <v>0</v>
      </c>
      <c r="AZ1590" s="1">
        <f t="shared" si="2181"/>
        <v>1</v>
      </c>
      <c r="BA1590" s="1">
        <f>MIN(6,Q1590+1)</f>
        <v>1</v>
      </c>
      <c r="BB1590" s="1">
        <f>MIN(30,R1590+5)</f>
        <v>5</v>
      </c>
      <c r="BC1590" s="1">
        <f t="shared" si="2223"/>
        <v>0</v>
      </c>
      <c r="BD1590" s="1">
        <f t="shared" si="2204"/>
        <v>0</v>
      </c>
      <c r="BE1590" s="1">
        <f>0</f>
        <v>0</v>
      </c>
      <c r="BF1590" s="1">
        <f t="shared" si="2227"/>
        <v>0</v>
      </c>
      <c r="BG1590" s="1">
        <f t="shared" si="2214"/>
        <v>0</v>
      </c>
      <c r="BH1590" s="1">
        <f>MAX(X1590,1)</f>
        <v>1</v>
      </c>
      <c r="BI1590" s="1">
        <f t="shared" si="2215"/>
        <v>0</v>
      </c>
      <c r="BJ1590" s="1">
        <f t="shared" si="2218"/>
        <v>0</v>
      </c>
      <c r="BK1590" s="1">
        <f t="shared" si="2219"/>
        <v>0</v>
      </c>
      <c r="BL1590" s="1">
        <f t="shared" si="2224"/>
        <v>0</v>
      </c>
      <c r="BM1590" s="1">
        <f t="shared" si="2222"/>
        <v>0</v>
      </c>
      <c r="BN1590" s="1">
        <f>0</f>
        <v>0</v>
      </c>
      <c r="BO1590" s="1">
        <f>MAX(BN1590,1)</f>
        <v>1</v>
      </c>
    </row>
    <row r="1591" spans="1:67" ht="30.95" customHeight="1">
      <c r="A1591" s="1">
        <f>44</f>
        <v>44</v>
      </c>
      <c r="B1591" s="1">
        <f>固定流程!A7</f>
        <v>2</v>
      </c>
      <c r="C1591" s="1">
        <f>47</f>
        <v>47</v>
      </c>
      <c r="D1591" s="1">
        <f>1</f>
        <v>1</v>
      </c>
      <c r="E1591" s="1">
        <f>固定流程!C7</f>
        <v>1</v>
      </c>
      <c r="F1591" s="1">
        <f>固定流程!G7</f>
        <v>3</v>
      </c>
      <c r="G1591" s="1" t="str">
        <f>固定流程!H7</f>
        <v>RHI_BUFF</v>
      </c>
      <c r="H1591" s="1">
        <f>固定流程!F7</f>
        <v>1</v>
      </c>
      <c r="I1591" s="1">
        <f>INDEX(配置与结果!$B$15:$B$18,F1591)</f>
        <v>2597</v>
      </c>
      <c r="J1591" s="1">
        <f>INDEX(配置与结果!$D$15:$D$18,F1591)</f>
        <v>0.255</v>
      </c>
      <c r="K1591" s="1">
        <f>INDEX(配置与结果!$E$15:$E$18,F1591)</f>
        <v>1.55</v>
      </c>
      <c r="L1591" s="1">
        <f t="shared" ref="L1591:O1596" si="2228">AV1590</f>
        <v>0</v>
      </c>
      <c r="M1591" s="1">
        <f t="shared" si="2228"/>
        <v>0</v>
      </c>
      <c r="N1591" s="1">
        <f t="shared" si="2228"/>
        <v>0</v>
      </c>
      <c r="O1591" s="1">
        <f t="shared" si="2228"/>
        <v>0</v>
      </c>
      <c r="P1591" s="1">
        <f>MIN(方案参数!$AI$47,AZ1590+0+方案参数!$AK$47)</f>
        <v>3</v>
      </c>
      <c r="Q1591" s="1">
        <f t="shared" ref="Q1591:Q1625" si="2229">BA1590</f>
        <v>1</v>
      </c>
      <c r="R1591" s="1">
        <f t="shared" ref="R1591:R1625" si="2230">BB1590</f>
        <v>5</v>
      </c>
      <c r="S1591" s="1">
        <f t="shared" ref="S1591:S1625" si="2231">BC1590</f>
        <v>0</v>
      </c>
      <c r="T1591" s="1">
        <f t="shared" ref="T1591:T1604" si="2232">BD1590+0</f>
        <v>0</v>
      </c>
      <c r="U1591" s="1">
        <f t="shared" ref="U1591:U1625" si="2233">BE1590</f>
        <v>0</v>
      </c>
      <c r="V1591" s="1">
        <f t="shared" ref="V1591:V1625" si="2234">BF1590</f>
        <v>0</v>
      </c>
      <c r="W1591" s="1">
        <f t="shared" ref="W1591:W1625" si="2235">BG1590</f>
        <v>0</v>
      </c>
      <c r="X1591" s="1">
        <f t="shared" ref="X1591:X1625" si="2236">BH1590</f>
        <v>1</v>
      </c>
      <c r="Y1591" s="1">
        <f t="shared" ref="Y1591:Y1625" si="2237">BI1590</f>
        <v>0</v>
      </c>
      <c r="Z1591" s="1">
        <f t="shared" ref="Z1591:Z1625" si="2238">BJ1590</f>
        <v>0</v>
      </c>
      <c r="AA1591" s="1">
        <f t="shared" ref="AA1591:AA1596" si="2239">MAX(BK1590,0)</f>
        <v>0</v>
      </c>
      <c r="AB1591" s="1">
        <f t="shared" ref="AB1591:AB1625" si="2240">BL1590</f>
        <v>0</v>
      </c>
      <c r="AC1591" s="1">
        <f t="shared" ref="AC1591:AC1604" si="2241">MAX(BM1590,0)</f>
        <v>0</v>
      </c>
      <c r="AD1591" s="1">
        <f>ROUNDDOWN(I1591*(1+IF(F1591=3,0.05+方案参数!$Y$47+AA1591*0.12,IF(F1591=4,方案参数!$BZ$47*方案参数!$AS$47,0)))+IF(AND(X1591=1,F1591&lt;&gt;3),方案参数!$CC$47,0)+AC1591*方案参数!$CB$47,0)</f>
        <v>2986</v>
      </c>
      <c r="AE1591" s="1">
        <f>IF(OR(F1591=1,F1591=4),配置与结果!$B$24,配置与结果!$B$25)*MAX(0,1-INDEX(配置与结果!$I$15:$I$18,F1591))</f>
        <v>1000</v>
      </c>
      <c r="AF1591" s="1">
        <f>0</f>
        <v>0</v>
      </c>
      <c r="AG1591" s="1">
        <f>MAX(配置与结果!$B$32,1+INDEX(配置与结果!$F$15:$F$18,F1591)+0+Q1591*方案参数!$W$47+Y1591*(方案参数!$AN$47+MIN(方案参数!$AO$47,P1591*0.03))+AB1591*方案参数!$BZ$47*0.025-配置与结果!$B$28)</f>
        <v>0.65499999999999992</v>
      </c>
      <c r="AH1591" s="1">
        <f>MAX(0,1+INDEX(配置与结果!$G$15:$G$18,F1591)+W1591*方案参数!$AG$47)</f>
        <v>1</v>
      </c>
      <c r="AI1591" s="1">
        <f>IF(OR(INDEX(配置与结果!$K$15:$K$18,F1591)=1,G1591="RHI_BERRY"),1+配置与结果!$B$33+P1591*方案参数!$AH$47,1)</f>
        <v>1</v>
      </c>
      <c r="AJ1591" s="1">
        <f>MIN(1,MAX(0,J1591+方案参数!$AB$47-配置与结果!$B$27))</f>
        <v>0.55499999999999994</v>
      </c>
      <c r="AK1591" s="1">
        <f>MAX(1,K1591+IF(F1591=2,0.15+方案参数!$CH$47,0)+BN1591*方案参数!$X$47+R1591*方案参数!$AA$47+0-配置与结果!$B$26+Z1591*(方案参数!$AP$47+MIN(方案参数!$AQ$47,P1591*0.03)))</f>
        <v>1.3449999999999998</v>
      </c>
      <c r="AL1591" s="7">
        <f>ROUNDDOWN(MAX(AD1591*配置与结果!$B$31,AD1591-AE1591)*AF1591*AG1591*AH1591*AI1591,0)</f>
        <v>0</v>
      </c>
      <c r="AM1591" s="7">
        <f>ROUNDDOWN(MAX(AD1591*配置与结果!$B$31,AD1591-AE1591)*AF1591*AG1591*AH1591*AI1591*AK1591,0)</f>
        <v>0</v>
      </c>
      <c r="AN1591" s="7">
        <f t="shared" si="2174"/>
        <v>0</v>
      </c>
      <c r="AO1591" s="7">
        <f>0</f>
        <v>0</v>
      </c>
      <c r="AP1591" s="7">
        <f>MAX(0,1+INDEX(配置与结果!$J$15:$J$18,F1591)+IF(T1591&gt;0,方案参数!$BY$47,0)-配置与结果!$B$30)</f>
        <v>1</v>
      </c>
      <c r="AQ1591" s="7">
        <f t="shared" si="2175"/>
        <v>0</v>
      </c>
      <c r="AR1591" s="7">
        <f t="shared" si="2176"/>
        <v>0</v>
      </c>
      <c r="AS1591" s="7">
        <f t="shared" si="2177"/>
        <v>0</v>
      </c>
      <c r="AT1591" s="7">
        <f>0</f>
        <v>0</v>
      </c>
      <c r="AU1591" s="7">
        <f t="shared" si="2178"/>
        <v>0</v>
      </c>
      <c r="AV1591" s="1">
        <f t="shared" si="2179"/>
        <v>0</v>
      </c>
      <c r="AW1591" s="1">
        <f t="shared" si="2226"/>
        <v>0</v>
      </c>
      <c r="AX1591" s="1">
        <f t="shared" si="2180"/>
        <v>0</v>
      </c>
      <c r="AY1591" s="1">
        <f>MIN(20,MAX(0,O1591+0+0-0))</f>
        <v>0</v>
      </c>
      <c r="AZ1591" s="1">
        <f t="shared" si="2181"/>
        <v>3</v>
      </c>
      <c r="BA1591" s="1">
        <f>MIN(6,Q1591+1)</f>
        <v>2</v>
      </c>
      <c r="BB1591" s="1">
        <f t="shared" ref="BB1591:BB1604" si="2242">MIN(30,R1591+0)</f>
        <v>5</v>
      </c>
      <c r="BC1591" s="1">
        <f t="shared" si="2223"/>
        <v>0</v>
      </c>
      <c r="BD1591" s="1">
        <f t="shared" si="2204"/>
        <v>0</v>
      </c>
      <c r="BE1591" s="1">
        <f t="shared" ref="BE1591:BE1612" si="2243">BE1590</f>
        <v>0</v>
      </c>
      <c r="BF1591" s="1">
        <f t="shared" si="2227"/>
        <v>0</v>
      </c>
      <c r="BG1591" s="1">
        <f>MAX(W1591,1)</f>
        <v>1</v>
      </c>
      <c r="BH1591" s="1">
        <f t="shared" ref="BH1591:BH1625" si="2244">MAX(X1591,0)</f>
        <v>1</v>
      </c>
      <c r="BI1591" s="1">
        <f>MAX(Y1591,1)</f>
        <v>1</v>
      </c>
      <c r="BJ1591" s="1">
        <f t="shared" si="2218"/>
        <v>0</v>
      </c>
      <c r="BK1591" s="1">
        <f t="shared" si="2219"/>
        <v>0</v>
      </c>
      <c r="BL1591" s="1">
        <f t="shared" si="2224"/>
        <v>0</v>
      </c>
      <c r="BM1591" s="1">
        <f t="shared" si="2222"/>
        <v>0</v>
      </c>
      <c r="BN1591" s="1">
        <f t="shared" ref="BN1591:BN1625" si="2245">BO1590</f>
        <v>1</v>
      </c>
      <c r="BO1591" s="1">
        <f t="shared" ref="BO1591:BO1625" si="2246">MAX(BN1591,0)</f>
        <v>1</v>
      </c>
    </row>
    <row r="1592" spans="1:67" ht="30.95" customHeight="1">
      <c r="A1592" s="1">
        <f>44</f>
        <v>44</v>
      </c>
      <c r="B1592" s="1">
        <f>固定流程!A8</f>
        <v>3</v>
      </c>
      <c r="C1592" s="1">
        <f>47</f>
        <v>47</v>
      </c>
      <c r="D1592" s="1">
        <f>1</f>
        <v>1</v>
      </c>
      <c r="E1592" s="1">
        <f>固定流程!C8</f>
        <v>1</v>
      </c>
      <c r="F1592" s="1">
        <f>固定流程!G8</f>
        <v>1</v>
      </c>
      <c r="G1592" s="1" t="str">
        <f>固定流程!H8</f>
        <v>LILYA_COBRA</v>
      </c>
      <c r="H1592" s="1">
        <f>固定流程!F8</f>
        <v>1</v>
      </c>
      <c r="I1592" s="1">
        <f>INDEX(配置与结果!$B$15:$B$18,F1592)</f>
        <v>2296</v>
      </c>
      <c r="J1592" s="1">
        <f>INDEX(配置与结果!$D$15:$D$18,F1592)</f>
        <v>0.7</v>
      </c>
      <c r="K1592" s="1">
        <f>INDEX(配置与结果!$E$15:$E$18,F1592)</f>
        <v>2.0249999999999999</v>
      </c>
      <c r="L1592" s="1">
        <f t="shared" si="2228"/>
        <v>0</v>
      </c>
      <c r="M1592" s="1">
        <f t="shared" si="2228"/>
        <v>0</v>
      </c>
      <c r="N1592" s="1">
        <f t="shared" si="2228"/>
        <v>0</v>
      </c>
      <c r="O1592" s="1">
        <f t="shared" si="2228"/>
        <v>0</v>
      </c>
      <c r="P1592" s="1">
        <f>MIN(方案参数!$AI$47,AZ1591+0+0)</f>
        <v>3</v>
      </c>
      <c r="Q1592" s="1">
        <f t="shared" si="2229"/>
        <v>2</v>
      </c>
      <c r="R1592" s="1">
        <f t="shared" si="2230"/>
        <v>5</v>
      </c>
      <c r="S1592" s="1">
        <f t="shared" si="2231"/>
        <v>0</v>
      </c>
      <c r="T1592" s="1">
        <f t="shared" si="2232"/>
        <v>0</v>
      </c>
      <c r="U1592" s="1">
        <f t="shared" si="2233"/>
        <v>0</v>
      </c>
      <c r="V1592" s="1">
        <f t="shared" si="2234"/>
        <v>0</v>
      </c>
      <c r="W1592" s="1">
        <f t="shared" si="2235"/>
        <v>1</v>
      </c>
      <c r="X1592" s="1">
        <f t="shared" si="2236"/>
        <v>1</v>
      </c>
      <c r="Y1592" s="1">
        <f t="shared" si="2237"/>
        <v>1</v>
      </c>
      <c r="Z1592" s="1">
        <f t="shared" si="2238"/>
        <v>0</v>
      </c>
      <c r="AA1592" s="1">
        <f t="shared" si="2239"/>
        <v>0</v>
      </c>
      <c r="AB1592" s="1">
        <f t="shared" si="2240"/>
        <v>0</v>
      </c>
      <c r="AC1592" s="1">
        <f t="shared" si="2241"/>
        <v>0</v>
      </c>
      <c r="AD1592" s="1">
        <f>ROUNDDOWN(I1592*(1+IF(F1592=3,0.05+方案参数!$Y$47+AA1592*0.12,IF(F1592=4,方案参数!$BZ$47*方案参数!$AS$47,0)))+IF(AND(X1592=1,F1592&lt;&gt;3),方案参数!$CC$47,0)+AC1592*方案参数!$CB$47,0)</f>
        <v>2534</v>
      </c>
      <c r="AE1592" s="1">
        <f>IF(OR(F1592=1,F1592=4),配置与结果!$B$24,配置与结果!$B$25)*MAX(0,1-INDEX(配置与结果!$I$15:$I$18,F1592))</f>
        <v>1200</v>
      </c>
      <c r="AF1592" s="1">
        <f>0</f>
        <v>0</v>
      </c>
      <c r="AG1592" s="1">
        <f>MAX(配置与结果!$B$32,1+INDEX(配置与结果!$F$15:$F$18,F1592)+0.08+方案参数!$CD$47+Q1592*方案参数!$W$47+Y1592*(方案参数!$AN$47+MIN(方案参数!$AO$47,P1592*0.03))+AB1592*方案参数!$BZ$47*0.025-配置与结果!$B$28)</f>
        <v>1.2200000000000002</v>
      </c>
      <c r="AH1592" s="1">
        <f>MAX(0,1+INDEX(配置与结果!$G$15:$G$18,F1592)+W1592*方案参数!$AG$47)</f>
        <v>1.3</v>
      </c>
      <c r="AI1592" s="1">
        <f>IF(OR(INDEX(配置与结果!$K$15:$K$18,F1592)=1,G1592="RHI_BERRY"),1+配置与结果!$B$33+P1592*方案参数!$AH$47,1)</f>
        <v>1</v>
      </c>
      <c r="AJ1592" s="1">
        <f>MIN(1,MAX(0,J1592+方案参数!$AB$47-配置与结果!$B$27))</f>
        <v>1</v>
      </c>
      <c r="AK1592" s="1">
        <f>MAX(1,K1592+IF(F1592=2,0.15+方案参数!$CH$47,0)+BN1592*方案参数!$X$47+R1592*方案参数!$AA$47+0-配置与结果!$B$26+Z1592*(方案参数!$AP$47+MIN(方案参数!$AQ$47,P1592*0.03)))</f>
        <v>1.8200000000000003</v>
      </c>
      <c r="AL1592" s="7">
        <f>ROUNDDOWN(MAX(AD1592*配置与结果!$B$31,AD1592-AE1592)*AF1592*AG1592*AH1592*AI1592,0)</f>
        <v>0</v>
      </c>
      <c r="AM1592" s="7">
        <f>ROUNDDOWN(MAX(AD1592*配置与结果!$B$31,AD1592-AE1592)*AF1592*AG1592*AH1592*AI1592*AK1592,0)</f>
        <v>0</v>
      </c>
      <c r="AN1592" s="7">
        <f t="shared" si="2174"/>
        <v>0</v>
      </c>
      <c r="AO1592" s="7">
        <f>0</f>
        <v>0</v>
      </c>
      <c r="AP1592" s="7">
        <f>MAX(0,1+INDEX(配置与结果!$J$15:$J$18,F1592)+IF(T1592&gt;0,方案参数!$BY$47,0)-配置与结果!$B$30)</f>
        <v>1</v>
      </c>
      <c r="AQ1592" s="7">
        <f t="shared" si="2175"/>
        <v>0</v>
      </c>
      <c r="AR1592" s="7">
        <f t="shared" si="2176"/>
        <v>0</v>
      </c>
      <c r="AS1592" s="7">
        <f t="shared" si="2177"/>
        <v>0</v>
      </c>
      <c r="AT1592" s="7">
        <f>0</f>
        <v>0</v>
      </c>
      <c r="AU1592" s="7">
        <f t="shared" si="2178"/>
        <v>0</v>
      </c>
      <c r="AV1592" s="1">
        <f t="shared" si="2179"/>
        <v>1</v>
      </c>
      <c r="AW1592" s="1">
        <f>MIN(10,M1592+方案参数!$BD$47+0)</f>
        <v>3</v>
      </c>
      <c r="AX1592" s="1">
        <f t="shared" si="2180"/>
        <v>0</v>
      </c>
      <c r="AY1592" s="1">
        <f>MIN(20,MAX(0,O1592+6+0-0))</f>
        <v>6</v>
      </c>
      <c r="AZ1592" s="1">
        <f t="shared" si="2181"/>
        <v>3</v>
      </c>
      <c r="BA1592" s="1">
        <f>MIN(6,Q1592+0)</f>
        <v>2</v>
      </c>
      <c r="BB1592" s="1">
        <f t="shared" si="2242"/>
        <v>5</v>
      </c>
      <c r="BC1592" s="1">
        <f t="shared" si="2223"/>
        <v>0</v>
      </c>
      <c r="BD1592" s="1">
        <f t="shared" si="2204"/>
        <v>0</v>
      </c>
      <c r="BE1592" s="1">
        <f t="shared" si="2243"/>
        <v>0</v>
      </c>
      <c r="BF1592" s="1">
        <f t="shared" si="2227"/>
        <v>0</v>
      </c>
      <c r="BG1592" s="1">
        <f t="shared" ref="BG1592:BG1602" si="2247">MAX(W1592,0)</f>
        <v>1</v>
      </c>
      <c r="BH1592" s="1">
        <f t="shared" si="2244"/>
        <v>1</v>
      </c>
      <c r="BI1592" s="1">
        <f t="shared" ref="BI1592:BI1602" si="2248">MAX(Y1592,0)</f>
        <v>1</v>
      </c>
      <c r="BJ1592" s="1">
        <f t="shared" si="2218"/>
        <v>0</v>
      </c>
      <c r="BK1592" s="1">
        <f t="shared" si="2219"/>
        <v>0</v>
      </c>
      <c r="BL1592" s="1">
        <f t="shared" si="2224"/>
        <v>0</v>
      </c>
      <c r="BM1592" s="1">
        <f t="shared" si="2222"/>
        <v>0</v>
      </c>
      <c r="BN1592" s="1">
        <f t="shared" si="2245"/>
        <v>1</v>
      </c>
      <c r="BO1592" s="1">
        <f t="shared" si="2246"/>
        <v>1</v>
      </c>
    </row>
    <row r="1593" spans="1:67" ht="30.95" customHeight="1">
      <c r="A1593" s="1">
        <f>44</f>
        <v>44</v>
      </c>
      <c r="B1593" s="1">
        <f>固定流程!A9</f>
        <v>4</v>
      </c>
      <c r="C1593" s="1">
        <f>47</f>
        <v>47</v>
      </c>
      <c r="D1593" s="1">
        <f>1</f>
        <v>1</v>
      </c>
      <c r="E1593" s="1">
        <f>固定流程!C9</f>
        <v>1</v>
      </c>
      <c r="F1593" s="1">
        <f>固定流程!G9</f>
        <v>1</v>
      </c>
      <c r="G1593" s="1" t="str">
        <f>固定流程!H9</f>
        <v>LILYA_DIVE</v>
      </c>
      <c r="H1593" s="1">
        <f>固定流程!F9</f>
        <v>1</v>
      </c>
      <c r="I1593" s="1">
        <f>INDEX(配置与结果!$B$15:$B$18,F1593)</f>
        <v>2296</v>
      </c>
      <c r="J1593" s="1">
        <f>INDEX(配置与结果!$D$15:$D$18,F1593)</f>
        <v>0.7</v>
      </c>
      <c r="K1593" s="1">
        <f>INDEX(配置与结果!$E$15:$E$18,F1593)</f>
        <v>2.0249999999999999</v>
      </c>
      <c r="L1593" s="1">
        <f t="shared" si="2228"/>
        <v>1</v>
      </c>
      <c r="M1593" s="1">
        <f t="shared" si="2228"/>
        <v>3</v>
      </c>
      <c r="N1593" s="1">
        <f t="shared" si="2228"/>
        <v>0</v>
      </c>
      <c r="O1593" s="1">
        <f t="shared" si="2228"/>
        <v>6</v>
      </c>
      <c r="P1593" s="1">
        <f>MIN(方案参数!$AI$47,AZ1592+0+0)</f>
        <v>3</v>
      </c>
      <c r="Q1593" s="1">
        <f t="shared" si="2229"/>
        <v>2</v>
      </c>
      <c r="R1593" s="1">
        <f t="shared" si="2230"/>
        <v>5</v>
      </c>
      <c r="S1593" s="1">
        <f t="shared" si="2231"/>
        <v>0</v>
      </c>
      <c r="T1593" s="1">
        <f t="shared" si="2232"/>
        <v>0</v>
      </c>
      <c r="U1593" s="1">
        <f t="shared" si="2233"/>
        <v>0</v>
      </c>
      <c r="V1593" s="1">
        <f t="shared" si="2234"/>
        <v>0</v>
      </c>
      <c r="W1593" s="1">
        <f t="shared" si="2235"/>
        <v>1</v>
      </c>
      <c r="X1593" s="1">
        <f t="shared" si="2236"/>
        <v>1</v>
      </c>
      <c r="Y1593" s="1">
        <f t="shared" si="2237"/>
        <v>1</v>
      </c>
      <c r="Z1593" s="1">
        <f t="shared" si="2238"/>
        <v>0</v>
      </c>
      <c r="AA1593" s="1">
        <f t="shared" si="2239"/>
        <v>0</v>
      </c>
      <c r="AB1593" s="1">
        <f t="shared" si="2240"/>
        <v>0</v>
      </c>
      <c r="AC1593" s="1">
        <f t="shared" si="2241"/>
        <v>0</v>
      </c>
      <c r="AD1593" s="1">
        <f>ROUNDDOWN(I1593*(1+IF(F1593=3,0.05+方案参数!$Y$47+AA1593*0.12,IF(F1593=4,方案参数!$BZ$47*方案参数!$AS$47,0)))+IF(AND(X1593=1,F1593&lt;&gt;3),方案参数!$CC$47,0)+AC1593*方案参数!$CB$47,0)</f>
        <v>2534</v>
      </c>
      <c r="AE1593" s="1">
        <f>IF(OR(F1593=1,F1593=4),配置与结果!$B$24,配置与结果!$B$25)*MAX(0,1-INDEX(配置与结果!$I$15:$I$18,F1593))</f>
        <v>1200</v>
      </c>
      <c r="AF1593" s="1">
        <f>(IF(L1593=1,方案参数!$AW$47,IF(L1593=2,方案参数!$AX$47,0))+方案参数!$AV$47)*H1593</f>
        <v>6</v>
      </c>
      <c r="AG1593" s="1">
        <f>MAX(配置与结果!$B$32,1+INDEX(配置与结果!$F$15:$F$18,F1593)+0.08+方案参数!$CD$47+Q1593*方案参数!$W$47+Y1593*(方案参数!$AN$47+MIN(方案参数!$AO$47,P1593*0.03))+AB1593*方案参数!$BZ$47*0.025+IF(L1593=1,方案参数!$AY$47+(H1593-1)*0.1,IF(L1593=2,方案参数!$AZ$47+(H1593-1)*0.2,0))-配置与结果!$B$28)</f>
        <v>1.3200000000000003</v>
      </c>
      <c r="AH1593" s="1">
        <f>MAX(0,1+INDEX(配置与结果!$G$15:$G$18,F1593)+W1593*方案参数!$AG$47+IF(L1593=1,方案参数!$BA$47,IF(L1593=2,方案参数!$BB$47,0))+M1593*方案参数!$BC$47)</f>
        <v>2.08</v>
      </c>
      <c r="AI1593" s="1">
        <f>IF(OR(INDEX(配置与结果!$K$15:$K$18,F1593)=1,G1593="RHI_BERRY"),1+配置与结果!$B$33+P1593*方案参数!$AH$47,1)</f>
        <v>1</v>
      </c>
      <c r="AJ1593" s="1">
        <f>MIN(1,MAX(0,J1593+方案参数!$AB$47-配置与结果!$B$27))</f>
        <v>1</v>
      </c>
      <c r="AK1593" s="1">
        <f>MAX(1,K1593+IF(F1593=2,0.15+方案参数!$CH$47,0)+BN1593*方案参数!$X$47+R1593*方案参数!$AA$47+0-配置与结果!$B$26+Z1593*(方案参数!$AP$47+MIN(方案参数!$AQ$47,P1593*0.03)))</f>
        <v>1.8200000000000003</v>
      </c>
      <c r="AL1593" s="7">
        <f>ROUNDDOWN(MAX(AD1593*配置与结果!$B$31,AD1593-AE1593)*AF1593*AG1593*AH1593*AI1593,0)</f>
        <v>21975</v>
      </c>
      <c r="AM1593" s="7">
        <f>ROUNDDOWN(MAX(AD1593*配置与结果!$B$31,AD1593-AE1593)*AF1593*AG1593*AH1593*AI1593*AK1593,0)</f>
        <v>39995</v>
      </c>
      <c r="AN1593" s="7">
        <f t="shared" si="2174"/>
        <v>39995</v>
      </c>
      <c r="AO1593" s="7">
        <f>0</f>
        <v>0</v>
      </c>
      <c r="AP1593" s="7">
        <f>MAX(0,1+INDEX(配置与结果!$J$15:$J$18,F1593)+IF(T1593&gt;0,方案参数!$BY$47,0)-配置与结果!$B$30)</f>
        <v>1</v>
      </c>
      <c r="AQ1593" s="7">
        <f t="shared" si="2175"/>
        <v>0</v>
      </c>
      <c r="AR1593" s="7">
        <f t="shared" si="2176"/>
        <v>0</v>
      </c>
      <c r="AS1593" s="7">
        <f t="shared" si="2177"/>
        <v>0</v>
      </c>
      <c r="AT1593" s="7">
        <f>0</f>
        <v>0</v>
      </c>
      <c r="AU1593" s="7">
        <f t="shared" si="2178"/>
        <v>39995</v>
      </c>
      <c r="AV1593" s="1">
        <f t="shared" si="2179"/>
        <v>1</v>
      </c>
      <c r="AW1593" s="1">
        <f>MIN(10,M1593+0+IF(L1593=1,方案参数!$BE$47,0))</f>
        <v>4</v>
      </c>
      <c r="AX1593" s="1">
        <f t="shared" si="2180"/>
        <v>0</v>
      </c>
      <c r="AY1593" s="1">
        <f t="shared" ref="AY1593:AY1608" si="2249">MIN(20,MAX(0,O1593+0+0-0))</f>
        <v>6</v>
      </c>
      <c r="AZ1593" s="1">
        <f t="shared" si="2181"/>
        <v>3</v>
      </c>
      <c r="BA1593" s="1">
        <f>MIN(6,Q1593+0)</f>
        <v>2</v>
      </c>
      <c r="BB1593" s="1">
        <f t="shared" si="2242"/>
        <v>5</v>
      </c>
      <c r="BC1593" s="1">
        <f t="shared" si="2223"/>
        <v>0</v>
      </c>
      <c r="BD1593" s="1">
        <f t="shared" si="2204"/>
        <v>0</v>
      </c>
      <c r="BE1593" s="1">
        <f t="shared" si="2243"/>
        <v>0</v>
      </c>
      <c r="BF1593" s="1">
        <f t="shared" si="2227"/>
        <v>0</v>
      </c>
      <c r="BG1593" s="1">
        <f t="shared" si="2247"/>
        <v>1</v>
      </c>
      <c r="BH1593" s="1">
        <f t="shared" si="2244"/>
        <v>1</v>
      </c>
      <c r="BI1593" s="1">
        <f t="shared" si="2248"/>
        <v>1</v>
      </c>
      <c r="BJ1593" s="1">
        <f t="shared" si="2218"/>
        <v>0</v>
      </c>
      <c r="BK1593" s="1">
        <f t="shared" si="2219"/>
        <v>0</v>
      </c>
      <c r="BL1593" s="1">
        <f t="shared" si="2224"/>
        <v>0</v>
      </c>
      <c r="BM1593" s="1">
        <f t="shared" si="2222"/>
        <v>0</v>
      </c>
      <c r="BN1593" s="1">
        <f t="shared" si="2245"/>
        <v>1</v>
      </c>
      <c r="BO1593" s="1">
        <f t="shared" si="2246"/>
        <v>1</v>
      </c>
    </row>
    <row r="1594" spans="1:67" ht="30.95" customHeight="1">
      <c r="A1594" s="1">
        <f>44</f>
        <v>44</v>
      </c>
      <c r="B1594" s="1">
        <f>固定流程!A10</f>
        <v>5</v>
      </c>
      <c r="C1594" s="1">
        <f>47</f>
        <v>47</v>
      </c>
      <c r="D1594" s="1">
        <f>1</f>
        <v>1</v>
      </c>
      <c r="E1594" s="1">
        <f>固定流程!C10</f>
        <v>1</v>
      </c>
      <c r="F1594" s="1">
        <f>固定流程!G10</f>
        <v>2</v>
      </c>
      <c r="G1594" s="1" t="str">
        <f>固定流程!H10</f>
        <v>37_TRIANGLE</v>
      </c>
      <c r="H1594" s="1">
        <f>固定流程!F10</f>
        <v>1</v>
      </c>
      <c r="I1594" s="1">
        <f>INDEX(配置与结果!$B$15:$B$18,F1594)</f>
        <v>2306</v>
      </c>
      <c r="J1594" s="1">
        <f>INDEX(配置与结果!$D$15:$D$18,F1594)</f>
        <v>0.46</v>
      </c>
      <c r="K1594" s="1">
        <f>INDEX(配置与结果!$E$15:$E$18,F1594)</f>
        <v>1.9279999999999999</v>
      </c>
      <c r="L1594" s="1">
        <f t="shared" si="2228"/>
        <v>1</v>
      </c>
      <c r="M1594" s="1">
        <f t="shared" si="2228"/>
        <v>4</v>
      </c>
      <c r="N1594" s="1">
        <f t="shared" si="2228"/>
        <v>0</v>
      </c>
      <c r="O1594" s="1">
        <f t="shared" si="2228"/>
        <v>6</v>
      </c>
      <c r="P1594" s="1">
        <f>MIN(方案参数!$AI$47,AZ1593+0+0)</f>
        <v>3</v>
      </c>
      <c r="Q1594" s="1">
        <f t="shared" si="2229"/>
        <v>2</v>
      </c>
      <c r="R1594" s="1">
        <f t="shared" si="2230"/>
        <v>5</v>
      </c>
      <c r="S1594" s="1">
        <f t="shared" si="2231"/>
        <v>0</v>
      </c>
      <c r="T1594" s="1">
        <f t="shared" si="2232"/>
        <v>0</v>
      </c>
      <c r="U1594" s="1">
        <f t="shared" si="2233"/>
        <v>0</v>
      </c>
      <c r="V1594" s="1">
        <f t="shared" si="2234"/>
        <v>0</v>
      </c>
      <c r="W1594" s="1">
        <f t="shared" si="2235"/>
        <v>1</v>
      </c>
      <c r="X1594" s="1">
        <f t="shared" si="2236"/>
        <v>1</v>
      </c>
      <c r="Y1594" s="1">
        <f t="shared" si="2237"/>
        <v>1</v>
      </c>
      <c r="Z1594" s="1">
        <f t="shared" si="2238"/>
        <v>0</v>
      </c>
      <c r="AA1594" s="1">
        <f t="shared" si="2239"/>
        <v>0</v>
      </c>
      <c r="AB1594" s="1">
        <f t="shared" si="2240"/>
        <v>0</v>
      </c>
      <c r="AC1594" s="1">
        <f t="shared" si="2241"/>
        <v>0</v>
      </c>
      <c r="AD1594" s="1">
        <f>ROUNDDOWN(I1594*(1+IF(F1594=3,0.05+方案参数!$Y$47+AA1594*0.12,IF(F1594=4,方案参数!$BZ$47*方案参数!$AS$47,0)))+IF(AND(X1594=1,F1594&lt;&gt;3),方案参数!$CC$47,0)+AC1594*方案参数!$CB$47,0)</f>
        <v>2544</v>
      </c>
      <c r="AE1594" s="1">
        <f>IF(OR(F1594=1,F1594=4),配置与结果!$B$24,配置与结果!$B$25)*MAX(0,1-INDEX(配置与结果!$I$15:$I$18,F1594))</f>
        <v>1000</v>
      </c>
      <c r="AF1594" s="1">
        <f>方案参数!$BS$47*IF(H1594=1,1,IF(H1594=2,1.5,2.5))</f>
        <v>2.8</v>
      </c>
      <c r="AG1594" s="1">
        <f>MAX(配置与结果!$B$32,1+INDEX(配置与结果!$F$15:$F$18,F1594)+0+Q1594*方案参数!$W$47+Y1594*(方案参数!$AN$47+MIN(方案参数!$AO$47,P1594*0.03))+AB1594*方案参数!$BZ$47*0.025-配置与结果!$B$28)</f>
        <v>0.8849999999999999</v>
      </c>
      <c r="AH1594" s="1">
        <f>MAX(0,1+INDEX(配置与结果!$G$15:$G$18,F1594)+W1594*方案参数!$AG$47)</f>
        <v>1.3</v>
      </c>
      <c r="AI1594" s="1">
        <f>IF(OR(INDEX(配置与结果!$K$15:$K$18,F1594)=1,G1594="RHI_BERRY"),1+配置与结果!$B$33+P1594*方案参数!$AH$47,1)</f>
        <v>1</v>
      </c>
      <c r="AJ1594" s="1">
        <f>MIN(1,MAX(0,J1594+方案参数!$AB$47-配置与结果!$B$27))</f>
        <v>0.76</v>
      </c>
      <c r="AK1594" s="1">
        <f>MAX(1,K1594+IF(F1594=2,0.15+方案参数!$CH$47,0)+BN1594*方案参数!$X$47+R1594*方案参数!$AA$47+0-配置与结果!$B$26+Z1594*(方案参数!$AP$47+MIN(方案参数!$AQ$47,P1594*0.03)))</f>
        <v>1.9930000000000003</v>
      </c>
      <c r="AL1594" s="7">
        <f>ROUNDDOWN(MAX(AD1594*配置与结果!$B$31,AD1594-AE1594)*AF1594*AG1594*AH1594*AI1594,0)</f>
        <v>4973</v>
      </c>
      <c r="AM1594" s="7">
        <f>ROUNDDOWN(MAX(AD1594*配置与结果!$B$31,AD1594-AE1594)*AF1594*AG1594*AH1594*AI1594*AK1594,0)</f>
        <v>9912</v>
      </c>
      <c r="AN1594" s="7">
        <f t="shared" si="2174"/>
        <v>8726.64</v>
      </c>
      <c r="AO1594" s="7">
        <f>方案参数!$BU$47*IF(H1594=1,1,IF(H1594=2,1.5,2.5))</f>
        <v>0.8</v>
      </c>
      <c r="AP1594" s="7">
        <f>MAX(0,1+INDEX(配置与结果!$J$15:$J$18,F1594)+IF(T1594&gt;0,方案参数!$BY$47,0)-配置与结果!$B$30)</f>
        <v>1</v>
      </c>
      <c r="AQ1594" s="7">
        <f t="shared" si="2175"/>
        <v>2035</v>
      </c>
      <c r="AR1594" s="7">
        <f t="shared" si="2176"/>
        <v>4055</v>
      </c>
      <c r="AS1594" s="7">
        <f t="shared" si="2177"/>
        <v>3570.2000000000003</v>
      </c>
      <c r="AT1594" s="7">
        <f>0</f>
        <v>0</v>
      </c>
      <c r="AU1594" s="7">
        <f t="shared" si="2178"/>
        <v>12296.84</v>
      </c>
      <c r="AV1594" s="1">
        <f t="shared" si="2179"/>
        <v>1</v>
      </c>
      <c r="AW1594" s="1">
        <f>MIN(10,M1594+0+0)</f>
        <v>4</v>
      </c>
      <c r="AX1594" s="1">
        <f t="shared" si="2180"/>
        <v>0</v>
      </c>
      <c r="AY1594" s="1">
        <f t="shared" si="2249"/>
        <v>6</v>
      </c>
      <c r="AZ1594" s="1">
        <f t="shared" si="2181"/>
        <v>3</v>
      </c>
      <c r="BA1594" s="1">
        <f>MIN(6,Q1594+0)</f>
        <v>2</v>
      </c>
      <c r="BB1594" s="1">
        <f t="shared" si="2242"/>
        <v>5</v>
      </c>
      <c r="BC1594" s="1">
        <f t="shared" si="2223"/>
        <v>0</v>
      </c>
      <c r="BD1594" s="1">
        <f>MAX(0,T1594-IF(AO1594&gt;0,1,0))+1</f>
        <v>1</v>
      </c>
      <c r="BE1594" s="1">
        <f t="shared" si="2243"/>
        <v>0</v>
      </c>
      <c r="BF1594" s="1">
        <f t="shared" si="2227"/>
        <v>0</v>
      </c>
      <c r="BG1594" s="1">
        <f t="shared" si="2247"/>
        <v>1</v>
      </c>
      <c r="BH1594" s="1">
        <f t="shared" si="2244"/>
        <v>1</v>
      </c>
      <c r="BI1594" s="1">
        <f t="shared" si="2248"/>
        <v>1</v>
      </c>
      <c r="BJ1594" s="1">
        <f t="shared" si="2218"/>
        <v>0</v>
      </c>
      <c r="BK1594" s="1">
        <f t="shared" si="2219"/>
        <v>0</v>
      </c>
      <c r="BL1594" s="1">
        <f t="shared" si="2224"/>
        <v>0</v>
      </c>
      <c r="BM1594" s="1">
        <f t="shared" si="2222"/>
        <v>0</v>
      </c>
      <c r="BN1594" s="1">
        <f t="shared" si="2245"/>
        <v>1</v>
      </c>
      <c r="BO1594" s="1">
        <f t="shared" si="2246"/>
        <v>1</v>
      </c>
    </row>
    <row r="1595" spans="1:67" ht="30.95" customHeight="1">
      <c r="A1595" s="1">
        <f>44</f>
        <v>44</v>
      </c>
      <c r="B1595" s="1">
        <f>固定流程!A11</f>
        <v>6</v>
      </c>
      <c r="C1595" s="1">
        <f>47</f>
        <v>47</v>
      </c>
      <c r="D1595" s="1">
        <f>1</f>
        <v>1</v>
      </c>
      <c r="E1595" s="1">
        <f>固定流程!C11</f>
        <v>1</v>
      </c>
      <c r="F1595" s="1">
        <f>固定流程!G11</f>
        <v>2</v>
      </c>
      <c r="G1595" s="1" t="str">
        <f>固定流程!H11</f>
        <v>37_FOLLOW</v>
      </c>
      <c r="H1595" s="1">
        <f>固定流程!F11</f>
        <v>1</v>
      </c>
      <c r="I1595" s="1">
        <f>INDEX(配置与结果!$B$15:$B$18,F1595)</f>
        <v>2306</v>
      </c>
      <c r="J1595" s="1">
        <f>INDEX(配置与结果!$D$15:$D$18,F1595)</f>
        <v>0.46</v>
      </c>
      <c r="K1595" s="1">
        <f>INDEX(配置与结果!$E$15:$E$18,F1595)</f>
        <v>1.9279999999999999</v>
      </c>
      <c r="L1595" s="1">
        <f t="shared" si="2228"/>
        <v>1</v>
      </c>
      <c r="M1595" s="1">
        <f t="shared" si="2228"/>
        <v>4</v>
      </c>
      <c r="N1595" s="1">
        <f t="shared" si="2228"/>
        <v>0</v>
      </c>
      <c r="O1595" s="1">
        <f t="shared" si="2228"/>
        <v>6</v>
      </c>
      <c r="P1595" s="1">
        <f>MIN(方案参数!$AI$47,AZ1594+0+0)</f>
        <v>3</v>
      </c>
      <c r="Q1595" s="1">
        <f t="shared" si="2229"/>
        <v>2</v>
      </c>
      <c r="R1595" s="1">
        <f t="shared" si="2230"/>
        <v>5</v>
      </c>
      <c r="S1595" s="1">
        <f t="shared" si="2231"/>
        <v>0</v>
      </c>
      <c r="T1595" s="1">
        <f t="shared" si="2232"/>
        <v>1</v>
      </c>
      <c r="U1595" s="1">
        <f t="shared" si="2233"/>
        <v>0</v>
      </c>
      <c r="V1595" s="1">
        <f t="shared" si="2234"/>
        <v>0</v>
      </c>
      <c r="W1595" s="1">
        <f t="shared" si="2235"/>
        <v>1</v>
      </c>
      <c r="X1595" s="1">
        <f t="shared" si="2236"/>
        <v>1</v>
      </c>
      <c r="Y1595" s="1">
        <f t="shared" si="2237"/>
        <v>1</v>
      </c>
      <c r="Z1595" s="1">
        <f t="shared" si="2238"/>
        <v>0</v>
      </c>
      <c r="AA1595" s="1">
        <f t="shared" si="2239"/>
        <v>0</v>
      </c>
      <c r="AB1595" s="1">
        <f t="shared" si="2240"/>
        <v>0</v>
      </c>
      <c r="AC1595" s="1">
        <f t="shared" si="2241"/>
        <v>0</v>
      </c>
      <c r="AD1595" s="1">
        <f>ROUNDDOWN(I1595*(1+IF(F1595=3,0.05+方案参数!$Y$47+AA1595*0.12,IF(F1595=4,方案参数!$BZ$47*方案参数!$AS$47,0)))+IF(AND(X1595=1,F1595&lt;&gt;3),方案参数!$CC$47,0)+AC1595*方案参数!$CB$47,0)</f>
        <v>2544</v>
      </c>
      <c r="AE1595" s="1">
        <f>IF(OR(F1595=1,F1595=4),配置与结果!$B$24,配置与结果!$B$25)*MAX(0,1-INDEX(配置与结果!$I$15:$I$18,F1595))</f>
        <v>1000</v>
      </c>
      <c r="AF1595" s="1">
        <f>方案参数!$BV$47</f>
        <v>3</v>
      </c>
      <c r="AG1595" s="1">
        <f>MAX(配置与结果!$B$32,1+INDEX(配置与结果!$F$15:$F$18,F1595)+0+Q1595*方案参数!$W$47+Y1595*(方案参数!$AN$47+MIN(方案参数!$AO$47,P1595*0.03))+AB1595*方案参数!$BZ$47*0.025-配置与结果!$B$28)</f>
        <v>0.8849999999999999</v>
      </c>
      <c r="AH1595" s="1">
        <f>MAX(0,1+INDEX(配置与结果!$G$15:$G$18,F1595)+W1595*方案参数!$AG$47)</f>
        <v>1.3</v>
      </c>
      <c r="AI1595" s="1">
        <f>IF(OR(INDEX(配置与结果!$K$15:$K$18,F1595)=1,G1595="RHI_BERRY"),1+配置与结果!$B$33+P1595*方案参数!$AH$47,1)</f>
        <v>1</v>
      </c>
      <c r="AJ1595" s="1">
        <f>MIN(1,MAX(0,J1595+方案参数!$AB$47-配置与结果!$B$27))</f>
        <v>0.76</v>
      </c>
      <c r="AK1595" s="1">
        <f>MAX(1,K1595+IF(F1595=2,0.15+方案参数!$CH$47,0)+BN1595*方案参数!$X$47+R1595*方案参数!$AA$47+0-配置与结果!$B$26+Z1595*(方案参数!$AP$47+MIN(方案参数!$AQ$47,P1595*0.03)))</f>
        <v>1.9930000000000003</v>
      </c>
      <c r="AL1595" s="7">
        <f>ROUNDDOWN(MAX(AD1595*配置与结果!$B$31,AD1595-AE1595)*AF1595*AG1595*AH1595*AI1595,0)</f>
        <v>5329</v>
      </c>
      <c r="AM1595" s="7">
        <f>ROUNDDOWN(MAX(AD1595*配置与结果!$B$31,AD1595-AE1595)*AF1595*AG1595*AH1595*AI1595*AK1595,0)</f>
        <v>10620</v>
      </c>
      <c r="AN1595" s="7">
        <f t="shared" si="2174"/>
        <v>9350.16</v>
      </c>
      <c r="AO1595" s="7">
        <f>方案参数!$BW$47</f>
        <v>1</v>
      </c>
      <c r="AP1595" s="7">
        <f>MAX(0,1+INDEX(配置与结果!$J$15:$J$18,F1595)+IF(T1595&gt;0,方案参数!$BY$47,0)-配置与结果!$B$30)</f>
        <v>2</v>
      </c>
      <c r="AQ1595" s="7">
        <f t="shared" si="2175"/>
        <v>5088</v>
      </c>
      <c r="AR1595" s="7">
        <f t="shared" si="2176"/>
        <v>10140</v>
      </c>
      <c r="AS1595" s="7">
        <f t="shared" si="2177"/>
        <v>8927.52</v>
      </c>
      <c r="AT1595" s="7">
        <f>0</f>
        <v>0</v>
      </c>
      <c r="AU1595" s="7">
        <f t="shared" si="2178"/>
        <v>18277.68</v>
      </c>
      <c r="AV1595" s="1">
        <f t="shared" si="2179"/>
        <v>1</v>
      </c>
      <c r="AW1595" s="1">
        <f>MIN(10,M1595+0+0)</f>
        <v>4</v>
      </c>
      <c r="AX1595" s="1">
        <f t="shared" si="2180"/>
        <v>0</v>
      </c>
      <c r="AY1595" s="1">
        <f t="shared" si="2249"/>
        <v>6</v>
      </c>
      <c r="AZ1595" s="1">
        <f t="shared" si="2181"/>
        <v>3</v>
      </c>
      <c r="BA1595" s="1">
        <f>MIN(6,Q1595+0)</f>
        <v>2</v>
      </c>
      <c r="BB1595" s="1">
        <f t="shared" si="2242"/>
        <v>5</v>
      </c>
      <c r="BC1595" s="1">
        <f t="shared" si="2223"/>
        <v>0</v>
      </c>
      <c r="BD1595" s="1">
        <f t="shared" ref="BD1595:BD1629" si="2250">MAX(0,T1595-IF(AO1595&gt;0,1,0))+0</f>
        <v>0</v>
      </c>
      <c r="BE1595" s="1">
        <f t="shared" si="2243"/>
        <v>0</v>
      </c>
      <c r="BF1595" s="1">
        <f>MIN(4,V1595+1)</f>
        <v>1</v>
      </c>
      <c r="BG1595" s="1">
        <f t="shared" si="2247"/>
        <v>1</v>
      </c>
      <c r="BH1595" s="1">
        <f t="shared" si="2244"/>
        <v>1</v>
      </c>
      <c r="BI1595" s="1">
        <f t="shared" si="2248"/>
        <v>1</v>
      </c>
      <c r="BJ1595" s="1">
        <f t="shared" si="2218"/>
        <v>0</v>
      </c>
      <c r="BK1595" s="1">
        <f t="shared" si="2219"/>
        <v>0</v>
      </c>
      <c r="BL1595" s="1">
        <f t="shared" si="2224"/>
        <v>0</v>
      </c>
      <c r="BM1595" s="1">
        <f t="shared" si="2222"/>
        <v>0</v>
      </c>
      <c r="BN1595" s="1">
        <f t="shared" si="2245"/>
        <v>1</v>
      </c>
      <c r="BO1595" s="1">
        <f t="shared" si="2246"/>
        <v>1</v>
      </c>
    </row>
    <row r="1596" spans="1:67" ht="30.95" customHeight="1">
      <c r="A1596" s="1">
        <f>44</f>
        <v>44</v>
      </c>
      <c r="B1596" s="1">
        <f>固定流程!A12</f>
        <v>7</v>
      </c>
      <c r="C1596" s="1">
        <f>47</f>
        <v>47</v>
      </c>
      <c r="D1596" s="1">
        <f>1</f>
        <v>1</v>
      </c>
      <c r="E1596" s="1">
        <f>固定流程!C12</f>
        <v>1</v>
      </c>
      <c r="F1596" s="1">
        <f>固定流程!G12</f>
        <v>4</v>
      </c>
      <c r="G1596" s="1" t="str">
        <f>固定流程!H12</f>
        <v>J_HARD</v>
      </c>
      <c r="H1596" s="1">
        <f>固定流程!F12</f>
        <v>1</v>
      </c>
      <c r="I1596" s="1">
        <f>INDEX(配置与结果!$B$15:$B$18,F1596)</f>
        <v>1906</v>
      </c>
      <c r="J1596" s="1">
        <f>INDEX(配置与结果!$D$15:$D$18,F1596)</f>
        <v>0.36699999999999999</v>
      </c>
      <c r="K1596" s="1">
        <f>INDEX(配置与结果!$E$15:$E$18,F1596)</f>
        <v>1.7170000000000001</v>
      </c>
      <c r="L1596" s="1">
        <f t="shared" si="2228"/>
        <v>1</v>
      </c>
      <c r="M1596" s="1">
        <f t="shared" si="2228"/>
        <v>4</v>
      </c>
      <c r="N1596" s="1">
        <f t="shared" si="2228"/>
        <v>0</v>
      </c>
      <c r="O1596" s="1">
        <f t="shared" si="2228"/>
        <v>6</v>
      </c>
      <c r="P1596" s="1">
        <f>MIN(方案参数!$AI$47,AZ1595+0+0)</f>
        <v>3</v>
      </c>
      <c r="Q1596" s="1">
        <f t="shared" si="2229"/>
        <v>2</v>
      </c>
      <c r="R1596" s="1">
        <f t="shared" si="2230"/>
        <v>5</v>
      </c>
      <c r="S1596" s="1">
        <f t="shared" si="2231"/>
        <v>0</v>
      </c>
      <c r="T1596" s="1">
        <f t="shared" si="2232"/>
        <v>0</v>
      </c>
      <c r="U1596" s="1">
        <f t="shared" si="2233"/>
        <v>0</v>
      </c>
      <c r="V1596" s="1">
        <f t="shared" si="2234"/>
        <v>1</v>
      </c>
      <c r="W1596" s="1">
        <f t="shared" si="2235"/>
        <v>1</v>
      </c>
      <c r="X1596" s="1">
        <f t="shared" si="2236"/>
        <v>1</v>
      </c>
      <c r="Y1596" s="1">
        <f t="shared" si="2237"/>
        <v>1</v>
      </c>
      <c r="Z1596" s="1">
        <f t="shared" si="2238"/>
        <v>0</v>
      </c>
      <c r="AA1596" s="1">
        <f t="shared" si="2239"/>
        <v>0</v>
      </c>
      <c r="AB1596" s="1">
        <f t="shared" si="2240"/>
        <v>0</v>
      </c>
      <c r="AC1596" s="1">
        <f t="shared" si="2241"/>
        <v>0</v>
      </c>
      <c r="AD1596" s="1">
        <f>ROUNDDOWN(I1596*(1+IF(F1596=3,0.05+方案参数!$Y$47+AA1596*0.12,IF(F1596=4,方案参数!$BZ$47*方案参数!$AS$47,0)))+IF(AND(X1596=1,F1596&lt;&gt;3),方案参数!$CC$47,0)+AC1596*方案参数!$CB$47,0)</f>
        <v>2811</v>
      </c>
      <c r="AE1596" s="1">
        <f>IF(OR(F1596=1,F1596=4),配置与结果!$B$24,配置与结果!$B$25)*MAX(0,1-INDEX(配置与结果!$I$15:$I$18,F1596))</f>
        <v>1200</v>
      </c>
      <c r="AF1596" s="1">
        <f>3.6*IF(H1596=1,1,IF(H1596=2,1.5,2.5))</f>
        <v>3.6</v>
      </c>
      <c r="AG1596" s="1">
        <f>MAX(配置与结果!$B$32,1+INDEX(配置与结果!$F$15:$F$18,F1596)+0.08+Q1596*方案参数!$W$47+Y1596*(方案参数!$AN$47+MIN(方案参数!$AO$47,P1596*0.03))+AB1596*方案参数!$BZ$47*0.025+0.1+IF(方案参数!$BZ$47&gt;=30,方案参数!$BZ$47*0.01,0)-配置与结果!$B$28)</f>
        <v>1.4350000000000001</v>
      </c>
      <c r="AH1596" s="1">
        <f>MAX(0,1+INDEX(配置与结果!$G$15:$G$18,F1596)+W1596*方案参数!$AG$47)</f>
        <v>1.3</v>
      </c>
      <c r="AI1596" s="1">
        <f>IF(OR(INDEX(配置与结果!$K$15:$K$18,F1596)=1,G1596="RHI_BERRY"),1+配置与结果!$B$33+P1596*方案参数!$AH$47,1)</f>
        <v>1</v>
      </c>
      <c r="AJ1596" s="1">
        <f>MIN(1,MAX(0,J1596+方案参数!$AB$47-配置与结果!$B$27))</f>
        <v>0.66700000000000004</v>
      </c>
      <c r="AK1596" s="1">
        <f>MAX(1,K1596+IF(F1596=2,0.15+方案参数!$CH$47,0)+BN1596*方案参数!$X$47+R1596*方案参数!$AA$47+0-配置与结果!$B$26+Z1596*(方案参数!$AP$47+MIN(方案参数!$AQ$47,P1596*0.03)))</f>
        <v>1.512</v>
      </c>
      <c r="AL1596" s="7">
        <f>ROUNDDOWN(MAX(AD1596*配置与结果!$B$31,AD1596-AE1596)*AF1596*AG1596*AH1596*AI1596,0)</f>
        <v>10819</v>
      </c>
      <c r="AM1596" s="7">
        <f>ROUNDDOWN(MAX(AD1596*配置与结果!$B$31,AD1596-AE1596)*AF1596*AG1596*AH1596*AI1596*AK1596,0)</f>
        <v>16358</v>
      </c>
      <c r="AN1596" s="7">
        <f t="shared" si="2174"/>
        <v>14513.512999999999</v>
      </c>
      <c r="AO1596" s="7">
        <f>0</f>
        <v>0</v>
      </c>
      <c r="AP1596" s="7">
        <f>MAX(0,1+INDEX(配置与结果!$J$15:$J$18,F1596)+IF(T1596&gt;0,方案参数!$BY$47,0)-配置与结果!$B$30)</f>
        <v>1</v>
      </c>
      <c r="AQ1596" s="7">
        <f t="shared" si="2175"/>
        <v>0</v>
      </c>
      <c r="AR1596" s="7">
        <f t="shared" si="2176"/>
        <v>0</v>
      </c>
      <c r="AS1596" s="7">
        <f t="shared" si="2177"/>
        <v>0</v>
      </c>
      <c r="AT1596" s="7">
        <f>0</f>
        <v>0</v>
      </c>
      <c r="AU1596" s="7">
        <f t="shared" si="2178"/>
        <v>14513.512999999999</v>
      </c>
      <c r="AV1596" s="1">
        <f t="shared" si="2179"/>
        <v>1</v>
      </c>
      <c r="AW1596" s="1">
        <f>MIN(10,M1596+0+0)</f>
        <v>4</v>
      </c>
      <c r="AX1596" s="1">
        <f t="shared" si="2180"/>
        <v>0</v>
      </c>
      <c r="AY1596" s="1">
        <f t="shared" si="2249"/>
        <v>6</v>
      </c>
      <c r="AZ1596" s="1">
        <f t="shared" si="2181"/>
        <v>3</v>
      </c>
      <c r="BA1596" s="1">
        <f>MIN(6,Q1596+0)</f>
        <v>2</v>
      </c>
      <c r="BB1596" s="1">
        <f t="shared" si="2242"/>
        <v>5</v>
      </c>
      <c r="BC1596" s="1">
        <f>MIN(3,S1596+1)</f>
        <v>1</v>
      </c>
      <c r="BD1596" s="1">
        <f t="shared" si="2250"/>
        <v>0</v>
      </c>
      <c r="BE1596" s="1">
        <f t="shared" si="2243"/>
        <v>0</v>
      </c>
      <c r="BF1596" s="1">
        <f>MIN(4,V1596+0)</f>
        <v>1</v>
      </c>
      <c r="BG1596" s="1">
        <f t="shared" si="2247"/>
        <v>1</v>
      </c>
      <c r="BH1596" s="1">
        <f t="shared" si="2244"/>
        <v>1</v>
      </c>
      <c r="BI1596" s="1">
        <f t="shared" si="2248"/>
        <v>1</v>
      </c>
      <c r="BJ1596" s="1">
        <f t="shared" si="2218"/>
        <v>0</v>
      </c>
      <c r="BK1596" s="1">
        <f t="shared" si="2219"/>
        <v>0</v>
      </c>
      <c r="BL1596" s="1">
        <f t="shared" si="2224"/>
        <v>0</v>
      </c>
      <c r="BM1596" s="1">
        <f t="shared" si="2222"/>
        <v>0</v>
      </c>
      <c r="BN1596" s="1">
        <f t="shared" si="2245"/>
        <v>1</v>
      </c>
      <c r="BO1596" s="1">
        <f t="shared" si="2246"/>
        <v>1</v>
      </c>
    </row>
    <row r="1597" spans="1:67" ht="30.95" customHeight="1">
      <c r="A1597" s="1">
        <f>44</f>
        <v>44</v>
      </c>
      <c r="B1597" s="1">
        <f>固定流程!A13</f>
        <v>8</v>
      </c>
      <c r="C1597" s="1">
        <f>47</f>
        <v>47</v>
      </c>
      <c r="D1597" s="1">
        <f>1</f>
        <v>1</v>
      </c>
      <c r="E1597" s="1">
        <f>固定流程!C13</f>
        <v>2</v>
      </c>
      <c r="F1597" s="1">
        <f>固定流程!G13</f>
        <v>3</v>
      </c>
      <c r="G1597" s="1" t="str">
        <f>固定流程!H13</f>
        <v>RHI_ATTACK</v>
      </c>
      <c r="H1597" s="1">
        <f>固定流程!F13</f>
        <v>1</v>
      </c>
      <c r="I1597" s="1">
        <f>INDEX(配置与结果!$B$15:$B$18,F1597)</f>
        <v>2597</v>
      </c>
      <c r="J1597" s="1">
        <f>INDEX(配置与结果!$D$15:$D$18,F1597)</f>
        <v>0.255</v>
      </c>
      <c r="K1597" s="1">
        <f>INDEX(配置与结果!$E$15:$E$18,F1597)</f>
        <v>1.55</v>
      </c>
      <c r="L1597" s="1">
        <f>IF(AV1596=1,IF(M1597&gt;=10,2,1),IF(AV1596=2,IF(AX1596&lt;=1,0,2),0))</f>
        <v>1</v>
      </c>
      <c r="M1597" s="1">
        <f>IF(AND(AV1596=2,AX1596&lt;=1),0,MIN(10,AW1596+IF(AV1596=1,3,0)))</f>
        <v>7</v>
      </c>
      <c r="N1597" s="1">
        <f>IF(AND(AV1596=1,M1597&gt;=10),2,IF(AV1596=2,MAX(0,AX1596-1),0))</f>
        <v>0</v>
      </c>
      <c r="O1597" s="1">
        <f t="shared" ref="O1597:O1625" si="2251">AY1596</f>
        <v>6</v>
      </c>
      <c r="P1597" s="1">
        <f>MIN(方案参数!$AI$47,AZ1596+方案参数!$AJ$47+方案参数!$AK$47)</f>
        <v>5</v>
      </c>
      <c r="Q1597" s="1">
        <f t="shared" si="2229"/>
        <v>2</v>
      </c>
      <c r="R1597" s="1">
        <f t="shared" si="2230"/>
        <v>5</v>
      </c>
      <c r="S1597" s="1">
        <f t="shared" si="2231"/>
        <v>1</v>
      </c>
      <c r="T1597" s="1">
        <f t="shared" si="2232"/>
        <v>0</v>
      </c>
      <c r="U1597" s="1">
        <f t="shared" si="2233"/>
        <v>0</v>
      </c>
      <c r="V1597" s="1">
        <f t="shared" si="2234"/>
        <v>1</v>
      </c>
      <c r="W1597" s="1">
        <f t="shared" si="2235"/>
        <v>1</v>
      </c>
      <c r="X1597" s="1">
        <f t="shared" si="2236"/>
        <v>1</v>
      </c>
      <c r="Y1597" s="1">
        <f t="shared" si="2237"/>
        <v>1</v>
      </c>
      <c r="Z1597" s="1">
        <f t="shared" si="2238"/>
        <v>0</v>
      </c>
      <c r="AA1597" s="1">
        <f>MAX(BK1596,1)</f>
        <v>1</v>
      </c>
      <c r="AB1597" s="1">
        <f t="shared" si="2240"/>
        <v>0</v>
      </c>
      <c r="AC1597" s="1">
        <f t="shared" si="2241"/>
        <v>0</v>
      </c>
      <c r="AD1597" s="1">
        <f>ROUNDDOWN(I1597*(1+IF(F1597=3,0.05+方案参数!$Y$47+AA1597*0.12,IF(F1597=4,方案参数!$BZ$47*方案参数!$AS$47,0)))+IF(AND(X1597=1,F1597&lt;&gt;3),方案参数!$CC$47,0)+AC1597*方案参数!$CB$47,0)</f>
        <v>3298</v>
      </c>
      <c r="AE1597" s="1">
        <f>IF(OR(F1597=1,F1597=4),配置与结果!$B$24,配置与结果!$B$25)*MAX(0,1-INDEX(配置与结果!$I$15:$I$18,F1597))</f>
        <v>1000</v>
      </c>
      <c r="AF1597" s="1">
        <f>4</f>
        <v>4</v>
      </c>
      <c r="AG1597" s="1">
        <f>MAX(配置与结果!$B$32,1+INDEX(配置与结果!$F$15:$F$18,F1597)+0+Q1597*方案参数!$W$47+Y1597*(方案参数!$AN$47+MIN(方案参数!$AO$47,P1597*0.03))+AB1597*方案参数!$BZ$47*0.025-配置与结果!$B$28)</f>
        <v>0.97499999999999998</v>
      </c>
      <c r="AH1597" s="1">
        <f>MAX(0,1+INDEX(配置与结果!$G$15:$G$18,F1597)+W1597*方案参数!$AG$47)</f>
        <v>1.3</v>
      </c>
      <c r="AI1597" s="1">
        <f>IF(OR(INDEX(配置与结果!$K$15:$K$18,F1597)=1,G1597="RHI_BERRY"),1+配置与结果!$B$33+P1597*方案参数!$AH$47,1)</f>
        <v>1</v>
      </c>
      <c r="AJ1597" s="1">
        <f>MIN(1,MAX(0,J1597+方案参数!$AB$47-配置与结果!$B$27))</f>
        <v>0.55499999999999994</v>
      </c>
      <c r="AK1597" s="1">
        <f>MAX(1,K1597+IF(F1597=2,0.15+方案参数!$CH$47,0)+BN1597*方案参数!$X$47+R1597*方案参数!$AA$47+0-配置与结果!$B$26+Z1597*(方案参数!$AP$47+MIN(方案参数!$AQ$47,P1597*0.03)))</f>
        <v>1.3449999999999998</v>
      </c>
      <c r="AL1597" s="7">
        <f>ROUNDDOWN(MAX(AD1597*配置与结果!$B$31,AD1597-AE1597)*AF1597*AG1597*AH1597*AI1597,0)</f>
        <v>11650</v>
      </c>
      <c r="AM1597" s="7">
        <f>ROUNDDOWN(MAX(AD1597*配置与结果!$B$31,AD1597-AE1597)*AF1597*AG1597*AH1597*AI1597*AK1597,0)</f>
        <v>15670</v>
      </c>
      <c r="AN1597" s="7">
        <f t="shared" si="2174"/>
        <v>13881.099999999999</v>
      </c>
      <c r="AO1597" s="7">
        <f>0</f>
        <v>0</v>
      </c>
      <c r="AP1597" s="7">
        <f>MAX(0,1+INDEX(配置与结果!$J$15:$J$18,F1597)+IF(T1597&gt;0,方案参数!$BY$47,0)-配置与结果!$B$30)</f>
        <v>1</v>
      </c>
      <c r="AQ1597" s="7">
        <f t="shared" si="2175"/>
        <v>0</v>
      </c>
      <c r="AR1597" s="7">
        <f t="shared" si="2176"/>
        <v>0</v>
      </c>
      <c r="AS1597" s="7">
        <f t="shared" si="2177"/>
        <v>0</v>
      </c>
      <c r="AT1597" s="7">
        <f>0</f>
        <v>0</v>
      </c>
      <c r="AU1597" s="7">
        <f t="shared" si="2178"/>
        <v>13881.099999999999</v>
      </c>
      <c r="AV1597" s="1">
        <f t="shared" si="2179"/>
        <v>1</v>
      </c>
      <c r="AW1597" s="1">
        <f>MIN(10,M1597+0+0)</f>
        <v>7</v>
      </c>
      <c r="AX1597" s="1">
        <f t="shared" si="2180"/>
        <v>0</v>
      </c>
      <c r="AY1597" s="1">
        <f t="shared" si="2249"/>
        <v>6</v>
      </c>
      <c r="AZ1597" s="1">
        <f t="shared" si="2181"/>
        <v>5</v>
      </c>
      <c r="BA1597" s="1">
        <f>MIN(6,Q1597+1)</f>
        <v>3</v>
      </c>
      <c r="BB1597" s="1">
        <f t="shared" si="2242"/>
        <v>5</v>
      </c>
      <c r="BC1597" s="1">
        <f>MIN(3,S1597+0)</f>
        <v>1</v>
      </c>
      <c r="BD1597" s="1">
        <f t="shared" si="2250"/>
        <v>0</v>
      </c>
      <c r="BE1597" s="1">
        <f t="shared" si="2243"/>
        <v>0</v>
      </c>
      <c r="BF1597" s="1">
        <f>MIN(4,V1597+0)</f>
        <v>1</v>
      </c>
      <c r="BG1597" s="1">
        <f t="shared" si="2247"/>
        <v>1</v>
      </c>
      <c r="BH1597" s="1">
        <f t="shared" si="2244"/>
        <v>1</v>
      </c>
      <c r="BI1597" s="1">
        <f t="shared" si="2248"/>
        <v>1</v>
      </c>
      <c r="BJ1597" s="1">
        <f>MAX(Z1597,1)</f>
        <v>1</v>
      </c>
      <c r="BK1597" s="1">
        <f>MAX(AA1597,1)</f>
        <v>1</v>
      </c>
      <c r="BL1597" s="1">
        <f t="shared" si="2224"/>
        <v>0</v>
      </c>
      <c r="BM1597" s="1">
        <f t="shared" si="2222"/>
        <v>0</v>
      </c>
      <c r="BN1597" s="1">
        <f t="shared" si="2245"/>
        <v>1</v>
      </c>
      <c r="BO1597" s="1">
        <f t="shared" si="2246"/>
        <v>1</v>
      </c>
    </row>
    <row r="1598" spans="1:67" ht="30.95" customHeight="1">
      <c r="A1598" s="1">
        <f>44</f>
        <v>44</v>
      </c>
      <c r="B1598" s="1">
        <f>固定流程!A14</f>
        <v>9</v>
      </c>
      <c r="C1598" s="1">
        <f>47</f>
        <v>47</v>
      </c>
      <c r="D1598" s="1">
        <f>1</f>
        <v>1</v>
      </c>
      <c r="E1598" s="1">
        <f>固定流程!C14</f>
        <v>2</v>
      </c>
      <c r="F1598" s="1">
        <f>固定流程!G14</f>
        <v>1</v>
      </c>
      <c r="G1598" s="1" t="str">
        <f>固定流程!H14</f>
        <v>LILYA_DIVE</v>
      </c>
      <c r="H1598" s="1">
        <f>固定流程!F14</f>
        <v>3</v>
      </c>
      <c r="I1598" s="1">
        <f>INDEX(配置与结果!$B$15:$B$18,F1598)</f>
        <v>2296</v>
      </c>
      <c r="J1598" s="1">
        <f>INDEX(配置与结果!$D$15:$D$18,F1598)</f>
        <v>0.7</v>
      </c>
      <c r="K1598" s="1">
        <f>INDEX(配置与结果!$E$15:$E$18,F1598)</f>
        <v>2.0249999999999999</v>
      </c>
      <c r="L1598" s="1">
        <f t="shared" ref="L1598:N1602" si="2252">AV1597</f>
        <v>1</v>
      </c>
      <c r="M1598" s="1">
        <f t="shared" si="2252"/>
        <v>7</v>
      </c>
      <c r="N1598" s="1">
        <f t="shared" si="2252"/>
        <v>0</v>
      </c>
      <c r="O1598" s="1">
        <f t="shared" si="2251"/>
        <v>6</v>
      </c>
      <c r="P1598" s="1">
        <f>MIN(方案参数!$AI$47,AZ1597+0+0)</f>
        <v>5</v>
      </c>
      <c r="Q1598" s="1">
        <f t="shared" si="2229"/>
        <v>3</v>
      </c>
      <c r="R1598" s="1">
        <f t="shared" si="2230"/>
        <v>5</v>
      </c>
      <c r="S1598" s="1">
        <f t="shared" si="2231"/>
        <v>1</v>
      </c>
      <c r="T1598" s="1">
        <f t="shared" si="2232"/>
        <v>0</v>
      </c>
      <c r="U1598" s="1">
        <f t="shared" si="2233"/>
        <v>0</v>
      </c>
      <c r="V1598" s="1">
        <f t="shared" si="2234"/>
        <v>1</v>
      </c>
      <c r="W1598" s="1">
        <f t="shared" si="2235"/>
        <v>1</v>
      </c>
      <c r="X1598" s="1">
        <f t="shared" si="2236"/>
        <v>1</v>
      </c>
      <c r="Y1598" s="1">
        <f t="shared" si="2237"/>
        <v>1</v>
      </c>
      <c r="Z1598" s="1">
        <f t="shared" si="2238"/>
        <v>1</v>
      </c>
      <c r="AA1598" s="1">
        <f t="shared" ref="AA1598:AA1603" si="2253">MAX(BK1597,0)</f>
        <v>1</v>
      </c>
      <c r="AB1598" s="1">
        <f t="shared" si="2240"/>
        <v>0</v>
      </c>
      <c r="AC1598" s="1">
        <f t="shared" si="2241"/>
        <v>0</v>
      </c>
      <c r="AD1598" s="1">
        <f>ROUNDDOWN(I1598*(1+IF(F1598=3,0.05+方案参数!$Y$47+AA1598*0.12,IF(F1598=4,方案参数!$BZ$47*方案参数!$AS$47,0)))+IF(AND(X1598=1,F1598&lt;&gt;3),方案参数!$CC$47,0)+AC1598*方案参数!$CB$47,0)</f>
        <v>2534</v>
      </c>
      <c r="AE1598" s="1">
        <f>IF(OR(F1598=1,F1598=4),配置与结果!$B$24,配置与结果!$B$25)*MAX(0,1-INDEX(配置与结果!$I$15:$I$18,F1598))</f>
        <v>1200</v>
      </c>
      <c r="AF1598" s="1">
        <f>(IF(L1598=1,方案参数!$AW$47,IF(L1598=2,方案参数!$AX$47,0))+方案参数!$AV$47)*H1598</f>
        <v>18</v>
      </c>
      <c r="AG1598" s="1">
        <f>MAX(配置与结果!$B$32,1+INDEX(配置与结果!$F$15:$F$18,F1598)+0.08+方案参数!$CD$47+Q1598*方案参数!$W$47+Y1598*(方案参数!$AN$47+MIN(方案参数!$AO$47,P1598*0.03))+AB1598*方案参数!$BZ$47*0.025+IF(L1598=1,方案参数!$AY$47+(H1598-1)*0.1,IF(L1598=2,方案参数!$AZ$47+(H1598-1)*0.2,0))-配置与结果!$B$28)</f>
        <v>1.6</v>
      </c>
      <c r="AH1598" s="1">
        <f>MAX(0,1+INDEX(配置与结果!$G$15:$G$18,F1598)+W1598*方案参数!$AG$47+IF(L1598=1,方案参数!$BA$47,IF(L1598=2,方案参数!$BB$47,0))+M1598*方案参数!$BC$47)</f>
        <v>2.3199999999999998</v>
      </c>
      <c r="AI1598" s="1">
        <f>IF(OR(INDEX(配置与结果!$K$15:$K$18,F1598)=1,G1598="RHI_BERRY"),1+配置与结果!$B$33+P1598*方案参数!$AH$47,1)</f>
        <v>1</v>
      </c>
      <c r="AJ1598" s="1">
        <f>MIN(1,MAX(0,J1598+方案参数!$AB$47-配置与结果!$B$27))</f>
        <v>1</v>
      </c>
      <c r="AK1598" s="1">
        <f>MAX(1,K1598+IF(F1598=2,0.15+方案参数!$CH$47,0)+BN1598*方案参数!$X$47+R1598*方案参数!$AA$47+0-配置与结果!$B$26+Z1598*(方案参数!$AP$47+MIN(方案参数!$AQ$47,P1598*0.03)))</f>
        <v>2.12</v>
      </c>
      <c r="AL1598" s="7">
        <f>ROUNDDOWN(MAX(AD1598*配置与结果!$B$31,AD1598-AE1598)*AF1598*AG1598*AH1598*AI1598,0)</f>
        <v>89132</v>
      </c>
      <c r="AM1598" s="7">
        <f>ROUNDDOWN(MAX(AD1598*配置与结果!$B$31,AD1598-AE1598)*AF1598*AG1598*AH1598*AI1598*AK1598,0)</f>
        <v>188960</v>
      </c>
      <c r="AN1598" s="7">
        <f t="shared" si="2174"/>
        <v>188960</v>
      </c>
      <c r="AO1598" s="7">
        <f>0</f>
        <v>0</v>
      </c>
      <c r="AP1598" s="7">
        <f>MAX(0,1+INDEX(配置与结果!$J$15:$J$18,F1598)+IF(T1598&gt;0,方案参数!$BY$47,0)-配置与结果!$B$30)</f>
        <v>1</v>
      </c>
      <c r="AQ1598" s="7">
        <f t="shared" si="2175"/>
        <v>0</v>
      </c>
      <c r="AR1598" s="7">
        <f t="shared" si="2176"/>
        <v>0</v>
      </c>
      <c r="AS1598" s="7">
        <f t="shared" si="2177"/>
        <v>0</v>
      </c>
      <c r="AT1598" s="7">
        <f>0</f>
        <v>0</v>
      </c>
      <c r="AU1598" s="7">
        <f t="shared" si="2178"/>
        <v>188960</v>
      </c>
      <c r="AV1598" s="1">
        <f t="shared" si="2179"/>
        <v>1</v>
      </c>
      <c r="AW1598" s="1">
        <f>MIN(10,M1598+0+IF(L1598=1,方案参数!$BE$47,0))</f>
        <v>8</v>
      </c>
      <c r="AX1598" s="1">
        <f t="shared" si="2180"/>
        <v>0</v>
      </c>
      <c r="AY1598" s="1">
        <f t="shared" si="2249"/>
        <v>6</v>
      </c>
      <c r="AZ1598" s="1">
        <f t="shared" si="2181"/>
        <v>5</v>
      </c>
      <c r="BA1598" s="1">
        <f>MIN(6,Q1598+0)</f>
        <v>3</v>
      </c>
      <c r="BB1598" s="1">
        <f t="shared" si="2242"/>
        <v>5</v>
      </c>
      <c r="BC1598" s="1">
        <f>MIN(3,S1598+0)</f>
        <v>1</v>
      </c>
      <c r="BD1598" s="1">
        <f t="shared" si="2250"/>
        <v>0</v>
      </c>
      <c r="BE1598" s="1">
        <f t="shared" si="2243"/>
        <v>0</v>
      </c>
      <c r="BF1598" s="1">
        <f>MIN(4,V1598+0)</f>
        <v>1</v>
      </c>
      <c r="BG1598" s="1">
        <f t="shared" si="2247"/>
        <v>1</v>
      </c>
      <c r="BH1598" s="1">
        <f t="shared" si="2244"/>
        <v>1</v>
      </c>
      <c r="BI1598" s="1">
        <f t="shared" si="2248"/>
        <v>1</v>
      </c>
      <c r="BJ1598" s="1">
        <f t="shared" ref="BJ1598:BK1603" si="2254">MAX(Z1598,0)</f>
        <v>1</v>
      </c>
      <c r="BK1598" s="1">
        <f t="shared" si="2254"/>
        <v>1</v>
      </c>
      <c r="BL1598" s="1">
        <f t="shared" si="2224"/>
        <v>0</v>
      </c>
      <c r="BM1598" s="1">
        <f t="shared" si="2222"/>
        <v>0</v>
      </c>
      <c r="BN1598" s="1">
        <f t="shared" si="2245"/>
        <v>1</v>
      </c>
      <c r="BO1598" s="1">
        <f t="shared" si="2246"/>
        <v>1</v>
      </c>
    </row>
    <row r="1599" spans="1:67" ht="30.95" customHeight="1">
      <c r="A1599" s="1">
        <f>44</f>
        <v>44</v>
      </c>
      <c r="B1599" s="1">
        <f>固定流程!A15</f>
        <v>10</v>
      </c>
      <c r="C1599" s="1">
        <f>47</f>
        <v>47</v>
      </c>
      <c r="D1599" s="1">
        <f>1</f>
        <v>1</v>
      </c>
      <c r="E1599" s="1">
        <f>固定流程!C15</f>
        <v>2</v>
      </c>
      <c r="F1599" s="1">
        <f>固定流程!G15</f>
        <v>4</v>
      </c>
      <c r="G1599" s="1" t="str">
        <f>固定流程!H15</f>
        <v>J_HARD</v>
      </c>
      <c r="H1599" s="1">
        <f>固定流程!F15</f>
        <v>1</v>
      </c>
      <c r="I1599" s="1">
        <f>INDEX(配置与结果!$B$15:$B$18,F1599)</f>
        <v>1906</v>
      </c>
      <c r="J1599" s="1">
        <f>INDEX(配置与结果!$D$15:$D$18,F1599)</f>
        <v>0.36699999999999999</v>
      </c>
      <c r="K1599" s="1">
        <f>INDEX(配置与结果!$E$15:$E$18,F1599)</f>
        <v>1.7170000000000001</v>
      </c>
      <c r="L1599" s="1">
        <f t="shared" si="2252"/>
        <v>1</v>
      </c>
      <c r="M1599" s="1">
        <f t="shared" si="2252"/>
        <v>8</v>
      </c>
      <c r="N1599" s="1">
        <f t="shared" si="2252"/>
        <v>0</v>
      </c>
      <c r="O1599" s="1">
        <f t="shared" si="2251"/>
        <v>6</v>
      </c>
      <c r="P1599" s="1">
        <f>MIN(方案参数!$AI$47,AZ1598+0+0)</f>
        <v>5</v>
      </c>
      <c r="Q1599" s="1">
        <f t="shared" si="2229"/>
        <v>3</v>
      </c>
      <c r="R1599" s="1">
        <f t="shared" si="2230"/>
        <v>5</v>
      </c>
      <c r="S1599" s="1">
        <f t="shared" si="2231"/>
        <v>1</v>
      </c>
      <c r="T1599" s="1">
        <f t="shared" si="2232"/>
        <v>0</v>
      </c>
      <c r="U1599" s="1">
        <f t="shared" si="2233"/>
        <v>0</v>
      </c>
      <c r="V1599" s="1">
        <f t="shared" si="2234"/>
        <v>1</v>
      </c>
      <c r="W1599" s="1">
        <f t="shared" si="2235"/>
        <v>1</v>
      </c>
      <c r="X1599" s="1">
        <f t="shared" si="2236"/>
        <v>1</v>
      </c>
      <c r="Y1599" s="1">
        <f t="shared" si="2237"/>
        <v>1</v>
      </c>
      <c r="Z1599" s="1">
        <f t="shared" si="2238"/>
        <v>1</v>
      </c>
      <c r="AA1599" s="1">
        <f t="shared" si="2253"/>
        <v>1</v>
      </c>
      <c r="AB1599" s="1">
        <f t="shared" si="2240"/>
        <v>0</v>
      </c>
      <c r="AC1599" s="1">
        <f t="shared" si="2241"/>
        <v>0</v>
      </c>
      <c r="AD1599" s="1">
        <f>ROUNDDOWN(I1599*(1+IF(F1599=3,0.05+方案参数!$Y$47+AA1599*0.12,IF(F1599=4,方案参数!$BZ$47*方案参数!$AS$47,0)))+IF(AND(X1599=1,F1599&lt;&gt;3),方案参数!$CC$47,0)+AC1599*方案参数!$CB$47,0)</f>
        <v>2811</v>
      </c>
      <c r="AE1599" s="1">
        <f>IF(OR(F1599=1,F1599=4),配置与结果!$B$24,配置与结果!$B$25)*MAX(0,1-INDEX(配置与结果!$I$15:$I$18,F1599))</f>
        <v>1200</v>
      </c>
      <c r="AF1599" s="1">
        <f>3.6*IF(H1599=1,1,IF(H1599=2,1.5,2.5))</f>
        <v>3.6</v>
      </c>
      <c r="AG1599" s="1">
        <f>MAX(配置与结果!$B$32,1+INDEX(配置与结果!$F$15:$F$18,F1599)+0.08+Q1599*方案参数!$W$47+Y1599*(方案参数!$AN$47+MIN(方案参数!$AO$47,P1599*0.03))+AB1599*方案参数!$BZ$47*0.025+0.1+IF(方案参数!$BZ$47&gt;=30,方案参数!$BZ$47*0.01,0)-配置与结果!$B$28)</f>
        <v>1.5150000000000001</v>
      </c>
      <c r="AH1599" s="1">
        <f>MAX(0,1+INDEX(配置与结果!$G$15:$G$18,F1599)+W1599*方案参数!$AG$47)</f>
        <v>1.3</v>
      </c>
      <c r="AI1599" s="1">
        <f>IF(OR(INDEX(配置与结果!$K$15:$K$18,F1599)=1,G1599="RHI_BERRY"),1+配置与结果!$B$33+P1599*方案参数!$AH$47,1)</f>
        <v>1</v>
      </c>
      <c r="AJ1599" s="1">
        <f>MIN(1,MAX(0,J1599+方案参数!$AB$47-配置与结果!$B$27))</f>
        <v>0.66700000000000004</v>
      </c>
      <c r="AK1599" s="1">
        <f>MAX(1,K1599+IF(F1599=2,0.15+方案参数!$CH$47,0)+BN1599*方案参数!$X$47+R1599*方案参数!$AA$47+0-配置与结果!$B$26+Z1599*(方案参数!$AP$47+MIN(方案参数!$AQ$47,P1599*0.03)))</f>
        <v>1.8120000000000001</v>
      </c>
      <c r="AL1599" s="7">
        <f>ROUNDDOWN(MAX(AD1599*配置与结果!$B$31,AD1599-AE1599)*AF1599*AG1599*AH1599*AI1599,0)</f>
        <v>11422</v>
      </c>
      <c r="AM1599" s="7">
        <f>ROUNDDOWN(MAX(AD1599*配置与结果!$B$31,AD1599-AE1599)*AF1599*AG1599*AH1599*AI1599*AK1599,0)</f>
        <v>20697</v>
      </c>
      <c r="AN1599" s="7">
        <f t="shared" si="2174"/>
        <v>17608.424999999999</v>
      </c>
      <c r="AO1599" s="7">
        <f>0</f>
        <v>0</v>
      </c>
      <c r="AP1599" s="7">
        <f>MAX(0,1+INDEX(配置与结果!$J$15:$J$18,F1599)+IF(T1599&gt;0,方案参数!$BY$47,0)-配置与结果!$B$30)</f>
        <v>1</v>
      </c>
      <c r="AQ1599" s="7">
        <f t="shared" si="2175"/>
        <v>0</v>
      </c>
      <c r="AR1599" s="7">
        <f t="shared" si="2176"/>
        <v>0</v>
      </c>
      <c r="AS1599" s="7">
        <f t="shared" si="2177"/>
        <v>0</v>
      </c>
      <c r="AT1599" s="7">
        <f>0</f>
        <v>0</v>
      </c>
      <c r="AU1599" s="7">
        <f t="shared" si="2178"/>
        <v>17608.424999999999</v>
      </c>
      <c r="AV1599" s="1">
        <f t="shared" si="2179"/>
        <v>1</v>
      </c>
      <c r="AW1599" s="1">
        <f t="shared" ref="AW1599:AW1609" si="2255">MIN(10,M1599+0+0)</f>
        <v>8</v>
      </c>
      <c r="AX1599" s="1">
        <f t="shared" si="2180"/>
        <v>0</v>
      </c>
      <c r="AY1599" s="1">
        <f t="shared" si="2249"/>
        <v>6</v>
      </c>
      <c r="AZ1599" s="1">
        <f t="shared" si="2181"/>
        <v>5</v>
      </c>
      <c r="BA1599" s="1">
        <f>MIN(6,Q1599+0)</f>
        <v>3</v>
      </c>
      <c r="BB1599" s="1">
        <f t="shared" si="2242"/>
        <v>5</v>
      </c>
      <c r="BC1599" s="1">
        <f>MIN(3,S1599+1)</f>
        <v>2</v>
      </c>
      <c r="BD1599" s="1">
        <f t="shared" si="2250"/>
        <v>0</v>
      </c>
      <c r="BE1599" s="1">
        <f t="shared" si="2243"/>
        <v>0</v>
      </c>
      <c r="BF1599" s="1">
        <f>MIN(4,V1599+0)</f>
        <v>1</v>
      </c>
      <c r="BG1599" s="1">
        <f t="shared" si="2247"/>
        <v>1</v>
      </c>
      <c r="BH1599" s="1">
        <f t="shared" si="2244"/>
        <v>1</v>
      </c>
      <c r="BI1599" s="1">
        <f t="shared" si="2248"/>
        <v>1</v>
      </c>
      <c r="BJ1599" s="1">
        <f t="shared" si="2254"/>
        <v>1</v>
      </c>
      <c r="BK1599" s="1">
        <f t="shared" si="2254"/>
        <v>1</v>
      </c>
      <c r="BL1599" s="1">
        <f t="shared" si="2224"/>
        <v>0</v>
      </c>
      <c r="BM1599" s="1">
        <f t="shared" si="2222"/>
        <v>0</v>
      </c>
      <c r="BN1599" s="1">
        <f t="shared" si="2245"/>
        <v>1</v>
      </c>
      <c r="BO1599" s="1">
        <f t="shared" si="2246"/>
        <v>1</v>
      </c>
    </row>
    <row r="1600" spans="1:67" ht="30.95" customHeight="1">
      <c r="A1600" s="1">
        <f>44</f>
        <v>44</v>
      </c>
      <c r="B1600" s="1">
        <f>固定流程!A16</f>
        <v>11</v>
      </c>
      <c r="C1600" s="1">
        <f>47</f>
        <v>47</v>
      </c>
      <c r="D1600" s="1">
        <f>1</f>
        <v>1</v>
      </c>
      <c r="E1600" s="1">
        <f>固定流程!C16</f>
        <v>2</v>
      </c>
      <c r="F1600" s="1">
        <f>固定流程!G16</f>
        <v>2</v>
      </c>
      <c r="G1600" s="1" t="str">
        <f>固定流程!H16</f>
        <v>37_CURVE</v>
      </c>
      <c r="H1600" s="1">
        <f>固定流程!F16</f>
        <v>1</v>
      </c>
      <c r="I1600" s="1">
        <f>INDEX(配置与结果!$B$15:$B$18,F1600)</f>
        <v>2306</v>
      </c>
      <c r="J1600" s="1">
        <f>INDEX(配置与结果!$D$15:$D$18,F1600)</f>
        <v>0.46</v>
      </c>
      <c r="K1600" s="1">
        <f>INDEX(配置与结果!$E$15:$E$18,F1600)</f>
        <v>1.9279999999999999</v>
      </c>
      <c r="L1600" s="1">
        <f t="shared" si="2252"/>
        <v>1</v>
      </c>
      <c r="M1600" s="1">
        <f t="shared" si="2252"/>
        <v>8</v>
      </c>
      <c r="N1600" s="1">
        <f t="shared" si="2252"/>
        <v>0</v>
      </c>
      <c r="O1600" s="1">
        <f t="shared" si="2251"/>
        <v>6</v>
      </c>
      <c r="P1600" s="1">
        <f>MIN(方案参数!$AI$47,AZ1599+0+0)</f>
        <v>5</v>
      </c>
      <c r="Q1600" s="1">
        <f t="shared" si="2229"/>
        <v>3</v>
      </c>
      <c r="R1600" s="1">
        <f t="shared" si="2230"/>
        <v>5</v>
      </c>
      <c r="S1600" s="1">
        <f t="shared" si="2231"/>
        <v>2</v>
      </c>
      <c r="T1600" s="1">
        <f t="shared" si="2232"/>
        <v>0</v>
      </c>
      <c r="U1600" s="1">
        <f t="shared" si="2233"/>
        <v>0</v>
      </c>
      <c r="V1600" s="1">
        <f t="shared" si="2234"/>
        <v>1</v>
      </c>
      <c r="W1600" s="1">
        <f t="shared" si="2235"/>
        <v>1</v>
      </c>
      <c r="X1600" s="1">
        <f t="shared" si="2236"/>
        <v>1</v>
      </c>
      <c r="Y1600" s="1">
        <f t="shared" si="2237"/>
        <v>1</v>
      </c>
      <c r="Z1600" s="1">
        <f t="shared" si="2238"/>
        <v>1</v>
      </c>
      <c r="AA1600" s="1">
        <f t="shared" si="2253"/>
        <v>1</v>
      </c>
      <c r="AB1600" s="1">
        <f t="shared" si="2240"/>
        <v>0</v>
      </c>
      <c r="AC1600" s="1">
        <f t="shared" si="2241"/>
        <v>0</v>
      </c>
      <c r="AD1600" s="1">
        <f>ROUNDDOWN(I1600*(1+IF(F1600=3,0.05+方案参数!$Y$47+AA1600*0.12,IF(F1600=4,方案参数!$BZ$47*方案参数!$AS$47,0)))+IF(AND(X1600=1,F1600&lt;&gt;3),方案参数!$CC$47,0)+AC1600*方案参数!$CB$47,0)</f>
        <v>2544</v>
      </c>
      <c r="AE1600" s="1">
        <f>IF(OR(F1600=1,F1600=4),配置与结果!$B$24,配置与结果!$B$25)*MAX(0,1-INDEX(配置与结果!$I$15:$I$18,F1600))</f>
        <v>1000</v>
      </c>
      <c r="AF1600" s="1">
        <f>方案参数!$BT$47*IF(H1600=1,1,IF(H1600=2,1.5,2.5))</f>
        <v>1.4</v>
      </c>
      <c r="AG1600" s="1">
        <f>MAX(配置与结果!$B$32,1+INDEX(配置与结果!$F$15:$F$18,F1600)+0+Q1600*方案参数!$W$47+Y1600*(方案参数!$AN$47+MIN(方案参数!$AO$47,P1600*0.03))+AB1600*方案参数!$BZ$47*0.025-配置与结果!$B$28)</f>
        <v>0.96499999999999997</v>
      </c>
      <c r="AH1600" s="1">
        <f>MAX(0,1+INDEX(配置与结果!$G$15:$G$18,F1600)+W1600*方案参数!$AG$47)</f>
        <v>1.3</v>
      </c>
      <c r="AI1600" s="1">
        <f>IF(OR(INDEX(配置与结果!$K$15:$K$18,F1600)=1,G1600="RHI_BERRY"),1+配置与结果!$B$33+P1600*方案参数!$AH$47,1)</f>
        <v>1</v>
      </c>
      <c r="AJ1600" s="1">
        <f>MIN(1,MAX(0,J1600+方案参数!$AB$47-配置与结果!$B$27))</f>
        <v>0.76</v>
      </c>
      <c r="AK1600" s="1">
        <f>MAX(1,K1600+IF(F1600=2,0.15+方案参数!$CH$47,0)+BN1600*方案参数!$X$47+R1600*方案参数!$AA$47+0-配置与结果!$B$26+Z1600*(方案参数!$AP$47+MIN(方案参数!$AQ$47,P1600*0.03)))</f>
        <v>2.2930000000000001</v>
      </c>
      <c r="AL1600" s="7">
        <f>ROUNDDOWN(MAX(AD1600*配置与结果!$B$31,AD1600-AE1600)*AF1600*AG1600*AH1600*AI1600,0)</f>
        <v>2711</v>
      </c>
      <c r="AM1600" s="7">
        <f>ROUNDDOWN(MAX(AD1600*配置与结果!$B$31,AD1600-AE1600)*AF1600*AG1600*AH1600*AI1600*AK1600,0)</f>
        <v>6217</v>
      </c>
      <c r="AN1600" s="7">
        <f t="shared" si="2174"/>
        <v>5375.56</v>
      </c>
      <c r="AO1600" s="7">
        <f>方案参数!$BU$47*IF(H1600=1,1,IF(H1600=2,1.5,2.5))</f>
        <v>0.8</v>
      </c>
      <c r="AP1600" s="7">
        <f>MAX(0,1+INDEX(配置与结果!$J$15:$J$18,F1600)+IF(T1600&gt;0,方案参数!$BY$47,0)-配置与结果!$B$30)</f>
        <v>1</v>
      </c>
      <c r="AQ1600" s="7">
        <f t="shared" si="2175"/>
        <v>2035</v>
      </c>
      <c r="AR1600" s="7">
        <f t="shared" si="2176"/>
        <v>4666</v>
      </c>
      <c r="AS1600" s="7">
        <f t="shared" si="2177"/>
        <v>4034.56</v>
      </c>
      <c r="AT1600" s="7">
        <f>0</f>
        <v>0</v>
      </c>
      <c r="AU1600" s="7">
        <f t="shared" si="2178"/>
        <v>9410.1200000000008</v>
      </c>
      <c r="AV1600" s="1">
        <f t="shared" si="2179"/>
        <v>1</v>
      </c>
      <c r="AW1600" s="1">
        <f t="shared" si="2255"/>
        <v>8</v>
      </c>
      <c r="AX1600" s="1">
        <f t="shared" si="2180"/>
        <v>0</v>
      </c>
      <c r="AY1600" s="1">
        <f t="shared" si="2249"/>
        <v>6</v>
      </c>
      <c r="AZ1600" s="1">
        <f t="shared" si="2181"/>
        <v>5</v>
      </c>
      <c r="BA1600" s="1">
        <f>MIN(6,Q1600+0)</f>
        <v>3</v>
      </c>
      <c r="BB1600" s="1">
        <f t="shared" si="2242"/>
        <v>5</v>
      </c>
      <c r="BC1600" s="1">
        <f t="shared" ref="BC1600:BC1606" si="2256">MIN(3,S1600+0)</f>
        <v>2</v>
      </c>
      <c r="BD1600" s="1">
        <f t="shared" si="2250"/>
        <v>0</v>
      </c>
      <c r="BE1600" s="1">
        <f t="shared" si="2243"/>
        <v>0</v>
      </c>
      <c r="BF1600" s="1">
        <f>MIN(4,V1600+0)</f>
        <v>1</v>
      </c>
      <c r="BG1600" s="1">
        <f t="shared" si="2247"/>
        <v>1</v>
      </c>
      <c r="BH1600" s="1">
        <f t="shared" si="2244"/>
        <v>1</v>
      </c>
      <c r="BI1600" s="1">
        <f t="shared" si="2248"/>
        <v>1</v>
      </c>
      <c r="BJ1600" s="1">
        <f t="shared" si="2254"/>
        <v>1</v>
      </c>
      <c r="BK1600" s="1">
        <f t="shared" si="2254"/>
        <v>1</v>
      </c>
      <c r="BL1600" s="1">
        <f t="shared" si="2224"/>
        <v>0</v>
      </c>
      <c r="BM1600" s="1">
        <f t="shared" si="2222"/>
        <v>0</v>
      </c>
      <c r="BN1600" s="1">
        <f t="shared" si="2245"/>
        <v>1</v>
      </c>
      <c r="BO1600" s="1">
        <f t="shared" si="2246"/>
        <v>1</v>
      </c>
    </row>
    <row r="1601" spans="1:67" ht="30.95" customHeight="1">
      <c r="A1601" s="1">
        <f>44</f>
        <v>44</v>
      </c>
      <c r="B1601" s="1">
        <f>固定流程!A17</f>
        <v>12</v>
      </c>
      <c r="C1601" s="1">
        <f>47</f>
        <v>47</v>
      </c>
      <c r="D1601" s="1">
        <f>1</f>
        <v>1</v>
      </c>
      <c r="E1601" s="1">
        <f>固定流程!C17</f>
        <v>2</v>
      </c>
      <c r="F1601" s="1">
        <f>固定流程!G17</f>
        <v>2</v>
      </c>
      <c r="G1601" s="1" t="str">
        <f>固定流程!H17</f>
        <v>37_FOLLOW</v>
      </c>
      <c r="H1601" s="1">
        <f>固定流程!F17</f>
        <v>1</v>
      </c>
      <c r="I1601" s="1">
        <f>INDEX(配置与结果!$B$15:$B$18,F1601)</f>
        <v>2306</v>
      </c>
      <c r="J1601" s="1">
        <f>INDEX(配置与结果!$D$15:$D$18,F1601)</f>
        <v>0.46</v>
      </c>
      <c r="K1601" s="1">
        <f>INDEX(配置与结果!$E$15:$E$18,F1601)</f>
        <v>1.9279999999999999</v>
      </c>
      <c r="L1601" s="1">
        <f t="shared" si="2252"/>
        <v>1</v>
      </c>
      <c r="M1601" s="1">
        <f t="shared" si="2252"/>
        <v>8</v>
      </c>
      <c r="N1601" s="1">
        <f t="shared" si="2252"/>
        <v>0</v>
      </c>
      <c r="O1601" s="1">
        <f t="shared" si="2251"/>
        <v>6</v>
      </c>
      <c r="P1601" s="1">
        <f>MIN(方案参数!$AI$47,AZ1600+0+0)</f>
        <v>5</v>
      </c>
      <c r="Q1601" s="1">
        <f t="shared" si="2229"/>
        <v>3</v>
      </c>
      <c r="R1601" s="1">
        <f t="shared" si="2230"/>
        <v>5</v>
      </c>
      <c r="S1601" s="1">
        <f t="shared" si="2231"/>
        <v>2</v>
      </c>
      <c r="T1601" s="1">
        <f t="shared" si="2232"/>
        <v>0</v>
      </c>
      <c r="U1601" s="1">
        <f t="shared" si="2233"/>
        <v>0</v>
      </c>
      <c r="V1601" s="1">
        <f t="shared" si="2234"/>
        <v>1</v>
      </c>
      <c r="W1601" s="1">
        <f t="shared" si="2235"/>
        <v>1</v>
      </c>
      <c r="X1601" s="1">
        <f t="shared" si="2236"/>
        <v>1</v>
      </c>
      <c r="Y1601" s="1">
        <f t="shared" si="2237"/>
        <v>1</v>
      </c>
      <c r="Z1601" s="1">
        <f t="shared" si="2238"/>
        <v>1</v>
      </c>
      <c r="AA1601" s="1">
        <f t="shared" si="2253"/>
        <v>1</v>
      </c>
      <c r="AB1601" s="1">
        <f t="shared" si="2240"/>
        <v>0</v>
      </c>
      <c r="AC1601" s="1">
        <f t="shared" si="2241"/>
        <v>0</v>
      </c>
      <c r="AD1601" s="1">
        <f>ROUNDDOWN(I1601*(1+IF(F1601=3,0.05+方案参数!$Y$47+AA1601*0.12,IF(F1601=4,方案参数!$BZ$47*方案参数!$AS$47,0)))+IF(AND(X1601=1,F1601&lt;&gt;3),方案参数!$CC$47,0)+AC1601*方案参数!$CB$47,0)</f>
        <v>2544</v>
      </c>
      <c r="AE1601" s="1">
        <f>IF(OR(F1601=1,F1601=4),配置与结果!$B$24,配置与结果!$B$25)*MAX(0,1-INDEX(配置与结果!$I$15:$I$18,F1601))</f>
        <v>1000</v>
      </c>
      <c r="AF1601" s="1">
        <f>方案参数!$BV$47</f>
        <v>3</v>
      </c>
      <c r="AG1601" s="1">
        <f>MAX(配置与结果!$B$32,1+INDEX(配置与结果!$F$15:$F$18,F1601)+0+Q1601*方案参数!$W$47+Y1601*(方案参数!$AN$47+MIN(方案参数!$AO$47,P1601*0.03))+AB1601*方案参数!$BZ$47*0.025-配置与结果!$B$28)</f>
        <v>0.96499999999999997</v>
      </c>
      <c r="AH1601" s="1">
        <f>MAX(0,1+INDEX(配置与结果!$G$15:$G$18,F1601)+W1601*方案参数!$AG$47)</f>
        <v>1.3</v>
      </c>
      <c r="AI1601" s="1">
        <f>IF(OR(INDEX(配置与结果!$K$15:$K$18,F1601)=1,G1601="RHI_BERRY"),1+配置与结果!$B$33+P1601*方案参数!$AH$47,1)</f>
        <v>1</v>
      </c>
      <c r="AJ1601" s="1">
        <f>MIN(1,MAX(0,J1601+方案参数!$AB$47-配置与结果!$B$27))</f>
        <v>0.76</v>
      </c>
      <c r="AK1601" s="1">
        <f>MAX(1,K1601+IF(F1601=2,0.15+方案参数!$CH$47,0)+BN1601*方案参数!$X$47+R1601*方案参数!$AA$47+0-配置与结果!$B$26+Z1601*(方案参数!$AP$47+MIN(方案参数!$AQ$47,P1601*0.03)))</f>
        <v>2.2930000000000001</v>
      </c>
      <c r="AL1601" s="7">
        <f>ROUNDDOWN(MAX(AD1601*配置与结果!$B$31,AD1601-AE1601)*AF1601*AG1601*AH1601*AI1601,0)</f>
        <v>5810</v>
      </c>
      <c r="AM1601" s="7">
        <f>ROUNDDOWN(MAX(AD1601*配置与结果!$B$31,AD1601-AE1601)*AF1601*AG1601*AH1601*AI1601*AK1601,0)</f>
        <v>13324</v>
      </c>
      <c r="AN1601" s="7">
        <f t="shared" si="2174"/>
        <v>11520.64</v>
      </c>
      <c r="AO1601" s="7">
        <f>方案参数!$BW$47</f>
        <v>1</v>
      </c>
      <c r="AP1601" s="7">
        <f>MAX(0,1+INDEX(配置与结果!$J$15:$J$18,F1601)+IF(T1601&gt;0,方案参数!$BY$47,0)-配置与结果!$B$30)</f>
        <v>1</v>
      </c>
      <c r="AQ1601" s="7">
        <f t="shared" si="2175"/>
        <v>2544</v>
      </c>
      <c r="AR1601" s="7">
        <f t="shared" si="2176"/>
        <v>5833</v>
      </c>
      <c r="AS1601" s="7">
        <f t="shared" si="2177"/>
        <v>5043.6399999999994</v>
      </c>
      <c r="AT1601" s="7">
        <f>0</f>
        <v>0</v>
      </c>
      <c r="AU1601" s="7">
        <f t="shared" si="2178"/>
        <v>16564.28</v>
      </c>
      <c r="AV1601" s="1">
        <f t="shared" si="2179"/>
        <v>1</v>
      </c>
      <c r="AW1601" s="1">
        <f t="shared" si="2255"/>
        <v>8</v>
      </c>
      <c r="AX1601" s="1">
        <f t="shared" si="2180"/>
        <v>0</v>
      </c>
      <c r="AY1601" s="1">
        <f t="shared" si="2249"/>
        <v>6</v>
      </c>
      <c r="AZ1601" s="1">
        <f t="shared" si="2181"/>
        <v>5</v>
      </c>
      <c r="BA1601" s="1">
        <f>MIN(6,Q1601+0)</f>
        <v>3</v>
      </c>
      <c r="BB1601" s="1">
        <f t="shared" si="2242"/>
        <v>5</v>
      </c>
      <c r="BC1601" s="1">
        <f t="shared" si="2256"/>
        <v>2</v>
      </c>
      <c r="BD1601" s="1">
        <f t="shared" si="2250"/>
        <v>0</v>
      </c>
      <c r="BE1601" s="1">
        <f t="shared" si="2243"/>
        <v>0</v>
      </c>
      <c r="BF1601" s="1">
        <f>MIN(4,V1601+1)</f>
        <v>2</v>
      </c>
      <c r="BG1601" s="1">
        <f t="shared" si="2247"/>
        <v>1</v>
      </c>
      <c r="BH1601" s="1">
        <f t="shared" si="2244"/>
        <v>1</v>
      </c>
      <c r="BI1601" s="1">
        <f t="shared" si="2248"/>
        <v>1</v>
      </c>
      <c r="BJ1601" s="1">
        <f t="shared" si="2254"/>
        <v>1</v>
      </c>
      <c r="BK1601" s="1">
        <f t="shared" si="2254"/>
        <v>1</v>
      </c>
      <c r="BL1601" s="1">
        <f t="shared" si="2224"/>
        <v>0</v>
      </c>
      <c r="BM1601" s="1">
        <f t="shared" si="2222"/>
        <v>0</v>
      </c>
      <c r="BN1601" s="1">
        <f t="shared" si="2245"/>
        <v>1</v>
      </c>
      <c r="BO1601" s="1">
        <f t="shared" si="2246"/>
        <v>1</v>
      </c>
    </row>
    <row r="1602" spans="1:67" ht="30.95" customHeight="1">
      <c r="A1602" s="1">
        <f>44</f>
        <v>44</v>
      </c>
      <c r="B1602" s="1">
        <f>固定流程!A18</f>
        <v>13</v>
      </c>
      <c r="C1602" s="1">
        <f>47</f>
        <v>47</v>
      </c>
      <c r="D1602" s="1">
        <f>1</f>
        <v>1</v>
      </c>
      <c r="E1602" s="1">
        <f>固定流程!C18</f>
        <v>2</v>
      </c>
      <c r="F1602" s="1">
        <f>固定流程!G18</f>
        <v>3</v>
      </c>
      <c r="G1602" s="1" t="str">
        <f>固定流程!H18</f>
        <v>RHI_BERRY</v>
      </c>
      <c r="H1602" s="1">
        <f>固定流程!F18</f>
        <v>1</v>
      </c>
      <c r="I1602" s="1">
        <f>INDEX(配置与结果!$B$15:$B$18,F1602)</f>
        <v>2597</v>
      </c>
      <c r="J1602" s="1">
        <f>INDEX(配置与结果!$D$15:$D$18,F1602)</f>
        <v>0.255</v>
      </c>
      <c r="K1602" s="1">
        <f>INDEX(配置与结果!$E$15:$E$18,F1602)</f>
        <v>1.55</v>
      </c>
      <c r="L1602" s="1">
        <f t="shared" si="2252"/>
        <v>1</v>
      </c>
      <c r="M1602" s="1">
        <f t="shared" si="2252"/>
        <v>8</v>
      </c>
      <c r="N1602" s="1">
        <f t="shared" si="2252"/>
        <v>0</v>
      </c>
      <c r="O1602" s="1">
        <f t="shared" si="2251"/>
        <v>6</v>
      </c>
      <c r="P1602" s="1">
        <f>MIN(方案参数!$AI$47,AZ1601+0+0)</f>
        <v>5</v>
      </c>
      <c r="Q1602" s="1">
        <f t="shared" si="2229"/>
        <v>3</v>
      </c>
      <c r="R1602" s="1">
        <f t="shared" si="2230"/>
        <v>5</v>
      </c>
      <c r="S1602" s="1">
        <f t="shared" si="2231"/>
        <v>2</v>
      </c>
      <c r="T1602" s="1">
        <f t="shared" si="2232"/>
        <v>0</v>
      </c>
      <c r="U1602" s="1">
        <f t="shared" si="2233"/>
        <v>0</v>
      </c>
      <c r="V1602" s="1">
        <f t="shared" si="2234"/>
        <v>2</v>
      </c>
      <c r="W1602" s="1">
        <f t="shared" si="2235"/>
        <v>1</v>
      </c>
      <c r="X1602" s="1">
        <f t="shared" si="2236"/>
        <v>1</v>
      </c>
      <c r="Y1602" s="1">
        <f t="shared" si="2237"/>
        <v>1</v>
      </c>
      <c r="Z1602" s="1">
        <f t="shared" si="2238"/>
        <v>1</v>
      </c>
      <c r="AA1602" s="1">
        <f t="shared" si="2253"/>
        <v>1</v>
      </c>
      <c r="AB1602" s="1">
        <f t="shared" si="2240"/>
        <v>0</v>
      </c>
      <c r="AC1602" s="1">
        <f t="shared" si="2241"/>
        <v>0</v>
      </c>
      <c r="AD1602" s="1">
        <f>ROUNDDOWN(I1602*(1+IF(F1602=3,0.05+方案参数!$Y$47+AA1602*0.12,IF(F1602=4,方案参数!$BZ$47*方案参数!$AS$47,0)))+IF(AND(X1602=1,F1602&lt;&gt;3),方案参数!$CC$47,0)+AC1602*方案参数!$CB$47,0)</f>
        <v>3298</v>
      </c>
      <c r="AE1602" s="1">
        <f>IF(OR(F1602=1,F1602=4),配置与结果!$B$24,配置与结果!$B$25)*MAX(0,1-INDEX(配置与结果!$I$15:$I$18,F1602))</f>
        <v>1000</v>
      </c>
      <c r="AF1602" s="1">
        <f>方案参数!$CF$47+P1602*方案参数!$CG$47</f>
        <v>22.5</v>
      </c>
      <c r="AG1602" s="1">
        <f>MAX(配置与结果!$B$32,1+INDEX(配置与结果!$F$15:$F$18,F1602)+0+Q1602*方案参数!$W$47+Y1602*(方案参数!$AN$47+MIN(方案参数!$AO$47,P1602*0.03))+AB1602*方案参数!$BZ$47*0.025-配置与结果!$B$28)</f>
        <v>0.995</v>
      </c>
      <c r="AH1602" s="1">
        <f>MAX(0,1+INDEX(配置与结果!$G$15:$G$18,F1602)+W1602*方案参数!$AG$47)</f>
        <v>1.3</v>
      </c>
      <c r="AI1602" s="1">
        <f>IF(OR(INDEX(配置与结果!$K$15:$K$18,F1602)=1,G1602="RHI_BERRY"),1+配置与结果!$B$33+P1602*方案参数!$AH$47,1)</f>
        <v>1.5</v>
      </c>
      <c r="AJ1602" s="1">
        <f>MIN(1,MAX(0,J1602+方案参数!$AB$47-配置与结果!$B$27))</f>
        <v>0.55499999999999994</v>
      </c>
      <c r="AK1602" s="1">
        <f>MAX(1,K1602+IF(F1602=2,0.15+方案参数!$CH$47,0)+BN1602*方案参数!$X$47+R1602*方案参数!$AA$47+0-配置与结果!$B$26+Z1602*(方案参数!$AP$47+MIN(方案参数!$AQ$47,P1602*0.03)))</f>
        <v>1.6449999999999998</v>
      </c>
      <c r="AL1602" s="7">
        <f>ROUNDDOWN(MAX(AD1602*配置与结果!$B$31,AD1602-AE1602)*AF1602*AG1602*AH1602*AI1602,0)</f>
        <v>100320</v>
      </c>
      <c r="AM1602" s="7">
        <f>ROUNDDOWN(MAX(AD1602*配置与结果!$B$31,AD1602-AE1602)*AF1602*AG1602*AH1602*AI1602*AK1602,0)</f>
        <v>165027</v>
      </c>
      <c r="AN1602" s="7">
        <f t="shared" si="2174"/>
        <v>136232.38500000001</v>
      </c>
      <c r="AO1602" s="7">
        <f>0</f>
        <v>0</v>
      </c>
      <c r="AP1602" s="7">
        <f>MAX(0,1+INDEX(配置与结果!$J$15:$J$18,F1602)+IF(T1602&gt;0,方案参数!$BY$47,0)-配置与结果!$B$30)</f>
        <v>1</v>
      </c>
      <c r="AQ1602" s="7">
        <f t="shared" si="2175"/>
        <v>0</v>
      </c>
      <c r="AR1602" s="7">
        <f t="shared" si="2176"/>
        <v>0</v>
      </c>
      <c r="AS1602" s="7">
        <f t="shared" si="2177"/>
        <v>0</v>
      </c>
      <c r="AT1602" s="7">
        <f>0</f>
        <v>0</v>
      </c>
      <c r="AU1602" s="7">
        <f t="shared" si="2178"/>
        <v>136232.38500000001</v>
      </c>
      <c r="AV1602" s="1">
        <f t="shared" si="2179"/>
        <v>1</v>
      </c>
      <c r="AW1602" s="1">
        <f t="shared" si="2255"/>
        <v>8</v>
      </c>
      <c r="AX1602" s="1">
        <f t="shared" si="2180"/>
        <v>0</v>
      </c>
      <c r="AY1602" s="1">
        <f t="shared" si="2249"/>
        <v>6</v>
      </c>
      <c r="AZ1602" s="1">
        <f t="shared" si="2181"/>
        <v>5</v>
      </c>
      <c r="BA1602" s="1">
        <f>MIN(6,Q1602+0)</f>
        <v>3</v>
      </c>
      <c r="BB1602" s="1">
        <f t="shared" si="2242"/>
        <v>5</v>
      </c>
      <c r="BC1602" s="1">
        <f t="shared" si="2256"/>
        <v>2</v>
      </c>
      <c r="BD1602" s="1">
        <f t="shared" si="2250"/>
        <v>0</v>
      </c>
      <c r="BE1602" s="1">
        <f t="shared" si="2243"/>
        <v>0</v>
      </c>
      <c r="BF1602" s="1">
        <f>MIN(4,V1602+0)</f>
        <v>2</v>
      </c>
      <c r="BG1602" s="1">
        <f t="shared" si="2247"/>
        <v>1</v>
      </c>
      <c r="BH1602" s="1">
        <f t="shared" si="2244"/>
        <v>1</v>
      </c>
      <c r="BI1602" s="1">
        <f t="shared" si="2248"/>
        <v>1</v>
      </c>
      <c r="BJ1602" s="1">
        <f t="shared" si="2254"/>
        <v>1</v>
      </c>
      <c r="BK1602" s="1">
        <f t="shared" si="2254"/>
        <v>1</v>
      </c>
      <c r="BL1602" s="1">
        <f t="shared" si="2224"/>
        <v>0</v>
      </c>
      <c r="BM1602" s="1">
        <f t="shared" si="2222"/>
        <v>0</v>
      </c>
      <c r="BN1602" s="1">
        <f t="shared" si="2245"/>
        <v>1</v>
      </c>
      <c r="BO1602" s="1">
        <f t="shared" si="2246"/>
        <v>1</v>
      </c>
    </row>
    <row r="1603" spans="1:67" ht="30.95" customHeight="1">
      <c r="A1603" s="1">
        <f>44</f>
        <v>44</v>
      </c>
      <c r="B1603" s="1">
        <f>固定流程!A19</f>
        <v>14</v>
      </c>
      <c r="C1603" s="1">
        <f>47</f>
        <v>47</v>
      </c>
      <c r="D1603" s="1">
        <f>1</f>
        <v>1</v>
      </c>
      <c r="E1603" s="1">
        <f>固定流程!C19</f>
        <v>3</v>
      </c>
      <c r="F1603" s="1">
        <f>固定流程!G19</f>
        <v>3</v>
      </c>
      <c r="G1603" s="1" t="str">
        <f>固定流程!H19</f>
        <v>RHI_BUFF</v>
      </c>
      <c r="H1603" s="1">
        <f>固定流程!F19</f>
        <v>1</v>
      </c>
      <c r="I1603" s="1">
        <f>INDEX(配置与结果!$B$15:$B$18,F1603)</f>
        <v>2597</v>
      </c>
      <c r="J1603" s="1">
        <f>INDEX(配置与结果!$D$15:$D$18,F1603)</f>
        <v>0.255</v>
      </c>
      <c r="K1603" s="1">
        <f>INDEX(配置与结果!$E$15:$E$18,F1603)</f>
        <v>1.55</v>
      </c>
      <c r="L1603" s="1">
        <f>IF(AV1602=1,IF(M1603&gt;=10,2,1),IF(AV1602=2,IF(AX1602&lt;=1,0,2),0))</f>
        <v>2</v>
      </c>
      <c r="M1603" s="1">
        <f>IF(AND(AV1602=2,AX1602&lt;=1),0,MIN(10,AW1602+IF(AV1602=1,3,0)))</f>
        <v>10</v>
      </c>
      <c r="N1603" s="1">
        <f>IF(AND(AV1602=1,M1603&gt;=10),2,IF(AV1602=2,MAX(0,AX1602-1),0))</f>
        <v>2</v>
      </c>
      <c r="O1603" s="1">
        <f t="shared" si="2251"/>
        <v>6</v>
      </c>
      <c r="P1603" s="1">
        <f>MIN(方案参数!$AI$47,AZ1602+方案参数!$AJ$47+方案参数!$AK$47)</f>
        <v>5</v>
      </c>
      <c r="Q1603" s="1">
        <f t="shared" si="2229"/>
        <v>3</v>
      </c>
      <c r="R1603" s="1">
        <f t="shared" si="2230"/>
        <v>5</v>
      </c>
      <c r="S1603" s="1">
        <f t="shared" si="2231"/>
        <v>2</v>
      </c>
      <c r="T1603" s="1">
        <f t="shared" si="2232"/>
        <v>0</v>
      </c>
      <c r="U1603" s="1">
        <f t="shared" si="2233"/>
        <v>0</v>
      </c>
      <c r="V1603" s="1">
        <f t="shared" si="2234"/>
        <v>2</v>
      </c>
      <c r="W1603" s="1">
        <f t="shared" si="2235"/>
        <v>1</v>
      </c>
      <c r="X1603" s="1">
        <f t="shared" si="2236"/>
        <v>1</v>
      </c>
      <c r="Y1603" s="1">
        <f t="shared" si="2237"/>
        <v>1</v>
      </c>
      <c r="Z1603" s="1">
        <f t="shared" si="2238"/>
        <v>1</v>
      </c>
      <c r="AA1603" s="1">
        <f t="shared" si="2253"/>
        <v>1</v>
      </c>
      <c r="AB1603" s="1">
        <f t="shared" si="2240"/>
        <v>0</v>
      </c>
      <c r="AC1603" s="1">
        <f t="shared" si="2241"/>
        <v>0</v>
      </c>
      <c r="AD1603" s="1">
        <f>ROUNDDOWN(I1603*(1+IF(F1603=3,0.05+方案参数!$Y$47+AA1603*0.12,IF(F1603=4,方案参数!$BZ$47*方案参数!$AS$47,0)))+IF(AND(X1603=1,F1603&lt;&gt;3),方案参数!$CC$47,0)+AC1603*方案参数!$CB$47,0)</f>
        <v>3298</v>
      </c>
      <c r="AE1603" s="1">
        <f>IF(OR(F1603=1,F1603=4),配置与结果!$B$24,配置与结果!$B$25)*MAX(0,1-INDEX(配置与结果!$I$15:$I$18,F1603))</f>
        <v>1000</v>
      </c>
      <c r="AF1603" s="1">
        <f>0</f>
        <v>0</v>
      </c>
      <c r="AG1603" s="1">
        <f>MAX(配置与结果!$B$32,1+INDEX(配置与结果!$F$15:$F$18,F1603)+0+Q1603*方案参数!$W$47+Y1603*(方案参数!$AN$47+MIN(方案参数!$AO$47,P1603*0.03))+AB1603*方案参数!$BZ$47*0.025-配置与结果!$B$28)</f>
        <v>0.995</v>
      </c>
      <c r="AH1603" s="1">
        <f>MAX(0,1+INDEX(配置与结果!$G$15:$G$18,F1603)+W1603*方案参数!$AG$47)</f>
        <v>1.3</v>
      </c>
      <c r="AI1603" s="1">
        <f>IF(OR(INDEX(配置与结果!$K$15:$K$18,F1603)=1,G1603="RHI_BERRY"),1+配置与结果!$B$33+P1603*方案参数!$AH$47,1)</f>
        <v>1</v>
      </c>
      <c r="AJ1603" s="1">
        <f>MIN(1,MAX(0,J1603+方案参数!$AB$47-配置与结果!$B$27))</f>
        <v>0.55499999999999994</v>
      </c>
      <c r="AK1603" s="1">
        <f>MAX(1,K1603+IF(F1603=2,0.15+方案参数!$CH$47,0)+BN1603*方案参数!$X$47+R1603*方案参数!$AA$47+0-配置与结果!$B$26+Z1603*(方案参数!$AP$47+MIN(方案参数!$AQ$47,P1603*0.03)))</f>
        <v>1.6449999999999998</v>
      </c>
      <c r="AL1603" s="7">
        <f>ROUNDDOWN(MAX(AD1603*配置与结果!$B$31,AD1603-AE1603)*AF1603*AG1603*AH1603*AI1603,0)</f>
        <v>0</v>
      </c>
      <c r="AM1603" s="7">
        <f>ROUNDDOWN(MAX(AD1603*配置与结果!$B$31,AD1603-AE1603)*AF1603*AG1603*AH1603*AI1603*AK1603,0)</f>
        <v>0</v>
      </c>
      <c r="AN1603" s="7">
        <f t="shared" si="2174"/>
        <v>0</v>
      </c>
      <c r="AO1603" s="7">
        <f>0</f>
        <v>0</v>
      </c>
      <c r="AP1603" s="7">
        <f>MAX(0,1+INDEX(配置与结果!$J$15:$J$18,F1603)+IF(T1603&gt;0,方案参数!$BY$47,0)-配置与结果!$B$30)</f>
        <v>1</v>
      </c>
      <c r="AQ1603" s="7">
        <f t="shared" si="2175"/>
        <v>0</v>
      </c>
      <c r="AR1603" s="7">
        <f t="shared" si="2176"/>
        <v>0</v>
      </c>
      <c r="AS1603" s="7">
        <f t="shared" si="2177"/>
        <v>0</v>
      </c>
      <c r="AT1603" s="7">
        <f>0</f>
        <v>0</v>
      </c>
      <c r="AU1603" s="7">
        <f t="shared" si="2178"/>
        <v>0</v>
      </c>
      <c r="AV1603" s="1">
        <f t="shared" si="2179"/>
        <v>2</v>
      </c>
      <c r="AW1603" s="1">
        <f t="shared" si="2255"/>
        <v>10</v>
      </c>
      <c r="AX1603" s="1">
        <f t="shared" si="2180"/>
        <v>2</v>
      </c>
      <c r="AY1603" s="1">
        <f t="shared" si="2249"/>
        <v>6</v>
      </c>
      <c r="AZ1603" s="1">
        <f t="shared" si="2181"/>
        <v>5</v>
      </c>
      <c r="BA1603" s="1">
        <f>MIN(6,Q1603+1)</f>
        <v>4</v>
      </c>
      <c r="BB1603" s="1">
        <f t="shared" si="2242"/>
        <v>5</v>
      </c>
      <c r="BC1603" s="1">
        <f t="shared" si="2256"/>
        <v>2</v>
      </c>
      <c r="BD1603" s="1">
        <f t="shared" si="2250"/>
        <v>0</v>
      </c>
      <c r="BE1603" s="1">
        <f t="shared" si="2243"/>
        <v>0</v>
      </c>
      <c r="BF1603" s="1">
        <f>MIN(4,V1603+0)</f>
        <v>2</v>
      </c>
      <c r="BG1603" s="1">
        <f>MAX(W1603,1)</f>
        <v>1</v>
      </c>
      <c r="BH1603" s="1">
        <f t="shared" si="2244"/>
        <v>1</v>
      </c>
      <c r="BI1603" s="1">
        <f>MAX(Y1603,1)</f>
        <v>1</v>
      </c>
      <c r="BJ1603" s="1">
        <f t="shared" si="2254"/>
        <v>1</v>
      </c>
      <c r="BK1603" s="1">
        <f t="shared" si="2254"/>
        <v>1</v>
      </c>
      <c r="BL1603" s="1">
        <f t="shared" si="2224"/>
        <v>0</v>
      </c>
      <c r="BM1603" s="1">
        <f t="shared" si="2222"/>
        <v>0</v>
      </c>
      <c r="BN1603" s="1">
        <f t="shared" si="2245"/>
        <v>1</v>
      </c>
      <c r="BO1603" s="1">
        <f t="shared" si="2246"/>
        <v>1</v>
      </c>
    </row>
    <row r="1604" spans="1:67" ht="30.95" customHeight="1">
      <c r="A1604" s="1">
        <f>44</f>
        <v>44</v>
      </c>
      <c r="B1604" s="1">
        <f>固定流程!A20</f>
        <v>15</v>
      </c>
      <c r="C1604" s="1">
        <f>47</f>
        <v>47</v>
      </c>
      <c r="D1604" s="1">
        <f>1</f>
        <v>1</v>
      </c>
      <c r="E1604" s="1">
        <f>固定流程!C20</f>
        <v>3</v>
      </c>
      <c r="F1604" s="1">
        <f>固定流程!G20</f>
        <v>3</v>
      </c>
      <c r="G1604" s="1" t="str">
        <f>固定流程!H20</f>
        <v>RHI_ATTACK</v>
      </c>
      <c r="H1604" s="1">
        <f>固定流程!F20</f>
        <v>1</v>
      </c>
      <c r="I1604" s="1">
        <f>INDEX(配置与结果!$B$15:$B$18,F1604)</f>
        <v>2597</v>
      </c>
      <c r="J1604" s="1">
        <f>INDEX(配置与结果!$D$15:$D$18,F1604)</f>
        <v>0.255</v>
      </c>
      <c r="K1604" s="1">
        <f>INDEX(配置与结果!$E$15:$E$18,F1604)</f>
        <v>1.55</v>
      </c>
      <c r="L1604" s="1">
        <f t="shared" ref="L1604:L1625" si="2257">AV1603</f>
        <v>2</v>
      </c>
      <c r="M1604" s="1">
        <f t="shared" ref="M1604:M1625" si="2258">AW1603</f>
        <v>10</v>
      </c>
      <c r="N1604" s="1">
        <f t="shared" ref="N1604:N1625" si="2259">AX1603</f>
        <v>2</v>
      </c>
      <c r="O1604" s="1">
        <f t="shared" si="2251"/>
        <v>6</v>
      </c>
      <c r="P1604" s="1">
        <f>MIN(方案参数!$AI$47,AZ1603+0+方案参数!$AK$47)</f>
        <v>5</v>
      </c>
      <c r="Q1604" s="1">
        <f t="shared" si="2229"/>
        <v>4</v>
      </c>
      <c r="R1604" s="1">
        <f t="shared" si="2230"/>
        <v>5</v>
      </c>
      <c r="S1604" s="1">
        <f t="shared" si="2231"/>
        <v>2</v>
      </c>
      <c r="T1604" s="1">
        <f t="shared" si="2232"/>
        <v>0</v>
      </c>
      <c r="U1604" s="1">
        <f t="shared" si="2233"/>
        <v>0</v>
      </c>
      <c r="V1604" s="1">
        <f t="shared" si="2234"/>
        <v>2</v>
      </c>
      <c r="W1604" s="1">
        <f t="shared" si="2235"/>
        <v>1</v>
      </c>
      <c r="X1604" s="1">
        <f t="shared" si="2236"/>
        <v>1</v>
      </c>
      <c r="Y1604" s="1">
        <f t="shared" si="2237"/>
        <v>1</v>
      </c>
      <c r="Z1604" s="1">
        <f t="shared" si="2238"/>
        <v>1</v>
      </c>
      <c r="AA1604" s="1">
        <f>MAX(BK1603,1)</f>
        <v>1</v>
      </c>
      <c r="AB1604" s="1">
        <f t="shared" si="2240"/>
        <v>0</v>
      </c>
      <c r="AC1604" s="1">
        <f t="shared" si="2241"/>
        <v>0</v>
      </c>
      <c r="AD1604" s="1">
        <f>ROUNDDOWN(I1604*(1+IF(F1604=3,0.05+方案参数!$Y$47+AA1604*0.12,IF(F1604=4,方案参数!$BZ$47*方案参数!$AS$47,0)))+IF(AND(X1604=1,F1604&lt;&gt;3),方案参数!$CC$47,0)+AC1604*方案参数!$CB$47,0)</f>
        <v>3298</v>
      </c>
      <c r="AE1604" s="1">
        <f>IF(OR(F1604=1,F1604=4),配置与结果!$B$24,配置与结果!$B$25)*MAX(0,1-INDEX(配置与结果!$I$15:$I$18,F1604))</f>
        <v>1000</v>
      </c>
      <c r="AF1604" s="1">
        <f>4</f>
        <v>4</v>
      </c>
      <c r="AG1604" s="1">
        <f>MAX(配置与结果!$B$32,1+INDEX(配置与结果!$F$15:$F$18,F1604)+0+Q1604*方案参数!$W$47+Y1604*(方案参数!$AN$47+MIN(方案参数!$AO$47,P1604*0.03))+AB1604*方案参数!$BZ$47*0.025-配置与结果!$B$28)</f>
        <v>1.0150000000000001</v>
      </c>
      <c r="AH1604" s="1">
        <f>MAX(0,1+INDEX(配置与结果!$G$15:$G$18,F1604)+W1604*方案参数!$AG$47)</f>
        <v>1.3</v>
      </c>
      <c r="AI1604" s="1">
        <f>IF(OR(INDEX(配置与结果!$K$15:$K$18,F1604)=1,G1604="RHI_BERRY"),1+配置与结果!$B$33+P1604*方案参数!$AH$47,1)</f>
        <v>1</v>
      </c>
      <c r="AJ1604" s="1">
        <f>MIN(1,MAX(0,J1604+方案参数!$AB$47-配置与结果!$B$27))</f>
        <v>0.55499999999999994</v>
      </c>
      <c r="AK1604" s="1">
        <f>MAX(1,K1604+IF(F1604=2,0.15+方案参数!$CH$47,0)+BN1604*方案参数!$X$47+R1604*方案参数!$AA$47+0-配置与结果!$B$26+Z1604*(方案参数!$AP$47+MIN(方案参数!$AQ$47,P1604*0.03)))</f>
        <v>1.6449999999999998</v>
      </c>
      <c r="AL1604" s="7">
        <f>ROUNDDOWN(MAX(AD1604*配置与结果!$B$31,AD1604-AE1604)*AF1604*AG1604*AH1604*AI1604,0)</f>
        <v>12128</v>
      </c>
      <c r="AM1604" s="7">
        <f>ROUNDDOWN(MAX(AD1604*配置与结果!$B$31,AD1604-AE1604)*AF1604*AG1604*AH1604*AI1604*AK1604,0)</f>
        <v>19951</v>
      </c>
      <c r="AN1604" s="7">
        <f t="shared" si="2174"/>
        <v>16469.764999999999</v>
      </c>
      <c r="AO1604" s="7">
        <f>0</f>
        <v>0</v>
      </c>
      <c r="AP1604" s="7">
        <f>MAX(0,1+INDEX(配置与结果!$J$15:$J$18,F1604)+IF(T1604&gt;0,方案参数!$BY$47,0)-配置与结果!$B$30)</f>
        <v>1</v>
      </c>
      <c r="AQ1604" s="7">
        <f t="shared" si="2175"/>
        <v>0</v>
      </c>
      <c r="AR1604" s="7">
        <f t="shared" si="2176"/>
        <v>0</v>
      </c>
      <c r="AS1604" s="7">
        <f t="shared" si="2177"/>
        <v>0</v>
      </c>
      <c r="AT1604" s="7">
        <f>0</f>
        <v>0</v>
      </c>
      <c r="AU1604" s="7">
        <f t="shared" si="2178"/>
        <v>16469.764999999999</v>
      </c>
      <c r="AV1604" s="1">
        <f t="shared" si="2179"/>
        <v>2</v>
      </c>
      <c r="AW1604" s="1">
        <f t="shared" si="2255"/>
        <v>10</v>
      </c>
      <c r="AX1604" s="1">
        <f t="shared" si="2180"/>
        <v>2</v>
      </c>
      <c r="AY1604" s="1">
        <f t="shared" si="2249"/>
        <v>6</v>
      </c>
      <c r="AZ1604" s="1">
        <f t="shared" si="2181"/>
        <v>5</v>
      </c>
      <c r="BA1604" s="1">
        <f>MIN(6,Q1604+1)</f>
        <v>5</v>
      </c>
      <c r="BB1604" s="1">
        <f t="shared" si="2242"/>
        <v>5</v>
      </c>
      <c r="BC1604" s="1">
        <f t="shared" si="2256"/>
        <v>2</v>
      </c>
      <c r="BD1604" s="1">
        <f t="shared" si="2250"/>
        <v>0</v>
      </c>
      <c r="BE1604" s="1">
        <f t="shared" si="2243"/>
        <v>0</v>
      </c>
      <c r="BF1604" s="1">
        <f>MIN(4,V1604+0)</f>
        <v>2</v>
      </c>
      <c r="BG1604" s="1">
        <f t="shared" ref="BG1604:BG1626" si="2260">MAX(W1604,0)</f>
        <v>1</v>
      </c>
      <c r="BH1604" s="1">
        <f t="shared" si="2244"/>
        <v>1</v>
      </c>
      <c r="BI1604" s="1">
        <f t="shared" ref="BI1604:BI1626" si="2261">MAX(Y1604,0)</f>
        <v>1</v>
      </c>
      <c r="BJ1604" s="1">
        <f>MAX(Z1604,1)</f>
        <v>1</v>
      </c>
      <c r="BK1604" s="1">
        <f>MAX(AA1604,1)</f>
        <v>1</v>
      </c>
      <c r="BL1604" s="1">
        <f t="shared" si="2224"/>
        <v>0</v>
      </c>
      <c r="BM1604" s="1">
        <f t="shared" si="2222"/>
        <v>0</v>
      </c>
      <c r="BN1604" s="1">
        <f t="shared" si="2245"/>
        <v>1</v>
      </c>
      <c r="BO1604" s="1">
        <f t="shared" si="2246"/>
        <v>1</v>
      </c>
    </row>
    <row r="1605" spans="1:67" ht="30.95" customHeight="1">
      <c r="A1605" s="1">
        <f>44</f>
        <v>44</v>
      </c>
      <c r="B1605" s="1">
        <f>固定流程!A21</f>
        <v>16</v>
      </c>
      <c r="C1605" s="1">
        <f>47</f>
        <v>47</v>
      </c>
      <c r="D1605" s="1">
        <f>1</f>
        <v>1</v>
      </c>
      <c r="E1605" s="1">
        <f>固定流程!C21</f>
        <v>3</v>
      </c>
      <c r="F1605" s="1">
        <f>固定流程!G21</f>
        <v>2</v>
      </c>
      <c r="G1605" s="1" t="str">
        <f>固定流程!H21</f>
        <v>37_ULT</v>
      </c>
      <c r="H1605" s="1">
        <f>固定流程!F21</f>
        <v>1</v>
      </c>
      <c r="I1605" s="1">
        <f>INDEX(配置与结果!$B$15:$B$18,F1605)</f>
        <v>2306</v>
      </c>
      <c r="J1605" s="1">
        <f>INDEX(配置与结果!$D$15:$D$18,F1605)</f>
        <v>0.46</v>
      </c>
      <c r="K1605" s="1">
        <f>INDEX(配置与结果!$E$15:$E$18,F1605)</f>
        <v>1.9279999999999999</v>
      </c>
      <c r="L1605" s="1">
        <f t="shared" si="2257"/>
        <v>2</v>
      </c>
      <c r="M1605" s="1">
        <f t="shared" si="2258"/>
        <v>10</v>
      </c>
      <c r="N1605" s="1">
        <f t="shared" si="2259"/>
        <v>2</v>
      </c>
      <c r="O1605" s="1">
        <f t="shared" si="2251"/>
        <v>6</v>
      </c>
      <c r="P1605" s="1">
        <f>MIN(方案参数!$AI$47,AZ1604+0+0)</f>
        <v>5</v>
      </c>
      <c r="Q1605" s="1">
        <f t="shared" si="2229"/>
        <v>5</v>
      </c>
      <c r="R1605" s="1">
        <f t="shared" si="2230"/>
        <v>5</v>
      </c>
      <c r="S1605" s="1">
        <f t="shared" si="2231"/>
        <v>2</v>
      </c>
      <c r="T1605" s="1">
        <f>BD1604+方案参数!$BX$47</f>
        <v>2</v>
      </c>
      <c r="U1605" s="1">
        <f t="shared" si="2233"/>
        <v>0</v>
      </c>
      <c r="V1605" s="1">
        <f t="shared" si="2234"/>
        <v>2</v>
      </c>
      <c r="W1605" s="1">
        <f t="shared" si="2235"/>
        <v>1</v>
      </c>
      <c r="X1605" s="1">
        <f t="shared" si="2236"/>
        <v>1</v>
      </c>
      <c r="Y1605" s="1">
        <f t="shared" si="2237"/>
        <v>1</v>
      </c>
      <c r="Z1605" s="1">
        <f t="shared" si="2238"/>
        <v>1</v>
      </c>
      <c r="AA1605" s="1">
        <f t="shared" ref="AA1605:AA1625" si="2262">MAX(BK1604,0)</f>
        <v>1</v>
      </c>
      <c r="AB1605" s="1">
        <f t="shared" si="2240"/>
        <v>0</v>
      </c>
      <c r="AC1605" s="1">
        <f>MAX(BM1604,1)</f>
        <v>1</v>
      </c>
      <c r="AD1605" s="1">
        <f>ROUNDDOWN(I1605*(1+IF(F1605=3,0.05+方案参数!$Y$47+AA1605*0.12,IF(F1605=4,方案参数!$BZ$47*方案参数!$AS$47,0)))+IF(AND(X1605=1,F1605&lt;&gt;3),方案参数!$CC$47,0)+AC1605*方案参数!$CB$47,0)</f>
        <v>3044</v>
      </c>
      <c r="AE1605" s="1">
        <f>IF(OR(F1605=1,F1605=4),配置与结果!$B$24,配置与结果!$B$25)*MAX(0,1-INDEX(配置与结果!$I$15:$I$18,F1605))</f>
        <v>1000</v>
      </c>
      <c r="AF1605" s="1">
        <f>0</f>
        <v>0</v>
      </c>
      <c r="AG1605" s="1">
        <f>MAX(配置与结果!$B$32,1+INDEX(配置与结果!$F$15:$F$18,F1605)+0+Q1605*方案参数!$W$47+Y1605*(方案参数!$AN$47+MIN(方案参数!$AO$47,P1605*0.03))+AB1605*方案参数!$BZ$47*0.025-配置与结果!$B$28)</f>
        <v>1.0049999999999999</v>
      </c>
      <c r="AH1605" s="1">
        <f>MAX(0,1+INDEX(配置与结果!$G$15:$G$18,F1605)+W1605*方案参数!$AG$47)</f>
        <v>1.3</v>
      </c>
      <c r="AI1605" s="1">
        <f>IF(OR(INDEX(配置与结果!$K$15:$K$18,F1605)=1,G1605="RHI_BERRY"),1+配置与结果!$B$33+P1605*方案参数!$AH$47,1)</f>
        <v>1</v>
      </c>
      <c r="AJ1605" s="1">
        <f>MIN(1,MAX(0,J1605+方案参数!$AB$47-配置与结果!$B$27))</f>
        <v>0.76</v>
      </c>
      <c r="AK1605" s="1">
        <f>MAX(1,K1605+IF(F1605=2,0.15+方案参数!$CH$47,0)+BN1605*方案参数!$X$47+R1605*方案参数!$AA$47+0-配置与结果!$B$26+Z1605*(方案参数!$AP$47+MIN(方案参数!$AQ$47,P1605*0.03)))</f>
        <v>2.2930000000000001</v>
      </c>
      <c r="AL1605" s="7">
        <f>ROUNDDOWN(MAX(AD1605*配置与结果!$B$31,AD1605-AE1605)*AF1605*AG1605*AH1605*AI1605,0)</f>
        <v>0</v>
      </c>
      <c r="AM1605" s="7">
        <f>ROUNDDOWN(MAX(AD1605*配置与结果!$B$31,AD1605-AE1605)*AF1605*AG1605*AH1605*AI1605*AK1605,0)</f>
        <v>0</v>
      </c>
      <c r="AN1605" s="7">
        <f t="shared" si="2174"/>
        <v>0</v>
      </c>
      <c r="AO1605" s="7">
        <f>0</f>
        <v>0</v>
      </c>
      <c r="AP1605" s="7">
        <f>MAX(0,1+INDEX(配置与结果!$J$15:$J$18,F1605)+IF(T1605&gt;0,方案参数!$BY$47,0)-配置与结果!$B$30)</f>
        <v>2</v>
      </c>
      <c r="AQ1605" s="7">
        <f t="shared" si="2175"/>
        <v>0</v>
      </c>
      <c r="AR1605" s="7">
        <f t="shared" si="2176"/>
        <v>0</v>
      </c>
      <c r="AS1605" s="7">
        <f t="shared" si="2177"/>
        <v>0</v>
      </c>
      <c r="AT1605" s="7">
        <f>0</f>
        <v>0</v>
      </c>
      <c r="AU1605" s="7">
        <f t="shared" si="2178"/>
        <v>0</v>
      </c>
      <c r="AV1605" s="1">
        <f t="shared" si="2179"/>
        <v>2</v>
      </c>
      <c r="AW1605" s="1">
        <f t="shared" si="2255"/>
        <v>10</v>
      </c>
      <c r="AX1605" s="1">
        <f t="shared" si="2180"/>
        <v>2</v>
      </c>
      <c r="AY1605" s="1">
        <f t="shared" si="2249"/>
        <v>6</v>
      </c>
      <c r="AZ1605" s="1">
        <f t="shared" si="2181"/>
        <v>5</v>
      </c>
      <c r="BA1605" s="1">
        <f t="shared" ref="BA1605:BA1625" si="2263">MIN(6,Q1605+0)</f>
        <v>5</v>
      </c>
      <c r="BB1605" s="1">
        <f>MIN(30,R1605+5)</f>
        <v>10</v>
      </c>
      <c r="BC1605" s="1">
        <f t="shared" si="2256"/>
        <v>2</v>
      </c>
      <c r="BD1605" s="1">
        <f t="shared" si="2250"/>
        <v>2</v>
      </c>
      <c r="BE1605" s="1">
        <f t="shared" si="2243"/>
        <v>0</v>
      </c>
      <c r="BF1605" s="1">
        <f>MIN(4,V1605+0)</f>
        <v>2</v>
      </c>
      <c r="BG1605" s="1">
        <f t="shared" si="2260"/>
        <v>1</v>
      </c>
      <c r="BH1605" s="1">
        <f t="shared" si="2244"/>
        <v>1</v>
      </c>
      <c r="BI1605" s="1">
        <f t="shared" si="2261"/>
        <v>1</v>
      </c>
      <c r="BJ1605" s="1">
        <f t="shared" ref="BJ1605:BJ1632" si="2264">MAX(Z1605,0)</f>
        <v>1</v>
      </c>
      <c r="BK1605" s="1">
        <f t="shared" ref="BK1605:BK1632" si="2265">MAX(AA1605,0)</f>
        <v>1</v>
      </c>
      <c r="BL1605" s="1">
        <f t="shared" si="2224"/>
        <v>0</v>
      </c>
      <c r="BM1605" s="1">
        <f>MAX(AC1605,1)</f>
        <v>1</v>
      </c>
      <c r="BN1605" s="1">
        <f t="shared" si="2245"/>
        <v>1</v>
      </c>
      <c r="BO1605" s="1">
        <f t="shared" si="2246"/>
        <v>1</v>
      </c>
    </row>
    <row r="1606" spans="1:67" ht="30.95" customHeight="1">
      <c r="A1606" s="1">
        <f>44</f>
        <v>44</v>
      </c>
      <c r="B1606" s="1">
        <f>固定流程!A22</f>
        <v>17</v>
      </c>
      <c r="C1606" s="1">
        <f>47</f>
        <v>47</v>
      </c>
      <c r="D1606" s="1">
        <f>1</f>
        <v>1</v>
      </c>
      <c r="E1606" s="1">
        <f>固定流程!C22</f>
        <v>3</v>
      </c>
      <c r="F1606" s="1">
        <f>固定流程!G22</f>
        <v>2</v>
      </c>
      <c r="G1606" s="1" t="str">
        <f>固定流程!H22</f>
        <v>37_FOLLOW</v>
      </c>
      <c r="H1606" s="1">
        <f>固定流程!F22</f>
        <v>1</v>
      </c>
      <c r="I1606" s="1">
        <f>INDEX(配置与结果!$B$15:$B$18,F1606)</f>
        <v>2306</v>
      </c>
      <c r="J1606" s="1">
        <f>INDEX(配置与结果!$D$15:$D$18,F1606)</f>
        <v>0.46</v>
      </c>
      <c r="K1606" s="1">
        <f>INDEX(配置与结果!$E$15:$E$18,F1606)</f>
        <v>1.9279999999999999</v>
      </c>
      <c r="L1606" s="1">
        <f t="shared" si="2257"/>
        <v>2</v>
      </c>
      <c r="M1606" s="1">
        <f t="shared" si="2258"/>
        <v>10</v>
      </c>
      <c r="N1606" s="1">
        <f t="shared" si="2259"/>
        <v>2</v>
      </c>
      <c r="O1606" s="1">
        <f t="shared" si="2251"/>
        <v>6</v>
      </c>
      <c r="P1606" s="1">
        <f>MIN(方案参数!$AI$47,AZ1605+0+0)</f>
        <v>5</v>
      </c>
      <c r="Q1606" s="1">
        <f t="shared" si="2229"/>
        <v>5</v>
      </c>
      <c r="R1606" s="1">
        <f t="shared" si="2230"/>
        <v>10</v>
      </c>
      <c r="S1606" s="1">
        <f t="shared" si="2231"/>
        <v>2</v>
      </c>
      <c r="T1606" s="1">
        <f t="shared" ref="T1606:T1625" si="2266">BD1605+0</f>
        <v>2</v>
      </c>
      <c r="U1606" s="1">
        <f t="shared" si="2233"/>
        <v>0</v>
      </c>
      <c r="V1606" s="1">
        <f t="shared" si="2234"/>
        <v>2</v>
      </c>
      <c r="W1606" s="1">
        <f t="shared" si="2235"/>
        <v>1</v>
      </c>
      <c r="X1606" s="1">
        <f t="shared" si="2236"/>
        <v>1</v>
      </c>
      <c r="Y1606" s="1">
        <f t="shared" si="2237"/>
        <v>1</v>
      </c>
      <c r="Z1606" s="1">
        <f t="shared" si="2238"/>
        <v>1</v>
      </c>
      <c r="AA1606" s="1">
        <f t="shared" si="2262"/>
        <v>1</v>
      </c>
      <c r="AB1606" s="1">
        <f t="shared" si="2240"/>
        <v>0</v>
      </c>
      <c r="AC1606" s="1">
        <f t="shared" ref="AC1606:AC1625" si="2267">MAX(BM1605,0)</f>
        <v>1</v>
      </c>
      <c r="AD1606" s="1">
        <f>ROUNDDOWN(I1606*(1+IF(F1606=3,0.05+方案参数!$Y$47+AA1606*0.12,IF(F1606=4,方案参数!$BZ$47*方案参数!$AS$47,0)))+IF(AND(X1606=1,F1606&lt;&gt;3),方案参数!$CC$47,0)+AC1606*方案参数!$CB$47,0)</f>
        <v>3044</v>
      </c>
      <c r="AE1606" s="1">
        <f>IF(OR(F1606=1,F1606=4),配置与结果!$B$24,配置与结果!$B$25)*MAX(0,1-INDEX(配置与结果!$I$15:$I$18,F1606))</f>
        <v>1000</v>
      </c>
      <c r="AF1606" s="1">
        <f>方案参数!$BV$47</f>
        <v>3</v>
      </c>
      <c r="AG1606" s="1">
        <f>MAX(配置与结果!$B$32,1+INDEX(配置与结果!$F$15:$F$18,F1606)+0+Q1606*方案参数!$W$47+Y1606*(方案参数!$AN$47+MIN(方案参数!$AO$47,P1606*0.03))+AB1606*方案参数!$BZ$47*0.025-配置与结果!$B$28)</f>
        <v>1.0049999999999999</v>
      </c>
      <c r="AH1606" s="1">
        <f>MAX(0,1+INDEX(配置与结果!$G$15:$G$18,F1606)+W1606*方案参数!$AG$47)</f>
        <v>1.3</v>
      </c>
      <c r="AI1606" s="1">
        <f>IF(OR(INDEX(配置与结果!$K$15:$K$18,F1606)=1,G1606="RHI_BERRY"),1+配置与结果!$B$33+P1606*方案参数!$AH$47,1)</f>
        <v>1</v>
      </c>
      <c r="AJ1606" s="1">
        <f>MIN(1,MAX(0,J1606+方案参数!$AB$47-配置与结果!$B$27))</f>
        <v>0.76</v>
      </c>
      <c r="AK1606" s="1">
        <f>MAX(1,K1606+IF(F1606=2,0.15+方案参数!$CH$47,0)+BN1606*方案参数!$X$47+R1606*方案参数!$AA$47+0-配置与结果!$B$26+Z1606*(方案参数!$AP$47+MIN(方案参数!$AQ$47,P1606*0.03)))</f>
        <v>2.3279999999999998</v>
      </c>
      <c r="AL1606" s="7">
        <f>ROUNDDOWN(MAX(AD1606*配置与结果!$B$31,AD1606-AE1606)*AF1606*AG1606*AH1606*AI1606,0)</f>
        <v>8011</v>
      </c>
      <c r="AM1606" s="7">
        <f>ROUNDDOWN(MAX(AD1606*配置与结果!$B$31,AD1606-AE1606)*AF1606*AG1606*AH1606*AI1606*AK1606,0)</f>
        <v>18650</v>
      </c>
      <c r="AN1606" s="7">
        <f t="shared" ref="AN1606:AN1661" si="2268">AL1606*(1-AJ1606)+AM1606*AJ1606</f>
        <v>16096.64</v>
      </c>
      <c r="AO1606" s="7">
        <f>方案参数!$BW$47</f>
        <v>1</v>
      </c>
      <c r="AP1606" s="7">
        <f>MAX(0,1+INDEX(配置与结果!$J$15:$J$18,F1606)+IF(T1606&gt;0,方案参数!$BY$47,0)-配置与结果!$B$30)</f>
        <v>2</v>
      </c>
      <c r="AQ1606" s="7">
        <f t="shared" ref="AQ1606:AQ1661" si="2269">ROUNDDOWN(ROUNDDOWN(AD1606*AO1606,0)*AP1606,0)</f>
        <v>6088</v>
      </c>
      <c r="AR1606" s="7">
        <f t="shared" ref="AR1606:AR1661" si="2270">ROUNDDOWN(ROUNDDOWN(AD1606*AO1606,0)*AP1606*AK1606,0)</f>
        <v>14172</v>
      </c>
      <c r="AS1606" s="7">
        <f t="shared" ref="AS1606:AS1661" si="2271">AQ1606*(1-AJ1606)+AR1606*AJ1606</f>
        <v>12231.84</v>
      </c>
      <c r="AT1606" s="7">
        <f>0</f>
        <v>0</v>
      </c>
      <c r="AU1606" s="7">
        <f t="shared" ref="AU1606:AU1661" si="2272">AN1606+AS1606+AT1606</f>
        <v>28328.48</v>
      </c>
      <c r="AV1606" s="1">
        <f t="shared" ref="AV1606:AV1661" si="2273">IF(G1606="LILYA_COBRA",IF(L1606=0,1,L1606),L1606)</f>
        <v>2</v>
      </c>
      <c r="AW1606" s="1">
        <f t="shared" si="2255"/>
        <v>10</v>
      </c>
      <c r="AX1606" s="1">
        <f t="shared" ref="AX1606:AX1661" si="2274">N1606</f>
        <v>2</v>
      </c>
      <c r="AY1606" s="1">
        <f t="shared" si="2249"/>
        <v>6</v>
      </c>
      <c r="AZ1606" s="1">
        <f t="shared" ref="AZ1606:AZ1661" si="2275">P1606</f>
        <v>5</v>
      </c>
      <c r="BA1606" s="1">
        <f t="shared" si="2263"/>
        <v>5</v>
      </c>
      <c r="BB1606" s="1">
        <f>MIN(30,R1606+0)</f>
        <v>10</v>
      </c>
      <c r="BC1606" s="1">
        <f t="shared" si="2256"/>
        <v>2</v>
      </c>
      <c r="BD1606" s="1">
        <f t="shared" si="2250"/>
        <v>1</v>
      </c>
      <c r="BE1606" s="1">
        <f t="shared" si="2243"/>
        <v>0</v>
      </c>
      <c r="BF1606" s="1">
        <f>MIN(4,V1606+1)</f>
        <v>3</v>
      </c>
      <c r="BG1606" s="1">
        <f t="shared" si="2260"/>
        <v>1</v>
      </c>
      <c r="BH1606" s="1">
        <f t="shared" si="2244"/>
        <v>1</v>
      </c>
      <c r="BI1606" s="1">
        <f t="shared" si="2261"/>
        <v>1</v>
      </c>
      <c r="BJ1606" s="1">
        <f t="shared" si="2264"/>
        <v>1</v>
      </c>
      <c r="BK1606" s="1">
        <f t="shared" si="2265"/>
        <v>1</v>
      </c>
      <c r="BL1606" s="1">
        <f t="shared" si="2224"/>
        <v>0</v>
      </c>
      <c r="BM1606" s="1">
        <f t="shared" ref="BM1606:BM1640" si="2276">MAX(AC1606,0)</f>
        <v>1</v>
      </c>
      <c r="BN1606" s="1">
        <f t="shared" si="2245"/>
        <v>1</v>
      </c>
      <c r="BO1606" s="1">
        <f t="shared" si="2246"/>
        <v>1</v>
      </c>
    </row>
    <row r="1607" spans="1:67" ht="30.95" customHeight="1">
      <c r="A1607" s="1">
        <f>44</f>
        <v>44</v>
      </c>
      <c r="B1607" s="1">
        <f>固定流程!A23</f>
        <v>18</v>
      </c>
      <c r="C1607" s="1">
        <f>47</f>
        <v>47</v>
      </c>
      <c r="D1607" s="1">
        <f>1</f>
        <v>1</v>
      </c>
      <c r="E1607" s="1">
        <f>固定流程!C23</f>
        <v>3</v>
      </c>
      <c r="F1607" s="1">
        <f>固定流程!G23</f>
        <v>4</v>
      </c>
      <c r="G1607" s="1" t="str">
        <f>固定流程!H23</f>
        <v>J_HARD</v>
      </c>
      <c r="H1607" s="1">
        <f>固定流程!F23</f>
        <v>1</v>
      </c>
      <c r="I1607" s="1">
        <f>INDEX(配置与结果!$B$15:$B$18,F1607)</f>
        <v>1906</v>
      </c>
      <c r="J1607" s="1">
        <f>INDEX(配置与结果!$D$15:$D$18,F1607)</f>
        <v>0.36699999999999999</v>
      </c>
      <c r="K1607" s="1">
        <f>INDEX(配置与结果!$E$15:$E$18,F1607)</f>
        <v>1.7170000000000001</v>
      </c>
      <c r="L1607" s="1">
        <f t="shared" si="2257"/>
        <v>2</v>
      </c>
      <c r="M1607" s="1">
        <f t="shared" si="2258"/>
        <v>10</v>
      </c>
      <c r="N1607" s="1">
        <f t="shared" si="2259"/>
        <v>2</v>
      </c>
      <c r="O1607" s="1">
        <f t="shared" si="2251"/>
        <v>6</v>
      </c>
      <c r="P1607" s="1">
        <f>MIN(方案参数!$AI$47,AZ1606+0+0)</f>
        <v>5</v>
      </c>
      <c r="Q1607" s="1">
        <f t="shared" si="2229"/>
        <v>5</v>
      </c>
      <c r="R1607" s="1">
        <f t="shared" si="2230"/>
        <v>10</v>
      </c>
      <c r="S1607" s="1">
        <f t="shared" si="2231"/>
        <v>2</v>
      </c>
      <c r="T1607" s="1">
        <f t="shared" si="2266"/>
        <v>1</v>
      </c>
      <c r="U1607" s="1">
        <f t="shared" si="2233"/>
        <v>0</v>
      </c>
      <c r="V1607" s="1">
        <f t="shared" si="2234"/>
        <v>3</v>
      </c>
      <c r="W1607" s="1">
        <f t="shared" si="2235"/>
        <v>1</v>
      </c>
      <c r="X1607" s="1">
        <f t="shared" si="2236"/>
        <v>1</v>
      </c>
      <c r="Y1607" s="1">
        <f t="shared" si="2237"/>
        <v>1</v>
      </c>
      <c r="Z1607" s="1">
        <f t="shared" si="2238"/>
        <v>1</v>
      </c>
      <c r="AA1607" s="1">
        <f t="shared" si="2262"/>
        <v>1</v>
      </c>
      <c r="AB1607" s="1">
        <f t="shared" si="2240"/>
        <v>0</v>
      </c>
      <c r="AC1607" s="1">
        <f t="shared" si="2267"/>
        <v>1</v>
      </c>
      <c r="AD1607" s="1">
        <f>ROUNDDOWN(I1607*(1+IF(F1607=3,0.05+方案参数!$Y$47+AA1607*0.12,IF(F1607=4,方案参数!$BZ$47*方案参数!$AS$47,0)))+IF(AND(X1607=1,F1607&lt;&gt;3),方案参数!$CC$47,0)+AC1607*方案参数!$CB$47,0)</f>
        <v>3311</v>
      </c>
      <c r="AE1607" s="1">
        <f>IF(OR(F1607=1,F1607=4),配置与结果!$B$24,配置与结果!$B$25)*MAX(0,1-INDEX(配置与结果!$I$15:$I$18,F1607))</f>
        <v>1200</v>
      </c>
      <c r="AF1607" s="1">
        <f>3.6*IF(H1607=1,1,IF(H1607=2,1.5,2.5))</f>
        <v>3.6</v>
      </c>
      <c r="AG1607" s="1">
        <f>MAX(配置与结果!$B$32,1+INDEX(配置与结果!$F$15:$F$18,F1607)+0.08+Q1607*方案参数!$W$47+Y1607*(方案参数!$AN$47+MIN(方案参数!$AO$47,P1607*0.03))+AB1607*方案参数!$BZ$47*0.025+0.1+IF(方案参数!$BZ$47&gt;=30,方案参数!$BZ$47*0.01,0)-配置与结果!$B$28)</f>
        <v>1.5550000000000002</v>
      </c>
      <c r="AH1607" s="1">
        <f>MAX(0,1+INDEX(配置与结果!$G$15:$G$18,F1607)+W1607*方案参数!$AG$47)</f>
        <v>1.3</v>
      </c>
      <c r="AI1607" s="1">
        <f>IF(OR(INDEX(配置与结果!$K$15:$K$18,F1607)=1,G1607="RHI_BERRY"),1+配置与结果!$B$33+P1607*方案参数!$AH$47,1)</f>
        <v>1</v>
      </c>
      <c r="AJ1607" s="1">
        <f>MIN(1,MAX(0,J1607+方案参数!$AB$47-配置与结果!$B$27))</f>
        <v>0.66700000000000004</v>
      </c>
      <c r="AK1607" s="1">
        <f>MAX(1,K1607+IF(F1607=2,0.15+方案参数!$CH$47,0)+BN1607*方案参数!$X$47+R1607*方案参数!$AA$47+0-配置与结果!$B$26+Z1607*(方案参数!$AP$47+MIN(方案参数!$AQ$47,P1607*0.03)))</f>
        <v>1.8470000000000002</v>
      </c>
      <c r="AL1607" s="7">
        <f>ROUNDDOWN(MAX(AD1607*配置与结果!$B$31,AD1607-AE1607)*AF1607*AG1607*AH1607*AI1607,0)</f>
        <v>15362</v>
      </c>
      <c r="AM1607" s="7">
        <f>ROUNDDOWN(MAX(AD1607*配置与结果!$B$31,AD1607-AE1607)*AF1607*AG1607*AH1607*AI1607*AK1607,0)</f>
        <v>28374</v>
      </c>
      <c r="AN1607" s="7">
        <f t="shared" si="2268"/>
        <v>24041.004000000001</v>
      </c>
      <c r="AO1607" s="7">
        <f>0</f>
        <v>0</v>
      </c>
      <c r="AP1607" s="7">
        <f>MAX(0,1+INDEX(配置与结果!$J$15:$J$18,F1607)+IF(T1607&gt;0,方案参数!$BY$47,0)-配置与结果!$B$30)</f>
        <v>2</v>
      </c>
      <c r="AQ1607" s="7">
        <f t="shared" si="2269"/>
        <v>0</v>
      </c>
      <c r="AR1607" s="7">
        <f t="shared" si="2270"/>
        <v>0</v>
      </c>
      <c r="AS1607" s="7">
        <f t="shared" si="2271"/>
        <v>0</v>
      </c>
      <c r="AT1607" s="7">
        <f>0</f>
        <v>0</v>
      </c>
      <c r="AU1607" s="7">
        <f t="shared" si="2272"/>
        <v>24041.004000000001</v>
      </c>
      <c r="AV1607" s="1">
        <f t="shared" si="2273"/>
        <v>2</v>
      </c>
      <c r="AW1607" s="1">
        <f t="shared" si="2255"/>
        <v>10</v>
      </c>
      <c r="AX1607" s="1">
        <f t="shared" si="2274"/>
        <v>2</v>
      </c>
      <c r="AY1607" s="1">
        <f t="shared" si="2249"/>
        <v>6</v>
      </c>
      <c r="AZ1607" s="1">
        <f t="shared" si="2275"/>
        <v>5</v>
      </c>
      <c r="BA1607" s="1">
        <f t="shared" si="2263"/>
        <v>5</v>
      </c>
      <c r="BB1607" s="1">
        <f>MIN(30,R1607+0)</f>
        <v>10</v>
      </c>
      <c r="BC1607" s="1">
        <f>MIN(3,S1607+1)</f>
        <v>3</v>
      </c>
      <c r="BD1607" s="1">
        <f t="shared" si="2250"/>
        <v>1</v>
      </c>
      <c r="BE1607" s="1">
        <f t="shared" si="2243"/>
        <v>0</v>
      </c>
      <c r="BF1607" s="1">
        <f>MIN(4,V1607+0)</f>
        <v>3</v>
      </c>
      <c r="BG1607" s="1">
        <f t="shared" si="2260"/>
        <v>1</v>
      </c>
      <c r="BH1607" s="1">
        <f t="shared" si="2244"/>
        <v>1</v>
      </c>
      <c r="BI1607" s="1">
        <f t="shared" si="2261"/>
        <v>1</v>
      </c>
      <c r="BJ1607" s="1">
        <f t="shared" si="2264"/>
        <v>1</v>
      </c>
      <c r="BK1607" s="1">
        <f t="shared" si="2265"/>
        <v>1</v>
      </c>
      <c r="BL1607" s="1">
        <f t="shared" si="2224"/>
        <v>0</v>
      </c>
      <c r="BM1607" s="1">
        <f t="shared" si="2276"/>
        <v>1</v>
      </c>
      <c r="BN1607" s="1">
        <f t="shared" si="2245"/>
        <v>1</v>
      </c>
      <c r="BO1607" s="1">
        <f t="shared" si="2246"/>
        <v>1</v>
      </c>
    </row>
    <row r="1608" spans="1:67" ht="30.95" customHeight="1">
      <c r="A1608" s="1">
        <f>44</f>
        <v>44</v>
      </c>
      <c r="B1608" s="1">
        <f>固定流程!A24</f>
        <v>19</v>
      </c>
      <c r="C1608" s="1">
        <f>47</f>
        <v>47</v>
      </c>
      <c r="D1608" s="1">
        <f>1</f>
        <v>1</v>
      </c>
      <c r="E1608" s="1">
        <f>固定流程!C24</f>
        <v>3</v>
      </c>
      <c r="F1608" s="1">
        <f>固定流程!G24</f>
        <v>4</v>
      </c>
      <c r="G1608" s="1" t="str">
        <f>固定流程!H24</f>
        <v>J_ULT</v>
      </c>
      <c r="H1608" s="1">
        <f>固定流程!F24</f>
        <v>1</v>
      </c>
      <c r="I1608" s="1">
        <f>INDEX(配置与结果!$B$15:$B$18,F1608)</f>
        <v>1906</v>
      </c>
      <c r="J1608" s="1">
        <f>INDEX(配置与结果!$D$15:$D$18,F1608)</f>
        <v>0.36699999999999999</v>
      </c>
      <c r="K1608" s="1">
        <f>INDEX(配置与结果!$E$15:$E$18,F1608)</f>
        <v>1.7170000000000001</v>
      </c>
      <c r="L1608" s="1">
        <f t="shared" si="2257"/>
        <v>2</v>
      </c>
      <c r="M1608" s="1">
        <f t="shared" si="2258"/>
        <v>10</v>
      </c>
      <c r="N1608" s="1">
        <f t="shared" si="2259"/>
        <v>2</v>
      </c>
      <c r="O1608" s="1">
        <f t="shared" si="2251"/>
        <v>6</v>
      </c>
      <c r="P1608" s="1">
        <f>MIN(方案参数!$AI$47,AZ1607+0+0)</f>
        <v>5</v>
      </c>
      <c r="Q1608" s="1">
        <f t="shared" si="2229"/>
        <v>5</v>
      </c>
      <c r="R1608" s="1">
        <f t="shared" si="2230"/>
        <v>10</v>
      </c>
      <c r="S1608" s="1">
        <f t="shared" si="2231"/>
        <v>3</v>
      </c>
      <c r="T1608" s="1">
        <f t="shared" si="2266"/>
        <v>1</v>
      </c>
      <c r="U1608" s="1">
        <f t="shared" si="2233"/>
        <v>0</v>
      </c>
      <c r="V1608" s="1">
        <f t="shared" si="2234"/>
        <v>3</v>
      </c>
      <c r="W1608" s="1">
        <f t="shared" si="2235"/>
        <v>1</v>
      </c>
      <c r="X1608" s="1">
        <f t="shared" si="2236"/>
        <v>1</v>
      </c>
      <c r="Y1608" s="1">
        <f t="shared" si="2237"/>
        <v>1</v>
      </c>
      <c r="Z1608" s="1">
        <f t="shared" si="2238"/>
        <v>1</v>
      </c>
      <c r="AA1608" s="1">
        <f t="shared" si="2262"/>
        <v>1</v>
      </c>
      <c r="AB1608" s="1">
        <f t="shared" si="2240"/>
        <v>0</v>
      </c>
      <c r="AC1608" s="1">
        <f t="shared" si="2267"/>
        <v>1</v>
      </c>
      <c r="AD1608" s="1">
        <f>ROUNDDOWN(I1608*(1+IF(F1608=3,0.05+方案参数!$Y$47+AA1608*0.12,IF(F1608=4,方案参数!$BZ$47*方案参数!$AS$47,0)))+IF(AND(X1608=1,F1608&lt;&gt;3),方案参数!$CC$47,0)+AC1608*方案参数!$CB$47,0)</f>
        <v>3311</v>
      </c>
      <c r="AE1608" s="1">
        <f>IF(OR(F1608=1,F1608=4),配置与结果!$B$24,配置与结果!$B$25)*MAX(0,1-INDEX(配置与结果!$I$15:$I$18,F1608))</f>
        <v>1200</v>
      </c>
      <c r="AF1608" s="1">
        <f>方案参数!$AT$47+MAX(0,配置与结果!$H$26+方案参数!$BZ$47-30)*方案参数!$AU$47*配置与结果!$H$27</f>
        <v>42</v>
      </c>
      <c r="AG1608" s="1">
        <f>MAX(配置与结果!$B$32,1+INDEX(配置与结果!$F$15:$F$18,F1608)+0.08+Q1608*方案参数!$W$47+Y1608*(方案参数!$AN$47+MIN(方案参数!$AO$47,P1608*0.03))+AB1608*方案参数!$BZ$47*0.025-配置与结果!$B$28)</f>
        <v>1.105</v>
      </c>
      <c r="AH1608" s="1">
        <f>MAX(0,1+INDEX(配置与结果!$H$15:$H$18,F1608)+W1608*方案参数!$AG$47+S1608*方案参数!$Z$47)</f>
        <v>1.51</v>
      </c>
      <c r="AI1608" s="1">
        <f>IF(OR(INDEX(配置与结果!$K$15:$K$18,F1608)=1,G1608="RHI_BERRY"),1+配置与结果!$B$33+P1608*方案参数!$AH$47,1)</f>
        <v>1</v>
      </c>
      <c r="AJ1608" s="1">
        <f>MIN(1,MAX(0,J1608+方案参数!$AB$47-配置与结果!$B$27))</f>
        <v>0.66700000000000004</v>
      </c>
      <c r="AK1608" s="1">
        <f>MAX(1,K1608+IF(F1608=2,0.15+方案参数!$CH$47,0)+BN1608*方案参数!$X$47+R1608*方案参数!$AA$47+0-配置与结果!$B$26+Z1608*(方案参数!$AP$47+MIN(方案参数!$AQ$47,P1608*0.03)))</f>
        <v>1.8470000000000002</v>
      </c>
      <c r="AL1608" s="7">
        <f>ROUNDDOWN(MAX(AD1608*配置与结果!$B$31,AD1608-AE1608)*AF1608*AG1608*AH1608*AI1608,0)</f>
        <v>147936</v>
      </c>
      <c r="AM1608" s="7">
        <f>ROUNDDOWN(MAX(AD1608*配置与结果!$B$31,AD1608-AE1608)*AF1608*AG1608*AH1608*AI1608*AK1608,0)</f>
        <v>273239</v>
      </c>
      <c r="AN1608" s="7">
        <f t="shared" si="2268"/>
        <v>231513.101</v>
      </c>
      <c r="AO1608" s="7">
        <f>0</f>
        <v>0</v>
      </c>
      <c r="AP1608" s="7">
        <f>MAX(0,1+INDEX(配置与结果!$J$15:$J$18,F1608)+IF(T1608&gt;0,方案参数!$BY$47,0)-配置与结果!$B$30)</f>
        <v>2</v>
      </c>
      <c r="AQ1608" s="7">
        <f t="shared" si="2269"/>
        <v>0</v>
      </c>
      <c r="AR1608" s="7">
        <f t="shared" si="2270"/>
        <v>0</v>
      </c>
      <c r="AS1608" s="7">
        <f t="shared" si="2271"/>
        <v>0</v>
      </c>
      <c r="AT1608" s="7">
        <f>0</f>
        <v>0</v>
      </c>
      <c r="AU1608" s="7">
        <f t="shared" si="2272"/>
        <v>231513.101</v>
      </c>
      <c r="AV1608" s="1">
        <f t="shared" si="2273"/>
        <v>2</v>
      </c>
      <c r="AW1608" s="1">
        <f t="shared" si="2255"/>
        <v>10</v>
      </c>
      <c r="AX1608" s="1">
        <f t="shared" si="2274"/>
        <v>2</v>
      </c>
      <c r="AY1608" s="1">
        <f t="shared" si="2249"/>
        <v>6</v>
      </c>
      <c r="AZ1608" s="1">
        <f t="shared" si="2275"/>
        <v>5</v>
      </c>
      <c r="BA1608" s="1">
        <f t="shared" si="2263"/>
        <v>5</v>
      </c>
      <c r="BB1608" s="1">
        <f>MIN(30,R1608+5)</f>
        <v>15</v>
      </c>
      <c r="BC1608" s="1">
        <f t="shared" ref="BC1608:BC1631" si="2277">MIN(3,S1608+0)</f>
        <v>3</v>
      </c>
      <c r="BD1608" s="1">
        <f t="shared" si="2250"/>
        <v>1</v>
      </c>
      <c r="BE1608" s="1">
        <f t="shared" si="2243"/>
        <v>0</v>
      </c>
      <c r="BF1608" s="1">
        <f>MIN(4,V1608+0)</f>
        <v>3</v>
      </c>
      <c r="BG1608" s="1">
        <f t="shared" si="2260"/>
        <v>1</v>
      </c>
      <c r="BH1608" s="1">
        <f t="shared" si="2244"/>
        <v>1</v>
      </c>
      <c r="BI1608" s="1">
        <f t="shared" si="2261"/>
        <v>1</v>
      </c>
      <c r="BJ1608" s="1">
        <f t="shared" si="2264"/>
        <v>1</v>
      </c>
      <c r="BK1608" s="1">
        <f t="shared" si="2265"/>
        <v>1</v>
      </c>
      <c r="BL1608" s="1">
        <f>MAX(AB1608,1)</f>
        <v>1</v>
      </c>
      <c r="BM1608" s="1">
        <f t="shared" si="2276"/>
        <v>1</v>
      </c>
      <c r="BN1608" s="1">
        <f t="shared" si="2245"/>
        <v>1</v>
      </c>
      <c r="BO1608" s="1">
        <f t="shared" si="2246"/>
        <v>1</v>
      </c>
    </row>
    <row r="1609" spans="1:67" ht="30.95" customHeight="1">
      <c r="A1609" s="1">
        <f>44</f>
        <v>44</v>
      </c>
      <c r="B1609" s="1">
        <f>固定流程!A25</f>
        <v>20</v>
      </c>
      <c r="C1609" s="1">
        <f>47</f>
        <v>47</v>
      </c>
      <c r="D1609" s="1">
        <f>1</f>
        <v>1</v>
      </c>
      <c r="E1609" s="1">
        <f>固定流程!C25</f>
        <v>3</v>
      </c>
      <c r="F1609" s="1">
        <f>固定流程!G25</f>
        <v>1</v>
      </c>
      <c r="G1609" s="1" t="str">
        <f>固定流程!H25</f>
        <v>LILYA_ULT</v>
      </c>
      <c r="H1609" s="1">
        <f>固定流程!F25</f>
        <v>1</v>
      </c>
      <c r="I1609" s="1">
        <f>INDEX(配置与结果!$B$15:$B$18,F1609)</f>
        <v>2296</v>
      </c>
      <c r="J1609" s="1">
        <f>INDEX(配置与结果!$D$15:$D$18,F1609)</f>
        <v>0.7</v>
      </c>
      <c r="K1609" s="1">
        <f>INDEX(配置与结果!$E$15:$E$18,F1609)</f>
        <v>2.0249999999999999</v>
      </c>
      <c r="L1609" s="1">
        <f t="shared" si="2257"/>
        <v>2</v>
      </c>
      <c r="M1609" s="1">
        <f t="shared" si="2258"/>
        <v>10</v>
      </c>
      <c r="N1609" s="1">
        <f t="shared" si="2259"/>
        <v>2</v>
      </c>
      <c r="O1609" s="1">
        <f t="shared" si="2251"/>
        <v>6</v>
      </c>
      <c r="P1609" s="1">
        <f>MIN(方案参数!$AI$47,AZ1608+0+0)</f>
        <v>5</v>
      </c>
      <c r="Q1609" s="1">
        <f t="shared" si="2229"/>
        <v>5</v>
      </c>
      <c r="R1609" s="1">
        <f t="shared" si="2230"/>
        <v>15</v>
      </c>
      <c r="S1609" s="1">
        <f t="shared" si="2231"/>
        <v>3</v>
      </c>
      <c r="T1609" s="1">
        <f t="shared" si="2266"/>
        <v>1</v>
      </c>
      <c r="U1609" s="1">
        <f t="shared" si="2233"/>
        <v>0</v>
      </c>
      <c r="V1609" s="1">
        <f t="shared" si="2234"/>
        <v>3</v>
      </c>
      <c r="W1609" s="1">
        <f t="shared" si="2235"/>
        <v>1</v>
      </c>
      <c r="X1609" s="1">
        <f t="shared" si="2236"/>
        <v>1</v>
      </c>
      <c r="Y1609" s="1">
        <f t="shared" si="2237"/>
        <v>1</v>
      </c>
      <c r="Z1609" s="1">
        <f t="shared" si="2238"/>
        <v>1</v>
      </c>
      <c r="AA1609" s="1">
        <f t="shared" si="2262"/>
        <v>1</v>
      </c>
      <c r="AB1609" s="1">
        <f t="shared" si="2240"/>
        <v>1</v>
      </c>
      <c r="AC1609" s="1">
        <f t="shared" si="2267"/>
        <v>1</v>
      </c>
      <c r="AD1609" s="1">
        <f>ROUNDDOWN(I1609*(1+IF(F1609=3,0.05+方案参数!$Y$47+AA1609*0.12,IF(F1609=4,方案参数!$BZ$47*方案参数!$AS$47,0)))+IF(AND(X1609=1,F1609&lt;&gt;3),方案参数!$CC$47,0)+AC1609*方案参数!$CB$47,0)</f>
        <v>3034</v>
      </c>
      <c r="AE1609" s="1">
        <f>IF(OR(F1609=1,F1609=4),配置与结果!$B$24,配置与结果!$B$25)*MAX(0,1-INDEX(配置与结果!$I$15:$I$18,F1609)+IF(O1609&gt;=6,方案参数!$BK$47,0))</f>
        <v>1440</v>
      </c>
      <c r="AF1609" s="1">
        <f>方案参数!$BG$47+IF(O1609&gt;=6,方案参数!$BH$47,0)</f>
        <v>36</v>
      </c>
      <c r="AG1609" s="1">
        <f>MAX(配置与结果!$B$32,1+INDEX(配置与结果!$F$15:$F$18,F1609)+0.08+方案参数!$CD$47+Q1609*方案参数!$W$47+Y1609*(方案参数!$AN$47+MIN(方案参数!$AO$47,P1609*0.03))+AB1609*方案参数!$BZ$47*0.025-配置与结果!$B$28)</f>
        <v>2.2150000000000003</v>
      </c>
      <c r="AH1609" s="1">
        <f>MAX(0,1+INDEX(配置与结果!$H$15:$H$18,F1609)+W1609*方案参数!$AG$47+O1609*方案参数!$BF$47+IF(O1609&gt;=6,方案参数!$BI$47,0))</f>
        <v>2.4500000000000002</v>
      </c>
      <c r="AI1609" s="1">
        <f>IF(OR(INDEX(配置与结果!$K$15:$K$18,F1609)=1,G1609="RHI_BERRY"),1+配置与结果!$B$33+P1609*方案参数!$AH$47,1)</f>
        <v>1</v>
      </c>
      <c r="AJ1609" s="1">
        <f>MIN(1,MAX(0,J1609+方案参数!$AB$47-配置与结果!$B$27))</f>
        <v>1</v>
      </c>
      <c r="AK1609" s="1">
        <f>MAX(1,K1609+IF(F1609=2,0.15+方案参数!$CH$47,0)+BN1609*方案参数!$X$47+R1609*方案参数!$AA$47+IF(O1609&gt;=6,方案参数!$BJ$47,0)-配置与结果!$B$26+Z1609*(方案参数!$AP$47+MIN(方案参数!$AQ$47,P1609*0.03)))</f>
        <v>3.19</v>
      </c>
      <c r="AL1609" s="7">
        <f>ROUNDDOWN(MAX(AD1609*配置与结果!$B$31,AD1609-AE1609)*AF1609*AG1609*AH1609*AI1609,0)</f>
        <v>311408</v>
      </c>
      <c r="AM1609" s="7">
        <f>ROUNDDOWN(MAX(AD1609*配置与结果!$B$31,AD1609-AE1609)*AF1609*AG1609*AH1609*AI1609*AK1609,0)</f>
        <v>993393</v>
      </c>
      <c r="AN1609" s="7">
        <f t="shared" si="2268"/>
        <v>993393</v>
      </c>
      <c r="AO1609" s="7">
        <f>0</f>
        <v>0</v>
      </c>
      <c r="AP1609" s="7">
        <f>MAX(0,1+INDEX(配置与结果!$J$15:$J$18,F1609)+IF(T1609&gt;0,方案参数!$BY$47,0)-配置与结果!$B$30)</f>
        <v>2</v>
      </c>
      <c r="AQ1609" s="7">
        <f t="shared" si="2269"/>
        <v>0</v>
      </c>
      <c r="AR1609" s="7">
        <f t="shared" si="2270"/>
        <v>0</v>
      </c>
      <c r="AS1609" s="7">
        <f t="shared" si="2271"/>
        <v>0</v>
      </c>
      <c r="AT1609" s="7">
        <f>0</f>
        <v>0</v>
      </c>
      <c r="AU1609" s="7">
        <f t="shared" si="2272"/>
        <v>993393</v>
      </c>
      <c r="AV1609" s="1">
        <f t="shared" si="2273"/>
        <v>2</v>
      </c>
      <c r="AW1609" s="1">
        <f t="shared" si="2255"/>
        <v>10</v>
      </c>
      <c r="AX1609" s="1">
        <f t="shared" si="2274"/>
        <v>2</v>
      </c>
      <c r="AY1609" s="1">
        <f>MIN(20,MAX(0,O1609+0+0-IF(O1609&gt;=6,6,0)))</f>
        <v>0</v>
      </c>
      <c r="AZ1609" s="1">
        <f t="shared" si="2275"/>
        <v>5</v>
      </c>
      <c r="BA1609" s="1">
        <f t="shared" si="2263"/>
        <v>5</v>
      </c>
      <c r="BB1609" s="1">
        <f>MIN(30,R1609+5)</f>
        <v>20</v>
      </c>
      <c r="BC1609" s="1">
        <f t="shared" si="2277"/>
        <v>3</v>
      </c>
      <c r="BD1609" s="1">
        <f t="shared" si="2250"/>
        <v>1</v>
      </c>
      <c r="BE1609" s="1">
        <f t="shared" si="2243"/>
        <v>0</v>
      </c>
      <c r="BF1609" s="1">
        <f>MIN(4,V1609+0)</f>
        <v>3</v>
      </c>
      <c r="BG1609" s="1">
        <f t="shared" si="2260"/>
        <v>1</v>
      </c>
      <c r="BH1609" s="1">
        <f t="shared" si="2244"/>
        <v>1</v>
      </c>
      <c r="BI1609" s="1">
        <f t="shared" si="2261"/>
        <v>1</v>
      </c>
      <c r="BJ1609" s="1">
        <f t="shared" si="2264"/>
        <v>1</v>
      </c>
      <c r="BK1609" s="1">
        <f t="shared" si="2265"/>
        <v>1</v>
      </c>
      <c r="BL1609" s="1">
        <f t="shared" ref="BL1609:BL1643" si="2278">MAX(AB1609,0)</f>
        <v>1</v>
      </c>
      <c r="BM1609" s="1">
        <f t="shared" si="2276"/>
        <v>1</v>
      </c>
      <c r="BN1609" s="1">
        <f t="shared" si="2245"/>
        <v>1</v>
      </c>
      <c r="BO1609" s="1">
        <f t="shared" si="2246"/>
        <v>1</v>
      </c>
    </row>
    <row r="1610" spans="1:67" ht="30.95" customHeight="1">
      <c r="A1610" s="1">
        <f>44</f>
        <v>44</v>
      </c>
      <c r="B1610" s="1">
        <f>固定流程!A26</f>
        <v>21</v>
      </c>
      <c r="C1610" s="1">
        <f>47</f>
        <v>47</v>
      </c>
      <c r="D1610" s="1">
        <f>1</f>
        <v>1</v>
      </c>
      <c r="E1610" s="1">
        <f>固定流程!C26</f>
        <v>3</v>
      </c>
      <c r="F1610" s="1">
        <f>固定流程!G26</f>
        <v>1</v>
      </c>
      <c r="G1610" s="1" t="str">
        <f>固定流程!H26</f>
        <v>LILYA_DIVE</v>
      </c>
      <c r="H1610" s="1">
        <f>固定流程!F26</f>
        <v>3</v>
      </c>
      <c r="I1610" s="1">
        <f>INDEX(配置与结果!$B$15:$B$18,F1610)</f>
        <v>2296</v>
      </c>
      <c r="J1610" s="1">
        <f>INDEX(配置与结果!$D$15:$D$18,F1610)</f>
        <v>0.7</v>
      </c>
      <c r="K1610" s="1">
        <f>INDEX(配置与结果!$E$15:$E$18,F1610)</f>
        <v>2.0249999999999999</v>
      </c>
      <c r="L1610" s="1">
        <f t="shared" si="2257"/>
        <v>2</v>
      </c>
      <c r="M1610" s="1">
        <f t="shared" si="2258"/>
        <v>10</v>
      </c>
      <c r="N1610" s="1">
        <f t="shared" si="2259"/>
        <v>2</v>
      </c>
      <c r="O1610" s="1">
        <f t="shared" si="2251"/>
        <v>0</v>
      </c>
      <c r="P1610" s="1">
        <f>MIN(方案参数!$AI$47,AZ1609+0+0)</f>
        <v>5</v>
      </c>
      <c r="Q1610" s="1">
        <f t="shared" si="2229"/>
        <v>5</v>
      </c>
      <c r="R1610" s="1">
        <f t="shared" si="2230"/>
        <v>20</v>
      </c>
      <c r="S1610" s="1">
        <f t="shared" si="2231"/>
        <v>3</v>
      </c>
      <c r="T1610" s="1">
        <f t="shared" si="2266"/>
        <v>1</v>
      </c>
      <c r="U1610" s="1">
        <f t="shared" si="2233"/>
        <v>0</v>
      </c>
      <c r="V1610" s="1">
        <f t="shared" si="2234"/>
        <v>3</v>
      </c>
      <c r="W1610" s="1">
        <f t="shared" si="2235"/>
        <v>1</v>
      </c>
      <c r="X1610" s="1">
        <f t="shared" si="2236"/>
        <v>1</v>
      </c>
      <c r="Y1610" s="1">
        <f t="shared" si="2237"/>
        <v>1</v>
      </c>
      <c r="Z1610" s="1">
        <f t="shared" si="2238"/>
        <v>1</v>
      </c>
      <c r="AA1610" s="1">
        <f t="shared" si="2262"/>
        <v>1</v>
      </c>
      <c r="AB1610" s="1">
        <f t="shared" si="2240"/>
        <v>1</v>
      </c>
      <c r="AC1610" s="1">
        <f t="shared" si="2267"/>
        <v>1</v>
      </c>
      <c r="AD1610" s="1">
        <f>ROUNDDOWN(I1610*(1+IF(F1610=3,0.05+方案参数!$Y$47+AA1610*0.12,IF(F1610=4,方案参数!$BZ$47*方案参数!$AS$47,0)))+IF(AND(X1610=1,F1610&lt;&gt;3),方案参数!$CC$47,0)+AC1610*方案参数!$CB$47,0)</f>
        <v>3034</v>
      </c>
      <c r="AE1610" s="1">
        <f>IF(OR(F1610=1,F1610=4),配置与结果!$B$24,配置与结果!$B$25)*MAX(0,1-INDEX(配置与结果!$I$15:$I$18,F1610))</f>
        <v>1200</v>
      </c>
      <c r="AF1610" s="1">
        <f>(IF(L1610=1,方案参数!$AW$47,IF(L1610=2,方案参数!$AX$47,0))+方案参数!$AV$47)*H1610</f>
        <v>30</v>
      </c>
      <c r="AG1610" s="1">
        <f>MAX(配置与结果!$B$32,1+INDEX(配置与结果!$F$15:$F$18,F1610)+0.08+方案参数!$CD$47+Q1610*方案参数!$W$47+Y1610*(方案参数!$AN$47+MIN(方案参数!$AO$47,P1610*0.03))+AB1610*方案参数!$BZ$47*0.025+IF(L1610=1,方案参数!$AY$47+(H1610-1)*0.1,IF(L1610=2,方案参数!$AZ$47+(H1610-1)*0.2,0))-配置与结果!$B$28)</f>
        <v>2.8150000000000004</v>
      </c>
      <c r="AH1610" s="1">
        <f>MAX(0,1+INDEX(配置与结果!$G$15:$G$18,F1610)+W1610*方案参数!$AG$47+IF(L1610=1,方案参数!$BA$47,IF(L1610=2,方案参数!$BB$47,0))+M1610*方案参数!$BC$47)</f>
        <v>3.1</v>
      </c>
      <c r="AI1610" s="1">
        <f>IF(OR(INDEX(配置与结果!$K$15:$K$18,F1610)=1,G1610="RHI_BERRY"),1+配置与结果!$B$33+P1610*方案参数!$AH$47,1)</f>
        <v>1</v>
      </c>
      <c r="AJ1610" s="1">
        <f>MIN(1,MAX(0,J1610+方案参数!$AB$47-配置与结果!$B$27))</f>
        <v>1</v>
      </c>
      <c r="AK1610" s="1">
        <f>MAX(1,K1610+IF(F1610=2,0.15+方案参数!$CH$47,0)+BN1610*方案参数!$X$47+R1610*方案参数!$AA$47+0-配置与结果!$B$26+Z1610*(方案参数!$AP$47+MIN(方案参数!$AQ$47,P1610*0.03)))</f>
        <v>2.2250000000000001</v>
      </c>
      <c r="AL1610" s="7">
        <f>ROUNDDOWN(MAX(AD1610*配置与结果!$B$31,AD1610-AE1610)*AF1610*AG1610*AH1610*AI1610,0)</f>
        <v>480132</v>
      </c>
      <c r="AM1610" s="7">
        <f>ROUNDDOWN(MAX(AD1610*配置与结果!$B$31,AD1610-AE1610)*AF1610*AG1610*AH1610*AI1610*AK1610,0)</f>
        <v>1068293</v>
      </c>
      <c r="AN1610" s="7">
        <f t="shared" si="2268"/>
        <v>1068293</v>
      </c>
      <c r="AO1610" s="7">
        <f>0</f>
        <v>0</v>
      </c>
      <c r="AP1610" s="7">
        <f>MAX(0,1+INDEX(配置与结果!$J$15:$J$18,F1610)+IF(T1610&gt;0,方案参数!$BY$47,0)-配置与结果!$B$30)</f>
        <v>2</v>
      </c>
      <c r="AQ1610" s="7">
        <f t="shared" si="2269"/>
        <v>0</v>
      </c>
      <c r="AR1610" s="7">
        <f t="shared" si="2270"/>
        <v>0</v>
      </c>
      <c r="AS1610" s="7">
        <f t="shared" si="2271"/>
        <v>0</v>
      </c>
      <c r="AT1610" s="7">
        <f>0</f>
        <v>0</v>
      </c>
      <c r="AU1610" s="7">
        <f t="shared" si="2272"/>
        <v>1068293</v>
      </c>
      <c r="AV1610" s="1">
        <f t="shared" si="2273"/>
        <v>2</v>
      </c>
      <c r="AW1610" s="1">
        <f>MIN(10,M1610+0+IF(L1610=1,方案参数!$BE$47,0))</f>
        <v>10</v>
      </c>
      <c r="AX1610" s="1">
        <f t="shared" si="2274"/>
        <v>2</v>
      </c>
      <c r="AY1610" s="1">
        <f>MIN(20,MAX(0,O1610+0+0-0))</f>
        <v>0</v>
      </c>
      <c r="AZ1610" s="1">
        <f t="shared" si="2275"/>
        <v>5</v>
      </c>
      <c r="BA1610" s="1">
        <f t="shared" si="2263"/>
        <v>5</v>
      </c>
      <c r="BB1610" s="1">
        <f t="shared" ref="BB1610:BB1625" si="2279">MIN(30,R1610+0)</f>
        <v>20</v>
      </c>
      <c r="BC1610" s="1">
        <f t="shared" si="2277"/>
        <v>3</v>
      </c>
      <c r="BD1610" s="1">
        <f t="shared" si="2250"/>
        <v>1</v>
      </c>
      <c r="BE1610" s="1">
        <f t="shared" si="2243"/>
        <v>0</v>
      </c>
      <c r="BF1610" s="1">
        <f>MIN(4,V1610+0)</f>
        <v>3</v>
      </c>
      <c r="BG1610" s="1">
        <f t="shared" si="2260"/>
        <v>1</v>
      </c>
      <c r="BH1610" s="1">
        <f t="shared" si="2244"/>
        <v>1</v>
      </c>
      <c r="BI1610" s="1">
        <f t="shared" si="2261"/>
        <v>1</v>
      </c>
      <c r="BJ1610" s="1">
        <f t="shared" si="2264"/>
        <v>1</v>
      </c>
      <c r="BK1610" s="1">
        <f t="shared" si="2265"/>
        <v>1</v>
      </c>
      <c r="BL1610" s="1">
        <f t="shared" si="2278"/>
        <v>1</v>
      </c>
      <c r="BM1610" s="1">
        <f t="shared" si="2276"/>
        <v>1</v>
      </c>
      <c r="BN1610" s="1">
        <f t="shared" si="2245"/>
        <v>1</v>
      </c>
      <c r="BO1610" s="1">
        <f t="shared" si="2246"/>
        <v>1</v>
      </c>
    </row>
    <row r="1611" spans="1:67" ht="30.95" customHeight="1">
      <c r="A1611" s="1">
        <f>44</f>
        <v>44</v>
      </c>
      <c r="B1611" s="1">
        <f>固定流程!A27</f>
        <v>22</v>
      </c>
      <c r="C1611" s="1">
        <f>47</f>
        <v>47</v>
      </c>
      <c r="D1611" s="1">
        <f>1</f>
        <v>1</v>
      </c>
      <c r="E1611" s="1">
        <f>固定流程!C27</f>
        <v>3</v>
      </c>
      <c r="F1611" s="1">
        <f>固定流程!G27</f>
        <v>3</v>
      </c>
      <c r="G1611" s="1" t="str">
        <f>固定流程!H27</f>
        <v>RHI_BERRY</v>
      </c>
      <c r="H1611" s="1">
        <f>固定流程!F27</f>
        <v>1</v>
      </c>
      <c r="I1611" s="1">
        <f>INDEX(配置与结果!$B$15:$B$18,F1611)</f>
        <v>2597</v>
      </c>
      <c r="J1611" s="1">
        <f>INDEX(配置与结果!$D$15:$D$18,F1611)</f>
        <v>0.255</v>
      </c>
      <c r="K1611" s="1">
        <f>INDEX(配置与结果!$E$15:$E$18,F1611)</f>
        <v>1.55</v>
      </c>
      <c r="L1611" s="1">
        <f t="shared" si="2257"/>
        <v>2</v>
      </c>
      <c r="M1611" s="1">
        <f t="shared" si="2258"/>
        <v>10</v>
      </c>
      <c r="N1611" s="1">
        <f t="shared" si="2259"/>
        <v>2</v>
      </c>
      <c r="O1611" s="1">
        <f t="shared" si="2251"/>
        <v>0</v>
      </c>
      <c r="P1611" s="1">
        <f>MIN(方案参数!$AI$47,AZ1610+0+0)</f>
        <v>5</v>
      </c>
      <c r="Q1611" s="1">
        <f t="shared" si="2229"/>
        <v>5</v>
      </c>
      <c r="R1611" s="1">
        <f t="shared" si="2230"/>
        <v>20</v>
      </c>
      <c r="S1611" s="1">
        <f t="shared" si="2231"/>
        <v>3</v>
      </c>
      <c r="T1611" s="1">
        <f t="shared" si="2266"/>
        <v>1</v>
      </c>
      <c r="U1611" s="1">
        <f t="shared" si="2233"/>
        <v>0</v>
      </c>
      <c r="V1611" s="1">
        <f t="shared" si="2234"/>
        <v>3</v>
      </c>
      <c r="W1611" s="1">
        <f t="shared" si="2235"/>
        <v>1</v>
      </c>
      <c r="X1611" s="1">
        <f t="shared" si="2236"/>
        <v>1</v>
      </c>
      <c r="Y1611" s="1">
        <f t="shared" si="2237"/>
        <v>1</v>
      </c>
      <c r="Z1611" s="1">
        <f t="shared" si="2238"/>
        <v>1</v>
      </c>
      <c r="AA1611" s="1">
        <f t="shared" si="2262"/>
        <v>1</v>
      </c>
      <c r="AB1611" s="1">
        <f t="shared" si="2240"/>
        <v>1</v>
      </c>
      <c r="AC1611" s="1">
        <f t="shared" si="2267"/>
        <v>1</v>
      </c>
      <c r="AD1611" s="1">
        <f>ROUNDDOWN(I1611*(1+IF(F1611=3,0.05+方案参数!$Y$47+AA1611*0.12,IF(F1611=4,方案参数!$BZ$47*方案参数!$AS$47,0)))+IF(AND(X1611=1,F1611&lt;&gt;3),方案参数!$CC$47,0)+AC1611*方案参数!$CB$47,0)</f>
        <v>3798</v>
      </c>
      <c r="AE1611" s="1">
        <f>IF(OR(F1611=1,F1611=4),配置与结果!$B$24,配置与结果!$B$25)*MAX(0,1-INDEX(配置与结果!$I$15:$I$18,F1611))</f>
        <v>1000</v>
      </c>
      <c r="AF1611" s="1">
        <f>方案参数!$CF$47+P1611*方案参数!$CG$47</f>
        <v>22.5</v>
      </c>
      <c r="AG1611" s="1">
        <f>MAX(配置与结果!$B$32,1+INDEX(配置与结果!$F$15:$F$18,F1611)+0+Q1611*方案参数!$W$47+Y1611*(方案参数!$AN$47+MIN(方案参数!$AO$47,P1611*0.03))+AB1611*方案参数!$BZ$47*0.025-配置与结果!$B$28)</f>
        <v>1.9100000000000001</v>
      </c>
      <c r="AH1611" s="1">
        <f>MAX(0,1+INDEX(配置与结果!$G$15:$G$18,F1611)+W1611*方案参数!$AG$47)</f>
        <v>1.3</v>
      </c>
      <c r="AI1611" s="1">
        <f>IF(OR(INDEX(配置与结果!$K$15:$K$18,F1611)=1,G1611="RHI_BERRY"),1+配置与结果!$B$33+P1611*方案参数!$AH$47,1)</f>
        <v>1.5</v>
      </c>
      <c r="AJ1611" s="1">
        <f>MIN(1,MAX(0,J1611+方案参数!$AB$47-配置与结果!$B$27))</f>
        <v>0.55499999999999994</v>
      </c>
      <c r="AK1611" s="1">
        <f>MAX(1,K1611+IF(F1611=2,0.15+方案参数!$CH$47,0)+BN1611*方案参数!$X$47+R1611*方案参数!$AA$47+0-配置与结果!$B$26+Z1611*(方案参数!$AP$47+MIN(方案参数!$AQ$47,P1611*0.03)))</f>
        <v>1.7500000000000002</v>
      </c>
      <c r="AL1611" s="7">
        <f>ROUNDDOWN(MAX(AD1611*配置与结果!$B$31,AD1611-AE1611)*AF1611*AG1611*AH1611*AI1611,0)</f>
        <v>234475</v>
      </c>
      <c r="AM1611" s="7">
        <f>ROUNDDOWN(MAX(AD1611*配置与结果!$B$31,AD1611-AE1611)*AF1611*AG1611*AH1611*AI1611*AK1611,0)</f>
        <v>410332</v>
      </c>
      <c r="AN1611" s="7">
        <f t="shared" si="2268"/>
        <v>332075.63500000001</v>
      </c>
      <c r="AO1611" s="7">
        <f>0</f>
        <v>0</v>
      </c>
      <c r="AP1611" s="7">
        <f>MAX(0,1+INDEX(配置与结果!$J$15:$J$18,F1611)+IF(T1611&gt;0,方案参数!$BY$47,0)-配置与结果!$B$30)</f>
        <v>2</v>
      </c>
      <c r="AQ1611" s="7">
        <f t="shared" si="2269"/>
        <v>0</v>
      </c>
      <c r="AR1611" s="7">
        <f t="shared" si="2270"/>
        <v>0</v>
      </c>
      <c r="AS1611" s="7">
        <f t="shared" si="2271"/>
        <v>0</v>
      </c>
      <c r="AT1611" s="7">
        <f>0</f>
        <v>0</v>
      </c>
      <c r="AU1611" s="7">
        <f t="shared" si="2272"/>
        <v>332075.63500000001</v>
      </c>
      <c r="AV1611" s="1">
        <f t="shared" si="2273"/>
        <v>2</v>
      </c>
      <c r="AW1611" s="1">
        <f t="shared" ref="AW1611:AW1627" si="2280">MIN(10,M1611+0+0)</f>
        <v>10</v>
      </c>
      <c r="AX1611" s="1">
        <f t="shared" si="2274"/>
        <v>2</v>
      </c>
      <c r="AY1611" s="1">
        <f>MIN(20,MAX(0,O1611+0+0-0))</f>
        <v>0</v>
      </c>
      <c r="AZ1611" s="1">
        <f t="shared" si="2275"/>
        <v>5</v>
      </c>
      <c r="BA1611" s="1">
        <f t="shared" si="2263"/>
        <v>5</v>
      </c>
      <c r="BB1611" s="1">
        <f t="shared" si="2279"/>
        <v>20</v>
      </c>
      <c r="BC1611" s="1">
        <f t="shared" si="2277"/>
        <v>3</v>
      </c>
      <c r="BD1611" s="1">
        <f t="shared" si="2250"/>
        <v>1</v>
      </c>
      <c r="BE1611" s="1">
        <f t="shared" si="2243"/>
        <v>0</v>
      </c>
      <c r="BF1611" s="1">
        <f>MIN(4,V1611+0)</f>
        <v>3</v>
      </c>
      <c r="BG1611" s="1">
        <f t="shared" si="2260"/>
        <v>1</v>
      </c>
      <c r="BH1611" s="1">
        <f t="shared" si="2244"/>
        <v>1</v>
      </c>
      <c r="BI1611" s="1">
        <f t="shared" si="2261"/>
        <v>1</v>
      </c>
      <c r="BJ1611" s="1">
        <f t="shared" si="2264"/>
        <v>1</v>
      </c>
      <c r="BK1611" s="1">
        <f t="shared" si="2265"/>
        <v>1</v>
      </c>
      <c r="BL1611" s="1">
        <f t="shared" si="2278"/>
        <v>1</v>
      </c>
      <c r="BM1611" s="1">
        <f t="shared" si="2276"/>
        <v>1</v>
      </c>
      <c r="BN1611" s="1">
        <f t="shared" si="2245"/>
        <v>1</v>
      </c>
      <c r="BO1611" s="1">
        <f t="shared" si="2246"/>
        <v>1</v>
      </c>
    </row>
    <row r="1612" spans="1:67" ht="30.95" customHeight="1">
      <c r="A1612" s="1">
        <f>44</f>
        <v>44</v>
      </c>
      <c r="B1612" s="1">
        <f>固定流程!A28</f>
        <v>23</v>
      </c>
      <c r="C1612" s="1">
        <f>47</f>
        <v>47</v>
      </c>
      <c r="D1612" s="1">
        <f>1</f>
        <v>1</v>
      </c>
      <c r="E1612" s="1">
        <f>固定流程!C28</f>
        <v>3</v>
      </c>
      <c r="F1612" s="1">
        <f>固定流程!G28</f>
        <v>2</v>
      </c>
      <c r="G1612" s="1" t="str">
        <f>固定流程!H28</f>
        <v>37_FOLLOW</v>
      </c>
      <c r="H1612" s="1">
        <f>固定流程!F28</f>
        <v>1</v>
      </c>
      <c r="I1612" s="1">
        <f>INDEX(配置与结果!$B$15:$B$18,F1612)</f>
        <v>2306</v>
      </c>
      <c r="J1612" s="1">
        <f>INDEX(配置与结果!$D$15:$D$18,F1612)</f>
        <v>0.46</v>
      </c>
      <c r="K1612" s="1">
        <f>INDEX(配置与结果!$E$15:$E$18,F1612)</f>
        <v>1.9279999999999999</v>
      </c>
      <c r="L1612" s="1">
        <f t="shared" si="2257"/>
        <v>2</v>
      </c>
      <c r="M1612" s="1">
        <f t="shared" si="2258"/>
        <v>10</v>
      </c>
      <c r="N1612" s="1">
        <f t="shared" si="2259"/>
        <v>2</v>
      </c>
      <c r="O1612" s="1">
        <f t="shared" si="2251"/>
        <v>0</v>
      </c>
      <c r="P1612" s="1">
        <f>MIN(方案参数!$AI$47,AZ1611+0+0)</f>
        <v>5</v>
      </c>
      <c r="Q1612" s="1">
        <f t="shared" si="2229"/>
        <v>5</v>
      </c>
      <c r="R1612" s="1">
        <f t="shared" si="2230"/>
        <v>20</v>
      </c>
      <c r="S1612" s="1">
        <f t="shared" si="2231"/>
        <v>3</v>
      </c>
      <c r="T1612" s="1">
        <f t="shared" si="2266"/>
        <v>1</v>
      </c>
      <c r="U1612" s="1">
        <f t="shared" si="2233"/>
        <v>0</v>
      </c>
      <c r="V1612" s="1">
        <f t="shared" si="2234"/>
        <v>3</v>
      </c>
      <c r="W1612" s="1">
        <f t="shared" si="2235"/>
        <v>1</v>
      </c>
      <c r="X1612" s="1">
        <f t="shared" si="2236"/>
        <v>1</v>
      </c>
      <c r="Y1612" s="1">
        <f t="shared" si="2237"/>
        <v>1</v>
      </c>
      <c r="Z1612" s="1">
        <f t="shared" si="2238"/>
        <v>1</v>
      </c>
      <c r="AA1612" s="1">
        <f t="shared" si="2262"/>
        <v>1</v>
      </c>
      <c r="AB1612" s="1">
        <f t="shared" si="2240"/>
        <v>1</v>
      </c>
      <c r="AC1612" s="1">
        <f t="shared" si="2267"/>
        <v>1</v>
      </c>
      <c r="AD1612" s="1">
        <f>ROUNDDOWN(I1612*(1+IF(F1612=3,0.05+方案参数!$Y$47+AA1612*0.12,IF(F1612=4,方案参数!$BZ$47*方案参数!$AS$47,0)))+IF(AND(X1612=1,F1612&lt;&gt;3),方案参数!$CC$47,0)+AC1612*方案参数!$CB$47,0)</f>
        <v>3044</v>
      </c>
      <c r="AE1612" s="1">
        <f>IF(OR(F1612=1,F1612=4),配置与结果!$B$24,配置与结果!$B$25)*MAX(0,1-INDEX(配置与结果!$I$15:$I$18,F1612))</f>
        <v>1000</v>
      </c>
      <c r="AF1612" s="1">
        <f>方案参数!$BV$47</f>
        <v>3</v>
      </c>
      <c r="AG1612" s="1">
        <f>MAX(配置与结果!$B$32,1+INDEX(配置与结果!$F$15:$F$18,F1612)+0+Q1612*方案参数!$W$47+Y1612*(方案参数!$AN$47+MIN(方案参数!$AO$47,P1612*0.03))+AB1612*方案参数!$BZ$47*0.025-配置与结果!$B$28)</f>
        <v>1.8800000000000003</v>
      </c>
      <c r="AH1612" s="1">
        <f>MAX(0,1+INDEX(配置与结果!$G$15:$G$18,F1612)+W1612*方案参数!$AG$47)</f>
        <v>1.3</v>
      </c>
      <c r="AI1612" s="1">
        <f>IF(OR(INDEX(配置与结果!$K$15:$K$18,F1612)=1,G1612="RHI_BERRY"),1+配置与结果!$B$33+P1612*方案参数!$AH$47,1)</f>
        <v>1</v>
      </c>
      <c r="AJ1612" s="1">
        <f>MIN(1,MAX(0,J1612+方案参数!$AB$47-配置与结果!$B$27))</f>
        <v>0.76</v>
      </c>
      <c r="AK1612" s="1">
        <f>MAX(1,K1612+IF(F1612=2,0.15+方案参数!$CH$47,0)+BN1612*方案参数!$X$47+R1612*方案参数!$AA$47+0-配置与结果!$B$26+Z1612*(方案参数!$AP$47+MIN(方案参数!$AQ$47,P1612*0.03)))</f>
        <v>2.3980000000000001</v>
      </c>
      <c r="AL1612" s="7">
        <f>ROUNDDOWN(MAX(AD1612*配置与结果!$B$31,AD1612-AE1612)*AF1612*AG1612*AH1612*AI1612,0)</f>
        <v>14986</v>
      </c>
      <c r="AM1612" s="7">
        <f>ROUNDDOWN(MAX(AD1612*配置与结果!$B$31,AD1612-AE1612)*AF1612*AG1612*AH1612*AI1612*AK1612,0)</f>
        <v>35937</v>
      </c>
      <c r="AN1612" s="7">
        <f t="shared" si="2268"/>
        <v>30908.76</v>
      </c>
      <c r="AO1612" s="7">
        <f>方案参数!$BW$47</f>
        <v>1</v>
      </c>
      <c r="AP1612" s="7">
        <f>MAX(0,1+INDEX(配置与结果!$J$15:$J$18,F1612)+IF(T1612&gt;0,方案参数!$BY$47,0)-配置与结果!$B$30)</f>
        <v>2</v>
      </c>
      <c r="AQ1612" s="7">
        <f t="shared" si="2269"/>
        <v>6088</v>
      </c>
      <c r="AR1612" s="7">
        <f t="shared" si="2270"/>
        <v>14599</v>
      </c>
      <c r="AS1612" s="7">
        <f t="shared" si="2271"/>
        <v>12556.36</v>
      </c>
      <c r="AT1612" s="7">
        <f>0</f>
        <v>0</v>
      </c>
      <c r="AU1612" s="7">
        <f t="shared" si="2272"/>
        <v>43465.119999999995</v>
      </c>
      <c r="AV1612" s="1">
        <f t="shared" si="2273"/>
        <v>2</v>
      </c>
      <c r="AW1612" s="1">
        <f t="shared" si="2280"/>
        <v>10</v>
      </c>
      <c r="AX1612" s="1">
        <f t="shared" si="2274"/>
        <v>2</v>
      </c>
      <c r="AY1612" s="1">
        <f>MIN(20,MAX(0,O1612+0+0-0))</f>
        <v>0</v>
      </c>
      <c r="AZ1612" s="1">
        <f t="shared" si="2275"/>
        <v>5</v>
      </c>
      <c r="BA1612" s="1">
        <f t="shared" si="2263"/>
        <v>5</v>
      </c>
      <c r="BB1612" s="1">
        <f t="shared" si="2279"/>
        <v>20</v>
      </c>
      <c r="BC1612" s="1">
        <f t="shared" si="2277"/>
        <v>3</v>
      </c>
      <c r="BD1612" s="1">
        <f t="shared" si="2250"/>
        <v>0</v>
      </c>
      <c r="BE1612" s="1">
        <f t="shared" si="2243"/>
        <v>0</v>
      </c>
      <c r="BF1612" s="1">
        <f>MIN(4,V1612+1)</f>
        <v>4</v>
      </c>
      <c r="BG1612" s="1">
        <f t="shared" si="2260"/>
        <v>1</v>
      </c>
      <c r="BH1612" s="1">
        <f t="shared" si="2244"/>
        <v>1</v>
      </c>
      <c r="BI1612" s="1">
        <f t="shared" si="2261"/>
        <v>1</v>
      </c>
      <c r="BJ1612" s="1">
        <f t="shared" si="2264"/>
        <v>1</v>
      </c>
      <c r="BK1612" s="1">
        <f t="shared" si="2265"/>
        <v>1</v>
      </c>
      <c r="BL1612" s="1">
        <f t="shared" si="2278"/>
        <v>1</v>
      </c>
      <c r="BM1612" s="1">
        <f t="shared" si="2276"/>
        <v>1</v>
      </c>
      <c r="BN1612" s="1">
        <f t="shared" si="2245"/>
        <v>1</v>
      </c>
      <c r="BO1612" s="1">
        <f t="shared" si="2246"/>
        <v>1</v>
      </c>
    </row>
    <row r="1613" spans="1:67" ht="30.95" customHeight="1">
      <c r="A1613" s="1">
        <f>44</f>
        <v>44</v>
      </c>
      <c r="B1613" s="1">
        <f>固定流程!A29</f>
        <v>24</v>
      </c>
      <c r="C1613" s="1">
        <f>47</f>
        <v>47</v>
      </c>
      <c r="D1613" s="1">
        <f>2</f>
        <v>2</v>
      </c>
      <c r="E1613" s="1">
        <f>固定流程!C29</f>
        <v>3</v>
      </c>
      <c r="F1613" s="1">
        <f>固定流程!G29</f>
        <v>1</v>
      </c>
      <c r="G1613" s="1" t="str">
        <f>固定流程!H29</f>
        <v>LILYA_WEAK</v>
      </c>
      <c r="H1613" s="1">
        <f>固定流程!F29</f>
        <v>1</v>
      </c>
      <c r="I1613" s="1">
        <f>INDEX(配置与结果!$B$15:$B$18,F1613)</f>
        <v>2296</v>
      </c>
      <c r="J1613" s="1">
        <f>INDEX(配置与结果!$D$15:$D$18,F1613)</f>
        <v>0.7</v>
      </c>
      <c r="K1613" s="1">
        <f>INDEX(配置与结果!$E$15:$E$18,F1613)</f>
        <v>2.0249999999999999</v>
      </c>
      <c r="L1613" s="1">
        <f t="shared" si="2257"/>
        <v>2</v>
      </c>
      <c r="M1613" s="1">
        <f t="shared" si="2258"/>
        <v>10</v>
      </c>
      <c r="N1613" s="1">
        <f t="shared" si="2259"/>
        <v>2</v>
      </c>
      <c r="O1613" s="1">
        <f t="shared" si="2251"/>
        <v>0</v>
      </c>
      <c r="P1613" s="1">
        <f>MIN(方案参数!$AI$47,AZ1612+0+0)</f>
        <v>5</v>
      </c>
      <c r="Q1613" s="1">
        <f t="shared" si="2229"/>
        <v>5</v>
      </c>
      <c r="R1613" s="1">
        <f t="shared" si="2230"/>
        <v>20</v>
      </c>
      <c r="S1613" s="1">
        <f t="shared" si="2231"/>
        <v>3</v>
      </c>
      <c r="T1613" s="1">
        <f t="shared" si="2266"/>
        <v>0</v>
      </c>
      <c r="U1613" s="1">
        <f t="shared" si="2233"/>
        <v>0</v>
      </c>
      <c r="V1613" s="1">
        <f t="shared" si="2234"/>
        <v>4</v>
      </c>
      <c r="W1613" s="1">
        <f t="shared" si="2235"/>
        <v>1</v>
      </c>
      <c r="X1613" s="1">
        <f t="shared" si="2236"/>
        <v>1</v>
      </c>
      <c r="Y1613" s="1">
        <f t="shared" si="2237"/>
        <v>1</v>
      </c>
      <c r="Z1613" s="1">
        <f t="shared" si="2238"/>
        <v>1</v>
      </c>
      <c r="AA1613" s="1">
        <f t="shared" si="2262"/>
        <v>1</v>
      </c>
      <c r="AB1613" s="1">
        <f t="shared" si="2240"/>
        <v>1</v>
      </c>
      <c r="AC1613" s="1">
        <f t="shared" si="2267"/>
        <v>1</v>
      </c>
      <c r="AD1613" s="1">
        <f>ROUNDDOWN(I1613*(1+IF(F1613=3,0.05+方案参数!$Y$47+AA1613*0.12,IF(F1613=4,方案参数!$BZ$47*方案参数!$AS$47,0)))+IF(AND(X1613=1,F1613&lt;&gt;3),方案参数!$CC$47,0)+AC1613*方案参数!$CB$47,0)</f>
        <v>3034</v>
      </c>
      <c r="AE1613" s="1">
        <f>IF(OR(F1613=1,F1613=4),配置与结果!$B$24,配置与结果!$B$25)*MAX(0,1-INDEX(配置与结果!$I$15:$I$18,F1613))</f>
        <v>1200</v>
      </c>
      <c r="AF1613" s="1">
        <f>方案参数!$BL$47</f>
        <v>9</v>
      </c>
      <c r="AG1613" s="1">
        <f>MAX(配置与结果!$B$32,1+INDEX(配置与结果!$F$15:$F$18,F1613)+0.08+方案参数!$CD$47+Q1613*方案参数!$W$47+Y1613*(方案参数!$AN$47+MIN(方案参数!$AO$47,P1613*0.03))+AB1613*方案参数!$BZ$47*0.025-配置与结果!$B$28+方案参数!$AE$47)</f>
        <v>2.6150000000000002</v>
      </c>
      <c r="AH1613" s="1">
        <f>MAX(0,1+V1613*方案参数!$U$47+0*方案参数!$V$47+方案参数!$AE$47-配置与结果!$B$29)</f>
        <v>1.56</v>
      </c>
      <c r="AI1613" s="1">
        <f>IF(OR(INDEX(配置与结果!$K$15:$K$18,F1613)=1,G1613="RHI_BERRY"),1+配置与结果!$B$33+P1613*方案参数!$AH$47,1)</f>
        <v>1</v>
      </c>
      <c r="AJ1613" s="1">
        <f>MIN(1,MAX(0,J1613+方案参数!$AB$47-配置与结果!$B$27))</f>
        <v>1</v>
      </c>
      <c r="AK1613" s="1">
        <f>MAX(1,K1613+IF(F1613=2,0.15+方案参数!$CH$47,0)+BN1613*方案参数!$X$47+R1613*方案参数!$AA$47+方案参数!$BP$47-配置与结果!$B$26+Z1613*(方案参数!$AP$47+MIN(方案参数!$AQ$47,P1613*0.03)))</f>
        <v>2.8250000000000002</v>
      </c>
      <c r="AL1613" s="7">
        <f>ROUNDDOWN(MAX(AD1613*配置与结果!$B$31,AD1613-AE1613)*AF1613*AG1613*AH1613*AI1613,0)</f>
        <v>67334</v>
      </c>
      <c r="AM1613" s="7">
        <f>ROUNDDOWN(MAX(AD1613*配置与结果!$B$31,AD1613-AE1613)*AF1613*AG1613*AH1613*AI1613*AK1613,0)</f>
        <v>190220</v>
      </c>
      <c r="AN1613" s="7">
        <f t="shared" si="2268"/>
        <v>190220</v>
      </c>
      <c r="AO1613" s="7">
        <f>0</f>
        <v>0</v>
      </c>
      <c r="AP1613" s="7">
        <f>MAX(0,1+INDEX(配置与结果!$J$15:$J$18,F1613)+IF(T1613&gt;0,方案参数!$BY$47,0)-配置与结果!$B$30)</f>
        <v>1</v>
      </c>
      <c r="AQ1613" s="7">
        <f t="shared" si="2269"/>
        <v>0</v>
      </c>
      <c r="AR1613" s="7">
        <f t="shared" si="2270"/>
        <v>0</v>
      </c>
      <c r="AS1613" s="7">
        <f t="shared" si="2271"/>
        <v>0</v>
      </c>
      <c r="AT1613" s="7">
        <f>IF(U1613&gt;0,ROUNDDOWN(AL1613*方案参数!$AF$47,0)*(1-AJ1613)+ROUNDDOWN(AM1613*方案参数!$AF$47,0)*AJ1613,0)</f>
        <v>0</v>
      </c>
      <c r="AU1613" s="7">
        <f t="shared" si="2272"/>
        <v>190220</v>
      </c>
      <c r="AV1613" s="1">
        <f t="shared" si="2273"/>
        <v>2</v>
      </c>
      <c r="AW1613" s="1">
        <f t="shared" si="2280"/>
        <v>10</v>
      </c>
      <c r="AX1613" s="1">
        <f t="shared" si="2274"/>
        <v>2</v>
      </c>
      <c r="AY1613" s="1">
        <f>MIN(20,MAX(0,O1613+0+1-0))</f>
        <v>1</v>
      </c>
      <c r="AZ1613" s="1">
        <f t="shared" si="2275"/>
        <v>5</v>
      </c>
      <c r="BA1613" s="1">
        <f t="shared" si="2263"/>
        <v>5</v>
      </c>
      <c r="BB1613" s="1">
        <f t="shared" si="2279"/>
        <v>20</v>
      </c>
      <c r="BC1613" s="1">
        <f t="shared" si="2277"/>
        <v>3</v>
      </c>
      <c r="BD1613" s="1">
        <f t="shared" si="2250"/>
        <v>0</v>
      </c>
      <c r="BE1613" s="1">
        <f>MAX(0,U1613-IF(AF1613&gt;0,1,0))+0</f>
        <v>0</v>
      </c>
      <c r="BF1613" s="1">
        <f t="shared" ref="BF1613:BF1630" si="2281">MIN(4,V1613+0)</f>
        <v>4</v>
      </c>
      <c r="BG1613" s="1">
        <f t="shared" si="2260"/>
        <v>1</v>
      </c>
      <c r="BH1613" s="1">
        <f t="shared" si="2244"/>
        <v>1</v>
      </c>
      <c r="BI1613" s="1">
        <f t="shared" si="2261"/>
        <v>1</v>
      </c>
      <c r="BJ1613" s="1">
        <f t="shared" si="2264"/>
        <v>1</v>
      </c>
      <c r="BK1613" s="1">
        <f t="shared" si="2265"/>
        <v>1</v>
      </c>
      <c r="BL1613" s="1">
        <f t="shared" si="2278"/>
        <v>1</v>
      </c>
      <c r="BM1613" s="1">
        <f t="shared" si="2276"/>
        <v>1</v>
      </c>
      <c r="BN1613" s="1">
        <f t="shared" si="2245"/>
        <v>1</v>
      </c>
      <c r="BO1613" s="1">
        <f t="shared" si="2246"/>
        <v>1</v>
      </c>
    </row>
    <row r="1614" spans="1:67" ht="30.95" customHeight="1">
      <c r="A1614" s="1">
        <f>44</f>
        <v>44</v>
      </c>
      <c r="B1614" s="1">
        <f>固定流程!A30</f>
        <v>25</v>
      </c>
      <c r="C1614" s="1">
        <f>47</f>
        <v>47</v>
      </c>
      <c r="D1614" s="1">
        <f>2</f>
        <v>2</v>
      </c>
      <c r="E1614" s="1">
        <f>固定流程!C30</f>
        <v>3</v>
      </c>
      <c r="F1614" s="1">
        <f>固定流程!G30</f>
        <v>1</v>
      </c>
      <c r="G1614" s="1" t="str">
        <f>固定流程!H30</f>
        <v>LILYA_WEAK</v>
      </c>
      <c r="H1614" s="1">
        <f>固定流程!F30</f>
        <v>1</v>
      </c>
      <c r="I1614" s="1">
        <f>INDEX(配置与结果!$B$15:$B$18,F1614)</f>
        <v>2296</v>
      </c>
      <c r="J1614" s="1">
        <f>INDEX(配置与结果!$D$15:$D$18,F1614)</f>
        <v>0.7</v>
      </c>
      <c r="K1614" s="1">
        <f>INDEX(配置与结果!$E$15:$E$18,F1614)</f>
        <v>2.0249999999999999</v>
      </c>
      <c r="L1614" s="1">
        <f t="shared" si="2257"/>
        <v>2</v>
      </c>
      <c r="M1614" s="1">
        <f t="shared" si="2258"/>
        <v>10</v>
      </c>
      <c r="N1614" s="1">
        <f t="shared" si="2259"/>
        <v>2</v>
      </c>
      <c r="O1614" s="1">
        <f t="shared" si="2251"/>
        <v>1</v>
      </c>
      <c r="P1614" s="1">
        <f>MIN(方案参数!$AI$47,AZ1613+0+0)</f>
        <v>5</v>
      </c>
      <c r="Q1614" s="1">
        <f t="shared" si="2229"/>
        <v>5</v>
      </c>
      <c r="R1614" s="1">
        <f t="shared" si="2230"/>
        <v>20</v>
      </c>
      <c r="S1614" s="1">
        <f t="shared" si="2231"/>
        <v>3</v>
      </c>
      <c r="T1614" s="1">
        <f t="shared" si="2266"/>
        <v>0</v>
      </c>
      <c r="U1614" s="1">
        <f t="shared" si="2233"/>
        <v>0</v>
      </c>
      <c r="V1614" s="1">
        <f t="shared" si="2234"/>
        <v>4</v>
      </c>
      <c r="W1614" s="1">
        <f t="shared" si="2235"/>
        <v>1</v>
      </c>
      <c r="X1614" s="1">
        <f t="shared" si="2236"/>
        <v>1</v>
      </c>
      <c r="Y1614" s="1">
        <f t="shared" si="2237"/>
        <v>1</v>
      </c>
      <c r="Z1614" s="1">
        <f t="shared" si="2238"/>
        <v>1</v>
      </c>
      <c r="AA1614" s="1">
        <f t="shared" si="2262"/>
        <v>1</v>
      </c>
      <c r="AB1614" s="1">
        <f t="shared" si="2240"/>
        <v>1</v>
      </c>
      <c r="AC1614" s="1">
        <f t="shared" si="2267"/>
        <v>1</v>
      </c>
      <c r="AD1614" s="1">
        <f>ROUNDDOWN(I1614*(1+IF(F1614=3,0.05+方案参数!$Y$47+AA1614*0.12,IF(F1614=4,方案参数!$BZ$47*方案参数!$AS$47,0)))+IF(AND(X1614=1,F1614&lt;&gt;3),方案参数!$CC$47,0)+AC1614*方案参数!$CB$47,0)</f>
        <v>3034</v>
      </c>
      <c r="AE1614" s="1">
        <f>IF(OR(F1614=1,F1614=4),配置与结果!$B$24,配置与结果!$B$25)*MAX(0,1-INDEX(配置与结果!$I$15:$I$18,F1614))</f>
        <v>1200</v>
      </c>
      <c r="AF1614" s="1">
        <f>方案参数!$BL$47</f>
        <v>9</v>
      </c>
      <c r="AG1614" s="1">
        <f>MAX(配置与结果!$B$32,1+INDEX(配置与结果!$F$15:$F$18,F1614)+0.08+方案参数!$CD$47+Q1614*方案参数!$W$47+Y1614*(方案参数!$AN$47+MIN(方案参数!$AO$47,P1614*0.03))+AB1614*方案参数!$BZ$47*0.025-配置与结果!$B$28+方案参数!$AE$47)</f>
        <v>2.6150000000000002</v>
      </c>
      <c r="AH1614" s="1">
        <f>MAX(0,1+V1614*方案参数!$U$47+1*方案参数!$V$47+方案参数!$AE$47-配置与结果!$B$29)</f>
        <v>1.62</v>
      </c>
      <c r="AI1614" s="1">
        <f>IF(OR(INDEX(配置与结果!$K$15:$K$18,F1614)=1,G1614="RHI_BERRY"),1+配置与结果!$B$33+P1614*方案参数!$AH$47,1)</f>
        <v>1</v>
      </c>
      <c r="AJ1614" s="1">
        <f>MIN(1,MAX(0,J1614+方案参数!$AB$47-配置与结果!$B$27))</f>
        <v>1</v>
      </c>
      <c r="AK1614" s="1">
        <f>MAX(1,K1614+IF(F1614=2,0.15+方案参数!$CH$47,0)+BN1614*方案参数!$X$47+R1614*方案参数!$AA$47+方案参数!$BP$47-配置与结果!$B$26+Z1614*(方案参数!$AP$47+MIN(方案参数!$AQ$47,P1614*0.03)))</f>
        <v>2.8250000000000002</v>
      </c>
      <c r="AL1614" s="7">
        <f>ROUNDDOWN(MAX(AD1614*配置与结果!$B$31,AD1614-AE1614)*AF1614*AG1614*AH1614*AI1614,0)</f>
        <v>69924</v>
      </c>
      <c r="AM1614" s="7">
        <f>ROUNDDOWN(MAX(AD1614*配置与结果!$B$31,AD1614-AE1614)*AF1614*AG1614*AH1614*AI1614*AK1614,0)</f>
        <v>197536</v>
      </c>
      <c r="AN1614" s="7">
        <f t="shared" si="2268"/>
        <v>197536</v>
      </c>
      <c r="AO1614" s="7">
        <f>0</f>
        <v>0</v>
      </c>
      <c r="AP1614" s="7">
        <f>MAX(0,1+INDEX(配置与结果!$J$15:$J$18,F1614)+IF(T1614&gt;0,方案参数!$BY$47,0)-配置与结果!$B$30)</f>
        <v>1</v>
      </c>
      <c r="AQ1614" s="7">
        <f t="shared" si="2269"/>
        <v>0</v>
      </c>
      <c r="AR1614" s="7">
        <f t="shared" si="2270"/>
        <v>0</v>
      </c>
      <c r="AS1614" s="7">
        <f t="shared" si="2271"/>
        <v>0</v>
      </c>
      <c r="AT1614" s="7">
        <f>IF(U1614&gt;0,ROUNDDOWN(AL1614*方案参数!$AF$47,0)*(1-AJ1614)+ROUNDDOWN(AM1614*方案参数!$AF$47,0)*AJ1614,0)</f>
        <v>0</v>
      </c>
      <c r="AU1614" s="7">
        <f t="shared" si="2272"/>
        <v>197536</v>
      </c>
      <c r="AV1614" s="1">
        <f t="shared" si="2273"/>
        <v>2</v>
      </c>
      <c r="AW1614" s="1">
        <f t="shared" si="2280"/>
        <v>10</v>
      </c>
      <c r="AX1614" s="1">
        <f t="shared" si="2274"/>
        <v>2</v>
      </c>
      <c r="AY1614" s="1">
        <f>MIN(20,MAX(0,O1614+0+1-0))</f>
        <v>2</v>
      </c>
      <c r="AZ1614" s="1">
        <f t="shared" si="2275"/>
        <v>5</v>
      </c>
      <c r="BA1614" s="1">
        <f t="shared" si="2263"/>
        <v>5</v>
      </c>
      <c r="BB1614" s="1">
        <f t="shared" si="2279"/>
        <v>20</v>
      </c>
      <c r="BC1614" s="1">
        <f t="shared" si="2277"/>
        <v>3</v>
      </c>
      <c r="BD1614" s="1">
        <f t="shared" si="2250"/>
        <v>0</v>
      </c>
      <c r="BE1614" s="1">
        <f>MAX(0,U1614-IF(AF1614&gt;0,1,0))+0</f>
        <v>0</v>
      </c>
      <c r="BF1614" s="1">
        <f t="shared" si="2281"/>
        <v>4</v>
      </c>
      <c r="BG1614" s="1">
        <f t="shared" si="2260"/>
        <v>1</v>
      </c>
      <c r="BH1614" s="1">
        <f t="shared" si="2244"/>
        <v>1</v>
      </c>
      <c r="BI1614" s="1">
        <f t="shared" si="2261"/>
        <v>1</v>
      </c>
      <c r="BJ1614" s="1">
        <f t="shared" si="2264"/>
        <v>1</v>
      </c>
      <c r="BK1614" s="1">
        <f t="shared" si="2265"/>
        <v>1</v>
      </c>
      <c r="BL1614" s="1">
        <f t="shared" si="2278"/>
        <v>1</v>
      </c>
      <c r="BM1614" s="1">
        <f t="shared" si="2276"/>
        <v>1</v>
      </c>
      <c r="BN1614" s="1">
        <f t="shared" si="2245"/>
        <v>1</v>
      </c>
      <c r="BO1614" s="1">
        <f t="shared" si="2246"/>
        <v>1</v>
      </c>
    </row>
    <row r="1615" spans="1:67" ht="30.95" customHeight="1">
      <c r="A1615" s="1">
        <f>44</f>
        <v>44</v>
      </c>
      <c r="B1615" s="1">
        <f>固定流程!A31</f>
        <v>26</v>
      </c>
      <c r="C1615" s="1">
        <f>47</f>
        <v>47</v>
      </c>
      <c r="D1615" s="1">
        <f>2</f>
        <v>2</v>
      </c>
      <c r="E1615" s="1">
        <f>固定流程!C31</f>
        <v>3</v>
      </c>
      <c r="F1615" s="1">
        <f>固定流程!G31</f>
        <v>2</v>
      </c>
      <c r="G1615" s="1" t="str">
        <f>固定流程!H31</f>
        <v>37_WEAK</v>
      </c>
      <c r="H1615" s="1">
        <f>固定流程!F31</f>
        <v>1</v>
      </c>
      <c r="I1615" s="1">
        <f>INDEX(配置与结果!$B$15:$B$18,F1615)</f>
        <v>2306</v>
      </c>
      <c r="J1615" s="1">
        <f>INDEX(配置与结果!$D$15:$D$18,F1615)</f>
        <v>0.46</v>
      </c>
      <c r="K1615" s="1">
        <f>INDEX(配置与结果!$E$15:$E$18,F1615)</f>
        <v>1.9279999999999999</v>
      </c>
      <c r="L1615" s="1">
        <f t="shared" si="2257"/>
        <v>2</v>
      </c>
      <c r="M1615" s="1">
        <f t="shared" si="2258"/>
        <v>10</v>
      </c>
      <c r="N1615" s="1">
        <f t="shared" si="2259"/>
        <v>2</v>
      </c>
      <c r="O1615" s="1">
        <f t="shared" si="2251"/>
        <v>2</v>
      </c>
      <c r="P1615" s="1">
        <f>MIN(方案参数!$AI$47,AZ1614+0+0)</f>
        <v>5</v>
      </c>
      <c r="Q1615" s="1">
        <f t="shared" si="2229"/>
        <v>5</v>
      </c>
      <c r="R1615" s="1">
        <f t="shared" si="2230"/>
        <v>20</v>
      </c>
      <c r="S1615" s="1">
        <f t="shared" si="2231"/>
        <v>3</v>
      </c>
      <c r="T1615" s="1">
        <f t="shared" si="2266"/>
        <v>0</v>
      </c>
      <c r="U1615" s="1">
        <f t="shared" si="2233"/>
        <v>0</v>
      </c>
      <c r="V1615" s="1">
        <f t="shared" si="2234"/>
        <v>4</v>
      </c>
      <c r="W1615" s="1">
        <f t="shared" si="2235"/>
        <v>1</v>
      </c>
      <c r="X1615" s="1">
        <f t="shared" si="2236"/>
        <v>1</v>
      </c>
      <c r="Y1615" s="1">
        <f t="shared" si="2237"/>
        <v>1</v>
      </c>
      <c r="Z1615" s="1">
        <f t="shared" si="2238"/>
        <v>1</v>
      </c>
      <c r="AA1615" s="1">
        <f t="shared" si="2262"/>
        <v>1</v>
      </c>
      <c r="AB1615" s="1">
        <f t="shared" si="2240"/>
        <v>1</v>
      </c>
      <c r="AC1615" s="1">
        <f t="shared" si="2267"/>
        <v>1</v>
      </c>
      <c r="AD1615" s="1">
        <f>ROUNDDOWN(I1615*(1+IF(F1615=3,0.05+方案参数!$Y$47+AA1615*0.12,IF(F1615=4,方案参数!$BZ$47*方案参数!$AS$47,0)))+IF(AND(X1615=1,F1615&lt;&gt;3),方案参数!$CC$47,0)+AC1615*方案参数!$CB$47,0)</f>
        <v>3044</v>
      </c>
      <c r="AE1615" s="1">
        <f>IF(OR(F1615=1,F1615=4),配置与结果!$B$24,配置与结果!$B$25)*MAX(0,1-INDEX(配置与结果!$I$15:$I$18,F1615))</f>
        <v>1000</v>
      </c>
      <c r="AF1615" s="1">
        <f>方案参数!$CE$47</f>
        <v>8</v>
      </c>
      <c r="AG1615" s="1">
        <f>MAX(配置与结果!$B$32,1+INDEX(配置与结果!$F$15:$F$18,F1615)+0+Q1615*方案参数!$W$47+Y1615*(方案参数!$AN$47+MIN(方案参数!$AO$47,P1615*0.03))+AB1615*方案参数!$BZ$47*0.025-配置与结果!$B$28+方案参数!$AE$47)</f>
        <v>2.2800000000000002</v>
      </c>
      <c r="AH1615" s="1">
        <f>MAX(0,1+V1615*方案参数!$U$47+方案参数!$AE$47-配置与结果!$B$29)</f>
        <v>1.56</v>
      </c>
      <c r="AI1615" s="1">
        <f>IF(OR(INDEX(配置与结果!$K$15:$K$18,F1615)=1,G1615="RHI_BERRY"),1+配置与结果!$B$33+P1615*方案参数!$AH$47,1)</f>
        <v>1</v>
      </c>
      <c r="AJ1615" s="1">
        <f>MIN(1,MAX(0,J1615+方案参数!$AB$47-配置与结果!$B$27))</f>
        <v>0.76</v>
      </c>
      <c r="AK1615" s="1">
        <f>MAX(1,K1615+IF(F1615=2,0.15+方案参数!$CH$47,0)+BN1615*方案参数!$X$47+R1615*方案参数!$AA$47+0-配置与结果!$B$26+Z1615*(方案参数!$AP$47+MIN(方案参数!$AQ$47,P1615*0.03)))</f>
        <v>2.3980000000000001</v>
      </c>
      <c r="AL1615" s="7">
        <f>ROUNDDOWN(MAX(AD1615*配置与结果!$B$31,AD1615-AE1615)*AF1615*AG1615*AH1615*AI1615,0)</f>
        <v>58160</v>
      </c>
      <c r="AM1615" s="7">
        <f>ROUNDDOWN(MAX(AD1615*配置与结果!$B$31,AD1615-AE1615)*AF1615*AG1615*AH1615*AI1615*AK1615,0)</f>
        <v>139469</v>
      </c>
      <c r="AN1615" s="7">
        <f t="shared" si="2268"/>
        <v>119954.84</v>
      </c>
      <c r="AO1615" s="7">
        <f>0</f>
        <v>0</v>
      </c>
      <c r="AP1615" s="7">
        <f>MAX(0,1+INDEX(配置与结果!$J$15:$J$18,F1615)+IF(T1615&gt;0,方案参数!$BY$47,0)-配置与结果!$B$30)</f>
        <v>1</v>
      </c>
      <c r="AQ1615" s="7">
        <f t="shared" si="2269"/>
        <v>0</v>
      </c>
      <c r="AR1615" s="7">
        <f t="shared" si="2270"/>
        <v>0</v>
      </c>
      <c r="AS1615" s="7">
        <f t="shared" si="2271"/>
        <v>0</v>
      </c>
      <c r="AT1615" s="7">
        <f>IF(U1615&gt;0,ROUNDDOWN(AL1615*方案参数!$AF$47,0)*(1-AJ1615)+ROUNDDOWN(AM1615*方案参数!$AF$47,0)*AJ1615,0)</f>
        <v>0</v>
      </c>
      <c r="AU1615" s="7">
        <f t="shared" si="2272"/>
        <v>119954.84</v>
      </c>
      <c r="AV1615" s="1">
        <f t="shared" si="2273"/>
        <v>2</v>
      </c>
      <c r="AW1615" s="1">
        <f t="shared" si="2280"/>
        <v>10</v>
      </c>
      <c r="AX1615" s="1">
        <f t="shared" si="2274"/>
        <v>2</v>
      </c>
      <c r="AY1615" s="1">
        <f>MIN(20,MAX(0,O1615+0+0-0))</f>
        <v>2</v>
      </c>
      <c r="AZ1615" s="1">
        <f t="shared" si="2275"/>
        <v>5</v>
      </c>
      <c r="BA1615" s="1">
        <f t="shared" si="2263"/>
        <v>5</v>
      </c>
      <c r="BB1615" s="1">
        <f t="shared" si="2279"/>
        <v>20</v>
      </c>
      <c r="BC1615" s="1">
        <f t="shared" si="2277"/>
        <v>3</v>
      </c>
      <c r="BD1615" s="1">
        <f t="shared" si="2250"/>
        <v>0</v>
      </c>
      <c r="BE1615" s="1">
        <f>MAX(0,U1615-IF(AF1615&gt;0,1,0))+1</f>
        <v>1</v>
      </c>
      <c r="BF1615" s="1">
        <f t="shared" si="2281"/>
        <v>4</v>
      </c>
      <c r="BG1615" s="1">
        <f t="shared" si="2260"/>
        <v>1</v>
      </c>
      <c r="BH1615" s="1">
        <f t="shared" si="2244"/>
        <v>1</v>
      </c>
      <c r="BI1615" s="1">
        <f t="shared" si="2261"/>
        <v>1</v>
      </c>
      <c r="BJ1615" s="1">
        <f t="shared" si="2264"/>
        <v>1</v>
      </c>
      <c r="BK1615" s="1">
        <f t="shared" si="2265"/>
        <v>1</v>
      </c>
      <c r="BL1615" s="1">
        <f t="shared" si="2278"/>
        <v>1</v>
      </c>
      <c r="BM1615" s="1">
        <f t="shared" si="2276"/>
        <v>1</v>
      </c>
      <c r="BN1615" s="1">
        <f t="shared" si="2245"/>
        <v>1</v>
      </c>
      <c r="BO1615" s="1">
        <f t="shared" si="2246"/>
        <v>1</v>
      </c>
    </row>
    <row r="1616" spans="1:67" ht="30.95" customHeight="1">
      <c r="A1616" s="1">
        <f>44</f>
        <v>44</v>
      </c>
      <c r="B1616" s="1">
        <f>固定流程!A32</f>
        <v>27</v>
      </c>
      <c r="C1616" s="1">
        <f>47</f>
        <v>47</v>
      </c>
      <c r="D1616" s="1">
        <f>2</f>
        <v>2</v>
      </c>
      <c r="E1616" s="1">
        <f>固定流程!C32</f>
        <v>3</v>
      </c>
      <c r="F1616" s="1">
        <f>固定流程!G32</f>
        <v>1</v>
      </c>
      <c r="G1616" s="1" t="str">
        <f>固定流程!H32</f>
        <v>LILYA_THIRD</v>
      </c>
      <c r="H1616" s="1">
        <f>固定流程!F32</f>
        <v>1</v>
      </c>
      <c r="I1616" s="1">
        <f>INDEX(配置与结果!$B$15:$B$18,F1616)</f>
        <v>2296</v>
      </c>
      <c r="J1616" s="1">
        <f>INDEX(配置与结果!$D$15:$D$18,F1616)</f>
        <v>0.7</v>
      </c>
      <c r="K1616" s="1">
        <f>INDEX(配置与结果!$E$15:$E$18,F1616)</f>
        <v>2.0249999999999999</v>
      </c>
      <c r="L1616" s="1">
        <f t="shared" si="2257"/>
        <v>2</v>
      </c>
      <c r="M1616" s="1">
        <f t="shared" si="2258"/>
        <v>10</v>
      </c>
      <c r="N1616" s="1">
        <f t="shared" si="2259"/>
        <v>2</v>
      </c>
      <c r="O1616" s="1">
        <f t="shared" si="2251"/>
        <v>2</v>
      </c>
      <c r="P1616" s="1">
        <f>MIN(方案参数!$AI$47,AZ1615+0+0)</f>
        <v>5</v>
      </c>
      <c r="Q1616" s="1">
        <f t="shared" si="2229"/>
        <v>5</v>
      </c>
      <c r="R1616" s="1">
        <f t="shared" si="2230"/>
        <v>20</v>
      </c>
      <c r="S1616" s="1">
        <f t="shared" si="2231"/>
        <v>3</v>
      </c>
      <c r="T1616" s="1">
        <f t="shared" si="2266"/>
        <v>0</v>
      </c>
      <c r="U1616" s="1">
        <f t="shared" si="2233"/>
        <v>1</v>
      </c>
      <c r="V1616" s="1">
        <f t="shared" si="2234"/>
        <v>4</v>
      </c>
      <c r="W1616" s="1">
        <f t="shared" si="2235"/>
        <v>1</v>
      </c>
      <c r="X1616" s="1">
        <f t="shared" si="2236"/>
        <v>1</v>
      </c>
      <c r="Y1616" s="1">
        <f t="shared" si="2237"/>
        <v>1</v>
      </c>
      <c r="Z1616" s="1">
        <f t="shared" si="2238"/>
        <v>1</v>
      </c>
      <c r="AA1616" s="1">
        <f t="shared" si="2262"/>
        <v>1</v>
      </c>
      <c r="AB1616" s="1">
        <f t="shared" si="2240"/>
        <v>1</v>
      </c>
      <c r="AC1616" s="1">
        <f t="shared" si="2267"/>
        <v>1</v>
      </c>
      <c r="AD1616" s="1">
        <f>ROUNDDOWN(I1616*(1+IF(F1616=3,0.05+方案参数!$Y$47+AA1616*0.12,IF(F1616=4,方案参数!$BZ$47*方案参数!$AS$47,0)))+IF(AND(X1616=1,F1616&lt;&gt;3),方案参数!$CC$47,0)+AC1616*方案参数!$CB$47,0)</f>
        <v>3034</v>
      </c>
      <c r="AE1616" s="1">
        <f>IF(OR(F1616=1,F1616=4),配置与结果!$B$24,配置与结果!$B$25)*MAX(0,1-INDEX(配置与结果!$I$15:$I$18,F1616))</f>
        <v>1200</v>
      </c>
      <c r="AF1616" s="1">
        <f>方案参数!$BM$47</f>
        <v>20</v>
      </c>
      <c r="AG1616" s="1">
        <f>MAX(配置与结果!$B$32,1+INDEX(配置与结果!$F$15:$F$18,F1616)+0.08+方案参数!$CD$47+Q1616*方案参数!$W$47+Y1616*(方案参数!$AN$47+MIN(方案参数!$AO$47,P1616*0.03))+AB1616*方案参数!$BZ$47*0.025-配置与结果!$B$28+方案参数!$AE$47)</f>
        <v>2.6150000000000002</v>
      </c>
      <c r="AH1616" s="1">
        <f>MAX(0,1+V1616*方案参数!$U$47+3*方案参数!$V$47+方案参数!$AE$47-配置与结果!$B$29)</f>
        <v>1.7399999999999998</v>
      </c>
      <c r="AI1616" s="1">
        <f>IF(OR(INDEX(配置与结果!$K$15:$K$18,F1616)=1,G1616="RHI_BERRY"),1+配置与结果!$B$33+P1616*方案参数!$AH$47,1)</f>
        <v>1</v>
      </c>
      <c r="AJ1616" s="1">
        <f>MIN(1,MAX(0,J1616+方案参数!$AB$47-配置与结果!$B$27))</f>
        <v>1</v>
      </c>
      <c r="AK1616" s="1">
        <f>MAX(1,K1616+IF(F1616=2,0.15+方案参数!$CH$47,0)+BN1616*方案参数!$X$47+R1616*方案参数!$AA$47+方案参数!$BQ$47-配置与结果!$B$26+Z1616*(方案参数!$AP$47+MIN(方案参数!$AQ$47,P1616*0.03)))</f>
        <v>3.0249999999999999</v>
      </c>
      <c r="AL1616" s="7">
        <f>ROUNDDOWN(MAX(AD1616*配置与结果!$B$31,AD1616-AE1616)*AF1616*AG1616*AH1616*AI1616,0)</f>
        <v>166897</v>
      </c>
      <c r="AM1616" s="7">
        <f>ROUNDDOWN(MAX(AD1616*配置与结果!$B$31,AD1616-AE1616)*AF1616*AG1616*AH1616*AI1616*AK1616,0)</f>
        <v>504865</v>
      </c>
      <c r="AN1616" s="7">
        <f t="shared" si="2268"/>
        <v>504865</v>
      </c>
      <c r="AO1616" s="7">
        <f>0</f>
        <v>0</v>
      </c>
      <c r="AP1616" s="7">
        <f>MAX(0,1+INDEX(配置与结果!$J$15:$J$18,F1616)+IF(T1616&gt;0,方案参数!$BY$47,0)-配置与结果!$B$30)</f>
        <v>1</v>
      </c>
      <c r="AQ1616" s="7">
        <f t="shared" si="2269"/>
        <v>0</v>
      </c>
      <c r="AR1616" s="7">
        <f t="shared" si="2270"/>
        <v>0</v>
      </c>
      <c r="AS1616" s="7">
        <f t="shared" si="2271"/>
        <v>0</v>
      </c>
      <c r="AT1616" s="7">
        <f>IF(U1616&gt;0,ROUNDDOWN(AL1616*方案参数!$AF$47,0)*(1-AJ1616)+ROUNDDOWN(AM1616*方案参数!$AF$47,0)*AJ1616,0)</f>
        <v>201946</v>
      </c>
      <c r="AU1616" s="7">
        <f t="shared" si="2272"/>
        <v>706811</v>
      </c>
      <c r="AV1616" s="1">
        <f t="shared" si="2273"/>
        <v>2</v>
      </c>
      <c r="AW1616" s="1">
        <f t="shared" si="2280"/>
        <v>10</v>
      </c>
      <c r="AX1616" s="1">
        <f t="shared" si="2274"/>
        <v>2</v>
      </c>
      <c r="AY1616" s="1">
        <f>MIN(20,MAX(0,O1616+0+1-0))</f>
        <v>3</v>
      </c>
      <c r="AZ1616" s="1">
        <f t="shared" si="2275"/>
        <v>5</v>
      </c>
      <c r="BA1616" s="1">
        <f t="shared" si="2263"/>
        <v>5</v>
      </c>
      <c r="BB1616" s="1">
        <f t="shared" si="2279"/>
        <v>20</v>
      </c>
      <c r="BC1616" s="1">
        <f t="shared" si="2277"/>
        <v>3</v>
      </c>
      <c r="BD1616" s="1">
        <f t="shared" si="2250"/>
        <v>0</v>
      </c>
      <c r="BE1616" s="1">
        <f>MAX(0,U1616-IF(AF1616&gt;0,1,0))+0</f>
        <v>0</v>
      </c>
      <c r="BF1616" s="1">
        <f t="shared" si="2281"/>
        <v>4</v>
      </c>
      <c r="BG1616" s="1">
        <f t="shared" si="2260"/>
        <v>1</v>
      </c>
      <c r="BH1616" s="1">
        <f t="shared" si="2244"/>
        <v>1</v>
      </c>
      <c r="BI1616" s="1">
        <f t="shared" si="2261"/>
        <v>1</v>
      </c>
      <c r="BJ1616" s="1">
        <f t="shared" si="2264"/>
        <v>1</v>
      </c>
      <c r="BK1616" s="1">
        <f t="shared" si="2265"/>
        <v>1</v>
      </c>
      <c r="BL1616" s="1">
        <f t="shared" si="2278"/>
        <v>1</v>
      </c>
      <c r="BM1616" s="1">
        <f t="shared" si="2276"/>
        <v>1</v>
      </c>
      <c r="BN1616" s="1">
        <f t="shared" si="2245"/>
        <v>1</v>
      </c>
      <c r="BO1616" s="1">
        <f t="shared" si="2246"/>
        <v>1</v>
      </c>
    </row>
    <row r="1617" spans="1:67" ht="30.95" customHeight="1">
      <c r="A1617" s="1">
        <f>44</f>
        <v>44</v>
      </c>
      <c r="B1617" s="1">
        <f>固定流程!A33</f>
        <v>28</v>
      </c>
      <c r="C1617" s="1">
        <f>47</f>
        <v>47</v>
      </c>
      <c r="D1617" s="1">
        <f>2</f>
        <v>2</v>
      </c>
      <c r="E1617" s="1">
        <f>固定流程!C33</f>
        <v>3</v>
      </c>
      <c r="F1617" s="1">
        <f>固定流程!G33</f>
        <v>1</v>
      </c>
      <c r="G1617" s="1" t="str">
        <f>固定流程!H33</f>
        <v>LILYA_WEAK</v>
      </c>
      <c r="H1617" s="1">
        <f>固定流程!F33</f>
        <v>1</v>
      </c>
      <c r="I1617" s="1">
        <f>INDEX(配置与结果!$B$15:$B$18,F1617)</f>
        <v>2296</v>
      </c>
      <c r="J1617" s="1">
        <f>INDEX(配置与结果!$D$15:$D$18,F1617)</f>
        <v>0.7</v>
      </c>
      <c r="K1617" s="1">
        <f>INDEX(配置与结果!$E$15:$E$18,F1617)</f>
        <v>2.0249999999999999</v>
      </c>
      <c r="L1617" s="1">
        <f t="shared" si="2257"/>
        <v>2</v>
      </c>
      <c r="M1617" s="1">
        <f t="shared" si="2258"/>
        <v>10</v>
      </c>
      <c r="N1617" s="1">
        <f t="shared" si="2259"/>
        <v>2</v>
      </c>
      <c r="O1617" s="1">
        <f t="shared" si="2251"/>
        <v>3</v>
      </c>
      <c r="P1617" s="1">
        <f>MIN(方案参数!$AI$47,AZ1616+0+0)</f>
        <v>5</v>
      </c>
      <c r="Q1617" s="1">
        <f t="shared" si="2229"/>
        <v>5</v>
      </c>
      <c r="R1617" s="1">
        <f t="shared" si="2230"/>
        <v>20</v>
      </c>
      <c r="S1617" s="1">
        <f t="shared" si="2231"/>
        <v>3</v>
      </c>
      <c r="T1617" s="1">
        <f t="shared" si="2266"/>
        <v>0</v>
      </c>
      <c r="U1617" s="1">
        <f t="shared" si="2233"/>
        <v>0</v>
      </c>
      <c r="V1617" s="1">
        <f t="shared" si="2234"/>
        <v>4</v>
      </c>
      <c r="W1617" s="1">
        <f t="shared" si="2235"/>
        <v>1</v>
      </c>
      <c r="X1617" s="1">
        <f t="shared" si="2236"/>
        <v>1</v>
      </c>
      <c r="Y1617" s="1">
        <f t="shared" si="2237"/>
        <v>1</v>
      </c>
      <c r="Z1617" s="1">
        <f t="shared" si="2238"/>
        <v>1</v>
      </c>
      <c r="AA1617" s="1">
        <f t="shared" si="2262"/>
        <v>1</v>
      </c>
      <c r="AB1617" s="1">
        <f t="shared" si="2240"/>
        <v>1</v>
      </c>
      <c r="AC1617" s="1">
        <f t="shared" si="2267"/>
        <v>1</v>
      </c>
      <c r="AD1617" s="1">
        <f>ROUNDDOWN(I1617*(1+IF(F1617=3,0.05+方案参数!$Y$47+AA1617*0.12,IF(F1617=4,方案参数!$BZ$47*方案参数!$AS$47,0)))+IF(AND(X1617=1,F1617&lt;&gt;3),方案参数!$CC$47,0)+AC1617*方案参数!$CB$47,0)</f>
        <v>3034</v>
      </c>
      <c r="AE1617" s="1">
        <f>IF(OR(F1617=1,F1617=4),配置与结果!$B$24,配置与结果!$B$25)*MAX(0,1-INDEX(配置与结果!$I$15:$I$18,F1617))</f>
        <v>1200</v>
      </c>
      <c r="AF1617" s="1">
        <f>方案参数!$BL$47</f>
        <v>9</v>
      </c>
      <c r="AG1617" s="1">
        <f>MAX(配置与结果!$B$32,1+INDEX(配置与结果!$F$15:$F$18,F1617)+0.08+方案参数!$CD$47+Q1617*方案参数!$W$47+Y1617*(方案参数!$AN$47+MIN(方案参数!$AO$47,P1617*0.03))+AB1617*方案参数!$BZ$47*0.025-配置与结果!$B$28+方案参数!$AE$47)</f>
        <v>2.6150000000000002</v>
      </c>
      <c r="AH1617" s="1">
        <f>MAX(0,1+V1617*方案参数!$U$47+4*方案参数!$V$47+方案参数!$AE$47-配置与结果!$B$29)</f>
        <v>1.7999999999999998</v>
      </c>
      <c r="AI1617" s="1">
        <f>IF(OR(INDEX(配置与结果!$K$15:$K$18,F1617)=1,G1617="RHI_BERRY"),1+配置与结果!$B$33+P1617*方案参数!$AH$47,1)</f>
        <v>1</v>
      </c>
      <c r="AJ1617" s="1">
        <f>MIN(1,MAX(0,J1617+方案参数!$AB$47-配置与结果!$B$27))</f>
        <v>1</v>
      </c>
      <c r="AK1617" s="1">
        <f>MAX(1,K1617+IF(F1617=2,0.15+方案参数!$CH$47,0)+BN1617*方案参数!$X$47+R1617*方案参数!$AA$47+方案参数!$BP$47-配置与结果!$B$26+Z1617*(方案参数!$AP$47+MIN(方案参数!$AQ$47,P1617*0.03)))</f>
        <v>2.8250000000000002</v>
      </c>
      <c r="AL1617" s="7">
        <f>ROUNDDOWN(MAX(AD1617*配置与结果!$B$31,AD1617-AE1617)*AF1617*AG1617*AH1617*AI1617,0)</f>
        <v>77693</v>
      </c>
      <c r="AM1617" s="7">
        <f>ROUNDDOWN(MAX(AD1617*配置与结果!$B$31,AD1617-AE1617)*AF1617*AG1617*AH1617*AI1617*AK1617,0)</f>
        <v>219484</v>
      </c>
      <c r="AN1617" s="7">
        <f t="shared" si="2268"/>
        <v>219484</v>
      </c>
      <c r="AO1617" s="7">
        <f>0</f>
        <v>0</v>
      </c>
      <c r="AP1617" s="7">
        <f>MAX(0,1+INDEX(配置与结果!$J$15:$J$18,F1617)+IF(T1617&gt;0,方案参数!$BY$47,0)-配置与结果!$B$30)</f>
        <v>1</v>
      </c>
      <c r="AQ1617" s="7">
        <f t="shared" si="2269"/>
        <v>0</v>
      </c>
      <c r="AR1617" s="7">
        <f t="shared" si="2270"/>
        <v>0</v>
      </c>
      <c r="AS1617" s="7">
        <f t="shared" si="2271"/>
        <v>0</v>
      </c>
      <c r="AT1617" s="7">
        <f>IF(U1617&gt;0,ROUNDDOWN(AL1617*方案参数!$AF$47,0)*(1-AJ1617)+ROUNDDOWN(AM1617*方案参数!$AF$47,0)*AJ1617,0)</f>
        <v>0</v>
      </c>
      <c r="AU1617" s="7">
        <f t="shared" si="2272"/>
        <v>219484</v>
      </c>
      <c r="AV1617" s="1">
        <f t="shared" si="2273"/>
        <v>2</v>
      </c>
      <c r="AW1617" s="1">
        <f t="shared" si="2280"/>
        <v>10</v>
      </c>
      <c r="AX1617" s="1">
        <f t="shared" si="2274"/>
        <v>2</v>
      </c>
      <c r="AY1617" s="1">
        <f>MIN(20,MAX(0,O1617+0+1-0))</f>
        <v>4</v>
      </c>
      <c r="AZ1617" s="1">
        <f t="shared" si="2275"/>
        <v>5</v>
      </c>
      <c r="BA1617" s="1">
        <f t="shared" si="2263"/>
        <v>5</v>
      </c>
      <c r="BB1617" s="1">
        <f t="shared" si="2279"/>
        <v>20</v>
      </c>
      <c r="BC1617" s="1">
        <f t="shared" si="2277"/>
        <v>3</v>
      </c>
      <c r="BD1617" s="1">
        <f t="shared" si="2250"/>
        <v>0</v>
      </c>
      <c r="BE1617" s="1">
        <f>MAX(0,U1617-IF(AF1617&gt;0,1,0))+0</f>
        <v>0</v>
      </c>
      <c r="BF1617" s="1">
        <f t="shared" si="2281"/>
        <v>4</v>
      </c>
      <c r="BG1617" s="1">
        <f t="shared" si="2260"/>
        <v>1</v>
      </c>
      <c r="BH1617" s="1">
        <f t="shared" si="2244"/>
        <v>1</v>
      </c>
      <c r="BI1617" s="1">
        <f t="shared" si="2261"/>
        <v>1</v>
      </c>
      <c r="BJ1617" s="1">
        <f t="shared" si="2264"/>
        <v>1</v>
      </c>
      <c r="BK1617" s="1">
        <f t="shared" si="2265"/>
        <v>1</v>
      </c>
      <c r="BL1617" s="1">
        <f t="shared" si="2278"/>
        <v>1</v>
      </c>
      <c r="BM1617" s="1">
        <f t="shared" si="2276"/>
        <v>1</v>
      </c>
      <c r="BN1617" s="1">
        <f t="shared" si="2245"/>
        <v>1</v>
      </c>
      <c r="BO1617" s="1">
        <f t="shared" si="2246"/>
        <v>1</v>
      </c>
    </row>
    <row r="1618" spans="1:67" ht="30.95" customHeight="1">
      <c r="A1618" s="1">
        <f>44</f>
        <v>44</v>
      </c>
      <c r="B1618" s="1">
        <f>固定流程!A34</f>
        <v>29</v>
      </c>
      <c r="C1618" s="1">
        <f>47</f>
        <v>47</v>
      </c>
      <c r="D1618" s="1">
        <f>2</f>
        <v>2</v>
      </c>
      <c r="E1618" s="1">
        <f>固定流程!C34</f>
        <v>3</v>
      </c>
      <c r="F1618" s="1">
        <f>固定流程!G34</f>
        <v>1</v>
      </c>
      <c r="G1618" s="1" t="str">
        <f>固定流程!H34</f>
        <v>LILYA_WEAK</v>
      </c>
      <c r="H1618" s="1">
        <f>固定流程!F34</f>
        <v>1</v>
      </c>
      <c r="I1618" s="1">
        <f>INDEX(配置与结果!$B$15:$B$18,F1618)</f>
        <v>2296</v>
      </c>
      <c r="J1618" s="1">
        <f>INDEX(配置与结果!$D$15:$D$18,F1618)</f>
        <v>0.7</v>
      </c>
      <c r="K1618" s="1">
        <f>INDEX(配置与结果!$E$15:$E$18,F1618)</f>
        <v>2.0249999999999999</v>
      </c>
      <c r="L1618" s="1">
        <f t="shared" si="2257"/>
        <v>2</v>
      </c>
      <c r="M1618" s="1">
        <f t="shared" si="2258"/>
        <v>10</v>
      </c>
      <c r="N1618" s="1">
        <f t="shared" si="2259"/>
        <v>2</v>
      </c>
      <c r="O1618" s="1">
        <f t="shared" si="2251"/>
        <v>4</v>
      </c>
      <c r="P1618" s="1">
        <f>MIN(方案参数!$AI$47,AZ1617+0+0)</f>
        <v>5</v>
      </c>
      <c r="Q1618" s="1">
        <f t="shared" si="2229"/>
        <v>5</v>
      </c>
      <c r="R1618" s="1">
        <f t="shared" si="2230"/>
        <v>20</v>
      </c>
      <c r="S1618" s="1">
        <f t="shared" si="2231"/>
        <v>3</v>
      </c>
      <c r="T1618" s="1">
        <f t="shared" si="2266"/>
        <v>0</v>
      </c>
      <c r="U1618" s="1">
        <f t="shared" si="2233"/>
        <v>0</v>
      </c>
      <c r="V1618" s="1">
        <f t="shared" si="2234"/>
        <v>4</v>
      </c>
      <c r="W1618" s="1">
        <f t="shared" si="2235"/>
        <v>1</v>
      </c>
      <c r="X1618" s="1">
        <f t="shared" si="2236"/>
        <v>1</v>
      </c>
      <c r="Y1618" s="1">
        <f t="shared" si="2237"/>
        <v>1</v>
      </c>
      <c r="Z1618" s="1">
        <f t="shared" si="2238"/>
        <v>1</v>
      </c>
      <c r="AA1618" s="1">
        <f t="shared" si="2262"/>
        <v>1</v>
      </c>
      <c r="AB1618" s="1">
        <f t="shared" si="2240"/>
        <v>1</v>
      </c>
      <c r="AC1618" s="1">
        <f t="shared" si="2267"/>
        <v>1</v>
      </c>
      <c r="AD1618" s="1">
        <f>ROUNDDOWN(I1618*(1+IF(F1618=3,0.05+方案参数!$Y$47+AA1618*0.12,IF(F1618=4,方案参数!$BZ$47*方案参数!$AS$47,0)))+IF(AND(X1618=1,F1618&lt;&gt;3),方案参数!$CC$47,0)+AC1618*方案参数!$CB$47,0)</f>
        <v>3034</v>
      </c>
      <c r="AE1618" s="1">
        <f>IF(OR(F1618=1,F1618=4),配置与结果!$B$24,配置与结果!$B$25)*MAX(0,1-INDEX(配置与结果!$I$15:$I$18,F1618))</f>
        <v>1200</v>
      </c>
      <c r="AF1618" s="1">
        <f>方案参数!$BL$47</f>
        <v>9</v>
      </c>
      <c r="AG1618" s="1">
        <f>MAX(配置与结果!$B$32,1+INDEX(配置与结果!$F$15:$F$18,F1618)+0.08+方案参数!$CD$47+Q1618*方案参数!$W$47+Y1618*(方案参数!$AN$47+MIN(方案参数!$AO$47,P1618*0.03))+AB1618*方案参数!$BZ$47*0.025-配置与结果!$B$28+方案参数!$AE$47)</f>
        <v>2.6150000000000002</v>
      </c>
      <c r="AH1618" s="1">
        <f>MAX(0,1+V1618*方案参数!$U$47+5*方案参数!$V$47+方案参数!$AE$47-配置与结果!$B$29)</f>
        <v>1.8599999999999999</v>
      </c>
      <c r="AI1618" s="1">
        <f>IF(OR(INDEX(配置与结果!$K$15:$K$18,F1618)=1,G1618="RHI_BERRY"),1+配置与结果!$B$33+P1618*方案参数!$AH$47,1)</f>
        <v>1</v>
      </c>
      <c r="AJ1618" s="1">
        <f>MIN(1,MAX(0,J1618+方案参数!$AB$47-配置与结果!$B$27))</f>
        <v>1</v>
      </c>
      <c r="AK1618" s="1">
        <f>MAX(1,K1618+IF(F1618=2,0.15+方案参数!$CH$47,0)+BN1618*方案参数!$X$47+R1618*方案参数!$AA$47+方案参数!$BP$47-配置与结果!$B$26+Z1618*(方案参数!$AP$47+MIN(方案参数!$AQ$47,P1618*0.03)))</f>
        <v>2.8250000000000002</v>
      </c>
      <c r="AL1618" s="7">
        <f>ROUNDDOWN(MAX(AD1618*配置与结果!$B$31,AD1618-AE1618)*AF1618*AG1618*AH1618*AI1618,0)</f>
        <v>80283</v>
      </c>
      <c r="AM1618" s="7">
        <f>ROUNDDOWN(MAX(AD1618*配置与结果!$B$31,AD1618-AE1618)*AF1618*AG1618*AH1618*AI1618*AK1618,0)</f>
        <v>226800</v>
      </c>
      <c r="AN1618" s="7">
        <f t="shared" si="2268"/>
        <v>226800</v>
      </c>
      <c r="AO1618" s="7">
        <f>0</f>
        <v>0</v>
      </c>
      <c r="AP1618" s="7">
        <f>MAX(0,1+INDEX(配置与结果!$J$15:$J$18,F1618)+IF(T1618&gt;0,方案参数!$BY$47,0)-配置与结果!$B$30)</f>
        <v>1</v>
      </c>
      <c r="AQ1618" s="7">
        <f t="shared" si="2269"/>
        <v>0</v>
      </c>
      <c r="AR1618" s="7">
        <f t="shared" si="2270"/>
        <v>0</v>
      </c>
      <c r="AS1618" s="7">
        <f t="shared" si="2271"/>
        <v>0</v>
      </c>
      <c r="AT1618" s="7">
        <f>IF(U1618&gt;0,ROUNDDOWN(AL1618*方案参数!$AF$47,0)*(1-AJ1618)+ROUNDDOWN(AM1618*方案参数!$AF$47,0)*AJ1618,0)</f>
        <v>0</v>
      </c>
      <c r="AU1618" s="7">
        <f t="shared" si="2272"/>
        <v>226800</v>
      </c>
      <c r="AV1618" s="1">
        <f t="shared" si="2273"/>
        <v>2</v>
      </c>
      <c r="AW1618" s="1">
        <f t="shared" si="2280"/>
        <v>10</v>
      </c>
      <c r="AX1618" s="1">
        <f t="shared" si="2274"/>
        <v>2</v>
      </c>
      <c r="AY1618" s="1">
        <f>MIN(20,MAX(0,O1618+0+1-0))</f>
        <v>5</v>
      </c>
      <c r="AZ1618" s="1">
        <f t="shared" si="2275"/>
        <v>5</v>
      </c>
      <c r="BA1618" s="1">
        <f t="shared" si="2263"/>
        <v>5</v>
      </c>
      <c r="BB1618" s="1">
        <f t="shared" si="2279"/>
        <v>20</v>
      </c>
      <c r="BC1618" s="1">
        <f t="shared" si="2277"/>
        <v>3</v>
      </c>
      <c r="BD1618" s="1">
        <f t="shared" si="2250"/>
        <v>0</v>
      </c>
      <c r="BE1618" s="1">
        <f>MAX(0,U1618-IF(AF1618&gt;0,1,0))+0</f>
        <v>0</v>
      </c>
      <c r="BF1618" s="1">
        <f t="shared" si="2281"/>
        <v>4</v>
      </c>
      <c r="BG1618" s="1">
        <f t="shared" si="2260"/>
        <v>1</v>
      </c>
      <c r="BH1618" s="1">
        <f t="shared" si="2244"/>
        <v>1</v>
      </c>
      <c r="BI1618" s="1">
        <f t="shared" si="2261"/>
        <v>1</v>
      </c>
      <c r="BJ1618" s="1">
        <f t="shared" si="2264"/>
        <v>1</v>
      </c>
      <c r="BK1618" s="1">
        <f t="shared" si="2265"/>
        <v>1</v>
      </c>
      <c r="BL1618" s="1">
        <f t="shared" si="2278"/>
        <v>1</v>
      </c>
      <c r="BM1618" s="1">
        <f t="shared" si="2276"/>
        <v>1</v>
      </c>
      <c r="BN1618" s="1">
        <f t="shared" si="2245"/>
        <v>1</v>
      </c>
      <c r="BO1618" s="1">
        <f t="shared" si="2246"/>
        <v>1</v>
      </c>
    </row>
    <row r="1619" spans="1:67" ht="30.95" customHeight="1">
      <c r="A1619" s="1">
        <f>44</f>
        <v>44</v>
      </c>
      <c r="B1619" s="1">
        <f>固定流程!A35</f>
        <v>30</v>
      </c>
      <c r="C1619" s="1">
        <f>47</f>
        <v>47</v>
      </c>
      <c r="D1619" s="1">
        <f>2</f>
        <v>2</v>
      </c>
      <c r="E1619" s="1">
        <f>固定流程!C35</f>
        <v>3</v>
      </c>
      <c r="F1619" s="1">
        <f>固定流程!G35</f>
        <v>2</v>
      </c>
      <c r="G1619" s="1" t="str">
        <f>固定流程!H35</f>
        <v>37_WEAK</v>
      </c>
      <c r="H1619" s="1">
        <f>固定流程!F35</f>
        <v>1</v>
      </c>
      <c r="I1619" s="1">
        <f>INDEX(配置与结果!$B$15:$B$18,F1619)</f>
        <v>2306</v>
      </c>
      <c r="J1619" s="1">
        <f>INDEX(配置与结果!$D$15:$D$18,F1619)</f>
        <v>0.46</v>
      </c>
      <c r="K1619" s="1">
        <f>INDEX(配置与结果!$E$15:$E$18,F1619)</f>
        <v>1.9279999999999999</v>
      </c>
      <c r="L1619" s="1">
        <f t="shared" si="2257"/>
        <v>2</v>
      </c>
      <c r="M1619" s="1">
        <f t="shared" si="2258"/>
        <v>10</v>
      </c>
      <c r="N1619" s="1">
        <f t="shared" si="2259"/>
        <v>2</v>
      </c>
      <c r="O1619" s="1">
        <f t="shared" si="2251"/>
        <v>5</v>
      </c>
      <c r="P1619" s="1">
        <f>MIN(方案参数!$AI$47,AZ1618+0+0)</f>
        <v>5</v>
      </c>
      <c r="Q1619" s="1">
        <f t="shared" si="2229"/>
        <v>5</v>
      </c>
      <c r="R1619" s="1">
        <f t="shared" si="2230"/>
        <v>20</v>
      </c>
      <c r="S1619" s="1">
        <f t="shared" si="2231"/>
        <v>3</v>
      </c>
      <c r="T1619" s="1">
        <f t="shared" si="2266"/>
        <v>0</v>
      </c>
      <c r="U1619" s="1">
        <f t="shared" si="2233"/>
        <v>0</v>
      </c>
      <c r="V1619" s="1">
        <f t="shared" si="2234"/>
        <v>4</v>
      </c>
      <c r="W1619" s="1">
        <f t="shared" si="2235"/>
        <v>1</v>
      </c>
      <c r="X1619" s="1">
        <f t="shared" si="2236"/>
        <v>1</v>
      </c>
      <c r="Y1619" s="1">
        <f t="shared" si="2237"/>
        <v>1</v>
      </c>
      <c r="Z1619" s="1">
        <f t="shared" si="2238"/>
        <v>1</v>
      </c>
      <c r="AA1619" s="1">
        <f t="shared" si="2262"/>
        <v>1</v>
      </c>
      <c r="AB1619" s="1">
        <f t="shared" si="2240"/>
        <v>1</v>
      </c>
      <c r="AC1619" s="1">
        <f t="shared" si="2267"/>
        <v>1</v>
      </c>
      <c r="AD1619" s="1">
        <f>ROUNDDOWN(I1619*(1+IF(F1619=3,0.05+方案参数!$Y$47+AA1619*0.12,IF(F1619=4,方案参数!$BZ$47*方案参数!$AS$47,0)))+IF(AND(X1619=1,F1619&lt;&gt;3),方案参数!$CC$47,0)+AC1619*方案参数!$CB$47,0)</f>
        <v>3044</v>
      </c>
      <c r="AE1619" s="1">
        <f>IF(OR(F1619=1,F1619=4),配置与结果!$B$24,配置与结果!$B$25)*MAX(0,1-INDEX(配置与结果!$I$15:$I$18,F1619))</f>
        <v>1000</v>
      </c>
      <c r="AF1619" s="1">
        <f>方案参数!$CE$47</f>
        <v>8</v>
      </c>
      <c r="AG1619" s="1">
        <f>MAX(配置与结果!$B$32,1+INDEX(配置与结果!$F$15:$F$18,F1619)+0+Q1619*方案参数!$W$47+Y1619*(方案参数!$AN$47+MIN(方案参数!$AO$47,P1619*0.03))+AB1619*方案参数!$BZ$47*0.025-配置与结果!$B$28+方案参数!$AE$47)</f>
        <v>2.2800000000000002</v>
      </c>
      <c r="AH1619" s="1">
        <f>MAX(0,1+V1619*方案参数!$U$47+方案参数!$AE$47-配置与结果!$B$29)</f>
        <v>1.56</v>
      </c>
      <c r="AI1619" s="1">
        <f>IF(OR(INDEX(配置与结果!$K$15:$K$18,F1619)=1,G1619="RHI_BERRY"),1+配置与结果!$B$33+P1619*方案参数!$AH$47,1)</f>
        <v>1</v>
      </c>
      <c r="AJ1619" s="1">
        <f>MIN(1,MAX(0,J1619+方案参数!$AB$47-配置与结果!$B$27))</f>
        <v>0.76</v>
      </c>
      <c r="AK1619" s="1">
        <f>MAX(1,K1619+IF(F1619=2,0.15+方案参数!$CH$47,0)+BN1619*方案参数!$X$47+R1619*方案参数!$AA$47+0-配置与结果!$B$26+Z1619*(方案参数!$AP$47+MIN(方案参数!$AQ$47,P1619*0.03)))</f>
        <v>2.3980000000000001</v>
      </c>
      <c r="AL1619" s="7">
        <f>ROUNDDOWN(MAX(AD1619*配置与结果!$B$31,AD1619-AE1619)*AF1619*AG1619*AH1619*AI1619,0)</f>
        <v>58160</v>
      </c>
      <c r="AM1619" s="7">
        <f>ROUNDDOWN(MAX(AD1619*配置与结果!$B$31,AD1619-AE1619)*AF1619*AG1619*AH1619*AI1619*AK1619,0)</f>
        <v>139469</v>
      </c>
      <c r="AN1619" s="7">
        <f t="shared" si="2268"/>
        <v>119954.84</v>
      </c>
      <c r="AO1619" s="7">
        <f>0</f>
        <v>0</v>
      </c>
      <c r="AP1619" s="7">
        <f>MAX(0,1+INDEX(配置与结果!$J$15:$J$18,F1619)+IF(T1619&gt;0,方案参数!$BY$47,0)-配置与结果!$B$30)</f>
        <v>1</v>
      </c>
      <c r="AQ1619" s="7">
        <f t="shared" si="2269"/>
        <v>0</v>
      </c>
      <c r="AR1619" s="7">
        <f t="shared" si="2270"/>
        <v>0</v>
      </c>
      <c r="AS1619" s="7">
        <f t="shared" si="2271"/>
        <v>0</v>
      </c>
      <c r="AT1619" s="7">
        <f>IF(U1619&gt;0,ROUNDDOWN(AL1619*方案参数!$AF$47,0)*(1-AJ1619)+ROUNDDOWN(AM1619*方案参数!$AF$47,0)*AJ1619,0)</f>
        <v>0</v>
      </c>
      <c r="AU1619" s="7">
        <f t="shared" si="2272"/>
        <v>119954.84</v>
      </c>
      <c r="AV1619" s="1">
        <f t="shared" si="2273"/>
        <v>2</v>
      </c>
      <c r="AW1619" s="1">
        <f t="shared" si="2280"/>
        <v>10</v>
      </c>
      <c r="AX1619" s="1">
        <f t="shared" si="2274"/>
        <v>2</v>
      </c>
      <c r="AY1619" s="1">
        <f>MIN(20,MAX(0,O1619+0+0-0))</f>
        <v>5</v>
      </c>
      <c r="AZ1619" s="1">
        <f t="shared" si="2275"/>
        <v>5</v>
      </c>
      <c r="BA1619" s="1">
        <f t="shared" si="2263"/>
        <v>5</v>
      </c>
      <c r="BB1619" s="1">
        <f t="shared" si="2279"/>
        <v>20</v>
      </c>
      <c r="BC1619" s="1">
        <f t="shared" si="2277"/>
        <v>3</v>
      </c>
      <c r="BD1619" s="1">
        <f t="shared" si="2250"/>
        <v>0</v>
      </c>
      <c r="BE1619" s="1">
        <f>MAX(0,U1619-IF(AF1619&gt;0,1,0))+1</f>
        <v>1</v>
      </c>
      <c r="BF1619" s="1">
        <f t="shared" si="2281"/>
        <v>4</v>
      </c>
      <c r="BG1619" s="1">
        <f t="shared" si="2260"/>
        <v>1</v>
      </c>
      <c r="BH1619" s="1">
        <f t="shared" si="2244"/>
        <v>1</v>
      </c>
      <c r="BI1619" s="1">
        <f t="shared" si="2261"/>
        <v>1</v>
      </c>
      <c r="BJ1619" s="1">
        <f t="shared" si="2264"/>
        <v>1</v>
      </c>
      <c r="BK1619" s="1">
        <f t="shared" si="2265"/>
        <v>1</v>
      </c>
      <c r="BL1619" s="1">
        <f t="shared" si="2278"/>
        <v>1</v>
      </c>
      <c r="BM1619" s="1">
        <f t="shared" si="2276"/>
        <v>1</v>
      </c>
      <c r="BN1619" s="1">
        <f t="shared" si="2245"/>
        <v>1</v>
      </c>
      <c r="BO1619" s="1">
        <f t="shared" si="2246"/>
        <v>1</v>
      </c>
    </row>
    <row r="1620" spans="1:67" ht="30.95" customHeight="1">
      <c r="A1620" s="1">
        <f>44</f>
        <v>44</v>
      </c>
      <c r="B1620" s="1">
        <f>固定流程!A36</f>
        <v>31</v>
      </c>
      <c r="C1620" s="1">
        <f>47</f>
        <v>47</v>
      </c>
      <c r="D1620" s="1">
        <f>2</f>
        <v>2</v>
      </c>
      <c r="E1620" s="1">
        <f>固定流程!C36</f>
        <v>3</v>
      </c>
      <c r="F1620" s="1">
        <f>固定流程!G36</f>
        <v>1</v>
      </c>
      <c r="G1620" s="1" t="str">
        <f>固定流程!H36</f>
        <v>LILYA_THIRD</v>
      </c>
      <c r="H1620" s="1">
        <f>固定流程!F36</f>
        <v>1</v>
      </c>
      <c r="I1620" s="1">
        <f>INDEX(配置与结果!$B$15:$B$18,F1620)</f>
        <v>2296</v>
      </c>
      <c r="J1620" s="1">
        <f>INDEX(配置与结果!$D$15:$D$18,F1620)</f>
        <v>0.7</v>
      </c>
      <c r="K1620" s="1">
        <f>INDEX(配置与结果!$E$15:$E$18,F1620)</f>
        <v>2.0249999999999999</v>
      </c>
      <c r="L1620" s="1">
        <f t="shared" si="2257"/>
        <v>2</v>
      </c>
      <c r="M1620" s="1">
        <f t="shared" si="2258"/>
        <v>10</v>
      </c>
      <c r="N1620" s="1">
        <f t="shared" si="2259"/>
        <v>2</v>
      </c>
      <c r="O1620" s="1">
        <f t="shared" si="2251"/>
        <v>5</v>
      </c>
      <c r="P1620" s="1">
        <f>MIN(方案参数!$AI$47,AZ1619+0+0)</f>
        <v>5</v>
      </c>
      <c r="Q1620" s="1">
        <f t="shared" si="2229"/>
        <v>5</v>
      </c>
      <c r="R1620" s="1">
        <f t="shared" si="2230"/>
        <v>20</v>
      </c>
      <c r="S1620" s="1">
        <f t="shared" si="2231"/>
        <v>3</v>
      </c>
      <c r="T1620" s="1">
        <f t="shared" si="2266"/>
        <v>0</v>
      </c>
      <c r="U1620" s="1">
        <f t="shared" si="2233"/>
        <v>1</v>
      </c>
      <c r="V1620" s="1">
        <f t="shared" si="2234"/>
        <v>4</v>
      </c>
      <c r="W1620" s="1">
        <f t="shared" si="2235"/>
        <v>1</v>
      </c>
      <c r="X1620" s="1">
        <f t="shared" si="2236"/>
        <v>1</v>
      </c>
      <c r="Y1620" s="1">
        <f t="shared" si="2237"/>
        <v>1</v>
      </c>
      <c r="Z1620" s="1">
        <f t="shared" si="2238"/>
        <v>1</v>
      </c>
      <c r="AA1620" s="1">
        <f t="shared" si="2262"/>
        <v>1</v>
      </c>
      <c r="AB1620" s="1">
        <f t="shared" si="2240"/>
        <v>1</v>
      </c>
      <c r="AC1620" s="1">
        <f t="shared" si="2267"/>
        <v>1</v>
      </c>
      <c r="AD1620" s="1">
        <f>ROUNDDOWN(I1620*(1+IF(F1620=3,0.05+方案参数!$Y$47+AA1620*0.12,IF(F1620=4,方案参数!$BZ$47*方案参数!$AS$47,0)))+IF(AND(X1620=1,F1620&lt;&gt;3),方案参数!$CC$47,0)+AC1620*方案参数!$CB$47,0)</f>
        <v>3034</v>
      </c>
      <c r="AE1620" s="1">
        <f>IF(OR(F1620=1,F1620=4),配置与结果!$B$24,配置与结果!$B$25)*MAX(0,1-INDEX(配置与结果!$I$15:$I$18,F1620))</f>
        <v>1200</v>
      </c>
      <c r="AF1620" s="1">
        <f>方案参数!$BM$47</f>
        <v>20</v>
      </c>
      <c r="AG1620" s="1">
        <f>MAX(配置与结果!$B$32,1+INDEX(配置与结果!$F$15:$F$18,F1620)+0.08+方案参数!$CD$47+Q1620*方案参数!$W$47+Y1620*(方案参数!$AN$47+MIN(方案参数!$AO$47,P1620*0.03))+AB1620*方案参数!$BZ$47*0.025-配置与结果!$B$28+方案参数!$AE$47)</f>
        <v>2.6150000000000002</v>
      </c>
      <c r="AH1620" s="1">
        <f>MAX(0,1+V1620*方案参数!$U$47+7*方案参数!$V$47+方案参数!$AE$47-配置与结果!$B$29)</f>
        <v>1.98</v>
      </c>
      <c r="AI1620" s="1">
        <f>IF(OR(INDEX(配置与结果!$K$15:$K$18,F1620)=1,G1620="RHI_BERRY"),1+配置与结果!$B$33+P1620*方案参数!$AH$47,1)</f>
        <v>1</v>
      </c>
      <c r="AJ1620" s="1">
        <f>MIN(1,MAX(0,J1620+方案参数!$AB$47-配置与结果!$B$27))</f>
        <v>1</v>
      </c>
      <c r="AK1620" s="1">
        <f>MAX(1,K1620+IF(F1620=2,0.15+方案参数!$CH$47,0)+BN1620*方案参数!$X$47+R1620*方案参数!$AA$47+方案参数!$BQ$47-配置与结果!$B$26+Z1620*(方案参数!$AP$47+MIN(方案参数!$AQ$47,P1620*0.03)))</f>
        <v>3.0249999999999999</v>
      </c>
      <c r="AL1620" s="7">
        <f>ROUNDDOWN(MAX(AD1620*配置与结果!$B$31,AD1620-AE1620)*AF1620*AG1620*AH1620*AI1620,0)</f>
        <v>189918</v>
      </c>
      <c r="AM1620" s="7">
        <f>ROUNDDOWN(MAX(AD1620*配置与结果!$B$31,AD1620-AE1620)*AF1620*AG1620*AH1620*AI1620*AK1620,0)</f>
        <v>574502</v>
      </c>
      <c r="AN1620" s="7">
        <f t="shared" si="2268"/>
        <v>574502</v>
      </c>
      <c r="AO1620" s="7">
        <f>0</f>
        <v>0</v>
      </c>
      <c r="AP1620" s="7">
        <f>MAX(0,1+INDEX(配置与结果!$J$15:$J$18,F1620)+IF(T1620&gt;0,方案参数!$BY$47,0)-配置与结果!$B$30)</f>
        <v>1</v>
      </c>
      <c r="AQ1620" s="7">
        <f t="shared" si="2269"/>
        <v>0</v>
      </c>
      <c r="AR1620" s="7">
        <f t="shared" si="2270"/>
        <v>0</v>
      </c>
      <c r="AS1620" s="7">
        <f t="shared" si="2271"/>
        <v>0</v>
      </c>
      <c r="AT1620" s="7">
        <f>IF(U1620&gt;0,ROUNDDOWN(AL1620*方案参数!$AF$47,0)*(1-AJ1620)+ROUNDDOWN(AM1620*方案参数!$AF$47,0)*AJ1620,0)</f>
        <v>229800</v>
      </c>
      <c r="AU1620" s="7">
        <f t="shared" si="2272"/>
        <v>804302</v>
      </c>
      <c r="AV1620" s="1">
        <f t="shared" si="2273"/>
        <v>2</v>
      </c>
      <c r="AW1620" s="1">
        <f t="shared" si="2280"/>
        <v>10</v>
      </c>
      <c r="AX1620" s="1">
        <f t="shared" si="2274"/>
        <v>2</v>
      </c>
      <c r="AY1620" s="1">
        <f>MIN(20,MAX(0,O1620+0+1-0))</f>
        <v>6</v>
      </c>
      <c r="AZ1620" s="1">
        <f t="shared" si="2275"/>
        <v>5</v>
      </c>
      <c r="BA1620" s="1">
        <f t="shared" si="2263"/>
        <v>5</v>
      </c>
      <c r="BB1620" s="1">
        <f t="shared" si="2279"/>
        <v>20</v>
      </c>
      <c r="BC1620" s="1">
        <f t="shared" si="2277"/>
        <v>3</v>
      </c>
      <c r="BD1620" s="1">
        <f t="shared" si="2250"/>
        <v>0</v>
      </c>
      <c r="BE1620" s="1">
        <f>MAX(0,U1620-IF(AF1620&gt;0,1,0))+0</f>
        <v>0</v>
      </c>
      <c r="BF1620" s="1">
        <f t="shared" si="2281"/>
        <v>4</v>
      </c>
      <c r="BG1620" s="1">
        <f t="shared" si="2260"/>
        <v>1</v>
      </c>
      <c r="BH1620" s="1">
        <f t="shared" si="2244"/>
        <v>1</v>
      </c>
      <c r="BI1620" s="1">
        <f t="shared" si="2261"/>
        <v>1</v>
      </c>
      <c r="BJ1620" s="1">
        <f t="shared" si="2264"/>
        <v>1</v>
      </c>
      <c r="BK1620" s="1">
        <f t="shared" si="2265"/>
        <v>1</v>
      </c>
      <c r="BL1620" s="1">
        <f t="shared" si="2278"/>
        <v>1</v>
      </c>
      <c r="BM1620" s="1">
        <f t="shared" si="2276"/>
        <v>1</v>
      </c>
      <c r="BN1620" s="1">
        <f t="shared" si="2245"/>
        <v>1</v>
      </c>
      <c r="BO1620" s="1">
        <f t="shared" si="2246"/>
        <v>1</v>
      </c>
    </row>
    <row r="1621" spans="1:67" ht="30.95" customHeight="1">
      <c r="A1621" s="1">
        <f>44</f>
        <v>44</v>
      </c>
      <c r="B1621" s="1">
        <f>固定流程!A37</f>
        <v>32</v>
      </c>
      <c r="C1621" s="1">
        <f>47</f>
        <v>47</v>
      </c>
      <c r="D1621" s="1">
        <f>2</f>
        <v>2</v>
      </c>
      <c r="E1621" s="1">
        <f>固定流程!C37</f>
        <v>3</v>
      </c>
      <c r="F1621" s="1">
        <f>固定流程!G37</f>
        <v>1</v>
      </c>
      <c r="G1621" s="1" t="str">
        <f>固定流程!H37</f>
        <v>LILYA_WEAK</v>
      </c>
      <c r="H1621" s="1">
        <f>固定流程!F37</f>
        <v>1</v>
      </c>
      <c r="I1621" s="1">
        <f>INDEX(配置与结果!$B$15:$B$18,F1621)</f>
        <v>2296</v>
      </c>
      <c r="J1621" s="1">
        <f>INDEX(配置与结果!$D$15:$D$18,F1621)</f>
        <v>0.7</v>
      </c>
      <c r="K1621" s="1">
        <f>INDEX(配置与结果!$E$15:$E$18,F1621)</f>
        <v>2.0249999999999999</v>
      </c>
      <c r="L1621" s="1">
        <f t="shared" si="2257"/>
        <v>2</v>
      </c>
      <c r="M1621" s="1">
        <f t="shared" si="2258"/>
        <v>10</v>
      </c>
      <c r="N1621" s="1">
        <f t="shared" si="2259"/>
        <v>2</v>
      </c>
      <c r="O1621" s="1">
        <f t="shared" si="2251"/>
        <v>6</v>
      </c>
      <c r="P1621" s="1">
        <f>MIN(方案参数!$AI$47,AZ1620+0+0)</f>
        <v>5</v>
      </c>
      <c r="Q1621" s="1">
        <f t="shared" si="2229"/>
        <v>5</v>
      </c>
      <c r="R1621" s="1">
        <f t="shared" si="2230"/>
        <v>20</v>
      </c>
      <c r="S1621" s="1">
        <f t="shared" si="2231"/>
        <v>3</v>
      </c>
      <c r="T1621" s="1">
        <f t="shared" si="2266"/>
        <v>0</v>
      </c>
      <c r="U1621" s="1">
        <f t="shared" si="2233"/>
        <v>0</v>
      </c>
      <c r="V1621" s="1">
        <f t="shared" si="2234"/>
        <v>4</v>
      </c>
      <c r="W1621" s="1">
        <f t="shared" si="2235"/>
        <v>1</v>
      </c>
      <c r="X1621" s="1">
        <f t="shared" si="2236"/>
        <v>1</v>
      </c>
      <c r="Y1621" s="1">
        <f t="shared" si="2237"/>
        <v>1</v>
      </c>
      <c r="Z1621" s="1">
        <f t="shared" si="2238"/>
        <v>1</v>
      </c>
      <c r="AA1621" s="1">
        <f t="shared" si="2262"/>
        <v>1</v>
      </c>
      <c r="AB1621" s="1">
        <f t="shared" si="2240"/>
        <v>1</v>
      </c>
      <c r="AC1621" s="1">
        <f t="shared" si="2267"/>
        <v>1</v>
      </c>
      <c r="AD1621" s="1">
        <f>ROUNDDOWN(I1621*(1+IF(F1621=3,0.05+方案参数!$Y$47+AA1621*0.12,IF(F1621=4,方案参数!$BZ$47*方案参数!$AS$47,0)))+IF(AND(X1621=1,F1621&lt;&gt;3),方案参数!$CC$47,0)+AC1621*方案参数!$CB$47,0)</f>
        <v>3034</v>
      </c>
      <c r="AE1621" s="1">
        <f>IF(OR(F1621=1,F1621=4),配置与结果!$B$24,配置与结果!$B$25)*MAX(0,1-INDEX(配置与结果!$I$15:$I$18,F1621))</f>
        <v>1200</v>
      </c>
      <c r="AF1621" s="1">
        <f>方案参数!$BL$47</f>
        <v>9</v>
      </c>
      <c r="AG1621" s="1">
        <f>MAX(配置与结果!$B$32,1+INDEX(配置与结果!$F$15:$F$18,F1621)+0.08+方案参数!$CD$47+Q1621*方案参数!$W$47+Y1621*(方案参数!$AN$47+MIN(方案参数!$AO$47,P1621*0.03))+AB1621*方案参数!$BZ$47*0.025-配置与结果!$B$28+方案参数!$AE$47)</f>
        <v>2.6150000000000002</v>
      </c>
      <c r="AH1621" s="1">
        <f>MAX(0,1+V1621*方案参数!$U$47+8*方案参数!$V$47+方案参数!$AE$47-配置与结果!$B$29)</f>
        <v>2.04</v>
      </c>
      <c r="AI1621" s="1">
        <f>IF(OR(INDEX(配置与结果!$K$15:$K$18,F1621)=1,G1621="RHI_BERRY"),1+配置与结果!$B$33+P1621*方案参数!$AH$47,1)</f>
        <v>1</v>
      </c>
      <c r="AJ1621" s="1">
        <f>MIN(1,MAX(0,J1621+方案参数!$AB$47-配置与结果!$B$27))</f>
        <v>1</v>
      </c>
      <c r="AK1621" s="1">
        <f>MAX(1,K1621+IF(F1621=2,0.15+方案参数!$CH$47,0)+BN1621*方案参数!$X$47+R1621*方案参数!$AA$47+方案参数!$BP$47-配置与结果!$B$26+Z1621*(方案参数!$AP$47+MIN(方案参数!$AQ$47,P1621*0.03)))</f>
        <v>2.8250000000000002</v>
      </c>
      <c r="AL1621" s="7">
        <f>ROUNDDOWN(MAX(AD1621*配置与结果!$B$31,AD1621-AE1621)*AF1621*AG1621*AH1621*AI1621,0)</f>
        <v>88052</v>
      </c>
      <c r="AM1621" s="7">
        <f>ROUNDDOWN(MAX(AD1621*配置与结果!$B$31,AD1621-AE1621)*AF1621*AG1621*AH1621*AI1621*AK1621,0)</f>
        <v>248749</v>
      </c>
      <c r="AN1621" s="7">
        <f t="shared" si="2268"/>
        <v>248749</v>
      </c>
      <c r="AO1621" s="7">
        <f>0</f>
        <v>0</v>
      </c>
      <c r="AP1621" s="7">
        <f>MAX(0,1+INDEX(配置与结果!$J$15:$J$18,F1621)+IF(T1621&gt;0,方案参数!$BY$47,0)-配置与结果!$B$30)</f>
        <v>1</v>
      </c>
      <c r="AQ1621" s="7">
        <f t="shared" si="2269"/>
        <v>0</v>
      </c>
      <c r="AR1621" s="7">
        <f t="shared" si="2270"/>
        <v>0</v>
      </c>
      <c r="AS1621" s="7">
        <f t="shared" si="2271"/>
        <v>0</v>
      </c>
      <c r="AT1621" s="7">
        <f>IF(U1621&gt;0,ROUNDDOWN(AL1621*方案参数!$AF$47,0)*(1-AJ1621)+ROUNDDOWN(AM1621*方案参数!$AF$47,0)*AJ1621,0)</f>
        <v>0</v>
      </c>
      <c r="AU1621" s="7">
        <f t="shared" si="2272"/>
        <v>248749</v>
      </c>
      <c r="AV1621" s="1">
        <f t="shared" si="2273"/>
        <v>2</v>
      </c>
      <c r="AW1621" s="1">
        <f t="shared" si="2280"/>
        <v>10</v>
      </c>
      <c r="AX1621" s="1">
        <f t="shared" si="2274"/>
        <v>2</v>
      </c>
      <c r="AY1621" s="1">
        <f>MIN(20,MAX(0,O1621+0+1-0))</f>
        <v>7</v>
      </c>
      <c r="AZ1621" s="1">
        <f t="shared" si="2275"/>
        <v>5</v>
      </c>
      <c r="BA1621" s="1">
        <f t="shared" si="2263"/>
        <v>5</v>
      </c>
      <c r="BB1621" s="1">
        <f t="shared" si="2279"/>
        <v>20</v>
      </c>
      <c r="BC1621" s="1">
        <f t="shared" si="2277"/>
        <v>3</v>
      </c>
      <c r="BD1621" s="1">
        <f t="shared" si="2250"/>
        <v>0</v>
      </c>
      <c r="BE1621" s="1">
        <f>MAX(0,U1621-IF(AF1621&gt;0,1,0))+0</f>
        <v>0</v>
      </c>
      <c r="BF1621" s="1">
        <f t="shared" si="2281"/>
        <v>4</v>
      </c>
      <c r="BG1621" s="1">
        <f t="shared" si="2260"/>
        <v>1</v>
      </c>
      <c r="BH1621" s="1">
        <f t="shared" si="2244"/>
        <v>1</v>
      </c>
      <c r="BI1621" s="1">
        <f t="shared" si="2261"/>
        <v>1</v>
      </c>
      <c r="BJ1621" s="1">
        <f t="shared" si="2264"/>
        <v>1</v>
      </c>
      <c r="BK1621" s="1">
        <f t="shared" si="2265"/>
        <v>1</v>
      </c>
      <c r="BL1621" s="1">
        <f t="shared" si="2278"/>
        <v>1</v>
      </c>
      <c r="BM1621" s="1">
        <f t="shared" si="2276"/>
        <v>1</v>
      </c>
      <c r="BN1621" s="1">
        <f t="shared" si="2245"/>
        <v>1</v>
      </c>
      <c r="BO1621" s="1">
        <f t="shared" si="2246"/>
        <v>1</v>
      </c>
    </row>
    <row r="1622" spans="1:67" ht="30.95" customHeight="1">
      <c r="A1622" s="1">
        <f>44</f>
        <v>44</v>
      </c>
      <c r="B1622" s="1">
        <f>固定流程!A38</f>
        <v>33</v>
      </c>
      <c r="C1622" s="1">
        <f>47</f>
        <v>47</v>
      </c>
      <c r="D1622" s="1">
        <f>2</f>
        <v>2</v>
      </c>
      <c r="E1622" s="1">
        <f>固定流程!C38</f>
        <v>3</v>
      </c>
      <c r="F1622" s="1">
        <f>固定流程!G38</f>
        <v>1</v>
      </c>
      <c r="G1622" s="1" t="str">
        <f>固定流程!H38</f>
        <v>LILYA_WEAK</v>
      </c>
      <c r="H1622" s="1">
        <f>固定流程!F38</f>
        <v>1</v>
      </c>
      <c r="I1622" s="1">
        <f>INDEX(配置与结果!$B$15:$B$18,F1622)</f>
        <v>2296</v>
      </c>
      <c r="J1622" s="1">
        <f>INDEX(配置与结果!$D$15:$D$18,F1622)</f>
        <v>0.7</v>
      </c>
      <c r="K1622" s="1">
        <f>INDEX(配置与结果!$E$15:$E$18,F1622)</f>
        <v>2.0249999999999999</v>
      </c>
      <c r="L1622" s="1">
        <f t="shared" si="2257"/>
        <v>2</v>
      </c>
      <c r="M1622" s="1">
        <f t="shared" si="2258"/>
        <v>10</v>
      </c>
      <c r="N1622" s="1">
        <f t="shared" si="2259"/>
        <v>2</v>
      </c>
      <c r="O1622" s="1">
        <f t="shared" si="2251"/>
        <v>7</v>
      </c>
      <c r="P1622" s="1">
        <f>MIN(方案参数!$AI$47,AZ1621+0+0)</f>
        <v>5</v>
      </c>
      <c r="Q1622" s="1">
        <f t="shared" si="2229"/>
        <v>5</v>
      </c>
      <c r="R1622" s="1">
        <f t="shared" si="2230"/>
        <v>20</v>
      </c>
      <c r="S1622" s="1">
        <f t="shared" si="2231"/>
        <v>3</v>
      </c>
      <c r="T1622" s="1">
        <f t="shared" si="2266"/>
        <v>0</v>
      </c>
      <c r="U1622" s="1">
        <f t="shared" si="2233"/>
        <v>0</v>
      </c>
      <c r="V1622" s="1">
        <f t="shared" si="2234"/>
        <v>4</v>
      </c>
      <c r="W1622" s="1">
        <f t="shared" si="2235"/>
        <v>1</v>
      </c>
      <c r="X1622" s="1">
        <f t="shared" si="2236"/>
        <v>1</v>
      </c>
      <c r="Y1622" s="1">
        <f t="shared" si="2237"/>
        <v>1</v>
      </c>
      <c r="Z1622" s="1">
        <f t="shared" si="2238"/>
        <v>1</v>
      </c>
      <c r="AA1622" s="1">
        <f t="shared" si="2262"/>
        <v>1</v>
      </c>
      <c r="AB1622" s="1">
        <f t="shared" si="2240"/>
        <v>1</v>
      </c>
      <c r="AC1622" s="1">
        <f t="shared" si="2267"/>
        <v>1</v>
      </c>
      <c r="AD1622" s="1">
        <f>ROUNDDOWN(I1622*(1+IF(F1622=3,0.05+方案参数!$Y$47+AA1622*0.12,IF(F1622=4,方案参数!$BZ$47*方案参数!$AS$47,0)))+IF(AND(X1622=1,F1622&lt;&gt;3),方案参数!$CC$47,0)+AC1622*方案参数!$CB$47,0)</f>
        <v>3034</v>
      </c>
      <c r="AE1622" s="1">
        <f>IF(OR(F1622=1,F1622=4),配置与结果!$B$24,配置与结果!$B$25)*MAX(0,1-INDEX(配置与结果!$I$15:$I$18,F1622))</f>
        <v>1200</v>
      </c>
      <c r="AF1622" s="1">
        <f>方案参数!$BL$47</f>
        <v>9</v>
      </c>
      <c r="AG1622" s="1">
        <f>MAX(配置与结果!$B$32,1+INDEX(配置与结果!$F$15:$F$18,F1622)+0.08+方案参数!$CD$47+Q1622*方案参数!$W$47+Y1622*(方案参数!$AN$47+MIN(方案参数!$AO$47,P1622*0.03))+AB1622*方案参数!$BZ$47*0.025-配置与结果!$B$28+方案参数!$AE$47)</f>
        <v>2.6150000000000002</v>
      </c>
      <c r="AH1622" s="1">
        <f>MAX(0,1+V1622*方案参数!$U$47+9*方案参数!$V$47+方案参数!$AE$47-配置与结果!$B$29)</f>
        <v>2.1</v>
      </c>
      <c r="AI1622" s="1">
        <f>IF(OR(INDEX(配置与结果!$K$15:$K$18,F1622)=1,G1622="RHI_BERRY"),1+配置与结果!$B$33+P1622*方案参数!$AH$47,1)</f>
        <v>1</v>
      </c>
      <c r="AJ1622" s="1">
        <f>MIN(1,MAX(0,J1622+方案参数!$AB$47-配置与结果!$B$27))</f>
        <v>1</v>
      </c>
      <c r="AK1622" s="1">
        <f>MAX(1,K1622+IF(F1622=2,0.15+方案参数!$CH$47,0)+BN1622*方案参数!$X$47+R1622*方案参数!$AA$47+方案参数!$BP$47-配置与结果!$B$26+Z1622*(方案参数!$AP$47+MIN(方案参数!$AQ$47,P1622*0.03)))</f>
        <v>2.8250000000000002</v>
      </c>
      <c r="AL1622" s="7">
        <f>ROUNDDOWN(MAX(AD1622*配置与结果!$B$31,AD1622-AE1622)*AF1622*AG1622*AH1622*AI1622,0)</f>
        <v>90642</v>
      </c>
      <c r="AM1622" s="7">
        <f>ROUNDDOWN(MAX(AD1622*配置与结果!$B$31,AD1622-AE1622)*AF1622*AG1622*AH1622*AI1622*AK1622,0)</f>
        <v>256065</v>
      </c>
      <c r="AN1622" s="7">
        <f t="shared" si="2268"/>
        <v>256065</v>
      </c>
      <c r="AO1622" s="7">
        <f>0</f>
        <v>0</v>
      </c>
      <c r="AP1622" s="7">
        <f>MAX(0,1+INDEX(配置与结果!$J$15:$J$18,F1622)+IF(T1622&gt;0,方案参数!$BY$47,0)-配置与结果!$B$30)</f>
        <v>1</v>
      </c>
      <c r="AQ1622" s="7">
        <f t="shared" si="2269"/>
        <v>0</v>
      </c>
      <c r="AR1622" s="7">
        <f t="shared" si="2270"/>
        <v>0</v>
      </c>
      <c r="AS1622" s="7">
        <f t="shared" si="2271"/>
        <v>0</v>
      </c>
      <c r="AT1622" s="7">
        <f>IF(U1622&gt;0,ROUNDDOWN(AL1622*方案参数!$AF$47,0)*(1-AJ1622)+ROUNDDOWN(AM1622*方案参数!$AF$47,0)*AJ1622,0)</f>
        <v>0</v>
      </c>
      <c r="AU1622" s="7">
        <f t="shared" si="2272"/>
        <v>256065</v>
      </c>
      <c r="AV1622" s="1">
        <f t="shared" si="2273"/>
        <v>2</v>
      </c>
      <c r="AW1622" s="1">
        <f t="shared" si="2280"/>
        <v>10</v>
      </c>
      <c r="AX1622" s="1">
        <f t="shared" si="2274"/>
        <v>2</v>
      </c>
      <c r="AY1622" s="1">
        <f>MIN(20,MAX(0,O1622+0+1-0))</f>
        <v>8</v>
      </c>
      <c r="AZ1622" s="1">
        <f t="shared" si="2275"/>
        <v>5</v>
      </c>
      <c r="BA1622" s="1">
        <f t="shared" si="2263"/>
        <v>5</v>
      </c>
      <c r="BB1622" s="1">
        <f t="shared" si="2279"/>
        <v>20</v>
      </c>
      <c r="BC1622" s="1">
        <f t="shared" si="2277"/>
        <v>3</v>
      </c>
      <c r="BD1622" s="1">
        <f t="shared" si="2250"/>
        <v>0</v>
      </c>
      <c r="BE1622" s="1">
        <f>MAX(0,U1622-IF(AF1622&gt;0,1,0))+0</f>
        <v>0</v>
      </c>
      <c r="BF1622" s="1">
        <f t="shared" si="2281"/>
        <v>4</v>
      </c>
      <c r="BG1622" s="1">
        <f t="shared" si="2260"/>
        <v>1</v>
      </c>
      <c r="BH1622" s="1">
        <f t="shared" si="2244"/>
        <v>1</v>
      </c>
      <c r="BI1622" s="1">
        <f t="shared" si="2261"/>
        <v>1</v>
      </c>
      <c r="BJ1622" s="1">
        <f t="shared" si="2264"/>
        <v>1</v>
      </c>
      <c r="BK1622" s="1">
        <f t="shared" si="2265"/>
        <v>1</v>
      </c>
      <c r="BL1622" s="1">
        <f t="shared" si="2278"/>
        <v>1</v>
      </c>
      <c r="BM1622" s="1">
        <f t="shared" si="2276"/>
        <v>1</v>
      </c>
      <c r="BN1622" s="1">
        <f t="shared" si="2245"/>
        <v>1</v>
      </c>
      <c r="BO1622" s="1">
        <f t="shared" si="2246"/>
        <v>1</v>
      </c>
    </row>
    <row r="1623" spans="1:67" ht="30.95" customHeight="1">
      <c r="A1623" s="1">
        <f>44</f>
        <v>44</v>
      </c>
      <c r="B1623" s="1">
        <f>固定流程!A39</f>
        <v>34</v>
      </c>
      <c r="C1623" s="1">
        <f>47</f>
        <v>47</v>
      </c>
      <c r="D1623" s="1">
        <f>2</f>
        <v>2</v>
      </c>
      <c r="E1623" s="1">
        <f>固定流程!C39</f>
        <v>3</v>
      </c>
      <c r="F1623" s="1">
        <f>固定流程!G39</f>
        <v>2</v>
      </c>
      <c r="G1623" s="1" t="str">
        <f>固定流程!H39</f>
        <v>37_WEAK</v>
      </c>
      <c r="H1623" s="1">
        <f>固定流程!F39</f>
        <v>1</v>
      </c>
      <c r="I1623" s="1">
        <f>INDEX(配置与结果!$B$15:$B$18,F1623)</f>
        <v>2306</v>
      </c>
      <c r="J1623" s="1">
        <f>INDEX(配置与结果!$D$15:$D$18,F1623)</f>
        <v>0.46</v>
      </c>
      <c r="K1623" s="1">
        <f>INDEX(配置与结果!$E$15:$E$18,F1623)</f>
        <v>1.9279999999999999</v>
      </c>
      <c r="L1623" s="1">
        <f t="shared" si="2257"/>
        <v>2</v>
      </c>
      <c r="M1623" s="1">
        <f t="shared" si="2258"/>
        <v>10</v>
      </c>
      <c r="N1623" s="1">
        <f t="shared" si="2259"/>
        <v>2</v>
      </c>
      <c r="O1623" s="1">
        <f t="shared" si="2251"/>
        <v>8</v>
      </c>
      <c r="P1623" s="1">
        <f>MIN(方案参数!$AI$47,AZ1622+0+0)</f>
        <v>5</v>
      </c>
      <c r="Q1623" s="1">
        <f t="shared" si="2229"/>
        <v>5</v>
      </c>
      <c r="R1623" s="1">
        <f t="shared" si="2230"/>
        <v>20</v>
      </c>
      <c r="S1623" s="1">
        <f t="shared" si="2231"/>
        <v>3</v>
      </c>
      <c r="T1623" s="1">
        <f t="shared" si="2266"/>
        <v>0</v>
      </c>
      <c r="U1623" s="1">
        <f t="shared" si="2233"/>
        <v>0</v>
      </c>
      <c r="V1623" s="1">
        <f t="shared" si="2234"/>
        <v>4</v>
      </c>
      <c r="W1623" s="1">
        <f t="shared" si="2235"/>
        <v>1</v>
      </c>
      <c r="X1623" s="1">
        <f t="shared" si="2236"/>
        <v>1</v>
      </c>
      <c r="Y1623" s="1">
        <f t="shared" si="2237"/>
        <v>1</v>
      </c>
      <c r="Z1623" s="1">
        <f t="shared" si="2238"/>
        <v>1</v>
      </c>
      <c r="AA1623" s="1">
        <f t="shared" si="2262"/>
        <v>1</v>
      </c>
      <c r="AB1623" s="1">
        <f t="shared" si="2240"/>
        <v>1</v>
      </c>
      <c r="AC1623" s="1">
        <f t="shared" si="2267"/>
        <v>1</v>
      </c>
      <c r="AD1623" s="1">
        <f>ROUNDDOWN(I1623*(1+IF(F1623=3,0.05+方案参数!$Y$47+AA1623*0.12,IF(F1623=4,方案参数!$BZ$47*方案参数!$AS$47,0)))+IF(AND(X1623=1,F1623&lt;&gt;3),方案参数!$CC$47,0)+AC1623*方案参数!$CB$47,0)</f>
        <v>3044</v>
      </c>
      <c r="AE1623" s="1">
        <f>IF(OR(F1623=1,F1623=4),配置与结果!$B$24,配置与结果!$B$25)*MAX(0,1-INDEX(配置与结果!$I$15:$I$18,F1623))</f>
        <v>1000</v>
      </c>
      <c r="AF1623" s="1">
        <f>方案参数!$CE$47</f>
        <v>8</v>
      </c>
      <c r="AG1623" s="1">
        <f>MAX(配置与结果!$B$32,1+INDEX(配置与结果!$F$15:$F$18,F1623)+0+Q1623*方案参数!$W$47+Y1623*(方案参数!$AN$47+MIN(方案参数!$AO$47,P1623*0.03))+AB1623*方案参数!$BZ$47*0.025-配置与结果!$B$28+方案参数!$AE$47)</f>
        <v>2.2800000000000002</v>
      </c>
      <c r="AH1623" s="1">
        <f>MAX(0,1+V1623*方案参数!$U$47+方案参数!$AE$47-配置与结果!$B$29)</f>
        <v>1.56</v>
      </c>
      <c r="AI1623" s="1">
        <f>IF(OR(INDEX(配置与结果!$K$15:$K$18,F1623)=1,G1623="RHI_BERRY"),1+配置与结果!$B$33+P1623*方案参数!$AH$47,1)</f>
        <v>1</v>
      </c>
      <c r="AJ1623" s="1">
        <f>MIN(1,MAX(0,J1623+方案参数!$AB$47-配置与结果!$B$27))</f>
        <v>0.76</v>
      </c>
      <c r="AK1623" s="1">
        <f>MAX(1,K1623+IF(F1623=2,0.15+方案参数!$CH$47,0)+BN1623*方案参数!$X$47+R1623*方案参数!$AA$47+0-配置与结果!$B$26+Z1623*(方案参数!$AP$47+MIN(方案参数!$AQ$47,P1623*0.03)))</f>
        <v>2.3980000000000001</v>
      </c>
      <c r="AL1623" s="7">
        <f>ROUNDDOWN(MAX(AD1623*配置与结果!$B$31,AD1623-AE1623)*AF1623*AG1623*AH1623*AI1623,0)</f>
        <v>58160</v>
      </c>
      <c r="AM1623" s="7">
        <f>ROUNDDOWN(MAX(AD1623*配置与结果!$B$31,AD1623-AE1623)*AF1623*AG1623*AH1623*AI1623*AK1623,0)</f>
        <v>139469</v>
      </c>
      <c r="AN1623" s="7">
        <f t="shared" si="2268"/>
        <v>119954.84</v>
      </c>
      <c r="AO1623" s="7">
        <f>0</f>
        <v>0</v>
      </c>
      <c r="AP1623" s="7">
        <f>MAX(0,1+INDEX(配置与结果!$J$15:$J$18,F1623)+IF(T1623&gt;0,方案参数!$BY$47,0)-配置与结果!$B$30)</f>
        <v>1</v>
      </c>
      <c r="AQ1623" s="7">
        <f t="shared" si="2269"/>
        <v>0</v>
      </c>
      <c r="AR1623" s="7">
        <f t="shared" si="2270"/>
        <v>0</v>
      </c>
      <c r="AS1623" s="7">
        <f t="shared" si="2271"/>
        <v>0</v>
      </c>
      <c r="AT1623" s="7">
        <f>IF(U1623&gt;0,ROUNDDOWN(AL1623*方案参数!$AF$47,0)*(1-AJ1623)+ROUNDDOWN(AM1623*方案参数!$AF$47,0)*AJ1623,0)</f>
        <v>0</v>
      </c>
      <c r="AU1623" s="7">
        <f t="shared" si="2272"/>
        <v>119954.84</v>
      </c>
      <c r="AV1623" s="1">
        <f t="shared" si="2273"/>
        <v>2</v>
      </c>
      <c r="AW1623" s="1">
        <f t="shared" si="2280"/>
        <v>10</v>
      </c>
      <c r="AX1623" s="1">
        <f t="shared" si="2274"/>
        <v>2</v>
      </c>
      <c r="AY1623" s="1">
        <f>MIN(20,MAX(0,O1623+0+0-0))</f>
        <v>8</v>
      </c>
      <c r="AZ1623" s="1">
        <f t="shared" si="2275"/>
        <v>5</v>
      </c>
      <c r="BA1623" s="1">
        <f t="shared" si="2263"/>
        <v>5</v>
      </c>
      <c r="BB1623" s="1">
        <f t="shared" si="2279"/>
        <v>20</v>
      </c>
      <c r="BC1623" s="1">
        <f t="shared" si="2277"/>
        <v>3</v>
      </c>
      <c r="BD1623" s="1">
        <f t="shared" si="2250"/>
        <v>0</v>
      </c>
      <c r="BE1623" s="1">
        <f>MAX(0,U1623-IF(AF1623&gt;0,1,0))+1</f>
        <v>1</v>
      </c>
      <c r="BF1623" s="1">
        <f t="shared" si="2281"/>
        <v>4</v>
      </c>
      <c r="BG1623" s="1">
        <f t="shared" si="2260"/>
        <v>1</v>
      </c>
      <c r="BH1623" s="1">
        <f t="shared" si="2244"/>
        <v>1</v>
      </c>
      <c r="BI1623" s="1">
        <f t="shared" si="2261"/>
        <v>1</v>
      </c>
      <c r="BJ1623" s="1">
        <f t="shared" si="2264"/>
        <v>1</v>
      </c>
      <c r="BK1623" s="1">
        <f t="shared" si="2265"/>
        <v>1</v>
      </c>
      <c r="BL1623" s="1">
        <f t="shared" si="2278"/>
        <v>1</v>
      </c>
      <c r="BM1623" s="1">
        <f t="shared" si="2276"/>
        <v>1</v>
      </c>
      <c r="BN1623" s="1">
        <f t="shared" si="2245"/>
        <v>1</v>
      </c>
      <c r="BO1623" s="1">
        <f t="shared" si="2246"/>
        <v>1</v>
      </c>
    </row>
    <row r="1624" spans="1:67" ht="30.95" customHeight="1">
      <c r="A1624" s="1">
        <f>44</f>
        <v>44</v>
      </c>
      <c r="B1624" s="1">
        <f>固定流程!A40</f>
        <v>35</v>
      </c>
      <c r="C1624" s="1">
        <f>47</f>
        <v>47</v>
      </c>
      <c r="D1624" s="1">
        <f>2</f>
        <v>2</v>
      </c>
      <c r="E1624" s="1">
        <f>固定流程!C40</f>
        <v>3</v>
      </c>
      <c r="F1624" s="1">
        <f>固定流程!G40</f>
        <v>2</v>
      </c>
      <c r="G1624" s="1" t="str">
        <f>固定流程!H40</f>
        <v>37_WEAK</v>
      </c>
      <c r="H1624" s="1">
        <f>固定流程!F40</f>
        <v>1</v>
      </c>
      <c r="I1624" s="1">
        <f>INDEX(配置与结果!$B$15:$B$18,F1624)</f>
        <v>2306</v>
      </c>
      <c r="J1624" s="1">
        <f>INDEX(配置与结果!$D$15:$D$18,F1624)</f>
        <v>0.46</v>
      </c>
      <c r="K1624" s="1">
        <f>INDEX(配置与结果!$E$15:$E$18,F1624)</f>
        <v>1.9279999999999999</v>
      </c>
      <c r="L1624" s="1">
        <f t="shared" si="2257"/>
        <v>2</v>
      </c>
      <c r="M1624" s="1">
        <f t="shared" si="2258"/>
        <v>10</v>
      </c>
      <c r="N1624" s="1">
        <f t="shared" si="2259"/>
        <v>2</v>
      </c>
      <c r="O1624" s="1">
        <f t="shared" si="2251"/>
        <v>8</v>
      </c>
      <c r="P1624" s="1">
        <f>MIN(方案参数!$AI$47,AZ1623+0+0)</f>
        <v>5</v>
      </c>
      <c r="Q1624" s="1">
        <f t="shared" si="2229"/>
        <v>5</v>
      </c>
      <c r="R1624" s="1">
        <f t="shared" si="2230"/>
        <v>20</v>
      </c>
      <c r="S1624" s="1">
        <f t="shared" si="2231"/>
        <v>3</v>
      </c>
      <c r="T1624" s="1">
        <f t="shared" si="2266"/>
        <v>0</v>
      </c>
      <c r="U1624" s="1">
        <f t="shared" si="2233"/>
        <v>1</v>
      </c>
      <c r="V1624" s="1">
        <f t="shared" si="2234"/>
        <v>4</v>
      </c>
      <c r="W1624" s="1">
        <f t="shared" si="2235"/>
        <v>1</v>
      </c>
      <c r="X1624" s="1">
        <f t="shared" si="2236"/>
        <v>1</v>
      </c>
      <c r="Y1624" s="1">
        <f t="shared" si="2237"/>
        <v>1</v>
      </c>
      <c r="Z1624" s="1">
        <f t="shared" si="2238"/>
        <v>1</v>
      </c>
      <c r="AA1624" s="1">
        <f t="shared" si="2262"/>
        <v>1</v>
      </c>
      <c r="AB1624" s="1">
        <f t="shared" si="2240"/>
        <v>1</v>
      </c>
      <c r="AC1624" s="1">
        <f t="shared" si="2267"/>
        <v>1</v>
      </c>
      <c r="AD1624" s="1">
        <f>ROUNDDOWN(I1624*(1+IF(F1624=3,0.05+方案参数!$Y$47+AA1624*0.12,IF(F1624=4,方案参数!$BZ$47*方案参数!$AS$47,0)))+IF(AND(X1624=1,F1624&lt;&gt;3),方案参数!$CC$47,0)+AC1624*方案参数!$CB$47,0)</f>
        <v>3044</v>
      </c>
      <c r="AE1624" s="1">
        <f>IF(OR(F1624=1,F1624=4),配置与结果!$B$24,配置与结果!$B$25)*MAX(0,1-INDEX(配置与结果!$I$15:$I$18,F1624))</f>
        <v>1000</v>
      </c>
      <c r="AF1624" s="1">
        <f>方案参数!$CE$47</f>
        <v>8</v>
      </c>
      <c r="AG1624" s="1">
        <f>MAX(配置与结果!$B$32,1+INDEX(配置与结果!$F$15:$F$18,F1624)+0+Q1624*方案参数!$W$47+Y1624*(方案参数!$AN$47+MIN(方案参数!$AO$47,P1624*0.03))+AB1624*方案参数!$BZ$47*0.025-配置与结果!$B$28+方案参数!$AE$47)</f>
        <v>2.2800000000000002</v>
      </c>
      <c r="AH1624" s="1">
        <f>MAX(0,1+V1624*方案参数!$U$47+方案参数!$AE$47-配置与结果!$B$29)</f>
        <v>1.56</v>
      </c>
      <c r="AI1624" s="1">
        <f>IF(OR(INDEX(配置与结果!$K$15:$K$18,F1624)=1,G1624="RHI_BERRY"),1+配置与结果!$B$33+P1624*方案参数!$AH$47,1)</f>
        <v>1</v>
      </c>
      <c r="AJ1624" s="1">
        <f>MIN(1,MAX(0,J1624+方案参数!$AB$47-配置与结果!$B$27))</f>
        <v>0.76</v>
      </c>
      <c r="AK1624" s="1">
        <f>MAX(1,K1624+IF(F1624=2,0.15+方案参数!$CH$47,0)+BN1624*方案参数!$X$47+R1624*方案参数!$AA$47+0-配置与结果!$B$26+Z1624*(方案参数!$AP$47+MIN(方案参数!$AQ$47,P1624*0.03)))</f>
        <v>2.3980000000000001</v>
      </c>
      <c r="AL1624" s="7">
        <f>ROUNDDOWN(MAX(AD1624*配置与结果!$B$31,AD1624-AE1624)*AF1624*AG1624*AH1624*AI1624,0)</f>
        <v>58160</v>
      </c>
      <c r="AM1624" s="7">
        <f>ROUNDDOWN(MAX(AD1624*配置与结果!$B$31,AD1624-AE1624)*AF1624*AG1624*AH1624*AI1624*AK1624,0)</f>
        <v>139469</v>
      </c>
      <c r="AN1624" s="7">
        <f t="shared" si="2268"/>
        <v>119954.84</v>
      </c>
      <c r="AO1624" s="7">
        <f>0</f>
        <v>0</v>
      </c>
      <c r="AP1624" s="7">
        <f>MAX(0,1+INDEX(配置与结果!$J$15:$J$18,F1624)+IF(T1624&gt;0,方案参数!$BY$47,0)-配置与结果!$B$30)</f>
        <v>1</v>
      </c>
      <c r="AQ1624" s="7">
        <f t="shared" si="2269"/>
        <v>0</v>
      </c>
      <c r="AR1624" s="7">
        <f t="shared" si="2270"/>
        <v>0</v>
      </c>
      <c r="AS1624" s="7">
        <f t="shared" si="2271"/>
        <v>0</v>
      </c>
      <c r="AT1624" s="7">
        <f>IF(U1624&gt;0,ROUNDDOWN(AL1624*方案参数!$AF$47,0)*(1-AJ1624)+ROUNDDOWN(AM1624*方案参数!$AF$47,0)*AJ1624,0)</f>
        <v>47981.48</v>
      </c>
      <c r="AU1624" s="7">
        <f t="shared" si="2272"/>
        <v>167936.32</v>
      </c>
      <c r="AV1624" s="1">
        <f t="shared" si="2273"/>
        <v>2</v>
      </c>
      <c r="AW1624" s="1">
        <f t="shared" si="2280"/>
        <v>10</v>
      </c>
      <c r="AX1624" s="1">
        <f t="shared" si="2274"/>
        <v>2</v>
      </c>
      <c r="AY1624" s="1">
        <f>MIN(20,MAX(0,O1624+0+0-0))</f>
        <v>8</v>
      </c>
      <c r="AZ1624" s="1">
        <f t="shared" si="2275"/>
        <v>5</v>
      </c>
      <c r="BA1624" s="1">
        <f t="shared" si="2263"/>
        <v>5</v>
      </c>
      <c r="BB1624" s="1">
        <f t="shared" si="2279"/>
        <v>20</v>
      </c>
      <c r="BC1624" s="1">
        <f t="shared" si="2277"/>
        <v>3</v>
      </c>
      <c r="BD1624" s="1">
        <f t="shared" si="2250"/>
        <v>0</v>
      </c>
      <c r="BE1624" s="1">
        <f>MAX(0,U1624-IF(AF1624&gt;0,1,0))+1</f>
        <v>1</v>
      </c>
      <c r="BF1624" s="1">
        <f t="shared" si="2281"/>
        <v>4</v>
      </c>
      <c r="BG1624" s="1">
        <f t="shared" si="2260"/>
        <v>1</v>
      </c>
      <c r="BH1624" s="1">
        <f t="shared" si="2244"/>
        <v>1</v>
      </c>
      <c r="BI1624" s="1">
        <f t="shared" si="2261"/>
        <v>1</v>
      </c>
      <c r="BJ1624" s="1">
        <f t="shared" si="2264"/>
        <v>1</v>
      </c>
      <c r="BK1624" s="1">
        <f t="shared" si="2265"/>
        <v>1</v>
      </c>
      <c r="BL1624" s="1">
        <f t="shared" si="2278"/>
        <v>1</v>
      </c>
      <c r="BM1624" s="1">
        <f t="shared" si="2276"/>
        <v>1</v>
      </c>
      <c r="BN1624" s="1">
        <f t="shared" si="2245"/>
        <v>1</v>
      </c>
      <c r="BO1624" s="1">
        <f t="shared" si="2246"/>
        <v>1</v>
      </c>
    </row>
    <row r="1625" spans="1:67" ht="30.95" customHeight="1">
      <c r="A1625" s="1">
        <f>44</f>
        <v>44</v>
      </c>
      <c r="B1625" s="1">
        <f>固定流程!A41</f>
        <v>36</v>
      </c>
      <c r="C1625" s="1">
        <f>47</f>
        <v>47</v>
      </c>
      <c r="D1625" s="1">
        <f>2</f>
        <v>2</v>
      </c>
      <c r="E1625" s="1">
        <f>固定流程!C41</f>
        <v>3</v>
      </c>
      <c r="F1625" s="1">
        <f>固定流程!G41</f>
        <v>1</v>
      </c>
      <c r="G1625" s="1" t="str">
        <f>固定流程!H41</f>
        <v>LILYA_FINISH</v>
      </c>
      <c r="H1625" s="1">
        <f>固定流程!F41</f>
        <v>1</v>
      </c>
      <c r="I1625" s="1">
        <f>INDEX(配置与结果!$B$15:$B$18,F1625)</f>
        <v>2296</v>
      </c>
      <c r="J1625" s="1">
        <f>INDEX(配置与结果!$D$15:$D$18,F1625)</f>
        <v>0.7</v>
      </c>
      <c r="K1625" s="1">
        <f>INDEX(配置与结果!$E$15:$E$18,F1625)</f>
        <v>2.0249999999999999</v>
      </c>
      <c r="L1625" s="1">
        <f t="shared" si="2257"/>
        <v>2</v>
      </c>
      <c r="M1625" s="1">
        <f t="shared" si="2258"/>
        <v>10</v>
      </c>
      <c r="N1625" s="1">
        <f t="shared" si="2259"/>
        <v>2</v>
      </c>
      <c r="O1625" s="1">
        <f t="shared" si="2251"/>
        <v>8</v>
      </c>
      <c r="P1625" s="1">
        <f>MIN(方案参数!$AI$47,AZ1624+0+0)</f>
        <v>5</v>
      </c>
      <c r="Q1625" s="1">
        <f t="shared" si="2229"/>
        <v>5</v>
      </c>
      <c r="R1625" s="1">
        <f t="shared" si="2230"/>
        <v>20</v>
      </c>
      <c r="S1625" s="1">
        <f t="shared" si="2231"/>
        <v>3</v>
      </c>
      <c r="T1625" s="1">
        <f t="shared" si="2266"/>
        <v>0</v>
      </c>
      <c r="U1625" s="1">
        <f t="shared" si="2233"/>
        <v>1</v>
      </c>
      <c r="V1625" s="1">
        <f t="shared" si="2234"/>
        <v>4</v>
      </c>
      <c r="W1625" s="1">
        <f t="shared" si="2235"/>
        <v>1</v>
      </c>
      <c r="X1625" s="1">
        <f t="shared" si="2236"/>
        <v>1</v>
      </c>
      <c r="Y1625" s="1">
        <f t="shared" si="2237"/>
        <v>1</v>
      </c>
      <c r="Z1625" s="1">
        <f t="shared" si="2238"/>
        <v>1</v>
      </c>
      <c r="AA1625" s="1">
        <f t="shared" si="2262"/>
        <v>1</v>
      </c>
      <c r="AB1625" s="1">
        <f t="shared" si="2240"/>
        <v>1</v>
      </c>
      <c r="AC1625" s="1">
        <f t="shared" si="2267"/>
        <v>1</v>
      </c>
      <c r="AD1625" s="1">
        <f>ROUNDDOWN(I1625*(1+IF(F1625=3,0.05+方案参数!$Y$47+AA1625*0.12,IF(F1625=4,方案参数!$BZ$47*方案参数!$AS$47,0)))+IF(AND(X1625=1,F1625&lt;&gt;3),方案参数!$CC$47,0)+AC1625*方案参数!$CB$47,0)</f>
        <v>3034</v>
      </c>
      <c r="AE1625" s="1">
        <f>IF(OR(F1625=1,F1625=4),配置与结果!$B$24,配置与结果!$B$25)*MAX(0,1-INDEX(配置与结果!$I$15:$I$18,F1625))</f>
        <v>1200</v>
      </c>
      <c r="AF1625" s="1">
        <f>方案参数!$BN$47+12*方案参数!$BO$47</f>
        <v>48</v>
      </c>
      <c r="AG1625" s="1">
        <f>MAX(配置与结果!$B$32,1+INDEX(配置与结果!$F$15:$F$18,F1625)+0.08+方案参数!$CD$47+Q1625*方案参数!$W$47+Y1625*(方案参数!$AN$47+MIN(方案参数!$AO$47,P1625*0.03))+AB1625*方案参数!$BZ$47*0.025-配置与结果!$B$28+方案参数!$AE$47)</f>
        <v>2.6150000000000002</v>
      </c>
      <c r="AH1625" s="1">
        <f>MAX(0,1+V1625*方案参数!$U$47+12*方案参数!$V$47+方案参数!$AE$47-配置与结果!$B$29)</f>
        <v>2.2799999999999998</v>
      </c>
      <c r="AI1625" s="1">
        <f>IF(OR(INDEX(配置与结果!$K$15:$K$18,F1625)=1,G1625="RHI_BERRY"),1+配置与结果!$B$33+P1625*方案参数!$AH$47,1)</f>
        <v>1</v>
      </c>
      <c r="AJ1625" s="1">
        <f>MIN(1,MAX(0,J1625+方案参数!$AB$47-配置与结果!$B$27))</f>
        <v>1</v>
      </c>
      <c r="AK1625" s="1">
        <f>MAX(1,K1625+IF(F1625=2,0.15+方案参数!$CH$47,0)+BN1625*方案参数!$X$47+R1625*方案参数!$AA$47+方案参数!$BR$47-配置与结果!$B$26+Z1625*(方案参数!$AP$47+MIN(方案参数!$AQ$47,P1625*0.03)))</f>
        <v>3.2250000000000001</v>
      </c>
      <c r="AL1625" s="7">
        <f>ROUNDDOWN(MAX(AD1625*配置与结果!$B$31,AD1625-AE1625)*AF1625*AG1625*AH1625*AI1625,0)</f>
        <v>524864</v>
      </c>
      <c r="AM1625" s="7">
        <f>ROUNDDOWN(MAX(AD1625*配置与结果!$B$31,AD1625-AE1625)*AF1625*AG1625*AH1625*AI1625*AK1625,0)</f>
        <v>1692687</v>
      </c>
      <c r="AN1625" s="7">
        <f t="shared" si="2268"/>
        <v>1692687</v>
      </c>
      <c r="AO1625" s="7">
        <f>0</f>
        <v>0</v>
      </c>
      <c r="AP1625" s="7">
        <f>MAX(0,1+INDEX(配置与结果!$J$15:$J$18,F1625)+IF(T1625&gt;0,方案参数!$BY$47,0)-配置与结果!$B$30)</f>
        <v>1</v>
      </c>
      <c r="AQ1625" s="7">
        <f t="shared" si="2269"/>
        <v>0</v>
      </c>
      <c r="AR1625" s="7">
        <f t="shared" si="2270"/>
        <v>0</v>
      </c>
      <c r="AS1625" s="7">
        <f t="shared" si="2271"/>
        <v>0</v>
      </c>
      <c r="AT1625" s="7">
        <f>IF(U1625&gt;0,ROUNDDOWN(AL1625*方案参数!$AF$47,0)*(1-AJ1625)+ROUNDDOWN(AM1625*方案参数!$AF$47,0)*AJ1625,0)</f>
        <v>677074</v>
      </c>
      <c r="AU1625" s="7">
        <f t="shared" si="2272"/>
        <v>2369761</v>
      </c>
      <c r="AV1625" s="1">
        <f t="shared" si="2273"/>
        <v>2</v>
      </c>
      <c r="AW1625" s="1">
        <f t="shared" si="2280"/>
        <v>10</v>
      </c>
      <c r="AX1625" s="1">
        <f t="shared" si="2274"/>
        <v>2</v>
      </c>
      <c r="AY1625" s="1">
        <f>MIN(20,MAX(0,O1625+0+1-0))</f>
        <v>9</v>
      </c>
      <c r="AZ1625" s="1">
        <f t="shared" si="2275"/>
        <v>5</v>
      </c>
      <c r="BA1625" s="1">
        <f t="shared" si="2263"/>
        <v>5</v>
      </c>
      <c r="BB1625" s="1">
        <f t="shared" si="2279"/>
        <v>20</v>
      </c>
      <c r="BC1625" s="1">
        <f t="shared" si="2277"/>
        <v>3</v>
      </c>
      <c r="BD1625" s="1">
        <f t="shared" si="2250"/>
        <v>0</v>
      </c>
      <c r="BE1625" s="1">
        <f>MAX(0,U1625-IF(AF1625&gt;0,1,0))+0</f>
        <v>0</v>
      </c>
      <c r="BF1625" s="1">
        <f t="shared" si="2281"/>
        <v>4</v>
      </c>
      <c r="BG1625" s="1">
        <f t="shared" si="2260"/>
        <v>1</v>
      </c>
      <c r="BH1625" s="1">
        <f t="shared" si="2244"/>
        <v>1</v>
      </c>
      <c r="BI1625" s="1">
        <f t="shared" si="2261"/>
        <v>1</v>
      </c>
      <c r="BJ1625" s="1">
        <f t="shared" si="2264"/>
        <v>1</v>
      </c>
      <c r="BK1625" s="1">
        <f t="shared" si="2265"/>
        <v>1</v>
      </c>
      <c r="BL1625" s="1">
        <f t="shared" si="2278"/>
        <v>1</v>
      </c>
      <c r="BM1625" s="1">
        <f t="shared" si="2276"/>
        <v>1</v>
      </c>
      <c r="BN1625" s="1">
        <f t="shared" si="2245"/>
        <v>1</v>
      </c>
      <c r="BO1625" s="1">
        <f t="shared" si="2246"/>
        <v>1</v>
      </c>
    </row>
    <row r="1626" spans="1:67" ht="30.95" customHeight="1">
      <c r="A1626" s="1">
        <f>45</f>
        <v>45</v>
      </c>
      <c r="B1626" s="1">
        <f>固定流程!A6</f>
        <v>1</v>
      </c>
      <c r="C1626" s="1">
        <f>48</f>
        <v>48</v>
      </c>
      <c r="D1626" s="1">
        <f>1</f>
        <v>1</v>
      </c>
      <c r="E1626" s="1">
        <f>固定流程!C6</f>
        <v>1</v>
      </c>
      <c r="F1626" s="1">
        <f>固定流程!G6</f>
        <v>3</v>
      </c>
      <c r="G1626" s="1" t="str">
        <f>固定流程!H6</f>
        <v>RHI_ULT</v>
      </c>
      <c r="H1626" s="1">
        <f>固定流程!F6</f>
        <v>1</v>
      </c>
      <c r="I1626" s="1">
        <f>INDEX(配置与结果!$B$15:$B$18,F1626)</f>
        <v>2597</v>
      </c>
      <c r="J1626" s="1">
        <f>INDEX(配置与结果!$D$15:$D$18,F1626)</f>
        <v>0.255</v>
      </c>
      <c r="K1626" s="1">
        <f>INDEX(配置与结果!$E$15:$E$18,F1626)</f>
        <v>1.55</v>
      </c>
      <c r="L1626" s="1">
        <f>0</f>
        <v>0</v>
      </c>
      <c r="M1626" s="1">
        <f>0</f>
        <v>0</v>
      </c>
      <c r="N1626" s="1">
        <f>0</f>
        <v>0</v>
      </c>
      <c r="O1626" s="1">
        <f>0</f>
        <v>0</v>
      </c>
      <c r="P1626" s="1">
        <f>MIN(方案参数!$AI$48,0+方案参数!$AJ$48+0)</f>
        <v>1</v>
      </c>
      <c r="Q1626" s="1">
        <f>0</f>
        <v>0</v>
      </c>
      <c r="R1626" s="1">
        <f>0</f>
        <v>0</v>
      </c>
      <c r="S1626" s="1">
        <f>0</f>
        <v>0</v>
      </c>
      <c r="T1626" s="1">
        <f>0+0</f>
        <v>0</v>
      </c>
      <c r="U1626" s="1">
        <f>0</f>
        <v>0</v>
      </c>
      <c r="V1626" s="1">
        <f>0</f>
        <v>0</v>
      </c>
      <c r="W1626" s="1">
        <f>0</f>
        <v>0</v>
      </c>
      <c r="X1626" s="1">
        <f>0</f>
        <v>0</v>
      </c>
      <c r="Y1626" s="1">
        <f>0</f>
        <v>0</v>
      </c>
      <c r="Z1626" s="1">
        <f>0</f>
        <v>0</v>
      </c>
      <c r="AA1626" s="1">
        <f>MAX(0,0)</f>
        <v>0</v>
      </c>
      <c r="AB1626" s="1">
        <f>0</f>
        <v>0</v>
      </c>
      <c r="AC1626" s="1">
        <f>MAX(0,0)</f>
        <v>0</v>
      </c>
      <c r="AD1626" s="1">
        <f>ROUNDDOWN(I1626*(1+IF(F1626=3,0.05+方案参数!$Y$48+AA1626*0.12,IF(F1626=4,方案参数!$BZ$48*方案参数!$AS$48,0)))+IF(AND(X1626=1,F1626&lt;&gt;3),方案参数!$CC$48,0)+AC1626*方案参数!$CB$48,0)</f>
        <v>2986</v>
      </c>
      <c r="AE1626" s="1">
        <f>IF(OR(F1626=1,F1626=4),配置与结果!$B$24,配置与结果!$B$25)*MAX(0,1-INDEX(配置与结果!$I$15:$I$18,F1626))</f>
        <v>1000</v>
      </c>
      <c r="AF1626" s="1">
        <f>0</f>
        <v>0</v>
      </c>
      <c r="AG1626" s="1">
        <f>MAX(配置与结果!$B$32,1+INDEX(配置与结果!$F$15:$F$18,F1626)+0+Q1626*方案参数!$W$48+Y1626*(方案参数!$AN$48+MIN(方案参数!$AO$48,P1626*0.03))+AB1626*方案参数!$BZ$48*0.025-配置与结果!$B$28)</f>
        <v>0.6349999999999999</v>
      </c>
      <c r="AH1626" s="1">
        <f>MAX(0,1+INDEX(配置与结果!$G$15:$G$18,F1626)+W1626*方案参数!$AG$48)</f>
        <v>1</v>
      </c>
      <c r="AI1626" s="1">
        <f>IF(OR(INDEX(配置与结果!$K$15:$K$18,F1626)=1,G1626="RHI_BERRY"),1+配置与结果!$B$33+P1626*方案参数!$AH$48,1)</f>
        <v>1</v>
      </c>
      <c r="AJ1626" s="1">
        <f>MIN(1,MAX(0,J1626+方案参数!$AB$48-配置与结果!$B$27))</f>
        <v>0.55499999999999994</v>
      </c>
      <c r="AK1626" s="1">
        <f>MAX(1,K1626+IF(F1626=2,0.15+方案参数!$CH$48,0)+BN1626*方案参数!$X$48+R1626*方案参数!$AA$48+0-配置与结果!$B$26+Z1626*(方案参数!$AP$48+MIN(方案参数!$AQ$48,P1626*0.03)))</f>
        <v>1.1499999999999999</v>
      </c>
      <c r="AL1626" s="7">
        <f>ROUNDDOWN(MAX(AD1626*配置与结果!$B$31,AD1626-AE1626)*AF1626*AG1626*AH1626*AI1626,0)</f>
        <v>0</v>
      </c>
      <c r="AM1626" s="7">
        <f>ROUNDDOWN(MAX(AD1626*配置与结果!$B$31,AD1626-AE1626)*AF1626*AG1626*AH1626*AI1626*AK1626,0)</f>
        <v>0</v>
      </c>
      <c r="AN1626" s="7">
        <f t="shared" si="2268"/>
        <v>0</v>
      </c>
      <c r="AO1626" s="7">
        <f>0</f>
        <v>0</v>
      </c>
      <c r="AP1626" s="7">
        <f>MAX(0,1+INDEX(配置与结果!$J$15:$J$18,F1626)+IF(T1626&gt;0,方案参数!$BY$48,0)-配置与结果!$B$30)</f>
        <v>1</v>
      </c>
      <c r="AQ1626" s="7">
        <f t="shared" si="2269"/>
        <v>0</v>
      </c>
      <c r="AR1626" s="7">
        <f t="shared" si="2270"/>
        <v>0</v>
      </c>
      <c r="AS1626" s="7">
        <f t="shared" si="2271"/>
        <v>0</v>
      </c>
      <c r="AT1626" s="7">
        <f>0</f>
        <v>0</v>
      </c>
      <c r="AU1626" s="7">
        <f t="shared" si="2272"/>
        <v>0</v>
      </c>
      <c r="AV1626" s="1">
        <f t="shared" si="2273"/>
        <v>0</v>
      </c>
      <c r="AW1626" s="1">
        <f t="shared" si="2280"/>
        <v>0</v>
      </c>
      <c r="AX1626" s="1">
        <f t="shared" si="2274"/>
        <v>0</v>
      </c>
      <c r="AY1626" s="1">
        <f>MIN(20,MAX(0,O1626+0+0-0))</f>
        <v>0</v>
      </c>
      <c r="AZ1626" s="1">
        <f t="shared" si="2275"/>
        <v>1</v>
      </c>
      <c r="BA1626" s="1">
        <f>MIN(6,Q1626+1)</f>
        <v>1</v>
      </c>
      <c r="BB1626" s="1">
        <f>MIN(30,R1626+5)</f>
        <v>5</v>
      </c>
      <c r="BC1626" s="1">
        <f t="shared" si="2277"/>
        <v>0</v>
      </c>
      <c r="BD1626" s="1">
        <f t="shared" si="2250"/>
        <v>0</v>
      </c>
      <c r="BE1626" s="1">
        <f>0</f>
        <v>0</v>
      </c>
      <c r="BF1626" s="1">
        <f t="shared" si="2281"/>
        <v>0</v>
      </c>
      <c r="BG1626" s="1">
        <f t="shared" si="2260"/>
        <v>0</v>
      </c>
      <c r="BH1626" s="1">
        <f>MAX(X1626,1)</f>
        <v>1</v>
      </c>
      <c r="BI1626" s="1">
        <f t="shared" si="2261"/>
        <v>0</v>
      </c>
      <c r="BJ1626" s="1">
        <f t="shared" si="2264"/>
        <v>0</v>
      </c>
      <c r="BK1626" s="1">
        <f t="shared" si="2265"/>
        <v>0</v>
      </c>
      <c r="BL1626" s="1">
        <f t="shared" si="2278"/>
        <v>0</v>
      </c>
      <c r="BM1626" s="1">
        <f t="shared" si="2276"/>
        <v>0</v>
      </c>
      <c r="BN1626" s="1">
        <f>0</f>
        <v>0</v>
      </c>
      <c r="BO1626" s="1">
        <f>MAX(BN1626,1)</f>
        <v>1</v>
      </c>
    </row>
    <row r="1627" spans="1:67" ht="30.95" customHeight="1">
      <c r="A1627" s="1">
        <f>45</f>
        <v>45</v>
      </c>
      <c r="B1627" s="1">
        <f>固定流程!A7</f>
        <v>2</v>
      </c>
      <c r="C1627" s="1">
        <f>48</f>
        <v>48</v>
      </c>
      <c r="D1627" s="1">
        <f>1</f>
        <v>1</v>
      </c>
      <c r="E1627" s="1">
        <f>固定流程!C7</f>
        <v>1</v>
      </c>
      <c r="F1627" s="1">
        <f>固定流程!G7</f>
        <v>3</v>
      </c>
      <c r="G1627" s="1" t="str">
        <f>固定流程!H7</f>
        <v>RHI_BUFF</v>
      </c>
      <c r="H1627" s="1">
        <f>固定流程!F7</f>
        <v>1</v>
      </c>
      <c r="I1627" s="1">
        <f>INDEX(配置与结果!$B$15:$B$18,F1627)</f>
        <v>2597</v>
      </c>
      <c r="J1627" s="1">
        <f>INDEX(配置与结果!$D$15:$D$18,F1627)</f>
        <v>0.255</v>
      </c>
      <c r="K1627" s="1">
        <f>INDEX(配置与结果!$E$15:$E$18,F1627)</f>
        <v>1.55</v>
      </c>
      <c r="L1627" s="1">
        <f t="shared" ref="L1627:O1632" si="2282">AV1626</f>
        <v>0</v>
      </c>
      <c r="M1627" s="1">
        <f t="shared" si="2282"/>
        <v>0</v>
      </c>
      <c r="N1627" s="1">
        <f t="shared" si="2282"/>
        <v>0</v>
      </c>
      <c r="O1627" s="1">
        <f t="shared" si="2282"/>
        <v>0</v>
      </c>
      <c r="P1627" s="1">
        <f>MIN(方案参数!$AI$48,AZ1626+0+方案参数!$AK$48)</f>
        <v>3</v>
      </c>
      <c r="Q1627" s="1">
        <f t="shared" ref="Q1627:Q1661" si="2283">BA1626</f>
        <v>1</v>
      </c>
      <c r="R1627" s="1">
        <f t="shared" ref="R1627:R1661" si="2284">BB1626</f>
        <v>5</v>
      </c>
      <c r="S1627" s="1">
        <f t="shared" ref="S1627:S1661" si="2285">BC1626</f>
        <v>0</v>
      </c>
      <c r="T1627" s="1">
        <f t="shared" ref="T1627:T1640" si="2286">BD1626+0</f>
        <v>0</v>
      </c>
      <c r="U1627" s="1">
        <f t="shared" ref="U1627:U1661" si="2287">BE1626</f>
        <v>0</v>
      </c>
      <c r="V1627" s="1">
        <f t="shared" ref="V1627:V1661" si="2288">BF1626</f>
        <v>0</v>
      </c>
      <c r="W1627" s="1">
        <f t="shared" ref="W1627:W1661" si="2289">BG1626</f>
        <v>0</v>
      </c>
      <c r="X1627" s="1">
        <f t="shared" ref="X1627:X1661" si="2290">BH1626</f>
        <v>1</v>
      </c>
      <c r="Y1627" s="1">
        <f t="shared" ref="Y1627:Y1661" si="2291">BI1626</f>
        <v>0</v>
      </c>
      <c r="Z1627" s="1">
        <f t="shared" ref="Z1627:Z1661" si="2292">BJ1626</f>
        <v>0</v>
      </c>
      <c r="AA1627" s="1">
        <f t="shared" ref="AA1627:AA1632" si="2293">MAX(BK1626,0)</f>
        <v>0</v>
      </c>
      <c r="AB1627" s="1">
        <f t="shared" ref="AB1627:AB1661" si="2294">BL1626</f>
        <v>0</v>
      </c>
      <c r="AC1627" s="1">
        <f t="shared" ref="AC1627:AC1640" si="2295">MAX(BM1626,0)</f>
        <v>0</v>
      </c>
      <c r="AD1627" s="1">
        <f>ROUNDDOWN(I1627*(1+IF(F1627=3,0.05+方案参数!$Y$48+AA1627*0.12,IF(F1627=4,方案参数!$BZ$48*方案参数!$AS$48,0)))+IF(AND(X1627=1,F1627&lt;&gt;3),方案参数!$CC$48,0)+AC1627*方案参数!$CB$48,0)</f>
        <v>2986</v>
      </c>
      <c r="AE1627" s="1">
        <f>IF(OR(F1627=1,F1627=4),配置与结果!$B$24,配置与结果!$B$25)*MAX(0,1-INDEX(配置与结果!$I$15:$I$18,F1627))</f>
        <v>1000</v>
      </c>
      <c r="AF1627" s="1">
        <f>0</f>
        <v>0</v>
      </c>
      <c r="AG1627" s="1">
        <f>MAX(配置与结果!$B$32,1+INDEX(配置与结果!$F$15:$F$18,F1627)+0+Q1627*方案参数!$W$48+Y1627*(方案参数!$AN$48+MIN(方案参数!$AO$48,P1627*0.03))+AB1627*方案参数!$BZ$48*0.025-配置与结果!$B$28)</f>
        <v>0.65499999999999992</v>
      </c>
      <c r="AH1627" s="1">
        <f>MAX(0,1+INDEX(配置与结果!$G$15:$G$18,F1627)+W1627*方案参数!$AG$48)</f>
        <v>1</v>
      </c>
      <c r="AI1627" s="1">
        <f>IF(OR(INDEX(配置与结果!$K$15:$K$18,F1627)=1,G1627="RHI_BERRY"),1+配置与结果!$B$33+P1627*方案参数!$AH$48,1)</f>
        <v>1</v>
      </c>
      <c r="AJ1627" s="1">
        <f>MIN(1,MAX(0,J1627+方案参数!$AB$48-配置与结果!$B$27))</f>
        <v>0.55499999999999994</v>
      </c>
      <c r="AK1627" s="1">
        <f>MAX(1,K1627+IF(F1627=2,0.15+方案参数!$CH$48,0)+BN1627*方案参数!$X$48+R1627*方案参数!$AA$48+0-配置与结果!$B$26+Z1627*(方案参数!$AP$48+MIN(方案参数!$AQ$48,P1627*0.03)))</f>
        <v>1.35</v>
      </c>
      <c r="AL1627" s="7">
        <f>ROUNDDOWN(MAX(AD1627*配置与结果!$B$31,AD1627-AE1627)*AF1627*AG1627*AH1627*AI1627,0)</f>
        <v>0</v>
      </c>
      <c r="AM1627" s="7">
        <f>ROUNDDOWN(MAX(AD1627*配置与结果!$B$31,AD1627-AE1627)*AF1627*AG1627*AH1627*AI1627*AK1627,0)</f>
        <v>0</v>
      </c>
      <c r="AN1627" s="7">
        <f t="shared" si="2268"/>
        <v>0</v>
      </c>
      <c r="AO1627" s="7">
        <f>0</f>
        <v>0</v>
      </c>
      <c r="AP1627" s="7">
        <f>MAX(0,1+INDEX(配置与结果!$J$15:$J$18,F1627)+IF(T1627&gt;0,方案参数!$BY$48,0)-配置与结果!$B$30)</f>
        <v>1</v>
      </c>
      <c r="AQ1627" s="7">
        <f t="shared" si="2269"/>
        <v>0</v>
      </c>
      <c r="AR1627" s="7">
        <f t="shared" si="2270"/>
        <v>0</v>
      </c>
      <c r="AS1627" s="7">
        <f t="shared" si="2271"/>
        <v>0</v>
      </c>
      <c r="AT1627" s="7">
        <f>0</f>
        <v>0</v>
      </c>
      <c r="AU1627" s="7">
        <f t="shared" si="2272"/>
        <v>0</v>
      </c>
      <c r="AV1627" s="1">
        <f t="shared" si="2273"/>
        <v>0</v>
      </c>
      <c r="AW1627" s="1">
        <f t="shared" si="2280"/>
        <v>0</v>
      </c>
      <c r="AX1627" s="1">
        <f t="shared" si="2274"/>
        <v>0</v>
      </c>
      <c r="AY1627" s="1">
        <f>MIN(20,MAX(0,O1627+0+0-0))</f>
        <v>0</v>
      </c>
      <c r="AZ1627" s="1">
        <f t="shared" si="2275"/>
        <v>3</v>
      </c>
      <c r="BA1627" s="1">
        <f>MIN(6,Q1627+1)</f>
        <v>2</v>
      </c>
      <c r="BB1627" s="1">
        <f t="shared" ref="BB1627:BB1640" si="2296">MIN(30,R1627+0)</f>
        <v>5</v>
      </c>
      <c r="BC1627" s="1">
        <f t="shared" si="2277"/>
        <v>0</v>
      </c>
      <c r="BD1627" s="1">
        <f t="shared" si="2250"/>
        <v>0</v>
      </c>
      <c r="BE1627" s="1">
        <f t="shared" ref="BE1627:BE1648" si="2297">BE1626</f>
        <v>0</v>
      </c>
      <c r="BF1627" s="1">
        <f t="shared" si="2281"/>
        <v>0</v>
      </c>
      <c r="BG1627" s="1">
        <f>MAX(W1627,1)</f>
        <v>1</v>
      </c>
      <c r="BH1627" s="1">
        <f t="shared" ref="BH1627:BH1661" si="2298">MAX(X1627,0)</f>
        <v>1</v>
      </c>
      <c r="BI1627" s="1">
        <f>MAX(Y1627,1)</f>
        <v>1</v>
      </c>
      <c r="BJ1627" s="1">
        <f t="shared" si="2264"/>
        <v>0</v>
      </c>
      <c r="BK1627" s="1">
        <f t="shared" si="2265"/>
        <v>0</v>
      </c>
      <c r="BL1627" s="1">
        <f t="shared" si="2278"/>
        <v>0</v>
      </c>
      <c r="BM1627" s="1">
        <f t="shared" si="2276"/>
        <v>0</v>
      </c>
      <c r="BN1627" s="1">
        <f t="shared" ref="BN1627:BN1661" si="2299">BO1626</f>
        <v>1</v>
      </c>
      <c r="BO1627" s="1">
        <f t="shared" ref="BO1627:BO1661" si="2300">MAX(BN1627,0)</f>
        <v>1</v>
      </c>
    </row>
    <row r="1628" spans="1:67" ht="30.95" customHeight="1">
      <c r="A1628" s="1">
        <f>45</f>
        <v>45</v>
      </c>
      <c r="B1628" s="1">
        <f>固定流程!A8</f>
        <v>3</v>
      </c>
      <c r="C1628" s="1">
        <f>48</f>
        <v>48</v>
      </c>
      <c r="D1628" s="1">
        <f>1</f>
        <v>1</v>
      </c>
      <c r="E1628" s="1">
        <f>固定流程!C8</f>
        <v>1</v>
      </c>
      <c r="F1628" s="1">
        <f>固定流程!G8</f>
        <v>1</v>
      </c>
      <c r="G1628" s="1" t="str">
        <f>固定流程!H8</f>
        <v>LILYA_COBRA</v>
      </c>
      <c r="H1628" s="1">
        <f>固定流程!F8</f>
        <v>1</v>
      </c>
      <c r="I1628" s="1">
        <f>INDEX(配置与结果!$B$15:$B$18,F1628)</f>
        <v>2296</v>
      </c>
      <c r="J1628" s="1">
        <f>INDEX(配置与结果!$D$15:$D$18,F1628)</f>
        <v>0.7</v>
      </c>
      <c r="K1628" s="1">
        <f>INDEX(配置与结果!$E$15:$E$18,F1628)</f>
        <v>2.0249999999999999</v>
      </c>
      <c r="L1628" s="1">
        <f t="shared" si="2282"/>
        <v>0</v>
      </c>
      <c r="M1628" s="1">
        <f t="shared" si="2282"/>
        <v>0</v>
      </c>
      <c r="N1628" s="1">
        <f t="shared" si="2282"/>
        <v>0</v>
      </c>
      <c r="O1628" s="1">
        <f t="shared" si="2282"/>
        <v>0</v>
      </c>
      <c r="P1628" s="1">
        <f>MIN(方案参数!$AI$48,AZ1627+0+0)</f>
        <v>3</v>
      </c>
      <c r="Q1628" s="1">
        <f t="shared" si="2283"/>
        <v>2</v>
      </c>
      <c r="R1628" s="1">
        <f t="shared" si="2284"/>
        <v>5</v>
      </c>
      <c r="S1628" s="1">
        <f t="shared" si="2285"/>
        <v>0</v>
      </c>
      <c r="T1628" s="1">
        <f t="shared" si="2286"/>
        <v>0</v>
      </c>
      <c r="U1628" s="1">
        <f t="shared" si="2287"/>
        <v>0</v>
      </c>
      <c r="V1628" s="1">
        <f t="shared" si="2288"/>
        <v>0</v>
      </c>
      <c r="W1628" s="1">
        <f t="shared" si="2289"/>
        <v>1</v>
      </c>
      <c r="X1628" s="1">
        <f t="shared" si="2290"/>
        <v>1</v>
      </c>
      <c r="Y1628" s="1">
        <f t="shared" si="2291"/>
        <v>1</v>
      </c>
      <c r="Z1628" s="1">
        <f t="shared" si="2292"/>
        <v>0</v>
      </c>
      <c r="AA1628" s="1">
        <f t="shared" si="2293"/>
        <v>0</v>
      </c>
      <c r="AB1628" s="1">
        <f t="shared" si="2294"/>
        <v>0</v>
      </c>
      <c r="AC1628" s="1">
        <f t="shared" si="2295"/>
        <v>0</v>
      </c>
      <c r="AD1628" s="1">
        <f>ROUNDDOWN(I1628*(1+IF(F1628=3,0.05+方案参数!$Y$48+AA1628*0.12,IF(F1628=4,方案参数!$BZ$48*方案参数!$AS$48,0)))+IF(AND(X1628=1,F1628&lt;&gt;3),方案参数!$CC$48,0)+AC1628*方案参数!$CB$48,0)</f>
        <v>2534</v>
      </c>
      <c r="AE1628" s="1">
        <f>IF(OR(F1628=1,F1628=4),配置与结果!$B$24,配置与结果!$B$25)*MAX(0,1-INDEX(配置与结果!$I$15:$I$18,F1628))</f>
        <v>1200</v>
      </c>
      <c r="AF1628" s="1">
        <f>0</f>
        <v>0</v>
      </c>
      <c r="AG1628" s="1">
        <f>MAX(配置与结果!$B$32,1+INDEX(配置与结果!$F$15:$F$18,F1628)+0.08+方案参数!$CD$48+Q1628*方案参数!$W$48+Y1628*(方案参数!$AN$48+MIN(方案参数!$AO$48,P1628*0.03))+AB1628*方案参数!$BZ$48*0.025-配置与结果!$B$28)</f>
        <v>1.2200000000000002</v>
      </c>
      <c r="AH1628" s="1">
        <f>MAX(0,1+INDEX(配置与结果!$G$15:$G$18,F1628)+W1628*方案参数!$AG$48)</f>
        <v>1.3</v>
      </c>
      <c r="AI1628" s="1">
        <f>IF(OR(INDEX(配置与结果!$K$15:$K$18,F1628)=1,G1628="RHI_BERRY"),1+配置与结果!$B$33+P1628*方案参数!$AH$48,1)</f>
        <v>1</v>
      </c>
      <c r="AJ1628" s="1">
        <f>MIN(1,MAX(0,J1628+方案参数!$AB$48-配置与结果!$B$27))</f>
        <v>1</v>
      </c>
      <c r="AK1628" s="1">
        <f>MAX(1,K1628+IF(F1628=2,0.15+方案参数!$CH$48,0)+BN1628*方案参数!$X$48+R1628*方案参数!$AA$48+0-配置与结果!$B$26+Z1628*(方案参数!$AP$48+MIN(方案参数!$AQ$48,P1628*0.03)))</f>
        <v>1.8250000000000002</v>
      </c>
      <c r="AL1628" s="7">
        <f>ROUNDDOWN(MAX(AD1628*配置与结果!$B$31,AD1628-AE1628)*AF1628*AG1628*AH1628*AI1628,0)</f>
        <v>0</v>
      </c>
      <c r="AM1628" s="7">
        <f>ROUNDDOWN(MAX(AD1628*配置与结果!$B$31,AD1628-AE1628)*AF1628*AG1628*AH1628*AI1628*AK1628,0)</f>
        <v>0</v>
      </c>
      <c r="AN1628" s="7">
        <f t="shared" si="2268"/>
        <v>0</v>
      </c>
      <c r="AO1628" s="7">
        <f>0</f>
        <v>0</v>
      </c>
      <c r="AP1628" s="7">
        <f>MAX(0,1+INDEX(配置与结果!$J$15:$J$18,F1628)+IF(T1628&gt;0,方案参数!$BY$48,0)-配置与结果!$B$30)</f>
        <v>1</v>
      </c>
      <c r="AQ1628" s="7">
        <f t="shared" si="2269"/>
        <v>0</v>
      </c>
      <c r="AR1628" s="7">
        <f t="shared" si="2270"/>
        <v>0</v>
      </c>
      <c r="AS1628" s="7">
        <f t="shared" si="2271"/>
        <v>0</v>
      </c>
      <c r="AT1628" s="7">
        <f>0</f>
        <v>0</v>
      </c>
      <c r="AU1628" s="7">
        <f t="shared" si="2272"/>
        <v>0</v>
      </c>
      <c r="AV1628" s="1">
        <f t="shared" si="2273"/>
        <v>1</v>
      </c>
      <c r="AW1628" s="1">
        <f>MIN(10,M1628+方案参数!$BD$48+0)</f>
        <v>3</v>
      </c>
      <c r="AX1628" s="1">
        <f t="shared" si="2274"/>
        <v>0</v>
      </c>
      <c r="AY1628" s="1">
        <f>MIN(20,MAX(0,O1628+6+0-0))</f>
        <v>6</v>
      </c>
      <c r="AZ1628" s="1">
        <f t="shared" si="2275"/>
        <v>3</v>
      </c>
      <c r="BA1628" s="1">
        <f>MIN(6,Q1628+0)</f>
        <v>2</v>
      </c>
      <c r="BB1628" s="1">
        <f t="shared" si="2296"/>
        <v>5</v>
      </c>
      <c r="BC1628" s="1">
        <f t="shared" si="2277"/>
        <v>0</v>
      </c>
      <c r="BD1628" s="1">
        <f t="shared" si="2250"/>
        <v>0</v>
      </c>
      <c r="BE1628" s="1">
        <f t="shared" si="2297"/>
        <v>0</v>
      </c>
      <c r="BF1628" s="1">
        <f t="shared" si="2281"/>
        <v>0</v>
      </c>
      <c r="BG1628" s="1">
        <f t="shared" ref="BG1628:BG1638" si="2301">MAX(W1628,0)</f>
        <v>1</v>
      </c>
      <c r="BH1628" s="1">
        <f t="shared" si="2298"/>
        <v>1</v>
      </c>
      <c r="BI1628" s="1">
        <f t="shared" ref="BI1628:BI1638" si="2302">MAX(Y1628,0)</f>
        <v>1</v>
      </c>
      <c r="BJ1628" s="1">
        <f t="shared" si="2264"/>
        <v>0</v>
      </c>
      <c r="BK1628" s="1">
        <f t="shared" si="2265"/>
        <v>0</v>
      </c>
      <c r="BL1628" s="1">
        <f t="shared" si="2278"/>
        <v>0</v>
      </c>
      <c r="BM1628" s="1">
        <f t="shared" si="2276"/>
        <v>0</v>
      </c>
      <c r="BN1628" s="1">
        <f t="shared" si="2299"/>
        <v>1</v>
      </c>
      <c r="BO1628" s="1">
        <f t="shared" si="2300"/>
        <v>1</v>
      </c>
    </row>
    <row r="1629" spans="1:67" ht="30.95" customHeight="1">
      <c r="A1629" s="1">
        <f>45</f>
        <v>45</v>
      </c>
      <c r="B1629" s="1">
        <f>固定流程!A9</f>
        <v>4</v>
      </c>
      <c r="C1629" s="1">
        <f>48</f>
        <v>48</v>
      </c>
      <c r="D1629" s="1">
        <f>1</f>
        <v>1</v>
      </c>
      <c r="E1629" s="1">
        <f>固定流程!C9</f>
        <v>1</v>
      </c>
      <c r="F1629" s="1">
        <f>固定流程!G9</f>
        <v>1</v>
      </c>
      <c r="G1629" s="1" t="str">
        <f>固定流程!H9</f>
        <v>LILYA_DIVE</v>
      </c>
      <c r="H1629" s="1">
        <f>固定流程!F9</f>
        <v>1</v>
      </c>
      <c r="I1629" s="1">
        <f>INDEX(配置与结果!$B$15:$B$18,F1629)</f>
        <v>2296</v>
      </c>
      <c r="J1629" s="1">
        <f>INDEX(配置与结果!$D$15:$D$18,F1629)</f>
        <v>0.7</v>
      </c>
      <c r="K1629" s="1">
        <f>INDEX(配置与结果!$E$15:$E$18,F1629)</f>
        <v>2.0249999999999999</v>
      </c>
      <c r="L1629" s="1">
        <f t="shared" si="2282"/>
        <v>1</v>
      </c>
      <c r="M1629" s="1">
        <f t="shared" si="2282"/>
        <v>3</v>
      </c>
      <c r="N1629" s="1">
        <f t="shared" si="2282"/>
        <v>0</v>
      </c>
      <c r="O1629" s="1">
        <f t="shared" si="2282"/>
        <v>6</v>
      </c>
      <c r="P1629" s="1">
        <f>MIN(方案参数!$AI$48,AZ1628+0+0)</f>
        <v>3</v>
      </c>
      <c r="Q1629" s="1">
        <f t="shared" si="2283"/>
        <v>2</v>
      </c>
      <c r="R1629" s="1">
        <f t="shared" si="2284"/>
        <v>5</v>
      </c>
      <c r="S1629" s="1">
        <f t="shared" si="2285"/>
        <v>0</v>
      </c>
      <c r="T1629" s="1">
        <f t="shared" si="2286"/>
        <v>0</v>
      </c>
      <c r="U1629" s="1">
        <f t="shared" si="2287"/>
        <v>0</v>
      </c>
      <c r="V1629" s="1">
        <f t="shared" si="2288"/>
        <v>0</v>
      </c>
      <c r="W1629" s="1">
        <f t="shared" si="2289"/>
        <v>1</v>
      </c>
      <c r="X1629" s="1">
        <f t="shared" si="2290"/>
        <v>1</v>
      </c>
      <c r="Y1629" s="1">
        <f t="shared" si="2291"/>
        <v>1</v>
      </c>
      <c r="Z1629" s="1">
        <f t="shared" si="2292"/>
        <v>0</v>
      </c>
      <c r="AA1629" s="1">
        <f t="shared" si="2293"/>
        <v>0</v>
      </c>
      <c r="AB1629" s="1">
        <f t="shared" si="2294"/>
        <v>0</v>
      </c>
      <c r="AC1629" s="1">
        <f t="shared" si="2295"/>
        <v>0</v>
      </c>
      <c r="AD1629" s="1">
        <f>ROUNDDOWN(I1629*(1+IF(F1629=3,0.05+方案参数!$Y$48+AA1629*0.12,IF(F1629=4,方案参数!$BZ$48*方案参数!$AS$48,0)))+IF(AND(X1629=1,F1629&lt;&gt;3),方案参数!$CC$48,0)+AC1629*方案参数!$CB$48,0)</f>
        <v>2534</v>
      </c>
      <c r="AE1629" s="1">
        <f>IF(OR(F1629=1,F1629=4),配置与结果!$B$24,配置与结果!$B$25)*MAX(0,1-INDEX(配置与结果!$I$15:$I$18,F1629))</f>
        <v>1200</v>
      </c>
      <c r="AF1629" s="1">
        <f>(IF(L1629=1,方案参数!$AW$48,IF(L1629=2,方案参数!$AX$48,0))+方案参数!$AV$48)*H1629</f>
        <v>6</v>
      </c>
      <c r="AG1629" s="1">
        <f>MAX(配置与结果!$B$32,1+INDEX(配置与结果!$F$15:$F$18,F1629)+0.08+方案参数!$CD$48+Q1629*方案参数!$W$48+Y1629*(方案参数!$AN$48+MIN(方案参数!$AO$48,P1629*0.03))+AB1629*方案参数!$BZ$48*0.025+IF(L1629=1,方案参数!$AY$48+(H1629-1)*0.1,IF(L1629=2,方案参数!$AZ$48+(H1629-1)*0.2,0))-配置与结果!$B$28)</f>
        <v>1.3200000000000003</v>
      </c>
      <c r="AH1629" s="1">
        <f>MAX(0,1+INDEX(配置与结果!$G$15:$G$18,F1629)+W1629*方案参数!$AG$48+IF(L1629=1,方案参数!$BA$48,IF(L1629=2,方案参数!$BB$48,0))+M1629*方案参数!$BC$48)</f>
        <v>2.08</v>
      </c>
      <c r="AI1629" s="1">
        <f>IF(OR(INDEX(配置与结果!$K$15:$K$18,F1629)=1,G1629="RHI_BERRY"),1+配置与结果!$B$33+P1629*方案参数!$AH$48,1)</f>
        <v>1</v>
      </c>
      <c r="AJ1629" s="1">
        <f>MIN(1,MAX(0,J1629+方案参数!$AB$48-配置与结果!$B$27))</f>
        <v>1</v>
      </c>
      <c r="AK1629" s="1">
        <f>MAX(1,K1629+IF(F1629=2,0.15+方案参数!$CH$48,0)+BN1629*方案参数!$X$48+R1629*方案参数!$AA$48+0-配置与结果!$B$26+Z1629*(方案参数!$AP$48+MIN(方案参数!$AQ$48,P1629*0.03)))</f>
        <v>1.8250000000000002</v>
      </c>
      <c r="AL1629" s="7">
        <f>ROUNDDOWN(MAX(AD1629*配置与结果!$B$31,AD1629-AE1629)*AF1629*AG1629*AH1629*AI1629,0)</f>
        <v>21975</v>
      </c>
      <c r="AM1629" s="7">
        <f>ROUNDDOWN(MAX(AD1629*配置与结果!$B$31,AD1629-AE1629)*AF1629*AG1629*AH1629*AI1629*AK1629,0)</f>
        <v>40105</v>
      </c>
      <c r="AN1629" s="7">
        <f t="shared" si="2268"/>
        <v>40105</v>
      </c>
      <c r="AO1629" s="7">
        <f>0</f>
        <v>0</v>
      </c>
      <c r="AP1629" s="7">
        <f>MAX(0,1+INDEX(配置与结果!$J$15:$J$18,F1629)+IF(T1629&gt;0,方案参数!$BY$48,0)-配置与结果!$B$30)</f>
        <v>1</v>
      </c>
      <c r="AQ1629" s="7">
        <f t="shared" si="2269"/>
        <v>0</v>
      </c>
      <c r="AR1629" s="7">
        <f t="shared" si="2270"/>
        <v>0</v>
      </c>
      <c r="AS1629" s="7">
        <f t="shared" si="2271"/>
        <v>0</v>
      </c>
      <c r="AT1629" s="7">
        <f>0</f>
        <v>0</v>
      </c>
      <c r="AU1629" s="7">
        <f t="shared" si="2272"/>
        <v>40105</v>
      </c>
      <c r="AV1629" s="1">
        <f t="shared" si="2273"/>
        <v>1</v>
      </c>
      <c r="AW1629" s="1">
        <f>MIN(10,M1629+0+IF(L1629=1,方案参数!$BE$48,0))</f>
        <v>4</v>
      </c>
      <c r="AX1629" s="1">
        <f t="shared" si="2274"/>
        <v>0</v>
      </c>
      <c r="AY1629" s="1">
        <f t="shared" ref="AY1629:AY1644" si="2303">MIN(20,MAX(0,O1629+0+0-0))</f>
        <v>6</v>
      </c>
      <c r="AZ1629" s="1">
        <f t="shared" si="2275"/>
        <v>3</v>
      </c>
      <c r="BA1629" s="1">
        <f>MIN(6,Q1629+0)</f>
        <v>2</v>
      </c>
      <c r="BB1629" s="1">
        <f t="shared" si="2296"/>
        <v>5</v>
      </c>
      <c r="BC1629" s="1">
        <f t="shared" si="2277"/>
        <v>0</v>
      </c>
      <c r="BD1629" s="1">
        <f t="shared" si="2250"/>
        <v>0</v>
      </c>
      <c r="BE1629" s="1">
        <f t="shared" si="2297"/>
        <v>0</v>
      </c>
      <c r="BF1629" s="1">
        <f t="shared" si="2281"/>
        <v>0</v>
      </c>
      <c r="BG1629" s="1">
        <f t="shared" si="2301"/>
        <v>1</v>
      </c>
      <c r="BH1629" s="1">
        <f t="shared" si="2298"/>
        <v>1</v>
      </c>
      <c r="BI1629" s="1">
        <f t="shared" si="2302"/>
        <v>1</v>
      </c>
      <c r="BJ1629" s="1">
        <f t="shared" si="2264"/>
        <v>0</v>
      </c>
      <c r="BK1629" s="1">
        <f t="shared" si="2265"/>
        <v>0</v>
      </c>
      <c r="BL1629" s="1">
        <f t="shared" si="2278"/>
        <v>0</v>
      </c>
      <c r="BM1629" s="1">
        <f t="shared" si="2276"/>
        <v>0</v>
      </c>
      <c r="BN1629" s="1">
        <f t="shared" si="2299"/>
        <v>1</v>
      </c>
      <c r="BO1629" s="1">
        <f t="shared" si="2300"/>
        <v>1</v>
      </c>
    </row>
    <row r="1630" spans="1:67" ht="30.95" customHeight="1">
      <c r="A1630" s="1">
        <f>45</f>
        <v>45</v>
      </c>
      <c r="B1630" s="1">
        <f>固定流程!A10</f>
        <v>5</v>
      </c>
      <c r="C1630" s="1">
        <f>48</f>
        <v>48</v>
      </c>
      <c r="D1630" s="1">
        <f>1</f>
        <v>1</v>
      </c>
      <c r="E1630" s="1">
        <f>固定流程!C10</f>
        <v>1</v>
      </c>
      <c r="F1630" s="1">
        <f>固定流程!G10</f>
        <v>2</v>
      </c>
      <c r="G1630" s="1" t="str">
        <f>固定流程!H10</f>
        <v>37_TRIANGLE</v>
      </c>
      <c r="H1630" s="1">
        <f>固定流程!F10</f>
        <v>1</v>
      </c>
      <c r="I1630" s="1">
        <f>INDEX(配置与结果!$B$15:$B$18,F1630)</f>
        <v>2306</v>
      </c>
      <c r="J1630" s="1">
        <f>INDEX(配置与结果!$D$15:$D$18,F1630)</f>
        <v>0.46</v>
      </c>
      <c r="K1630" s="1">
        <f>INDEX(配置与结果!$E$15:$E$18,F1630)</f>
        <v>1.9279999999999999</v>
      </c>
      <c r="L1630" s="1">
        <f t="shared" si="2282"/>
        <v>1</v>
      </c>
      <c r="M1630" s="1">
        <f t="shared" si="2282"/>
        <v>4</v>
      </c>
      <c r="N1630" s="1">
        <f t="shared" si="2282"/>
        <v>0</v>
      </c>
      <c r="O1630" s="1">
        <f t="shared" si="2282"/>
        <v>6</v>
      </c>
      <c r="P1630" s="1">
        <f>MIN(方案参数!$AI$48,AZ1629+0+0)</f>
        <v>3</v>
      </c>
      <c r="Q1630" s="1">
        <f t="shared" si="2283"/>
        <v>2</v>
      </c>
      <c r="R1630" s="1">
        <f t="shared" si="2284"/>
        <v>5</v>
      </c>
      <c r="S1630" s="1">
        <f t="shared" si="2285"/>
        <v>0</v>
      </c>
      <c r="T1630" s="1">
        <f t="shared" si="2286"/>
        <v>0</v>
      </c>
      <c r="U1630" s="1">
        <f t="shared" si="2287"/>
        <v>0</v>
      </c>
      <c r="V1630" s="1">
        <f t="shared" si="2288"/>
        <v>0</v>
      </c>
      <c r="W1630" s="1">
        <f t="shared" si="2289"/>
        <v>1</v>
      </c>
      <c r="X1630" s="1">
        <f t="shared" si="2290"/>
        <v>1</v>
      </c>
      <c r="Y1630" s="1">
        <f t="shared" si="2291"/>
        <v>1</v>
      </c>
      <c r="Z1630" s="1">
        <f t="shared" si="2292"/>
        <v>0</v>
      </c>
      <c r="AA1630" s="1">
        <f t="shared" si="2293"/>
        <v>0</v>
      </c>
      <c r="AB1630" s="1">
        <f t="shared" si="2294"/>
        <v>0</v>
      </c>
      <c r="AC1630" s="1">
        <f t="shared" si="2295"/>
        <v>0</v>
      </c>
      <c r="AD1630" s="1">
        <f>ROUNDDOWN(I1630*(1+IF(F1630=3,0.05+方案参数!$Y$48+AA1630*0.12,IF(F1630=4,方案参数!$BZ$48*方案参数!$AS$48,0)))+IF(AND(X1630=1,F1630&lt;&gt;3),方案参数!$CC$48,0)+AC1630*方案参数!$CB$48,0)</f>
        <v>2544</v>
      </c>
      <c r="AE1630" s="1">
        <f>IF(OR(F1630=1,F1630=4),配置与结果!$B$24,配置与结果!$B$25)*MAX(0,1-INDEX(配置与结果!$I$15:$I$18,F1630))</f>
        <v>1000</v>
      </c>
      <c r="AF1630" s="1">
        <f>方案参数!$BS$48*IF(H1630=1,1,IF(H1630=2,1.5,2.5))</f>
        <v>2.8</v>
      </c>
      <c r="AG1630" s="1">
        <f>MAX(配置与结果!$B$32,1+INDEX(配置与结果!$F$15:$F$18,F1630)+0+Q1630*方案参数!$W$48+Y1630*(方案参数!$AN$48+MIN(方案参数!$AO$48,P1630*0.03))+AB1630*方案参数!$BZ$48*0.025-配置与结果!$B$28)</f>
        <v>0.8849999999999999</v>
      </c>
      <c r="AH1630" s="1">
        <f>MAX(0,1+INDEX(配置与结果!$G$15:$G$18,F1630)+W1630*方案参数!$AG$48)</f>
        <v>1.3</v>
      </c>
      <c r="AI1630" s="1">
        <f>IF(OR(INDEX(配置与结果!$K$15:$K$18,F1630)=1,G1630="RHI_BERRY"),1+配置与结果!$B$33+P1630*方案参数!$AH$48,1)</f>
        <v>1</v>
      </c>
      <c r="AJ1630" s="1">
        <f>MIN(1,MAX(0,J1630+方案参数!$AB$48-配置与结果!$B$27))</f>
        <v>0.76</v>
      </c>
      <c r="AK1630" s="1">
        <f>MAX(1,K1630+IF(F1630=2,0.15+方案参数!$CH$48,0)+BN1630*方案参数!$X$48+R1630*方案参数!$AA$48+0-配置与结果!$B$26+Z1630*(方案参数!$AP$48+MIN(方案参数!$AQ$48,P1630*0.03)))</f>
        <v>1.9980000000000002</v>
      </c>
      <c r="AL1630" s="7">
        <f>ROUNDDOWN(MAX(AD1630*配置与结果!$B$31,AD1630-AE1630)*AF1630*AG1630*AH1630*AI1630,0)</f>
        <v>4973</v>
      </c>
      <c r="AM1630" s="7">
        <f>ROUNDDOWN(MAX(AD1630*配置与结果!$B$31,AD1630-AE1630)*AF1630*AG1630*AH1630*AI1630*AK1630,0)</f>
        <v>9937</v>
      </c>
      <c r="AN1630" s="7">
        <f t="shared" si="2268"/>
        <v>8745.64</v>
      </c>
      <c r="AO1630" s="7">
        <f>方案参数!$BU$48*IF(H1630=1,1,IF(H1630=2,1.5,2.5))</f>
        <v>0.8</v>
      </c>
      <c r="AP1630" s="7">
        <f>MAX(0,1+INDEX(配置与结果!$J$15:$J$18,F1630)+IF(T1630&gt;0,方案参数!$BY$48,0)-配置与结果!$B$30)</f>
        <v>1</v>
      </c>
      <c r="AQ1630" s="7">
        <f t="shared" si="2269"/>
        <v>2035</v>
      </c>
      <c r="AR1630" s="7">
        <f t="shared" si="2270"/>
        <v>4065</v>
      </c>
      <c r="AS1630" s="7">
        <f t="shared" si="2271"/>
        <v>3577.8</v>
      </c>
      <c r="AT1630" s="7">
        <f>0</f>
        <v>0</v>
      </c>
      <c r="AU1630" s="7">
        <f t="shared" si="2272"/>
        <v>12323.439999999999</v>
      </c>
      <c r="AV1630" s="1">
        <f t="shared" si="2273"/>
        <v>1</v>
      </c>
      <c r="AW1630" s="1">
        <f>MIN(10,M1630+0+0)</f>
        <v>4</v>
      </c>
      <c r="AX1630" s="1">
        <f t="shared" si="2274"/>
        <v>0</v>
      </c>
      <c r="AY1630" s="1">
        <f t="shared" si="2303"/>
        <v>6</v>
      </c>
      <c r="AZ1630" s="1">
        <f t="shared" si="2275"/>
        <v>3</v>
      </c>
      <c r="BA1630" s="1">
        <f>MIN(6,Q1630+0)</f>
        <v>2</v>
      </c>
      <c r="BB1630" s="1">
        <f t="shared" si="2296"/>
        <v>5</v>
      </c>
      <c r="BC1630" s="1">
        <f t="shared" si="2277"/>
        <v>0</v>
      </c>
      <c r="BD1630" s="1">
        <f>MAX(0,T1630-IF(AO1630&gt;0,1,0))+1</f>
        <v>1</v>
      </c>
      <c r="BE1630" s="1">
        <f t="shared" si="2297"/>
        <v>0</v>
      </c>
      <c r="BF1630" s="1">
        <f t="shared" si="2281"/>
        <v>0</v>
      </c>
      <c r="BG1630" s="1">
        <f t="shared" si="2301"/>
        <v>1</v>
      </c>
      <c r="BH1630" s="1">
        <f t="shared" si="2298"/>
        <v>1</v>
      </c>
      <c r="BI1630" s="1">
        <f t="shared" si="2302"/>
        <v>1</v>
      </c>
      <c r="BJ1630" s="1">
        <f t="shared" si="2264"/>
        <v>0</v>
      </c>
      <c r="BK1630" s="1">
        <f t="shared" si="2265"/>
        <v>0</v>
      </c>
      <c r="BL1630" s="1">
        <f t="shared" si="2278"/>
        <v>0</v>
      </c>
      <c r="BM1630" s="1">
        <f t="shared" si="2276"/>
        <v>0</v>
      </c>
      <c r="BN1630" s="1">
        <f t="shared" si="2299"/>
        <v>1</v>
      </c>
      <c r="BO1630" s="1">
        <f t="shared" si="2300"/>
        <v>1</v>
      </c>
    </row>
    <row r="1631" spans="1:67" ht="30.95" customHeight="1">
      <c r="A1631" s="1">
        <f>45</f>
        <v>45</v>
      </c>
      <c r="B1631" s="1">
        <f>固定流程!A11</f>
        <v>6</v>
      </c>
      <c r="C1631" s="1">
        <f>48</f>
        <v>48</v>
      </c>
      <c r="D1631" s="1">
        <f>1</f>
        <v>1</v>
      </c>
      <c r="E1631" s="1">
        <f>固定流程!C11</f>
        <v>1</v>
      </c>
      <c r="F1631" s="1">
        <f>固定流程!G11</f>
        <v>2</v>
      </c>
      <c r="G1631" s="1" t="str">
        <f>固定流程!H11</f>
        <v>37_FOLLOW</v>
      </c>
      <c r="H1631" s="1">
        <f>固定流程!F11</f>
        <v>1</v>
      </c>
      <c r="I1631" s="1">
        <f>INDEX(配置与结果!$B$15:$B$18,F1631)</f>
        <v>2306</v>
      </c>
      <c r="J1631" s="1">
        <f>INDEX(配置与结果!$D$15:$D$18,F1631)</f>
        <v>0.46</v>
      </c>
      <c r="K1631" s="1">
        <f>INDEX(配置与结果!$E$15:$E$18,F1631)</f>
        <v>1.9279999999999999</v>
      </c>
      <c r="L1631" s="1">
        <f t="shared" si="2282"/>
        <v>1</v>
      </c>
      <c r="M1631" s="1">
        <f t="shared" si="2282"/>
        <v>4</v>
      </c>
      <c r="N1631" s="1">
        <f t="shared" si="2282"/>
        <v>0</v>
      </c>
      <c r="O1631" s="1">
        <f t="shared" si="2282"/>
        <v>6</v>
      </c>
      <c r="P1631" s="1">
        <f>MIN(方案参数!$AI$48,AZ1630+0+0)</f>
        <v>3</v>
      </c>
      <c r="Q1631" s="1">
        <f t="shared" si="2283"/>
        <v>2</v>
      </c>
      <c r="R1631" s="1">
        <f t="shared" si="2284"/>
        <v>5</v>
      </c>
      <c r="S1631" s="1">
        <f t="shared" si="2285"/>
        <v>0</v>
      </c>
      <c r="T1631" s="1">
        <f t="shared" si="2286"/>
        <v>1</v>
      </c>
      <c r="U1631" s="1">
        <f t="shared" si="2287"/>
        <v>0</v>
      </c>
      <c r="V1631" s="1">
        <f t="shared" si="2288"/>
        <v>0</v>
      </c>
      <c r="W1631" s="1">
        <f t="shared" si="2289"/>
        <v>1</v>
      </c>
      <c r="X1631" s="1">
        <f t="shared" si="2290"/>
        <v>1</v>
      </c>
      <c r="Y1631" s="1">
        <f t="shared" si="2291"/>
        <v>1</v>
      </c>
      <c r="Z1631" s="1">
        <f t="shared" si="2292"/>
        <v>0</v>
      </c>
      <c r="AA1631" s="1">
        <f t="shared" si="2293"/>
        <v>0</v>
      </c>
      <c r="AB1631" s="1">
        <f t="shared" si="2294"/>
        <v>0</v>
      </c>
      <c r="AC1631" s="1">
        <f t="shared" si="2295"/>
        <v>0</v>
      </c>
      <c r="AD1631" s="1">
        <f>ROUNDDOWN(I1631*(1+IF(F1631=3,0.05+方案参数!$Y$48+AA1631*0.12,IF(F1631=4,方案参数!$BZ$48*方案参数!$AS$48,0)))+IF(AND(X1631=1,F1631&lt;&gt;3),方案参数!$CC$48,0)+AC1631*方案参数!$CB$48,0)</f>
        <v>2544</v>
      </c>
      <c r="AE1631" s="1">
        <f>IF(OR(F1631=1,F1631=4),配置与结果!$B$24,配置与结果!$B$25)*MAX(0,1-INDEX(配置与结果!$I$15:$I$18,F1631))</f>
        <v>1000</v>
      </c>
      <c r="AF1631" s="1">
        <f>方案参数!$BV$48</f>
        <v>3</v>
      </c>
      <c r="AG1631" s="1">
        <f>MAX(配置与结果!$B$32,1+INDEX(配置与结果!$F$15:$F$18,F1631)+0+Q1631*方案参数!$W$48+Y1631*(方案参数!$AN$48+MIN(方案参数!$AO$48,P1631*0.03))+AB1631*方案参数!$BZ$48*0.025-配置与结果!$B$28)</f>
        <v>0.8849999999999999</v>
      </c>
      <c r="AH1631" s="1">
        <f>MAX(0,1+INDEX(配置与结果!$G$15:$G$18,F1631)+W1631*方案参数!$AG$48)</f>
        <v>1.3</v>
      </c>
      <c r="AI1631" s="1">
        <f>IF(OR(INDEX(配置与结果!$K$15:$K$18,F1631)=1,G1631="RHI_BERRY"),1+配置与结果!$B$33+P1631*方案参数!$AH$48,1)</f>
        <v>1</v>
      </c>
      <c r="AJ1631" s="1">
        <f>MIN(1,MAX(0,J1631+方案参数!$AB$48-配置与结果!$B$27))</f>
        <v>0.76</v>
      </c>
      <c r="AK1631" s="1">
        <f>MAX(1,K1631+IF(F1631=2,0.15+方案参数!$CH$48,0)+BN1631*方案参数!$X$48+R1631*方案参数!$AA$48+0-配置与结果!$B$26+Z1631*(方案参数!$AP$48+MIN(方案参数!$AQ$48,P1631*0.03)))</f>
        <v>1.9980000000000002</v>
      </c>
      <c r="AL1631" s="7">
        <f>ROUNDDOWN(MAX(AD1631*配置与结果!$B$31,AD1631-AE1631)*AF1631*AG1631*AH1631*AI1631,0)</f>
        <v>5329</v>
      </c>
      <c r="AM1631" s="7">
        <f>ROUNDDOWN(MAX(AD1631*配置与结果!$B$31,AD1631-AE1631)*AF1631*AG1631*AH1631*AI1631*AK1631,0)</f>
        <v>10647</v>
      </c>
      <c r="AN1631" s="7">
        <f t="shared" si="2268"/>
        <v>9370.68</v>
      </c>
      <c r="AO1631" s="7">
        <f>方案参数!$BW$48</f>
        <v>1</v>
      </c>
      <c r="AP1631" s="7">
        <f>MAX(0,1+INDEX(配置与结果!$J$15:$J$18,F1631)+IF(T1631&gt;0,方案参数!$BY$48,0)-配置与结果!$B$30)</f>
        <v>2</v>
      </c>
      <c r="AQ1631" s="7">
        <f t="shared" si="2269"/>
        <v>5088</v>
      </c>
      <c r="AR1631" s="7">
        <f t="shared" si="2270"/>
        <v>10165</v>
      </c>
      <c r="AS1631" s="7">
        <f t="shared" si="2271"/>
        <v>8946.52</v>
      </c>
      <c r="AT1631" s="7">
        <f>0</f>
        <v>0</v>
      </c>
      <c r="AU1631" s="7">
        <f t="shared" si="2272"/>
        <v>18317.2</v>
      </c>
      <c r="AV1631" s="1">
        <f t="shared" si="2273"/>
        <v>1</v>
      </c>
      <c r="AW1631" s="1">
        <f>MIN(10,M1631+0+0)</f>
        <v>4</v>
      </c>
      <c r="AX1631" s="1">
        <f t="shared" si="2274"/>
        <v>0</v>
      </c>
      <c r="AY1631" s="1">
        <f t="shared" si="2303"/>
        <v>6</v>
      </c>
      <c r="AZ1631" s="1">
        <f t="shared" si="2275"/>
        <v>3</v>
      </c>
      <c r="BA1631" s="1">
        <f>MIN(6,Q1631+0)</f>
        <v>2</v>
      </c>
      <c r="BB1631" s="1">
        <f t="shared" si="2296"/>
        <v>5</v>
      </c>
      <c r="BC1631" s="1">
        <f t="shared" si="2277"/>
        <v>0</v>
      </c>
      <c r="BD1631" s="1">
        <f t="shared" ref="BD1631:BD1661" si="2304">MAX(0,T1631-IF(AO1631&gt;0,1,0))+0</f>
        <v>0</v>
      </c>
      <c r="BE1631" s="1">
        <f t="shared" si="2297"/>
        <v>0</v>
      </c>
      <c r="BF1631" s="1">
        <f>MIN(4,V1631+1)</f>
        <v>1</v>
      </c>
      <c r="BG1631" s="1">
        <f t="shared" si="2301"/>
        <v>1</v>
      </c>
      <c r="BH1631" s="1">
        <f t="shared" si="2298"/>
        <v>1</v>
      </c>
      <c r="BI1631" s="1">
        <f t="shared" si="2302"/>
        <v>1</v>
      </c>
      <c r="BJ1631" s="1">
        <f t="shared" si="2264"/>
        <v>0</v>
      </c>
      <c r="BK1631" s="1">
        <f t="shared" si="2265"/>
        <v>0</v>
      </c>
      <c r="BL1631" s="1">
        <f t="shared" si="2278"/>
        <v>0</v>
      </c>
      <c r="BM1631" s="1">
        <f t="shared" si="2276"/>
        <v>0</v>
      </c>
      <c r="BN1631" s="1">
        <f t="shared" si="2299"/>
        <v>1</v>
      </c>
      <c r="BO1631" s="1">
        <f t="shared" si="2300"/>
        <v>1</v>
      </c>
    </row>
    <row r="1632" spans="1:67" ht="30.95" customHeight="1">
      <c r="A1632" s="1">
        <f>45</f>
        <v>45</v>
      </c>
      <c r="B1632" s="1">
        <f>固定流程!A12</f>
        <v>7</v>
      </c>
      <c r="C1632" s="1">
        <f>48</f>
        <v>48</v>
      </c>
      <c r="D1632" s="1">
        <f>1</f>
        <v>1</v>
      </c>
      <c r="E1632" s="1">
        <f>固定流程!C12</f>
        <v>1</v>
      </c>
      <c r="F1632" s="1">
        <f>固定流程!G12</f>
        <v>4</v>
      </c>
      <c r="G1632" s="1" t="str">
        <f>固定流程!H12</f>
        <v>J_HARD</v>
      </c>
      <c r="H1632" s="1">
        <f>固定流程!F12</f>
        <v>1</v>
      </c>
      <c r="I1632" s="1">
        <f>INDEX(配置与结果!$B$15:$B$18,F1632)</f>
        <v>1906</v>
      </c>
      <c r="J1632" s="1">
        <f>INDEX(配置与结果!$D$15:$D$18,F1632)</f>
        <v>0.36699999999999999</v>
      </c>
      <c r="K1632" s="1">
        <f>INDEX(配置与结果!$E$15:$E$18,F1632)</f>
        <v>1.7170000000000001</v>
      </c>
      <c r="L1632" s="1">
        <f t="shared" si="2282"/>
        <v>1</v>
      </c>
      <c r="M1632" s="1">
        <f t="shared" si="2282"/>
        <v>4</v>
      </c>
      <c r="N1632" s="1">
        <f t="shared" si="2282"/>
        <v>0</v>
      </c>
      <c r="O1632" s="1">
        <f t="shared" si="2282"/>
        <v>6</v>
      </c>
      <c r="P1632" s="1">
        <f>MIN(方案参数!$AI$48,AZ1631+0+0)</f>
        <v>3</v>
      </c>
      <c r="Q1632" s="1">
        <f t="shared" si="2283"/>
        <v>2</v>
      </c>
      <c r="R1632" s="1">
        <f t="shared" si="2284"/>
        <v>5</v>
      </c>
      <c r="S1632" s="1">
        <f t="shared" si="2285"/>
        <v>0</v>
      </c>
      <c r="T1632" s="1">
        <f t="shared" si="2286"/>
        <v>0</v>
      </c>
      <c r="U1632" s="1">
        <f t="shared" si="2287"/>
        <v>0</v>
      </c>
      <c r="V1632" s="1">
        <f t="shared" si="2288"/>
        <v>1</v>
      </c>
      <c r="W1632" s="1">
        <f t="shared" si="2289"/>
        <v>1</v>
      </c>
      <c r="X1632" s="1">
        <f t="shared" si="2290"/>
        <v>1</v>
      </c>
      <c r="Y1632" s="1">
        <f t="shared" si="2291"/>
        <v>1</v>
      </c>
      <c r="Z1632" s="1">
        <f t="shared" si="2292"/>
        <v>0</v>
      </c>
      <c r="AA1632" s="1">
        <f t="shared" si="2293"/>
        <v>0</v>
      </c>
      <c r="AB1632" s="1">
        <f t="shared" si="2294"/>
        <v>0</v>
      </c>
      <c r="AC1632" s="1">
        <f t="shared" si="2295"/>
        <v>0</v>
      </c>
      <c r="AD1632" s="1">
        <f>ROUNDDOWN(I1632*(1+IF(F1632=3,0.05+方案参数!$Y$48+AA1632*0.12,IF(F1632=4,方案参数!$BZ$48*方案参数!$AS$48,0)))+IF(AND(X1632=1,F1632&lt;&gt;3),方案参数!$CC$48,0)+AC1632*方案参数!$CB$48,0)</f>
        <v>2811</v>
      </c>
      <c r="AE1632" s="1">
        <f>IF(OR(F1632=1,F1632=4),配置与结果!$B$24,配置与结果!$B$25)*MAX(0,1-INDEX(配置与结果!$I$15:$I$18,F1632))</f>
        <v>1200</v>
      </c>
      <c r="AF1632" s="1">
        <f>3.6*IF(H1632=1,1,IF(H1632=2,1.5,2.5))</f>
        <v>3.6</v>
      </c>
      <c r="AG1632" s="1">
        <f>MAX(配置与结果!$B$32,1+INDEX(配置与结果!$F$15:$F$18,F1632)+0.08+Q1632*方案参数!$W$48+Y1632*(方案参数!$AN$48+MIN(方案参数!$AO$48,P1632*0.03))+AB1632*方案参数!$BZ$48*0.025+0.1+IF(方案参数!$BZ$48&gt;=30,方案参数!$BZ$48*0.01,0)-配置与结果!$B$28)</f>
        <v>1.4350000000000001</v>
      </c>
      <c r="AH1632" s="1">
        <f>MAX(0,1+INDEX(配置与结果!$G$15:$G$18,F1632)+W1632*方案参数!$AG$48)</f>
        <v>1.3</v>
      </c>
      <c r="AI1632" s="1">
        <f>IF(OR(INDEX(配置与结果!$K$15:$K$18,F1632)=1,G1632="RHI_BERRY"),1+配置与结果!$B$33+P1632*方案参数!$AH$48,1)</f>
        <v>1</v>
      </c>
      <c r="AJ1632" s="1">
        <f>MIN(1,MAX(0,J1632+方案参数!$AB$48-配置与结果!$B$27))</f>
        <v>0.66700000000000004</v>
      </c>
      <c r="AK1632" s="1">
        <f>MAX(1,K1632+IF(F1632=2,0.15+方案参数!$CH$48,0)+BN1632*方案参数!$X$48+R1632*方案参数!$AA$48+0-配置与结果!$B$26+Z1632*(方案参数!$AP$48+MIN(方案参数!$AQ$48,P1632*0.03)))</f>
        <v>1.5169999999999999</v>
      </c>
      <c r="AL1632" s="7">
        <f>ROUNDDOWN(MAX(AD1632*配置与结果!$B$31,AD1632-AE1632)*AF1632*AG1632*AH1632*AI1632,0)</f>
        <v>10819</v>
      </c>
      <c r="AM1632" s="7">
        <f>ROUNDDOWN(MAX(AD1632*配置与结果!$B$31,AD1632-AE1632)*AF1632*AG1632*AH1632*AI1632*AK1632,0)</f>
        <v>16412</v>
      </c>
      <c r="AN1632" s="7">
        <f t="shared" si="2268"/>
        <v>14549.530999999999</v>
      </c>
      <c r="AO1632" s="7">
        <f>0</f>
        <v>0</v>
      </c>
      <c r="AP1632" s="7">
        <f>MAX(0,1+INDEX(配置与结果!$J$15:$J$18,F1632)+IF(T1632&gt;0,方案参数!$BY$48,0)-配置与结果!$B$30)</f>
        <v>1</v>
      </c>
      <c r="AQ1632" s="7">
        <f t="shared" si="2269"/>
        <v>0</v>
      </c>
      <c r="AR1632" s="7">
        <f t="shared" si="2270"/>
        <v>0</v>
      </c>
      <c r="AS1632" s="7">
        <f t="shared" si="2271"/>
        <v>0</v>
      </c>
      <c r="AT1632" s="7">
        <f>0</f>
        <v>0</v>
      </c>
      <c r="AU1632" s="7">
        <f t="shared" si="2272"/>
        <v>14549.530999999999</v>
      </c>
      <c r="AV1632" s="1">
        <f t="shared" si="2273"/>
        <v>1</v>
      </c>
      <c r="AW1632" s="1">
        <f>MIN(10,M1632+0+0)</f>
        <v>4</v>
      </c>
      <c r="AX1632" s="1">
        <f t="shared" si="2274"/>
        <v>0</v>
      </c>
      <c r="AY1632" s="1">
        <f t="shared" si="2303"/>
        <v>6</v>
      </c>
      <c r="AZ1632" s="1">
        <f t="shared" si="2275"/>
        <v>3</v>
      </c>
      <c r="BA1632" s="1">
        <f>MIN(6,Q1632+0)</f>
        <v>2</v>
      </c>
      <c r="BB1632" s="1">
        <f t="shared" si="2296"/>
        <v>5</v>
      </c>
      <c r="BC1632" s="1">
        <f>MIN(3,S1632+1)</f>
        <v>1</v>
      </c>
      <c r="BD1632" s="1">
        <f t="shared" si="2304"/>
        <v>0</v>
      </c>
      <c r="BE1632" s="1">
        <f t="shared" si="2297"/>
        <v>0</v>
      </c>
      <c r="BF1632" s="1">
        <f>MIN(4,V1632+0)</f>
        <v>1</v>
      </c>
      <c r="BG1632" s="1">
        <f t="shared" si="2301"/>
        <v>1</v>
      </c>
      <c r="BH1632" s="1">
        <f t="shared" si="2298"/>
        <v>1</v>
      </c>
      <c r="BI1632" s="1">
        <f t="shared" si="2302"/>
        <v>1</v>
      </c>
      <c r="BJ1632" s="1">
        <f t="shared" si="2264"/>
        <v>0</v>
      </c>
      <c r="BK1632" s="1">
        <f t="shared" si="2265"/>
        <v>0</v>
      </c>
      <c r="BL1632" s="1">
        <f t="shared" si="2278"/>
        <v>0</v>
      </c>
      <c r="BM1632" s="1">
        <f t="shared" si="2276"/>
        <v>0</v>
      </c>
      <c r="BN1632" s="1">
        <f t="shared" si="2299"/>
        <v>1</v>
      </c>
      <c r="BO1632" s="1">
        <f t="shared" si="2300"/>
        <v>1</v>
      </c>
    </row>
    <row r="1633" spans="1:67" ht="30.95" customHeight="1">
      <c r="A1633" s="1">
        <f>45</f>
        <v>45</v>
      </c>
      <c r="B1633" s="1">
        <f>固定流程!A13</f>
        <v>8</v>
      </c>
      <c r="C1633" s="1">
        <f>48</f>
        <v>48</v>
      </c>
      <c r="D1633" s="1">
        <f>1</f>
        <v>1</v>
      </c>
      <c r="E1633" s="1">
        <f>固定流程!C13</f>
        <v>2</v>
      </c>
      <c r="F1633" s="1">
        <f>固定流程!G13</f>
        <v>3</v>
      </c>
      <c r="G1633" s="1" t="str">
        <f>固定流程!H13</f>
        <v>RHI_ATTACK</v>
      </c>
      <c r="H1633" s="1">
        <f>固定流程!F13</f>
        <v>1</v>
      </c>
      <c r="I1633" s="1">
        <f>INDEX(配置与结果!$B$15:$B$18,F1633)</f>
        <v>2597</v>
      </c>
      <c r="J1633" s="1">
        <f>INDEX(配置与结果!$D$15:$D$18,F1633)</f>
        <v>0.255</v>
      </c>
      <c r="K1633" s="1">
        <f>INDEX(配置与结果!$E$15:$E$18,F1633)</f>
        <v>1.55</v>
      </c>
      <c r="L1633" s="1">
        <f>IF(AV1632=1,IF(M1633&gt;=10,2,1),IF(AV1632=2,IF(AX1632&lt;=1,0,2),0))</f>
        <v>1</v>
      </c>
      <c r="M1633" s="1">
        <f>IF(AND(AV1632=2,AX1632&lt;=1),0,MIN(10,AW1632+IF(AV1632=1,3,0)))</f>
        <v>7</v>
      </c>
      <c r="N1633" s="1">
        <f>IF(AND(AV1632=1,M1633&gt;=10),2,IF(AV1632=2,MAX(0,AX1632-1),0))</f>
        <v>0</v>
      </c>
      <c r="O1633" s="1">
        <f t="shared" ref="O1633:O1661" si="2305">AY1632</f>
        <v>6</v>
      </c>
      <c r="P1633" s="1">
        <f>MIN(方案参数!$AI$48,AZ1632+方案参数!$AJ$48+方案参数!$AK$48)</f>
        <v>5</v>
      </c>
      <c r="Q1633" s="1">
        <f t="shared" si="2283"/>
        <v>2</v>
      </c>
      <c r="R1633" s="1">
        <f t="shared" si="2284"/>
        <v>5</v>
      </c>
      <c r="S1633" s="1">
        <f t="shared" si="2285"/>
        <v>1</v>
      </c>
      <c r="T1633" s="1">
        <f t="shared" si="2286"/>
        <v>0</v>
      </c>
      <c r="U1633" s="1">
        <f t="shared" si="2287"/>
        <v>0</v>
      </c>
      <c r="V1633" s="1">
        <f t="shared" si="2288"/>
        <v>1</v>
      </c>
      <c r="W1633" s="1">
        <f t="shared" si="2289"/>
        <v>1</v>
      </c>
      <c r="X1633" s="1">
        <f t="shared" si="2290"/>
        <v>1</v>
      </c>
      <c r="Y1633" s="1">
        <f t="shared" si="2291"/>
        <v>1</v>
      </c>
      <c r="Z1633" s="1">
        <f t="shared" si="2292"/>
        <v>0</v>
      </c>
      <c r="AA1633" s="1">
        <f>MAX(BK1632,1)</f>
        <v>1</v>
      </c>
      <c r="AB1633" s="1">
        <f t="shared" si="2294"/>
        <v>0</v>
      </c>
      <c r="AC1633" s="1">
        <f t="shared" si="2295"/>
        <v>0</v>
      </c>
      <c r="AD1633" s="1">
        <f>ROUNDDOWN(I1633*(1+IF(F1633=3,0.05+方案参数!$Y$48+AA1633*0.12,IF(F1633=4,方案参数!$BZ$48*方案参数!$AS$48,0)))+IF(AND(X1633=1,F1633&lt;&gt;3),方案参数!$CC$48,0)+AC1633*方案参数!$CB$48,0)</f>
        <v>3298</v>
      </c>
      <c r="AE1633" s="1">
        <f>IF(OR(F1633=1,F1633=4),配置与结果!$B$24,配置与结果!$B$25)*MAX(0,1-INDEX(配置与结果!$I$15:$I$18,F1633))</f>
        <v>1000</v>
      </c>
      <c r="AF1633" s="1">
        <f>4</f>
        <v>4</v>
      </c>
      <c r="AG1633" s="1">
        <f>MAX(配置与结果!$B$32,1+INDEX(配置与结果!$F$15:$F$18,F1633)+0+Q1633*方案参数!$W$48+Y1633*(方案参数!$AN$48+MIN(方案参数!$AO$48,P1633*0.03))+AB1633*方案参数!$BZ$48*0.025-配置与结果!$B$28)</f>
        <v>0.97499999999999998</v>
      </c>
      <c r="AH1633" s="1">
        <f>MAX(0,1+INDEX(配置与结果!$G$15:$G$18,F1633)+W1633*方案参数!$AG$48)</f>
        <v>1.3</v>
      </c>
      <c r="AI1633" s="1">
        <f>IF(OR(INDEX(配置与结果!$K$15:$K$18,F1633)=1,G1633="RHI_BERRY"),1+配置与结果!$B$33+P1633*方案参数!$AH$48,1)</f>
        <v>1</v>
      </c>
      <c r="AJ1633" s="1">
        <f>MIN(1,MAX(0,J1633+方案参数!$AB$48-配置与结果!$B$27))</f>
        <v>0.55499999999999994</v>
      </c>
      <c r="AK1633" s="1">
        <f>MAX(1,K1633+IF(F1633=2,0.15+方案参数!$CH$48,0)+BN1633*方案参数!$X$48+R1633*方案参数!$AA$48+0-配置与结果!$B$26+Z1633*(方案参数!$AP$48+MIN(方案参数!$AQ$48,P1633*0.03)))</f>
        <v>1.35</v>
      </c>
      <c r="AL1633" s="7">
        <f>ROUNDDOWN(MAX(AD1633*配置与结果!$B$31,AD1633-AE1633)*AF1633*AG1633*AH1633*AI1633,0)</f>
        <v>11650</v>
      </c>
      <c r="AM1633" s="7">
        <f>ROUNDDOWN(MAX(AD1633*配置与结果!$B$31,AD1633-AE1633)*AF1633*AG1633*AH1633*AI1633*AK1633,0)</f>
        <v>15728</v>
      </c>
      <c r="AN1633" s="7">
        <f t="shared" si="2268"/>
        <v>13913.29</v>
      </c>
      <c r="AO1633" s="7">
        <f>0</f>
        <v>0</v>
      </c>
      <c r="AP1633" s="7">
        <f>MAX(0,1+INDEX(配置与结果!$J$15:$J$18,F1633)+IF(T1633&gt;0,方案参数!$BY$48,0)-配置与结果!$B$30)</f>
        <v>1</v>
      </c>
      <c r="AQ1633" s="7">
        <f t="shared" si="2269"/>
        <v>0</v>
      </c>
      <c r="AR1633" s="7">
        <f t="shared" si="2270"/>
        <v>0</v>
      </c>
      <c r="AS1633" s="7">
        <f t="shared" si="2271"/>
        <v>0</v>
      </c>
      <c r="AT1633" s="7">
        <f>0</f>
        <v>0</v>
      </c>
      <c r="AU1633" s="7">
        <f t="shared" si="2272"/>
        <v>13913.29</v>
      </c>
      <c r="AV1633" s="1">
        <f t="shared" si="2273"/>
        <v>1</v>
      </c>
      <c r="AW1633" s="1">
        <f>MIN(10,M1633+0+0)</f>
        <v>7</v>
      </c>
      <c r="AX1633" s="1">
        <f t="shared" si="2274"/>
        <v>0</v>
      </c>
      <c r="AY1633" s="1">
        <f t="shared" si="2303"/>
        <v>6</v>
      </c>
      <c r="AZ1633" s="1">
        <f t="shared" si="2275"/>
        <v>5</v>
      </c>
      <c r="BA1633" s="1">
        <f>MIN(6,Q1633+1)</f>
        <v>3</v>
      </c>
      <c r="BB1633" s="1">
        <f t="shared" si="2296"/>
        <v>5</v>
      </c>
      <c r="BC1633" s="1">
        <f>MIN(3,S1633+0)</f>
        <v>1</v>
      </c>
      <c r="BD1633" s="1">
        <f t="shared" si="2304"/>
        <v>0</v>
      </c>
      <c r="BE1633" s="1">
        <f t="shared" si="2297"/>
        <v>0</v>
      </c>
      <c r="BF1633" s="1">
        <f>MIN(4,V1633+0)</f>
        <v>1</v>
      </c>
      <c r="BG1633" s="1">
        <f t="shared" si="2301"/>
        <v>1</v>
      </c>
      <c r="BH1633" s="1">
        <f t="shared" si="2298"/>
        <v>1</v>
      </c>
      <c r="BI1633" s="1">
        <f t="shared" si="2302"/>
        <v>1</v>
      </c>
      <c r="BJ1633" s="1">
        <f>MAX(Z1633,1)</f>
        <v>1</v>
      </c>
      <c r="BK1633" s="1">
        <f>MAX(AA1633,1)</f>
        <v>1</v>
      </c>
      <c r="BL1633" s="1">
        <f t="shared" si="2278"/>
        <v>0</v>
      </c>
      <c r="BM1633" s="1">
        <f t="shared" si="2276"/>
        <v>0</v>
      </c>
      <c r="BN1633" s="1">
        <f t="shared" si="2299"/>
        <v>1</v>
      </c>
      <c r="BO1633" s="1">
        <f t="shared" si="2300"/>
        <v>1</v>
      </c>
    </row>
    <row r="1634" spans="1:67" ht="30.95" customHeight="1">
      <c r="A1634" s="1">
        <f>45</f>
        <v>45</v>
      </c>
      <c r="B1634" s="1">
        <f>固定流程!A14</f>
        <v>9</v>
      </c>
      <c r="C1634" s="1">
        <f>48</f>
        <v>48</v>
      </c>
      <c r="D1634" s="1">
        <f>1</f>
        <v>1</v>
      </c>
      <c r="E1634" s="1">
        <f>固定流程!C14</f>
        <v>2</v>
      </c>
      <c r="F1634" s="1">
        <f>固定流程!G14</f>
        <v>1</v>
      </c>
      <c r="G1634" s="1" t="str">
        <f>固定流程!H14</f>
        <v>LILYA_DIVE</v>
      </c>
      <c r="H1634" s="1">
        <f>固定流程!F14</f>
        <v>3</v>
      </c>
      <c r="I1634" s="1">
        <f>INDEX(配置与结果!$B$15:$B$18,F1634)</f>
        <v>2296</v>
      </c>
      <c r="J1634" s="1">
        <f>INDEX(配置与结果!$D$15:$D$18,F1634)</f>
        <v>0.7</v>
      </c>
      <c r="K1634" s="1">
        <f>INDEX(配置与结果!$E$15:$E$18,F1634)</f>
        <v>2.0249999999999999</v>
      </c>
      <c r="L1634" s="1">
        <f t="shared" ref="L1634:N1638" si="2306">AV1633</f>
        <v>1</v>
      </c>
      <c r="M1634" s="1">
        <f t="shared" si="2306"/>
        <v>7</v>
      </c>
      <c r="N1634" s="1">
        <f t="shared" si="2306"/>
        <v>0</v>
      </c>
      <c r="O1634" s="1">
        <f t="shared" si="2305"/>
        <v>6</v>
      </c>
      <c r="P1634" s="1">
        <f>MIN(方案参数!$AI$48,AZ1633+0+0)</f>
        <v>5</v>
      </c>
      <c r="Q1634" s="1">
        <f t="shared" si="2283"/>
        <v>3</v>
      </c>
      <c r="R1634" s="1">
        <f t="shared" si="2284"/>
        <v>5</v>
      </c>
      <c r="S1634" s="1">
        <f t="shared" si="2285"/>
        <v>1</v>
      </c>
      <c r="T1634" s="1">
        <f t="shared" si="2286"/>
        <v>0</v>
      </c>
      <c r="U1634" s="1">
        <f t="shared" si="2287"/>
        <v>0</v>
      </c>
      <c r="V1634" s="1">
        <f t="shared" si="2288"/>
        <v>1</v>
      </c>
      <c r="W1634" s="1">
        <f t="shared" si="2289"/>
        <v>1</v>
      </c>
      <c r="X1634" s="1">
        <f t="shared" si="2290"/>
        <v>1</v>
      </c>
      <c r="Y1634" s="1">
        <f t="shared" si="2291"/>
        <v>1</v>
      </c>
      <c r="Z1634" s="1">
        <f t="shared" si="2292"/>
        <v>1</v>
      </c>
      <c r="AA1634" s="1">
        <f t="shared" ref="AA1634:AA1639" si="2307">MAX(BK1633,0)</f>
        <v>1</v>
      </c>
      <c r="AB1634" s="1">
        <f t="shared" si="2294"/>
        <v>0</v>
      </c>
      <c r="AC1634" s="1">
        <f t="shared" si="2295"/>
        <v>0</v>
      </c>
      <c r="AD1634" s="1">
        <f>ROUNDDOWN(I1634*(1+IF(F1634=3,0.05+方案参数!$Y$48+AA1634*0.12,IF(F1634=4,方案参数!$BZ$48*方案参数!$AS$48,0)))+IF(AND(X1634=1,F1634&lt;&gt;3),方案参数!$CC$48,0)+AC1634*方案参数!$CB$48,0)</f>
        <v>2534</v>
      </c>
      <c r="AE1634" s="1">
        <f>IF(OR(F1634=1,F1634=4),配置与结果!$B$24,配置与结果!$B$25)*MAX(0,1-INDEX(配置与结果!$I$15:$I$18,F1634))</f>
        <v>1200</v>
      </c>
      <c r="AF1634" s="1">
        <f>(IF(L1634=1,方案参数!$AW$48,IF(L1634=2,方案参数!$AX$48,0))+方案参数!$AV$48)*H1634</f>
        <v>18</v>
      </c>
      <c r="AG1634" s="1">
        <f>MAX(配置与结果!$B$32,1+INDEX(配置与结果!$F$15:$F$18,F1634)+0.08+方案参数!$CD$48+Q1634*方案参数!$W$48+Y1634*(方案参数!$AN$48+MIN(方案参数!$AO$48,P1634*0.03))+AB1634*方案参数!$BZ$48*0.025+IF(L1634=1,方案参数!$AY$48+(H1634-1)*0.1,IF(L1634=2,方案参数!$AZ$48+(H1634-1)*0.2,0))-配置与结果!$B$28)</f>
        <v>1.6</v>
      </c>
      <c r="AH1634" s="1">
        <f>MAX(0,1+INDEX(配置与结果!$G$15:$G$18,F1634)+W1634*方案参数!$AG$48+IF(L1634=1,方案参数!$BA$48,IF(L1634=2,方案参数!$BB$48,0))+M1634*方案参数!$BC$48)</f>
        <v>2.3199999999999998</v>
      </c>
      <c r="AI1634" s="1">
        <f>IF(OR(INDEX(配置与结果!$K$15:$K$18,F1634)=1,G1634="RHI_BERRY"),1+配置与结果!$B$33+P1634*方案参数!$AH$48,1)</f>
        <v>1</v>
      </c>
      <c r="AJ1634" s="1">
        <f>MIN(1,MAX(0,J1634+方案参数!$AB$48-配置与结果!$B$27))</f>
        <v>1</v>
      </c>
      <c r="AK1634" s="1">
        <f>MAX(1,K1634+IF(F1634=2,0.15+方案参数!$CH$48,0)+BN1634*方案参数!$X$48+R1634*方案参数!$AA$48+0-配置与结果!$B$26+Z1634*(方案参数!$AP$48+MIN(方案参数!$AQ$48,P1634*0.03)))</f>
        <v>2.125</v>
      </c>
      <c r="AL1634" s="7">
        <f>ROUNDDOWN(MAX(AD1634*配置与结果!$B$31,AD1634-AE1634)*AF1634*AG1634*AH1634*AI1634,0)</f>
        <v>89132</v>
      </c>
      <c r="AM1634" s="7">
        <f>ROUNDDOWN(MAX(AD1634*配置与结果!$B$31,AD1634-AE1634)*AF1634*AG1634*AH1634*AI1634*AK1634,0)</f>
        <v>189406</v>
      </c>
      <c r="AN1634" s="7">
        <f t="shared" si="2268"/>
        <v>189406</v>
      </c>
      <c r="AO1634" s="7">
        <f>0</f>
        <v>0</v>
      </c>
      <c r="AP1634" s="7">
        <f>MAX(0,1+INDEX(配置与结果!$J$15:$J$18,F1634)+IF(T1634&gt;0,方案参数!$BY$48,0)-配置与结果!$B$30)</f>
        <v>1</v>
      </c>
      <c r="AQ1634" s="7">
        <f t="shared" si="2269"/>
        <v>0</v>
      </c>
      <c r="AR1634" s="7">
        <f t="shared" si="2270"/>
        <v>0</v>
      </c>
      <c r="AS1634" s="7">
        <f t="shared" si="2271"/>
        <v>0</v>
      </c>
      <c r="AT1634" s="7">
        <f>0</f>
        <v>0</v>
      </c>
      <c r="AU1634" s="7">
        <f t="shared" si="2272"/>
        <v>189406</v>
      </c>
      <c r="AV1634" s="1">
        <f t="shared" si="2273"/>
        <v>1</v>
      </c>
      <c r="AW1634" s="1">
        <f>MIN(10,M1634+0+IF(L1634=1,方案参数!$BE$48,0))</f>
        <v>8</v>
      </c>
      <c r="AX1634" s="1">
        <f t="shared" si="2274"/>
        <v>0</v>
      </c>
      <c r="AY1634" s="1">
        <f t="shared" si="2303"/>
        <v>6</v>
      </c>
      <c r="AZ1634" s="1">
        <f t="shared" si="2275"/>
        <v>5</v>
      </c>
      <c r="BA1634" s="1">
        <f>MIN(6,Q1634+0)</f>
        <v>3</v>
      </c>
      <c r="BB1634" s="1">
        <f t="shared" si="2296"/>
        <v>5</v>
      </c>
      <c r="BC1634" s="1">
        <f>MIN(3,S1634+0)</f>
        <v>1</v>
      </c>
      <c r="BD1634" s="1">
        <f t="shared" si="2304"/>
        <v>0</v>
      </c>
      <c r="BE1634" s="1">
        <f t="shared" si="2297"/>
        <v>0</v>
      </c>
      <c r="BF1634" s="1">
        <f>MIN(4,V1634+0)</f>
        <v>1</v>
      </c>
      <c r="BG1634" s="1">
        <f t="shared" si="2301"/>
        <v>1</v>
      </c>
      <c r="BH1634" s="1">
        <f t="shared" si="2298"/>
        <v>1</v>
      </c>
      <c r="BI1634" s="1">
        <f t="shared" si="2302"/>
        <v>1</v>
      </c>
      <c r="BJ1634" s="1">
        <f t="shared" ref="BJ1634:BK1639" si="2308">MAX(Z1634,0)</f>
        <v>1</v>
      </c>
      <c r="BK1634" s="1">
        <f t="shared" si="2308"/>
        <v>1</v>
      </c>
      <c r="BL1634" s="1">
        <f t="shared" si="2278"/>
        <v>0</v>
      </c>
      <c r="BM1634" s="1">
        <f t="shared" si="2276"/>
        <v>0</v>
      </c>
      <c r="BN1634" s="1">
        <f t="shared" si="2299"/>
        <v>1</v>
      </c>
      <c r="BO1634" s="1">
        <f t="shared" si="2300"/>
        <v>1</v>
      </c>
    </row>
    <row r="1635" spans="1:67" ht="30.95" customHeight="1">
      <c r="A1635" s="1">
        <f>45</f>
        <v>45</v>
      </c>
      <c r="B1635" s="1">
        <f>固定流程!A15</f>
        <v>10</v>
      </c>
      <c r="C1635" s="1">
        <f>48</f>
        <v>48</v>
      </c>
      <c r="D1635" s="1">
        <f>1</f>
        <v>1</v>
      </c>
      <c r="E1635" s="1">
        <f>固定流程!C15</f>
        <v>2</v>
      </c>
      <c r="F1635" s="1">
        <f>固定流程!G15</f>
        <v>4</v>
      </c>
      <c r="G1635" s="1" t="str">
        <f>固定流程!H15</f>
        <v>J_HARD</v>
      </c>
      <c r="H1635" s="1">
        <f>固定流程!F15</f>
        <v>1</v>
      </c>
      <c r="I1635" s="1">
        <f>INDEX(配置与结果!$B$15:$B$18,F1635)</f>
        <v>1906</v>
      </c>
      <c r="J1635" s="1">
        <f>INDEX(配置与结果!$D$15:$D$18,F1635)</f>
        <v>0.36699999999999999</v>
      </c>
      <c r="K1635" s="1">
        <f>INDEX(配置与结果!$E$15:$E$18,F1635)</f>
        <v>1.7170000000000001</v>
      </c>
      <c r="L1635" s="1">
        <f t="shared" si="2306"/>
        <v>1</v>
      </c>
      <c r="M1635" s="1">
        <f t="shared" si="2306"/>
        <v>8</v>
      </c>
      <c r="N1635" s="1">
        <f t="shared" si="2306"/>
        <v>0</v>
      </c>
      <c r="O1635" s="1">
        <f t="shared" si="2305"/>
        <v>6</v>
      </c>
      <c r="P1635" s="1">
        <f>MIN(方案参数!$AI$48,AZ1634+0+0)</f>
        <v>5</v>
      </c>
      <c r="Q1635" s="1">
        <f t="shared" si="2283"/>
        <v>3</v>
      </c>
      <c r="R1635" s="1">
        <f t="shared" si="2284"/>
        <v>5</v>
      </c>
      <c r="S1635" s="1">
        <f t="shared" si="2285"/>
        <v>1</v>
      </c>
      <c r="T1635" s="1">
        <f t="shared" si="2286"/>
        <v>0</v>
      </c>
      <c r="U1635" s="1">
        <f t="shared" si="2287"/>
        <v>0</v>
      </c>
      <c r="V1635" s="1">
        <f t="shared" si="2288"/>
        <v>1</v>
      </c>
      <c r="W1635" s="1">
        <f t="shared" si="2289"/>
        <v>1</v>
      </c>
      <c r="X1635" s="1">
        <f t="shared" si="2290"/>
        <v>1</v>
      </c>
      <c r="Y1635" s="1">
        <f t="shared" si="2291"/>
        <v>1</v>
      </c>
      <c r="Z1635" s="1">
        <f t="shared" si="2292"/>
        <v>1</v>
      </c>
      <c r="AA1635" s="1">
        <f t="shared" si="2307"/>
        <v>1</v>
      </c>
      <c r="AB1635" s="1">
        <f t="shared" si="2294"/>
        <v>0</v>
      </c>
      <c r="AC1635" s="1">
        <f t="shared" si="2295"/>
        <v>0</v>
      </c>
      <c r="AD1635" s="1">
        <f>ROUNDDOWN(I1635*(1+IF(F1635=3,0.05+方案参数!$Y$48+AA1635*0.12,IF(F1635=4,方案参数!$BZ$48*方案参数!$AS$48,0)))+IF(AND(X1635=1,F1635&lt;&gt;3),方案参数!$CC$48,0)+AC1635*方案参数!$CB$48,0)</f>
        <v>2811</v>
      </c>
      <c r="AE1635" s="1">
        <f>IF(OR(F1635=1,F1635=4),配置与结果!$B$24,配置与结果!$B$25)*MAX(0,1-INDEX(配置与结果!$I$15:$I$18,F1635))</f>
        <v>1200</v>
      </c>
      <c r="AF1635" s="1">
        <f>3.6*IF(H1635=1,1,IF(H1635=2,1.5,2.5))</f>
        <v>3.6</v>
      </c>
      <c r="AG1635" s="1">
        <f>MAX(配置与结果!$B$32,1+INDEX(配置与结果!$F$15:$F$18,F1635)+0.08+Q1635*方案参数!$W$48+Y1635*(方案参数!$AN$48+MIN(方案参数!$AO$48,P1635*0.03))+AB1635*方案参数!$BZ$48*0.025+0.1+IF(方案参数!$BZ$48&gt;=30,方案参数!$BZ$48*0.01,0)-配置与结果!$B$28)</f>
        <v>1.5150000000000001</v>
      </c>
      <c r="AH1635" s="1">
        <f>MAX(0,1+INDEX(配置与结果!$G$15:$G$18,F1635)+W1635*方案参数!$AG$48)</f>
        <v>1.3</v>
      </c>
      <c r="AI1635" s="1">
        <f>IF(OR(INDEX(配置与结果!$K$15:$K$18,F1635)=1,G1635="RHI_BERRY"),1+配置与结果!$B$33+P1635*方案参数!$AH$48,1)</f>
        <v>1</v>
      </c>
      <c r="AJ1635" s="1">
        <f>MIN(1,MAX(0,J1635+方案参数!$AB$48-配置与结果!$B$27))</f>
        <v>0.66700000000000004</v>
      </c>
      <c r="AK1635" s="1">
        <f>MAX(1,K1635+IF(F1635=2,0.15+方案参数!$CH$48,0)+BN1635*方案参数!$X$48+R1635*方案参数!$AA$48+0-配置与结果!$B$26+Z1635*(方案参数!$AP$48+MIN(方案参数!$AQ$48,P1635*0.03)))</f>
        <v>1.8169999999999999</v>
      </c>
      <c r="AL1635" s="7">
        <f>ROUNDDOWN(MAX(AD1635*配置与结果!$B$31,AD1635-AE1635)*AF1635*AG1635*AH1635*AI1635,0)</f>
        <v>11422</v>
      </c>
      <c r="AM1635" s="7">
        <f>ROUNDDOWN(MAX(AD1635*配置与结果!$B$31,AD1635-AE1635)*AF1635*AG1635*AH1635*AI1635*AK1635,0)</f>
        <v>20754</v>
      </c>
      <c r="AN1635" s="7">
        <f t="shared" si="2268"/>
        <v>17646.444</v>
      </c>
      <c r="AO1635" s="7">
        <f>0</f>
        <v>0</v>
      </c>
      <c r="AP1635" s="7">
        <f>MAX(0,1+INDEX(配置与结果!$J$15:$J$18,F1635)+IF(T1635&gt;0,方案参数!$BY$48,0)-配置与结果!$B$30)</f>
        <v>1</v>
      </c>
      <c r="AQ1635" s="7">
        <f t="shared" si="2269"/>
        <v>0</v>
      </c>
      <c r="AR1635" s="7">
        <f t="shared" si="2270"/>
        <v>0</v>
      </c>
      <c r="AS1635" s="7">
        <f t="shared" si="2271"/>
        <v>0</v>
      </c>
      <c r="AT1635" s="7">
        <f>0</f>
        <v>0</v>
      </c>
      <c r="AU1635" s="7">
        <f t="shared" si="2272"/>
        <v>17646.444</v>
      </c>
      <c r="AV1635" s="1">
        <f t="shared" si="2273"/>
        <v>1</v>
      </c>
      <c r="AW1635" s="1">
        <f t="shared" ref="AW1635:AW1645" si="2309">MIN(10,M1635+0+0)</f>
        <v>8</v>
      </c>
      <c r="AX1635" s="1">
        <f t="shared" si="2274"/>
        <v>0</v>
      </c>
      <c r="AY1635" s="1">
        <f t="shared" si="2303"/>
        <v>6</v>
      </c>
      <c r="AZ1635" s="1">
        <f t="shared" si="2275"/>
        <v>5</v>
      </c>
      <c r="BA1635" s="1">
        <f>MIN(6,Q1635+0)</f>
        <v>3</v>
      </c>
      <c r="BB1635" s="1">
        <f t="shared" si="2296"/>
        <v>5</v>
      </c>
      <c r="BC1635" s="1">
        <f>MIN(3,S1635+1)</f>
        <v>2</v>
      </c>
      <c r="BD1635" s="1">
        <f t="shared" si="2304"/>
        <v>0</v>
      </c>
      <c r="BE1635" s="1">
        <f t="shared" si="2297"/>
        <v>0</v>
      </c>
      <c r="BF1635" s="1">
        <f>MIN(4,V1635+0)</f>
        <v>1</v>
      </c>
      <c r="BG1635" s="1">
        <f t="shared" si="2301"/>
        <v>1</v>
      </c>
      <c r="BH1635" s="1">
        <f t="shared" si="2298"/>
        <v>1</v>
      </c>
      <c r="BI1635" s="1">
        <f t="shared" si="2302"/>
        <v>1</v>
      </c>
      <c r="BJ1635" s="1">
        <f t="shared" si="2308"/>
        <v>1</v>
      </c>
      <c r="BK1635" s="1">
        <f t="shared" si="2308"/>
        <v>1</v>
      </c>
      <c r="BL1635" s="1">
        <f t="shared" si="2278"/>
        <v>0</v>
      </c>
      <c r="BM1635" s="1">
        <f t="shared" si="2276"/>
        <v>0</v>
      </c>
      <c r="BN1635" s="1">
        <f t="shared" si="2299"/>
        <v>1</v>
      </c>
      <c r="BO1635" s="1">
        <f t="shared" si="2300"/>
        <v>1</v>
      </c>
    </row>
    <row r="1636" spans="1:67" ht="30.95" customHeight="1">
      <c r="A1636" s="1">
        <f>45</f>
        <v>45</v>
      </c>
      <c r="B1636" s="1">
        <f>固定流程!A16</f>
        <v>11</v>
      </c>
      <c r="C1636" s="1">
        <f>48</f>
        <v>48</v>
      </c>
      <c r="D1636" s="1">
        <f>1</f>
        <v>1</v>
      </c>
      <c r="E1636" s="1">
        <f>固定流程!C16</f>
        <v>2</v>
      </c>
      <c r="F1636" s="1">
        <f>固定流程!G16</f>
        <v>2</v>
      </c>
      <c r="G1636" s="1" t="str">
        <f>固定流程!H16</f>
        <v>37_CURVE</v>
      </c>
      <c r="H1636" s="1">
        <f>固定流程!F16</f>
        <v>1</v>
      </c>
      <c r="I1636" s="1">
        <f>INDEX(配置与结果!$B$15:$B$18,F1636)</f>
        <v>2306</v>
      </c>
      <c r="J1636" s="1">
        <f>INDEX(配置与结果!$D$15:$D$18,F1636)</f>
        <v>0.46</v>
      </c>
      <c r="K1636" s="1">
        <f>INDEX(配置与结果!$E$15:$E$18,F1636)</f>
        <v>1.9279999999999999</v>
      </c>
      <c r="L1636" s="1">
        <f t="shared" si="2306"/>
        <v>1</v>
      </c>
      <c r="M1636" s="1">
        <f t="shared" si="2306"/>
        <v>8</v>
      </c>
      <c r="N1636" s="1">
        <f t="shared" si="2306"/>
        <v>0</v>
      </c>
      <c r="O1636" s="1">
        <f t="shared" si="2305"/>
        <v>6</v>
      </c>
      <c r="P1636" s="1">
        <f>MIN(方案参数!$AI$48,AZ1635+0+0)</f>
        <v>5</v>
      </c>
      <c r="Q1636" s="1">
        <f t="shared" si="2283"/>
        <v>3</v>
      </c>
      <c r="R1636" s="1">
        <f t="shared" si="2284"/>
        <v>5</v>
      </c>
      <c r="S1636" s="1">
        <f t="shared" si="2285"/>
        <v>2</v>
      </c>
      <c r="T1636" s="1">
        <f t="shared" si="2286"/>
        <v>0</v>
      </c>
      <c r="U1636" s="1">
        <f t="shared" si="2287"/>
        <v>0</v>
      </c>
      <c r="V1636" s="1">
        <f t="shared" si="2288"/>
        <v>1</v>
      </c>
      <c r="W1636" s="1">
        <f t="shared" si="2289"/>
        <v>1</v>
      </c>
      <c r="X1636" s="1">
        <f t="shared" si="2290"/>
        <v>1</v>
      </c>
      <c r="Y1636" s="1">
        <f t="shared" si="2291"/>
        <v>1</v>
      </c>
      <c r="Z1636" s="1">
        <f t="shared" si="2292"/>
        <v>1</v>
      </c>
      <c r="AA1636" s="1">
        <f t="shared" si="2307"/>
        <v>1</v>
      </c>
      <c r="AB1636" s="1">
        <f t="shared" si="2294"/>
        <v>0</v>
      </c>
      <c r="AC1636" s="1">
        <f t="shared" si="2295"/>
        <v>0</v>
      </c>
      <c r="AD1636" s="1">
        <f>ROUNDDOWN(I1636*(1+IF(F1636=3,0.05+方案参数!$Y$48+AA1636*0.12,IF(F1636=4,方案参数!$BZ$48*方案参数!$AS$48,0)))+IF(AND(X1636=1,F1636&lt;&gt;3),方案参数!$CC$48,0)+AC1636*方案参数!$CB$48,0)</f>
        <v>2544</v>
      </c>
      <c r="AE1636" s="1">
        <f>IF(OR(F1636=1,F1636=4),配置与结果!$B$24,配置与结果!$B$25)*MAX(0,1-INDEX(配置与结果!$I$15:$I$18,F1636))</f>
        <v>1000</v>
      </c>
      <c r="AF1636" s="1">
        <f>方案参数!$BT$48*IF(H1636=1,1,IF(H1636=2,1.5,2.5))</f>
        <v>1.4</v>
      </c>
      <c r="AG1636" s="1">
        <f>MAX(配置与结果!$B$32,1+INDEX(配置与结果!$F$15:$F$18,F1636)+0+Q1636*方案参数!$W$48+Y1636*(方案参数!$AN$48+MIN(方案参数!$AO$48,P1636*0.03))+AB1636*方案参数!$BZ$48*0.025-配置与结果!$B$28)</f>
        <v>0.96499999999999997</v>
      </c>
      <c r="AH1636" s="1">
        <f>MAX(0,1+INDEX(配置与结果!$G$15:$G$18,F1636)+W1636*方案参数!$AG$48)</f>
        <v>1.3</v>
      </c>
      <c r="AI1636" s="1">
        <f>IF(OR(INDEX(配置与结果!$K$15:$K$18,F1636)=1,G1636="RHI_BERRY"),1+配置与结果!$B$33+P1636*方案参数!$AH$48,1)</f>
        <v>1</v>
      </c>
      <c r="AJ1636" s="1">
        <f>MIN(1,MAX(0,J1636+方案参数!$AB$48-配置与结果!$B$27))</f>
        <v>0.76</v>
      </c>
      <c r="AK1636" s="1">
        <f>MAX(1,K1636+IF(F1636=2,0.15+方案参数!$CH$48,0)+BN1636*方案参数!$X$48+R1636*方案参数!$AA$48+0-配置与结果!$B$26+Z1636*(方案参数!$AP$48+MIN(方案参数!$AQ$48,P1636*0.03)))</f>
        <v>2.298</v>
      </c>
      <c r="AL1636" s="7">
        <f>ROUNDDOWN(MAX(AD1636*配置与结果!$B$31,AD1636-AE1636)*AF1636*AG1636*AH1636*AI1636,0)</f>
        <v>2711</v>
      </c>
      <c r="AM1636" s="7">
        <f>ROUNDDOWN(MAX(AD1636*配置与结果!$B$31,AD1636-AE1636)*AF1636*AG1636*AH1636*AI1636*AK1636,0)</f>
        <v>6231</v>
      </c>
      <c r="AN1636" s="7">
        <f t="shared" si="2268"/>
        <v>5386.2000000000007</v>
      </c>
      <c r="AO1636" s="7">
        <f>方案参数!$BU$48*IF(H1636=1,1,IF(H1636=2,1.5,2.5))</f>
        <v>0.8</v>
      </c>
      <c r="AP1636" s="7">
        <f>MAX(0,1+INDEX(配置与结果!$J$15:$J$18,F1636)+IF(T1636&gt;0,方案参数!$BY$48,0)-配置与结果!$B$30)</f>
        <v>1</v>
      </c>
      <c r="AQ1636" s="7">
        <f t="shared" si="2269"/>
        <v>2035</v>
      </c>
      <c r="AR1636" s="7">
        <f t="shared" si="2270"/>
        <v>4676</v>
      </c>
      <c r="AS1636" s="7">
        <f t="shared" si="2271"/>
        <v>4042.1600000000003</v>
      </c>
      <c r="AT1636" s="7">
        <f>0</f>
        <v>0</v>
      </c>
      <c r="AU1636" s="7">
        <f t="shared" si="2272"/>
        <v>9428.36</v>
      </c>
      <c r="AV1636" s="1">
        <f t="shared" si="2273"/>
        <v>1</v>
      </c>
      <c r="AW1636" s="1">
        <f t="shared" si="2309"/>
        <v>8</v>
      </c>
      <c r="AX1636" s="1">
        <f t="shared" si="2274"/>
        <v>0</v>
      </c>
      <c r="AY1636" s="1">
        <f t="shared" si="2303"/>
        <v>6</v>
      </c>
      <c r="AZ1636" s="1">
        <f t="shared" si="2275"/>
        <v>5</v>
      </c>
      <c r="BA1636" s="1">
        <f>MIN(6,Q1636+0)</f>
        <v>3</v>
      </c>
      <c r="BB1636" s="1">
        <f t="shared" si="2296"/>
        <v>5</v>
      </c>
      <c r="BC1636" s="1">
        <f t="shared" ref="BC1636:BC1642" si="2310">MIN(3,S1636+0)</f>
        <v>2</v>
      </c>
      <c r="BD1636" s="1">
        <f t="shared" si="2304"/>
        <v>0</v>
      </c>
      <c r="BE1636" s="1">
        <f t="shared" si="2297"/>
        <v>0</v>
      </c>
      <c r="BF1636" s="1">
        <f>MIN(4,V1636+0)</f>
        <v>1</v>
      </c>
      <c r="BG1636" s="1">
        <f t="shared" si="2301"/>
        <v>1</v>
      </c>
      <c r="BH1636" s="1">
        <f t="shared" si="2298"/>
        <v>1</v>
      </c>
      <c r="BI1636" s="1">
        <f t="shared" si="2302"/>
        <v>1</v>
      </c>
      <c r="BJ1636" s="1">
        <f t="shared" si="2308"/>
        <v>1</v>
      </c>
      <c r="BK1636" s="1">
        <f t="shared" si="2308"/>
        <v>1</v>
      </c>
      <c r="BL1636" s="1">
        <f t="shared" si="2278"/>
        <v>0</v>
      </c>
      <c r="BM1636" s="1">
        <f t="shared" si="2276"/>
        <v>0</v>
      </c>
      <c r="BN1636" s="1">
        <f t="shared" si="2299"/>
        <v>1</v>
      </c>
      <c r="BO1636" s="1">
        <f t="shared" si="2300"/>
        <v>1</v>
      </c>
    </row>
    <row r="1637" spans="1:67" ht="30.95" customHeight="1">
      <c r="A1637" s="1">
        <f>45</f>
        <v>45</v>
      </c>
      <c r="B1637" s="1">
        <f>固定流程!A17</f>
        <v>12</v>
      </c>
      <c r="C1637" s="1">
        <f>48</f>
        <v>48</v>
      </c>
      <c r="D1637" s="1">
        <f>1</f>
        <v>1</v>
      </c>
      <c r="E1637" s="1">
        <f>固定流程!C17</f>
        <v>2</v>
      </c>
      <c r="F1637" s="1">
        <f>固定流程!G17</f>
        <v>2</v>
      </c>
      <c r="G1637" s="1" t="str">
        <f>固定流程!H17</f>
        <v>37_FOLLOW</v>
      </c>
      <c r="H1637" s="1">
        <f>固定流程!F17</f>
        <v>1</v>
      </c>
      <c r="I1637" s="1">
        <f>INDEX(配置与结果!$B$15:$B$18,F1637)</f>
        <v>2306</v>
      </c>
      <c r="J1637" s="1">
        <f>INDEX(配置与结果!$D$15:$D$18,F1637)</f>
        <v>0.46</v>
      </c>
      <c r="K1637" s="1">
        <f>INDEX(配置与结果!$E$15:$E$18,F1637)</f>
        <v>1.9279999999999999</v>
      </c>
      <c r="L1637" s="1">
        <f t="shared" si="2306"/>
        <v>1</v>
      </c>
      <c r="M1637" s="1">
        <f t="shared" si="2306"/>
        <v>8</v>
      </c>
      <c r="N1637" s="1">
        <f t="shared" si="2306"/>
        <v>0</v>
      </c>
      <c r="O1637" s="1">
        <f t="shared" si="2305"/>
        <v>6</v>
      </c>
      <c r="P1637" s="1">
        <f>MIN(方案参数!$AI$48,AZ1636+0+0)</f>
        <v>5</v>
      </c>
      <c r="Q1637" s="1">
        <f t="shared" si="2283"/>
        <v>3</v>
      </c>
      <c r="R1637" s="1">
        <f t="shared" si="2284"/>
        <v>5</v>
      </c>
      <c r="S1637" s="1">
        <f t="shared" si="2285"/>
        <v>2</v>
      </c>
      <c r="T1637" s="1">
        <f t="shared" si="2286"/>
        <v>0</v>
      </c>
      <c r="U1637" s="1">
        <f t="shared" si="2287"/>
        <v>0</v>
      </c>
      <c r="V1637" s="1">
        <f t="shared" si="2288"/>
        <v>1</v>
      </c>
      <c r="W1637" s="1">
        <f t="shared" si="2289"/>
        <v>1</v>
      </c>
      <c r="X1637" s="1">
        <f t="shared" si="2290"/>
        <v>1</v>
      </c>
      <c r="Y1637" s="1">
        <f t="shared" si="2291"/>
        <v>1</v>
      </c>
      <c r="Z1637" s="1">
        <f t="shared" si="2292"/>
        <v>1</v>
      </c>
      <c r="AA1637" s="1">
        <f t="shared" si="2307"/>
        <v>1</v>
      </c>
      <c r="AB1637" s="1">
        <f t="shared" si="2294"/>
        <v>0</v>
      </c>
      <c r="AC1637" s="1">
        <f t="shared" si="2295"/>
        <v>0</v>
      </c>
      <c r="AD1637" s="1">
        <f>ROUNDDOWN(I1637*(1+IF(F1637=3,0.05+方案参数!$Y$48+AA1637*0.12,IF(F1637=4,方案参数!$BZ$48*方案参数!$AS$48,0)))+IF(AND(X1637=1,F1637&lt;&gt;3),方案参数!$CC$48,0)+AC1637*方案参数!$CB$48,0)</f>
        <v>2544</v>
      </c>
      <c r="AE1637" s="1">
        <f>IF(OR(F1637=1,F1637=4),配置与结果!$B$24,配置与结果!$B$25)*MAX(0,1-INDEX(配置与结果!$I$15:$I$18,F1637))</f>
        <v>1000</v>
      </c>
      <c r="AF1637" s="1">
        <f>方案参数!$BV$48</f>
        <v>3</v>
      </c>
      <c r="AG1637" s="1">
        <f>MAX(配置与结果!$B$32,1+INDEX(配置与结果!$F$15:$F$18,F1637)+0+Q1637*方案参数!$W$48+Y1637*(方案参数!$AN$48+MIN(方案参数!$AO$48,P1637*0.03))+AB1637*方案参数!$BZ$48*0.025-配置与结果!$B$28)</f>
        <v>0.96499999999999997</v>
      </c>
      <c r="AH1637" s="1">
        <f>MAX(0,1+INDEX(配置与结果!$G$15:$G$18,F1637)+W1637*方案参数!$AG$48)</f>
        <v>1.3</v>
      </c>
      <c r="AI1637" s="1">
        <f>IF(OR(INDEX(配置与结果!$K$15:$K$18,F1637)=1,G1637="RHI_BERRY"),1+配置与结果!$B$33+P1637*方案参数!$AH$48,1)</f>
        <v>1</v>
      </c>
      <c r="AJ1637" s="1">
        <f>MIN(1,MAX(0,J1637+方案参数!$AB$48-配置与结果!$B$27))</f>
        <v>0.76</v>
      </c>
      <c r="AK1637" s="1">
        <f>MAX(1,K1637+IF(F1637=2,0.15+方案参数!$CH$48,0)+BN1637*方案参数!$X$48+R1637*方案参数!$AA$48+0-配置与结果!$B$26+Z1637*(方案参数!$AP$48+MIN(方案参数!$AQ$48,P1637*0.03)))</f>
        <v>2.298</v>
      </c>
      <c r="AL1637" s="7">
        <f>ROUNDDOWN(MAX(AD1637*配置与结果!$B$31,AD1637-AE1637)*AF1637*AG1637*AH1637*AI1637,0)</f>
        <v>5810</v>
      </c>
      <c r="AM1637" s="7">
        <f>ROUNDDOWN(MAX(AD1637*配置与结果!$B$31,AD1637-AE1637)*AF1637*AG1637*AH1637*AI1637*AK1637,0)</f>
        <v>13353</v>
      </c>
      <c r="AN1637" s="7">
        <f t="shared" si="2268"/>
        <v>11542.68</v>
      </c>
      <c r="AO1637" s="7">
        <f>方案参数!$BW$48</f>
        <v>1</v>
      </c>
      <c r="AP1637" s="7">
        <f>MAX(0,1+INDEX(配置与结果!$J$15:$J$18,F1637)+IF(T1637&gt;0,方案参数!$BY$48,0)-配置与结果!$B$30)</f>
        <v>1</v>
      </c>
      <c r="AQ1637" s="7">
        <f t="shared" si="2269"/>
        <v>2544</v>
      </c>
      <c r="AR1637" s="7">
        <f t="shared" si="2270"/>
        <v>5846</v>
      </c>
      <c r="AS1637" s="7">
        <f t="shared" si="2271"/>
        <v>5053.5200000000004</v>
      </c>
      <c r="AT1637" s="7">
        <f>0</f>
        <v>0</v>
      </c>
      <c r="AU1637" s="7">
        <f t="shared" si="2272"/>
        <v>16596.2</v>
      </c>
      <c r="AV1637" s="1">
        <f t="shared" si="2273"/>
        <v>1</v>
      </c>
      <c r="AW1637" s="1">
        <f t="shared" si="2309"/>
        <v>8</v>
      </c>
      <c r="AX1637" s="1">
        <f t="shared" si="2274"/>
        <v>0</v>
      </c>
      <c r="AY1637" s="1">
        <f t="shared" si="2303"/>
        <v>6</v>
      </c>
      <c r="AZ1637" s="1">
        <f t="shared" si="2275"/>
        <v>5</v>
      </c>
      <c r="BA1637" s="1">
        <f>MIN(6,Q1637+0)</f>
        <v>3</v>
      </c>
      <c r="BB1637" s="1">
        <f t="shared" si="2296"/>
        <v>5</v>
      </c>
      <c r="BC1637" s="1">
        <f t="shared" si="2310"/>
        <v>2</v>
      </c>
      <c r="BD1637" s="1">
        <f t="shared" si="2304"/>
        <v>0</v>
      </c>
      <c r="BE1637" s="1">
        <f t="shared" si="2297"/>
        <v>0</v>
      </c>
      <c r="BF1637" s="1">
        <f>MIN(4,V1637+1)</f>
        <v>2</v>
      </c>
      <c r="BG1637" s="1">
        <f t="shared" si="2301"/>
        <v>1</v>
      </c>
      <c r="BH1637" s="1">
        <f t="shared" si="2298"/>
        <v>1</v>
      </c>
      <c r="BI1637" s="1">
        <f t="shared" si="2302"/>
        <v>1</v>
      </c>
      <c r="BJ1637" s="1">
        <f t="shared" si="2308"/>
        <v>1</v>
      </c>
      <c r="BK1637" s="1">
        <f t="shared" si="2308"/>
        <v>1</v>
      </c>
      <c r="BL1637" s="1">
        <f t="shared" si="2278"/>
        <v>0</v>
      </c>
      <c r="BM1637" s="1">
        <f t="shared" si="2276"/>
        <v>0</v>
      </c>
      <c r="BN1637" s="1">
        <f t="shared" si="2299"/>
        <v>1</v>
      </c>
      <c r="BO1637" s="1">
        <f t="shared" si="2300"/>
        <v>1</v>
      </c>
    </row>
    <row r="1638" spans="1:67" ht="30.95" customHeight="1">
      <c r="A1638" s="1">
        <f>45</f>
        <v>45</v>
      </c>
      <c r="B1638" s="1">
        <f>固定流程!A18</f>
        <v>13</v>
      </c>
      <c r="C1638" s="1">
        <f>48</f>
        <v>48</v>
      </c>
      <c r="D1638" s="1">
        <f>1</f>
        <v>1</v>
      </c>
      <c r="E1638" s="1">
        <f>固定流程!C18</f>
        <v>2</v>
      </c>
      <c r="F1638" s="1">
        <f>固定流程!G18</f>
        <v>3</v>
      </c>
      <c r="G1638" s="1" t="str">
        <f>固定流程!H18</f>
        <v>RHI_BERRY</v>
      </c>
      <c r="H1638" s="1">
        <f>固定流程!F18</f>
        <v>1</v>
      </c>
      <c r="I1638" s="1">
        <f>INDEX(配置与结果!$B$15:$B$18,F1638)</f>
        <v>2597</v>
      </c>
      <c r="J1638" s="1">
        <f>INDEX(配置与结果!$D$15:$D$18,F1638)</f>
        <v>0.255</v>
      </c>
      <c r="K1638" s="1">
        <f>INDEX(配置与结果!$E$15:$E$18,F1638)</f>
        <v>1.55</v>
      </c>
      <c r="L1638" s="1">
        <f t="shared" si="2306"/>
        <v>1</v>
      </c>
      <c r="M1638" s="1">
        <f t="shared" si="2306"/>
        <v>8</v>
      </c>
      <c r="N1638" s="1">
        <f t="shared" si="2306"/>
        <v>0</v>
      </c>
      <c r="O1638" s="1">
        <f t="shared" si="2305"/>
        <v>6</v>
      </c>
      <c r="P1638" s="1">
        <f>MIN(方案参数!$AI$48,AZ1637+0+0)</f>
        <v>5</v>
      </c>
      <c r="Q1638" s="1">
        <f t="shared" si="2283"/>
        <v>3</v>
      </c>
      <c r="R1638" s="1">
        <f t="shared" si="2284"/>
        <v>5</v>
      </c>
      <c r="S1638" s="1">
        <f t="shared" si="2285"/>
        <v>2</v>
      </c>
      <c r="T1638" s="1">
        <f t="shared" si="2286"/>
        <v>0</v>
      </c>
      <c r="U1638" s="1">
        <f t="shared" si="2287"/>
        <v>0</v>
      </c>
      <c r="V1638" s="1">
        <f t="shared" si="2288"/>
        <v>2</v>
      </c>
      <c r="W1638" s="1">
        <f t="shared" si="2289"/>
        <v>1</v>
      </c>
      <c r="X1638" s="1">
        <f t="shared" si="2290"/>
        <v>1</v>
      </c>
      <c r="Y1638" s="1">
        <f t="shared" si="2291"/>
        <v>1</v>
      </c>
      <c r="Z1638" s="1">
        <f t="shared" si="2292"/>
        <v>1</v>
      </c>
      <c r="AA1638" s="1">
        <f t="shared" si="2307"/>
        <v>1</v>
      </c>
      <c r="AB1638" s="1">
        <f t="shared" si="2294"/>
        <v>0</v>
      </c>
      <c r="AC1638" s="1">
        <f t="shared" si="2295"/>
        <v>0</v>
      </c>
      <c r="AD1638" s="1">
        <f>ROUNDDOWN(I1638*(1+IF(F1638=3,0.05+方案参数!$Y$48+AA1638*0.12,IF(F1638=4,方案参数!$BZ$48*方案参数!$AS$48,0)))+IF(AND(X1638=1,F1638&lt;&gt;3),方案参数!$CC$48,0)+AC1638*方案参数!$CB$48,0)</f>
        <v>3298</v>
      </c>
      <c r="AE1638" s="1">
        <f>IF(OR(F1638=1,F1638=4),配置与结果!$B$24,配置与结果!$B$25)*MAX(0,1-INDEX(配置与结果!$I$15:$I$18,F1638))</f>
        <v>1000</v>
      </c>
      <c r="AF1638" s="1">
        <f>方案参数!$CF$48+P1638*方案参数!$CG$48</f>
        <v>22.5</v>
      </c>
      <c r="AG1638" s="1">
        <f>MAX(配置与结果!$B$32,1+INDEX(配置与结果!$F$15:$F$18,F1638)+0+Q1638*方案参数!$W$48+Y1638*(方案参数!$AN$48+MIN(方案参数!$AO$48,P1638*0.03))+AB1638*方案参数!$BZ$48*0.025-配置与结果!$B$28)</f>
        <v>0.995</v>
      </c>
      <c r="AH1638" s="1">
        <f>MAX(0,1+INDEX(配置与结果!$G$15:$G$18,F1638)+W1638*方案参数!$AG$48)</f>
        <v>1.3</v>
      </c>
      <c r="AI1638" s="1">
        <f>IF(OR(INDEX(配置与结果!$K$15:$K$18,F1638)=1,G1638="RHI_BERRY"),1+配置与结果!$B$33+P1638*方案参数!$AH$48,1)</f>
        <v>1.5</v>
      </c>
      <c r="AJ1638" s="1">
        <f>MIN(1,MAX(0,J1638+方案参数!$AB$48-配置与结果!$B$27))</f>
        <v>0.55499999999999994</v>
      </c>
      <c r="AK1638" s="1">
        <f>MAX(1,K1638+IF(F1638=2,0.15+方案参数!$CH$48,0)+BN1638*方案参数!$X$48+R1638*方案参数!$AA$48+0-配置与结果!$B$26+Z1638*(方案参数!$AP$48+MIN(方案参数!$AQ$48,P1638*0.03)))</f>
        <v>1.6500000000000001</v>
      </c>
      <c r="AL1638" s="7">
        <f>ROUNDDOWN(MAX(AD1638*配置与结果!$B$31,AD1638-AE1638)*AF1638*AG1638*AH1638*AI1638,0)</f>
        <v>100320</v>
      </c>
      <c r="AM1638" s="7">
        <f>ROUNDDOWN(MAX(AD1638*配置与结果!$B$31,AD1638-AE1638)*AF1638*AG1638*AH1638*AI1638*AK1638,0)</f>
        <v>165529</v>
      </c>
      <c r="AN1638" s="7">
        <f t="shared" si="2268"/>
        <v>136510.995</v>
      </c>
      <c r="AO1638" s="7">
        <f>0</f>
        <v>0</v>
      </c>
      <c r="AP1638" s="7">
        <f>MAX(0,1+INDEX(配置与结果!$J$15:$J$18,F1638)+IF(T1638&gt;0,方案参数!$BY$48,0)-配置与结果!$B$30)</f>
        <v>1</v>
      </c>
      <c r="AQ1638" s="7">
        <f t="shared" si="2269"/>
        <v>0</v>
      </c>
      <c r="AR1638" s="7">
        <f t="shared" si="2270"/>
        <v>0</v>
      </c>
      <c r="AS1638" s="7">
        <f t="shared" si="2271"/>
        <v>0</v>
      </c>
      <c r="AT1638" s="7">
        <f>0</f>
        <v>0</v>
      </c>
      <c r="AU1638" s="7">
        <f t="shared" si="2272"/>
        <v>136510.995</v>
      </c>
      <c r="AV1638" s="1">
        <f t="shared" si="2273"/>
        <v>1</v>
      </c>
      <c r="AW1638" s="1">
        <f t="shared" si="2309"/>
        <v>8</v>
      </c>
      <c r="AX1638" s="1">
        <f t="shared" si="2274"/>
        <v>0</v>
      </c>
      <c r="AY1638" s="1">
        <f t="shared" si="2303"/>
        <v>6</v>
      </c>
      <c r="AZ1638" s="1">
        <f t="shared" si="2275"/>
        <v>5</v>
      </c>
      <c r="BA1638" s="1">
        <f>MIN(6,Q1638+0)</f>
        <v>3</v>
      </c>
      <c r="BB1638" s="1">
        <f t="shared" si="2296"/>
        <v>5</v>
      </c>
      <c r="BC1638" s="1">
        <f t="shared" si="2310"/>
        <v>2</v>
      </c>
      <c r="BD1638" s="1">
        <f t="shared" si="2304"/>
        <v>0</v>
      </c>
      <c r="BE1638" s="1">
        <f t="shared" si="2297"/>
        <v>0</v>
      </c>
      <c r="BF1638" s="1">
        <f>MIN(4,V1638+0)</f>
        <v>2</v>
      </c>
      <c r="BG1638" s="1">
        <f t="shared" si="2301"/>
        <v>1</v>
      </c>
      <c r="BH1638" s="1">
        <f t="shared" si="2298"/>
        <v>1</v>
      </c>
      <c r="BI1638" s="1">
        <f t="shared" si="2302"/>
        <v>1</v>
      </c>
      <c r="BJ1638" s="1">
        <f t="shared" si="2308"/>
        <v>1</v>
      </c>
      <c r="BK1638" s="1">
        <f t="shared" si="2308"/>
        <v>1</v>
      </c>
      <c r="BL1638" s="1">
        <f t="shared" si="2278"/>
        <v>0</v>
      </c>
      <c r="BM1638" s="1">
        <f t="shared" si="2276"/>
        <v>0</v>
      </c>
      <c r="BN1638" s="1">
        <f t="shared" si="2299"/>
        <v>1</v>
      </c>
      <c r="BO1638" s="1">
        <f t="shared" si="2300"/>
        <v>1</v>
      </c>
    </row>
    <row r="1639" spans="1:67" ht="30.95" customHeight="1">
      <c r="A1639" s="1">
        <f>45</f>
        <v>45</v>
      </c>
      <c r="B1639" s="1">
        <f>固定流程!A19</f>
        <v>14</v>
      </c>
      <c r="C1639" s="1">
        <f>48</f>
        <v>48</v>
      </c>
      <c r="D1639" s="1">
        <f>1</f>
        <v>1</v>
      </c>
      <c r="E1639" s="1">
        <f>固定流程!C19</f>
        <v>3</v>
      </c>
      <c r="F1639" s="1">
        <f>固定流程!G19</f>
        <v>3</v>
      </c>
      <c r="G1639" s="1" t="str">
        <f>固定流程!H19</f>
        <v>RHI_BUFF</v>
      </c>
      <c r="H1639" s="1">
        <f>固定流程!F19</f>
        <v>1</v>
      </c>
      <c r="I1639" s="1">
        <f>INDEX(配置与结果!$B$15:$B$18,F1639)</f>
        <v>2597</v>
      </c>
      <c r="J1639" s="1">
        <f>INDEX(配置与结果!$D$15:$D$18,F1639)</f>
        <v>0.255</v>
      </c>
      <c r="K1639" s="1">
        <f>INDEX(配置与结果!$E$15:$E$18,F1639)</f>
        <v>1.55</v>
      </c>
      <c r="L1639" s="1">
        <f>IF(AV1638=1,IF(M1639&gt;=10,2,1),IF(AV1638=2,IF(AX1638&lt;=1,0,2),0))</f>
        <v>2</v>
      </c>
      <c r="M1639" s="1">
        <f>IF(AND(AV1638=2,AX1638&lt;=1),0,MIN(10,AW1638+IF(AV1638=1,3,0)))</f>
        <v>10</v>
      </c>
      <c r="N1639" s="1">
        <f>IF(AND(AV1638=1,M1639&gt;=10),2,IF(AV1638=2,MAX(0,AX1638-1),0))</f>
        <v>2</v>
      </c>
      <c r="O1639" s="1">
        <f t="shared" si="2305"/>
        <v>6</v>
      </c>
      <c r="P1639" s="1">
        <f>MIN(方案参数!$AI$48,AZ1638+方案参数!$AJ$48+方案参数!$AK$48)</f>
        <v>5</v>
      </c>
      <c r="Q1639" s="1">
        <f t="shared" si="2283"/>
        <v>3</v>
      </c>
      <c r="R1639" s="1">
        <f t="shared" si="2284"/>
        <v>5</v>
      </c>
      <c r="S1639" s="1">
        <f t="shared" si="2285"/>
        <v>2</v>
      </c>
      <c r="T1639" s="1">
        <f t="shared" si="2286"/>
        <v>0</v>
      </c>
      <c r="U1639" s="1">
        <f t="shared" si="2287"/>
        <v>0</v>
      </c>
      <c r="V1639" s="1">
        <f t="shared" si="2288"/>
        <v>2</v>
      </c>
      <c r="W1639" s="1">
        <f t="shared" si="2289"/>
        <v>1</v>
      </c>
      <c r="X1639" s="1">
        <f t="shared" si="2290"/>
        <v>1</v>
      </c>
      <c r="Y1639" s="1">
        <f t="shared" si="2291"/>
        <v>1</v>
      </c>
      <c r="Z1639" s="1">
        <f t="shared" si="2292"/>
        <v>1</v>
      </c>
      <c r="AA1639" s="1">
        <f t="shared" si="2307"/>
        <v>1</v>
      </c>
      <c r="AB1639" s="1">
        <f t="shared" si="2294"/>
        <v>0</v>
      </c>
      <c r="AC1639" s="1">
        <f t="shared" si="2295"/>
        <v>0</v>
      </c>
      <c r="AD1639" s="1">
        <f>ROUNDDOWN(I1639*(1+IF(F1639=3,0.05+方案参数!$Y$48+AA1639*0.12,IF(F1639=4,方案参数!$BZ$48*方案参数!$AS$48,0)))+IF(AND(X1639=1,F1639&lt;&gt;3),方案参数!$CC$48,0)+AC1639*方案参数!$CB$48,0)</f>
        <v>3298</v>
      </c>
      <c r="AE1639" s="1">
        <f>IF(OR(F1639=1,F1639=4),配置与结果!$B$24,配置与结果!$B$25)*MAX(0,1-INDEX(配置与结果!$I$15:$I$18,F1639))</f>
        <v>1000</v>
      </c>
      <c r="AF1639" s="1">
        <f>0</f>
        <v>0</v>
      </c>
      <c r="AG1639" s="1">
        <f>MAX(配置与结果!$B$32,1+INDEX(配置与结果!$F$15:$F$18,F1639)+0+Q1639*方案参数!$W$48+Y1639*(方案参数!$AN$48+MIN(方案参数!$AO$48,P1639*0.03))+AB1639*方案参数!$BZ$48*0.025-配置与结果!$B$28)</f>
        <v>0.995</v>
      </c>
      <c r="AH1639" s="1">
        <f>MAX(0,1+INDEX(配置与结果!$G$15:$G$18,F1639)+W1639*方案参数!$AG$48)</f>
        <v>1.3</v>
      </c>
      <c r="AI1639" s="1">
        <f>IF(OR(INDEX(配置与结果!$K$15:$K$18,F1639)=1,G1639="RHI_BERRY"),1+配置与结果!$B$33+P1639*方案参数!$AH$48,1)</f>
        <v>1</v>
      </c>
      <c r="AJ1639" s="1">
        <f>MIN(1,MAX(0,J1639+方案参数!$AB$48-配置与结果!$B$27))</f>
        <v>0.55499999999999994</v>
      </c>
      <c r="AK1639" s="1">
        <f>MAX(1,K1639+IF(F1639=2,0.15+方案参数!$CH$48,0)+BN1639*方案参数!$X$48+R1639*方案参数!$AA$48+0-配置与结果!$B$26+Z1639*(方案参数!$AP$48+MIN(方案参数!$AQ$48,P1639*0.03)))</f>
        <v>1.6500000000000001</v>
      </c>
      <c r="AL1639" s="7">
        <f>ROUNDDOWN(MAX(AD1639*配置与结果!$B$31,AD1639-AE1639)*AF1639*AG1639*AH1639*AI1639,0)</f>
        <v>0</v>
      </c>
      <c r="AM1639" s="7">
        <f>ROUNDDOWN(MAX(AD1639*配置与结果!$B$31,AD1639-AE1639)*AF1639*AG1639*AH1639*AI1639*AK1639,0)</f>
        <v>0</v>
      </c>
      <c r="AN1639" s="7">
        <f t="shared" si="2268"/>
        <v>0</v>
      </c>
      <c r="AO1639" s="7">
        <f>0</f>
        <v>0</v>
      </c>
      <c r="AP1639" s="7">
        <f>MAX(0,1+INDEX(配置与结果!$J$15:$J$18,F1639)+IF(T1639&gt;0,方案参数!$BY$48,0)-配置与结果!$B$30)</f>
        <v>1</v>
      </c>
      <c r="AQ1639" s="7">
        <f t="shared" si="2269"/>
        <v>0</v>
      </c>
      <c r="AR1639" s="7">
        <f t="shared" si="2270"/>
        <v>0</v>
      </c>
      <c r="AS1639" s="7">
        <f t="shared" si="2271"/>
        <v>0</v>
      </c>
      <c r="AT1639" s="7">
        <f>0</f>
        <v>0</v>
      </c>
      <c r="AU1639" s="7">
        <f t="shared" si="2272"/>
        <v>0</v>
      </c>
      <c r="AV1639" s="1">
        <f t="shared" si="2273"/>
        <v>2</v>
      </c>
      <c r="AW1639" s="1">
        <f t="shared" si="2309"/>
        <v>10</v>
      </c>
      <c r="AX1639" s="1">
        <f t="shared" si="2274"/>
        <v>2</v>
      </c>
      <c r="AY1639" s="1">
        <f t="shared" si="2303"/>
        <v>6</v>
      </c>
      <c r="AZ1639" s="1">
        <f t="shared" si="2275"/>
        <v>5</v>
      </c>
      <c r="BA1639" s="1">
        <f>MIN(6,Q1639+1)</f>
        <v>4</v>
      </c>
      <c r="BB1639" s="1">
        <f t="shared" si="2296"/>
        <v>5</v>
      </c>
      <c r="BC1639" s="1">
        <f t="shared" si="2310"/>
        <v>2</v>
      </c>
      <c r="BD1639" s="1">
        <f t="shared" si="2304"/>
        <v>0</v>
      </c>
      <c r="BE1639" s="1">
        <f t="shared" si="2297"/>
        <v>0</v>
      </c>
      <c r="BF1639" s="1">
        <f>MIN(4,V1639+0)</f>
        <v>2</v>
      </c>
      <c r="BG1639" s="1">
        <f>MAX(W1639,1)</f>
        <v>1</v>
      </c>
      <c r="BH1639" s="1">
        <f t="shared" si="2298"/>
        <v>1</v>
      </c>
      <c r="BI1639" s="1">
        <f>MAX(Y1639,1)</f>
        <v>1</v>
      </c>
      <c r="BJ1639" s="1">
        <f t="shared" si="2308"/>
        <v>1</v>
      </c>
      <c r="BK1639" s="1">
        <f t="shared" si="2308"/>
        <v>1</v>
      </c>
      <c r="BL1639" s="1">
        <f t="shared" si="2278"/>
        <v>0</v>
      </c>
      <c r="BM1639" s="1">
        <f t="shared" si="2276"/>
        <v>0</v>
      </c>
      <c r="BN1639" s="1">
        <f t="shared" si="2299"/>
        <v>1</v>
      </c>
      <c r="BO1639" s="1">
        <f t="shared" si="2300"/>
        <v>1</v>
      </c>
    </row>
    <row r="1640" spans="1:67" ht="30.95" customHeight="1">
      <c r="A1640" s="1">
        <f>45</f>
        <v>45</v>
      </c>
      <c r="B1640" s="1">
        <f>固定流程!A20</f>
        <v>15</v>
      </c>
      <c r="C1640" s="1">
        <f>48</f>
        <v>48</v>
      </c>
      <c r="D1640" s="1">
        <f>1</f>
        <v>1</v>
      </c>
      <c r="E1640" s="1">
        <f>固定流程!C20</f>
        <v>3</v>
      </c>
      <c r="F1640" s="1">
        <f>固定流程!G20</f>
        <v>3</v>
      </c>
      <c r="G1640" s="1" t="str">
        <f>固定流程!H20</f>
        <v>RHI_ATTACK</v>
      </c>
      <c r="H1640" s="1">
        <f>固定流程!F20</f>
        <v>1</v>
      </c>
      <c r="I1640" s="1">
        <f>INDEX(配置与结果!$B$15:$B$18,F1640)</f>
        <v>2597</v>
      </c>
      <c r="J1640" s="1">
        <f>INDEX(配置与结果!$D$15:$D$18,F1640)</f>
        <v>0.255</v>
      </c>
      <c r="K1640" s="1">
        <f>INDEX(配置与结果!$E$15:$E$18,F1640)</f>
        <v>1.55</v>
      </c>
      <c r="L1640" s="1">
        <f t="shared" ref="L1640:L1661" si="2311">AV1639</f>
        <v>2</v>
      </c>
      <c r="M1640" s="1">
        <f t="shared" ref="M1640:M1661" si="2312">AW1639</f>
        <v>10</v>
      </c>
      <c r="N1640" s="1">
        <f t="shared" ref="N1640:N1661" si="2313">AX1639</f>
        <v>2</v>
      </c>
      <c r="O1640" s="1">
        <f t="shared" si="2305"/>
        <v>6</v>
      </c>
      <c r="P1640" s="1">
        <f>MIN(方案参数!$AI$48,AZ1639+0+方案参数!$AK$48)</f>
        <v>5</v>
      </c>
      <c r="Q1640" s="1">
        <f t="shared" si="2283"/>
        <v>4</v>
      </c>
      <c r="R1640" s="1">
        <f t="shared" si="2284"/>
        <v>5</v>
      </c>
      <c r="S1640" s="1">
        <f t="shared" si="2285"/>
        <v>2</v>
      </c>
      <c r="T1640" s="1">
        <f t="shared" si="2286"/>
        <v>0</v>
      </c>
      <c r="U1640" s="1">
        <f t="shared" si="2287"/>
        <v>0</v>
      </c>
      <c r="V1640" s="1">
        <f t="shared" si="2288"/>
        <v>2</v>
      </c>
      <c r="W1640" s="1">
        <f t="shared" si="2289"/>
        <v>1</v>
      </c>
      <c r="X1640" s="1">
        <f t="shared" si="2290"/>
        <v>1</v>
      </c>
      <c r="Y1640" s="1">
        <f t="shared" si="2291"/>
        <v>1</v>
      </c>
      <c r="Z1640" s="1">
        <f t="shared" si="2292"/>
        <v>1</v>
      </c>
      <c r="AA1640" s="1">
        <f>MAX(BK1639,1)</f>
        <v>1</v>
      </c>
      <c r="AB1640" s="1">
        <f t="shared" si="2294"/>
        <v>0</v>
      </c>
      <c r="AC1640" s="1">
        <f t="shared" si="2295"/>
        <v>0</v>
      </c>
      <c r="AD1640" s="1">
        <f>ROUNDDOWN(I1640*(1+IF(F1640=3,0.05+方案参数!$Y$48+AA1640*0.12,IF(F1640=4,方案参数!$BZ$48*方案参数!$AS$48,0)))+IF(AND(X1640=1,F1640&lt;&gt;3),方案参数!$CC$48,0)+AC1640*方案参数!$CB$48,0)</f>
        <v>3298</v>
      </c>
      <c r="AE1640" s="1">
        <f>IF(OR(F1640=1,F1640=4),配置与结果!$B$24,配置与结果!$B$25)*MAX(0,1-INDEX(配置与结果!$I$15:$I$18,F1640))</f>
        <v>1000</v>
      </c>
      <c r="AF1640" s="1">
        <f>4</f>
        <v>4</v>
      </c>
      <c r="AG1640" s="1">
        <f>MAX(配置与结果!$B$32,1+INDEX(配置与结果!$F$15:$F$18,F1640)+0+Q1640*方案参数!$W$48+Y1640*(方案参数!$AN$48+MIN(方案参数!$AO$48,P1640*0.03))+AB1640*方案参数!$BZ$48*0.025-配置与结果!$B$28)</f>
        <v>1.0150000000000001</v>
      </c>
      <c r="AH1640" s="1">
        <f>MAX(0,1+INDEX(配置与结果!$G$15:$G$18,F1640)+W1640*方案参数!$AG$48)</f>
        <v>1.3</v>
      </c>
      <c r="AI1640" s="1">
        <f>IF(OR(INDEX(配置与结果!$K$15:$K$18,F1640)=1,G1640="RHI_BERRY"),1+配置与结果!$B$33+P1640*方案参数!$AH$48,1)</f>
        <v>1</v>
      </c>
      <c r="AJ1640" s="1">
        <f>MIN(1,MAX(0,J1640+方案参数!$AB$48-配置与结果!$B$27))</f>
        <v>0.55499999999999994</v>
      </c>
      <c r="AK1640" s="1">
        <f>MAX(1,K1640+IF(F1640=2,0.15+方案参数!$CH$48,0)+BN1640*方案参数!$X$48+R1640*方案参数!$AA$48+0-配置与结果!$B$26+Z1640*(方案参数!$AP$48+MIN(方案参数!$AQ$48,P1640*0.03)))</f>
        <v>1.6500000000000001</v>
      </c>
      <c r="AL1640" s="7">
        <f>ROUNDDOWN(MAX(AD1640*配置与结果!$B$31,AD1640-AE1640)*AF1640*AG1640*AH1640*AI1640,0)</f>
        <v>12128</v>
      </c>
      <c r="AM1640" s="7">
        <f>ROUNDDOWN(MAX(AD1640*配置与结果!$B$31,AD1640-AE1640)*AF1640*AG1640*AH1640*AI1640*AK1640,0)</f>
        <v>20012</v>
      </c>
      <c r="AN1640" s="7">
        <f t="shared" si="2268"/>
        <v>16503.62</v>
      </c>
      <c r="AO1640" s="7">
        <f>0</f>
        <v>0</v>
      </c>
      <c r="AP1640" s="7">
        <f>MAX(0,1+INDEX(配置与结果!$J$15:$J$18,F1640)+IF(T1640&gt;0,方案参数!$BY$48,0)-配置与结果!$B$30)</f>
        <v>1</v>
      </c>
      <c r="AQ1640" s="7">
        <f t="shared" si="2269"/>
        <v>0</v>
      </c>
      <c r="AR1640" s="7">
        <f t="shared" si="2270"/>
        <v>0</v>
      </c>
      <c r="AS1640" s="7">
        <f t="shared" si="2271"/>
        <v>0</v>
      </c>
      <c r="AT1640" s="7">
        <f>0</f>
        <v>0</v>
      </c>
      <c r="AU1640" s="7">
        <f t="shared" si="2272"/>
        <v>16503.62</v>
      </c>
      <c r="AV1640" s="1">
        <f t="shared" si="2273"/>
        <v>2</v>
      </c>
      <c r="AW1640" s="1">
        <f t="shared" si="2309"/>
        <v>10</v>
      </c>
      <c r="AX1640" s="1">
        <f t="shared" si="2274"/>
        <v>2</v>
      </c>
      <c r="AY1640" s="1">
        <f t="shared" si="2303"/>
        <v>6</v>
      </c>
      <c r="AZ1640" s="1">
        <f t="shared" si="2275"/>
        <v>5</v>
      </c>
      <c r="BA1640" s="1">
        <f>MIN(6,Q1640+1)</f>
        <v>5</v>
      </c>
      <c r="BB1640" s="1">
        <f t="shared" si="2296"/>
        <v>5</v>
      </c>
      <c r="BC1640" s="1">
        <f t="shared" si="2310"/>
        <v>2</v>
      </c>
      <c r="BD1640" s="1">
        <f t="shared" si="2304"/>
        <v>0</v>
      </c>
      <c r="BE1640" s="1">
        <f t="shared" si="2297"/>
        <v>0</v>
      </c>
      <c r="BF1640" s="1">
        <f>MIN(4,V1640+0)</f>
        <v>2</v>
      </c>
      <c r="BG1640" s="1">
        <f t="shared" ref="BG1640:BG1661" si="2314">MAX(W1640,0)</f>
        <v>1</v>
      </c>
      <c r="BH1640" s="1">
        <f t="shared" si="2298"/>
        <v>1</v>
      </c>
      <c r="BI1640" s="1">
        <f t="shared" ref="BI1640:BI1661" si="2315">MAX(Y1640,0)</f>
        <v>1</v>
      </c>
      <c r="BJ1640" s="1">
        <f>MAX(Z1640,1)</f>
        <v>1</v>
      </c>
      <c r="BK1640" s="1">
        <f>MAX(AA1640,1)</f>
        <v>1</v>
      </c>
      <c r="BL1640" s="1">
        <f t="shared" si="2278"/>
        <v>0</v>
      </c>
      <c r="BM1640" s="1">
        <f t="shared" si="2276"/>
        <v>0</v>
      </c>
      <c r="BN1640" s="1">
        <f t="shared" si="2299"/>
        <v>1</v>
      </c>
      <c r="BO1640" s="1">
        <f t="shared" si="2300"/>
        <v>1</v>
      </c>
    </row>
    <row r="1641" spans="1:67" ht="30.95" customHeight="1">
      <c r="A1641" s="1">
        <f>45</f>
        <v>45</v>
      </c>
      <c r="B1641" s="1">
        <f>固定流程!A21</f>
        <v>16</v>
      </c>
      <c r="C1641" s="1">
        <f>48</f>
        <v>48</v>
      </c>
      <c r="D1641" s="1">
        <f>1</f>
        <v>1</v>
      </c>
      <c r="E1641" s="1">
        <f>固定流程!C21</f>
        <v>3</v>
      </c>
      <c r="F1641" s="1">
        <f>固定流程!G21</f>
        <v>2</v>
      </c>
      <c r="G1641" s="1" t="str">
        <f>固定流程!H21</f>
        <v>37_ULT</v>
      </c>
      <c r="H1641" s="1">
        <f>固定流程!F21</f>
        <v>1</v>
      </c>
      <c r="I1641" s="1">
        <f>INDEX(配置与结果!$B$15:$B$18,F1641)</f>
        <v>2306</v>
      </c>
      <c r="J1641" s="1">
        <f>INDEX(配置与结果!$D$15:$D$18,F1641)</f>
        <v>0.46</v>
      </c>
      <c r="K1641" s="1">
        <f>INDEX(配置与结果!$E$15:$E$18,F1641)</f>
        <v>1.9279999999999999</v>
      </c>
      <c r="L1641" s="1">
        <f t="shared" si="2311"/>
        <v>2</v>
      </c>
      <c r="M1641" s="1">
        <f t="shared" si="2312"/>
        <v>10</v>
      </c>
      <c r="N1641" s="1">
        <f t="shared" si="2313"/>
        <v>2</v>
      </c>
      <c r="O1641" s="1">
        <f t="shared" si="2305"/>
        <v>6</v>
      </c>
      <c r="P1641" s="1">
        <f>MIN(方案参数!$AI$48,AZ1640+0+0)</f>
        <v>5</v>
      </c>
      <c r="Q1641" s="1">
        <f t="shared" si="2283"/>
        <v>5</v>
      </c>
      <c r="R1641" s="1">
        <f t="shared" si="2284"/>
        <v>5</v>
      </c>
      <c r="S1641" s="1">
        <f t="shared" si="2285"/>
        <v>2</v>
      </c>
      <c r="T1641" s="1">
        <f>BD1640+方案参数!$BX$48</f>
        <v>2</v>
      </c>
      <c r="U1641" s="1">
        <f t="shared" si="2287"/>
        <v>0</v>
      </c>
      <c r="V1641" s="1">
        <f t="shared" si="2288"/>
        <v>2</v>
      </c>
      <c r="W1641" s="1">
        <f t="shared" si="2289"/>
        <v>1</v>
      </c>
      <c r="X1641" s="1">
        <f t="shared" si="2290"/>
        <v>1</v>
      </c>
      <c r="Y1641" s="1">
        <f t="shared" si="2291"/>
        <v>1</v>
      </c>
      <c r="Z1641" s="1">
        <f t="shared" si="2292"/>
        <v>1</v>
      </c>
      <c r="AA1641" s="1">
        <f t="shared" ref="AA1641:AA1661" si="2316">MAX(BK1640,0)</f>
        <v>1</v>
      </c>
      <c r="AB1641" s="1">
        <f t="shared" si="2294"/>
        <v>0</v>
      </c>
      <c r="AC1641" s="1">
        <f>MAX(BM1640,1)</f>
        <v>1</v>
      </c>
      <c r="AD1641" s="1">
        <f>ROUNDDOWN(I1641*(1+IF(F1641=3,0.05+方案参数!$Y$48+AA1641*0.12,IF(F1641=4,方案参数!$BZ$48*方案参数!$AS$48,0)))+IF(AND(X1641=1,F1641&lt;&gt;3),方案参数!$CC$48,0)+AC1641*方案参数!$CB$48,0)</f>
        <v>3044</v>
      </c>
      <c r="AE1641" s="1">
        <f>IF(OR(F1641=1,F1641=4),配置与结果!$B$24,配置与结果!$B$25)*MAX(0,1-INDEX(配置与结果!$I$15:$I$18,F1641))</f>
        <v>1000</v>
      </c>
      <c r="AF1641" s="1">
        <f>0</f>
        <v>0</v>
      </c>
      <c r="AG1641" s="1">
        <f>MAX(配置与结果!$B$32,1+INDEX(配置与结果!$F$15:$F$18,F1641)+0+Q1641*方案参数!$W$48+Y1641*(方案参数!$AN$48+MIN(方案参数!$AO$48,P1641*0.03))+AB1641*方案参数!$BZ$48*0.025-配置与结果!$B$28)</f>
        <v>1.0049999999999999</v>
      </c>
      <c r="AH1641" s="1">
        <f>MAX(0,1+INDEX(配置与结果!$G$15:$G$18,F1641)+W1641*方案参数!$AG$48)</f>
        <v>1.3</v>
      </c>
      <c r="AI1641" s="1">
        <f>IF(OR(INDEX(配置与结果!$K$15:$K$18,F1641)=1,G1641="RHI_BERRY"),1+配置与结果!$B$33+P1641*方案参数!$AH$48,1)</f>
        <v>1</v>
      </c>
      <c r="AJ1641" s="1">
        <f>MIN(1,MAX(0,J1641+方案参数!$AB$48-配置与结果!$B$27))</f>
        <v>0.76</v>
      </c>
      <c r="AK1641" s="1">
        <f>MAX(1,K1641+IF(F1641=2,0.15+方案参数!$CH$48,0)+BN1641*方案参数!$X$48+R1641*方案参数!$AA$48+0-配置与结果!$B$26+Z1641*(方案参数!$AP$48+MIN(方案参数!$AQ$48,P1641*0.03)))</f>
        <v>2.298</v>
      </c>
      <c r="AL1641" s="7">
        <f>ROUNDDOWN(MAX(AD1641*配置与结果!$B$31,AD1641-AE1641)*AF1641*AG1641*AH1641*AI1641,0)</f>
        <v>0</v>
      </c>
      <c r="AM1641" s="7">
        <f>ROUNDDOWN(MAX(AD1641*配置与结果!$B$31,AD1641-AE1641)*AF1641*AG1641*AH1641*AI1641*AK1641,0)</f>
        <v>0</v>
      </c>
      <c r="AN1641" s="7">
        <f t="shared" si="2268"/>
        <v>0</v>
      </c>
      <c r="AO1641" s="7">
        <f>0</f>
        <v>0</v>
      </c>
      <c r="AP1641" s="7">
        <f>MAX(0,1+INDEX(配置与结果!$J$15:$J$18,F1641)+IF(T1641&gt;0,方案参数!$BY$48,0)-配置与结果!$B$30)</f>
        <v>2</v>
      </c>
      <c r="AQ1641" s="7">
        <f t="shared" si="2269"/>
        <v>0</v>
      </c>
      <c r="AR1641" s="7">
        <f t="shared" si="2270"/>
        <v>0</v>
      </c>
      <c r="AS1641" s="7">
        <f t="shared" si="2271"/>
        <v>0</v>
      </c>
      <c r="AT1641" s="7">
        <f>0</f>
        <v>0</v>
      </c>
      <c r="AU1641" s="7">
        <f t="shared" si="2272"/>
        <v>0</v>
      </c>
      <c r="AV1641" s="1">
        <f t="shared" si="2273"/>
        <v>2</v>
      </c>
      <c r="AW1641" s="1">
        <f t="shared" si="2309"/>
        <v>10</v>
      </c>
      <c r="AX1641" s="1">
        <f t="shared" si="2274"/>
        <v>2</v>
      </c>
      <c r="AY1641" s="1">
        <f t="shared" si="2303"/>
        <v>6</v>
      </c>
      <c r="AZ1641" s="1">
        <f t="shared" si="2275"/>
        <v>5</v>
      </c>
      <c r="BA1641" s="1">
        <f t="shared" ref="BA1641:BA1661" si="2317">MIN(6,Q1641+0)</f>
        <v>5</v>
      </c>
      <c r="BB1641" s="1">
        <f>MIN(30,R1641+5)</f>
        <v>10</v>
      </c>
      <c r="BC1641" s="1">
        <f t="shared" si="2310"/>
        <v>2</v>
      </c>
      <c r="BD1641" s="1">
        <f t="shared" si="2304"/>
        <v>2</v>
      </c>
      <c r="BE1641" s="1">
        <f t="shared" si="2297"/>
        <v>0</v>
      </c>
      <c r="BF1641" s="1">
        <f>MIN(4,V1641+0)</f>
        <v>2</v>
      </c>
      <c r="BG1641" s="1">
        <f t="shared" si="2314"/>
        <v>1</v>
      </c>
      <c r="BH1641" s="1">
        <f t="shared" si="2298"/>
        <v>1</v>
      </c>
      <c r="BI1641" s="1">
        <f t="shared" si="2315"/>
        <v>1</v>
      </c>
      <c r="BJ1641" s="1">
        <f t="shared" ref="BJ1641:BJ1661" si="2318">MAX(Z1641,0)</f>
        <v>1</v>
      </c>
      <c r="BK1641" s="1">
        <f t="shared" ref="BK1641:BK1661" si="2319">MAX(AA1641,0)</f>
        <v>1</v>
      </c>
      <c r="BL1641" s="1">
        <f t="shared" si="2278"/>
        <v>0</v>
      </c>
      <c r="BM1641" s="1">
        <f>MAX(AC1641,1)</f>
        <v>1</v>
      </c>
      <c r="BN1641" s="1">
        <f t="shared" si="2299"/>
        <v>1</v>
      </c>
      <c r="BO1641" s="1">
        <f t="shared" si="2300"/>
        <v>1</v>
      </c>
    </row>
    <row r="1642" spans="1:67" ht="30.95" customHeight="1">
      <c r="A1642" s="1">
        <f>45</f>
        <v>45</v>
      </c>
      <c r="B1642" s="1">
        <f>固定流程!A22</f>
        <v>17</v>
      </c>
      <c r="C1642" s="1">
        <f>48</f>
        <v>48</v>
      </c>
      <c r="D1642" s="1">
        <f>1</f>
        <v>1</v>
      </c>
      <c r="E1642" s="1">
        <f>固定流程!C22</f>
        <v>3</v>
      </c>
      <c r="F1642" s="1">
        <f>固定流程!G22</f>
        <v>2</v>
      </c>
      <c r="G1642" s="1" t="str">
        <f>固定流程!H22</f>
        <v>37_FOLLOW</v>
      </c>
      <c r="H1642" s="1">
        <f>固定流程!F22</f>
        <v>1</v>
      </c>
      <c r="I1642" s="1">
        <f>INDEX(配置与结果!$B$15:$B$18,F1642)</f>
        <v>2306</v>
      </c>
      <c r="J1642" s="1">
        <f>INDEX(配置与结果!$D$15:$D$18,F1642)</f>
        <v>0.46</v>
      </c>
      <c r="K1642" s="1">
        <f>INDEX(配置与结果!$E$15:$E$18,F1642)</f>
        <v>1.9279999999999999</v>
      </c>
      <c r="L1642" s="1">
        <f t="shared" si="2311"/>
        <v>2</v>
      </c>
      <c r="M1642" s="1">
        <f t="shared" si="2312"/>
        <v>10</v>
      </c>
      <c r="N1642" s="1">
        <f t="shared" si="2313"/>
        <v>2</v>
      </c>
      <c r="O1642" s="1">
        <f t="shared" si="2305"/>
        <v>6</v>
      </c>
      <c r="P1642" s="1">
        <f>MIN(方案参数!$AI$48,AZ1641+0+0)</f>
        <v>5</v>
      </c>
      <c r="Q1642" s="1">
        <f t="shared" si="2283"/>
        <v>5</v>
      </c>
      <c r="R1642" s="1">
        <f t="shared" si="2284"/>
        <v>10</v>
      </c>
      <c r="S1642" s="1">
        <f t="shared" si="2285"/>
        <v>2</v>
      </c>
      <c r="T1642" s="1">
        <f t="shared" ref="T1642:T1661" si="2320">BD1641+0</f>
        <v>2</v>
      </c>
      <c r="U1642" s="1">
        <f t="shared" si="2287"/>
        <v>0</v>
      </c>
      <c r="V1642" s="1">
        <f t="shared" si="2288"/>
        <v>2</v>
      </c>
      <c r="W1642" s="1">
        <f t="shared" si="2289"/>
        <v>1</v>
      </c>
      <c r="X1642" s="1">
        <f t="shared" si="2290"/>
        <v>1</v>
      </c>
      <c r="Y1642" s="1">
        <f t="shared" si="2291"/>
        <v>1</v>
      </c>
      <c r="Z1642" s="1">
        <f t="shared" si="2292"/>
        <v>1</v>
      </c>
      <c r="AA1642" s="1">
        <f t="shared" si="2316"/>
        <v>1</v>
      </c>
      <c r="AB1642" s="1">
        <f t="shared" si="2294"/>
        <v>0</v>
      </c>
      <c r="AC1642" s="1">
        <f t="shared" ref="AC1642:AC1661" si="2321">MAX(BM1641,0)</f>
        <v>1</v>
      </c>
      <c r="AD1642" s="1">
        <f>ROUNDDOWN(I1642*(1+IF(F1642=3,0.05+方案参数!$Y$48+AA1642*0.12,IF(F1642=4,方案参数!$BZ$48*方案参数!$AS$48,0)))+IF(AND(X1642=1,F1642&lt;&gt;3),方案参数!$CC$48,0)+AC1642*方案参数!$CB$48,0)</f>
        <v>3044</v>
      </c>
      <c r="AE1642" s="1">
        <f>IF(OR(F1642=1,F1642=4),配置与结果!$B$24,配置与结果!$B$25)*MAX(0,1-INDEX(配置与结果!$I$15:$I$18,F1642))</f>
        <v>1000</v>
      </c>
      <c r="AF1642" s="1">
        <f>方案参数!$BV$48</f>
        <v>3</v>
      </c>
      <c r="AG1642" s="1">
        <f>MAX(配置与结果!$B$32,1+INDEX(配置与结果!$F$15:$F$18,F1642)+0+Q1642*方案参数!$W$48+Y1642*(方案参数!$AN$48+MIN(方案参数!$AO$48,P1642*0.03))+AB1642*方案参数!$BZ$48*0.025-配置与结果!$B$28)</f>
        <v>1.0049999999999999</v>
      </c>
      <c r="AH1642" s="1">
        <f>MAX(0,1+INDEX(配置与结果!$G$15:$G$18,F1642)+W1642*方案参数!$AG$48)</f>
        <v>1.3</v>
      </c>
      <c r="AI1642" s="1">
        <f>IF(OR(INDEX(配置与结果!$K$15:$K$18,F1642)=1,G1642="RHI_BERRY"),1+配置与结果!$B$33+P1642*方案参数!$AH$48,1)</f>
        <v>1</v>
      </c>
      <c r="AJ1642" s="1">
        <f>MIN(1,MAX(0,J1642+方案参数!$AB$48-配置与结果!$B$27))</f>
        <v>0.76</v>
      </c>
      <c r="AK1642" s="1">
        <f>MAX(1,K1642+IF(F1642=2,0.15+方案参数!$CH$48,0)+BN1642*方案参数!$X$48+R1642*方案参数!$AA$48+0-配置与结果!$B$26+Z1642*(方案参数!$AP$48+MIN(方案参数!$AQ$48,P1642*0.03)))</f>
        <v>2.3380000000000001</v>
      </c>
      <c r="AL1642" s="7">
        <f>ROUNDDOWN(MAX(AD1642*配置与结果!$B$31,AD1642-AE1642)*AF1642*AG1642*AH1642*AI1642,0)</f>
        <v>8011</v>
      </c>
      <c r="AM1642" s="7">
        <f>ROUNDDOWN(MAX(AD1642*配置与结果!$B$31,AD1642-AE1642)*AF1642*AG1642*AH1642*AI1642*AK1642,0)</f>
        <v>18730</v>
      </c>
      <c r="AN1642" s="7">
        <f t="shared" si="2268"/>
        <v>16157.439999999999</v>
      </c>
      <c r="AO1642" s="7">
        <f>方案参数!$BW$48</f>
        <v>1</v>
      </c>
      <c r="AP1642" s="7">
        <f>MAX(0,1+INDEX(配置与结果!$J$15:$J$18,F1642)+IF(T1642&gt;0,方案参数!$BY$48,0)-配置与结果!$B$30)</f>
        <v>2</v>
      </c>
      <c r="AQ1642" s="7">
        <f t="shared" si="2269"/>
        <v>6088</v>
      </c>
      <c r="AR1642" s="7">
        <f t="shared" si="2270"/>
        <v>14233</v>
      </c>
      <c r="AS1642" s="7">
        <f t="shared" si="2271"/>
        <v>12278.2</v>
      </c>
      <c r="AT1642" s="7">
        <f>0</f>
        <v>0</v>
      </c>
      <c r="AU1642" s="7">
        <f t="shared" si="2272"/>
        <v>28435.64</v>
      </c>
      <c r="AV1642" s="1">
        <f t="shared" si="2273"/>
        <v>2</v>
      </c>
      <c r="AW1642" s="1">
        <f t="shared" si="2309"/>
        <v>10</v>
      </c>
      <c r="AX1642" s="1">
        <f t="shared" si="2274"/>
        <v>2</v>
      </c>
      <c r="AY1642" s="1">
        <f t="shared" si="2303"/>
        <v>6</v>
      </c>
      <c r="AZ1642" s="1">
        <f t="shared" si="2275"/>
        <v>5</v>
      </c>
      <c r="BA1642" s="1">
        <f t="shared" si="2317"/>
        <v>5</v>
      </c>
      <c r="BB1642" s="1">
        <f>MIN(30,R1642+0)</f>
        <v>10</v>
      </c>
      <c r="BC1642" s="1">
        <f t="shared" si="2310"/>
        <v>2</v>
      </c>
      <c r="BD1642" s="1">
        <f t="shared" si="2304"/>
        <v>1</v>
      </c>
      <c r="BE1642" s="1">
        <f t="shared" si="2297"/>
        <v>0</v>
      </c>
      <c r="BF1642" s="1">
        <f>MIN(4,V1642+1)</f>
        <v>3</v>
      </c>
      <c r="BG1642" s="1">
        <f t="shared" si="2314"/>
        <v>1</v>
      </c>
      <c r="BH1642" s="1">
        <f t="shared" si="2298"/>
        <v>1</v>
      </c>
      <c r="BI1642" s="1">
        <f t="shared" si="2315"/>
        <v>1</v>
      </c>
      <c r="BJ1642" s="1">
        <f t="shared" si="2318"/>
        <v>1</v>
      </c>
      <c r="BK1642" s="1">
        <f t="shared" si="2319"/>
        <v>1</v>
      </c>
      <c r="BL1642" s="1">
        <f t="shared" si="2278"/>
        <v>0</v>
      </c>
      <c r="BM1642" s="1">
        <f t="shared" ref="BM1642:BM1661" si="2322">MAX(AC1642,0)</f>
        <v>1</v>
      </c>
      <c r="BN1642" s="1">
        <f t="shared" si="2299"/>
        <v>1</v>
      </c>
      <c r="BO1642" s="1">
        <f t="shared" si="2300"/>
        <v>1</v>
      </c>
    </row>
    <row r="1643" spans="1:67" ht="30.95" customHeight="1">
      <c r="A1643" s="1">
        <f>45</f>
        <v>45</v>
      </c>
      <c r="B1643" s="1">
        <f>固定流程!A23</f>
        <v>18</v>
      </c>
      <c r="C1643" s="1">
        <f>48</f>
        <v>48</v>
      </c>
      <c r="D1643" s="1">
        <f>1</f>
        <v>1</v>
      </c>
      <c r="E1643" s="1">
        <f>固定流程!C23</f>
        <v>3</v>
      </c>
      <c r="F1643" s="1">
        <f>固定流程!G23</f>
        <v>4</v>
      </c>
      <c r="G1643" s="1" t="str">
        <f>固定流程!H23</f>
        <v>J_HARD</v>
      </c>
      <c r="H1643" s="1">
        <f>固定流程!F23</f>
        <v>1</v>
      </c>
      <c r="I1643" s="1">
        <f>INDEX(配置与结果!$B$15:$B$18,F1643)</f>
        <v>1906</v>
      </c>
      <c r="J1643" s="1">
        <f>INDEX(配置与结果!$D$15:$D$18,F1643)</f>
        <v>0.36699999999999999</v>
      </c>
      <c r="K1643" s="1">
        <f>INDEX(配置与结果!$E$15:$E$18,F1643)</f>
        <v>1.7170000000000001</v>
      </c>
      <c r="L1643" s="1">
        <f t="shared" si="2311"/>
        <v>2</v>
      </c>
      <c r="M1643" s="1">
        <f t="shared" si="2312"/>
        <v>10</v>
      </c>
      <c r="N1643" s="1">
        <f t="shared" si="2313"/>
        <v>2</v>
      </c>
      <c r="O1643" s="1">
        <f t="shared" si="2305"/>
        <v>6</v>
      </c>
      <c r="P1643" s="1">
        <f>MIN(方案参数!$AI$48,AZ1642+0+0)</f>
        <v>5</v>
      </c>
      <c r="Q1643" s="1">
        <f t="shared" si="2283"/>
        <v>5</v>
      </c>
      <c r="R1643" s="1">
        <f t="shared" si="2284"/>
        <v>10</v>
      </c>
      <c r="S1643" s="1">
        <f t="shared" si="2285"/>
        <v>2</v>
      </c>
      <c r="T1643" s="1">
        <f t="shared" si="2320"/>
        <v>1</v>
      </c>
      <c r="U1643" s="1">
        <f t="shared" si="2287"/>
        <v>0</v>
      </c>
      <c r="V1643" s="1">
        <f t="shared" si="2288"/>
        <v>3</v>
      </c>
      <c r="W1643" s="1">
        <f t="shared" si="2289"/>
        <v>1</v>
      </c>
      <c r="X1643" s="1">
        <f t="shared" si="2290"/>
        <v>1</v>
      </c>
      <c r="Y1643" s="1">
        <f t="shared" si="2291"/>
        <v>1</v>
      </c>
      <c r="Z1643" s="1">
        <f t="shared" si="2292"/>
        <v>1</v>
      </c>
      <c r="AA1643" s="1">
        <f t="shared" si="2316"/>
        <v>1</v>
      </c>
      <c r="AB1643" s="1">
        <f t="shared" si="2294"/>
        <v>0</v>
      </c>
      <c r="AC1643" s="1">
        <f t="shared" si="2321"/>
        <v>1</v>
      </c>
      <c r="AD1643" s="1">
        <f>ROUNDDOWN(I1643*(1+IF(F1643=3,0.05+方案参数!$Y$48+AA1643*0.12,IF(F1643=4,方案参数!$BZ$48*方案参数!$AS$48,0)))+IF(AND(X1643=1,F1643&lt;&gt;3),方案参数!$CC$48,0)+AC1643*方案参数!$CB$48,0)</f>
        <v>3311</v>
      </c>
      <c r="AE1643" s="1">
        <f>IF(OR(F1643=1,F1643=4),配置与结果!$B$24,配置与结果!$B$25)*MAX(0,1-INDEX(配置与结果!$I$15:$I$18,F1643))</f>
        <v>1200</v>
      </c>
      <c r="AF1643" s="1">
        <f>3.6*IF(H1643=1,1,IF(H1643=2,1.5,2.5))</f>
        <v>3.6</v>
      </c>
      <c r="AG1643" s="1">
        <f>MAX(配置与结果!$B$32,1+INDEX(配置与结果!$F$15:$F$18,F1643)+0.08+Q1643*方案参数!$W$48+Y1643*(方案参数!$AN$48+MIN(方案参数!$AO$48,P1643*0.03))+AB1643*方案参数!$BZ$48*0.025+0.1+IF(方案参数!$BZ$48&gt;=30,方案参数!$BZ$48*0.01,0)-配置与结果!$B$28)</f>
        <v>1.5550000000000002</v>
      </c>
      <c r="AH1643" s="1">
        <f>MAX(0,1+INDEX(配置与结果!$G$15:$G$18,F1643)+W1643*方案参数!$AG$48)</f>
        <v>1.3</v>
      </c>
      <c r="AI1643" s="1">
        <f>IF(OR(INDEX(配置与结果!$K$15:$K$18,F1643)=1,G1643="RHI_BERRY"),1+配置与结果!$B$33+P1643*方案参数!$AH$48,1)</f>
        <v>1</v>
      </c>
      <c r="AJ1643" s="1">
        <f>MIN(1,MAX(0,J1643+方案参数!$AB$48-配置与结果!$B$27))</f>
        <v>0.66700000000000004</v>
      </c>
      <c r="AK1643" s="1">
        <f>MAX(1,K1643+IF(F1643=2,0.15+方案参数!$CH$48,0)+BN1643*方案参数!$X$48+R1643*方案参数!$AA$48+0-配置与结果!$B$26+Z1643*(方案参数!$AP$48+MIN(方案参数!$AQ$48,P1643*0.03)))</f>
        <v>1.857</v>
      </c>
      <c r="AL1643" s="7">
        <f>ROUNDDOWN(MAX(AD1643*配置与结果!$B$31,AD1643-AE1643)*AF1643*AG1643*AH1643*AI1643,0)</f>
        <v>15362</v>
      </c>
      <c r="AM1643" s="7">
        <f>ROUNDDOWN(MAX(AD1643*配置与结果!$B$31,AD1643-AE1643)*AF1643*AG1643*AH1643*AI1643*AK1643,0)</f>
        <v>28528</v>
      </c>
      <c r="AN1643" s="7">
        <f t="shared" si="2268"/>
        <v>24143.721999999998</v>
      </c>
      <c r="AO1643" s="7">
        <f>0</f>
        <v>0</v>
      </c>
      <c r="AP1643" s="7">
        <f>MAX(0,1+INDEX(配置与结果!$J$15:$J$18,F1643)+IF(T1643&gt;0,方案参数!$BY$48,0)-配置与结果!$B$30)</f>
        <v>2</v>
      </c>
      <c r="AQ1643" s="7">
        <f t="shared" si="2269"/>
        <v>0</v>
      </c>
      <c r="AR1643" s="7">
        <f t="shared" si="2270"/>
        <v>0</v>
      </c>
      <c r="AS1643" s="7">
        <f t="shared" si="2271"/>
        <v>0</v>
      </c>
      <c r="AT1643" s="7">
        <f>0</f>
        <v>0</v>
      </c>
      <c r="AU1643" s="7">
        <f t="shared" si="2272"/>
        <v>24143.721999999998</v>
      </c>
      <c r="AV1643" s="1">
        <f t="shared" si="2273"/>
        <v>2</v>
      </c>
      <c r="AW1643" s="1">
        <f t="shared" si="2309"/>
        <v>10</v>
      </c>
      <c r="AX1643" s="1">
        <f t="shared" si="2274"/>
        <v>2</v>
      </c>
      <c r="AY1643" s="1">
        <f t="shared" si="2303"/>
        <v>6</v>
      </c>
      <c r="AZ1643" s="1">
        <f t="shared" si="2275"/>
        <v>5</v>
      </c>
      <c r="BA1643" s="1">
        <f t="shared" si="2317"/>
        <v>5</v>
      </c>
      <c r="BB1643" s="1">
        <f>MIN(30,R1643+0)</f>
        <v>10</v>
      </c>
      <c r="BC1643" s="1">
        <f>MIN(3,S1643+1)</f>
        <v>3</v>
      </c>
      <c r="BD1643" s="1">
        <f t="shared" si="2304"/>
        <v>1</v>
      </c>
      <c r="BE1643" s="1">
        <f t="shared" si="2297"/>
        <v>0</v>
      </c>
      <c r="BF1643" s="1">
        <f>MIN(4,V1643+0)</f>
        <v>3</v>
      </c>
      <c r="BG1643" s="1">
        <f t="shared" si="2314"/>
        <v>1</v>
      </c>
      <c r="BH1643" s="1">
        <f t="shared" si="2298"/>
        <v>1</v>
      </c>
      <c r="BI1643" s="1">
        <f t="shared" si="2315"/>
        <v>1</v>
      </c>
      <c r="BJ1643" s="1">
        <f t="shared" si="2318"/>
        <v>1</v>
      </c>
      <c r="BK1643" s="1">
        <f t="shared" si="2319"/>
        <v>1</v>
      </c>
      <c r="BL1643" s="1">
        <f t="shared" si="2278"/>
        <v>0</v>
      </c>
      <c r="BM1643" s="1">
        <f t="shared" si="2322"/>
        <v>1</v>
      </c>
      <c r="BN1643" s="1">
        <f t="shared" si="2299"/>
        <v>1</v>
      </c>
      <c r="BO1643" s="1">
        <f t="shared" si="2300"/>
        <v>1</v>
      </c>
    </row>
    <row r="1644" spans="1:67" ht="30.95" customHeight="1">
      <c r="A1644" s="1">
        <f>45</f>
        <v>45</v>
      </c>
      <c r="B1644" s="1">
        <f>固定流程!A24</f>
        <v>19</v>
      </c>
      <c r="C1644" s="1">
        <f>48</f>
        <v>48</v>
      </c>
      <c r="D1644" s="1">
        <f>1</f>
        <v>1</v>
      </c>
      <c r="E1644" s="1">
        <f>固定流程!C24</f>
        <v>3</v>
      </c>
      <c r="F1644" s="1">
        <f>固定流程!G24</f>
        <v>4</v>
      </c>
      <c r="G1644" s="1" t="str">
        <f>固定流程!H24</f>
        <v>J_ULT</v>
      </c>
      <c r="H1644" s="1">
        <f>固定流程!F24</f>
        <v>1</v>
      </c>
      <c r="I1644" s="1">
        <f>INDEX(配置与结果!$B$15:$B$18,F1644)</f>
        <v>1906</v>
      </c>
      <c r="J1644" s="1">
        <f>INDEX(配置与结果!$D$15:$D$18,F1644)</f>
        <v>0.36699999999999999</v>
      </c>
      <c r="K1644" s="1">
        <f>INDEX(配置与结果!$E$15:$E$18,F1644)</f>
        <v>1.7170000000000001</v>
      </c>
      <c r="L1644" s="1">
        <f t="shared" si="2311"/>
        <v>2</v>
      </c>
      <c r="M1644" s="1">
        <f t="shared" si="2312"/>
        <v>10</v>
      </c>
      <c r="N1644" s="1">
        <f t="shared" si="2313"/>
        <v>2</v>
      </c>
      <c r="O1644" s="1">
        <f t="shared" si="2305"/>
        <v>6</v>
      </c>
      <c r="P1644" s="1">
        <f>MIN(方案参数!$AI$48,AZ1643+0+0)</f>
        <v>5</v>
      </c>
      <c r="Q1644" s="1">
        <f t="shared" si="2283"/>
        <v>5</v>
      </c>
      <c r="R1644" s="1">
        <f t="shared" si="2284"/>
        <v>10</v>
      </c>
      <c r="S1644" s="1">
        <f t="shared" si="2285"/>
        <v>3</v>
      </c>
      <c r="T1644" s="1">
        <f t="shared" si="2320"/>
        <v>1</v>
      </c>
      <c r="U1644" s="1">
        <f t="shared" si="2287"/>
        <v>0</v>
      </c>
      <c r="V1644" s="1">
        <f t="shared" si="2288"/>
        <v>3</v>
      </c>
      <c r="W1644" s="1">
        <f t="shared" si="2289"/>
        <v>1</v>
      </c>
      <c r="X1644" s="1">
        <f t="shared" si="2290"/>
        <v>1</v>
      </c>
      <c r="Y1644" s="1">
        <f t="shared" si="2291"/>
        <v>1</v>
      </c>
      <c r="Z1644" s="1">
        <f t="shared" si="2292"/>
        <v>1</v>
      </c>
      <c r="AA1644" s="1">
        <f t="shared" si="2316"/>
        <v>1</v>
      </c>
      <c r="AB1644" s="1">
        <f t="shared" si="2294"/>
        <v>0</v>
      </c>
      <c r="AC1644" s="1">
        <f t="shared" si="2321"/>
        <v>1</v>
      </c>
      <c r="AD1644" s="1">
        <f>ROUNDDOWN(I1644*(1+IF(F1644=3,0.05+方案参数!$Y$48+AA1644*0.12,IF(F1644=4,方案参数!$BZ$48*方案参数!$AS$48,0)))+IF(AND(X1644=1,F1644&lt;&gt;3),方案参数!$CC$48,0)+AC1644*方案参数!$CB$48,0)</f>
        <v>3311</v>
      </c>
      <c r="AE1644" s="1">
        <f>IF(OR(F1644=1,F1644=4),配置与结果!$B$24,配置与结果!$B$25)*MAX(0,1-INDEX(配置与结果!$I$15:$I$18,F1644))</f>
        <v>1200</v>
      </c>
      <c r="AF1644" s="1">
        <f>方案参数!$AT$48+MAX(0,配置与结果!$H$26+方案参数!$BZ$48-30)*方案参数!$AU$48*配置与结果!$H$27</f>
        <v>42</v>
      </c>
      <c r="AG1644" s="1">
        <f>MAX(配置与结果!$B$32,1+INDEX(配置与结果!$F$15:$F$18,F1644)+0.08+Q1644*方案参数!$W$48+Y1644*(方案参数!$AN$48+MIN(方案参数!$AO$48,P1644*0.03))+AB1644*方案参数!$BZ$48*0.025-配置与结果!$B$28)</f>
        <v>1.105</v>
      </c>
      <c r="AH1644" s="1">
        <f>MAX(0,1+INDEX(配置与结果!$H$15:$H$18,F1644)+W1644*方案参数!$AG$48+S1644*方案参数!$Z$48)</f>
        <v>1.54</v>
      </c>
      <c r="AI1644" s="1">
        <f>IF(OR(INDEX(配置与结果!$K$15:$K$18,F1644)=1,G1644="RHI_BERRY"),1+配置与结果!$B$33+P1644*方案参数!$AH$48,1)</f>
        <v>1</v>
      </c>
      <c r="AJ1644" s="1">
        <f>MIN(1,MAX(0,J1644+方案参数!$AB$48-配置与结果!$B$27))</f>
        <v>0.66700000000000004</v>
      </c>
      <c r="AK1644" s="1">
        <f>MAX(1,K1644+IF(F1644=2,0.15+方案参数!$CH$48,0)+BN1644*方案参数!$X$48+R1644*方案参数!$AA$48+0-配置与结果!$B$26+Z1644*(方案参数!$AP$48+MIN(方案参数!$AQ$48,P1644*0.03)))</f>
        <v>1.857</v>
      </c>
      <c r="AL1644" s="7">
        <f>ROUNDDOWN(MAX(AD1644*配置与结果!$B$31,AD1644-AE1644)*AF1644*AG1644*AH1644*AI1644,0)</f>
        <v>150876</v>
      </c>
      <c r="AM1644" s="7">
        <f>ROUNDDOWN(MAX(AD1644*配置与结果!$B$31,AD1644-AE1644)*AF1644*AG1644*AH1644*AI1644*AK1644,0)</f>
        <v>280176</v>
      </c>
      <c r="AN1644" s="7">
        <f t="shared" si="2268"/>
        <v>237119.1</v>
      </c>
      <c r="AO1644" s="7">
        <f>0</f>
        <v>0</v>
      </c>
      <c r="AP1644" s="7">
        <f>MAX(0,1+INDEX(配置与结果!$J$15:$J$18,F1644)+IF(T1644&gt;0,方案参数!$BY$48,0)-配置与结果!$B$30)</f>
        <v>2</v>
      </c>
      <c r="AQ1644" s="7">
        <f t="shared" si="2269"/>
        <v>0</v>
      </c>
      <c r="AR1644" s="7">
        <f t="shared" si="2270"/>
        <v>0</v>
      </c>
      <c r="AS1644" s="7">
        <f t="shared" si="2271"/>
        <v>0</v>
      </c>
      <c r="AT1644" s="7">
        <f>0</f>
        <v>0</v>
      </c>
      <c r="AU1644" s="7">
        <f t="shared" si="2272"/>
        <v>237119.1</v>
      </c>
      <c r="AV1644" s="1">
        <f t="shared" si="2273"/>
        <v>2</v>
      </c>
      <c r="AW1644" s="1">
        <f t="shared" si="2309"/>
        <v>10</v>
      </c>
      <c r="AX1644" s="1">
        <f t="shared" si="2274"/>
        <v>2</v>
      </c>
      <c r="AY1644" s="1">
        <f t="shared" si="2303"/>
        <v>6</v>
      </c>
      <c r="AZ1644" s="1">
        <f t="shared" si="2275"/>
        <v>5</v>
      </c>
      <c r="BA1644" s="1">
        <f t="shared" si="2317"/>
        <v>5</v>
      </c>
      <c r="BB1644" s="1">
        <f>MIN(30,R1644+5)</f>
        <v>15</v>
      </c>
      <c r="BC1644" s="1">
        <f t="shared" ref="BC1644:BC1661" si="2323">MIN(3,S1644+0)</f>
        <v>3</v>
      </c>
      <c r="BD1644" s="1">
        <f t="shared" si="2304"/>
        <v>1</v>
      </c>
      <c r="BE1644" s="1">
        <f t="shared" si="2297"/>
        <v>0</v>
      </c>
      <c r="BF1644" s="1">
        <f>MIN(4,V1644+0)</f>
        <v>3</v>
      </c>
      <c r="BG1644" s="1">
        <f t="shared" si="2314"/>
        <v>1</v>
      </c>
      <c r="BH1644" s="1">
        <f t="shared" si="2298"/>
        <v>1</v>
      </c>
      <c r="BI1644" s="1">
        <f t="shared" si="2315"/>
        <v>1</v>
      </c>
      <c r="BJ1644" s="1">
        <f t="shared" si="2318"/>
        <v>1</v>
      </c>
      <c r="BK1644" s="1">
        <f t="shared" si="2319"/>
        <v>1</v>
      </c>
      <c r="BL1644" s="1">
        <f>MAX(AB1644,1)</f>
        <v>1</v>
      </c>
      <c r="BM1644" s="1">
        <f t="shared" si="2322"/>
        <v>1</v>
      </c>
      <c r="BN1644" s="1">
        <f t="shared" si="2299"/>
        <v>1</v>
      </c>
      <c r="BO1644" s="1">
        <f t="shared" si="2300"/>
        <v>1</v>
      </c>
    </row>
    <row r="1645" spans="1:67" ht="30.95" customHeight="1">
      <c r="A1645" s="1">
        <f>45</f>
        <v>45</v>
      </c>
      <c r="B1645" s="1">
        <f>固定流程!A25</f>
        <v>20</v>
      </c>
      <c r="C1645" s="1">
        <f>48</f>
        <v>48</v>
      </c>
      <c r="D1645" s="1">
        <f>1</f>
        <v>1</v>
      </c>
      <c r="E1645" s="1">
        <f>固定流程!C25</f>
        <v>3</v>
      </c>
      <c r="F1645" s="1">
        <f>固定流程!G25</f>
        <v>1</v>
      </c>
      <c r="G1645" s="1" t="str">
        <f>固定流程!H25</f>
        <v>LILYA_ULT</v>
      </c>
      <c r="H1645" s="1">
        <f>固定流程!F25</f>
        <v>1</v>
      </c>
      <c r="I1645" s="1">
        <f>INDEX(配置与结果!$B$15:$B$18,F1645)</f>
        <v>2296</v>
      </c>
      <c r="J1645" s="1">
        <f>INDEX(配置与结果!$D$15:$D$18,F1645)</f>
        <v>0.7</v>
      </c>
      <c r="K1645" s="1">
        <f>INDEX(配置与结果!$E$15:$E$18,F1645)</f>
        <v>2.0249999999999999</v>
      </c>
      <c r="L1645" s="1">
        <f t="shared" si="2311"/>
        <v>2</v>
      </c>
      <c r="M1645" s="1">
        <f t="shared" si="2312"/>
        <v>10</v>
      </c>
      <c r="N1645" s="1">
        <f t="shared" si="2313"/>
        <v>2</v>
      </c>
      <c r="O1645" s="1">
        <f t="shared" si="2305"/>
        <v>6</v>
      </c>
      <c r="P1645" s="1">
        <f>MIN(方案参数!$AI$48,AZ1644+0+0)</f>
        <v>5</v>
      </c>
      <c r="Q1645" s="1">
        <f t="shared" si="2283"/>
        <v>5</v>
      </c>
      <c r="R1645" s="1">
        <f t="shared" si="2284"/>
        <v>15</v>
      </c>
      <c r="S1645" s="1">
        <f t="shared" si="2285"/>
        <v>3</v>
      </c>
      <c r="T1645" s="1">
        <f t="shared" si="2320"/>
        <v>1</v>
      </c>
      <c r="U1645" s="1">
        <f t="shared" si="2287"/>
        <v>0</v>
      </c>
      <c r="V1645" s="1">
        <f t="shared" si="2288"/>
        <v>3</v>
      </c>
      <c r="W1645" s="1">
        <f t="shared" si="2289"/>
        <v>1</v>
      </c>
      <c r="X1645" s="1">
        <f t="shared" si="2290"/>
        <v>1</v>
      </c>
      <c r="Y1645" s="1">
        <f t="shared" si="2291"/>
        <v>1</v>
      </c>
      <c r="Z1645" s="1">
        <f t="shared" si="2292"/>
        <v>1</v>
      </c>
      <c r="AA1645" s="1">
        <f t="shared" si="2316"/>
        <v>1</v>
      </c>
      <c r="AB1645" s="1">
        <f t="shared" si="2294"/>
        <v>1</v>
      </c>
      <c r="AC1645" s="1">
        <f t="shared" si="2321"/>
        <v>1</v>
      </c>
      <c r="AD1645" s="1">
        <f>ROUNDDOWN(I1645*(1+IF(F1645=3,0.05+方案参数!$Y$48+AA1645*0.12,IF(F1645=4,方案参数!$BZ$48*方案参数!$AS$48,0)))+IF(AND(X1645=1,F1645&lt;&gt;3),方案参数!$CC$48,0)+AC1645*方案参数!$CB$48,0)</f>
        <v>3034</v>
      </c>
      <c r="AE1645" s="1">
        <f>IF(OR(F1645=1,F1645=4),配置与结果!$B$24,配置与结果!$B$25)*MAX(0,1-INDEX(配置与结果!$I$15:$I$18,F1645)+IF(O1645&gt;=6,方案参数!$BK$48,0))</f>
        <v>1440</v>
      </c>
      <c r="AF1645" s="1">
        <f>方案参数!$BG$48+IF(O1645&gt;=6,方案参数!$BH$48,0)</f>
        <v>36</v>
      </c>
      <c r="AG1645" s="1">
        <f>MAX(配置与结果!$B$32,1+INDEX(配置与结果!$F$15:$F$18,F1645)+0.08+方案参数!$CD$48+Q1645*方案参数!$W$48+Y1645*(方案参数!$AN$48+MIN(方案参数!$AO$48,P1645*0.03))+AB1645*方案参数!$BZ$48*0.025-配置与结果!$B$28)</f>
        <v>2.2150000000000003</v>
      </c>
      <c r="AH1645" s="1">
        <f>MAX(0,1+INDEX(配置与结果!$H$15:$H$18,F1645)+W1645*方案参数!$AG$48+O1645*方案参数!$BF$48+IF(O1645&gt;=6,方案参数!$BI$48,0))</f>
        <v>2.4500000000000002</v>
      </c>
      <c r="AI1645" s="1">
        <f>IF(OR(INDEX(配置与结果!$K$15:$K$18,F1645)=1,G1645="RHI_BERRY"),1+配置与结果!$B$33+P1645*方案参数!$AH$48,1)</f>
        <v>1</v>
      </c>
      <c r="AJ1645" s="1">
        <f>MIN(1,MAX(0,J1645+方案参数!$AB$48-配置与结果!$B$27))</f>
        <v>1</v>
      </c>
      <c r="AK1645" s="1">
        <f>MAX(1,K1645+IF(F1645=2,0.15+方案参数!$CH$48,0)+BN1645*方案参数!$X$48+R1645*方案参数!$AA$48+IF(O1645&gt;=6,方案参数!$BJ$48,0)-配置与结果!$B$26+Z1645*(方案参数!$AP$48+MIN(方案参数!$AQ$48,P1645*0.03)))</f>
        <v>3.2050000000000001</v>
      </c>
      <c r="AL1645" s="7">
        <f>ROUNDDOWN(MAX(AD1645*配置与结果!$B$31,AD1645-AE1645)*AF1645*AG1645*AH1645*AI1645,0)</f>
        <v>311408</v>
      </c>
      <c r="AM1645" s="7">
        <f>ROUNDDOWN(MAX(AD1645*配置与结果!$B$31,AD1645-AE1645)*AF1645*AG1645*AH1645*AI1645*AK1645,0)</f>
        <v>998064</v>
      </c>
      <c r="AN1645" s="7">
        <f t="shared" si="2268"/>
        <v>998064</v>
      </c>
      <c r="AO1645" s="7">
        <f>0</f>
        <v>0</v>
      </c>
      <c r="AP1645" s="7">
        <f>MAX(0,1+INDEX(配置与结果!$J$15:$J$18,F1645)+IF(T1645&gt;0,方案参数!$BY$48,0)-配置与结果!$B$30)</f>
        <v>2</v>
      </c>
      <c r="AQ1645" s="7">
        <f t="shared" si="2269"/>
        <v>0</v>
      </c>
      <c r="AR1645" s="7">
        <f t="shared" si="2270"/>
        <v>0</v>
      </c>
      <c r="AS1645" s="7">
        <f t="shared" si="2271"/>
        <v>0</v>
      </c>
      <c r="AT1645" s="7">
        <f>0</f>
        <v>0</v>
      </c>
      <c r="AU1645" s="7">
        <f t="shared" si="2272"/>
        <v>998064</v>
      </c>
      <c r="AV1645" s="1">
        <f t="shared" si="2273"/>
        <v>2</v>
      </c>
      <c r="AW1645" s="1">
        <f t="shared" si="2309"/>
        <v>10</v>
      </c>
      <c r="AX1645" s="1">
        <f t="shared" si="2274"/>
        <v>2</v>
      </c>
      <c r="AY1645" s="1">
        <f>MIN(20,MAX(0,O1645+0+0-IF(O1645&gt;=6,6,0)))</f>
        <v>0</v>
      </c>
      <c r="AZ1645" s="1">
        <f t="shared" si="2275"/>
        <v>5</v>
      </c>
      <c r="BA1645" s="1">
        <f t="shared" si="2317"/>
        <v>5</v>
      </c>
      <c r="BB1645" s="1">
        <f>MIN(30,R1645+5)</f>
        <v>20</v>
      </c>
      <c r="BC1645" s="1">
        <f t="shared" si="2323"/>
        <v>3</v>
      </c>
      <c r="BD1645" s="1">
        <f t="shared" si="2304"/>
        <v>1</v>
      </c>
      <c r="BE1645" s="1">
        <f t="shared" si="2297"/>
        <v>0</v>
      </c>
      <c r="BF1645" s="1">
        <f>MIN(4,V1645+0)</f>
        <v>3</v>
      </c>
      <c r="BG1645" s="1">
        <f t="shared" si="2314"/>
        <v>1</v>
      </c>
      <c r="BH1645" s="1">
        <f t="shared" si="2298"/>
        <v>1</v>
      </c>
      <c r="BI1645" s="1">
        <f t="shared" si="2315"/>
        <v>1</v>
      </c>
      <c r="BJ1645" s="1">
        <f t="shared" si="2318"/>
        <v>1</v>
      </c>
      <c r="BK1645" s="1">
        <f t="shared" si="2319"/>
        <v>1</v>
      </c>
      <c r="BL1645" s="1">
        <f t="shared" ref="BL1645:BL1661" si="2324">MAX(AB1645,0)</f>
        <v>1</v>
      </c>
      <c r="BM1645" s="1">
        <f t="shared" si="2322"/>
        <v>1</v>
      </c>
      <c r="BN1645" s="1">
        <f t="shared" si="2299"/>
        <v>1</v>
      </c>
      <c r="BO1645" s="1">
        <f t="shared" si="2300"/>
        <v>1</v>
      </c>
    </row>
    <row r="1646" spans="1:67" ht="30.95" customHeight="1">
      <c r="A1646" s="1">
        <f>45</f>
        <v>45</v>
      </c>
      <c r="B1646" s="1">
        <f>固定流程!A26</f>
        <v>21</v>
      </c>
      <c r="C1646" s="1">
        <f>48</f>
        <v>48</v>
      </c>
      <c r="D1646" s="1">
        <f>1</f>
        <v>1</v>
      </c>
      <c r="E1646" s="1">
        <f>固定流程!C26</f>
        <v>3</v>
      </c>
      <c r="F1646" s="1">
        <f>固定流程!G26</f>
        <v>1</v>
      </c>
      <c r="G1646" s="1" t="str">
        <f>固定流程!H26</f>
        <v>LILYA_DIVE</v>
      </c>
      <c r="H1646" s="1">
        <f>固定流程!F26</f>
        <v>3</v>
      </c>
      <c r="I1646" s="1">
        <f>INDEX(配置与结果!$B$15:$B$18,F1646)</f>
        <v>2296</v>
      </c>
      <c r="J1646" s="1">
        <f>INDEX(配置与结果!$D$15:$D$18,F1646)</f>
        <v>0.7</v>
      </c>
      <c r="K1646" s="1">
        <f>INDEX(配置与结果!$E$15:$E$18,F1646)</f>
        <v>2.0249999999999999</v>
      </c>
      <c r="L1646" s="1">
        <f t="shared" si="2311"/>
        <v>2</v>
      </c>
      <c r="M1646" s="1">
        <f t="shared" si="2312"/>
        <v>10</v>
      </c>
      <c r="N1646" s="1">
        <f t="shared" si="2313"/>
        <v>2</v>
      </c>
      <c r="O1646" s="1">
        <f t="shared" si="2305"/>
        <v>0</v>
      </c>
      <c r="P1646" s="1">
        <f>MIN(方案参数!$AI$48,AZ1645+0+0)</f>
        <v>5</v>
      </c>
      <c r="Q1646" s="1">
        <f t="shared" si="2283"/>
        <v>5</v>
      </c>
      <c r="R1646" s="1">
        <f t="shared" si="2284"/>
        <v>20</v>
      </c>
      <c r="S1646" s="1">
        <f t="shared" si="2285"/>
        <v>3</v>
      </c>
      <c r="T1646" s="1">
        <f t="shared" si="2320"/>
        <v>1</v>
      </c>
      <c r="U1646" s="1">
        <f t="shared" si="2287"/>
        <v>0</v>
      </c>
      <c r="V1646" s="1">
        <f t="shared" si="2288"/>
        <v>3</v>
      </c>
      <c r="W1646" s="1">
        <f t="shared" si="2289"/>
        <v>1</v>
      </c>
      <c r="X1646" s="1">
        <f t="shared" si="2290"/>
        <v>1</v>
      </c>
      <c r="Y1646" s="1">
        <f t="shared" si="2291"/>
        <v>1</v>
      </c>
      <c r="Z1646" s="1">
        <f t="shared" si="2292"/>
        <v>1</v>
      </c>
      <c r="AA1646" s="1">
        <f t="shared" si="2316"/>
        <v>1</v>
      </c>
      <c r="AB1646" s="1">
        <f t="shared" si="2294"/>
        <v>1</v>
      </c>
      <c r="AC1646" s="1">
        <f t="shared" si="2321"/>
        <v>1</v>
      </c>
      <c r="AD1646" s="1">
        <f>ROUNDDOWN(I1646*(1+IF(F1646=3,0.05+方案参数!$Y$48+AA1646*0.12,IF(F1646=4,方案参数!$BZ$48*方案参数!$AS$48,0)))+IF(AND(X1646=1,F1646&lt;&gt;3),方案参数!$CC$48,0)+AC1646*方案参数!$CB$48,0)</f>
        <v>3034</v>
      </c>
      <c r="AE1646" s="1">
        <f>IF(OR(F1646=1,F1646=4),配置与结果!$B$24,配置与结果!$B$25)*MAX(0,1-INDEX(配置与结果!$I$15:$I$18,F1646))</f>
        <v>1200</v>
      </c>
      <c r="AF1646" s="1">
        <f>(IF(L1646=1,方案参数!$AW$48,IF(L1646=2,方案参数!$AX$48,0))+方案参数!$AV$48)*H1646</f>
        <v>30</v>
      </c>
      <c r="AG1646" s="1">
        <f>MAX(配置与结果!$B$32,1+INDEX(配置与结果!$F$15:$F$18,F1646)+0.08+方案参数!$CD$48+Q1646*方案参数!$W$48+Y1646*(方案参数!$AN$48+MIN(方案参数!$AO$48,P1646*0.03))+AB1646*方案参数!$BZ$48*0.025+IF(L1646=1,方案参数!$AY$48+(H1646-1)*0.1,IF(L1646=2,方案参数!$AZ$48+(H1646-1)*0.2,0))-配置与结果!$B$28)</f>
        <v>2.8150000000000004</v>
      </c>
      <c r="AH1646" s="1">
        <f>MAX(0,1+INDEX(配置与结果!$G$15:$G$18,F1646)+W1646*方案参数!$AG$48+IF(L1646=1,方案参数!$BA$48,IF(L1646=2,方案参数!$BB$48,0))+M1646*方案参数!$BC$48)</f>
        <v>3.1</v>
      </c>
      <c r="AI1646" s="1">
        <f>IF(OR(INDEX(配置与结果!$K$15:$K$18,F1646)=1,G1646="RHI_BERRY"),1+配置与结果!$B$33+P1646*方案参数!$AH$48,1)</f>
        <v>1</v>
      </c>
      <c r="AJ1646" s="1">
        <f>MIN(1,MAX(0,J1646+方案参数!$AB$48-配置与结果!$B$27))</f>
        <v>1</v>
      </c>
      <c r="AK1646" s="1">
        <f>MAX(1,K1646+IF(F1646=2,0.15+方案参数!$CH$48,0)+BN1646*方案参数!$X$48+R1646*方案参数!$AA$48+0-配置与结果!$B$26+Z1646*(方案参数!$AP$48+MIN(方案参数!$AQ$48,P1646*0.03)))</f>
        <v>2.2450000000000001</v>
      </c>
      <c r="AL1646" s="7">
        <f>ROUNDDOWN(MAX(AD1646*配置与结果!$B$31,AD1646-AE1646)*AF1646*AG1646*AH1646*AI1646,0)</f>
        <v>480132</v>
      </c>
      <c r="AM1646" s="7">
        <f>ROUNDDOWN(MAX(AD1646*配置与结果!$B$31,AD1646-AE1646)*AF1646*AG1646*AH1646*AI1646*AK1646,0)</f>
        <v>1077896</v>
      </c>
      <c r="AN1646" s="7">
        <f t="shared" si="2268"/>
        <v>1077896</v>
      </c>
      <c r="AO1646" s="7">
        <f>0</f>
        <v>0</v>
      </c>
      <c r="AP1646" s="7">
        <f>MAX(0,1+INDEX(配置与结果!$J$15:$J$18,F1646)+IF(T1646&gt;0,方案参数!$BY$48,0)-配置与结果!$B$30)</f>
        <v>2</v>
      </c>
      <c r="AQ1646" s="7">
        <f t="shared" si="2269"/>
        <v>0</v>
      </c>
      <c r="AR1646" s="7">
        <f t="shared" si="2270"/>
        <v>0</v>
      </c>
      <c r="AS1646" s="7">
        <f t="shared" si="2271"/>
        <v>0</v>
      </c>
      <c r="AT1646" s="7">
        <f>0</f>
        <v>0</v>
      </c>
      <c r="AU1646" s="7">
        <f t="shared" si="2272"/>
        <v>1077896</v>
      </c>
      <c r="AV1646" s="1">
        <f t="shared" si="2273"/>
        <v>2</v>
      </c>
      <c r="AW1646" s="1">
        <f>MIN(10,M1646+0+IF(L1646=1,方案参数!$BE$48,0))</f>
        <v>10</v>
      </c>
      <c r="AX1646" s="1">
        <f t="shared" si="2274"/>
        <v>2</v>
      </c>
      <c r="AY1646" s="1">
        <f>MIN(20,MAX(0,O1646+0+0-0))</f>
        <v>0</v>
      </c>
      <c r="AZ1646" s="1">
        <f t="shared" si="2275"/>
        <v>5</v>
      </c>
      <c r="BA1646" s="1">
        <f t="shared" si="2317"/>
        <v>5</v>
      </c>
      <c r="BB1646" s="1">
        <f t="shared" ref="BB1646:BB1661" si="2325">MIN(30,R1646+0)</f>
        <v>20</v>
      </c>
      <c r="BC1646" s="1">
        <f t="shared" si="2323"/>
        <v>3</v>
      </c>
      <c r="BD1646" s="1">
        <f t="shared" si="2304"/>
        <v>1</v>
      </c>
      <c r="BE1646" s="1">
        <f t="shared" si="2297"/>
        <v>0</v>
      </c>
      <c r="BF1646" s="1">
        <f>MIN(4,V1646+0)</f>
        <v>3</v>
      </c>
      <c r="BG1646" s="1">
        <f t="shared" si="2314"/>
        <v>1</v>
      </c>
      <c r="BH1646" s="1">
        <f t="shared" si="2298"/>
        <v>1</v>
      </c>
      <c r="BI1646" s="1">
        <f t="shared" si="2315"/>
        <v>1</v>
      </c>
      <c r="BJ1646" s="1">
        <f t="shared" si="2318"/>
        <v>1</v>
      </c>
      <c r="BK1646" s="1">
        <f t="shared" si="2319"/>
        <v>1</v>
      </c>
      <c r="BL1646" s="1">
        <f t="shared" si="2324"/>
        <v>1</v>
      </c>
      <c r="BM1646" s="1">
        <f t="shared" si="2322"/>
        <v>1</v>
      </c>
      <c r="BN1646" s="1">
        <f t="shared" si="2299"/>
        <v>1</v>
      </c>
      <c r="BO1646" s="1">
        <f t="shared" si="2300"/>
        <v>1</v>
      </c>
    </row>
    <row r="1647" spans="1:67" ht="30.95" customHeight="1">
      <c r="A1647" s="1">
        <f>45</f>
        <v>45</v>
      </c>
      <c r="B1647" s="1">
        <f>固定流程!A27</f>
        <v>22</v>
      </c>
      <c r="C1647" s="1">
        <f>48</f>
        <v>48</v>
      </c>
      <c r="D1647" s="1">
        <f>1</f>
        <v>1</v>
      </c>
      <c r="E1647" s="1">
        <f>固定流程!C27</f>
        <v>3</v>
      </c>
      <c r="F1647" s="1">
        <f>固定流程!G27</f>
        <v>3</v>
      </c>
      <c r="G1647" s="1" t="str">
        <f>固定流程!H27</f>
        <v>RHI_BERRY</v>
      </c>
      <c r="H1647" s="1">
        <f>固定流程!F27</f>
        <v>1</v>
      </c>
      <c r="I1647" s="1">
        <f>INDEX(配置与结果!$B$15:$B$18,F1647)</f>
        <v>2597</v>
      </c>
      <c r="J1647" s="1">
        <f>INDEX(配置与结果!$D$15:$D$18,F1647)</f>
        <v>0.255</v>
      </c>
      <c r="K1647" s="1">
        <f>INDEX(配置与结果!$E$15:$E$18,F1647)</f>
        <v>1.55</v>
      </c>
      <c r="L1647" s="1">
        <f t="shared" si="2311"/>
        <v>2</v>
      </c>
      <c r="M1647" s="1">
        <f t="shared" si="2312"/>
        <v>10</v>
      </c>
      <c r="N1647" s="1">
        <f t="shared" si="2313"/>
        <v>2</v>
      </c>
      <c r="O1647" s="1">
        <f t="shared" si="2305"/>
        <v>0</v>
      </c>
      <c r="P1647" s="1">
        <f>MIN(方案参数!$AI$48,AZ1646+0+0)</f>
        <v>5</v>
      </c>
      <c r="Q1647" s="1">
        <f t="shared" si="2283"/>
        <v>5</v>
      </c>
      <c r="R1647" s="1">
        <f t="shared" si="2284"/>
        <v>20</v>
      </c>
      <c r="S1647" s="1">
        <f t="shared" si="2285"/>
        <v>3</v>
      </c>
      <c r="T1647" s="1">
        <f t="shared" si="2320"/>
        <v>1</v>
      </c>
      <c r="U1647" s="1">
        <f t="shared" si="2287"/>
        <v>0</v>
      </c>
      <c r="V1647" s="1">
        <f t="shared" si="2288"/>
        <v>3</v>
      </c>
      <c r="W1647" s="1">
        <f t="shared" si="2289"/>
        <v>1</v>
      </c>
      <c r="X1647" s="1">
        <f t="shared" si="2290"/>
        <v>1</v>
      </c>
      <c r="Y1647" s="1">
        <f t="shared" si="2291"/>
        <v>1</v>
      </c>
      <c r="Z1647" s="1">
        <f t="shared" si="2292"/>
        <v>1</v>
      </c>
      <c r="AA1647" s="1">
        <f t="shared" si="2316"/>
        <v>1</v>
      </c>
      <c r="AB1647" s="1">
        <f t="shared" si="2294"/>
        <v>1</v>
      </c>
      <c r="AC1647" s="1">
        <f t="shared" si="2321"/>
        <v>1</v>
      </c>
      <c r="AD1647" s="1">
        <f>ROUNDDOWN(I1647*(1+IF(F1647=3,0.05+方案参数!$Y$48+AA1647*0.12,IF(F1647=4,方案参数!$BZ$48*方案参数!$AS$48,0)))+IF(AND(X1647=1,F1647&lt;&gt;3),方案参数!$CC$48,0)+AC1647*方案参数!$CB$48,0)</f>
        <v>3798</v>
      </c>
      <c r="AE1647" s="1">
        <f>IF(OR(F1647=1,F1647=4),配置与结果!$B$24,配置与结果!$B$25)*MAX(0,1-INDEX(配置与结果!$I$15:$I$18,F1647))</f>
        <v>1000</v>
      </c>
      <c r="AF1647" s="1">
        <f>方案参数!$CF$48+P1647*方案参数!$CG$48</f>
        <v>22.5</v>
      </c>
      <c r="AG1647" s="1">
        <f>MAX(配置与结果!$B$32,1+INDEX(配置与结果!$F$15:$F$18,F1647)+0+Q1647*方案参数!$W$48+Y1647*(方案参数!$AN$48+MIN(方案参数!$AO$48,P1647*0.03))+AB1647*方案参数!$BZ$48*0.025-配置与结果!$B$28)</f>
        <v>1.9100000000000001</v>
      </c>
      <c r="AH1647" s="1">
        <f>MAX(0,1+INDEX(配置与结果!$G$15:$G$18,F1647)+W1647*方案参数!$AG$48)</f>
        <v>1.3</v>
      </c>
      <c r="AI1647" s="1">
        <f>IF(OR(INDEX(配置与结果!$K$15:$K$18,F1647)=1,G1647="RHI_BERRY"),1+配置与结果!$B$33+P1647*方案参数!$AH$48,1)</f>
        <v>1.5</v>
      </c>
      <c r="AJ1647" s="1">
        <f>MIN(1,MAX(0,J1647+方案参数!$AB$48-配置与结果!$B$27))</f>
        <v>0.55499999999999994</v>
      </c>
      <c r="AK1647" s="1">
        <f>MAX(1,K1647+IF(F1647=2,0.15+方案参数!$CH$48,0)+BN1647*方案参数!$X$48+R1647*方案参数!$AA$48+0-配置与结果!$B$26+Z1647*(方案参数!$AP$48+MIN(方案参数!$AQ$48,P1647*0.03)))</f>
        <v>1.7699999999999998</v>
      </c>
      <c r="AL1647" s="7">
        <f>ROUNDDOWN(MAX(AD1647*配置与结果!$B$31,AD1647-AE1647)*AF1647*AG1647*AH1647*AI1647,0)</f>
        <v>234475</v>
      </c>
      <c r="AM1647" s="7">
        <f>ROUNDDOWN(MAX(AD1647*配置与结果!$B$31,AD1647-AE1647)*AF1647*AG1647*AH1647*AI1647*AK1647,0)</f>
        <v>415022</v>
      </c>
      <c r="AN1647" s="7">
        <f t="shared" si="2268"/>
        <v>334678.58499999996</v>
      </c>
      <c r="AO1647" s="7">
        <f>0</f>
        <v>0</v>
      </c>
      <c r="AP1647" s="7">
        <f>MAX(0,1+INDEX(配置与结果!$J$15:$J$18,F1647)+IF(T1647&gt;0,方案参数!$BY$48,0)-配置与结果!$B$30)</f>
        <v>2</v>
      </c>
      <c r="AQ1647" s="7">
        <f t="shared" si="2269"/>
        <v>0</v>
      </c>
      <c r="AR1647" s="7">
        <f t="shared" si="2270"/>
        <v>0</v>
      </c>
      <c r="AS1647" s="7">
        <f t="shared" si="2271"/>
        <v>0</v>
      </c>
      <c r="AT1647" s="7">
        <f>0</f>
        <v>0</v>
      </c>
      <c r="AU1647" s="7">
        <f t="shared" si="2272"/>
        <v>334678.58499999996</v>
      </c>
      <c r="AV1647" s="1">
        <f t="shared" si="2273"/>
        <v>2</v>
      </c>
      <c r="AW1647" s="1">
        <f t="shared" ref="AW1647:AW1661" si="2326">MIN(10,M1647+0+0)</f>
        <v>10</v>
      </c>
      <c r="AX1647" s="1">
        <f t="shared" si="2274"/>
        <v>2</v>
      </c>
      <c r="AY1647" s="1">
        <f>MIN(20,MAX(0,O1647+0+0-0))</f>
        <v>0</v>
      </c>
      <c r="AZ1647" s="1">
        <f t="shared" si="2275"/>
        <v>5</v>
      </c>
      <c r="BA1647" s="1">
        <f t="shared" si="2317"/>
        <v>5</v>
      </c>
      <c r="BB1647" s="1">
        <f t="shared" si="2325"/>
        <v>20</v>
      </c>
      <c r="BC1647" s="1">
        <f t="shared" si="2323"/>
        <v>3</v>
      </c>
      <c r="BD1647" s="1">
        <f t="shared" si="2304"/>
        <v>1</v>
      </c>
      <c r="BE1647" s="1">
        <f t="shared" si="2297"/>
        <v>0</v>
      </c>
      <c r="BF1647" s="1">
        <f>MIN(4,V1647+0)</f>
        <v>3</v>
      </c>
      <c r="BG1647" s="1">
        <f t="shared" si="2314"/>
        <v>1</v>
      </c>
      <c r="BH1647" s="1">
        <f t="shared" si="2298"/>
        <v>1</v>
      </c>
      <c r="BI1647" s="1">
        <f t="shared" si="2315"/>
        <v>1</v>
      </c>
      <c r="BJ1647" s="1">
        <f t="shared" si="2318"/>
        <v>1</v>
      </c>
      <c r="BK1647" s="1">
        <f t="shared" si="2319"/>
        <v>1</v>
      </c>
      <c r="BL1647" s="1">
        <f t="shared" si="2324"/>
        <v>1</v>
      </c>
      <c r="BM1647" s="1">
        <f t="shared" si="2322"/>
        <v>1</v>
      </c>
      <c r="BN1647" s="1">
        <f t="shared" si="2299"/>
        <v>1</v>
      </c>
      <c r="BO1647" s="1">
        <f t="shared" si="2300"/>
        <v>1</v>
      </c>
    </row>
    <row r="1648" spans="1:67" ht="30.95" customHeight="1">
      <c r="A1648" s="1">
        <f>45</f>
        <v>45</v>
      </c>
      <c r="B1648" s="1">
        <f>固定流程!A28</f>
        <v>23</v>
      </c>
      <c r="C1648" s="1">
        <f>48</f>
        <v>48</v>
      </c>
      <c r="D1648" s="1">
        <f>1</f>
        <v>1</v>
      </c>
      <c r="E1648" s="1">
        <f>固定流程!C28</f>
        <v>3</v>
      </c>
      <c r="F1648" s="1">
        <f>固定流程!G28</f>
        <v>2</v>
      </c>
      <c r="G1648" s="1" t="str">
        <f>固定流程!H28</f>
        <v>37_FOLLOW</v>
      </c>
      <c r="H1648" s="1">
        <f>固定流程!F28</f>
        <v>1</v>
      </c>
      <c r="I1648" s="1">
        <f>INDEX(配置与结果!$B$15:$B$18,F1648)</f>
        <v>2306</v>
      </c>
      <c r="J1648" s="1">
        <f>INDEX(配置与结果!$D$15:$D$18,F1648)</f>
        <v>0.46</v>
      </c>
      <c r="K1648" s="1">
        <f>INDEX(配置与结果!$E$15:$E$18,F1648)</f>
        <v>1.9279999999999999</v>
      </c>
      <c r="L1648" s="1">
        <f t="shared" si="2311"/>
        <v>2</v>
      </c>
      <c r="M1648" s="1">
        <f t="shared" si="2312"/>
        <v>10</v>
      </c>
      <c r="N1648" s="1">
        <f t="shared" si="2313"/>
        <v>2</v>
      </c>
      <c r="O1648" s="1">
        <f t="shared" si="2305"/>
        <v>0</v>
      </c>
      <c r="P1648" s="1">
        <f>MIN(方案参数!$AI$48,AZ1647+0+0)</f>
        <v>5</v>
      </c>
      <c r="Q1648" s="1">
        <f t="shared" si="2283"/>
        <v>5</v>
      </c>
      <c r="R1648" s="1">
        <f t="shared" si="2284"/>
        <v>20</v>
      </c>
      <c r="S1648" s="1">
        <f t="shared" si="2285"/>
        <v>3</v>
      </c>
      <c r="T1648" s="1">
        <f t="shared" si="2320"/>
        <v>1</v>
      </c>
      <c r="U1648" s="1">
        <f t="shared" si="2287"/>
        <v>0</v>
      </c>
      <c r="V1648" s="1">
        <f t="shared" si="2288"/>
        <v>3</v>
      </c>
      <c r="W1648" s="1">
        <f t="shared" si="2289"/>
        <v>1</v>
      </c>
      <c r="X1648" s="1">
        <f t="shared" si="2290"/>
        <v>1</v>
      </c>
      <c r="Y1648" s="1">
        <f t="shared" si="2291"/>
        <v>1</v>
      </c>
      <c r="Z1648" s="1">
        <f t="shared" si="2292"/>
        <v>1</v>
      </c>
      <c r="AA1648" s="1">
        <f t="shared" si="2316"/>
        <v>1</v>
      </c>
      <c r="AB1648" s="1">
        <f t="shared" si="2294"/>
        <v>1</v>
      </c>
      <c r="AC1648" s="1">
        <f t="shared" si="2321"/>
        <v>1</v>
      </c>
      <c r="AD1648" s="1">
        <f>ROUNDDOWN(I1648*(1+IF(F1648=3,0.05+方案参数!$Y$48+AA1648*0.12,IF(F1648=4,方案参数!$BZ$48*方案参数!$AS$48,0)))+IF(AND(X1648=1,F1648&lt;&gt;3),方案参数!$CC$48,0)+AC1648*方案参数!$CB$48,0)</f>
        <v>3044</v>
      </c>
      <c r="AE1648" s="1">
        <f>IF(OR(F1648=1,F1648=4),配置与结果!$B$24,配置与结果!$B$25)*MAX(0,1-INDEX(配置与结果!$I$15:$I$18,F1648))</f>
        <v>1000</v>
      </c>
      <c r="AF1648" s="1">
        <f>方案参数!$BV$48</f>
        <v>3</v>
      </c>
      <c r="AG1648" s="1">
        <f>MAX(配置与结果!$B$32,1+INDEX(配置与结果!$F$15:$F$18,F1648)+0+Q1648*方案参数!$W$48+Y1648*(方案参数!$AN$48+MIN(方案参数!$AO$48,P1648*0.03))+AB1648*方案参数!$BZ$48*0.025-配置与结果!$B$28)</f>
        <v>1.8800000000000003</v>
      </c>
      <c r="AH1648" s="1">
        <f>MAX(0,1+INDEX(配置与结果!$G$15:$G$18,F1648)+W1648*方案参数!$AG$48)</f>
        <v>1.3</v>
      </c>
      <c r="AI1648" s="1">
        <f>IF(OR(INDEX(配置与结果!$K$15:$K$18,F1648)=1,G1648="RHI_BERRY"),1+配置与结果!$B$33+P1648*方案参数!$AH$48,1)</f>
        <v>1</v>
      </c>
      <c r="AJ1648" s="1">
        <f>MIN(1,MAX(0,J1648+方案参数!$AB$48-配置与结果!$B$27))</f>
        <v>0.76</v>
      </c>
      <c r="AK1648" s="1">
        <f>MAX(1,K1648+IF(F1648=2,0.15+方案参数!$CH$48,0)+BN1648*方案参数!$X$48+R1648*方案参数!$AA$48+0-配置与结果!$B$26+Z1648*(方案参数!$AP$48+MIN(方案参数!$AQ$48,P1648*0.03)))</f>
        <v>2.4180000000000001</v>
      </c>
      <c r="AL1648" s="7">
        <f>ROUNDDOWN(MAX(AD1648*配置与结果!$B$31,AD1648-AE1648)*AF1648*AG1648*AH1648*AI1648,0)</f>
        <v>14986</v>
      </c>
      <c r="AM1648" s="7">
        <f>ROUNDDOWN(MAX(AD1648*配置与结果!$B$31,AD1648-AE1648)*AF1648*AG1648*AH1648*AI1648*AK1648,0)</f>
        <v>36237</v>
      </c>
      <c r="AN1648" s="7">
        <f t="shared" si="2268"/>
        <v>31136.76</v>
      </c>
      <c r="AO1648" s="7">
        <f>方案参数!$BW$48</f>
        <v>1</v>
      </c>
      <c r="AP1648" s="7">
        <f>MAX(0,1+INDEX(配置与结果!$J$15:$J$18,F1648)+IF(T1648&gt;0,方案参数!$BY$48,0)-配置与结果!$B$30)</f>
        <v>2</v>
      </c>
      <c r="AQ1648" s="7">
        <f t="shared" si="2269"/>
        <v>6088</v>
      </c>
      <c r="AR1648" s="7">
        <f t="shared" si="2270"/>
        <v>14720</v>
      </c>
      <c r="AS1648" s="7">
        <f t="shared" si="2271"/>
        <v>12648.32</v>
      </c>
      <c r="AT1648" s="7">
        <f>0</f>
        <v>0</v>
      </c>
      <c r="AU1648" s="7">
        <f t="shared" si="2272"/>
        <v>43785.08</v>
      </c>
      <c r="AV1648" s="1">
        <f t="shared" si="2273"/>
        <v>2</v>
      </c>
      <c r="AW1648" s="1">
        <f t="shared" si="2326"/>
        <v>10</v>
      </c>
      <c r="AX1648" s="1">
        <f t="shared" si="2274"/>
        <v>2</v>
      </c>
      <c r="AY1648" s="1">
        <f>MIN(20,MAX(0,O1648+0+0-0))</f>
        <v>0</v>
      </c>
      <c r="AZ1648" s="1">
        <f t="shared" si="2275"/>
        <v>5</v>
      </c>
      <c r="BA1648" s="1">
        <f t="shared" si="2317"/>
        <v>5</v>
      </c>
      <c r="BB1648" s="1">
        <f t="shared" si="2325"/>
        <v>20</v>
      </c>
      <c r="BC1648" s="1">
        <f t="shared" si="2323"/>
        <v>3</v>
      </c>
      <c r="BD1648" s="1">
        <f t="shared" si="2304"/>
        <v>0</v>
      </c>
      <c r="BE1648" s="1">
        <f t="shared" si="2297"/>
        <v>0</v>
      </c>
      <c r="BF1648" s="1">
        <f>MIN(4,V1648+1)</f>
        <v>4</v>
      </c>
      <c r="BG1648" s="1">
        <f t="shared" si="2314"/>
        <v>1</v>
      </c>
      <c r="BH1648" s="1">
        <f t="shared" si="2298"/>
        <v>1</v>
      </c>
      <c r="BI1648" s="1">
        <f t="shared" si="2315"/>
        <v>1</v>
      </c>
      <c r="BJ1648" s="1">
        <f t="shared" si="2318"/>
        <v>1</v>
      </c>
      <c r="BK1648" s="1">
        <f t="shared" si="2319"/>
        <v>1</v>
      </c>
      <c r="BL1648" s="1">
        <f t="shared" si="2324"/>
        <v>1</v>
      </c>
      <c r="BM1648" s="1">
        <f t="shared" si="2322"/>
        <v>1</v>
      </c>
      <c r="BN1648" s="1">
        <f t="shared" si="2299"/>
        <v>1</v>
      </c>
      <c r="BO1648" s="1">
        <f t="shared" si="2300"/>
        <v>1</v>
      </c>
    </row>
    <row r="1649" spans="1:67" ht="30.95" customHeight="1">
      <c r="A1649" s="1">
        <f>45</f>
        <v>45</v>
      </c>
      <c r="B1649" s="1">
        <f>固定流程!A29</f>
        <v>24</v>
      </c>
      <c r="C1649" s="1">
        <f>48</f>
        <v>48</v>
      </c>
      <c r="D1649" s="1">
        <f>2</f>
        <v>2</v>
      </c>
      <c r="E1649" s="1">
        <f>固定流程!C29</f>
        <v>3</v>
      </c>
      <c r="F1649" s="1">
        <f>固定流程!G29</f>
        <v>1</v>
      </c>
      <c r="G1649" s="1" t="str">
        <f>固定流程!H29</f>
        <v>LILYA_WEAK</v>
      </c>
      <c r="H1649" s="1">
        <f>固定流程!F29</f>
        <v>1</v>
      </c>
      <c r="I1649" s="1">
        <f>INDEX(配置与结果!$B$15:$B$18,F1649)</f>
        <v>2296</v>
      </c>
      <c r="J1649" s="1">
        <f>INDEX(配置与结果!$D$15:$D$18,F1649)</f>
        <v>0.7</v>
      </c>
      <c r="K1649" s="1">
        <f>INDEX(配置与结果!$E$15:$E$18,F1649)</f>
        <v>2.0249999999999999</v>
      </c>
      <c r="L1649" s="1">
        <f t="shared" si="2311"/>
        <v>2</v>
      </c>
      <c r="M1649" s="1">
        <f t="shared" si="2312"/>
        <v>10</v>
      </c>
      <c r="N1649" s="1">
        <f t="shared" si="2313"/>
        <v>2</v>
      </c>
      <c r="O1649" s="1">
        <f t="shared" si="2305"/>
        <v>0</v>
      </c>
      <c r="P1649" s="1">
        <f>MIN(方案参数!$AI$48,AZ1648+0+0)</f>
        <v>5</v>
      </c>
      <c r="Q1649" s="1">
        <f t="shared" si="2283"/>
        <v>5</v>
      </c>
      <c r="R1649" s="1">
        <f t="shared" si="2284"/>
        <v>20</v>
      </c>
      <c r="S1649" s="1">
        <f t="shared" si="2285"/>
        <v>3</v>
      </c>
      <c r="T1649" s="1">
        <f t="shared" si="2320"/>
        <v>0</v>
      </c>
      <c r="U1649" s="1">
        <f t="shared" si="2287"/>
        <v>0</v>
      </c>
      <c r="V1649" s="1">
        <f t="shared" si="2288"/>
        <v>4</v>
      </c>
      <c r="W1649" s="1">
        <f t="shared" si="2289"/>
        <v>1</v>
      </c>
      <c r="X1649" s="1">
        <f t="shared" si="2290"/>
        <v>1</v>
      </c>
      <c r="Y1649" s="1">
        <f t="shared" si="2291"/>
        <v>1</v>
      </c>
      <c r="Z1649" s="1">
        <f t="shared" si="2292"/>
        <v>1</v>
      </c>
      <c r="AA1649" s="1">
        <f t="shared" si="2316"/>
        <v>1</v>
      </c>
      <c r="AB1649" s="1">
        <f t="shared" si="2294"/>
        <v>1</v>
      </c>
      <c r="AC1649" s="1">
        <f t="shared" si="2321"/>
        <v>1</v>
      </c>
      <c r="AD1649" s="1">
        <f>ROUNDDOWN(I1649*(1+IF(F1649=3,0.05+方案参数!$Y$48+AA1649*0.12,IF(F1649=4,方案参数!$BZ$48*方案参数!$AS$48,0)))+IF(AND(X1649=1,F1649&lt;&gt;3),方案参数!$CC$48,0)+AC1649*方案参数!$CB$48,0)</f>
        <v>3034</v>
      </c>
      <c r="AE1649" s="1">
        <f>IF(OR(F1649=1,F1649=4),配置与结果!$B$24,配置与结果!$B$25)*MAX(0,1-INDEX(配置与结果!$I$15:$I$18,F1649))</f>
        <v>1200</v>
      </c>
      <c r="AF1649" s="1">
        <f>方案参数!$BL$48</f>
        <v>9</v>
      </c>
      <c r="AG1649" s="1">
        <f>MAX(配置与结果!$B$32,1+INDEX(配置与结果!$F$15:$F$18,F1649)+0.08+方案参数!$CD$48+Q1649*方案参数!$W$48+Y1649*(方案参数!$AN$48+MIN(方案参数!$AO$48,P1649*0.03))+AB1649*方案参数!$BZ$48*0.025-配置与结果!$B$28+方案参数!$AE$48)</f>
        <v>2.6150000000000002</v>
      </c>
      <c r="AH1649" s="1">
        <f>MAX(0,1+V1649*方案参数!$U$48+0*方案参数!$V$48+方案参数!$AE$48-配置与结果!$B$29)</f>
        <v>1.56</v>
      </c>
      <c r="AI1649" s="1">
        <f>IF(OR(INDEX(配置与结果!$K$15:$K$18,F1649)=1,G1649="RHI_BERRY"),1+配置与结果!$B$33+P1649*方案参数!$AH$48,1)</f>
        <v>1</v>
      </c>
      <c r="AJ1649" s="1">
        <f>MIN(1,MAX(0,J1649+方案参数!$AB$48-配置与结果!$B$27))</f>
        <v>1</v>
      </c>
      <c r="AK1649" s="1">
        <f>MAX(1,K1649+IF(F1649=2,0.15+方案参数!$CH$48,0)+BN1649*方案参数!$X$48+R1649*方案参数!$AA$48+方案参数!$BP$48-配置与结果!$B$26+Z1649*(方案参数!$AP$48+MIN(方案参数!$AQ$48,P1649*0.03)))</f>
        <v>2.8450000000000002</v>
      </c>
      <c r="AL1649" s="7">
        <f>ROUNDDOWN(MAX(AD1649*配置与结果!$B$31,AD1649-AE1649)*AF1649*AG1649*AH1649*AI1649,0)</f>
        <v>67334</v>
      </c>
      <c r="AM1649" s="7">
        <f>ROUNDDOWN(MAX(AD1649*配置与结果!$B$31,AD1649-AE1649)*AF1649*AG1649*AH1649*AI1649*AK1649,0)</f>
        <v>191566</v>
      </c>
      <c r="AN1649" s="7">
        <f t="shared" si="2268"/>
        <v>191566</v>
      </c>
      <c r="AO1649" s="7">
        <f>0</f>
        <v>0</v>
      </c>
      <c r="AP1649" s="7">
        <f>MAX(0,1+INDEX(配置与结果!$J$15:$J$18,F1649)+IF(T1649&gt;0,方案参数!$BY$48,0)-配置与结果!$B$30)</f>
        <v>1</v>
      </c>
      <c r="AQ1649" s="7">
        <f t="shared" si="2269"/>
        <v>0</v>
      </c>
      <c r="AR1649" s="7">
        <f t="shared" si="2270"/>
        <v>0</v>
      </c>
      <c r="AS1649" s="7">
        <f t="shared" si="2271"/>
        <v>0</v>
      </c>
      <c r="AT1649" s="7">
        <f>IF(U1649&gt;0,ROUNDDOWN(AL1649*方案参数!$AF$48,0)*(1-AJ1649)+ROUNDDOWN(AM1649*方案参数!$AF$48,0)*AJ1649,0)</f>
        <v>0</v>
      </c>
      <c r="AU1649" s="7">
        <f t="shared" si="2272"/>
        <v>191566</v>
      </c>
      <c r="AV1649" s="1">
        <f t="shared" si="2273"/>
        <v>2</v>
      </c>
      <c r="AW1649" s="1">
        <f t="shared" si="2326"/>
        <v>10</v>
      </c>
      <c r="AX1649" s="1">
        <f t="shared" si="2274"/>
        <v>2</v>
      </c>
      <c r="AY1649" s="1">
        <f>MIN(20,MAX(0,O1649+0+1-0))</f>
        <v>1</v>
      </c>
      <c r="AZ1649" s="1">
        <f t="shared" si="2275"/>
        <v>5</v>
      </c>
      <c r="BA1649" s="1">
        <f t="shared" si="2317"/>
        <v>5</v>
      </c>
      <c r="BB1649" s="1">
        <f t="shared" si="2325"/>
        <v>20</v>
      </c>
      <c r="BC1649" s="1">
        <f t="shared" si="2323"/>
        <v>3</v>
      </c>
      <c r="BD1649" s="1">
        <f t="shared" si="2304"/>
        <v>0</v>
      </c>
      <c r="BE1649" s="1">
        <f>MAX(0,U1649-IF(AF1649&gt;0,1,0))+0</f>
        <v>0</v>
      </c>
      <c r="BF1649" s="1">
        <f t="shared" ref="BF1649:BF1661" si="2327">MIN(4,V1649+0)</f>
        <v>4</v>
      </c>
      <c r="BG1649" s="1">
        <f t="shared" si="2314"/>
        <v>1</v>
      </c>
      <c r="BH1649" s="1">
        <f t="shared" si="2298"/>
        <v>1</v>
      </c>
      <c r="BI1649" s="1">
        <f t="shared" si="2315"/>
        <v>1</v>
      </c>
      <c r="BJ1649" s="1">
        <f t="shared" si="2318"/>
        <v>1</v>
      </c>
      <c r="BK1649" s="1">
        <f t="shared" si="2319"/>
        <v>1</v>
      </c>
      <c r="BL1649" s="1">
        <f t="shared" si="2324"/>
        <v>1</v>
      </c>
      <c r="BM1649" s="1">
        <f t="shared" si="2322"/>
        <v>1</v>
      </c>
      <c r="BN1649" s="1">
        <f t="shared" si="2299"/>
        <v>1</v>
      </c>
      <c r="BO1649" s="1">
        <f t="shared" si="2300"/>
        <v>1</v>
      </c>
    </row>
    <row r="1650" spans="1:67" ht="30.95" customHeight="1">
      <c r="A1650" s="1">
        <f>45</f>
        <v>45</v>
      </c>
      <c r="B1650" s="1">
        <f>固定流程!A30</f>
        <v>25</v>
      </c>
      <c r="C1650" s="1">
        <f>48</f>
        <v>48</v>
      </c>
      <c r="D1650" s="1">
        <f>2</f>
        <v>2</v>
      </c>
      <c r="E1650" s="1">
        <f>固定流程!C30</f>
        <v>3</v>
      </c>
      <c r="F1650" s="1">
        <f>固定流程!G30</f>
        <v>1</v>
      </c>
      <c r="G1650" s="1" t="str">
        <f>固定流程!H30</f>
        <v>LILYA_WEAK</v>
      </c>
      <c r="H1650" s="1">
        <f>固定流程!F30</f>
        <v>1</v>
      </c>
      <c r="I1650" s="1">
        <f>INDEX(配置与结果!$B$15:$B$18,F1650)</f>
        <v>2296</v>
      </c>
      <c r="J1650" s="1">
        <f>INDEX(配置与结果!$D$15:$D$18,F1650)</f>
        <v>0.7</v>
      </c>
      <c r="K1650" s="1">
        <f>INDEX(配置与结果!$E$15:$E$18,F1650)</f>
        <v>2.0249999999999999</v>
      </c>
      <c r="L1650" s="1">
        <f t="shared" si="2311"/>
        <v>2</v>
      </c>
      <c r="M1650" s="1">
        <f t="shared" si="2312"/>
        <v>10</v>
      </c>
      <c r="N1650" s="1">
        <f t="shared" si="2313"/>
        <v>2</v>
      </c>
      <c r="O1650" s="1">
        <f t="shared" si="2305"/>
        <v>1</v>
      </c>
      <c r="P1650" s="1">
        <f>MIN(方案参数!$AI$48,AZ1649+0+0)</f>
        <v>5</v>
      </c>
      <c r="Q1650" s="1">
        <f t="shared" si="2283"/>
        <v>5</v>
      </c>
      <c r="R1650" s="1">
        <f t="shared" si="2284"/>
        <v>20</v>
      </c>
      <c r="S1650" s="1">
        <f t="shared" si="2285"/>
        <v>3</v>
      </c>
      <c r="T1650" s="1">
        <f t="shared" si="2320"/>
        <v>0</v>
      </c>
      <c r="U1650" s="1">
        <f t="shared" si="2287"/>
        <v>0</v>
      </c>
      <c r="V1650" s="1">
        <f t="shared" si="2288"/>
        <v>4</v>
      </c>
      <c r="W1650" s="1">
        <f t="shared" si="2289"/>
        <v>1</v>
      </c>
      <c r="X1650" s="1">
        <f t="shared" si="2290"/>
        <v>1</v>
      </c>
      <c r="Y1650" s="1">
        <f t="shared" si="2291"/>
        <v>1</v>
      </c>
      <c r="Z1650" s="1">
        <f t="shared" si="2292"/>
        <v>1</v>
      </c>
      <c r="AA1650" s="1">
        <f t="shared" si="2316"/>
        <v>1</v>
      </c>
      <c r="AB1650" s="1">
        <f t="shared" si="2294"/>
        <v>1</v>
      </c>
      <c r="AC1650" s="1">
        <f t="shared" si="2321"/>
        <v>1</v>
      </c>
      <c r="AD1650" s="1">
        <f>ROUNDDOWN(I1650*(1+IF(F1650=3,0.05+方案参数!$Y$48+AA1650*0.12,IF(F1650=4,方案参数!$BZ$48*方案参数!$AS$48,0)))+IF(AND(X1650=1,F1650&lt;&gt;3),方案参数!$CC$48,0)+AC1650*方案参数!$CB$48,0)</f>
        <v>3034</v>
      </c>
      <c r="AE1650" s="1">
        <f>IF(OR(F1650=1,F1650=4),配置与结果!$B$24,配置与结果!$B$25)*MAX(0,1-INDEX(配置与结果!$I$15:$I$18,F1650))</f>
        <v>1200</v>
      </c>
      <c r="AF1650" s="1">
        <f>方案参数!$BL$48</f>
        <v>9</v>
      </c>
      <c r="AG1650" s="1">
        <f>MAX(配置与结果!$B$32,1+INDEX(配置与结果!$F$15:$F$18,F1650)+0.08+方案参数!$CD$48+Q1650*方案参数!$W$48+Y1650*(方案参数!$AN$48+MIN(方案参数!$AO$48,P1650*0.03))+AB1650*方案参数!$BZ$48*0.025-配置与结果!$B$28+方案参数!$AE$48)</f>
        <v>2.6150000000000002</v>
      </c>
      <c r="AH1650" s="1">
        <f>MAX(0,1+V1650*方案参数!$U$48+1*方案参数!$V$48+方案参数!$AE$48-配置与结果!$B$29)</f>
        <v>1.62</v>
      </c>
      <c r="AI1650" s="1">
        <f>IF(OR(INDEX(配置与结果!$K$15:$K$18,F1650)=1,G1650="RHI_BERRY"),1+配置与结果!$B$33+P1650*方案参数!$AH$48,1)</f>
        <v>1</v>
      </c>
      <c r="AJ1650" s="1">
        <f>MIN(1,MAX(0,J1650+方案参数!$AB$48-配置与结果!$B$27))</f>
        <v>1</v>
      </c>
      <c r="AK1650" s="1">
        <f>MAX(1,K1650+IF(F1650=2,0.15+方案参数!$CH$48,0)+BN1650*方案参数!$X$48+R1650*方案参数!$AA$48+方案参数!$BP$48-配置与结果!$B$26+Z1650*(方案参数!$AP$48+MIN(方案参数!$AQ$48,P1650*0.03)))</f>
        <v>2.8450000000000002</v>
      </c>
      <c r="AL1650" s="7">
        <f>ROUNDDOWN(MAX(AD1650*配置与结果!$B$31,AD1650-AE1650)*AF1650*AG1650*AH1650*AI1650,0)</f>
        <v>69924</v>
      </c>
      <c r="AM1650" s="7">
        <f>ROUNDDOWN(MAX(AD1650*配置与结果!$B$31,AD1650-AE1650)*AF1650*AG1650*AH1650*AI1650*AK1650,0)</f>
        <v>198934</v>
      </c>
      <c r="AN1650" s="7">
        <f t="shared" si="2268"/>
        <v>198934</v>
      </c>
      <c r="AO1650" s="7">
        <f>0</f>
        <v>0</v>
      </c>
      <c r="AP1650" s="7">
        <f>MAX(0,1+INDEX(配置与结果!$J$15:$J$18,F1650)+IF(T1650&gt;0,方案参数!$BY$48,0)-配置与结果!$B$30)</f>
        <v>1</v>
      </c>
      <c r="AQ1650" s="7">
        <f t="shared" si="2269"/>
        <v>0</v>
      </c>
      <c r="AR1650" s="7">
        <f t="shared" si="2270"/>
        <v>0</v>
      </c>
      <c r="AS1650" s="7">
        <f t="shared" si="2271"/>
        <v>0</v>
      </c>
      <c r="AT1650" s="7">
        <f>IF(U1650&gt;0,ROUNDDOWN(AL1650*方案参数!$AF$48,0)*(1-AJ1650)+ROUNDDOWN(AM1650*方案参数!$AF$48,0)*AJ1650,0)</f>
        <v>0</v>
      </c>
      <c r="AU1650" s="7">
        <f t="shared" si="2272"/>
        <v>198934</v>
      </c>
      <c r="AV1650" s="1">
        <f t="shared" si="2273"/>
        <v>2</v>
      </c>
      <c r="AW1650" s="1">
        <f t="shared" si="2326"/>
        <v>10</v>
      </c>
      <c r="AX1650" s="1">
        <f t="shared" si="2274"/>
        <v>2</v>
      </c>
      <c r="AY1650" s="1">
        <f>MIN(20,MAX(0,O1650+0+1-0))</f>
        <v>2</v>
      </c>
      <c r="AZ1650" s="1">
        <f t="shared" si="2275"/>
        <v>5</v>
      </c>
      <c r="BA1650" s="1">
        <f t="shared" si="2317"/>
        <v>5</v>
      </c>
      <c r="BB1650" s="1">
        <f t="shared" si="2325"/>
        <v>20</v>
      </c>
      <c r="BC1650" s="1">
        <f t="shared" si="2323"/>
        <v>3</v>
      </c>
      <c r="BD1650" s="1">
        <f t="shared" si="2304"/>
        <v>0</v>
      </c>
      <c r="BE1650" s="1">
        <f>MAX(0,U1650-IF(AF1650&gt;0,1,0))+0</f>
        <v>0</v>
      </c>
      <c r="BF1650" s="1">
        <f t="shared" si="2327"/>
        <v>4</v>
      </c>
      <c r="BG1650" s="1">
        <f t="shared" si="2314"/>
        <v>1</v>
      </c>
      <c r="BH1650" s="1">
        <f t="shared" si="2298"/>
        <v>1</v>
      </c>
      <c r="BI1650" s="1">
        <f t="shared" si="2315"/>
        <v>1</v>
      </c>
      <c r="BJ1650" s="1">
        <f t="shared" si="2318"/>
        <v>1</v>
      </c>
      <c r="BK1650" s="1">
        <f t="shared" si="2319"/>
        <v>1</v>
      </c>
      <c r="BL1650" s="1">
        <f t="shared" si="2324"/>
        <v>1</v>
      </c>
      <c r="BM1650" s="1">
        <f t="shared" si="2322"/>
        <v>1</v>
      </c>
      <c r="BN1650" s="1">
        <f t="shared" si="2299"/>
        <v>1</v>
      </c>
      <c r="BO1650" s="1">
        <f t="shared" si="2300"/>
        <v>1</v>
      </c>
    </row>
    <row r="1651" spans="1:67" ht="30.95" customHeight="1">
      <c r="A1651" s="1">
        <f>45</f>
        <v>45</v>
      </c>
      <c r="B1651" s="1">
        <f>固定流程!A31</f>
        <v>26</v>
      </c>
      <c r="C1651" s="1">
        <f>48</f>
        <v>48</v>
      </c>
      <c r="D1651" s="1">
        <f>2</f>
        <v>2</v>
      </c>
      <c r="E1651" s="1">
        <f>固定流程!C31</f>
        <v>3</v>
      </c>
      <c r="F1651" s="1">
        <f>固定流程!G31</f>
        <v>2</v>
      </c>
      <c r="G1651" s="1" t="str">
        <f>固定流程!H31</f>
        <v>37_WEAK</v>
      </c>
      <c r="H1651" s="1">
        <f>固定流程!F31</f>
        <v>1</v>
      </c>
      <c r="I1651" s="1">
        <f>INDEX(配置与结果!$B$15:$B$18,F1651)</f>
        <v>2306</v>
      </c>
      <c r="J1651" s="1">
        <f>INDEX(配置与结果!$D$15:$D$18,F1651)</f>
        <v>0.46</v>
      </c>
      <c r="K1651" s="1">
        <f>INDEX(配置与结果!$E$15:$E$18,F1651)</f>
        <v>1.9279999999999999</v>
      </c>
      <c r="L1651" s="1">
        <f t="shared" si="2311"/>
        <v>2</v>
      </c>
      <c r="M1651" s="1">
        <f t="shared" si="2312"/>
        <v>10</v>
      </c>
      <c r="N1651" s="1">
        <f t="shared" si="2313"/>
        <v>2</v>
      </c>
      <c r="O1651" s="1">
        <f t="shared" si="2305"/>
        <v>2</v>
      </c>
      <c r="P1651" s="1">
        <f>MIN(方案参数!$AI$48,AZ1650+0+0)</f>
        <v>5</v>
      </c>
      <c r="Q1651" s="1">
        <f t="shared" si="2283"/>
        <v>5</v>
      </c>
      <c r="R1651" s="1">
        <f t="shared" si="2284"/>
        <v>20</v>
      </c>
      <c r="S1651" s="1">
        <f t="shared" si="2285"/>
        <v>3</v>
      </c>
      <c r="T1651" s="1">
        <f t="shared" si="2320"/>
        <v>0</v>
      </c>
      <c r="U1651" s="1">
        <f t="shared" si="2287"/>
        <v>0</v>
      </c>
      <c r="V1651" s="1">
        <f t="shared" si="2288"/>
        <v>4</v>
      </c>
      <c r="W1651" s="1">
        <f t="shared" si="2289"/>
        <v>1</v>
      </c>
      <c r="X1651" s="1">
        <f t="shared" si="2290"/>
        <v>1</v>
      </c>
      <c r="Y1651" s="1">
        <f t="shared" si="2291"/>
        <v>1</v>
      </c>
      <c r="Z1651" s="1">
        <f t="shared" si="2292"/>
        <v>1</v>
      </c>
      <c r="AA1651" s="1">
        <f t="shared" si="2316"/>
        <v>1</v>
      </c>
      <c r="AB1651" s="1">
        <f t="shared" si="2294"/>
        <v>1</v>
      </c>
      <c r="AC1651" s="1">
        <f t="shared" si="2321"/>
        <v>1</v>
      </c>
      <c r="AD1651" s="1">
        <f>ROUNDDOWN(I1651*(1+IF(F1651=3,0.05+方案参数!$Y$48+AA1651*0.12,IF(F1651=4,方案参数!$BZ$48*方案参数!$AS$48,0)))+IF(AND(X1651=1,F1651&lt;&gt;3),方案参数!$CC$48,0)+AC1651*方案参数!$CB$48,0)</f>
        <v>3044</v>
      </c>
      <c r="AE1651" s="1">
        <f>IF(OR(F1651=1,F1651=4),配置与结果!$B$24,配置与结果!$B$25)*MAX(0,1-INDEX(配置与结果!$I$15:$I$18,F1651))</f>
        <v>1000</v>
      </c>
      <c r="AF1651" s="1">
        <f>方案参数!$CE$48</f>
        <v>8</v>
      </c>
      <c r="AG1651" s="1">
        <f>MAX(配置与结果!$B$32,1+INDEX(配置与结果!$F$15:$F$18,F1651)+0+Q1651*方案参数!$W$48+Y1651*(方案参数!$AN$48+MIN(方案参数!$AO$48,P1651*0.03))+AB1651*方案参数!$BZ$48*0.025-配置与结果!$B$28+方案参数!$AE$48)</f>
        <v>2.2800000000000002</v>
      </c>
      <c r="AH1651" s="1">
        <f>MAX(0,1+V1651*方案参数!$U$48+方案参数!$AE$48-配置与结果!$B$29)</f>
        <v>1.56</v>
      </c>
      <c r="AI1651" s="1">
        <f>IF(OR(INDEX(配置与结果!$K$15:$K$18,F1651)=1,G1651="RHI_BERRY"),1+配置与结果!$B$33+P1651*方案参数!$AH$48,1)</f>
        <v>1</v>
      </c>
      <c r="AJ1651" s="1">
        <f>MIN(1,MAX(0,J1651+方案参数!$AB$48-配置与结果!$B$27))</f>
        <v>0.76</v>
      </c>
      <c r="AK1651" s="1">
        <f>MAX(1,K1651+IF(F1651=2,0.15+方案参数!$CH$48,0)+BN1651*方案参数!$X$48+R1651*方案参数!$AA$48+0-配置与结果!$B$26+Z1651*(方案参数!$AP$48+MIN(方案参数!$AQ$48,P1651*0.03)))</f>
        <v>2.4180000000000001</v>
      </c>
      <c r="AL1651" s="7">
        <f>ROUNDDOWN(MAX(AD1651*配置与结果!$B$31,AD1651-AE1651)*AF1651*AG1651*AH1651*AI1651,0)</f>
        <v>58160</v>
      </c>
      <c r="AM1651" s="7">
        <f>ROUNDDOWN(MAX(AD1651*配置与结果!$B$31,AD1651-AE1651)*AF1651*AG1651*AH1651*AI1651*AK1651,0)</f>
        <v>140632</v>
      </c>
      <c r="AN1651" s="7">
        <f t="shared" si="2268"/>
        <v>120838.72</v>
      </c>
      <c r="AO1651" s="7">
        <f>0</f>
        <v>0</v>
      </c>
      <c r="AP1651" s="7">
        <f>MAX(0,1+INDEX(配置与结果!$J$15:$J$18,F1651)+IF(T1651&gt;0,方案参数!$BY$48,0)-配置与结果!$B$30)</f>
        <v>1</v>
      </c>
      <c r="AQ1651" s="7">
        <f t="shared" si="2269"/>
        <v>0</v>
      </c>
      <c r="AR1651" s="7">
        <f t="shared" si="2270"/>
        <v>0</v>
      </c>
      <c r="AS1651" s="7">
        <f t="shared" si="2271"/>
        <v>0</v>
      </c>
      <c r="AT1651" s="7">
        <f>IF(U1651&gt;0,ROUNDDOWN(AL1651*方案参数!$AF$48,0)*(1-AJ1651)+ROUNDDOWN(AM1651*方案参数!$AF$48,0)*AJ1651,0)</f>
        <v>0</v>
      </c>
      <c r="AU1651" s="7">
        <f t="shared" si="2272"/>
        <v>120838.72</v>
      </c>
      <c r="AV1651" s="1">
        <f t="shared" si="2273"/>
        <v>2</v>
      </c>
      <c r="AW1651" s="1">
        <f t="shared" si="2326"/>
        <v>10</v>
      </c>
      <c r="AX1651" s="1">
        <f t="shared" si="2274"/>
        <v>2</v>
      </c>
      <c r="AY1651" s="1">
        <f>MIN(20,MAX(0,O1651+0+0-0))</f>
        <v>2</v>
      </c>
      <c r="AZ1651" s="1">
        <f t="shared" si="2275"/>
        <v>5</v>
      </c>
      <c r="BA1651" s="1">
        <f t="shared" si="2317"/>
        <v>5</v>
      </c>
      <c r="BB1651" s="1">
        <f t="shared" si="2325"/>
        <v>20</v>
      </c>
      <c r="BC1651" s="1">
        <f t="shared" si="2323"/>
        <v>3</v>
      </c>
      <c r="BD1651" s="1">
        <f t="shared" si="2304"/>
        <v>0</v>
      </c>
      <c r="BE1651" s="1">
        <f>MAX(0,U1651-IF(AF1651&gt;0,1,0))+1</f>
        <v>1</v>
      </c>
      <c r="BF1651" s="1">
        <f t="shared" si="2327"/>
        <v>4</v>
      </c>
      <c r="BG1651" s="1">
        <f t="shared" si="2314"/>
        <v>1</v>
      </c>
      <c r="BH1651" s="1">
        <f t="shared" si="2298"/>
        <v>1</v>
      </c>
      <c r="BI1651" s="1">
        <f t="shared" si="2315"/>
        <v>1</v>
      </c>
      <c r="BJ1651" s="1">
        <f t="shared" si="2318"/>
        <v>1</v>
      </c>
      <c r="BK1651" s="1">
        <f t="shared" si="2319"/>
        <v>1</v>
      </c>
      <c r="BL1651" s="1">
        <f t="shared" si="2324"/>
        <v>1</v>
      </c>
      <c r="BM1651" s="1">
        <f t="shared" si="2322"/>
        <v>1</v>
      </c>
      <c r="BN1651" s="1">
        <f t="shared" si="2299"/>
        <v>1</v>
      </c>
      <c r="BO1651" s="1">
        <f t="shared" si="2300"/>
        <v>1</v>
      </c>
    </row>
    <row r="1652" spans="1:67" ht="30.95" customHeight="1">
      <c r="A1652" s="1">
        <f>45</f>
        <v>45</v>
      </c>
      <c r="B1652" s="1">
        <f>固定流程!A32</f>
        <v>27</v>
      </c>
      <c r="C1652" s="1">
        <f>48</f>
        <v>48</v>
      </c>
      <c r="D1652" s="1">
        <f>2</f>
        <v>2</v>
      </c>
      <c r="E1652" s="1">
        <f>固定流程!C32</f>
        <v>3</v>
      </c>
      <c r="F1652" s="1">
        <f>固定流程!G32</f>
        <v>1</v>
      </c>
      <c r="G1652" s="1" t="str">
        <f>固定流程!H32</f>
        <v>LILYA_THIRD</v>
      </c>
      <c r="H1652" s="1">
        <f>固定流程!F32</f>
        <v>1</v>
      </c>
      <c r="I1652" s="1">
        <f>INDEX(配置与结果!$B$15:$B$18,F1652)</f>
        <v>2296</v>
      </c>
      <c r="J1652" s="1">
        <f>INDEX(配置与结果!$D$15:$D$18,F1652)</f>
        <v>0.7</v>
      </c>
      <c r="K1652" s="1">
        <f>INDEX(配置与结果!$E$15:$E$18,F1652)</f>
        <v>2.0249999999999999</v>
      </c>
      <c r="L1652" s="1">
        <f t="shared" si="2311"/>
        <v>2</v>
      </c>
      <c r="M1652" s="1">
        <f t="shared" si="2312"/>
        <v>10</v>
      </c>
      <c r="N1652" s="1">
        <f t="shared" si="2313"/>
        <v>2</v>
      </c>
      <c r="O1652" s="1">
        <f t="shared" si="2305"/>
        <v>2</v>
      </c>
      <c r="P1652" s="1">
        <f>MIN(方案参数!$AI$48,AZ1651+0+0)</f>
        <v>5</v>
      </c>
      <c r="Q1652" s="1">
        <f t="shared" si="2283"/>
        <v>5</v>
      </c>
      <c r="R1652" s="1">
        <f t="shared" si="2284"/>
        <v>20</v>
      </c>
      <c r="S1652" s="1">
        <f t="shared" si="2285"/>
        <v>3</v>
      </c>
      <c r="T1652" s="1">
        <f t="shared" si="2320"/>
        <v>0</v>
      </c>
      <c r="U1652" s="1">
        <f t="shared" si="2287"/>
        <v>1</v>
      </c>
      <c r="V1652" s="1">
        <f t="shared" si="2288"/>
        <v>4</v>
      </c>
      <c r="W1652" s="1">
        <f t="shared" si="2289"/>
        <v>1</v>
      </c>
      <c r="X1652" s="1">
        <f t="shared" si="2290"/>
        <v>1</v>
      </c>
      <c r="Y1652" s="1">
        <f t="shared" si="2291"/>
        <v>1</v>
      </c>
      <c r="Z1652" s="1">
        <f t="shared" si="2292"/>
        <v>1</v>
      </c>
      <c r="AA1652" s="1">
        <f t="shared" si="2316"/>
        <v>1</v>
      </c>
      <c r="AB1652" s="1">
        <f t="shared" si="2294"/>
        <v>1</v>
      </c>
      <c r="AC1652" s="1">
        <f t="shared" si="2321"/>
        <v>1</v>
      </c>
      <c r="AD1652" s="1">
        <f>ROUNDDOWN(I1652*(1+IF(F1652=3,0.05+方案参数!$Y$48+AA1652*0.12,IF(F1652=4,方案参数!$BZ$48*方案参数!$AS$48,0)))+IF(AND(X1652=1,F1652&lt;&gt;3),方案参数!$CC$48,0)+AC1652*方案参数!$CB$48,0)</f>
        <v>3034</v>
      </c>
      <c r="AE1652" s="1">
        <f>IF(OR(F1652=1,F1652=4),配置与结果!$B$24,配置与结果!$B$25)*MAX(0,1-INDEX(配置与结果!$I$15:$I$18,F1652))</f>
        <v>1200</v>
      </c>
      <c r="AF1652" s="1">
        <f>方案参数!$BM$48</f>
        <v>20</v>
      </c>
      <c r="AG1652" s="1">
        <f>MAX(配置与结果!$B$32,1+INDEX(配置与结果!$F$15:$F$18,F1652)+0.08+方案参数!$CD$48+Q1652*方案参数!$W$48+Y1652*(方案参数!$AN$48+MIN(方案参数!$AO$48,P1652*0.03))+AB1652*方案参数!$BZ$48*0.025-配置与结果!$B$28+方案参数!$AE$48)</f>
        <v>2.6150000000000002</v>
      </c>
      <c r="AH1652" s="1">
        <f>MAX(0,1+V1652*方案参数!$U$48+3*方案参数!$V$48+方案参数!$AE$48-配置与结果!$B$29)</f>
        <v>1.7399999999999998</v>
      </c>
      <c r="AI1652" s="1">
        <f>IF(OR(INDEX(配置与结果!$K$15:$K$18,F1652)=1,G1652="RHI_BERRY"),1+配置与结果!$B$33+P1652*方案参数!$AH$48,1)</f>
        <v>1</v>
      </c>
      <c r="AJ1652" s="1">
        <f>MIN(1,MAX(0,J1652+方案参数!$AB$48-配置与结果!$B$27))</f>
        <v>1</v>
      </c>
      <c r="AK1652" s="1">
        <f>MAX(1,K1652+IF(F1652=2,0.15+方案参数!$CH$48,0)+BN1652*方案参数!$X$48+R1652*方案参数!$AA$48+方案参数!$BQ$48-配置与结果!$B$26+Z1652*(方案参数!$AP$48+MIN(方案参数!$AQ$48,P1652*0.03)))</f>
        <v>3.0450000000000004</v>
      </c>
      <c r="AL1652" s="7">
        <f>ROUNDDOWN(MAX(AD1652*配置与结果!$B$31,AD1652-AE1652)*AF1652*AG1652*AH1652*AI1652,0)</f>
        <v>166897</v>
      </c>
      <c r="AM1652" s="7">
        <f>ROUNDDOWN(MAX(AD1652*配置与结果!$B$31,AD1652-AE1652)*AF1652*AG1652*AH1652*AI1652*AK1652,0)</f>
        <v>508203</v>
      </c>
      <c r="AN1652" s="7">
        <f t="shared" si="2268"/>
        <v>508203</v>
      </c>
      <c r="AO1652" s="7">
        <f>0</f>
        <v>0</v>
      </c>
      <c r="AP1652" s="7">
        <f>MAX(0,1+INDEX(配置与结果!$J$15:$J$18,F1652)+IF(T1652&gt;0,方案参数!$BY$48,0)-配置与结果!$B$30)</f>
        <v>1</v>
      </c>
      <c r="AQ1652" s="7">
        <f t="shared" si="2269"/>
        <v>0</v>
      </c>
      <c r="AR1652" s="7">
        <f t="shared" si="2270"/>
        <v>0</v>
      </c>
      <c r="AS1652" s="7">
        <f t="shared" si="2271"/>
        <v>0</v>
      </c>
      <c r="AT1652" s="7">
        <f>IF(U1652&gt;0,ROUNDDOWN(AL1652*方案参数!$AF$48,0)*(1-AJ1652)+ROUNDDOWN(AM1652*方案参数!$AF$48,0)*AJ1652,0)</f>
        <v>203281</v>
      </c>
      <c r="AU1652" s="7">
        <f t="shared" si="2272"/>
        <v>711484</v>
      </c>
      <c r="AV1652" s="1">
        <f t="shared" si="2273"/>
        <v>2</v>
      </c>
      <c r="AW1652" s="1">
        <f t="shared" si="2326"/>
        <v>10</v>
      </c>
      <c r="AX1652" s="1">
        <f t="shared" si="2274"/>
        <v>2</v>
      </c>
      <c r="AY1652" s="1">
        <f>MIN(20,MAX(0,O1652+0+1-0))</f>
        <v>3</v>
      </c>
      <c r="AZ1652" s="1">
        <f t="shared" si="2275"/>
        <v>5</v>
      </c>
      <c r="BA1652" s="1">
        <f t="shared" si="2317"/>
        <v>5</v>
      </c>
      <c r="BB1652" s="1">
        <f t="shared" si="2325"/>
        <v>20</v>
      </c>
      <c r="BC1652" s="1">
        <f t="shared" si="2323"/>
        <v>3</v>
      </c>
      <c r="BD1652" s="1">
        <f t="shared" si="2304"/>
        <v>0</v>
      </c>
      <c r="BE1652" s="1">
        <f>MAX(0,U1652-IF(AF1652&gt;0,1,0))+0</f>
        <v>0</v>
      </c>
      <c r="BF1652" s="1">
        <f t="shared" si="2327"/>
        <v>4</v>
      </c>
      <c r="BG1652" s="1">
        <f t="shared" si="2314"/>
        <v>1</v>
      </c>
      <c r="BH1652" s="1">
        <f t="shared" si="2298"/>
        <v>1</v>
      </c>
      <c r="BI1652" s="1">
        <f t="shared" si="2315"/>
        <v>1</v>
      </c>
      <c r="BJ1652" s="1">
        <f t="shared" si="2318"/>
        <v>1</v>
      </c>
      <c r="BK1652" s="1">
        <f t="shared" si="2319"/>
        <v>1</v>
      </c>
      <c r="BL1652" s="1">
        <f t="shared" si="2324"/>
        <v>1</v>
      </c>
      <c r="BM1652" s="1">
        <f t="shared" si="2322"/>
        <v>1</v>
      </c>
      <c r="BN1652" s="1">
        <f t="shared" si="2299"/>
        <v>1</v>
      </c>
      <c r="BO1652" s="1">
        <f t="shared" si="2300"/>
        <v>1</v>
      </c>
    </row>
    <row r="1653" spans="1:67" ht="30.95" customHeight="1">
      <c r="A1653" s="1">
        <f>45</f>
        <v>45</v>
      </c>
      <c r="B1653" s="1">
        <f>固定流程!A33</f>
        <v>28</v>
      </c>
      <c r="C1653" s="1">
        <f>48</f>
        <v>48</v>
      </c>
      <c r="D1653" s="1">
        <f>2</f>
        <v>2</v>
      </c>
      <c r="E1653" s="1">
        <f>固定流程!C33</f>
        <v>3</v>
      </c>
      <c r="F1653" s="1">
        <f>固定流程!G33</f>
        <v>1</v>
      </c>
      <c r="G1653" s="1" t="str">
        <f>固定流程!H33</f>
        <v>LILYA_WEAK</v>
      </c>
      <c r="H1653" s="1">
        <f>固定流程!F33</f>
        <v>1</v>
      </c>
      <c r="I1653" s="1">
        <f>INDEX(配置与结果!$B$15:$B$18,F1653)</f>
        <v>2296</v>
      </c>
      <c r="J1653" s="1">
        <f>INDEX(配置与结果!$D$15:$D$18,F1653)</f>
        <v>0.7</v>
      </c>
      <c r="K1653" s="1">
        <f>INDEX(配置与结果!$E$15:$E$18,F1653)</f>
        <v>2.0249999999999999</v>
      </c>
      <c r="L1653" s="1">
        <f t="shared" si="2311"/>
        <v>2</v>
      </c>
      <c r="M1653" s="1">
        <f t="shared" si="2312"/>
        <v>10</v>
      </c>
      <c r="N1653" s="1">
        <f t="shared" si="2313"/>
        <v>2</v>
      </c>
      <c r="O1653" s="1">
        <f t="shared" si="2305"/>
        <v>3</v>
      </c>
      <c r="P1653" s="1">
        <f>MIN(方案参数!$AI$48,AZ1652+0+0)</f>
        <v>5</v>
      </c>
      <c r="Q1653" s="1">
        <f t="shared" si="2283"/>
        <v>5</v>
      </c>
      <c r="R1653" s="1">
        <f t="shared" si="2284"/>
        <v>20</v>
      </c>
      <c r="S1653" s="1">
        <f t="shared" si="2285"/>
        <v>3</v>
      </c>
      <c r="T1653" s="1">
        <f t="shared" si="2320"/>
        <v>0</v>
      </c>
      <c r="U1653" s="1">
        <f t="shared" si="2287"/>
        <v>0</v>
      </c>
      <c r="V1653" s="1">
        <f t="shared" si="2288"/>
        <v>4</v>
      </c>
      <c r="W1653" s="1">
        <f t="shared" si="2289"/>
        <v>1</v>
      </c>
      <c r="X1653" s="1">
        <f t="shared" si="2290"/>
        <v>1</v>
      </c>
      <c r="Y1653" s="1">
        <f t="shared" si="2291"/>
        <v>1</v>
      </c>
      <c r="Z1653" s="1">
        <f t="shared" si="2292"/>
        <v>1</v>
      </c>
      <c r="AA1653" s="1">
        <f t="shared" si="2316"/>
        <v>1</v>
      </c>
      <c r="AB1653" s="1">
        <f t="shared" si="2294"/>
        <v>1</v>
      </c>
      <c r="AC1653" s="1">
        <f t="shared" si="2321"/>
        <v>1</v>
      </c>
      <c r="AD1653" s="1">
        <f>ROUNDDOWN(I1653*(1+IF(F1653=3,0.05+方案参数!$Y$48+AA1653*0.12,IF(F1653=4,方案参数!$BZ$48*方案参数!$AS$48,0)))+IF(AND(X1653=1,F1653&lt;&gt;3),方案参数!$CC$48,0)+AC1653*方案参数!$CB$48,0)</f>
        <v>3034</v>
      </c>
      <c r="AE1653" s="1">
        <f>IF(OR(F1653=1,F1653=4),配置与结果!$B$24,配置与结果!$B$25)*MAX(0,1-INDEX(配置与结果!$I$15:$I$18,F1653))</f>
        <v>1200</v>
      </c>
      <c r="AF1653" s="1">
        <f>方案参数!$BL$48</f>
        <v>9</v>
      </c>
      <c r="AG1653" s="1">
        <f>MAX(配置与结果!$B$32,1+INDEX(配置与结果!$F$15:$F$18,F1653)+0.08+方案参数!$CD$48+Q1653*方案参数!$W$48+Y1653*(方案参数!$AN$48+MIN(方案参数!$AO$48,P1653*0.03))+AB1653*方案参数!$BZ$48*0.025-配置与结果!$B$28+方案参数!$AE$48)</f>
        <v>2.6150000000000002</v>
      </c>
      <c r="AH1653" s="1">
        <f>MAX(0,1+V1653*方案参数!$U$48+4*方案参数!$V$48+方案参数!$AE$48-配置与结果!$B$29)</f>
        <v>1.7999999999999998</v>
      </c>
      <c r="AI1653" s="1">
        <f>IF(OR(INDEX(配置与结果!$K$15:$K$18,F1653)=1,G1653="RHI_BERRY"),1+配置与结果!$B$33+P1653*方案参数!$AH$48,1)</f>
        <v>1</v>
      </c>
      <c r="AJ1653" s="1">
        <f>MIN(1,MAX(0,J1653+方案参数!$AB$48-配置与结果!$B$27))</f>
        <v>1</v>
      </c>
      <c r="AK1653" s="1">
        <f>MAX(1,K1653+IF(F1653=2,0.15+方案参数!$CH$48,0)+BN1653*方案参数!$X$48+R1653*方案参数!$AA$48+方案参数!$BP$48-配置与结果!$B$26+Z1653*(方案参数!$AP$48+MIN(方案参数!$AQ$48,P1653*0.03)))</f>
        <v>2.8450000000000002</v>
      </c>
      <c r="AL1653" s="7">
        <f>ROUNDDOWN(MAX(AD1653*配置与结果!$B$31,AD1653-AE1653)*AF1653*AG1653*AH1653*AI1653,0)</f>
        <v>77693</v>
      </c>
      <c r="AM1653" s="7">
        <f>ROUNDDOWN(MAX(AD1653*配置与结果!$B$31,AD1653-AE1653)*AF1653*AG1653*AH1653*AI1653*AK1653,0)</f>
        <v>221038</v>
      </c>
      <c r="AN1653" s="7">
        <f t="shared" si="2268"/>
        <v>221038</v>
      </c>
      <c r="AO1653" s="7">
        <f>0</f>
        <v>0</v>
      </c>
      <c r="AP1653" s="7">
        <f>MAX(0,1+INDEX(配置与结果!$J$15:$J$18,F1653)+IF(T1653&gt;0,方案参数!$BY$48,0)-配置与结果!$B$30)</f>
        <v>1</v>
      </c>
      <c r="AQ1653" s="7">
        <f t="shared" si="2269"/>
        <v>0</v>
      </c>
      <c r="AR1653" s="7">
        <f t="shared" si="2270"/>
        <v>0</v>
      </c>
      <c r="AS1653" s="7">
        <f t="shared" si="2271"/>
        <v>0</v>
      </c>
      <c r="AT1653" s="7">
        <f>IF(U1653&gt;0,ROUNDDOWN(AL1653*方案参数!$AF$48,0)*(1-AJ1653)+ROUNDDOWN(AM1653*方案参数!$AF$48,0)*AJ1653,0)</f>
        <v>0</v>
      </c>
      <c r="AU1653" s="7">
        <f t="shared" si="2272"/>
        <v>221038</v>
      </c>
      <c r="AV1653" s="1">
        <f t="shared" si="2273"/>
        <v>2</v>
      </c>
      <c r="AW1653" s="1">
        <f t="shared" si="2326"/>
        <v>10</v>
      </c>
      <c r="AX1653" s="1">
        <f t="shared" si="2274"/>
        <v>2</v>
      </c>
      <c r="AY1653" s="1">
        <f>MIN(20,MAX(0,O1653+0+1-0))</f>
        <v>4</v>
      </c>
      <c r="AZ1653" s="1">
        <f t="shared" si="2275"/>
        <v>5</v>
      </c>
      <c r="BA1653" s="1">
        <f t="shared" si="2317"/>
        <v>5</v>
      </c>
      <c r="BB1653" s="1">
        <f t="shared" si="2325"/>
        <v>20</v>
      </c>
      <c r="BC1653" s="1">
        <f t="shared" si="2323"/>
        <v>3</v>
      </c>
      <c r="BD1653" s="1">
        <f t="shared" si="2304"/>
        <v>0</v>
      </c>
      <c r="BE1653" s="1">
        <f>MAX(0,U1653-IF(AF1653&gt;0,1,0))+0</f>
        <v>0</v>
      </c>
      <c r="BF1653" s="1">
        <f t="shared" si="2327"/>
        <v>4</v>
      </c>
      <c r="BG1653" s="1">
        <f t="shared" si="2314"/>
        <v>1</v>
      </c>
      <c r="BH1653" s="1">
        <f t="shared" si="2298"/>
        <v>1</v>
      </c>
      <c r="BI1653" s="1">
        <f t="shared" si="2315"/>
        <v>1</v>
      </c>
      <c r="BJ1653" s="1">
        <f t="shared" si="2318"/>
        <v>1</v>
      </c>
      <c r="BK1653" s="1">
        <f t="shared" si="2319"/>
        <v>1</v>
      </c>
      <c r="BL1653" s="1">
        <f t="shared" si="2324"/>
        <v>1</v>
      </c>
      <c r="BM1653" s="1">
        <f t="shared" si="2322"/>
        <v>1</v>
      </c>
      <c r="BN1653" s="1">
        <f t="shared" si="2299"/>
        <v>1</v>
      </c>
      <c r="BO1653" s="1">
        <f t="shared" si="2300"/>
        <v>1</v>
      </c>
    </row>
    <row r="1654" spans="1:67" ht="30.95" customHeight="1">
      <c r="A1654" s="1">
        <f>45</f>
        <v>45</v>
      </c>
      <c r="B1654" s="1">
        <f>固定流程!A34</f>
        <v>29</v>
      </c>
      <c r="C1654" s="1">
        <f>48</f>
        <v>48</v>
      </c>
      <c r="D1654" s="1">
        <f>2</f>
        <v>2</v>
      </c>
      <c r="E1654" s="1">
        <f>固定流程!C34</f>
        <v>3</v>
      </c>
      <c r="F1654" s="1">
        <f>固定流程!G34</f>
        <v>1</v>
      </c>
      <c r="G1654" s="1" t="str">
        <f>固定流程!H34</f>
        <v>LILYA_WEAK</v>
      </c>
      <c r="H1654" s="1">
        <f>固定流程!F34</f>
        <v>1</v>
      </c>
      <c r="I1654" s="1">
        <f>INDEX(配置与结果!$B$15:$B$18,F1654)</f>
        <v>2296</v>
      </c>
      <c r="J1654" s="1">
        <f>INDEX(配置与结果!$D$15:$D$18,F1654)</f>
        <v>0.7</v>
      </c>
      <c r="K1654" s="1">
        <f>INDEX(配置与结果!$E$15:$E$18,F1654)</f>
        <v>2.0249999999999999</v>
      </c>
      <c r="L1654" s="1">
        <f t="shared" si="2311"/>
        <v>2</v>
      </c>
      <c r="M1654" s="1">
        <f t="shared" si="2312"/>
        <v>10</v>
      </c>
      <c r="N1654" s="1">
        <f t="shared" si="2313"/>
        <v>2</v>
      </c>
      <c r="O1654" s="1">
        <f t="shared" si="2305"/>
        <v>4</v>
      </c>
      <c r="P1654" s="1">
        <f>MIN(方案参数!$AI$48,AZ1653+0+0)</f>
        <v>5</v>
      </c>
      <c r="Q1654" s="1">
        <f t="shared" si="2283"/>
        <v>5</v>
      </c>
      <c r="R1654" s="1">
        <f t="shared" si="2284"/>
        <v>20</v>
      </c>
      <c r="S1654" s="1">
        <f t="shared" si="2285"/>
        <v>3</v>
      </c>
      <c r="T1654" s="1">
        <f t="shared" si="2320"/>
        <v>0</v>
      </c>
      <c r="U1654" s="1">
        <f t="shared" si="2287"/>
        <v>0</v>
      </c>
      <c r="V1654" s="1">
        <f t="shared" si="2288"/>
        <v>4</v>
      </c>
      <c r="W1654" s="1">
        <f t="shared" si="2289"/>
        <v>1</v>
      </c>
      <c r="X1654" s="1">
        <f t="shared" si="2290"/>
        <v>1</v>
      </c>
      <c r="Y1654" s="1">
        <f t="shared" si="2291"/>
        <v>1</v>
      </c>
      <c r="Z1654" s="1">
        <f t="shared" si="2292"/>
        <v>1</v>
      </c>
      <c r="AA1654" s="1">
        <f t="shared" si="2316"/>
        <v>1</v>
      </c>
      <c r="AB1654" s="1">
        <f t="shared" si="2294"/>
        <v>1</v>
      </c>
      <c r="AC1654" s="1">
        <f t="shared" si="2321"/>
        <v>1</v>
      </c>
      <c r="AD1654" s="1">
        <f>ROUNDDOWN(I1654*(1+IF(F1654=3,0.05+方案参数!$Y$48+AA1654*0.12,IF(F1654=4,方案参数!$BZ$48*方案参数!$AS$48,0)))+IF(AND(X1654=1,F1654&lt;&gt;3),方案参数!$CC$48,0)+AC1654*方案参数!$CB$48,0)</f>
        <v>3034</v>
      </c>
      <c r="AE1654" s="1">
        <f>IF(OR(F1654=1,F1654=4),配置与结果!$B$24,配置与结果!$B$25)*MAX(0,1-INDEX(配置与结果!$I$15:$I$18,F1654))</f>
        <v>1200</v>
      </c>
      <c r="AF1654" s="1">
        <f>方案参数!$BL$48</f>
        <v>9</v>
      </c>
      <c r="AG1654" s="1">
        <f>MAX(配置与结果!$B$32,1+INDEX(配置与结果!$F$15:$F$18,F1654)+0.08+方案参数!$CD$48+Q1654*方案参数!$W$48+Y1654*(方案参数!$AN$48+MIN(方案参数!$AO$48,P1654*0.03))+AB1654*方案参数!$BZ$48*0.025-配置与结果!$B$28+方案参数!$AE$48)</f>
        <v>2.6150000000000002</v>
      </c>
      <c r="AH1654" s="1">
        <f>MAX(0,1+V1654*方案参数!$U$48+5*方案参数!$V$48+方案参数!$AE$48-配置与结果!$B$29)</f>
        <v>1.8599999999999999</v>
      </c>
      <c r="AI1654" s="1">
        <f>IF(OR(INDEX(配置与结果!$K$15:$K$18,F1654)=1,G1654="RHI_BERRY"),1+配置与结果!$B$33+P1654*方案参数!$AH$48,1)</f>
        <v>1</v>
      </c>
      <c r="AJ1654" s="1">
        <f>MIN(1,MAX(0,J1654+方案参数!$AB$48-配置与结果!$B$27))</f>
        <v>1</v>
      </c>
      <c r="AK1654" s="1">
        <f>MAX(1,K1654+IF(F1654=2,0.15+方案参数!$CH$48,0)+BN1654*方案参数!$X$48+R1654*方案参数!$AA$48+方案参数!$BP$48-配置与结果!$B$26+Z1654*(方案参数!$AP$48+MIN(方案参数!$AQ$48,P1654*0.03)))</f>
        <v>2.8450000000000002</v>
      </c>
      <c r="AL1654" s="7">
        <f>ROUNDDOWN(MAX(AD1654*配置与结果!$B$31,AD1654-AE1654)*AF1654*AG1654*AH1654*AI1654,0)</f>
        <v>80283</v>
      </c>
      <c r="AM1654" s="7">
        <f>ROUNDDOWN(MAX(AD1654*配置与结果!$B$31,AD1654-AE1654)*AF1654*AG1654*AH1654*AI1654*AK1654,0)</f>
        <v>228406</v>
      </c>
      <c r="AN1654" s="7">
        <f t="shared" si="2268"/>
        <v>228406</v>
      </c>
      <c r="AO1654" s="7">
        <f>0</f>
        <v>0</v>
      </c>
      <c r="AP1654" s="7">
        <f>MAX(0,1+INDEX(配置与结果!$J$15:$J$18,F1654)+IF(T1654&gt;0,方案参数!$BY$48,0)-配置与结果!$B$30)</f>
        <v>1</v>
      </c>
      <c r="AQ1654" s="7">
        <f t="shared" si="2269"/>
        <v>0</v>
      </c>
      <c r="AR1654" s="7">
        <f t="shared" si="2270"/>
        <v>0</v>
      </c>
      <c r="AS1654" s="7">
        <f t="shared" si="2271"/>
        <v>0</v>
      </c>
      <c r="AT1654" s="7">
        <f>IF(U1654&gt;0,ROUNDDOWN(AL1654*方案参数!$AF$48,0)*(1-AJ1654)+ROUNDDOWN(AM1654*方案参数!$AF$48,0)*AJ1654,0)</f>
        <v>0</v>
      </c>
      <c r="AU1654" s="7">
        <f t="shared" si="2272"/>
        <v>228406</v>
      </c>
      <c r="AV1654" s="1">
        <f t="shared" si="2273"/>
        <v>2</v>
      </c>
      <c r="AW1654" s="1">
        <f t="shared" si="2326"/>
        <v>10</v>
      </c>
      <c r="AX1654" s="1">
        <f t="shared" si="2274"/>
        <v>2</v>
      </c>
      <c r="AY1654" s="1">
        <f>MIN(20,MAX(0,O1654+0+1-0))</f>
        <v>5</v>
      </c>
      <c r="AZ1654" s="1">
        <f t="shared" si="2275"/>
        <v>5</v>
      </c>
      <c r="BA1654" s="1">
        <f t="shared" si="2317"/>
        <v>5</v>
      </c>
      <c r="BB1654" s="1">
        <f t="shared" si="2325"/>
        <v>20</v>
      </c>
      <c r="BC1654" s="1">
        <f t="shared" si="2323"/>
        <v>3</v>
      </c>
      <c r="BD1654" s="1">
        <f t="shared" si="2304"/>
        <v>0</v>
      </c>
      <c r="BE1654" s="1">
        <f>MAX(0,U1654-IF(AF1654&gt;0,1,0))+0</f>
        <v>0</v>
      </c>
      <c r="BF1654" s="1">
        <f t="shared" si="2327"/>
        <v>4</v>
      </c>
      <c r="BG1654" s="1">
        <f t="shared" si="2314"/>
        <v>1</v>
      </c>
      <c r="BH1654" s="1">
        <f t="shared" si="2298"/>
        <v>1</v>
      </c>
      <c r="BI1654" s="1">
        <f t="shared" si="2315"/>
        <v>1</v>
      </c>
      <c r="BJ1654" s="1">
        <f t="shared" si="2318"/>
        <v>1</v>
      </c>
      <c r="BK1654" s="1">
        <f t="shared" si="2319"/>
        <v>1</v>
      </c>
      <c r="BL1654" s="1">
        <f t="shared" si="2324"/>
        <v>1</v>
      </c>
      <c r="BM1654" s="1">
        <f t="shared" si="2322"/>
        <v>1</v>
      </c>
      <c r="BN1654" s="1">
        <f t="shared" si="2299"/>
        <v>1</v>
      </c>
      <c r="BO1654" s="1">
        <f t="shared" si="2300"/>
        <v>1</v>
      </c>
    </row>
    <row r="1655" spans="1:67" ht="30.95" customHeight="1">
      <c r="A1655" s="1">
        <f>45</f>
        <v>45</v>
      </c>
      <c r="B1655" s="1">
        <f>固定流程!A35</f>
        <v>30</v>
      </c>
      <c r="C1655" s="1">
        <f>48</f>
        <v>48</v>
      </c>
      <c r="D1655" s="1">
        <f>2</f>
        <v>2</v>
      </c>
      <c r="E1655" s="1">
        <f>固定流程!C35</f>
        <v>3</v>
      </c>
      <c r="F1655" s="1">
        <f>固定流程!G35</f>
        <v>2</v>
      </c>
      <c r="G1655" s="1" t="str">
        <f>固定流程!H35</f>
        <v>37_WEAK</v>
      </c>
      <c r="H1655" s="1">
        <f>固定流程!F35</f>
        <v>1</v>
      </c>
      <c r="I1655" s="1">
        <f>INDEX(配置与结果!$B$15:$B$18,F1655)</f>
        <v>2306</v>
      </c>
      <c r="J1655" s="1">
        <f>INDEX(配置与结果!$D$15:$D$18,F1655)</f>
        <v>0.46</v>
      </c>
      <c r="K1655" s="1">
        <f>INDEX(配置与结果!$E$15:$E$18,F1655)</f>
        <v>1.9279999999999999</v>
      </c>
      <c r="L1655" s="1">
        <f t="shared" si="2311"/>
        <v>2</v>
      </c>
      <c r="M1655" s="1">
        <f t="shared" si="2312"/>
        <v>10</v>
      </c>
      <c r="N1655" s="1">
        <f t="shared" si="2313"/>
        <v>2</v>
      </c>
      <c r="O1655" s="1">
        <f t="shared" si="2305"/>
        <v>5</v>
      </c>
      <c r="P1655" s="1">
        <f>MIN(方案参数!$AI$48,AZ1654+0+0)</f>
        <v>5</v>
      </c>
      <c r="Q1655" s="1">
        <f t="shared" si="2283"/>
        <v>5</v>
      </c>
      <c r="R1655" s="1">
        <f t="shared" si="2284"/>
        <v>20</v>
      </c>
      <c r="S1655" s="1">
        <f t="shared" si="2285"/>
        <v>3</v>
      </c>
      <c r="T1655" s="1">
        <f t="shared" si="2320"/>
        <v>0</v>
      </c>
      <c r="U1655" s="1">
        <f t="shared" si="2287"/>
        <v>0</v>
      </c>
      <c r="V1655" s="1">
        <f t="shared" si="2288"/>
        <v>4</v>
      </c>
      <c r="W1655" s="1">
        <f t="shared" si="2289"/>
        <v>1</v>
      </c>
      <c r="X1655" s="1">
        <f t="shared" si="2290"/>
        <v>1</v>
      </c>
      <c r="Y1655" s="1">
        <f t="shared" si="2291"/>
        <v>1</v>
      </c>
      <c r="Z1655" s="1">
        <f t="shared" si="2292"/>
        <v>1</v>
      </c>
      <c r="AA1655" s="1">
        <f t="shared" si="2316"/>
        <v>1</v>
      </c>
      <c r="AB1655" s="1">
        <f t="shared" si="2294"/>
        <v>1</v>
      </c>
      <c r="AC1655" s="1">
        <f t="shared" si="2321"/>
        <v>1</v>
      </c>
      <c r="AD1655" s="1">
        <f>ROUNDDOWN(I1655*(1+IF(F1655=3,0.05+方案参数!$Y$48+AA1655*0.12,IF(F1655=4,方案参数!$BZ$48*方案参数!$AS$48,0)))+IF(AND(X1655=1,F1655&lt;&gt;3),方案参数!$CC$48,0)+AC1655*方案参数!$CB$48,0)</f>
        <v>3044</v>
      </c>
      <c r="AE1655" s="1">
        <f>IF(OR(F1655=1,F1655=4),配置与结果!$B$24,配置与结果!$B$25)*MAX(0,1-INDEX(配置与结果!$I$15:$I$18,F1655))</f>
        <v>1000</v>
      </c>
      <c r="AF1655" s="1">
        <f>方案参数!$CE$48</f>
        <v>8</v>
      </c>
      <c r="AG1655" s="1">
        <f>MAX(配置与结果!$B$32,1+INDEX(配置与结果!$F$15:$F$18,F1655)+0+Q1655*方案参数!$W$48+Y1655*(方案参数!$AN$48+MIN(方案参数!$AO$48,P1655*0.03))+AB1655*方案参数!$BZ$48*0.025-配置与结果!$B$28+方案参数!$AE$48)</f>
        <v>2.2800000000000002</v>
      </c>
      <c r="AH1655" s="1">
        <f>MAX(0,1+V1655*方案参数!$U$48+方案参数!$AE$48-配置与结果!$B$29)</f>
        <v>1.56</v>
      </c>
      <c r="AI1655" s="1">
        <f>IF(OR(INDEX(配置与结果!$K$15:$K$18,F1655)=1,G1655="RHI_BERRY"),1+配置与结果!$B$33+P1655*方案参数!$AH$48,1)</f>
        <v>1</v>
      </c>
      <c r="AJ1655" s="1">
        <f>MIN(1,MAX(0,J1655+方案参数!$AB$48-配置与结果!$B$27))</f>
        <v>0.76</v>
      </c>
      <c r="AK1655" s="1">
        <f>MAX(1,K1655+IF(F1655=2,0.15+方案参数!$CH$48,0)+BN1655*方案参数!$X$48+R1655*方案参数!$AA$48+0-配置与结果!$B$26+Z1655*(方案参数!$AP$48+MIN(方案参数!$AQ$48,P1655*0.03)))</f>
        <v>2.4180000000000001</v>
      </c>
      <c r="AL1655" s="7">
        <f>ROUNDDOWN(MAX(AD1655*配置与结果!$B$31,AD1655-AE1655)*AF1655*AG1655*AH1655*AI1655,0)</f>
        <v>58160</v>
      </c>
      <c r="AM1655" s="7">
        <f>ROUNDDOWN(MAX(AD1655*配置与结果!$B$31,AD1655-AE1655)*AF1655*AG1655*AH1655*AI1655*AK1655,0)</f>
        <v>140632</v>
      </c>
      <c r="AN1655" s="7">
        <f t="shared" si="2268"/>
        <v>120838.72</v>
      </c>
      <c r="AO1655" s="7">
        <f>0</f>
        <v>0</v>
      </c>
      <c r="AP1655" s="7">
        <f>MAX(0,1+INDEX(配置与结果!$J$15:$J$18,F1655)+IF(T1655&gt;0,方案参数!$BY$48,0)-配置与结果!$B$30)</f>
        <v>1</v>
      </c>
      <c r="AQ1655" s="7">
        <f t="shared" si="2269"/>
        <v>0</v>
      </c>
      <c r="AR1655" s="7">
        <f t="shared" si="2270"/>
        <v>0</v>
      </c>
      <c r="AS1655" s="7">
        <f t="shared" si="2271"/>
        <v>0</v>
      </c>
      <c r="AT1655" s="7">
        <f>IF(U1655&gt;0,ROUNDDOWN(AL1655*方案参数!$AF$48,0)*(1-AJ1655)+ROUNDDOWN(AM1655*方案参数!$AF$48,0)*AJ1655,0)</f>
        <v>0</v>
      </c>
      <c r="AU1655" s="7">
        <f t="shared" si="2272"/>
        <v>120838.72</v>
      </c>
      <c r="AV1655" s="1">
        <f t="shared" si="2273"/>
        <v>2</v>
      </c>
      <c r="AW1655" s="1">
        <f t="shared" si="2326"/>
        <v>10</v>
      </c>
      <c r="AX1655" s="1">
        <f t="shared" si="2274"/>
        <v>2</v>
      </c>
      <c r="AY1655" s="1">
        <f>MIN(20,MAX(0,O1655+0+0-0))</f>
        <v>5</v>
      </c>
      <c r="AZ1655" s="1">
        <f t="shared" si="2275"/>
        <v>5</v>
      </c>
      <c r="BA1655" s="1">
        <f t="shared" si="2317"/>
        <v>5</v>
      </c>
      <c r="BB1655" s="1">
        <f t="shared" si="2325"/>
        <v>20</v>
      </c>
      <c r="BC1655" s="1">
        <f t="shared" si="2323"/>
        <v>3</v>
      </c>
      <c r="BD1655" s="1">
        <f t="shared" si="2304"/>
        <v>0</v>
      </c>
      <c r="BE1655" s="1">
        <f>MAX(0,U1655-IF(AF1655&gt;0,1,0))+1</f>
        <v>1</v>
      </c>
      <c r="BF1655" s="1">
        <f t="shared" si="2327"/>
        <v>4</v>
      </c>
      <c r="BG1655" s="1">
        <f t="shared" si="2314"/>
        <v>1</v>
      </c>
      <c r="BH1655" s="1">
        <f t="shared" si="2298"/>
        <v>1</v>
      </c>
      <c r="BI1655" s="1">
        <f t="shared" si="2315"/>
        <v>1</v>
      </c>
      <c r="BJ1655" s="1">
        <f t="shared" si="2318"/>
        <v>1</v>
      </c>
      <c r="BK1655" s="1">
        <f t="shared" si="2319"/>
        <v>1</v>
      </c>
      <c r="BL1655" s="1">
        <f t="shared" si="2324"/>
        <v>1</v>
      </c>
      <c r="BM1655" s="1">
        <f t="shared" si="2322"/>
        <v>1</v>
      </c>
      <c r="BN1655" s="1">
        <f t="shared" si="2299"/>
        <v>1</v>
      </c>
      <c r="BO1655" s="1">
        <f t="shared" si="2300"/>
        <v>1</v>
      </c>
    </row>
    <row r="1656" spans="1:67" ht="30.95" customHeight="1">
      <c r="A1656" s="1">
        <f>45</f>
        <v>45</v>
      </c>
      <c r="B1656" s="1">
        <f>固定流程!A36</f>
        <v>31</v>
      </c>
      <c r="C1656" s="1">
        <f>48</f>
        <v>48</v>
      </c>
      <c r="D1656" s="1">
        <f>2</f>
        <v>2</v>
      </c>
      <c r="E1656" s="1">
        <f>固定流程!C36</f>
        <v>3</v>
      </c>
      <c r="F1656" s="1">
        <f>固定流程!G36</f>
        <v>1</v>
      </c>
      <c r="G1656" s="1" t="str">
        <f>固定流程!H36</f>
        <v>LILYA_THIRD</v>
      </c>
      <c r="H1656" s="1">
        <f>固定流程!F36</f>
        <v>1</v>
      </c>
      <c r="I1656" s="1">
        <f>INDEX(配置与结果!$B$15:$B$18,F1656)</f>
        <v>2296</v>
      </c>
      <c r="J1656" s="1">
        <f>INDEX(配置与结果!$D$15:$D$18,F1656)</f>
        <v>0.7</v>
      </c>
      <c r="K1656" s="1">
        <f>INDEX(配置与结果!$E$15:$E$18,F1656)</f>
        <v>2.0249999999999999</v>
      </c>
      <c r="L1656" s="1">
        <f t="shared" si="2311"/>
        <v>2</v>
      </c>
      <c r="M1656" s="1">
        <f t="shared" si="2312"/>
        <v>10</v>
      </c>
      <c r="N1656" s="1">
        <f t="shared" si="2313"/>
        <v>2</v>
      </c>
      <c r="O1656" s="1">
        <f t="shared" si="2305"/>
        <v>5</v>
      </c>
      <c r="P1656" s="1">
        <f>MIN(方案参数!$AI$48,AZ1655+0+0)</f>
        <v>5</v>
      </c>
      <c r="Q1656" s="1">
        <f t="shared" si="2283"/>
        <v>5</v>
      </c>
      <c r="R1656" s="1">
        <f t="shared" si="2284"/>
        <v>20</v>
      </c>
      <c r="S1656" s="1">
        <f t="shared" si="2285"/>
        <v>3</v>
      </c>
      <c r="T1656" s="1">
        <f t="shared" si="2320"/>
        <v>0</v>
      </c>
      <c r="U1656" s="1">
        <f t="shared" si="2287"/>
        <v>1</v>
      </c>
      <c r="V1656" s="1">
        <f t="shared" si="2288"/>
        <v>4</v>
      </c>
      <c r="W1656" s="1">
        <f t="shared" si="2289"/>
        <v>1</v>
      </c>
      <c r="X1656" s="1">
        <f t="shared" si="2290"/>
        <v>1</v>
      </c>
      <c r="Y1656" s="1">
        <f t="shared" si="2291"/>
        <v>1</v>
      </c>
      <c r="Z1656" s="1">
        <f t="shared" si="2292"/>
        <v>1</v>
      </c>
      <c r="AA1656" s="1">
        <f t="shared" si="2316"/>
        <v>1</v>
      </c>
      <c r="AB1656" s="1">
        <f t="shared" si="2294"/>
        <v>1</v>
      </c>
      <c r="AC1656" s="1">
        <f t="shared" si="2321"/>
        <v>1</v>
      </c>
      <c r="AD1656" s="1">
        <f>ROUNDDOWN(I1656*(1+IF(F1656=3,0.05+方案参数!$Y$48+AA1656*0.12,IF(F1656=4,方案参数!$BZ$48*方案参数!$AS$48,0)))+IF(AND(X1656=1,F1656&lt;&gt;3),方案参数!$CC$48,0)+AC1656*方案参数!$CB$48,0)</f>
        <v>3034</v>
      </c>
      <c r="AE1656" s="1">
        <f>IF(OR(F1656=1,F1656=4),配置与结果!$B$24,配置与结果!$B$25)*MAX(0,1-INDEX(配置与结果!$I$15:$I$18,F1656))</f>
        <v>1200</v>
      </c>
      <c r="AF1656" s="1">
        <f>方案参数!$BM$48</f>
        <v>20</v>
      </c>
      <c r="AG1656" s="1">
        <f>MAX(配置与结果!$B$32,1+INDEX(配置与结果!$F$15:$F$18,F1656)+0.08+方案参数!$CD$48+Q1656*方案参数!$W$48+Y1656*(方案参数!$AN$48+MIN(方案参数!$AO$48,P1656*0.03))+AB1656*方案参数!$BZ$48*0.025-配置与结果!$B$28+方案参数!$AE$48)</f>
        <v>2.6150000000000002</v>
      </c>
      <c r="AH1656" s="1">
        <f>MAX(0,1+V1656*方案参数!$U$48+7*方案参数!$V$48+方案参数!$AE$48-配置与结果!$B$29)</f>
        <v>1.98</v>
      </c>
      <c r="AI1656" s="1">
        <f>IF(OR(INDEX(配置与结果!$K$15:$K$18,F1656)=1,G1656="RHI_BERRY"),1+配置与结果!$B$33+P1656*方案参数!$AH$48,1)</f>
        <v>1</v>
      </c>
      <c r="AJ1656" s="1">
        <f>MIN(1,MAX(0,J1656+方案参数!$AB$48-配置与结果!$B$27))</f>
        <v>1</v>
      </c>
      <c r="AK1656" s="1">
        <f>MAX(1,K1656+IF(F1656=2,0.15+方案参数!$CH$48,0)+BN1656*方案参数!$X$48+R1656*方案参数!$AA$48+方案参数!$BQ$48-配置与结果!$B$26+Z1656*(方案参数!$AP$48+MIN(方案参数!$AQ$48,P1656*0.03)))</f>
        <v>3.0450000000000004</v>
      </c>
      <c r="AL1656" s="7">
        <f>ROUNDDOWN(MAX(AD1656*配置与结果!$B$31,AD1656-AE1656)*AF1656*AG1656*AH1656*AI1656,0)</f>
        <v>189918</v>
      </c>
      <c r="AM1656" s="7">
        <f>ROUNDDOWN(MAX(AD1656*配置与结果!$B$31,AD1656-AE1656)*AF1656*AG1656*AH1656*AI1656*AK1656,0)</f>
        <v>578300</v>
      </c>
      <c r="AN1656" s="7">
        <f t="shared" si="2268"/>
        <v>578300</v>
      </c>
      <c r="AO1656" s="7">
        <f>0</f>
        <v>0</v>
      </c>
      <c r="AP1656" s="7">
        <f>MAX(0,1+INDEX(配置与结果!$J$15:$J$18,F1656)+IF(T1656&gt;0,方案参数!$BY$48,0)-配置与结果!$B$30)</f>
        <v>1</v>
      </c>
      <c r="AQ1656" s="7">
        <f t="shared" si="2269"/>
        <v>0</v>
      </c>
      <c r="AR1656" s="7">
        <f t="shared" si="2270"/>
        <v>0</v>
      </c>
      <c r="AS1656" s="7">
        <f t="shared" si="2271"/>
        <v>0</v>
      </c>
      <c r="AT1656" s="7">
        <f>IF(U1656&gt;0,ROUNDDOWN(AL1656*方案参数!$AF$48,0)*(1-AJ1656)+ROUNDDOWN(AM1656*方案参数!$AF$48,0)*AJ1656,0)</f>
        <v>231320</v>
      </c>
      <c r="AU1656" s="7">
        <f t="shared" si="2272"/>
        <v>809620</v>
      </c>
      <c r="AV1656" s="1">
        <f t="shared" si="2273"/>
        <v>2</v>
      </c>
      <c r="AW1656" s="1">
        <f t="shared" si="2326"/>
        <v>10</v>
      </c>
      <c r="AX1656" s="1">
        <f t="shared" si="2274"/>
        <v>2</v>
      </c>
      <c r="AY1656" s="1">
        <f>MIN(20,MAX(0,O1656+0+1-0))</f>
        <v>6</v>
      </c>
      <c r="AZ1656" s="1">
        <f t="shared" si="2275"/>
        <v>5</v>
      </c>
      <c r="BA1656" s="1">
        <f t="shared" si="2317"/>
        <v>5</v>
      </c>
      <c r="BB1656" s="1">
        <f t="shared" si="2325"/>
        <v>20</v>
      </c>
      <c r="BC1656" s="1">
        <f t="shared" si="2323"/>
        <v>3</v>
      </c>
      <c r="BD1656" s="1">
        <f t="shared" si="2304"/>
        <v>0</v>
      </c>
      <c r="BE1656" s="1">
        <f>MAX(0,U1656-IF(AF1656&gt;0,1,0))+0</f>
        <v>0</v>
      </c>
      <c r="BF1656" s="1">
        <f t="shared" si="2327"/>
        <v>4</v>
      </c>
      <c r="BG1656" s="1">
        <f t="shared" si="2314"/>
        <v>1</v>
      </c>
      <c r="BH1656" s="1">
        <f t="shared" si="2298"/>
        <v>1</v>
      </c>
      <c r="BI1656" s="1">
        <f t="shared" si="2315"/>
        <v>1</v>
      </c>
      <c r="BJ1656" s="1">
        <f t="shared" si="2318"/>
        <v>1</v>
      </c>
      <c r="BK1656" s="1">
        <f t="shared" si="2319"/>
        <v>1</v>
      </c>
      <c r="BL1656" s="1">
        <f t="shared" si="2324"/>
        <v>1</v>
      </c>
      <c r="BM1656" s="1">
        <f t="shared" si="2322"/>
        <v>1</v>
      </c>
      <c r="BN1656" s="1">
        <f t="shared" si="2299"/>
        <v>1</v>
      </c>
      <c r="BO1656" s="1">
        <f t="shared" si="2300"/>
        <v>1</v>
      </c>
    </row>
    <row r="1657" spans="1:67" ht="30.95" customHeight="1">
      <c r="A1657" s="1">
        <f>45</f>
        <v>45</v>
      </c>
      <c r="B1657" s="1">
        <f>固定流程!A37</f>
        <v>32</v>
      </c>
      <c r="C1657" s="1">
        <f>48</f>
        <v>48</v>
      </c>
      <c r="D1657" s="1">
        <f>2</f>
        <v>2</v>
      </c>
      <c r="E1657" s="1">
        <f>固定流程!C37</f>
        <v>3</v>
      </c>
      <c r="F1657" s="1">
        <f>固定流程!G37</f>
        <v>1</v>
      </c>
      <c r="G1657" s="1" t="str">
        <f>固定流程!H37</f>
        <v>LILYA_WEAK</v>
      </c>
      <c r="H1657" s="1">
        <f>固定流程!F37</f>
        <v>1</v>
      </c>
      <c r="I1657" s="1">
        <f>INDEX(配置与结果!$B$15:$B$18,F1657)</f>
        <v>2296</v>
      </c>
      <c r="J1657" s="1">
        <f>INDEX(配置与结果!$D$15:$D$18,F1657)</f>
        <v>0.7</v>
      </c>
      <c r="K1657" s="1">
        <f>INDEX(配置与结果!$E$15:$E$18,F1657)</f>
        <v>2.0249999999999999</v>
      </c>
      <c r="L1657" s="1">
        <f t="shared" si="2311"/>
        <v>2</v>
      </c>
      <c r="M1657" s="1">
        <f t="shared" si="2312"/>
        <v>10</v>
      </c>
      <c r="N1657" s="1">
        <f t="shared" si="2313"/>
        <v>2</v>
      </c>
      <c r="O1657" s="1">
        <f t="shared" si="2305"/>
        <v>6</v>
      </c>
      <c r="P1657" s="1">
        <f>MIN(方案参数!$AI$48,AZ1656+0+0)</f>
        <v>5</v>
      </c>
      <c r="Q1657" s="1">
        <f t="shared" si="2283"/>
        <v>5</v>
      </c>
      <c r="R1657" s="1">
        <f t="shared" si="2284"/>
        <v>20</v>
      </c>
      <c r="S1657" s="1">
        <f t="shared" si="2285"/>
        <v>3</v>
      </c>
      <c r="T1657" s="1">
        <f t="shared" si="2320"/>
        <v>0</v>
      </c>
      <c r="U1657" s="1">
        <f t="shared" si="2287"/>
        <v>0</v>
      </c>
      <c r="V1657" s="1">
        <f t="shared" si="2288"/>
        <v>4</v>
      </c>
      <c r="W1657" s="1">
        <f t="shared" si="2289"/>
        <v>1</v>
      </c>
      <c r="X1657" s="1">
        <f t="shared" si="2290"/>
        <v>1</v>
      </c>
      <c r="Y1657" s="1">
        <f t="shared" si="2291"/>
        <v>1</v>
      </c>
      <c r="Z1657" s="1">
        <f t="shared" si="2292"/>
        <v>1</v>
      </c>
      <c r="AA1657" s="1">
        <f t="shared" si="2316"/>
        <v>1</v>
      </c>
      <c r="AB1657" s="1">
        <f t="shared" si="2294"/>
        <v>1</v>
      </c>
      <c r="AC1657" s="1">
        <f t="shared" si="2321"/>
        <v>1</v>
      </c>
      <c r="AD1657" s="1">
        <f>ROUNDDOWN(I1657*(1+IF(F1657=3,0.05+方案参数!$Y$48+AA1657*0.12,IF(F1657=4,方案参数!$BZ$48*方案参数!$AS$48,0)))+IF(AND(X1657=1,F1657&lt;&gt;3),方案参数!$CC$48,0)+AC1657*方案参数!$CB$48,0)</f>
        <v>3034</v>
      </c>
      <c r="AE1657" s="1">
        <f>IF(OR(F1657=1,F1657=4),配置与结果!$B$24,配置与结果!$B$25)*MAX(0,1-INDEX(配置与结果!$I$15:$I$18,F1657))</f>
        <v>1200</v>
      </c>
      <c r="AF1657" s="1">
        <f>方案参数!$BL$48</f>
        <v>9</v>
      </c>
      <c r="AG1657" s="1">
        <f>MAX(配置与结果!$B$32,1+INDEX(配置与结果!$F$15:$F$18,F1657)+0.08+方案参数!$CD$48+Q1657*方案参数!$W$48+Y1657*(方案参数!$AN$48+MIN(方案参数!$AO$48,P1657*0.03))+AB1657*方案参数!$BZ$48*0.025-配置与结果!$B$28+方案参数!$AE$48)</f>
        <v>2.6150000000000002</v>
      </c>
      <c r="AH1657" s="1">
        <f>MAX(0,1+V1657*方案参数!$U$48+8*方案参数!$V$48+方案参数!$AE$48-配置与结果!$B$29)</f>
        <v>2.04</v>
      </c>
      <c r="AI1657" s="1">
        <f>IF(OR(INDEX(配置与结果!$K$15:$K$18,F1657)=1,G1657="RHI_BERRY"),1+配置与结果!$B$33+P1657*方案参数!$AH$48,1)</f>
        <v>1</v>
      </c>
      <c r="AJ1657" s="1">
        <f>MIN(1,MAX(0,J1657+方案参数!$AB$48-配置与结果!$B$27))</f>
        <v>1</v>
      </c>
      <c r="AK1657" s="1">
        <f>MAX(1,K1657+IF(F1657=2,0.15+方案参数!$CH$48,0)+BN1657*方案参数!$X$48+R1657*方案参数!$AA$48+方案参数!$BP$48-配置与结果!$B$26+Z1657*(方案参数!$AP$48+MIN(方案参数!$AQ$48,P1657*0.03)))</f>
        <v>2.8450000000000002</v>
      </c>
      <c r="AL1657" s="7">
        <f>ROUNDDOWN(MAX(AD1657*配置与结果!$B$31,AD1657-AE1657)*AF1657*AG1657*AH1657*AI1657,0)</f>
        <v>88052</v>
      </c>
      <c r="AM1657" s="7">
        <f>ROUNDDOWN(MAX(AD1657*配置与结果!$B$31,AD1657-AE1657)*AF1657*AG1657*AH1657*AI1657*AK1657,0)</f>
        <v>250510</v>
      </c>
      <c r="AN1657" s="7">
        <f t="shared" si="2268"/>
        <v>250510</v>
      </c>
      <c r="AO1657" s="7">
        <f>0</f>
        <v>0</v>
      </c>
      <c r="AP1657" s="7">
        <f>MAX(0,1+INDEX(配置与结果!$J$15:$J$18,F1657)+IF(T1657&gt;0,方案参数!$BY$48,0)-配置与结果!$B$30)</f>
        <v>1</v>
      </c>
      <c r="AQ1657" s="7">
        <f t="shared" si="2269"/>
        <v>0</v>
      </c>
      <c r="AR1657" s="7">
        <f t="shared" si="2270"/>
        <v>0</v>
      </c>
      <c r="AS1657" s="7">
        <f t="shared" si="2271"/>
        <v>0</v>
      </c>
      <c r="AT1657" s="7">
        <f>IF(U1657&gt;0,ROUNDDOWN(AL1657*方案参数!$AF$48,0)*(1-AJ1657)+ROUNDDOWN(AM1657*方案参数!$AF$48,0)*AJ1657,0)</f>
        <v>0</v>
      </c>
      <c r="AU1657" s="7">
        <f t="shared" si="2272"/>
        <v>250510</v>
      </c>
      <c r="AV1657" s="1">
        <f t="shared" si="2273"/>
        <v>2</v>
      </c>
      <c r="AW1657" s="1">
        <f t="shared" si="2326"/>
        <v>10</v>
      </c>
      <c r="AX1657" s="1">
        <f t="shared" si="2274"/>
        <v>2</v>
      </c>
      <c r="AY1657" s="1">
        <f>MIN(20,MAX(0,O1657+0+1-0))</f>
        <v>7</v>
      </c>
      <c r="AZ1657" s="1">
        <f t="shared" si="2275"/>
        <v>5</v>
      </c>
      <c r="BA1657" s="1">
        <f t="shared" si="2317"/>
        <v>5</v>
      </c>
      <c r="BB1657" s="1">
        <f t="shared" si="2325"/>
        <v>20</v>
      </c>
      <c r="BC1657" s="1">
        <f t="shared" si="2323"/>
        <v>3</v>
      </c>
      <c r="BD1657" s="1">
        <f t="shared" si="2304"/>
        <v>0</v>
      </c>
      <c r="BE1657" s="1">
        <f>MAX(0,U1657-IF(AF1657&gt;0,1,0))+0</f>
        <v>0</v>
      </c>
      <c r="BF1657" s="1">
        <f t="shared" si="2327"/>
        <v>4</v>
      </c>
      <c r="BG1657" s="1">
        <f t="shared" si="2314"/>
        <v>1</v>
      </c>
      <c r="BH1657" s="1">
        <f t="shared" si="2298"/>
        <v>1</v>
      </c>
      <c r="BI1657" s="1">
        <f t="shared" si="2315"/>
        <v>1</v>
      </c>
      <c r="BJ1657" s="1">
        <f t="shared" si="2318"/>
        <v>1</v>
      </c>
      <c r="BK1657" s="1">
        <f t="shared" si="2319"/>
        <v>1</v>
      </c>
      <c r="BL1657" s="1">
        <f t="shared" si="2324"/>
        <v>1</v>
      </c>
      <c r="BM1657" s="1">
        <f t="shared" si="2322"/>
        <v>1</v>
      </c>
      <c r="BN1657" s="1">
        <f t="shared" si="2299"/>
        <v>1</v>
      </c>
      <c r="BO1657" s="1">
        <f t="shared" si="2300"/>
        <v>1</v>
      </c>
    </row>
    <row r="1658" spans="1:67" ht="30.95" customHeight="1">
      <c r="A1658" s="1">
        <f>45</f>
        <v>45</v>
      </c>
      <c r="B1658" s="1">
        <f>固定流程!A38</f>
        <v>33</v>
      </c>
      <c r="C1658" s="1">
        <f>48</f>
        <v>48</v>
      </c>
      <c r="D1658" s="1">
        <f>2</f>
        <v>2</v>
      </c>
      <c r="E1658" s="1">
        <f>固定流程!C38</f>
        <v>3</v>
      </c>
      <c r="F1658" s="1">
        <f>固定流程!G38</f>
        <v>1</v>
      </c>
      <c r="G1658" s="1" t="str">
        <f>固定流程!H38</f>
        <v>LILYA_WEAK</v>
      </c>
      <c r="H1658" s="1">
        <f>固定流程!F38</f>
        <v>1</v>
      </c>
      <c r="I1658" s="1">
        <f>INDEX(配置与结果!$B$15:$B$18,F1658)</f>
        <v>2296</v>
      </c>
      <c r="J1658" s="1">
        <f>INDEX(配置与结果!$D$15:$D$18,F1658)</f>
        <v>0.7</v>
      </c>
      <c r="K1658" s="1">
        <f>INDEX(配置与结果!$E$15:$E$18,F1658)</f>
        <v>2.0249999999999999</v>
      </c>
      <c r="L1658" s="1">
        <f t="shared" si="2311"/>
        <v>2</v>
      </c>
      <c r="M1658" s="1">
        <f t="shared" si="2312"/>
        <v>10</v>
      </c>
      <c r="N1658" s="1">
        <f t="shared" si="2313"/>
        <v>2</v>
      </c>
      <c r="O1658" s="1">
        <f t="shared" si="2305"/>
        <v>7</v>
      </c>
      <c r="P1658" s="1">
        <f>MIN(方案参数!$AI$48,AZ1657+0+0)</f>
        <v>5</v>
      </c>
      <c r="Q1658" s="1">
        <f t="shared" si="2283"/>
        <v>5</v>
      </c>
      <c r="R1658" s="1">
        <f t="shared" si="2284"/>
        <v>20</v>
      </c>
      <c r="S1658" s="1">
        <f t="shared" si="2285"/>
        <v>3</v>
      </c>
      <c r="T1658" s="1">
        <f t="shared" si="2320"/>
        <v>0</v>
      </c>
      <c r="U1658" s="1">
        <f t="shared" si="2287"/>
        <v>0</v>
      </c>
      <c r="V1658" s="1">
        <f t="shared" si="2288"/>
        <v>4</v>
      </c>
      <c r="W1658" s="1">
        <f t="shared" si="2289"/>
        <v>1</v>
      </c>
      <c r="X1658" s="1">
        <f t="shared" si="2290"/>
        <v>1</v>
      </c>
      <c r="Y1658" s="1">
        <f t="shared" si="2291"/>
        <v>1</v>
      </c>
      <c r="Z1658" s="1">
        <f t="shared" si="2292"/>
        <v>1</v>
      </c>
      <c r="AA1658" s="1">
        <f t="shared" si="2316"/>
        <v>1</v>
      </c>
      <c r="AB1658" s="1">
        <f t="shared" si="2294"/>
        <v>1</v>
      </c>
      <c r="AC1658" s="1">
        <f t="shared" si="2321"/>
        <v>1</v>
      </c>
      <c r="AD1658" s="1">
        <f>ROUNDDOWN(I1658*(1+IF(F1658=3,0.05+方案参数!$Y$48+AA1658*0.12,IF(F1658=4,方案参数!$BZ$48*方案参数!$AS$48,0)))+IF(AND(X1658=1,F1658&lt;&gt;3),方案参数!$CC$48,0)+AC1658*方案参数!$CB$48,0)</f>
        <v>3034</v>
      </c>
      <c r="AE1658" s="1">
        <f>IF(OR(F1658=1,F1658=4),配置与结果!$B$24,配置与结果!$B$25)*MAX(0,1-INDEX(配置与结果!$I$15:$I$18,F1658))</f>
        <v>1200</v>
      </c>
      <c r="AF1658" s="1">
        <f>方案参数!$BL$48</f>
        <v>9</v>
      </c>
      <c r="AG1658" s="1">
        <f>MAX(配置与结果!$B$32,1+INDEX(配置与结果!$F$15:$F$18,F1658)+0.08+方案参数!$CD$48+Q1658*方案参数!$W$48+Y1658*(方案参数!$AN$48+MIN(方案参数!$AO$48,P1658*0.03))+AB1658*方案参数!$BZ$48*0.025-配置与结果!$B$28+方案参数!$AE$48)</f>
        <v>2.6150000000000002</v>
      </c>
      <c r="AH1658" s="1">
        <f>MAX(0,1+V1658*方案参数!$U$48+9*方案参数!$V$48+方案参数!$AE$48-配置与结果!$B$29)</f>
        <v>2.1</v>
      </c>
      <c r="AI1658" s="1">
        <f>IF(OR(INDEX(配置与结果!$K$15:$K$18,F1658)=1,G1658="RHI_BERRY"),1+配置与结果!$B$33+P1658*方案参数!$AH$48,1)</f>
        <v>1</v>
      </c>
      <c r="AJ1658" s="1">
        <f>MIN(1,MAX(0,J1658+方案参数!$AB$48-配置与结果!$B$27))</f>
        <v>1</v>
      </c>
      <c r="AK1658" s="1">
        <f>MAX(1,K1658+IF(F1658=2,0.15+方案参数!$CH$48,0)+BN1658*方案参数!$X$48+R1658*方案参数!$AA$48+方案参数!$BP$48-配置与结果!$B$26+Z1658*(方案参数!$AP$48+MIN(方案参数!$AQ$48,P1658*0.03)))</f>
        <v>2.8450000000000002</v>
      </c>
      <c r="AL1658" s="7">
        <f>ROUNDDOWN(MAX(AD1658*配置与结果!$B$31,AD1658-AE1658)*AF1658*AG1658*AH1658*AI1658,0)</f>
        <v>90642</v>
      </c>
      <c r="AM1658" s="7">
        <f>ROUNDDOWN(MAX(AD1658*配置与结果!$B$31,AD1658-AE1658)*AF1658*AG1658*AH1658*AI1658*AK1658,0)</f>
        <v>257878</v>
      </c>
      <c r="AN1658" s="7">
        <f t="shared" si="2268"/>
        <v>257878</v>
      </c>
      <c r="AO1658" s="7">
        <f>0</f>
        <v>0</v>
      </c>
      <c r="AP1658" s="7">
        <f>MAX(0,1+INDEX(配置与结果!$J$15:$J$18,F1658)+IF(T1658&gt;0,方案参数!$BY$48,0)-配置与结果!$B$30)</f>
        <v>1</v>
      </c>
      <c r="AQ1658" s="7">
        <f t="shared" si="2269"/>
        <v>0</v>
      </c>
      <c r="AR1658" s="7">
        <f t="shared" si="2270"/>
        <v>0</v>
      </c>
      <c r="AS1658" s="7">
        <f t="shared" si="2271"/>
        <v>0</v>
      </c>
      <c r="AT1658" s="7">
        <f>IF(U1658&gt;0,ROUNDDOWN(AL1658*方案参数!$AF$48,0)*(1-AJ1658)+ROUNDDOWN(AM1658*方案参数!$AF$48,0)*AJ1658,0)</f>
        <v>0</v>
      </c>
      <c r="AU1658" s="7">
        <f t="shared" si="2272"/>
        <v>257878</v>
      </c>
      <c r="AV1658" s="1">
        <f t="shared" si="2273"/>
        <v>2</v>
      </c>
      <c r="AW1658" s="1">
        <f t="shared" si="2326"/>
        <v>10</v>
      </c>
      <c r="AX1658" s="1">
        <f t="shared" si="2274"/>
        <v>2</v>
      </c>
      <c r="AY1658" s="1">
        <f>MIN(20,MAX(0,O1658+0+1-0))</f>
        <v>8</v>
      </c>
      <c r="AZ1658" s="1">
        <f t="shared" si="2275"/>
        <v>5</v>
      </c>
      <c r="BA1658" s="1">
        <f t="shared" si="2317"/>
        <v>5</v>
      </c>
      <c r="BB1658" s="1">
        <f t="shared" si="2325"/>
        <v>20</v>
      </c>
      <c r="BC1658" s="1">
        <f t="shared" si="2323"/>
        <v>3</v>
      </c>
      <c r="BD1658" s="1">
        <f t="shared" si="2304"/>
        <v>0</v>
      </c>
      <c r="BE1658" s="1">
        <f>MAX(0,U1658-IF(AF1658&gt;0,1,0))+0</f>
        <v>0</v>
      </c>
      <c r="BF1658" s="1">
        <f t="shared" si="2327"/>
        <v>4</v>
      </c>
      <c r="BG1658" s="1">
        <f t="shared" si="2314"/>
        <v>1</v>
      </c>
      <c r="BH1658" s="1">
        <f t="shared" si="2298"/>
        <v>1</v>
      </c>
      <c r="BI1658" s="1">
        <f t="shared" si="2315"/>
        <v>1</v>
      </c>
      <c r="BJ1658" s="1">
        <f t="shared" si="2318"/>
        <v>1</v>
      </c>
      <c r="BK1658" s="1">
        <f t="shared" si="2319"/>
        <v>1</v>
      </c>
      <c r="BL1658" s="1">
        <f t="shared" si="2324"/>
        <v>1</v>
      </c>
      <c r="BM1658" s="1">
        <f t="shared" si="2322"/>
        <v>1</v>
      </c>
      <c r="BN1658" s="1">
        <f t="shared" si="2299"/>
        <v>1</v>
      </c>
      <c r="BO1658" s="1">
        <f t="shared" si="2300"/>
        <v>1</v>
      </c>
    </row>
    <row r="1659" spans="1:67" ht="30.95" customHeight="1">
      <c r="A1659" s="1">
        <f>45</f>
        <v>45</v>
      </c>
      <c r="B1659" s="1">
        <f>固定流程!A39</f>
        <v>34</v>
      </c>
      <c r="C1659" s="1">
        <f>48</f>
        <v>48</v>
      </c>
      <c r="D1659" s="1">
        <f>2</f>
        <v>2</v>
      </c>
      <c r="E1659" s="1">
        <f>固定流程!C39</f>
        <v>3</v>
      </c>
      <c r="F1659" s="1">
        <f>固定流程!G39</f>
        <v>2</v>
      </c>
      <c r="G1659" s="1" t="str">
        <f>固定流程!H39</f>
        <v>37_WEAK</v>
      </c>
      <c r="H1659" s="1">
        <f>固定流程!F39</f>
        <v>1</v>
      </c>
      <c r="I1659" s="1">
        <f>INDEX(配置与结果!$B$15:$B$18,F1659)</f>
        <v>2306</v>
      </c>
      <c r="J1659" s="1">
        <f>INDEX(配置与结果!$D$15:$D$18,F1659)</f>
        <v>0.46</v>
      </c>
      <c r="K1659" s="1">
        <f>INDEX(配置与结果!$E$15:$E$18,F1659)</f>
        <v>1.9279999999999999</v>
      </c>
      <c r="L1659" s="1">
        <f t="shared" si="2311"/>
        <v>2</v>
      </c>
      <c r="M1659" s="1">
        <f t="shared" si="2312"/>
        <v>10</v>
      </c>
      <c r="N1659" s="1">
        <f t="shared" si="2313"/>
        <v>2</v>
      </c>
      <c r="O1659" s="1">
        <f t="shared" si="2305"/>
        <v>8</v>
      </c>
      <c r="P1659" s="1">
        <f>MIN(方案参数!$AI$48,AZ1658+0+0)</f>
        <v>5</v>
      </c>
      <c r="Q1659" s="1">
        <f t="shared" si="2283"/>
        <v>5</v>
      </c>
      <c r="R1659" s="1">
        <f t="shared" si="2284"/>
        <v>20</v>
      </c>
      <c r="S1659" s="1">
        <f t="shared" si="2285"/>
        <v>3</v>
      </c>
      <c r="T1659" s="1">
        <f t="shared" si="2320"/>
        <v>0</v>
      </c>
      <c r="U1659" s="1">
        <f t="shared" si="2287"/>
        <v>0</v>
      </c>
      <c r="V1659" s="1">
        <f t="shared" si="2288"/>
        <v>4</v>
      </c>
      <c r="W1659" s="1">
        <f t="shared" si="2289"/>
        <v>1</v>
      </c>
      <c r="X1659" s="1">
        <f t="shared" si="2290"/>
        <v>1</v>
      </c>
      <c r="Y1659" s="1">
        <f t="shared" si="2291"/>
        <v>1</v>
      </c>
      <c r="Z1659" s="1">
        <f t="shared" si="2292"/>
        <v>1</v>
      </c>
      <c r="AA1659" s="1">
        <f t="shared" si="2316"/>
        <v>1</v>
      </c>
      <c r="AB1659" s="1">
        <f t="shared" si="2294"/>
        <v>1</v>
      </c>
      <c r="AC1659" s="1">
        <f t="shared" si="2321"/>
        <v>1</v>
      </c>
      <c r="AD1659" s="1">
        <f>ROUNDDOWN(I1659*(1+IF(F1659=3,0.05+方案参数!$Y$48+AA1659*0.12,IF(F1659=4,方案参数!$BZ$48*方案参数!$AS$48,0)))+IF(AND(X1659=1,F1659&lt;&gt;3),方案参数!$CC$48,0)+AC1659*方案参数!$CB$48,0)</f>
        <v>3044</v>
      </c>
      <c r="AE1659" s="1">
        <f>IF(OR(F1659=1,F1659=4),配置与结果!$B$24,配置与结果!$B$25)*MAX(0,1-INDEX(配置与结果!$I$15:$I$18,F1659))</f>
        <v>1000</v>
      </c>
      <c r="AF1659" s="1">
        <f>方案参数!$CE$48</f>
        <v>8</v>
      </c>
      <c r="AG1659" s="1">
        <f>MAX(配置与结果!$B$32,1+INDEX(配置与结果!$F$15:$F$18,F1659)+0+Q1659*方案参数!$W$48+Y1659*(方案参数!$AN$48+MIN(方案参数!$AO$48,P1659*0.03))+AB1659*方案参数!$BZ$48*0.025-配置与结果!$B$28+方案参数!$AE$48)</f>
        <v>2.2800000000000002</v>
      </c>
      <c r="AH1659" s="1">
        <f>MAX(0,1+V1659*方案参数!$U$48+方案参数!$AE$48-配置与结果!$B$29)</f>
        <v>1.56</v>
      </c>
      <c r="AI1659" s="1">
        <f>IF(OR(INDEX(配置与结果!$K$15:$K$18,F1659)=1,G1659="RHI_BERRY"),1+配置与结果!$B$33+P1659*方案参数!$AH$48,1)</f>
        <v>1</v>
      </c>
      <c r="AJ1659" s="1">
        <f>MIN(1,MAX(0,J1659+方案参数!$AB$48-配置与结果!$B$27))</f>
        <v>0.76</v>
      </c>
      <c r="AK1659" s="1">
        <f>MAX(1,K1659+IF(F1659=2,0.15+方案参数!$CH$48,0)+BN1659*方案参数!$X$48+R1659*方案参数!$AA$48+0-配置与结果!$B$26+Z1659*(方案参数!$AP$48+MIN(方案参数!$AQ$48,P1659*0.03)))</f>
        <v>2.4180000000000001</v>
      </c>
      <c r="AL1659" s="7">
        <f>ROUNDDOWN(MAX(AD1659*配置与结果!$B$31,AD1659-AE1659)*AF1659*AG1659*AH1659*AI1659,0)</f>
        <v>58160</v>
      </c>
      <c r="AM1659" s="7">
        <f>ROUNDDOWN(MAX(AD1659*配置与结果!$B$31,AD1659-AE1659)*AF1659*AG1659*AH1659*AI1659*AK1659,0)</f>
        <v>140632</v>
      </c>
      <c r="AN1659" s="7">
        <f t="shared" si="2268"/>
        <v>120838.72</v>
      </c>
      <c r="AO1659" s="7">
        <f>0</f>
        <v>0</v>
      </c>
      <c r="AP1659" s="7">
        <f>MAX(0,1+INDEX(配置与结果!$J$15:$J$18,F1659)+IF(T1659&gt;0,方案参数!$BY$48,0)-配置与结果!$B$30)</f>
        <v>1</v>
      </c>
      <c r="AQ1659" s="7">
        <f t="shared" si="2269"/>
        <v>0</v>
      </c>
      <c r="AR1659" s="7">
        <f t="shared" si="2270"/>
        <v>0</v>
      </c>
      <c r="AS1659" s="7">
        <f t="shared" si="2271"/>
        <v>0</v>
      </c>
      <c r="AT1659" s="7">
        <f>IF(U1659&gt;0,ROUNDDOWN(AL1659*方案参数!$AF$48,0)*(1-AJ1659)+ROUNDDOWN(AM1659*方案参数!$AF$48,0)*AJ1659,0)</f>
        <v>0</v>
      </c>
      <c r="AU1659" s="7">
        <f t="shared" si="2272"/>
        <v>120838.72</v>
      </c>
      <c r="AV1659" s="1">
        <f t="shared" si="2273"/>
        <v>2</v>
      </c>
      <c r="AW1659" s="1">
        <f t="shared" si="2326"/>
        <v>10</v>
      </c>
      <c r="AX1659" s="1">
        <f t="shared" si="2274"/>
        <v>2</v>
      </c>
      <c r="AY1659" s="1">
        <f>MIN(20,MAX(0,O1659+0+0-0))</f>
        <v>8</v>
      </c>
      <c r="AZ1659" s="1">
        <f t="shared" si="2275"/>
        <v>5</v>
      </c>
      <c r="BA1659" s="1">
        <f t="shared" si="2317"/>
        <v>5</v>
      </c>
      <c r="BB1659" s="1">
        <f t="shared" si="2325"/>
        <v>20</v>
      </c>
      <c r="BC1659" s="1">
        <f t="shared" si="2323"/>
        <v>3</v>
      </c>
      <c r="BD1659" s="1">
        <f t="shared" si="2304"/>
        <v>0</v>
      </c>
      <c r="BE1659" s="1">
        <f>MAX(0,U1659-IF(AF1659&gt;0,1,0))+1</f>
        <v>1</v>
      </c>
      <c r="BF1659" s="1">
        <f t="shared" si="2327"/>
        <v>4</v>
      </c>
      <c r="BG1659" s="1">
        <f t="shared" si="2314"/>
        <v>1</v>
      </c>
      <c r="BH1659" s="1">
        <f t="shared" si="2298"/>
        <v>1</v>
      </c>
      <c r="BI1659" s="1">
        <f t="shared" si="2315"/>
        <v>1</v>
      </c>
      <c r="BJ1659" s="1">
        <f t="shared" si="2318"/>
        <v>1</v>
      </c>
      <c r="BK1659" s="1">
        <f t="shared" si="2319"/>
        <v>1</v>
      </c>
      <c r="BL1659" s="1">
        <f t="shared" si="2324"/>
        <v>1</v>
      </c>
      <c r="BM1659" s="1">
        <f t="shared" si="2322"/>
        <v>1</v>
      </c>
      <c r="BN1659" s="1">
        <f t="shared" si="2299"/>
        <v>1</v>
      </c>
      <c r="BO1659" s="1">
        <f t="shared" si="2300"/>
        <v>1</v>
      </c>
    </row>
    <row r="1660" spans="1:67" ht="30.95" customHeight="1">
      <c r="A1660" s="1">
        <f>45</f>
        <v>45</v>
      </c>
      <c r="B1660" s="1">
        <f>固定流程!A40</f>
        <v>35</v>
      </c>
      <c r="C1660" s="1">
        <f>48</f>
        <v>48</v>
      </c>
      <c r="D1660" s="1">
        <f>2</f>
        <v>2</v>
      </c>
      <c r="E1660" s="1">
        <f>固定流程!C40</f>
        <v>3</v>
      </c>
      <c r="F1660" s="1">
        <f>固定流程!G40</f>
        <v>2</v>
      </c>
      <c r="G1660" s="1" t="str">
        <f>固定流程!H40</f>
        <v>37_WEAK</v>
      </c>
      <c r="H1660" s="1">
        <f>固定流程!F40</f>
        <v>1</v>
      </c>
      <c r="I1660" s="1">
        <f>INDEX(配置与结果!$B$15:$B$18,F1660)</f>
        <v>2306</v>
      </c>
      <c r="J1660" s="1">
        <f>INDEX(配置与结果!$D$15:$D$18,F1660)</f>
        <v>0.46</v>
      </c>
      <c r="K1660" s="1">
        <f>INDEX(配置与结果!$E$15:$E$18,F1660)</f>
        <v>1.9279999999999999</v>
      </c>
      <c r="L1660" s="1">
        <f t="shared" si="2311"/>
        <v>2</v>
      </c>
      <c r="M1660" s="1">
        <f t="shared" si="2312"/>
        <v>10</v>
      </c>
      <c r="N1660" s="1">
        <f t="shared" si="2313"/>
        <v>2</v>
      </c>
      <c r="O1660" s="1">
        <f t="shared" si="2305"/>
        <v>8</v>
      </c>
      <c r="P1660" s="1">
        <f>MIN(方案参数!$AI$48,AZ1659+0+0)</f>
        <v>5</v>
      </c>
      <c r="Q1660" s="1">
        <f t="shared" si="2283"/>
        <v>5</v>
      </c>
      <c r="R1660" s="1">
        <f t="shared" si="2284"/>
        <v>20</v>
      </c>
      <c r="S1660" s="1">
        <f t="shared" si="2285"/>
        <v>3</v>
      </c>
      <c r="T1660" s="1">
        <f t="shared" si="2320"/>
        <v>0</v>
      </c>
      <c r="U1660" s="1">
        <f t="shared" si="2287"/>
        <v>1</v>
      </c>
      <c r="V1660" s="1">
        <f t="shared" si="2288"/>
        <v>4</v>
      </c>
      <c r="W1660" s="1">
        <f t="shared" si="2289"/>
        <v>1</v>
      </c>
      <c r="X1660" s="1">
        <f t="shared" si="2290"/>
        <v>1</v>
      </c>
      <c r="Y1660" s="1">
        <f t="shared" si="2291"/>
        <v>1</v>
      </c>
      <c r="Z1660" s="1">
        <f t="shared" si="2292"/>
        <v>1</v>
      </c>
      <c r="AA1660" s="1">
        <f t="shared" si="2316"/>
        <v>1</v>
      </c>
      <c r="AB1660" s="1">
        <f t="shared" si="2294"/>
        <v>1</v>
      </c>
      <c r="AC1660" s="1">
        <f t="shared" si="2321"/>
        <v>1</v>
      </c>
      <c r="AD1660" s="1">
        <f>ROUNDDOWN(I1660*(1+IF(F1660=3,0.05+方案参数!$Y$48+AA1660*0.12,IF(F1660=4,方案参数!$BZ$48*方案参数!$AS$48,0)))+IF(AND(X1660=1,F1660&lt;&gt;3),方案参数!$CC$48,0)+AC1660*方案参数!$CB$48,0)</f>
        <v>3044</v>
      </c>
      <c r="AE1660" s="1">
        <f>IF(OR(F1660=1,F1660=4),配置与结果!$B$24,配置与结果!$B$25)*MAX(0,1-INDEX(配置与结果!$I$15:$I$18,F1660))</f>
        <v>1000</v>
      </c>
      <c r="AF1660" s="1">
        <f>方案参数!$CE$48</f>
        <v>8</v>
      </c>
      <c r="AG1660" s="1">
        <f>MAX(配置与结果!$B$32,1+INDEX(配置与结果!$F$15:$F$18,F1660)+0+Q1660*方案参数!$W$48+Y1660*(方案参数!$AN$48+MIN(方案参数!$AO$48,P1660*0.03))+AB1660*方案参数!$BZ$48*0.025-配置与结果!$B$28+方案参数!$AE$48)</f>
        <v>2.2800000000000002</v>
      </c>
      <c r="AH1660" s="1">
        <f>MAX(0,1+V1660*方案参数!$U$48+方案参数!$AE$48-配置与结果!$B$29)</f>
        <v>1.56</v>
      </c>
      <c r="AI1660" s="1">
        <f>IF(OR(INDEX(配置与结果!$K$15:$K$18,F1660)=1,G1660="RHI_BERRY"),1+配置与结果!$B$33+P1660*方案参数!$AH$48,1)</f>
        <v>1</v>
      </c>
      <c r="AJ1660" s="1">
        <f>MIN(1,MAX(0,J1660+方案参数!$AB$48-配置与结果!$B$27))</f>
        <v>0.76</v>
      </c>
      <c r="AK1660" s="1">
        <f>MAX(1,K1660+IF(F1660=2,0.15+方案参数!$CH$48,0)+BN1660*方案参数!$X$48+R1660*方案参数!$AA$48+0-配置与结果!$B$26+Z1660*(方案参数!$AP$48+MIN(方案参数!$AQ$48,P1660*0.03)))</f>
        <v>2.4180000000000001</v>
      </c>
      <c r="AL1660" s="7">
        <f>ROUNDDOWN(MAX(AD1660*配置与结果!$B$31,AD1660-AE1660)*AF1660*AG1660*AH1660*AI1660,0)</f>
        <v>58160</v>
      </c>
      <c r="AM1660" s="7">
        <f>ROUNDDOWN(MAX(AD1660*配置与结果!$B$31,AD1660-AE1660)*AF1660*AG1660*AH1660*AI1660*AK1660,0)</f>
        <v>140632</v>
      </c>
      <c r="AN1660" s="7">
        <f t="shared" si="2268"/>
        <v>120838.72</v>
      </c>
      <c r="AO1660" s="7">
        <f>0</f>
        <v>0</v>
      </c>
      <c r="AP1660" s="7">
        <f>MAX(0,1+INDEX(配置与结果!$J$15:$J$18,F1660)+IF(T1660&gt;0,方案参数!$BY$48,0)-配置与结果!$B$30)</f>
        <v>1</v>
      </c>
      <c r="AQ1660" s="7">
        <f t="shared" si="2269"/>
        <v>0</v>
      </c>
      <c r="AR1660" s="7">
        <f t="shared" si="2270"/>
        <v>0</v>
      </c>
      <c r="AS1660" s="7">
        <f t="shared" si="2271"/>
        <v>0</v>
      </c>
      <c r="AT1660" s="7">
        <f>IF(U1660&gt;0,ROUNDDOWN(AL1660*方案参数!$AF$48,0)*(1-AJ1660)+ROUNDDOWN(AM1660*方案参数!$AF$48,0)*AJ1660,0)</f>
        <v>48334.880000000005</v>
      </c>
      <c r="AU1660" s="7">
        <f t="shared" si="2272"/>
        <v>169173.6</v>
      </c>
      <c r="AV1660" s="1">
        <f t="shared" si="2273"/>
        <v>2</v>
      </c>
      <c r="AW1660" s="1">
        <f t="shared" si="2326"/>
        <v>10</v>
      </c>
      <c r="AX1660" s="1">
        <f t="shared" si="2274"/>
        <v>2</v>
      </c>
      <c r="AY1660" s="1">
        <f>MIN(20,MAX(0,O1660+0+0-0))</f>
        <v>8</v>
      </c>
      <c r="AZ1660" s="1">
        <f t="shared" si="2275"/>
        <v>5</v>
      </c>
      <c r="BA1660" s="1">
        <f t="shared" si="2317"/>
        <v>5</v>
      </c>
      <c r="BB1660" s="1">
        <f t="shared" si="2325"/>
        <v>20</v>
      </c>
      <c r="BC1660" s="1">
        <f t="shared" si="2323"/>
        <v>3</v>
      </c>
      <c r="BD1660" s="1">
        <f t="shared" si="2304"/>
        <v>0</v>
      </c>
      <c r="BE1660" s="1">
        <f>MAX(0,U1660-IF(AF1660&gt;0,1,0))+1</f>
        <v>1</v>
      </c>
      <c r="BF1660" s="1">
        <f t="shared" si="2327"/>
        <v>4</v>
      </c>
      <c r="BG1660" s="1">
        <f t="shared" si="2314"/>
        <v>1</v>
      </c>
      <c r="BH1660" s="1">
        <f t="shared" si="2298"/>
        <v>1</v>
      </c>
      <c r="BI1660" s="1">
        <f t="shared" si="2315"/>
        <v>1</v>
      </c>
      <c r="BJ1660" s="1">
        <f t="shared" si="2318"/>
        <v>1</v>
      </c>
      <c r="BK1660" s="1">
        <f t="shared" si="2319"/>
        <v>1</v>
      </c>
      <c r="BL1660" s="1">
        <f t="shared" si="2324"/>
        <v>1</v>
      </c>
      <c r="BM1660" s="1">
        <f t="shared" si="2322"/>
        <v>1</v>
      </c>
      <c r="BN1660" s="1">
        <f t="shared" si="2299"/>
        <v>1</v>
      </c>
      <c r="BO1660" s="1">
        <f t="shared" si="2300"/>
        <v>1</v>
      </c>
    </row>
    <row r="1661" spans="1:67" ht="30.95" customHeight="1">
      <c r="A1661" s="1">
        <f>45</f>
        <v>45</v>
      </c>
      <c r="B1661" s="1">
        <f>固定流程!A41</f>
        <v>36</v>
      </c>
      <c r="C1661" s="1">
        <f>48</f>
        <v>48</v>
      </c>
      <c r="D1661" s="1">
        <f>2</f>
        <v>2</v>
      </c>
      <c r="E1661" s="1">
        <f>固定流程!C41</f>
        <v>3</v>
      </c>
      <c r="F1661" s="1">
        <f>固定流程!G41</f>
        <v>1</v>
      </c>
      <c r="G1661" s="1" t="str">
        <f>固定流程!H41</f>
        <v>LILYA_FINISH</v>
      </c>
      <c r="H1661" s="1">
        <f>固定流程!F41</f>
        <v>1</v>
      </c>
      <c r="I1661" s="1">
        <f>INDEX(配置与结果!$B$15:$B$18,F1661)</f>
        <v>2296</v>
      </c>
      <c r="J1661" s="1">
        <f>INDEX(配置与结果!$D$15:$D$18,F1661)</f>
        <v>0.7</v>
      </c>
      <c r="K1661" s="1">
        <f>INDEX(配置与结果!$E$15:$E$18,F1661)</f>
        <v>2.0249999999999999</v>
      </c>
      <c r="L1661" s="1">
        <f t="shared" si="2311"/>
        <v>2</v>
      </c>
      <c r="M1661" s="1">
        <f t="shared" si="2312"/>
        <v>10</v>
      </c>
      <c r="N1661" s="1">
        <f t="shared" si="2313"/>
        <v>2</v>
      </c>
      <c r="O1661" s="1">
        <f t="shared" si="2305"/>
        <v>8</v>
      </c>
      <c r="P1661" s="1">
        <f>MIN(方案参数!$AI$48,AZ1660+0+0)</f>
        <v>5</v>
      </c>
      <c r="Q1661" s="1">
        <f t="shared" si="2283"/>
        <v>5</v>
      </c>
      <c r="R1661" s="1">
        <f t="shared" si="2284"/>
        <v>20</v>
      </c>
      <c r="S1661" s="1">
        <f t="shared" si="2285"/>
        <v>3</v>
      </c>
      <c r="T1661" s="1">
        <f t="shared" si="2320"/>
        <v>0</v>
      </c>
      <c r="U1661" s="1">
        <f t="shared" si="2287"/>
        <v>1</v>
      </c>
      <c r="V1661" s="1">
        <f t="shared" si="2288"/>
        <v>4</v>
      </c>
      <c r="W1661" s="1">
        <f t="shared" si="2289"/>
        <v>1</v>
      </c>
      <c r="X1661" s="1">
        <f t="shared" si="2290"/>
        <v>1</v>
      </c>
      <c r="Y1661" s="1">
        <f t="shared" si="2291"/>
        <v>1</v>
      </c>
      <c r="Z1661" s="1">
        <f t="shared" si="2292"/>
        <v>1</v>
      </c>
      <c r="AA1661" s="1">
        <f t="shared" si="2316"/>
        <v>1</v>
      </c>
      <c r="AB1661" s="1">
        <f t="shared" si="2294"/>
        <v>1</v>
      </c>
      <c r="AC1661" s="1">
        <f t="shared" si="2321"/>
        <v>1</v>
      </c>
      <c r="AD1661" s="1">
        <f>ROUNDDOWN(I1661*(1+IF(F1661=3,0.05+方案参数!$Y$48+AA1661*0.12,IF(F1661=4,方案参数!$BZ$48*方案参数!$AS$48,0)))+IF(AND(X1661=1,F1661&lt;&gt;3),方案参数!$CC$48,0)+AC1661*方案参数!$CB$48,0)</f>
        <v>3034</v>
      </c>
      <c r="AE1661" s="1">
        <f>IF(OR(F1661=1,F1661=4),配置与结果!$B$24,配置与结果!$B$25)*MAX(0,1-INDEX(配置与结果!$I$15:$I$18,F1661))</f>
        <v>1200</v>
      </c>
      <c r="AF1661" s="1">
        <f>方案参数!$BN$48+12*方案参数!$BO$48</f>
        <v>48</v>
      </c>
      <c r="AG1661" s="1">
        <f>MAX(配置与结果!$B$32,1+INDEX(配置与结果!$F$15:$F$18,F1661)+0.08+方案参数!$CD$48+Q1661*方案参数!$W$48+Y1661*(方案参数!$AN$48+MIN(方案参数!$AO$48,P1661*0.03))+AB1661*方案参数!$BZ$48*0.025-配置与结果!$B$28+方案参数!$AE$48)</f>
        <v>2.6150000000000002</v>
      </c>
      <c r="AH1661" s="1">
        <f>MAX(0,1+V1661*方案参数!$U$48+12*方案参数!$V$48+方案参数!$AE$48-配置与结果!$B$29)</f>
        <v>2.2799999999999998</v>
      </c>
      <c r="AI1661" s="1">
        <f>IF(OR(INDEX(配置与结果!$K$15:$K$18,F1661)=1,G1661="RHI_BERRY"),1+配置与结果!$B$33+P1661*方案参数!$AH$48,1)</f>
        <v>1</v>
      </c>
      <c r="AJ1661" s="1">
        <f>MIN(1,MAX(0,J1661+方案参数!$AB$48-配置与结果!$B$27))</f>
        <v>1</v>
      </c>
      <c r="AK1661" s="1">
        <f>MAX(1,K1661+IF(F1661=2,0.15+方案参数!$CH$48,0)+BN1661*方案参数!$X$48+R1661*方案参数!$AA$48+方案参数!$BR$48-配置与结果!$B$26+Z1661*(方案参数!$AP$48+MIN(方案参数!$AQ$48,P1661*0.03)))</f>
        <v>3.2450000000000001</v>
      </c>
      <c r="AL1661" s="7">
        <f>ROUNDDOWN(MAX(AD1661*配置与结果!$B$31,AD1661-AE1661)*AF1661*AG1661*AH1661*AI1661,0)</f>
        <v>524864</v>
      </c>
      <c r="AM1661" s="7">
        <f>ROUNDDOWN(MAX(AD1661*配置与结果!$B$31,AD1661-AE1661)*AF1661*AG1661*AH1661*AI1661*AK1661,0)</f>
        <v>1703184</v>
      </c>
      <c r="AN1661" s="7">
        <f t="shared" si="2268"/>
        <v>1703184</v>
      </c>
      <c r="AO1661" s="7">
        <f>0</f>
        <v>0</v>
      </c>
      <c r="AP1661" s="7">
        <f>MAX(0,1+INDEX(配置与结果!$J$15:$J$18,F1661)+IF(T1661&gt;0,方案参数!$BY$48,0)-配置与结果!$B$30)</f>
        <v>1</v>
      </c>
      <c r="AQ1661" s="7">
        <f t="shared" si="2269"/>
        <v>0</v>
      </c>
      <c r="AR1661" s="7">
        <f t="shared" si="2270"/>
        <v>0</v>
      </c>
      <c r="AS1661" s="7">
        <f t="shared" si="2271"/>
        <v>0</v>
      </c>
      <c r="AT1661" s="7">
        <f>IF(U1661&gt;0,ROUNDDOWN(AL1661*方案参数!$AF$48,0)*(1-AJ1661)+ROUNDDOWN(AM1661*方案参数!$AF$48,0)*AJ1661,0)</f>
        <v>681273</v>
      </c>
      <c r="AU1661" s="7">
        <f t="shared" si="2272"/>
        <v>2384457</v>
      </c>
      <c r="AV1661" s="1">
        <f t="shared" si="2273"/>
        <v>2</v>
      </c>
      <c r="AW1661" s="1">
        <f t="shared" si="2326"/>
        <v>10</v>
      </c>
      <c r="AX1661" s="1">
        <f t="shared" si="2274"/>
        <v>2</v>
      </c>
      <c r="AY1661" s="1">
        <f>MIN(20,MAX(0,O1661+0+1-0))</f>
        <v>9</v>
      </c>
      <c r="AZ1661" s="1">
        <f t="shared" si="2275"/>
        <v>5</v>
      </c>
      <c r="BA1661" s="1">
        <f t="shared" si="2317"/>
        <v>5</v>
      </c>
      <c r="BB1661" s="1">
        <f t="shared" si="2325"/>
        <v>20</v>
      </c>
      <c r="BC1661" s="1">
        <f t="shared" si="2323"/>
        <v>3</v>
      </c>
      <c r="BD1661" s="1">
        <f t="shared" si="2304"/>
        <v>0</v>
      </c>
      <c r="BE1661" s="1">
        <f>MAX(0,U1661-IF(AF1661&gt;0,1,0))+0</f>
        <v>0</v>
      </c>
      <c r="BF1661" s="1">
        <f t="shared" si="2327"/>
        <v>4</v>
      </c>
      <c r="BG1661" s="1">
        <f t="shared" si="2314"/>
        <v>1</v>
      </c>
      <c r="BH1661" s="1">
        <f t="shared" si="2298"/>
        <v>1</v>
      </c>
      <c r="BI1661" s="1">
        <f t="shared" si="2315"/>
        <v>1</v>
      </c>
      <c r="BJ1661" s="1">
        <f t="shared" si="2318"/>
        <v>1</v>
      </c>
      <c r="BK1661" s="1">
        <f t="shared" si="2319"/>
        <v>1</v>
      </c>
      <c r="BL1661" s="1">
        <f t="shared" si="2324"/>
        <v>1</v>
      </c>
      <c r="BM1661" s="1">
        <f t="shared" si="2322"/>
        <v>1</v>
      </c>
      <c r="BN1661" s="1">
        <f t="shared" si="2299"/>
        <v>1</v>
      </c>
      <c r="BO1661" s="1">
        <f t="shared" si="2300"/>
        <v>1</v>
      </c>
    </row>
  </sheetData>
  <sheetProtection algorithmName="SHA-512" hashValue="JC5btAMzl24NIb9NUse1+SkqeXiI0Kf18+T9elf4WESbY9ByPAUTfEpvfPZga3nZ5Y5uIcq2B4Ja3xNNoiFG2Q==" saltValue="iMbOaNUIWeBWAjkxMBEzCw==" spinCount="100000" sheet="1" objects="1" scenarios="1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使用说明</vt:lpstr>
      <vt:lpstr>配置与结果</vt:lpstr>
      <vt:lpstr>逐档收益</vt:lpstr>
      <vt:lpstr>效果参数</vt:lpstr>
      <vt:lpstr>固定流程</vt:lpstr>
      <vt:lpstr>方案参数</vt:lpstr>
      <vt:lpstr>行动计算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 Ackerman</cp:lastModifiedBy>
  <dcterms:modified xsi:type="dcterms:W3CDTF">2026-10-07T11:26:41Z</dcterms:modified>
</cp:coreProperties>
</file>